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https://geronit-my.sharepoint.com/personal/rholmbeck_geron_com/Documents/Documents/Current Files/"/>
    </mc:Choice>
  </mc:AlternateContent>
  <xr:revisionPtr revIDLastSave="8490" documentId="8_{D36794F5-2AC1-47D3-82BE-8706E3ACDCC7}" xr6:coauthVersionLast="47" xr6:coauthVersionMax="47" xr10:uidLastSave="{4ACCB7EE-7D84-40C3-904B-07BF284256B7}"/>
  <bookViews>
    <workbookView xWindow="-110" yWindow="-110" windowWidth="19420" windowHeight="11500" tabRatio="863" firstSheet="13" activeTab="14" xr2:uid="{00000000-000D-0000-FFFF-FFFF00000000}"/>
  </bookViews>
  <sheets>
    <sheet name="New Item Guide" sheetId="28" r:id="rId1"/>
    <sheet name="Supplier Registry" sheetId="1" r:id="rId2"/>
    <sheet name="SKU Master" sheetId="2" r:id="rId3"/>
    <sheet name="Controls" sheetId="3" r:id="rId4"/>
    <sheet name="Demand Inputs" sheetId="4" r:id="rId5"/>
    <sheet name="Production Inputs" sheetId="5" r:id="rId6"/>
    <sheet name="Dependencies" sheetId="6" r:id="rId7"/>
    <sheet name="Planning Engine" sheetId="7" r:id="rId8"/>
    <sheet name="Cost Inputs" sheetId="8" r:id="rId9"/>
    <sheet name="Cancellation Policy" sheetId="9" r:id="rId10"/>
    <sheet name="FG Enhanced Plan" sheetId="10" r:id="rId11"/>
    <sheet name="Supply Enhanced Plan" sheetId="11" r:id="rId12"/>
    <sheet name="Annual Summary" sheetId="18" r:id="rId13"/>
    <sheet name="Long Range View" sheetId="12" r:id="rId14"/>
    <sheet name="Lot Inputs" sheetId="13" r:id="rId15"/>
    <sheet name="FEFO Analysis" sheetId="14" r:id="rId16"/>
    <sheet name="Expiry Risk Summary" sheetId="15" r:id="rId17"/>
    <sheet name="Exception Summary" sheetId="16" r:id="rId18"/>
    <sheet name="Executive Dashboard" sheetId="17" r:id="rId19"/>
    <sheet name="Fcst_Catalent" sheetId="19" r:id="rId20"/>
    <sheet name="Fcst_Patheon_PDS-2" sheetId="20" r:id="rId21"/>
    <sheet name="Fcst_Patheon_PDS-1" sheetId="21" r:id="rId22"/>
    <sheet name="Fcst_Simtra" sheetId="22" r:id="rId23"/>
    <sheet name="Fcst_Fisher_-_ThermoFis" sheetId="23" r:id="rId24"/>
    <sheet name="Fcst_ST_Pharm_Oligo_P1" sheetId="24" r:id="rId25"/>
    <sheet name="Fcst_ST_Pharm" sheetId="25" r:id="rId26"/>
    <sheet name="Fcst_Kinovate" sheetId="26" r:id="rId27"/>
    <sheet name="Fcst_Hongene" sheetId="27" r:id="rId28"/>
  </sheets>
  <definedNames>
    <definedName name="_xlnm._FilterDatabase" localSheetId="7" hidden="1">'Planning Engine'!$A$3:$AB$3</definedName>
    <definedName name="_xlpm.cumAtStop" hidden="1" xlm="1">#NAME?</definedName>
    <definedName name="_xlpm.stopSell" hidden="1" xlm="1">#NAME?</definedName>
    <definedName name="_xlpm.threshold" hidden="1" xlm="1">#NAME?</definedName>
    <definedName name="Chart_188mg_LP_Demand">OFFSET('Planning Engine'!Q1048567,0,0,Controls!XEY1048570,1)</definedName>
    <definedName name="Chart_188mg_LP_EI">OFFSET('Planning Engine'!S1048567,0,0,Controls!XEY1048570,1)</definedName>
    <definedName name="Chart_188mg_LP_Month">OFFSET('Planning Engine'!P1048567,0,0,Controls!XEY1048570,1)</definedName>
    <definedName name="Chart_188mg_LP_Prod">OFFSET('Planning Engine'!R1048567,0,0,Controls!XEY1048570,1)</definedName>
    <definedName name="Chart_188mg_LP_Target">OFFSET('Planning Engine'!T1048567,0,0,Controls!XEY1048570,1)</definedName>
    <definedName name="Chart_200mg_DP_Demand">OFFSET('Planning Engine'!Q349,0,0,Controls!XEY1048570,1)</definedName>
    <definedName name="Chart_200mg_DP_EI">OFFSET('Planning Engine'!S349,0,0,Controls!XEY1048570,1)</definedName>
    <definedName name="Chart_200mg_DP_Month">OFFSET('Planning Engine'!P349,0,0,Controls!XEY1048570,1)</definedName>
    <definedName name="Chart_200mg_DP_Prod">OFFSET('Planning Engine'!R349,0,0,Controls!XEY1048570,1)</definedName>
    <definedName name="Chart_200mg_DP_Target">OFFSET('Planning Engine'!T349,0,0,Controls!XEY1048570,1)</definedName>
    <definedName name="Chart_47mg_Clinical_Demand">OFFSET('Planning Engine'!Q1781,0,0,Controls!XEY1048570,1)</definedName>
    <definedName name="Chart_47mg_Clinical_EI">OFFSET('Planning Engine'!S1781,0,0,Controls!XEY1048570,1)</definedName>
    <definedName name="Chart_47mg_Clinical_Month">OFFSET('Planning Engine'!P1781,0,0,Controls!XEY1048570,1)</definedName>
    <definedName name="Chart_47mg_Clinical_Prod">OFFSET('Planning Engine'!R1781,0,0,Controls!XEY1048570,1)</definedName>
    <definedName name="Chart_47mg_Clinical_Target">OFFSET('Planning Engine'!T1781,0,0,Controls!XEY1048570,1)</definedName>
    <definedName name="Chart_47mg_LP_Demand">OFFSET('Planning Engine'!Q170,0,0,Controls!XEY1048570,1)</definedName>
    <definedName name="Chart_47mg_LP_EI">OFFSET('Planning Engine'!S170,0,0,Controls!XEY1048570,1)</definedName>
    <definedName name="Chart_47mg_LP_Month">OFFSET('Planning Engine'!P170,0,0,Controls!XEY1048570,1)</definedName>
    <definedName name="Chart_47mg_LP_Prod">OFFSET('Planning Engine'!R170,0,0,Controls!XEY1048570,1)</definedName>
    <definedName name="Chart_47mg_LP_Target">OFFSET('Planning Engine'!T170,0,0,Controls!XEY1048570,1)</definedName>
    <definedName name="Chart_50mg_DP_Demand">OFFSET('Planning Engine'!Q528,0,0,Controls!XEY1048570,1)</definedName>
    <definedName name="Chart_50mg_DP_EI">OFFSET('Planning Engine'!S528,0,0,Controls!XEY1048570,1)</definedName>
    <definedName name="Chart_50mg_DP_Month">OFFSET('Planning Engine'!P528,0,0,Controls!XEY1048570,1)</definedName>
    <definedName name="Chart_50mg_DP_Prod">OFFSET('Planning Engine'!R528,0,0,Controls!XEY1048570,1)</definedName>
    <definedName name="Chart_50mg_DP_Target">OFFSET('Planning Engine'!T528,0,0,Controls!XEY1048570,1)</definedName>
    <definedName name="Chart_APAD_Demand">OFFSET('Planning Engine'!Q1065,0,0,Controls!XEY1048570,1)</definedName>
    <definedName name="Chart_APAD_EI">OFFSET('Planning Engine'!S1065,0,0,Controls!XEY1048570,1)</definedName>
    <definedName name="Chart_APAD_Month">OFFSET('Planning Engine'!P1065,0,0,Controls!XEY1048570,1)</definedName>
    <definedName name="Chart_APAD_Prod">OFFSET('Planning Engine'!R1065,0,0,Controls!XEY1048570,1)</definedName>
    <definedName name="Chart_APAD_Target">OFFSET('Planning Engine'!T1065,0,0,Controls!XEY1048570,1)</definedName>
    <definedName name="Chart_APC_Demand">OFFSET('Planning Engine'!Q1244,0,0,Controls!XEY1048570,1)</definedName>
    <definedName name="Chart_APC_EI">OFFSET('Planning Engine'!S1244,0,0,Controls!XEY1048570,1)</definedName>
    <definedName name="Chart_APC_Month">OFFSET('Planning Engine'!P1244,0,0,Controls!XEY1048570,1)</definedName>
    <definedName name="Chart_APC_Prod">OFFSET('Planning Engine'!R1244,0,0,Controls!XEY1048570,1)</definedName>
    <definedName name="Chart_APC_Target">OFFSET('Planning Engine'!T1244,0,0,Controls!XEY1048570,1)</definedName>
    <definedName name="Chart_APG_Demand">OFFSET('Planning Engine'!Q1423,0,0,Controls!XEY1048570,1)</definedName>
    <definedName name="Chart_APG_EI">OFFSET('Planning Engine'!S1423,0,0,Controls!XEY1048570,1)</definedName>
    <definedName name="Chart_APG_Month">OFFSET('Planning Engine'!P1423,0,0,Controls!XEY1048570,1)</definedName>
    <definedName name="Chart_APG_Prod">OFFSET('Planning Engine'!R1423,0,0,Controls!XEY1048570,1)</definedName>
    <definedName name="Chart_APG_Target">OFFSET('Planning Engine'!T1423,0,0,Controls!XEY1048570,1)</definedName>
    <definedName name="Chart_APT_Demand">OFFSET('Planning Engine'!Q1602,0,0,Controls!XEY1048570,1)</definedName>
    <definedName name="Chart_APT_EI">OFFSET('Planning Engine'!S1602,0,0,Controls!XEY1048570,1)</definedName>
    <definedName name="Chart_APT_Month">OFFSET('Planning Engine'!P1602,0,0,Controls!XEY1048570,1)</definedName>
    <definedName name="Chart_APT_Prod">OFFSET('Planning Engine'!R1602,0,0,Controls!XEY1048570,1)</definedName>
    <definedName name="Chart_APT_Target">OFFSET('Planning Engine'!T1602,0,0,Controls!XEY1048570,1)</definedName>
    <definedName name="Chart_Combo_188_200_Demand">OFFSET('Planning Engine'!Q1967,0,0,Controls!XEY1048570,1)</definedName>
    <definedName name="Chart_Combo_188_200_EI">OFFSET('Planning Engine'!S1967,0,0,Controls!XEY1048570,1)</definedName>
    <definedName name="Chart_Combo_188_200_Month">OFFSET('Planning Engine'!P1967,0,0,Controls!XEY1048570,1)</definedName>
    <definedName name="Chart_Combo_188_200_Prod">OFFSET('Planning Engine'!R1967,0,0,Controls!XEY1048570,1)</definedName>
    <definedName name="Chart_Combo_188_200_Target">OFFSET('Planning Engine'!T1967,0,0,Controls!XEY1048570,1)</definedName>
    <definedName name="Chart_Combo_47_50_Demand">OFFSET('Planning Engine'!Q2006,0,0,Controls!XEY1048570,1)</definedName>
    <definedName name="Chart_Combo_47_50_EI">OFFSET('Planning Engine'!S2006,0,0,Controls!XEY1048570,1)</definedName>
    <definedName name="Chart_Combo_47_50_Month">OFFSET('Planning Engine'!P2006,0,0,Controls!XEY1048570,1)</definedName>
    <definedName name="Chart_Combo_47_50_Prod">OFFSET('Planning Engine'!R2006,0,0,Controls!XEY1048570,1)</definedName>
    <definedName name="Chart_Combo_47_50_Target">OFFSET('Planning Engine'!T2006,0,0,Controls!XEY1048570,1)</definedName>
    <definedName name="Chart_Drug_Substance_Demand">OFFSET('Planning Engine'!Q707,0,0,Controls!XEY1048570,1)</definedName>
    <definedName name="Chart_Drug_Substance_EI">OFFSET('Planning Engine'!S707,0,0,Controls!XEY1048570,1)</definedName>
    <definedName name="Chart_Drug_Substance_Month">OFFSET('Planning Engine'!P707,0,0,Controls!XEY1048570,1)</definedName>
    <definedName name="Chart_Drug_Substance_Prod">OFFSET('Planning Engine'!R707,0,0,Controls!XEY1048570,1)</definedName>
    <definedName name="Chart_Drug_Substance_Target">OFFSET('Planning Engine'!T707,0,0,Controls!XEY1048570,1)</definedName>
    <definedName name="Chart_LLPS_Demand">OFFSET('Planning Engine'!Q886,0,0,Controls!XEY1048570,1)</definedName>
    <definedName name="Chart_LLPS_EI">OFFSET('Planning Engine'!S886,0,0,Controls!XEY1048570,1)</definedName>
    <definedName name="Chart_LLPS_Month">OFFSET('Planning Engine'!P886,0,0,Controls!XEY1048570,1)</definedName>
    <definedName name="Chart_LLPS_Prod">OFFSET('Planning Engine'!R886,0,0,Controls!XEY1048570,1)</definedName>
    <definedName name="Chart_LLPS_Target">OFFSET('Planning Engine'!T886,0,0,Controls!XEY1048570,1)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132" i="13" l="1" a="1"/>
  <c r="M132" i="13" s="1"/>
  <c r="M133" i="13" a="1"/>
  <c r="M133" i="13" s="1"/>
  <c r="M134" i="13" a="1"/>
  <c r="M134" i="13" s="1"/>
  <c r="N134" i="13" s="1"/>
  <c r="M135" i="13" a="1"/>
  <c r="M135" i="13" s="1"/>
  <c r="N135" i="13" s="1"/>
  <c r="M136" i="13" a="1"/>
  <c r="M136" i="13" s="1"/>
  <c r="N136" i="13" s="1"/>
  <c r="M137" i="13" a="1"/>
  <c r="M137" i="13" s="1"/>
  <c r="N137" i="13" s="1"/>
  <c r="M138" i="13" a="1"/>
  <c r="M138" i="13" s="1"/>
  <c r="N138" i="13" s="1"/>
  <c r="M139" i="13" a="1"/>
  <c r="M139" i="13" s="1"/>
  <c r="N139" i="13" s="1"/>
  <c r="M140" i="13" a="1"/>
  <c r="M140" i="13" s="1"/>
  <c r="N140" i="13" s="1"/>
  <c r="M141" i="13" a="1"/>
  <c r="M141" i="13" s="1"/>
  <c r="N141" i="13" s="1"/>
  <c r="M142" i="13" a="1"/>
  <c r="M142" i="13" s="1"/>
  <c r="N142" i="13" s="1"/>
  <c r="M143" i="13" a="1"/>
  <c r="M143" i="13" s="1"/>
  <c r="N143" i="13" s="1"/>
  <c r="M144" i="13" a="1"/>
  <c r="M144" i="13" s="1"/>
  <c r="M145" i="13" a="1"/>
  <c r="M145" i="13"/>
  <c r="M146" i="13" a="1"/>
  <c r="M146" i="13" s="1"/>
  <c r="N146" i="13" s="1"/>
  <c r="M147" i="13" a="1"/>
  <c r="M147" i="13" s="1"/>
  <c r="N147" i="13" s="1"/>
  <c r="M148" i="13" a="1"/>
  <c r="M148" i="13" s="1"/>
  <c r="N148" i="13" s="1"/>
  <c r="M149" i="13" a="1"/>
  <c r="M149" i="13" s="1"/>
  <c r="N149" i="13" s="1"/>
  <c r="M150" i="13" a="1"/>
  <c r="M150" i="13" s="1"/>
  <c r="N150" i="13" s="1"/>
  <c r="M151" i="13" a="1"/>
  <c r="M151" i="13" s="1"/>
  <c r="N151" i="13" s="1"/>
  <c r="M152" i="13" a="1"/>
  <c r="M152" i="13" s="1"/>
  <c r="N152" i="13" s="1"/>
  <c r="M153" i="13" a="1"/>
  <c r="M153" i="13" s="1"/>
  <c r="N153" i="13" s="1"/>
  <c r="M154" i="13" a="1"/>
  <c r="M154" i="13" s="1"/>
  <c r="N154" i="13" s="1"/>
  <c r="M155" i="13" a="1"/>
  <c r="M155" i="13" s="1"/>
  <c r="N155" i="13" s="1"/>
  <c r="M156" i="13" a="1"/>
  <c r="M156" i="13" s="1"/>
  <c r="N156" i="13" s="1"/>
  <c r="M157" i="13" a="1"/>
  <c r="M157" i="13" s="1"/>
  <c r="N157" i="13" s="1"/>
  <c r="M158" i="13" a="1"/>
  <c r="M158" i="13" s="1"/>
  <c r="N158" i="13" s="1"/>
  <c r="M159" i="13" a="1"/>
  <c r="M159" i="13" s="1"/>
  <c r="N159" i="13" s="1"/>
  <c r="M160" i="13" a="1"/>
  <c r="M160" i="13" s="1"/>
  <c r="N160" i="13" s="1"/>
  <c r="M161" i="13" a="1"/>
  <c r="M161" i="13" s="1"/>
  <c r="N161" i="13" s="1"/>
  <c r="M162" i="13" a="1"/>
  <c r="M162" i="13" s="1"/>
  <c r="N162" i="13" s="1"/>
  <c r="M163" i="13" a="1"/>
  <c r="M163" i="13" s="1"/>
  <c r="N163" i="13" s="1"/>
  <c r="M164" i="13" a="1"/>
  <c r="M164" i="13"/>
  <c r="N164" i="13" s="1"/>
  <c r="M165" i="13" a="1"/>
  <c r="M165" i="13" s="1"/>
  <c r="N165" i="13" s="1"/>
  <c r="M166" i="13" a="1"/>
  <c r="M166" i="13" s="1"/>
  <c r="N166" i="13" s="1"/>
  <c r="M167" i="13" a="1"/>
  <c r="M167" i="13" s="1"/>
  <c r="N167" i="13" s="1"/>
  <c r="M168" i="13" a="1"/>
  <c r="M168" i="13" s="1"/>
  <c r="N168" i="13" s="1"/>
  <c r="M169" i="13" a="1"/>
  <c r="M169" i="13" s="1"/>
  <c r="N169" i="13" s="1"/>
  <c r="M170" i="13" a="1"/>
  <c r="M170" i="13" s="1"/>
  <c r="N170" i="13" s="1"/>
  <c r="M171" i="13" a="1"/>
  <c r="M171" i="13" s="1"/>
  <c r="N171" i="13" s="1"/>
  <c r="M172" i="13" a="1"/>
  <c r="M172" i="13" s="1"/>
  <c r="N172" i="13" s="1"/>
  <c r="M173" i="13" a="1"/>
  <c r="M173" i="13" s="1"/>
  <c r="N173" i="13" s="1"/>
  <c r="M174" i="13" a="1"/>
  <c r="M174" i="13" s="1"/>
  <c r="M175" i="13" a="1"/>
  <c r="M175" i="13" s="1"/>
  <c r="N175" i="13" s="1"/>
  <c r="M176" i="13" a="1"/>
  <c r="M176" i="13" s="1"/>
  <c r="N176" i="13" s="1"/>
  <c r="M177" i="13" a="1"/>
  <c r="M177" i="13" s="1"/>
  <c r="N177" i="13" s="1"/>
  <c r="M178" i="13" a="1"/>
  <c r="M178" i="13" s="1"/>
  <c r="N178" i="13" s="1"/>
  <c r="M179" i="13" a="1"/>
  <c r="M179" i="13" s="1"/>
  <c r="N179" i="13" s="1"/>
  <c r="M180" i="13" a="1"/>
  <c r="M180" i="13" s="1"/>
  <c r="N180" i="13" s="1"/>
  <c r="M181" i="13" a="1"/>
  <c r="M181" i="13" s="1"/>
  <c r="N181" i="13" s="1"/>
  <c r="M182" i="13" a="1"/>
  <c r="M182" i="13" s="1"/>
  <c r="N182" i="13" s="1"/>
  <c r="M183" i="13" a="1"/>
  <c r="M183" i="13" s="1"/>
  <c r="N183" i="13" s="1"/>
  <c r="M184" i="13" a="1"/>
  <c r="M184" i="13" s="1"/>
  <c r="M185" i="13" a="1"/>
  <c r="M185" i="13" s="1"/>
  <c r="N185" i="13" s="1"/>
  <c r="M186" i="13" a="1"/>
  <c r="M186" i="13" s="1"/>
  <c r="N186" i="13" s="1"/>
  <c r="M187" i="13" a="1"/>
  <c r="M187" i="13" s="1"/>
  <c r="N187" i="13" s="1"/>
  <c r="M188" i="13" a="1"/>
  <c r="M188" i="13" s="1"/>
  <c r="N188" i="13" s="1"/>
  <c r="M189" i="13" a="1"/>
  <c r="M189" i="13" s="1"/>
  <c r="N189" i="13" s="1"/>
  <c r="M190" i="13" a="1"/>
  <c r="M190" i="13" s="1"/>
  <c r="N190" i="13" s="1"/>
  <c r="M191" i="13" a="1"/>
  <c r="M191" i="13" s="1"/>
  <c r="N191" i="13" s="1"/>
  <c r="M192" i="13" a="1"/>
  <c r="M192" i="13" s="1"/>
  <c r="N192" i="13" s="1"/>
  <c r="M193" i="13" a="1"/>
  <c r="M193" i="13" s="1"/>
  <c r="N193" i="13" s="1"/>
  <c r="M194" i="13" a="1"/>
  <c r="M194" i="13" s="1"/>
  <c r="N194" i="13" s="1"/>
  <c r="M195" i="13" a="1"/>
  <c r="M195" i="13" s="1"/>
  <c r="N195" i="13" s="1"/>
  <c r="M196" i="13" a="1"/>
  <c r="M196" i="13" s="1"/>
  <c r="N196" i="13" s="1"/>
  <c r="M197" i="13" a="1"/>
  <c r="M197" i="13" s="1"/>
  <c r="N197" i="13" s="1"/>
  <c r="M198" i="13" a="1"/>
  <c r="M198" i="13" s="1"/>
  <c r="N198" i="13" s="1"/>
  <c r="M199" i="13" a="1"/>
  <c r="M199" i="13" s="1"/>
  <c r="N199" i="13" s="1"/>
  <c r="M200" i="13" a="1"/>
  <c r="M200" i="13"/>
  <c r="N200" i="13" s="1"/>
  <c r="M201" i="13" a="1"/>
  <c r="M201" i="13" s="1"/>
  <c r="N201" i="13" s="1"/>
  <c r="M202" i="13" a="1"/>
  <c r="M202" i="13" s="1"/>
  <c r="M203" i="13" a="1"/>
  <c r="M203" i="13" s="1"/>
  <c r="N203" i="13" s="1"/>
  <c r="M204" i="13" a="1"/>
  <c r="M204" i="13" s="1"/>
  <c r="N204" i="13" s="1"/>
  <c r="M205" i="13" a="1"/>
  <c r="M205" i="13" s="1"/>
  <c r="N205" i="13" s="1"/>
  <c r="M206" i="13" a="1"/>
  <c r="M206" i="13" s="1"/>
  <c r="N206" i="13" s="1"/>
  <c r="M207" i="13" a="1"/>
  <c r="M207" i="13" s="1"/>
  <c r="N207" i="13" s="1"/>
  <c r="M208" i="13" a="1"/>
  <c r="M208" i="13" s="1"/>
  <c r="N208" i="13" s="1"/>
  <c r="M209" i="13" a="1"/>
  <c r="M209" i="13" s="1"/>
  <c r="N209" i="13" s="1"/>
  <c r="M210" i="13" a="1"/>
  <c r="M210" i="13" s="1"/>
  <c r="N210" i="13" s="1"/>
  <c r="M211" i="13" a="1"/>
  <c r="M211" i="13" s="1"/>
  <c r="N211" i="13" s="1"/>
  <c r="M212" i="13" a="1"/>
  <c r="M212" i="13" s="1"/>
  <c r="N212" i="13" s="1"/>
  <c r="M213" i="13" a="1"/>
  <c r="M213" i="13" s="1"/>
  <c r="N213" i="13" s="1"/>
  <c r="M214" i="13" a="1"/>
  <c r="M214" i="13" s="1"/>
  <c r="N214" i="13" s="1"/>
  <c r="M215" i="13" a="1"/>
  <c r="M215" i="13"/>
  <c r="N215" i="13" s="1"/>
  <c r="M216" i="13" a="1"/>
  <c r="M216" i="13" s="1"/>
  <c r="N216" i="13" s="1"/>
  <c r="M217" i="13" a="1"/>
  <c r="M217" i="13" s="1"/>
  <c r="N217" i="13" s="1"/>
  <c r="M218" i="13" a="1"/>
  <c r="M218" i="13" s="1"/>
  <c r="N218" i="13" s="1"/>
  <c r="M219" i="13" a="1"/>
  <c r="M219" i="13" s="1"/>
  <c r="N219" i="13" s="1"/>
  <c r="M220" i="13" a="1"/>
  <c r="M220" i="13" s="1"/>
  <c r="N220" i="13" s="1"/>
  <c r="M221" i="13" a="1"/>
  <c r="M221" i="13" s="1"/>
  <c r="N221" i="13" s="1"/>
  <c r="M222" i="13" a="1"/>
  <c r="M222" i="13" s="1"/>
  <c r="N222" i="13" s="1"/>
  <c r="M223" i="13" a="1"/>
  <c r="M223" i="13" s="1"/>
  <c r="N223" i="13" s="1"/>
  <c r="M224" i="13" a="1"/>
  <c r="M224" i="13" s="1"/>
  <c r="M225" i="13" a="1"/>
  <c r="M225" i="13" s="1"/>
  <c r="N225" i="13" s="1"/>
  <c r="M226" i="13" a="1"/>
  <c r="M226" i="13" s="1"/>
  <c r="N226" i="13" s="1"/>
  <c r="M227" i="13" a="1"/>
  <c r="M227" i="13" s="1"/>
  <c r="N227" i="13" s="1"/>
  <c r="M228" i="13" a="1"/>
  <c r="M228" i="13" s="1"/>
  <c r="N228" i="13" s="1"/>
  <c r="M229" i="13" a="1"/>
  <c r="M229" i="13" s="1"/>
  <c r="N229" i="13" s="1"/>
  <c r="M230" i="13" a="1"/>
  <c r="M230" i="13" s="1"/>
  <c r="N230" i="13" s="1"/>
  <c r="M231" i="13" a="1"/>
  <c r="M231" i="13" s="1"/>
  <c r="N231" i="13" s="1"/>
  <c r="M232" i="13" a="1"/>
  <c r="M232" i="13" s="1"/>
  <c r="N232" i="13" s="1"/>
  <c r="M233" i="13" a="1"/>
  <c r="M233" i="13" s="1"/>
  <c r="N233" i="13" s="1"/>
  <c r="M234" i="13" a="1"/>
  <c r="M234" i="13" s="1"/>
  <c r="N234" i="13" s="1"/>
  <c r="M235" i="13" a="1"/>
  <c r="M235" i="13" s="1"/>
  <c r="N235" i="13" s="1"/>
  <c r="M236" i="13" a="1"/>
  <c r="M236" i="13" s="1"/>
  <c r="N236" i="13" s="1"/>
  <c r="M237" i="13" a="1"/>
  <c r="M237" i="13" s="1"/>
  <c r="N237" i="13" s="1"/>
  <c r="M238" i="13" a="1"/>
  <c r="M238" i="13" s="1"/>
  <c r="N238" i="13" s="1"/>
  <c r="M239" i="13" a="1"/>
  <c r="M239" i="13" s="1"/>
  <c r="N239" i="13" s="1"/>
  <c r="M240" i="13" a="1"/>
  <c r="M240" i="13" s="1"/>
  <c r="N240" i="13" s="1"/>
  <c r="M241" i="13" a="1"/>
  <c r="M241" i="13" s="1"/>
  <c r="N241" i="13" s="1"/>
  <c r="M242" i="13" a="1"/>
  <c r="M242" i="13" s="1"/>
  <c r="N242" i="13" s="1"/>
  <c r="M243" i="13" a="1"/>
  <c r="M243" i="13" s="1"/>
  <c r="N243" i="13" s="1"/>
  <c r="M244" i="13" a="1"/>
  <c r="M244" i="13" s="1"/>
  <c r="N244" i="13" s="1"/>
  <c r="M245" i="13" a="1"/>
  <c r="M245" i="13" s="1"/>
  <c r="N245" i="13" s="1"/>
  <c r="M246" i="13" a="1"/>
  <c r="M246" i="13" s="1"/>
  <c r="N246" i="13" s="1"/>
  <c r="M247" i="13" a="1"/>
  <c r="M247" i="13" s="1"/>
  <c r="N247" i="13" s="1"/>
  <c r="M248" i="13" a="1"/>
  <c r="M248" i="13" s="1"/>
  <c r="N248" i="13" s="1"/>
  <c r="M249" i="13" a="1"/>
  <c r="M249" i="13" s="1"/>
  <c r="N249" i="13" s="1"/>
  <c r="M250" i="13" a="1"/>
  <c r="M250" i="13" s="1"/>
  <c r="N250" i="13" s="1"/>
  <c r="M251" i="13" a="1"/>
  <c r="M251" i="13" s="1"/>
  <c r="N251" i="13" s="1"/>
  <c r="M252" i="13" a="1"/>
  <c r="M252" i="13" s="1"/>
  <c r="N252" i="13" s="1"/>
  <c r="M253" i="13" a="1"/>
  <c r="M253" i="13" s="1"/>
  <c r="N253" i="13" s="1"/>
  <c r="M254" i="13" a="1"/>
  <c r="M254" i="13" s="1"/>
  <c r="N254" i="13" s="1"/>
  <c r="M255" i="13" a="1"/>
  <c r="M255" i="13" s="1"/>
  <c r="N255" i="13" s="1"/>
  <c r="M256" i="13" a="1"/>
  <c r="M256" i="13" s="1"/>
  <c r="N256" i="13" s="1"/>
  <c r="M257" i="13" a="1"/>
  <c r="M257" i="13" s="1"/>
  <c r="N257" i="13" s="1"/>
  <c r="M258" i="13" a="1"/>
  <c r="M258" i="13" s="1"/>
  <c r="N258" i="13" s="1"/>
  <c r="M259" i="13" a="1"/>
  <c r="M259" i="13" s="1"/>
  <c r="N259" i="13" s="1"/>
  <c r="M260" i="13" a="1"/>
  <c r="M260" i="13" s="1"/>
  <c r="N260" i="13" s="1"/>
  <c r="M261" i="13" a="1"/>
  <c r="M261" i="13" s="1"/>
  <c r="N261" i="13" s="1"/>
  <c r="M262" i="13" a="1"/>
  <c r="M262" i="13" s="1"/>
  <c r="N262" i="13" s="1"/>
  <c r="M263" i="13" a="1"/>
  <c r="M263" i="13" s="1"/>
  <c r="M264" i="13" a="1"/>
  <c r="M264" i="13" s="1"/>
  <c r="N264" i="13" s="1"/>
  <c r="M265" i="13" a="1"/>
  <c r="M265" i="13" s="1"/>
  <c r="N265" i="13" s="1"/>
  <c r="M266" i="13" a="1"/>
  <c r="M266" i="13" s="1"/>
  <c r="N266" i="13" s="1"/>
  <c r="M267" i="13" a="1"/>
  <c r="M267" i="13" s="1"/>
  <c r="N267" i="13" s="1"/>
  <c r="M268" i="13" a="1"/>
  <c r="M268" i="13" s="1"/>
  <c r="N268" i="13" s="1"/>
  <c r="M269" i="13" a="1"/>
  <c r="M269" i="13" s="1"/>
  <c r="N269" i="13" s="1"/>
  <c r="M270" i="13" a="1"/>
  <c r="M270" i="13" s="1"/>
  <c r="N270" i="13" s="1"/>
  <c r="M271" i="13" a="1"/>
  <c r="M271" i="13" s="1"/>
  <c r="N271" i="13" s="1"/>
  <c r="M272" i="13" a="1"/>
  <c r="M272" i="13" s="1"/>
  <c r="N272" i="13" s="1"/>
  <c r="M273" i="13" a="1"/>
  <c r="M273" i="13" s="1"/>
  <c r="N273" i="13" s="1"/>
  <c r="M274" i="13" a="1"/>
  <c r="M274" i="13" s="1"/>
  <c r="N274" i="13" s="1"/>
  <c r="M275" i="13" a="1"/>
  <c r="M275" i="13" s="1"/>
  <c r="N275" i="13" s="1"/>
  <c r="M276" i="13" a="1"/>
  <c r="M276" i="13" s="1"/>
  <c r="N276" i="13" s="1"/>
  <c r="M277" i="13" a="1"/>
  <c r="M277" i="13" s="1"/>
  <c r="N277" i="13" s="1"/>
  <c r="M278" i="13" a="1"/>
  <c r="M278" i="13" s="1"/>
  <c r="N278" i="13" s="1"/>
  <c r="M279" i="13" a="1"/>
  <c r="M279" i="13" s="1"/>
  <c r="N279" i="13" s="1"/>
  <c r="M280" i="13" a="1"/>
  <c r="M280" i="13" s="1"/>
  <c r="N280" i="13" s="1"/>
  <c r="M281" i="13" a="1"/>
  <c r="M281" i="13" s="1"/>
  <c r="N281" i="13" s="1"/>
  <c r="M282" i="13" a="1"/>
  <c r="M282" i="13" s="1"/>
  <c r="N282" i="13" s="1"/>
  <c r="M283" i="13" a="1"/>
  <c r="M283" i="13" s="1"/>
  <c r="N283" i="13" s="1"/>
  <c r="M284" i="13" a="1"/>
  <c r="M284" i="13" s="1"/>
  <c r="M285" i="13" a="1"/>
  <c r="M285" i="13" s="1"/>
  <c r="N285" i="13" s="1"/>
  <c r="M286" i="13" a="1"/>
  <c r="M286" i="13" s="1"/>
  <c r="N286" i="13" s="1"/>
  <c r="M287" i="13" a="1"/>
  <c r="M287" i="13" s="1"/>
  <c r="N287" i="13" s="1"/>
  <c r="M288" i="13" a="1"/>
  <c r="M288" i="13" s="1"/>
  <c r="N288" i="13" s="1"/>
  <c r="M289" i="13" a="1"/>
  <c r="M289" i="13" s="1"/>
  <c r="N289" i="13" s="1"/>
  <c r="M290" i="13" a="1"/>
  <c r="M290" i="13" s="1"/>
  <c r="N290" i="13" s="1"/>
  <c r="M291" i="13" a="1"/>
  <c r="M291" i="13" s="1"/>
  <c r="N291" i="13" s="1"/>
  <c r="M292" i="13" a="1"/>
  <c r="M292" i="13" s="1"/>
  <c r="M293" i="13" a="1"/>
  <c r="M293" i="13" s="1"/>
  <c r="N293" i="13" s="1"/>
  <c r="M294" i="13" a="1"/>
  <c r="M294" i="13" s="1"/>
  <c r="N294" i="13" s="1"/>
  <c r="M295" i="13" a="1"/>
  <c r="M295" i="13" s="1"/>
  <c r="N295" i="13" s="1"/>
  <c r="M296" i="13" a="1"/>
  <c r="M296" i="13" s="1"/>
  <c r="N296" i="13" s="1"/>
  <c r="M297" i="13" a="1"/>
  <c r="M297" i="13" s="1"/>
  <c r="M298" i="13" a="1"/>
  <c r="M298" i="13" s="1"/>
  <c r="N298" i="13" s="1"/>
  <c r="M299" i="13" a="1"/>
  <c r="M299" i="13" s="1"/>
  <c r="N299" i="13" s="1"/>
  <c r="M300" i="13" a="1"/>
  <c r="M300" i="13" s="1"/>
  <c r="N300" i="13" s="1"/>
  <c r="M301" i="13" a="1"/>
  <c r="M301" i="13" s="1"/>
  <c r="N301" i="13" s="1"/>
  <c r="M302" i="13" a="1"/>
  <c r="M302" i="13" s="1"/>
  <c r="N302" i="13" s="1"/>
  <c r="M303" i="13" a="1"/>
  <c r="M303" i="13" s="1"/>
  <c r="N303" i="13" s="1"/>
  <c r="M304" i="13" a="1"/>
  <c r="M304" i="13" s="1"/>
  <c r="N304" i="13" s="1"/>
  <c r="M305" i="13" a="1"/>
  <c r="M305" i="13" s="1"/>
  <c r="N305" i="13" s="1"/>
  <c r="M306" i="13" a="1"/>
  <c r="M306" i="13" s="1"/>
  <c r="N306" i="13" s="1"/>
  <c r="M307" i="13" a="1"/>
  <c r="M307" i="13" s="1"/>
  <c r="N307" i="13" s="1"/>
  <c r="M308" i="13" a="1"/>
  <c r="M308" i="13" s="1"/>
  <c r="N308" i="13" s="1"/>
  <c r="M309" i="13" a="1"/>
  <c r="M309" i="13" s="1"/>
  <c r="N309" i="13" s="1"/>
  <c r="M310" i="13" a="1"/>
  <c r="M310" i="13" s="1"/>
  <c r="N310" i="13" s="1"/>
  <c r="M311" i="13" a="1"/>
  <c r="M311" i="13" s="1"/>
  <c r="N311" i="13" s="1"/>
  <c r="M312" i="13" a="1"/>
  <c r="M312" i="13" s="1"/>
  <c r="N312" i="13" s="1"/>
  <c r="M313" i="13" a="1"/>
  <c r="M313" i="13" s="1"/>
  <c r="N313" i="13" s="1"/>
  <c r="M314" i="13" a="1"/>
  <c r="M314" i="13" s="1"/>
  <c r="N314" i="13" s="1"/>
  <c r="M315" i="13" a="1"/>
  <c r="M315" i="13" s="1"/>
  <c r="N315" i="13" s="1"/>
  <c r="M316" i="13" a="1"/>
  <c r="M316" i="13" s="1"/>
  <c r="N316" i="13" s="1"/>
  <c r="M317" i="13" a="1"/>
  <c r="M317" i="13" s="1"/>
  <c r="N317" i="13" s="1"/>
  <c r="M318" i="13" a="1"/>
  <c r="M318" i="13" s="1"/>
  <c r="N318" i="13" s="1"/>
  <c r="M319" i="13" a="1"/>
  <c r="M319" i="13" s="1"/>
  <c r="N319" i="13" s="1"/>
  <c r="M320" i="13" a="1"/>
  <c r="M320" i="13" s="1"/>
  <c r="N320" i="13" s="1"/>
  <c r="M321" i="13" a="1"/>
  <c r="M321" i="13" s="1"/>
  <c r="N321" i="13" s="1"/>
  <c r="M322" i="13" a="1"/>
  <c r="M322" i="13" s="1"/>
  <c r="N322" i="13" s="1"/>
  <c r="M323" i="13" a="1"/>
  <c r="M323" i="13" s="1"/>
  <c r="N323" i="13" s="1"/>
  <c r="M324" i="13" a="1"/>
  <c r="M324" i="13" s="1"/>
  <c r="N324" i="13" s="1"/>
  <c r="M325" i="13" a="1"/>
  <c r="M325" i="13" s="1"/>
  <c r="N325" i="13" s="1"/>
  <c r="M326" i="13" a="1"/>
  <c r="M326" i="13" s="1"/>
  <c r="N326" i="13" s="1"/>
  <c r="M327" i="13" a="1"/>
  <c r="M327" i="13" s="1"/>
  <c r="N327" i="13" s="1"/>
  <c r="M328" i="13" a="1"/>
  <c r="M328" i="13" s="1"/>
  <c r="N328" i="13" s="1"/>
  <c r="M329" i="13" a="1"/>
  <c r="M329" i="13" s="1"/>
  <c r="N329" i="13" s="1"/>
  <c r="M330" i="13" a="1"/>
  <c r="M330" i="13" s="1"/>
  <c r="N330" i="13" s="1"/>
  <c r="M331" i="13" a="1"/>
  <c r="M331" i="13" s="1"/>
  <c r="N331" i="13" s="1"/>
  <c r="M332" i="13" a="1"/>
  <c r="M332" i="13" s="1"/>
  <c r="N332" i="13" s="1"/>
  <c r="M333" i="13" a="1"/>
  <c r="M333" i="13" s="1"/>
  <c r="N333" i="13" s="1"/>
  <c r="M334" i="13" a="1"/>
  <c r="M334" i="13" s="1"/>
  <c r="N334" i="13" s="1"/>
  <c r="M335" i="13" a="1"/>
  <c r="M335" i="13" s="1"/>
  <c r="N335" i="13" s="1"/>
  <c r="M336" i="13" a="1"/>
  <c r="M336" i="13" s="1"/>
  <c r="M337" i="13" a="1"/>
  <c r="M337" i="13" s="1"/>
  <c r="N337" i="13" s="1"/>
  <c r="M338" i="13" a="1"/>
  <c r="M338" i="13" s="1"/>
  <c r="N338" i="13" s="1"/>
  <c r="M339" i="13" a="1"/>
  <c r="M339" i="13" s="1"/>
  <c r="N339" i="13" s="1"/>
  <c r="M340" i="13" a="1"/>
  <c r="M340" i="13" s="1"/>
  <c r="N340" i="13" s="1"/>
  <c r="M341" i="13" a="1"/>
  <c r="M341" i="13" s="1"/>
  <c r="N341" i="13" s="1"/>
  <c r="M342" i="13" a="1"/>
  <c r="M342" i="13" s="1"/>
  <c r="N342" i="13" s="1"/>
  <c r="M343" i="13" a="1"/>
  <c r="M343" i="13" s="1"/>
  <c r="N343" i="13" s="1"/>
  <c r="M344" i="13" a="1"/>
  <c r="M344" i="13" s="1"/>
  <c r="M345" i="13" a="1"/>
  <c r="M345" i="13" s="1"/>
  <c r="N345" i="13" s="1"/>
  <c r="M346" i="13" a="1"/>
  <c r="M346" i="13" s="1"/>
  <c r="N346" i="13" s="1"/>
  <c r="M347" i="13" a="1"/>
  <c r="M347" i="13" s="1"/>
  <c r="N347" i="13" s="1"/>
  <c r="M348" i="13" a="1"/>
  <c r="M348" i="13" s="1"/>
  <c r="N348" i="13" s="1"/>
  <c r="M349" i="13" a="1"/>
  <c r="M349" i="13" s="1"/>
  <c r="N349" i="13" s="1"/>
  <c r="M350" i="13" a="1"/>
  <c r="M350" i="13" s="1"/>
  <c r="N350" i="13" s="1"/>
  <c r="M351" i="13" a="1"/>
  <c r="M351" i="13" s="1"/>
  <c r="N351" i="13" s="1"/>
  <c r="M352" i="13" a="1"/>
  <c r="M352" i="13" s="1"/>
  <c r="N352" i="13" s="1"/>
  <c r="M353" i="13" a="1"/>
  <c r="M353" i="13" s="1"/>
  <c r="N353" i="13" s="1"/>
  <c r="M354" i="13" a="1"/>
  <c r="M354" i="13" s="1"/>
  <c r="N354" i="13" s="1"/>
  <c r="M355" i="13" a="1"/>
  <c r="M355" i="13"/>
  <c r="N355" i="13" s="1"/>
  <c r="M356" i="13" a="1"/>
  <c r="M356" i="13" s="1"/>
  <c r="N356" i="13" s="1"/>
  <c r="M357" i="13" a="1"/>
  <c r="M357" i="13" s="1"/>
  <c r="N357" i="13" s="1"/>
  <c r="M358" i="13" a="1"/>
  <c r="M358" i="13" s="1"/>
  <c r="N358" i="13" s="1"/>
  <c r="M359" i="13" a="1"/>
  <c r="M359" i="13" s="1"/>
  <c r="N359" i="13" s="1"/>
  <c r="M360" i="13" a="1"/>
  <c r="M360" i="13" s="1"/>
  <c r="N360" i="13" s="1"/>
  <c r="M361" i="13" a="1"/>
  <c r="M361" i="13" s="1"/>
  <c r="N361" i="13" s="1"/>
  <c r="M362" i="13" a="1"/>
  <c r="M362" i="13" s="1"/>
  <c r="N362" i="13" s="1"/>
  <c r="M363" i="13" a="1"/>
  <c r="M363" i="13" s="1"/>
  <c r="N363" i="13" s="1"/>
  <c r="M364" i="13" a="1"/>
  <c r="M364" i="13" s="1"/>
  <c r="N364" i="13" s="1"/>
  <c r="M365" i="13" a="1"/>
  <c r="M365" i="13" s="1"/>
  <c r="N365" i="13" s="1"/>
  <c r="M366" i="13" a="1"/>
  <c r="M366" i="13" s="1"/>
  <c r="N366" i="13" s="1"/>
  <c r="M367" i="13" a="1"/>
  <c r="M367" i="13" s="1"/>
  <c r="N367" i="13" s="1"/>
  <c r="M368" i="13" a="1"/>
  <c r="M368" i="13" s="1"/>
  <c r="N368" i="13" s="1"/>
  <c r="M369" i="13" a="1"/>
  <c r="M369" i="13" s="1"/>
  <c r="N369" i="13" s="1"/>
  <c r="M370" i="13" a="1"/>
  <c r="M370" i="13" s="1"/>
  <c r="N370" i="13" s="1"/>
  <c r="M371" i="13" a="1"/>
  <c r="M371" i="13" s="1"/>
  <c r="N371" i="13" s="1"/>
  <c r="M372" i="13" a="1"/>
  <c r="M372" i="13" s="1"/>
  <c r="N372" i="13" s="1"/>
  <c r="M373" i="13" a="1"/>
  <c r="M373" i="13" s="1"/>
  <c r="N373" i="13" s="1"/>
  <c r="M374" i="13" a="1"/>
  <c r="M374" i="13" s="1"/>
  <c r="N374" i="13" s="1"/>
  <c r="M375" i="13" a="1"/>
  <c r="M375" i="13" s="1"/>
  <c r="N375" i="13" s="1"/>
  <c r="M376" i="13" a="1"/>
  <c r="M376" i="13" s="1"/>
  <c r="N376" i="13" s="1"/>
  <c r="M377" i="13" a="1"/>
  <c r="M377" i="13" s="1"/>
  <c r="N377" i="13" s="1"/>
  <c r="M378" i="13" a="1"/>
  <c r="M378" i="13" s="1"/>
  <c r="N378" i="13" s="1"/>
  <c r="M379" i="13" a="1"/>
  <c r="M379" i="13" s="1"/>
  <c r="N379" i="13" s="1"/>
  <c r="M380" i="13" a="1"/>
  <c r="M380" i="13" s="1"/>
  <c r="N380" i="13" s="1"/>
  <c r="M381" i="13" a="1"/>
  <c r="M381" i="13" s="1"/>
  <c r="N381" i="13" s="1"/>
  <c r="M382" i="13" a="1"/>
  <c r="M382" i="13" s="1"/>
  <c r="N382" i="13" s="1"/>
  <c r="M383" i="13" a="1"/>
  <c r="M383" i="13" s="1"/>
  <c r="N383" i="13" s="1"/>
  <c r="M384" i="13" a="1"/>
  <c r="M384" i="13" s="1"/>
  <c r="N384" i="13" s="1"/>
  <c r="M385" i="13" a="1"/>
  <c r="M385" i="13" s="1"/>
  <c r="N385" i="13" s="1"/>
  <c r="M386" i="13" a="1"/>
  <c r="M386" i="13" s="1"/>
  <c r="N386" i="13" s="1"/>
  <c r="M387" i="13" a="1"/>
  <c r="M387" i="13" s="1"/>
  <c r="N387" i="13" s="1"/>
  <c r="M388" i="13" a="1"/>
  <c r="M388" i="13" s="1"/>
  <c r="N388" i="13" s="1"/>
  <c r="M389" i="13" a="1"/>
  <c r="M389" i="13" s="1"/>
  <c r="N389" i="13" s="1"/>
  <c r="M390" i="13" a="1"/>
  <c r="M390" i="13" s="1"/>
  <c r="N390" i="13" s="1"/>
  <c r="M391" i="13" a="1"/>
  <c r="M391" i="13" s="1"/>
  <c r="N391" i="13" s="1"/>
  <c r="M392" i="13" a="1"/>
  <c r="M392" i="13" s="1"/>
  <c r="N392" i="13" s="1"/>
  <c r="M393" i="13" a="1"/>
  <c r="M393" i="13" s="1"/>
  <c r="N393" i="13" s="1"/>
  <c r="M394" i="13" a="1"/>
  <c r="M394" i="13" s="1"/>
  <c r="N394" i="13" s="1"/>
  <c r="M395" i="13" a="1"/>
  <c r="M395" i="13" s="1"/>
  <c r="N395" i="13" s="1"/>
  <c r="M396" i="13" a="1"/>
  <c r="M396" i="13" s="1"/>
  <c r="N396" i="13" s="1"/>
  <c r="M397" i="13" a="1"/>
  <c r="M397" i="13" s="1"/>
  <c r="N397" i="13" s="1"/>
  <c r="M398" i="13" a="1"/>
  <c r="M398" i="13" s="1"/>
  <c r="N398" i="13" s="1"/>
  <c r="M399" i="13" a="1"/>
  <c r="M399" i="13" s="1"/>
  <c r="N399" i="13" s="1"/>
  <c r="M400" i="13" a="1"/>
  <c r="M400" i="13" s="1"/>
  <c r="N400" i="13" s="1"/>
  <c r="M401" i="13" a="1"/>
  <c r="M401" i="13" s="1"/>
  <c r="N401" i="13" s="1"/>
  <c r="M402" i="13" a="1"/>
  <c r="M402" i="13" s="1"/>
  <c r="N402" i="13" s="1"/>
  <c r="M403" i="13" a="1"/>
  <c r="M403" i="13" s="1"/>
  <c r="N403" i="13" s="1"/>
  <c r="M404" i="13" a="1"/>
  <c r="M404" i="13" s="1"/>
  <c r="N404" i="13" s="1"/>
  <c r="M405" i="13" a="1"/>
  <c r="M405" i="13" s="1"/>
  <c r="N405" i="13" s="1"/>
  <c r="M406" i="13" a="1"/>
  <c r="M406" i="13" s="1"/>
  <c r="N406" i="13" s="1"/>
  <c r="M407" i="13" a="1"/>
  <c r="M407" i="13" s="1"/>
  <c r="N407" i="13" s="1"/>
  <c r="M408" i="13" a="1"/>
  <c r="M408" i="13" s="1"/>
  <c r="N408" i="13" s="1"/>
  <c r="M409" i="13" a="1"/>
  <c r="M409" i="13" s="1"/>
  <c r="N409" i="13" s="1"/>
  <c r="M410" i="13" a="1"/>
  <c r="M410" i="13" s="1"/>
  <c r="N410" i="13" s="1"/>
  <c r="M411" i="13" a="1"/>
  <c r="M411" i="13" s="1"/>
  <c r="N411" i="13" s="1"/>
  <c r="M412" i="13" a="1"/>
  <c r="M412" i="13" s="1"/>
  <c r="N412" i="13" s="1"/>
  <c r="M413" i="13" a="1"/>
  <c r="M413" i="13" s="1"/>
  <c r="N413" i="13" s="1"/>
  <c r="M414" i="13" a="1"/>
  <c r="M414" i="13" s="1"/>
  <c r="M415" i="13" a="1"/>
  <c r="M415" i="13" s="1"/>
  <c r="N415" i="13" s="1"/>
  <c r="M416" i="13" a="1"/>
  <c r="M416" i="13" s="1"/>
  <c r="N416" i="13" s="1"/>
  <c r="M417" i="13" a="1"/>
  <c r="M417" i="13" s="1"/>
  <c r="N417" i="13" s="1"/>
  <c r="M418" i="13" a="1"/>
  <c r="M418" i="13" s="1"/>
  <c r="N418" i="13" s="1"/>
  <c r="M419" i="13" a="1"/>
  <c r="M419" i="13" s="1"/>
  <c r="N419" i="13" s="1"/>
  <c r="M420" i="13" a="1"/>
  <c r="M420" i="13" s="1"/>
  <c r="N420" i="13" s="1"/>
  <c r="M421" i="13" a="1"/>
  <c r="M421" i="13" s="1"/>
  <c r="N421" i="13" s="1"/>
  <c r="M422" i="13" a="1"/>
  <c r="M422" i="13" s="1"/>
  <c r="N422" i="13" s="1"/>
  <c r="M423" i="13" a="1"/>
  <c r="M423" i="13" s="1"/>
  <c r="N423" i="13" s="1"/>
  <c r="M424" i="13" a="1"/>
  <c r="M424" i="13" s="1"/>
  <c r="N424" i="13" s="1"/>
  <c r="M425" i="13" a="1"/>
  <c r="M425" i="13" s="1"/>
  <c r="N425" i="13" s="1"/>
  <c r="M426" i="13" a="1"/>
  <c r="M426" i="13" s="1"/>
  <c r="M427" i="13" a="1"/>
  <c r="M427" i="13" s="1"/>
  <c r="N427" i="13" s="1"/>
  <c r="M428" i="13" a="1"/>
  <c r="M428" i="13" s="1"/>
  <c r="N428" i="13" s="1"/>
  <c r="M429" i="13" a="1"/>
  <c r="M429" i="13" s="1"/>
  <c r="N429" i="13" s="1"/>
  <c r="M430" i="13" a="1"/>
  <c r="M430" i="13" s="1"/>
  <c r="N430" i="13" s="1"/>
  <c r="M431" i="13" a="1"/>
  <c r="M431" i="13" s="1"/>
  <c r="N431" i="13" s="1"/>
  <c r="M432" i="13" a="1"/>
  <c r="M432" i="13" s="1"/>
  <c r="N432" i="13" s="1"/>
  <c r="M433" i="13" a="1"/>
  <c r="M433" i="13" s="1"/>
  <c r="N433" i="13" s="1"/>
  <c r="M434" i="13" a="1"/>
  <c r="M434" i="13" s="1"/>
  <c r="N434" i="13" s="1"/>
  <c r="M435" i="13" a="1"/>
  <c r="M435" i="13" s="1"/>
  <c r="N435" i="13" s="1"/>
  <c r="M436" i="13" a="1"/>
  <c r="M436" i="13" s="1"/>
  <c r="M437" i="13" a="1"/>
  <c r="M437" i="13" s="1"/>
  <c r="N437" i="13" s="1"/>
  <c r="M438" i="13" a="1"/>
  <c r="M438" i="13" s="1"/>
  <c r="N438" i="13" s="1"/>
  <c r="M439" i="13" a="1"/>
  <c r="M439" i="13" s="1"/>
  <c r="N439" i="13" s="1"/>
  <c r="M440" i="13" a="1"/>
  <c r="M440" i="13" s="1"/>
  <c r="M441" i="13" a="1"/>
  <c r="M441" i="13" s="1"/>
  <c r="N441" i="13" s="1"/>
  <c r="M442" i="13" a="1"/>
  <c r="M442" i="13" s="1"/>
  <c r="N442" i="13" s="1"/>
  <c r="M443" i="13" a="1"/>
  <c r="M443" i="13" s="1"/>
  <c r="N443" i="13" s="1"/>
  <c r="M444" i="13" a="1"/>
  <c r="M444" i="13" s="1"/>
  <c r="N444" i="13" s="1"/>
  <c r="M445" i="13" a="1"/>
  <c r="M445" i="13" s="1"/>
  <c r="N445" i="13" s="1"/>
  <c r="M446" i="13" a="1"/>
  <c r="M446" i="13" s="1"/>
  <c r="N446" i="13" s="1"/>
  <c r="M447" i="13" a="1"/>
  <c r="M447" i="13" s="1"/>
  <c r="N447" i="13" s="1"/>
  <c r="M448" i="13" a="1"/>
  <c r="M448" i="13" s="1"/>
  <c r="N448" i="13" s="1"/>
  <c r="M449" i="13" a="1"/>
  <c r="M449" i="13" s="1"/>
  <c r="N449" i="13" s="1"/>
  <c r="M450" i="13" a="1"/>
  <c r="M450" i="13" s="1"/>
  <c r="N450" i="13" s="1"/>
  <c r="M451" i="13" a="1"/>
  <c r="M451" i="13" s="1"/>
  <c r="N451" i="13" s="1"/>
  <c r="M452" i="13" a="1"/>
  <c r="M452" i="13" s="1"/>
  <c r="N452" i="13" s="1"/>
  <c r="M453" i="13" a="1"/>
  <c r="M453" i="13" s="1"/>
  <c r="N453" i="13" s="1"/>
  <c r="M454" i="13" a="1"/>
  <c r="M454" i="13" s="1"/>
  <c r="N454" i="13" s="1"/>
  <c r="M455" i="13" a="1"/>
  <c r="M455" i="13" s="1"/>
  <c r="N455" i="13" s="1"/>
  <c r="M456" i="13" a="1"/>
  <c r="M456" i="13" s="1"/>
  <c r="N456" i="13" s="1"/>
  <c r="M457" i="13" a="1"/>
  <c r="M457" i="13" s="1"/>
  <c r="N457" i="13" s="1"/>
  <c r="M458" i="13" a="1"/>
  <c r="M458" i="13" s="1"/>
  <c r="N458" i="13" s="1"/>
  <c r="M459" i="13" a="1"/>
  <c r="M459" i="13" s="1"/>
  <c r="N459" i="13" s="1"/>
  <c r="M460" i="13" a="1"/>
  <c r="M460" i="13" s="1"/>
  <c r="N460" i="13" s="1"/>
  <c r="M461" i="13" a="1"/>
  <c r="M461" i="13" s="1"/>
  <c r="N461" i="13" s="1"/>
  <c r="M462" i="13" a="1"/>
  <c r="M462" i="13" s="1"/>
  <c r="N462" i="13" s="1"/>
  <c r="M463" i="13" a="1"/>
  <c r="M463" i="13" s="1"/>
  <c r="N463" i="13" s="1"/>
  <c r="M464" i="13" a="1"/>
  <c r="M464" i="13" s="1"/>
  <c r="N464" i="13" s="1"/>
  <c r="M465" i="13" a="1"/>
  <c r="M465" i="13" s="1"/>
  <c r="N465" i="13" s="1"/>
  <c r="M466" i="13" a="1"/>
  <c r="M466" i="13" s="1"/>
  <c r="N466" i="13" s="1"/>
  <c r="M467" i="13" a="1"/>
  <c r="M467" i="13" s="1"/>
  <c r="N467" i="13" s="1"/>
  <c r="M468" i="13" a="1"/>
  <c r="M468" i="13" s="1"/>
  <c r="N468" i="13" s="1"/>
  <c r="M469" i="13" a="1"/>
  <c r="M469" i="13" s="1"/>
  <c r="N469" i="13" s="1"/>
  <c r="M470" i="13" a="1"/>
  <c r="M470" i="13" s="1"/>
  <c r="N470" i="13" s="1"/>
  <c r="M471" i="13" a="1"/>
  <c r="M471" i="13" s="1"/>
  <c r="N471" i="13" s="1"/>
  <c r="M472" i="13" a="1"/>
  <c r="M472" i="13" s="1"/>
  <c r="N472" i="13" s="1"/>
  <c r="M473" i="13" a="1"/>
  <c r="M473" i="13" s="1"/>
  <c r="N473" i="13" s="1"/>
  <c r="M474" i="13" a="1"/>
  <c r="M474" i="13" s="1"/>
  <c r="N474" i="13" s="1"/>
  <c r="M475" i="13" a="1"/>
  <c r="M475" i="13" s="1"/>
  <c r="N475" i="13" s="1"/>
  <c r="M476" i="13" a="1"/>
  <c r="M476" i="13" s="1"/>
  <c r="N476" i="13" s="1"/>
  <c r="M477" i="13" a="1"/>
  <c r="M477" i="13" s="1"/>
  <c r="N477" i="13" s="1"/>
  <c r="M478" i="13" a="1"/>
  <c r="M478" i="13" s="1"/>
  <c r="N478" i="13" s="1"/>
  <c r="M479" i="13" a="1"/>
  <c r="M479" i="13" s="1"/>
  <c r="N479" i="13" s="1"/>
  <c r="M480" i="13" a="1"/>
  <c r="M480" i="13" s="1"/>
  <c r="M481" i="13" a="1"/>
  <c r="M481" i="13" s="1"/>
  <c r="N481" i="13" s="1"/>
  <c r="M482" i="13" a="1"/>
  <c r="M482" i="13" s="1"/>
  <c r="N482" i="13" s="1"/>
  <c r="M483" i="13" a="1"/>
  <c r="M483" i="13" s="1"/>
  <c r="N483" i="13" s="1"/>
  <c r="M484" i="13" a="1"/>
  <c r="M484" i="13" s="1"/>
  <c r="N484" i="13" s="1"/>
  <c r="M485" i="13" a="1"/>
  <c r="M485" i="13" s="1"/>
  <c r="N485" i="13" s="1"/>
  <c r="M486" i="13" a="1"/>
  <c r="M486" i="13" s="1"/>
  <c r="N486" i="13" s="1"/>
  <c r="M487" i="13" a="1"/>
  <c r="M487" i="13" s="1"/>
  <c r="N487" i="13" s="1"/>
  <c r="M488" i="13" a="1"/>
  <c r="M488" i="13" s="1"/>
  <c r="N488" i="13" s="1"/>
  <c r="M489" i="13" a="1"/>
  <c r="M489" i="13" s="1"/>
  <c r="N489" i="13" s="1"/>
  <c r="M490" i="13" a="1"/>
  <c r="M490" i="13" s="1"/>
  <c r="N490" i="13" s="1"/>
  <c r="M491" i="13" a="1"/>
  <c r="M491" i="13" s="1"/>
  <c r="N491" i="13" s="1"/>
  <c r="M492" i="13" a="1"/>
  <c r="M492" i="13" s="1"/>
  <c r="N492" i="13" s="1"/>
  <c r="M493" i="13" a="1"/>
  <c r="M493" i="13" s="1"/>
  <c r="N493" i="13" s="1"/>
  <c r="M494" i="13" a="1"/>
  <c r="M494" i="13" s="1"/>
  <c r="N494" i="13" s="1"/>
  <c r="M495" i="13" a="1"/>
  <c r="M495" i="13" s="1"/>
  <c r="N495" i="13" s="1"/>
  <c r="M496" i="13" a="1"/>
  <c r="M496" i="13"/>
  <c r="N496" i="13" s="1"/>
  <c r="M497" i="13" a="1"/>
  <c r="M497" i="13" s="1"/>
  <c r="N497" i="13" s="1"/>
  <c r="M498" i="13" a="1"/>
  <c r="M498" i="13" s="1"/>
  <c r="N498" i="13" s="1"/>
  <c r="M499" i="13" a="1"/>
  <c r="M499" i="13" s="1"/>
  <c r="N499" i="13" s="1"/>
  <c r="M500" i="13" a="1"/>
  <c r="M500" i="13" s="1"/>
  <c r="M501" i="13" a="1"/>
  <c r="M501" i="13" s="1"/>
  <c r="N501" i="13" s="1"/>
  <c r="M502" i="13" a="1"/>
  <c r="M502" i="13"/>
  <c r="N502" i="13" s="1"/>
  <c r="M503" i="13" a="1"/>
  <c r="M503" i="13" s="1"/>
  <c r="N503" i="13" s="1"/>
  <c r="M504" i="13" a="1"/>
  <c r="M504" i="13" s="1"/>
  <c r="N504" i="13" s="1"/>
  <c r="M505" i="13" a="1"/>
  <c r="M505" i="13" s="1"/>
  <c r="N505" i="13" s="1"/>
  <c r="M506" i="13" a="1"/>
  <c r="M506" i="13" s="1"/>
  <c r="N506" i="13" s="1"/>
  <c r="M507" i="13" a="1"/>
  <c r="M507" i="13" s="1"/>
  <c r="N507" i="13" s="1"/>
  <c r="N132" i="13"/>
  <c r="N133" i="13"/>
  <c r="N144" i="13"/>
  <c r="N145" i="13"/>
  <c r="N174" i="13"/>
  <c r="N184" i="13"/>
  <c r="N202" i="13"/>
  <c r="N224" i="13"/>
  <c r="N263" i="13"/>
  <c r="N284" i="13"/>
  <c r="N292" i="13"/>
  <c r="N297" i="13"/>
  <c r="N336" i="13"/>
  <c r="N344" i="13"/>
  <c r="N414" i="13"/>
  <c r="N426" i="13"/>
  <c r="N436" i="13"/>
  <c r="N440" i="13"/>
  <c r="N480" i="13"/>
  <c r="N500" i="13"/>
  <c r="J507" i="13"/>
  <c r="J506" i="13"/>
  <c r="J505" i="13"/>
  <c r="J504" i="13"/>
  <c r="J503" i="13"/>
  <c r="J502" i="13"/>
  <c r="J501" i="13"/>
  <c r="J500" i="13"/>
  <c r="J499" i="13"/>
  <c r="J498" i="13"/>
  <c r="J497" i="13"/>
  <c r="J496" i="13"/>
  <c r="J495" i="13"/>
  <c r="J494" i="13"/>
  <c r="J493" i="13"/>
  <c r="J492" i="13"/>
  <c r="J491" i="13"/>
  <c r="J490" i="13"/>
  <c r="J489" i="13"/>
  <c r="J488" i="13"/>
  <c r="J487" i="13"/>
  <c r="J486" i="13"/>
  <c r="J485" i="13"/>
  <c r="J484" i="13"/>
  <c r="J483" i="13"/>
  <c r="J482" i="13"/>
  <c r="J481" i="13"/>
  <c r="J480" i="13"/>
  <c r="J479" i="13"/>
  <c r="J478" i="13"/>
  <c r="J477" i="13"/>
  <c r="J476" i="13"/>
  <c r="J475" i="13"/>
  <c r="J474" i="13"/>
  <c r="J473" i="13"/>
  <c r="J472" i="13"/>
  <c r="J471" i="13"/>
  <c r="J470" i="13"/>
  <c r="J469" i="13"/>
  <c r="J468" i="13"/>
  <c r="J467" i="13"/>
  <c r="J466" i="13"/>
  <c r="J465" i="13"/>
  <c r="J464" i="13"/>
  <c r="J463" i="13"/>
  <c r="J462" i="13"/>
  <c r="J461" i="13"/>
  <c r="J460" i="13"/>
  <c r="J459" i="13"/>
  <c r="J458" i="13"/>
  <c r="J457" i="13"/>
  <c r="J456" i="13"/>
  <c r="J455" i="13"/>
  <c r="J454" i="13"/>
  <c r="J453" i="13"/>
  <c r="J452" i="13"/>
  <c r="J451" i="13"/>
  <c r="J450" i="13"/>
  <c r="J449" i="13"/>
  <c r="J448" i="13"/>
  <c r="J447" i="13"/>
  <c r="J446" i="13"/>
  <c r="J445" i="13"/>
  <c r="J444" i="13"/>
  <c r="J443" i="13"/>
  <c r="J442" i="13"/>
  <c r="J441" i="13"/>
  <c r="J440" i="13"/>
  <c r="J439" i="13"/>
  <c r="J438" i="13"/>
  <c r="J437" i="13"/>
  <c r="J436" i="13"/>
  <c r="J435" i="13"/>
  <c r="J434" i="13"/>
  <c r="J433" i="13"/>
  <c r="J432" i="13"/>
  <c r="J431" i="13"/>
  <c r="J430" i="13"/>
  <c r="J429" i="13"/>
  <c r="J428" i="13"/>
  <c r="J427" i="13"/>
  <c r="J426" i="13"/>
  <c r="J425" i="13"/>
  <c r="J424" i="13"/>
  <c r="J423" i="13"/>
  <c r="J422" i="13"/>
  <c r="J421" i="13"/>
  <c r="J420" i="13"/>
  <c r="J419" i="13"/>
  <c r="J418" i="13"/>
  <c r="J417" i="13"/>
  <c r="J416" i="13"/>
  <c r="J415" i="13"/>
  <c r="J414" i="13"/>
  <c r="J413" i="13"/>
  <c r="J412" i="13"/>
  <c r="J411" i="13"/>
  <c r="J410" i="13"/>
  <c r="J409" i="13"/>
  <c r="J408" i="13"/>
  <c r="J407" i="13"/>
  <c r="J406" i="13"/>
  <c r="J405" i="13"/>
  <c r="J404" i="13"/>
  <c r="J403" i="13"/>
  <c r="J402" i="13"/>
  <c r="J401" i="13"/>
  <c r="J400" i="13"/>
  <c r="J399" i="13"/>
  <c r="J398" i="13"/>
  <c r="J397" i="13"/>
  <c r="J396" i="13"/>
  <c r="J395" i="13"/>
  <c r="J394" i="13"/>
  <c r="J393" i="13"/>
  <c r="J392" i="13"/>
  <c r="J391" i="13"/>
  <c r="J390" i="13"/>
  <c r="J389" i="13"/>
  <c r="J388" i="13"/>
  <c r="J387" i="13"/>
  <c r="J386" i="13"/>
  <c r="J385" i="13"/>
  <c r="J384" i="13"/>
  <c r="J383" i="13"/>
  <c r="J382" i="13"/>
  <c r="J381" i="13"/>
  <c r="J380" i="13"/>
  <c r="J379" i="13"/>
  <c r="J378" i="13"/>
  <c r="J377" i="13"/>
  <c r="J376" i="13"/>
  <c r="J375" i="13"/>
  <c r="J374" i="13"/>
  <c r="J373" i="13"/>
  <c r="J372" i="13"/>
  <c r="J371" i="13"/>
  <c r="J370" i="13"/>
  <c r="J369" i="13"/>
  <c r="J368" i="13"/>
  <c r="J367" i="13"/>
  <c r="J366" i="13"/>
  <c r="J365" i="13"/>
  <c r="J364" i="13"/>
  <c r="J363" i="13"/>
  <c r="J362" i="13"/>
  <c r="J361" i="13"/>
  <c r="J360" i="13"/>
  <c r="J359" i="13"/>
  <c r="J358" i="13"/>
  <c r="J357" i="13"/>
  <c r="J356" i="13"/>
  <c r="J355" i="13"/>
  <c r="J354" i="13"/>
  <c r="J353" i="13"/>
  <c r="J352" i="13"/>
  <c r="J351" i="13"/>
  <c r="J350" i="13"/>
  <c r="J349" i="13"/>
  <c r="J348" i="13"/>
  <c r="J347" i="13"/>
  <c r="J346" i="13"/>
  <c r="J345" i="13"/>
  <c r="J344" i="13"/>
  <c r="J343" i="13"/>
  <c r="J342" i="13"/>
  <c r="J341" i="13"/>
  <c r="J340" i="13"/>
  <c r="J339" i="13"/>
  <c r="J338" i="13"/>
  <c r="J337" i="13"/>
  <c r="J336" i="13"/>
  <c r="J335" i="13"/>
  <c r="J334" i="13"/>
  <c r="J333" i="13"/>
  <c r="J332" i="13"/>
  <c r="J331" i="13"/>
  <c r="J330" i="13"/>
  <c r="J329" i="13"/>
  <c r="J328" i="13"/>
  <c r="J327" i="13"/>
  <c r="J326" i="13"/>
  <c r="J325" i="13"/>
  <c r="J324" i="13"/>
  <c r="J323" i="13"/>
  <c r="J322" i="13"/>
  <c r="J321" i="13"/>
  <c r="J320" i="13"/>
  <c r="J319" i="13"/>
  <c r="J318" i="13"/>
  <c r="J317" i="13"/>
  <c r="J316" i="13"/>
  <c r="J315" i="13"/>
  <c r="J314" i="13"/>
  <c r="J313" i="13"/>
  <c r="J312" i="13"/>
  <c r="J311" i="13"/>
  <c r="J310" i="13"/>
  <c r="J309" i="13"/>
  <c r="J308" i="13"/>
  <c r="J307" i="13"/>
  <c r="J306" i="13"/>
  <c r="J305" i="13"/>
  <c r="J304" i="13"/>
  <c r="J303" i="13"/>
  <c r="J302" i="13"/>
  <c r="J301" i="13"/>
  <c r="J300" i="13"/>
  <c r="J299" i="13"/>
  <c r="J298" i="13"/>
  <c r="J297" i="13"/>
  <c r="J296" i="13"/>
  <c r="J295" i="13"/>
  <c r="J294" i="13"/>
  <c r="J293" i="13"/>
  <c r="J292" i="13"/>
  <c r="J291" i="13"/>
  <c r="J290" i="13"/>
  <c r="J289" i="13"/>
  <c r="J288" i="13"/>
  <c r="J287" i="13"/>
  <c r="J286" i="13"/>
  <c r="J285" i="13"/>
  <c r="J284" i="13"/>
  <c r="J283" i="13"/>
  <c r="J282" i="13"/>
  <c r="J281" i="13"/>
  <c r="J280" i="13"/>
  <c r="J279" i="13"/>
  <c r="J278" i="13"/>
  <c r="J277" i="13"/>
  <c r="J276" i="13"/>
  <c r="J275" i="13"/>
  <c r="J274" i="13"/>
  <c r="J273" i="13"/>
  <c r="J272" i="13"/>
  <c r="J271" i="13"/>
  <c r="J270" i="13"/>
  <c r="J269" i="13"/>
  <c r="J268" i="13"/>
  <c r="J267" i="13"/>
  <c r="J266" i="13"/>
  <c r="J265" i="13"/>
  <c r="J264" i="13"/>
  <c r="J263" i="13"/>
  <c r="J262" i="13"/>
  <c r="J261" i="13"/>
  <c r="J260" i="13"/>
  <c r="J259" i="13"/>
  <c r="J258" i="13"/>
  <c r="J257" i="13"/>
  <c r="J256" i="13"/>
  <c r="J255" i="13"/>
  <c r="J254" i="13"/>
  <c r="J253" i="13"/>
  <c r="J252" i="13"/>
  <c r="J251" i="13"/>
  <c r="J250" i="13"/>
  <c r="J249" i="13"/>
  <c r="J248" i="13"/>
  <c r="J247" i="13"/>
  <c r="J246" i="13"/>
  <c r="J245" i="13"/>
  <c r="J244" i="13"/>
  <c r="J243" i="13"/>
  <c r="J242" i="13"/>
  <c r="J241" i="13"/>
  <c r="J240" i="13"/>
  <c r="J239" i="13"/>
  <c r="J238" i="13"/>
  <c r="J237" i="13"/>
  <c r="J236" i="13"/>
  <c r="J235" i="13"/>
  <c r="J234" i="13"/>
  <c r="J233" i="13"/>
  <c r="J232" i="13"/>
  <c r="J231" i="13"/>
  <c r="J230" i="13"/>
  <c r="J229" i="13"/>
  <c r="J228" i="13"/>
  <c r="J227" i="13"/>
  <c r="J226" i="13"/>
  <c r="J225" i="13"/>
  <c r="J224" i="13"/>
  <c r="J223" i="13"/>
  <c r="J222" i="13"/>
  <c r="J221" i="13"/>
  <c r="J220" i="13"/>
  <c r="J219" i="13"/>
  <c r="J218" i="13"/>
  <c r="J217" i="13"/>
  <c r="J216" i="13"/>
  <c r="J215" i="13"/>
  <c r="J214" i="13"/>
  <c r="J213" i="13"/>
  <c r="J212" i="13"/>
  <c r="J211" i="13"/>
  <c r="J210" i="13"/>
  <c r="J209" i="13"/>
  <c r="J208" i="13"/>
  <c r="J207" i="13"/>
  <c r="J206" i="13"/>
  <c r="J205" i="13"/>
  <c r="J204" i="13"/>
  <c r="J203" i="13"/>
  <c r="J202" i="13"/>
  <c r="J201" i="13"/>
  <c r="J200" i="13"/>
  <c r="J199" i="13"/>
  <c r="J198" i="13"/>
  <c r="J197" i="13"/>
  <c r="J196" i="13"/>
  <c r="J195" i="13"/>
  <c r="J194" i="13"/>
  <c r="J193" i="13"/>
  <c r="J192" i="13"/>
  <c r="J191" i="13"/>
  <c r="J190" i="13"/>
  <c r="J189" i="13"/>
  <c r="J188" i="13"/>
  <c r="J187" i="13"/>
  <c r="J186" i="13"/>
  <c r="J185" i="13"/>
  <c r="J184" i="13"/>
  <c r="J183" i="13"/>
  <c r="J182" i="13"/>
  <c r="J181" i="13"/>
  <c r="J180" i="13"/>
  <c r="J179" i="13"/>
  <c r="J178" i="13"/>
  <c r="J177" i="13"/>
  <c r="J176" i="13"/>
  <c r="J175" i="13"/>
  <c r="J174" i="13"/>
  <c r="J173" i="13"/>
  <c r="J172" i="13"/>
  <c r="J171" i="13"/>
  <c r="J170" i="13"/>
  <c r="J169" i="13"/>
  <c r="J168" i="13"/>
  <c r="J167" i="13"/>
  <c r="J166" i="13"/>
  <c r="J165" i="13"/>
  <c r="J164" i="13"/>
  <c r="J163" i="13"/>
  <c r="J162" i="13"/>
  <c r="J161" i="13"/>
  <c r="J160" i="13"/>
  <c r="J159" i="13"/>
  <c r="J158" i="13"/>
  <c r="J157" i="13"/>
  <c r="J156" i="13"/>
  <c r="J155" i="13"/>
  <c r="J154" i="13"/>
  <c r="J153" i="13"/>
  <c r="J152" i="13"/>
  <c r="J151" i="13"/>
  <c r="J150" i="13"/>
  <c r="J149" i="13"/>
  <c r="J148" i="13"/>
  <c r="J147" i="13"/>
  <c r="J146" i="13"/>
  <c r="J145" i="13"/>
  <c r="J144" i="13"/>
  <c r="J143" i="13"/>
  <c r="J142" i="13"/>
  <c r="J141" i="13"/>
  <c r="J140" i="13"/>
  <c r="J139" i="13"/>
  <c r="J138" i="13"/>
  <c r="J137" i="13"/>
  <c r="J136" i="13"/>
  <c r="J135" i="13"/>
  <c r="J134" i="13"/>
  <c r="J133" i="13"/>
  <c r="J132" i="13"/>
  <c r="J131" i="13"/>
  <c r="J130" i="13"/>
  <c r="J129" i="13"/>
  <c r="J128" i="13"/>
  <c r="J127" i="13"/>
  <c r="J126" i="13"/>
  <c r="J125" i="13"/>
  <c r="J124" i="13"/>
  <c r="J123" i="13"/>
  <c r="J122" i="13"/>
  <c r="J121" i="13"/>
  <c r="J120" i="13"/>
  <c r="J119" i="13"/>
  <c r="J118" i="13"/>
  <c r="J117" i="13"/>
  <c r="J116" i="13"/>
  <c r="J115" i="13"/>
  <c r="J114" i="13"/>
  <c r="J113" i="13"/>
  <c r="J112" i="13"/>
  <c r="J111" i="13"/>
  <c r="J110" i="13"/>
  <c r="J109" i="13"/>
  <c r="J108" i="13"/>
  <c r="J107" i="13"/>
  <c r="J106" i="13"/>
  <c r="J105" i="13"/>
  <c r="J104" i="13"/>
  <c r="J103" i="13"/>
  <c r="J102" i="13"/>
  <c r="J101" i="13"/>
  <c r="J100" i="13"/>
  <c r="J99" i="13"/>
  <c r="J98" i="13"/>
  <c r="J97" i="13"/>
  <c r="J96" i="13"/>
  <c r="J95" i="13"/>
  <c r="J94" i="13"/>
  <c r="J93" i="13"/>
  <c r="J92" i="13"/>
  <c r="J91" i="13"/>
  <c r="J90" i="13"/>
  <c r="J89" i="13"/>
  <c r="J88" i="13"/>
  <c r="J87" i="13"/>
  <c r="J86" i="13"/>
  <c r="J85" i="13"/>
  <c r="J84" i="13"/>
  <c r="J83" i="13"/>
  <c r="J82" i="13"/>
  <c r="J81" i="13"/>
  <c r="J80" i="13"/>
  <c r="J79" i="13"/>
  <c r="J78" i="13"/>
  <c r="J77" i="13"/>
  <c r="J76" i="13"/>
  <c r="J75" i="13"/>
  <c r="J74" i="13"/>
  <c r="J73" i="13"/>
  <c r="J72" i="13"/>
  <c r="J71" i="13"/>
  <c r="J70" i="13"/>
  <c r="J69" i="13"/>
  <c r="J68" i="13"/>
  <c r="J67" i="13"/>
  <c r="J66" i="13"/>
  <c r="J65" i="13"/>
  <c r="J64" i="13"/>
  <c r="J63" i="13"/>
  <c r="J62" i="13"/>
  <c r="J61" i="13"/>
  <c r="J60" i="13"/>
  <c r="J59" i="13"/>
  <c r="J58" i="13"/>
  <c r="J57" i="13"/>
  <c r="J56" i="13"/>
  <c r="J55" i="13"/>
  <c r="J54" i="13"/>
  <c r="J53" i="13"/>
  <c r="J52" i="13"/>
  <c r="J51" i="13"/>
  <c r="J50" i="13"/>
  <c r="J49" i="13"/>
  <c r="J48" i="13"/>
  <c r="J47" i="13"/>
  <c r="J46" i="13"/>
  <c r="J45" i="13"/>
  <c r="J44" i="13"/>
  <c r="J43" i="13"/>
  <c r="J42" i="13"/>
  <c r="J41" i="13"/>
  <c r="J40" i="13"/>
  <c r="J39" i="13"/>
  <c r="J38" i="13"/>
  <c r="J37" i="13"/>
  <c r="J36" i="13"/>
  <c r="J35" i="13"/>
  <c r="J34" i="13"/>
  <c r="J33" i="13"/>
  <c r="J32" i="13"/>
  <c r="J31" i="13"/>
  <c r="J30" i="13"/>
  <c r="J29" i="13"/>
  <c r="J28" i="13"/>
  <c r="J27" i="13"/>
  <c r="J26" i="13"/>
  <c r="J25" i="13"/>
  <c r="J24" i="13"/>
  <c r="J23" i="13"/>
  <c r="J22" i="13"/>
  <c r="J21" i="13"/>
  <c r="J20" i="13"/>
  <c r="J19" i="13"/>
  <c r="J18" i="13"/>
  <c r="J17" i="13"/>
  <c r="J16" i="13"/>
  <c r="J15" i="13"/>
  <c r="J14" i="13"/>
  <c r="J13" i="13"/>
  <c r="J12" i="13"/>
  <c r="J11" i="13"/>
  <c r="J10" i="13"/>
  <c r="J9" i="13"/>
  <c r="J8" i="13"/>
  <c r="J7" i="13"/>
  <c r="J6" i="13"/>
  <c r="J5" i="13"/>
  <c r="E2153" i="7"/>
  <c r="E1794" i="7"/>
  <c r="E1974" i="7"/>
  <c r="E1615" i="7"/>
  <c r="E1617" i="7"/>
  <c r="E1257" i="7"/>
  <c r="E1259" i="7"/>
  <c r="E1436" i="7"/>
  <c r="E1438" i="7"/>
  <c r="E1078" i="7"/>
  <c r="E1080" i="7"/>
  <c r="E899" i="7"/>
  <c r="E901" i="7"/>
  <c r="E541" i="7"/>
  <c r="E543" i="7"/>
  <c r="E544" i="7"/>
  <c r="E720" i="7"/>
  <c r="E722" i="7"/>
  <c r="E723" i="7"/>
  <c r="E362" i="7"/>
  <c r="E364" i="7"/>
  <c r="E365" i="7"/>
  <c r="E6" i="7"/>
  <c r="E7" i="7"/>
  <c r="E185" i="7"/>
  <c r="E186" i="7"/>
  <c r="F31" i="5"/>
  <c r="D20" i="3"/>
  <c r="E183" i="7" s="1"/>
  <c r="D19" i="3"/>
  <c r="E4" i="7" s="1"/>
  <c r="A51" i="4"/>
  <c r="F51" i="4" s="1"/>
  <c r="A48" i="4"/>
  <c r="F48" i="4" s="1"/>
  <c r="A41" i="4"/>
  <c r="A40" i="4"/>
  <c r="A39" i="4"/>
  <c r="A38" i="4"/>
  <c r="A37" i="4"/>
  <c r="A36" i="4"/>
  <c r="A35" i="4"/>
  <c r="A34" i="4"/>
  <c r="A33" i="4"/>
  <c r="A32" i="4"/>
  <c r="A31" i="4"/>
  <c r="A30" i="4"/>
  <c r="A22" i="4"/>
  <c r="A21" i="4"/>
  <c r="A20" i="4"/>
  <c r="A19" i="4"/>
  <c r="A18" i="4"/>
  <c r="A17" i="4"/>
  <c r="A16" i="4"/>
  <c r="A15" i="4"/>
  <c r="A14" i="4"/>
  <c r="A13" i="4"/>
  <c r="A12" i="4"/>
  <c r="A11" i="4"/>
  <c r="A10" i="4"/>
  <c r="A9" i="4"/>
  <c r="C1001" i="11"/>
  <c r="D1001" i="11"/>
  <c r="C1002" i="11"/>
  <c r="D1002" i="11"/>
  <c r="C1003" i="11"/>
  <c r="D1003" i="11"/>
  <c r="C1004" i="11"/>
  <c r="D1004" i="11"/>
  <c r="C1005" i="11"/>
  <c r="D1005" i="11"/>
  <c r="C1006" i="11"/>
  <c r="D1006" i="11"/>
  <c r="C1007" i="11"/>
  <c r="D1007" i="11"/>
  <c r="C1008" i="11"/>
  <c r="D1008" i="11"/>
  <c r="C1009" i="11"/>
  <c r="D1009" i="11"/>
  <c r="C1010" i="11"/>
  <c r="D1010" i="11"/>
  <c r="C1011" i="11"/>
  <c r="D1011" i="11"/>
  <c r="C1012" i="11"/>
  <c r="D1012" i="11"/>
  <c r="C1013" i="11"/>
  <c r="D1013" i="11"/>
  <c r="C1014" i="11"/>
  <c r="D1014" i="11"/>
  <c r="C1015" i="11"/>
  <c r="D1015" i="11"/>
  <c r="C1016" i="11"/>
  <c r="D1016" i="11"/>
  <c r="C1017" i="11"/>
  <c r="D1017" i="11"/>
  <c r="C1018" i="11"/>
  <c r="D1018" i="11"/>
  <c r="C1019" i="11"/>
  <c r="D1019" i="11"/>
  <c r="C1020" i="11"/>
  <c r="D1020" i="11"/>
  <c r="C1021" i="11"/>
  <c r="D1021" i="11"/>
  <c r="C1022" i="11"/>
  <c r="D1022" i="11"/>
  <c r="C1023" i="11"/>
  <c r="D1023" i="11"/>
  <c r="C1024" i="11"/>
  <c r="D1024" i="11"/>
  <c r="C1025" i="11"/>
  <c r="D1025" i="11"/>
  <c r="C1026" i="11"/>
  <c r="D1026" i="11"/>
  <c r="C1027" i="11"/>
  <c r="D1027" i="11"/>
  <c r="C1028" i="11"/>
  <c r="D1028" i="11"/>
  <c r="C1029" i="11"/>
  <c r="D1029" i="11"/>
  <c r="C1030" i="11"/>
  <c r="D1030" i="11"/>
  <c r="C1031" i="11"/>
  <c r="D1031" i="11"/>
  <c r="C1032" i="11"/>
  <c r="D1032" i="11"/>
  <c r="C1033" i="11"/>
  <c r="D1033" i="11"/>
  <c r="C1034" i="11"/>
  <c r="D1034" i="11"/>
  <c r="C1035" i="11"/>
  <c r="D1035" i="11"/>
  <c r="C1036" i="11"/>
  <c r="D1036" i="11"/>
  <c r="C1037" i="11"/>
  <c r="D1037" i="11"/>
  <c r="C1038" i="11"/>
  <c r="D1038" i="11"/>
  <c r="C1039" i="11"/>
  <c r="D1039" i="11"/>
  <c r="C1040" i="11"/>
  <c r="D1040" i="11"/>
  <c r="C1041" i="11"/>
  <c r="D1041" i="11"/>
  <c r="C1042" i="11"/>
  <c r="D1042" i="11"/>
  <c r="C1043" i="11"/>
  <c r="D1043" i="11"/>
  <c r="C1044" i="11"/>
  <c r="D1044" i="11"/>
  <c r="C1045" i="11"/>
  <c r="D1045" i="11"/>
  <c r="C1046" i="11"/>
  <c r="D1046" i="11"/>
  <c r="C1047" i="11"/>
  <c r="D1047" i="11"/>
  <c r="C1048" i="11"/>
  <c r="D1048" i="11"/>
  <c r="C1049" i="11"/>
  <c r="D1049" i="11"/>
  <c r="C1050" i="11"/>
  <c r="D1050" i="11"/>
  <c r="C1051" i="11"/>
  <c r="D1051" i="11"/>
  <c r="C1052" i="11"/>
  <c r="D1052" i="11"/>
  <c r="C1053" i="11"/>
  <c r="D1053" i="11"/>
  <c r="C1054" i="11"/>
  <c r="D1054" i="11"/>
  <c r="C1055" i="11"/>
  <c r="D1055" i="11"/>
  <c r="C1056" i="11"/>
  <c r="D1056" i="11"/>
  <c r="C1057" i="11"/>
  <c r="D1057" i="11"/>
  <c r="C1058" i="11"/>
  <c r="D1058" i="11"/>
  <c r="C1059" i="11"/>
  <c r="D1059" i="11"/>
  <c r="C1060" i="11"/>
  <c r="D1060" i="11"/>
  <c r="C1061" i="11"/>
  <c r="D1061" i="11"/>
  <c r="C1062" i="11"/>
  <c r="D1062" i="11"/>
  <c r="C1063" i="11"/>
  <c r="D1063" i="11"/>
  <c r="C1064" i="11"/>
  <c r="D1064" i="11"/>
  <c r="C1065" i="11"/>
  <c r="D1065" i="11"/>
  <c r="C1066" i="11"/>
  <c r="D1066" i="11"/>
  <c r="C1067" i="11"/>
  <c r="D1067" i="11"/>
  <c r="C1068" i="11"/>
  <c r="D1068" i="11"/>
  <c r="C1069" i="11"/>
  <c r="D1069" i="11"/>
  <c r="C1070" i="11"/>
  <c r="D1070" i="11"/>
  <c r="C1071" i="11"/>
  <c r="D1071" i="11"/>
  <c r="C1072" i="11"/>
  <c r="D1072" i="11"/>
  <c r="C1073" i="11"/>
  <c r="D1073" i="11"/>
  <c r="C1074" i="11"/>
  <c r="D1074" i="11"/>
  <c r="C1075" i="11"/>
  <c r="D1075" i="11"/>
  <c r="C1076" i="11"/>
  <c r="D1076" i="11"/>
  <c r="C1077" i="11"/>
  <c r="D1077" i="11"/>
  <c r="C989" i="11"/>
  <c r="D989" i="11"/>
  <c r="C990" i="11"/>
  <c r="D990" i="11"/>
  <c r="C991" i="11"/>
  <c r="D991" i="11"/>
  <c r="C992" i="11"/>
  <c r="D992" i="11"/>
  <c r="C993" i="11"/>
  <c r="D993" i="11"/>
  <c r="C994" i="11"/>
  <c r="D994" i="11"/>
  <c r="C995" i="11"/>
  <c r="D995" i="11"/>
  <c r="C996" i="11"/>
  <c r="D996" i="11"/>
  <c r="C997" i="11"/>
  <c r="D997" i="11"/>
  <c r="C998" i="11"/>
  <c r="D998" i="11"/>
  <c r="C999" i="11"/>
  <c r="D999" i="11"/>
  <c r="C1000" i="11"/>
  <c r="D1000" i="11"/>
  <c r="C895" i="11"/>
  <c r="D895" i="11"/>
  <c r="C896" i="11"/>
  <c r="D896" i="11"/>
  <c r="C897" i="11"/>
  <c r="D897" i="11"/>
  <c r="C898" i="11"/>
  <c r="D898" i="11"/>
  <c r="C899" i="11"/>
  <c r="D899" i="11"/>
  <c r="C900" i="11"/>
  <c r="D900" i="11"/>
  <c r="I900" i="11"/>
  <c r="C901" i="11"/>
  <c r="D901" i="11"/>
  <c r="E901" i="11"/>
  <c r="C902" i="11"/>
  <c r="D902" i="11"/>
  <c r="C903" i="11"/>
  <c r="D903" i="11"/>
  <c r="C904" i="11"/>
  <c r="D904" i="11"/>
  <c r="C905" i="11"/>
  <c r="D905" i="11"/>
  <c r="C906" i="11"/>
  <c r="D906" i="11"/>
  <c r="C907" i="11"/>
  <c r="D907" i="11"/>
  <c r="C908" i="11"/>
  <c r="D908" i="11"/>
  <c r="C909" i="11"/>
  <c r="D909" i="11"/>
  <c r="C910" i="11"/>
  <c r="D910" i="11"/>
  <c r="C911" i="11"/>
  <c r="D911" i="11"/>
  <c r="C912" i="11"/>
  <c r="D912" i="11"/>
  <c r="C913" i="11"/>
  <c r="D913" i="11"/>
  <c r="C914" i="11"/>
  <c r="D914" i="11"/>
  <c r="C915" i="11"/>
  <c r="D915" i="11"/>
  <c r="C916" i="11"/>
  <c r="D916" i="11"/>
  <c r="C917" i="11"/>
  <c r="D917" i="11"/>
  <c r="C918" i="11"/>
  <c r="D918" i="11"/>
  <c r="C919" i="11"/>
  <c r="D919" i="11"/>
  <c r="C920" i="11"/>
  <c r="D920" i="11"/>
  <c r="C921" i="11"/>
  <c r="D921" i="11"/>
  <c r="C922" i="11"/>
  <c r="D922" i="11"/>
  <c r="C923" i="11"/>
  <c r="D923" i="11"/>
  <c r="C924" i="11"/>
  <c r="D924" i="11"/>
  <c r="C925" i="11"/>
  <c r="D925" i="11"/>
  <c r="C926" i="11"/>
  <c r="D926" i="11"/>
  <c r="C927" i="11"/>
  <c r="D927" i="11"/>
  <c r="C928" i="11"/>
  <c r="D928" i="11"/>
  <c r="C929" i="11"/>
  <c r="D929" i="11"/>
  <c r="C930" i="11"/>
  <c r="D930" i="11"/>
  <c r="C931" i="11"/>
  <c r="D931" i="11"/>
  <c r="C932" i="11"/>
  <c r="D932" i="11"/>
  <c r="C933" i="11"/>
  <c r="D933" i="11"/>
  <c r="C934" i="11"/>
  <c r="D934" i="11"/>
  <c r="C935" i="11"/>
  <c r="D935" i="11"/>
  <c r="C936" i="11"/>
  <c r="D936" i="11"/>
  <c r="C937" i="11"/>
  <c r="D937" i="11"/>
  <c r="C938" i="11"/>
  <c r="D938" i="11"/>
  <c r="C939" i="11"/>
  <c r="D939" i="11"/>
  <c r="C940" i="11"/>
  <c r="D940" i="11"/>
  <c r="C941" i="11"/>
  <c r="D941" i="11"/>
  <c r="C942" i="11"/>
  <c r="D942" i="11"/>
  <c r="C943" i="11"/>
  <c r="D943" i="11"/>
  <c r="C944" i="11"/>
  <c r="D944" i="11"/>
  <c r="C945" i="11"/>
  <c r="D945" i="11"/>
  <c r="C946" i="11"/>
  <c r="D946" i="11"/>
  <c r="C947" i="11"/>
  <c r="D947" i="11"/>
  <c r="C948" i="11"/>
  <c r="D948" i="11"/>
  <c r="C949" i="11"/>
  <c r="D949" i="11"/>
  <c r="C950" i="11"/>
  <c r="D950" i="11"/>
  <c r="C951" i="11"/>
  <c r="D951" i="11"/>
  <c r="C952" i="11"/>
  <c r="D952" i="11"/>
  <c r="C953" i="11"/>
  <c r="D953" i="11"/>
  <c r="C954" i="11"/>
  <c r="D954" i="11"/>
  <c r="C955" i="11"/>
  <c r="D955" i="11"/>
  <c r="C956" i="11"/>
  <c r="D956" i="11"/>
  <c r="C957" i="11"/>
  <c r="D957" i="11"/>
  <c r="C958" i="11"/>
  <c r="D958" i="11"/>
  <c r="C959" i="11"/>
  <c r="D959" i="11"/>
  <c r="C960" i="11"/>
  <c r="D960" i="11"/>
  <c r="C961" i="11"/>
  <c r="D961" i="11"/>
  <c r="C962" i="11"/>
  <c r="D962" i="11"/>
  <c r="C963" i="11"/>
  <c r="D963" i="11"/>
  <c r="C964" i="11"/>
  <c r="D964" i="11"/>
  <c r="C965" i="11"/>
  <c r="D965" i="11"/>
  <c r="C966" i="11"/>
  <c r="D966" i="11"/>
  <c r="C967" i="11"/>
  <c r="D967" i="11"/>
  <c r="C968" i="11"/>
  <c r="D968" i="11"/>
  <c r="C969" i="11"/>
  <c r="D969" i="11"/>
  <c r="C970" i="11"/>
  <c r="D970" i="11"/>
  <c r="C971" i="11"/>
  <c r="D971" i="11"/>
  <c r="C972" i="11"/>
  <c r="D972" i="11"/>
  <c r="C973" i="11"/>
  <c r="D973" i="11"/>
  <c r="C974" i="11"/>
  <c r="D974" i="11"/>
  <c r="C975" i="11"/>
  <c r="D975" i="11"/>
  <c r="C976" i="11"/>
  <c r="D976" i="11"/>
  <c r="C977" i="11"/>
  <c r="D977" i="11"/>
  <c r="C978" i="11"/>
  <c r="D978" i="11"/>
  <c r="C979" i="11"/>
  <c r="D979" i="11"/>
  <c r="C980" i="11"/>
  <c r="D980" i="11"/>
  <c r="C981" i="11"/>
  <c r="D981" i="11"/>
  <c r="C982" i="11"/>
  <c r="D982" i="11"/>
  <c r="C983" i="11"/>
  <c r="D983" i="11"/>
  <c r="C984" i="11"/>
  <c r="D984" i="11"/>
  <c r="C985" i="11"/>
  <c r="D985" i="11"/>
  <c r="C986" i="11"/>
  <c r="D986" i="11"/>
  <c r="C987" i="11"/>
  <c r="D987" i="11"/>
  <c r="C988" i="11"/>
  <c r="D988" i="11"/>
  <c r="C801" i="11"/>
  <c r="D801" i="11"/>
  <c r="C802" i="11"/>
  <c r="D802" i="11"/>
  <c r="C803" i="11"/>
  <c r="D803" i="11"/>
  <c r="C804" i="11"/>
  <c r="D804" i="11"/>
  <c r="C805" i="11"/>
  <c r="D805" i="11"/>
  <c r="C806" i="11"/>
  <c r="D806" i="11"/>
  <c r="C807" i="11"/>
  <c r="D807" i="11"/>
  <c r="C808" i="11"/>
  <c r="D808" i="11"/>
  <c r="C809" i="11"/>
  <c r="D809" i="11"/>
  <c r="C810" i="11"/>
  <c r="D810" i="11"/>
  <c r="C811" i="11"/>
  <c r="D811" i="11"/>
  <c r="C812" i="11"/>
  <c r="D812" i="11"/>
  <c r="C813" i="11"/>
  <c r="D813" i="11"/>
  <c r="C814" i="11"/>
  <c r="D814" i="11"/>
  <c r="C815" i="11"/>
  <c r="D815" i="11"/>
  <c r="C816" i="11"/>
  <c r="D816" i="11"/>
  <c r="C817" i="11"/>
  <c r="D817" i="11"/>
  <c r="C818" i="11"/>
  <c r="D818" i="11"/>
  <c r="C819" i="11"/>
  <c r="D819" i="11"/>
  <c r="C820" i="11"/>
  <c r="D820" i="11"/>
  <c r="C821" i="11"/>
  <c r="D821" i="11"/>
  <c r="C822" i="11"/>
  <c r="D822" i="11"/>
  <c r="C823" i="11"/>
  <c r="D823" i="11"/>
  <c r="C824" i="11"/>
  <c r="D824" i="11"/>
  <c r="C825" i="11"/>
  <c r="D825" i="11"/>
  <c r="C826" i="11"/>
  <c r="D826" i="11"/>
  <c r="C827" i="11"/>
  <c r="D827" i="11"/>
  <c r="C828" i="11"/>
  <c r="D828" i="11"/>
  <c r="C829" i="11"/>
  <c r="D829" i="11"/>
  <c r="C830" i="11"/>
  <c r="D830" i="11"/>
  <c r="C831" i="11"/>
  <c r="D831" i="11"/>
  <c r="C832" i="11"/>
  <c r="D832" i="11"/>
  <c r="C833" i="11"/>
  <c r="D833" i="11"/>
  <c r="C834" i="11"/>
  <c r="D834" i="11"/>
  <c r="C835" i="11"/>
  <c r="D835" i="11"/>
  <c r="C836" i="11"/>
  <c r="D836" i="11"/>
  <c r="C837" i="11"/>
  <c r="D837" i="11"/>
  <c r="C838" i="11"/>
  <c r="D838" i="11"/>
  <c r="C839" i="11"/>
  <c r="D839" i="11"/>
  <c r="C840" i="11"/>
  <c r="D840" i="11"/>
  <c r="C841" i="11"/>
  <c r="D841" i="11"/>
  <c r="C842" i="11"/>
  <c r="D842" i="11"/>
  <c r="C843" i="11"/>
  <c r="D843" i="11"/>
  <c r="C844" i="11"/>
  <c r="D844" i="11"/>
  <c r="C845" i="11"/>
  <c r="D845" i="11"/>
  <c r="C846" i="11"/>
  <c r="D846" i="11"/>
  <c r="C847" i="11"/>
  <c r="D847" i="11"/>
  <c r="C848" i="11"/>
  <c r="D848" i="11"/>
  <c r="C849" i="11"/>
  <c r="D849" i="11"/>
  <c r="C850" i="11"/>
  <c r="D850" i="11"/>
  <c r="C851" i="11"/>
  <c r="D851" i="11"/>
  <c r="C852" i="11"/>
  <c r="D852" i="11"/>
  <c r="C853" i="11"/>
  <c r="D853" i="11"/>
  <c r="C854" i="11"/>
  <c r="D854" i="11"/>
  <c r="C855" i="11"/>
  <c r="D855" i="11"/>
  <c r="C856" i="11"/>
  <c r="D856" i="11"/>
  <c r="C857" i="11"/>
  <c r="D857" i="11"/>
  <c r="C858" i="11"/>
  <c r="D858" i="11"/>
  <c r="C859" i="11"/>
  <c r="D859" i="11"/>
  <c r="C860" i="11"/>
  <c r="D860" i="11"/>
  <c r="C861" i="11"/>
  <c r="D861" i="11"/>
  <c r="C862" i="11"/>
  <c r="D862" i="11"/>
  <c r="C863" i="11"/>
  <c r="D863" i="11"/>
  <c r="C864" i="11"/>
  <c r="D864" i="11"/>
  <c r="C865" i="11"/>
  <c r="D865" i="11"/>
  <c r="C866" i="11"/>
  <c r="D866" i="11"/>
  <c r="C867" i="11"/>
  <c r="D867" i="11"/>
  <c r="C868" i="11"/>
  <c r="D868" i="11"/>
  <c r="C869" i="11"/>
  <c r="D869" i="11"/>
  <c r="C870" i="11"/>
  <c r="D870" i="11"/>
  <c r="C871" i="11"/>
  <c r="D871" i="11"/>
  <c r="C872" i="11"/>
  <c r="D872" i="11"/>
  <c r="C873" i="11"/>
  <c r="D873" i="11"/>
  <c r="C874" i="11"/>
  <c r="D874" i="11"/>
  <c r="C875" i="11"/>
  <c r="D875" i="11"/>
  <c r="C876" i="11"/>
  <c r="D876" i="11"/>
  <c r="C877" i="11"/>
  <c r="D877" i="11"/>
  <c r="C878" i="11"/>
  <c r="D878" i="11"/>
  <c r="C879" i="11"/>
  <c r="D879" i="11"/>
  <c r="C880" i="11"/>
  <c r="D880" i="11"/>
  <c r="C881" i="11"/>
  <c r="D881" i="11"/>
  <c r="C882" i="11"/>
  <c r="D882" i="11"/>
  <c r="C883" i="11"/>
  <c r="D883" i="11"/>
  <c r="C884" i="11"/>
  <c r="D884" i="11"/>
  <c r="C885" i="11"/>
  <c r="D885" i="11"/>
  <c r="C886" i="11"/>
  <c r="D886" i="11"/>
  <c r="C887" i="11"/>
  <c r="D887" i="11"/>
  <c r="C888" i="11"/>
  <c r="D888" i="11"/>
  <c r="C889" i="11"/>
  <c r="D889" i="11"/>
  <c r="C890" i="11"/>
  <c r="D890" i="11"/>
  <c r="C891" i="11"/>
  <c r="D891" i="11"/>
  <c r="C892" i="11"/>
  <c r="D892" i="11"/>
  <c r="C893" i="11"/>
  <c r="D893" i="11"/>
  <c r="C894" i="11"/>
  <c r="D894" i="11"/>
  <c r="C789" i="11"/>
  <c r="D789" i="11"/>
  <c r="C790" i="11"/>
  <c r="D790" i="11"/>
  <c r="C791" i="11"/>
  <c r="D791" i="11"/>
  <c r="C792" i="11"/>
  <c r="D792" i="11"/>
  <c r="C793" i="11"/>
  <c r="D793" i="11"/>
  <c r="C794" i="11"/>
  <c r="D794" i="11"/>
  <c r="C795" i="11"/>
  <c r="D795" i="11"/>
  <c r="C796" i="11"/>
  <c r="D796" i="11"/>
  <c r="C797" i="11"/>
  <c r="D797" i="11"/>
  <c r="C798" i="11"/>
  <c r="D798" i="11"/>
  <c r="C799" i="11"/>
  <c r="D799" i="11"/>
  <c r="C800" i="11"/>
  <c r="D800" i="11"/>
  <c r="C695" i="11"/>
  <c r="D695" i="11"/>
  <c r="C696" i="11"/>
  <c r="D696" i="11"/>
  <c r="C697" i="11"/>
  <c r="D697" i="11"/>
  <c r="C698" i="11"/>
  <c r="D698" i="11"/>
  <c r="C699" i="11"/>
  <c r="D699" i="11"/>
  <c r="C700" i="11"/>
  <c r="D700" i="11"/>
  <c r="C701" i="11"/>
  <c r="D701" i="11"/>
  <c r="C702" i="11"/>
  <c r="D702" i="11"/>
  <c r="C703" i="11"/>
  <c r="D703" i="11"/>
  <c r="C704" i="11"/>
  <c r="D704" i="11"/>
  <c r="C705" i="11"/>
  <c r="D705" i="11"/>
  <c r="C706" i="11"/>
  <c r="D706" i="11"/>
  <c r="C707" i="11"/>
  <c r="D707" i="11"/>
  <c r="C708" i="11"/>
  <c r="D708" i="11"/>
  <c r="C709" i="11"/>
  <c r="D709" i="11"/>
  <c r="C710" i="11"/>
  <c r="D710" i="11"/>
  <c r="C711" i="11"/>
  <c r="D711" i="11"/>
  <c r="C712" i="11"/>
  <c r="D712" i="11"/>
  <c r="C713" i="11"/>
  <c r="D713" i="11"/>
  <c r="C714" i="11"/>
  <c r="D714" i="11"/>
  <c r="C715" i="11"/>
  <c r="D715" i="11"/>
  <c r="C716" i="11"/>
  <c r="D716" i="11"/>
  <c r="C717" i="11"/>
  <c r="D717" i="11"/>
  <c r="C718" i="11"/>
  <c r="D718" i="11"/>
  <c r="C719" i="11"/>
  <c r="D719" i="11"/>
  <c r="C720" i="11"/>
  <c r="D720" i="11"/>
  <c r="C721" i="11"/>
  <c r="D721" i="11"/>
  <c r="I721" i="11"/>
  <c r="C722" i="11"/>
  <c r="D722" i="11"/>
  <c r="E722" i="11"/>
  <c r="C723" i="11"/>
  <c r="D723" i="11"/>
  <c r="C724" i="11"/>
  <c r="D724" i="11"/>
  <c r="C725" i="11"/>
  <c r="D725" i="11"/>
  <c r="C726" i="11"/>
  <c r="D726" i="11"/>
  <c r="C727" i="11"/>
  <c r="D727" i="11"/>
  <c r="C728" i="11"/>
  <c r="D728" i="11"/>
  <c r="C729" i="11"/>
  <c r="D729" i="11"/>
  <c r="C730" i="11"/>
  <c r="D730" i="11"/>
  <c r="C731" i="11"/>
  <c r="D731" i="11"/>
  <c r="C732" i="11"/>
  <c r="D732" i="11"/>
  <c r="C733" i="11"/>
  <c r="D733" i="11"/>
  <c r="C734" i="11"/>
  <c r="D734" i="11"/>
  <c r="C735" i="11"/>
  <c r="D735" i="11"/>
  <c r="C736" i="11"/>
  <c r="D736" i="11"/>
  <c r="C737" i="11"/>
  <c r="D737" i="11"/>
  <c r="C738" i="11"/>
  <c r="D738" i="11"/>
  <c r="C739" i="11"/>
  <c r="D739" i="11"/>
  <c r="C740" i="11"/>
  <c r="D740" i="11"/>
  <c r="C741" i="11"/>
  <c r="D741" i="11"/>
  <c r="C742" i="11"/>
  <c r="D742" i="11"/>
  <c r="C743" i="11"/>
  <c r="D743" i="11"/>
  <c r="C744" i="11"/>
  <c r="D744" i="11"/>
  <c r="C745" i="11"/>
  <c r="D745" i="11"/>
  <c r="C746" i="11"/>
  <c r="D746" i="11"/>
  <c r="C747" i="11"/>
  <c r="D747" i="11"/>
  <c r="C748" i="11"/>
  <c r="D748" i="11"/>
  <c r="C749" i="11"/>
  <c r="D749" i="11"/>
  <c r="C750" i="11"/>
  <c r="D750" i="11"/>
  <c r="C751" i="11"/>
  <c r="D751" i="11"/>
  <c r="C752" i="11"/>
  <c r="D752" i="11"/>
  <c r="C753" i="11"/>
  <c r="D753" i="11"/>
  <c r="C754" i="11"/>
  <c r="D754" i="11"/>
  <c r="C755" i="11"/>
  <c r="D755" i="11"/>
  <c r="C756" i="11"/>
  <c r="D756" i="11"/>
  <c r="C757" i="11"/>
  <c r="D757" i="11"/>
  <c r="C758" i="11"/>
  <c r="D758" i="11"/>
  <c r="C759" i="11"/>
  <c r="D759" i="11"/>
  <c r="C760" i="11"/>
  <c r="D760" i="11"/>
  <c r="C761" i="11"/>
  <c r="D761" i="11"/>
  <c r="C762" i="11"/>
  <c r="D762" i="11"/>
  <c r="C763" i="11"/>
  <c r="D763" i="11"/>
  <c r="C764" i="11"/>
  <c r="D764" i="11"/>
  <c r="C765" i="11"/>
  <c r="D765" i="11"/>
  <c r="C766" i="11"/>
  <c r="D766" i="11"/>
  <c r="C767" i="11"/>
  <c r="D767" i="11"/>
  <c r="C768" i="11"/>
  <c r="D768" i="11"/>
  <c r="C769" i="11"/>
  <c r="D769" i="11"/>
  <c r="C770" i="11"/>
  <c r="D770" i="11"/>
  <c r="C771" i="11"/>
  <c r="D771" i="11"/>
  <c r="C772" i="11"/>
  <c r="D772" i="11"/>
  <c r="C773" i="11"/>
  <c r="D773" i="11"/>
  <c r="C774" i="11"/>
  <c r="D774" i="11"/>
  <c r="C775" i="11"/>
  <c r="D775" i="11"/>
  <c r="C776" i="11"/>
  <c r="D776" i="11"/>
  <c r="C777" i="11"/>
  <c r="D777" i="11"/>
  <c r="C778" i="11"/>
  <c r="D778" i="11"/>
  <c r="C779" i="11"/>
  <c r="D779" i="11"/>
  <c r="C780" i="11"/>
  <c r="D780" i="11"/>
  <c r="C781" i="11"/>
  <c r="D781" i="11"/>
  <c r="C782" i="11"/>
  <c r="D782" i="11"/>
  <c r="C783" i="11"/>
  <c r="D783" i="11"/>
  <c r="C784" i="11"/>
  <c r="D784" i="11"/>
  <c r="C785" i="11"/>
  <c r="D785" i="11"/>
  <c r="C786" i="11"/>
  <c r="D786" i="11"/>
  <c r="C787" i="11"/>
  <c r="D787" i="11"/>
  <c r="C788" i="11"/>
  <c r="D788" i="11"/>
  <c r="C601" i="11"/>
  <c r="D601" i="11"/>
  <c r="C602" i="11"/>
  <c r="D602" i="11"/>
  <c r="C603" i="11"/>
  <c r="D603" i="11"/>
  <c r="C604" i="11"/>
  <c r="D604" i="11"/>
  <c r="C605" i="11"/>
  <c r="D605" i="11"/>
  <c r="C606" i="11"/>
  <c r="D606" i="11"/>
  <c r="C607" i="11"/>
  <c r="D607" i="11"/>
  <c r="C608" i="11"/>
  <c r="D608" i="11"/>
  <c r="C609" i="11"/>
  <c r="D609" i="11"/>
  <c r="C610" i="11"/>
  <c r="D610" i="11"/>
  <c r="C611" i="11"/>
  <c r="D611" i="11"/>
  <c r="C612" i="11"/>
  <c r="D612" i="11"/>
  <c r="C613" i="11"/>
  <c r="D613" i="11"/>
  <c r="C614" i="11"/>
  <c r="D614" i="11"/>
  <c r="C615" i="11"/>
  <c r="D615" i="11"/>
  <c r="C616" i="11"/>
  <c r="D616" i="11"/>
  <c r="C617" i="11"/>
  <c r="D617" i="11"/>
  <c r="C618" i="11"/>
  <c r="D618" i="11"/>
  <c r="C619" i="11"/>
  <c r="D619" i="11"/>
  <c r="C620" i="11"/>
  <c r="D620" i="11"/>
  <c r="C621" i="11"/>
  <c r="D621" i="11"/>
  <c r="C622" i="11"/>
  <c r="D622" i="11"/>
  <c r="C623" i="11"/>
  <c r="D623" i="11"/>
  <c r="C624" i="11"/>
  <c r="D624" i="11"/>
  <c r="C625" i="11"/>
  <c r="D625" i="11"/>
  <c r="C626" i="11"/>
  <c r="D626" i="11"/>
  <c r="C627" i="11"/>
  <c r="D627" i="11"/>
  <c r="C628" i="11"/>
  <c r="D628" i="11"/>
  <c r="C629" i="11"/>
  <c r="D629" i="11"/>
  <c r="C630" i="11"/>
  <c r="D630" i="11"/>
  <c r="C631" i="11"/>
  <c r="D631" i="11"/>
  <c r="C632" i="11"/>
  <c r="D632" i="11"/>
  <c r="C633" i="11"/>
  <c r="D633" i="11"/>
  <c r="C634" i="11"/>
  <c r="D634" i="11"/>
  <c r="C635" i="11"/>
  <c r="D635" i="11"/>
  <c r="C636" i="11"/>
  <c r="D636" i="11"/>
  <c r="C637" i="11"/>
  <c r="D637" i="11"/>
  <c r="C638" i="11"/>
  <c r="D638" i="11"/>
  <c r="C639" i="11"/>
  <c r="D639" i="11"/>
  <c r="C640" i="11"/>
  <c r="D640" i="11"/>
  <c r="C641" i="11"/>
  <c r="D641" i="11"/>
  <c r="C642" i="11"/>
  <c r="D642" i="11"/>
  <c r="C643" i="11"/>
  <c r="D643" i="11"/>
  <c r="C644" i="11"/>
  <c r="D644" i="11"/>
  <c r="C645" i="11"/>
  <c r="D645" i="11"/>
  <c r="C646" i="11"/>
  <c r="D646" i="11"/>
  <c r="C647" i="11"/>
  <c r="D647" i="11"/>
  <c r="C648" i="11"/>
  <c r="D648" i="11"/>
  <c r="C649" i="11"/>
  <c r="D649" i="11"/>
  <c r="C650" i="11"/>
  <c r="D650" i="11"/>
  <c r="C651" i="11"/>
  <c r="D651" i="11"/>
  <c r="C652" i="11"/>
  <c r="D652" i="11"/>
  <c r="C653" i="11"/>
  <c r="D653" i="11"/>
  <c r="C654" i="11"/>
  <c r="D654" i="11"/>
  <c r="C655" i="11"/>
  <c r="D655" i="11"/>
  <c r="C656" i="11"/>
  <c r="D656" i="11"/>
  <c r="C657" i="11"/>
  <c r="D657" i="11"/>
  <c r="C658" i="11"/>
  <c r="D658" i="11"/>
  <c r="C659" i="11"/>
  <c r="D659" i="11"/>
  <c r="C660" i="11"/>
  <c r="D660" i="11"/>
  <c r="C661" i="11"/>
  <c r="D661" i="11"/>
  <c r="C662" i="11"/>
  <c r="D662" i="11"/>
  <c r="C663" i="11"/>
  <c r="D663" i="11"/>
  <c r="C664" i="11"/>
  <c r="D664" i="11"/>
  <c r="C665" i="11"/>
  <c r="D665" i="11"/>
  <c r="C666" i="11"/>
  <c r="D666" i="11"/>
  <c r="C667" i="11"/>
  <c r="D667" i="11"/>
  <c r="C668" i="11"/>
  <c r="D668" i="11"/>
  <c r="C669" i="11"/>
  <c r="D669" i="11"/>
  <c r="C670" i="11"/>
  <c r="D670" i="11"/>
  <c r="C671" i="11"/>
  <c r="D671" i="11"/>
  <c r="C672" i="11"/>
  <c r="D672" i="11"/>
  <c r="C673" i="11"/>
  <c r="D673" i="11"/>
  <c r="C674" i="11"/>
  <c r="D674" i="11"/>
  <c r="C675" i="11"/>
  <c r="D675" i="11"/>
  <c r="C676" i="11"/>
  <c r="D676" i="11"/>
  <c r="C677" i="11"/>
  <c r="D677" i="11"/>
  <c r="C678" i="11"/>
  <c r="D678" i="11"/>
  <c r="C679" i="11"/>
  <c r="D679" i="11"/>
  <c r="C680" i="11"/>
  <c r="D680" i="11"/>
  <c r="C681" i="11"/>
  <c r="D681" i="11"/>
  <c r="C682" i="11"/>
  <c r="D682" i="11"/>
  <c r="C683" i="11"/>
  <c r="D683" i="11"/>
  <c r="C684" i="11"/>
  <c r="D684" i="11"/>
  <c r="C685" i="11"/>
  <c r="D685" i="11"/>
  <c r="C686" i="11"/>
  <c r="D686" i="11"/>
  <c r="C687" i="11"/>
  <c r="D687" i="11"/>
  <c r="C688" i="11"/>
  <c r="D688" i="11"/>
  <c r="C689" i="11"/>
  <c r="D689" i="11"/>
  <c r="C690" i="11"/>
  <c r="D690" i="11"/>
  <c r="C691" i="11"/>
  <c r="D691" i="11"/>
  <c r="C692" i="11"/>
  <c r="D692" i="11"/>
  <c r="C693" i="11"/>
  <c r="D693" i="11"/>
  <c r="C694" i="11"/>
  <c r="D694" i="11"/>
  <c r="C589" i="11"/>
  <c r="D589" i="11"/>
  <c r="C590" i="11"/>
  <c r="D590" i="11"/>
  <c r="C591" i="11"/>
  <c r="D591" i="11"/>
  <c r="C592" i="11"/>
  <c r="D592" i="11"/>
  <c r="C593" i="11"/>
  <c r="D593" i="11"/>
  <c r="C594" i="11"/>
  <c r="D594" i="11"/>
  <c r="C595" i="11"/>
  <c r="D595" i="11"/>
  <c r="C596" i="11"/>
  <c r="D596" i="11"/>
  <c r="C597" i="11"/>
  <c r="D597" i="11"/>
  <c r="C598" i="11"/>
  <c r="D598" i="11"/>
  <c r="C599" i="11"/>
  <c r="D599" i="11"/>
  <c r="C600" i="11"/>
  <c r="D600" i="11"/>
  <c r="C495" i="11"/>
  <c r="D495" i="11"/>
  <c r="C496" i="11"/>
  <c r="D496" i="11"/>
  <c r="C497" i="11"/>
  <c r="D497" i="11"/>
  <c r="C498" i="11"/>
  <c r="D498" i="11"/>
  <c r="C499" i="11"/>
  <c r="D499" i="11"/>
  <c r="C500" i="11"/>
  <c r="D500" i="11"/>
  <c r="C501" i="11"/>
  <c r="D501" i="11"/>
  <c r="C502" i="11"/>
  <c r="D502" i="11"/>
  <c r="C503" i="11"/>
  <c r="D503" i="11"/>
  <c r="C504" i="11"/>
  <c r="D504" i="11"/>
  <c r="C505" i="11"/>
  <c r="D505" i="11"/>
  <c r="C506" i="11"/>
  <c r="D506" i="11"/>
  <c r="C507" i="11"/>
  <c r="D507" i="11"/>
  <c r="C508" i="11"/>
  <c r="D508" i="11"/>
  <c r="C509" i="11"/>
  <c r="D509" i="11"/>
  <c r="C510" i="11"/>
  <c r="D510" i="11"/>
  <c r="C511" i="11"/>
  <c r="D511" i="11"/>
  <c r="C512" i="11"/>
  <c r="D512" i="11"/>
  <c r="C513" i="11"/>
  <c r="D513" i="11"/>
  <c r="C514" i="11"/>
  <c r="D514" i="11"/>
  <c r="C515" i="11"/>
  <c r="D515" i="11"/>
  <c r="C516" i="11"/>
  <c r="D516" i="11"/>
  <c r="C517" i="11"/>
  <c r="D517" i="11"/>
  <c r="C518" i="11"/>
  <c r="D518" i="11"/>
  <c r="C519" i="11"/>
  <c r="D519" i="11"/>
  <c r="C520" i="11"/>
  <c r="D520" i="11"/>
  <c r="C521" i="11"/>
  <c r="D521" i="11"/>
  <c r="C522" i="11"/>
  <c r="D522" i="11"/>
  <c r="C523" i="11"/>
  <c r="D523" i="11"/>
  <c r="C524" i="11"/>
  <c r="D524" i="11"/>
  <c r="C525" i="11"/>
  <c r="D525" i="11"/>
  <c r="C526" i="11"/>
  <c r="D526" i="11"/>
  <c r="C527" i="11"/>
  <c r="D527" i="11"/>
  <c r="C528" i="11"/>
  <c r="D528" i="11"/>
  <c r="C529" i="11"/>
  <c r="D529" i="11"/>
  <c r="C530" i="11"/>
  <c r="D530" i="11"/>
  <c r="C531" i="11"/>
  <c r="D531" i="11"/>
  <c r="C532" i="11"/>
  <c r="D532" i="11"/>
  <c r="C533" i="11"/>
  <c r="D533" i="11"/>
  <c r="C534" i="11"/>
  <c r="D534" i="11"/>
  <c r="C535" i="11"/>
  <c r="D535" i="11"/>
  <c r="C536" i="11"/>
  <c r="D536" i="11"/>
  <c r="C537" i="11"/>
  <c r="D537" i="11"/>
  <c r="C538" i="11"/>
  <c r="D538" i="11"/>
  <c r="C539" i="11"/>
  <c r="D539" i="11"/>
  <c r="C540" i="11"/>
  <c r="D540" i="11"/>
  <c r="C541" i="11"/>
  <c r="D541" i="11"/>
  <c r="C542" i="11"/>
  <c r="D542" i="11"/>
  <c r="I542" i="11"/>
  <c r="C543" i="11"/>
  <c r="D543" i="11"/>
  <c r="E543" i="11"/>
  <c r="C544" i="11"/>
  <c r="D544" i="11"/>
  <c r="C545" i="11"/>
  <c r="D545" i="11"/>
  <c r="C546" i="11"/>
  <c r="D546" i="11"/>
  <c r="C547" i="11"/>
  <c r="D547" i="11"/>
  <c r="C548" i="11"/>
  <c r="D548" i="11"/>
  <c r="C549" i="11"/>
  <c r="D549" i="11"/>
  <c r="C550" i="11"/>
  <c r="D550" i="11"/>
  <c r="C551" i="11"/>
  <c r="D551" i="11"/>
  <c r="C552" i="11"/>
  <c r="D552" i="11"/>
  <c r="C553" i="11"/>
  <c r="D553" i="11"/>
  <c r="C554" i="11"/>
  <c r="D554" i="11"/>
  <c r="C555" i="11"/>
  <c r="D555" i="11"/>
  <c r="C556" i="11"/>
  <c r="D556" i="11"/>
  <c r="C557" i="11"/>
  <c r="D557" i="11"/>
  <c r="C558" i="11"/>
  <c r="D558" i="11"/>
  <c r="C559" i="11"/>
  <c r="D559" i="11"/>
  <c r="C560" i="11"/>
  <c r="D560" i="11"/>
  <c r="C561" i="11"/>
  <c r="D561" i="11"/>
  <c r="C562" i="11"/>
  <c r="D562" i="11"/>
  <c r="C563" i="11"/>
  <c r="D563" i="11"/>
  <c r="C564" i="11"/>
  <c r="D564" i="11"/>
  <c r="C565" i="11"/>
  <c r="D565" i="11"/>
  <c r="C566" i="11"/>
  <c r="D566" i="11"/>
  <c r="C567" i="11"/>
  <c r="D567" i="11"/>
  <c r="C568" i="11"/>
  <c r="D568" i="11"/>
  <c r="C569" i="11"/>
  <c r="D569" i="11"/>
  <c r="C570" i="11"/>
  <c r="D570" i="11"/>
  <c r="C571" i="11"/>
  <c r="D571" i="11"/>
  <c r="C572" i="11"/>
  <c r="D572" i="11"/>
  <c r="C573" i="11"/>
  <c r="D573" i="11"/>
  <c r="C574" i="11"/>
  <c r="D574" i="11"/>
  <c r="C575" i="11"/>
  <c r="D575" i="11"/>
  <c r="C576" i="11"/>
  <c r="D576" i="11"/>
  <c r="C577" i="11"/>
  <c r="D577" i="11"/>
  <c r="C578" i="11"/>
  <c r="D578" i="11"/>
  <c r="C579" i="11"/>
  <c r="D579" i="11"/>
  <c r="C580" i="11"/>
  <c r="D580" i="11"/>
  <c r="C581" i="11"/>
  <c r="D581" i="11"/>
  <c r="C582" i="11"/>
  <c r="D582" i="11"/>
  <c r="C583" i="11"/>
  <c r="D583" i="11"/>
  <c r="C584" i="11"/>
  <c r="D584" i="11"/>
  <c r="C585" i="11"/>
  <c r="D585" i="11"/>
  <c r="C586" i="11"/>
  <c r="D586" i="11"/>
  <c r="C587" i="11"/>
  <c r="D587" i="11"/>
  <c r="C588" i="11"/>
  <c r="D588" i="11"/>
  <c r="C401" i="11"/>
  <c r="D401" i="11"/>
  <c r="C402" i="11"/>
  <c r="D402" i="11"/>
  <c r="C403" i="11"/>
  <c r="D403" i="11"/>
  <c r="C404" i="11"/>
  <c r="D404" i="11"/>
  <c r="C405" i="11"/>
  <c r="D405" i="11"/>
  <c r="C406" i="11"/>
  <c r="D406" i="11"/>
  <c r="C407" i="11"/>
  <c r="D407" i="11"/>
  <c r="C408" i="11"/>
  <c r="D408" i="11"/>
  <c r="C409" i="11"/>
  <c r="D409" i="11"/>
  <c r="C410" i="11"/>
  <c r="D410" i="11"/>
  <c r="C411" i="11"/>
  <c r="D411" i="11"/>
  <c r="C412" i="11"/>
  <c r="D412" i="11"/>
  <c r="C413" i="11"/>
  <c r="D413" i="11"/>
  <c r="C414" i="11"/>
  <c r="D414" i="11"/>
  <c r="C415" i="11"/>
  <c r="D415" i="11"/>
  <c r="C416" i="11"/>
  <c r="D416" i="11"/>
  <c r="C417" i="11"/>
  <c r="D417" i="11"/>
  <c r="C418" i="11"/>
  <c r="D418" i="11"/>
  <c r="C419" i="11"/>
  <c r="D419" i="11"/>
  <c r="C420" i="11"/>
  <c r="D420" i="11"/>
  <c r="C421" i="11"/>
  <c r="D421" i="11"/>
  <c r="C422" i="11"/>
  <c r="D422" i="11"/>
  <c r="C423" i="11"/>
  <c r="D423" i="11"/>
  <c r="C424" i="11"/>
  <c r="D424" i="11"/>
  <c r="C425" i="11"/>
  <c r="D425" i="11"/>
  <c r="C426" i="11"/>
  <c r="D426" i="11"/>
  <c r="C427" i="11"/>
  <c r="D427" i="11"/>
  <c r="C428" i="11"/>
  <c r="D428" i="11"/>
  <c r="C429" i="11"/>
  <c r="D429" i="11"/>
  <c r="C430" i="11"/>
  <c r="D430" i="11"/>
  <c r="C431" i="11"/>
  <c r="D431" i="11"/>
  <c r="C432" i="11"/>
  <c r="D432" i="11"/>
  <c r="C433" i="11"/>
  <c r="D433" i="11"/>
  <c r="C434" i="11"/>
  <c r="D434" i="11"/>
  <c r="C435" i="11"/>
  <c r="D435" i="11"/>
  <c r="C436" i="11"/>
  <c r="D436" i="11"/>
  <c r="C437" i="11"/>
  <c r="D437" i="11"/>
  <c r="C438" i="11"/>
  <c r="D438" i="11"/>
  <c r="C439" i="11"/>
  <c r="D439" i="11"/>
  <c r="C440" i="11"/>
  <c r="D440" i="11"/>
  <c r="C441" i="11"/>
  <c r="D441" i="11"/>
  <c r="C442" i="11"/>
  <c r="D442" i="11"/>
  <c r="C443" i="11"/>
  <c r="D443" i="11"/>
  <c r="C444" i="11"/>
  <c r="D444" i="11"/>
  <c r="C445" i="11"/>
  <c r="D445" i="11"/>
  <c r="C446" i="11"/>
  <c r="D446" i="11"/>
  <c r="C447" i="11"/>
  <c r="D447" i="11"/>
  <c r="C448" i="11"/>
  <c r="D448" i="11"/>
  <c r="C449" i="11"/>
  <c r="D449" i="11"/>
  <c r="C450" i="11"/>
  <c r="D450" i="11"/>
  <c r="C451" i="11"/>
  <c r="D451" i="11"/>
  <c r="C452" i="11"/>
  <c r="D452" i="11"/>
  <c r="C453" i="11"/>
  <c r="D453" i="11"/>
  <c r="C454" i="11"/>
  <c r="D454" i="11"/>
  <c r="C455" i="11"/>
  <c r="D455" i="11"/>
  <c r="C456" i="11"/>
  <c r="D456" i="11"/>
  <c r="C457" i="11"/>
  <c r="D457" i="11"/>
  <c r="C458" i="11"/>
  <c r="D458" i="11"/>
  <c r="C459" i="11"/>
  <c r="D459" i="11"/>
  <c r="C460" i="11"/>
  <c r="D460" i="11"/>
  <c r="C461" i="11"/>
  <c r="D461" i="11"/>
  <c r="C462" i="11"/>
  <c r="D462" i="11"/>
  <c r="C463" i="11"/>
  <c r="D463" i="11"/>
  <c r="C464" i="11"/>
  <c r="D464" i="11"/>
  <c r="C465" i="11"/>
  <c r="D465" i="11"/>
  <c r="C466" i="11"/>
  <c r="D466" i="11"/>
  <c r="C467" i="11"/>
  <c r="D467" i="11"/>
  <c r="C468" i="11"/>
  <c r="D468" i="11"/>
  <c r="C469" i="11"/>
  <c r="D469" i="11"/>
  <c r="C470" i="11"/>
  <c r="D470" i="11"/>
  <c r="C471" i="11"/>
  <c r="D471" i="11"/>
  <c r="C472" i="11"/>
  <c r="D472" i="11"/>
  <c r="C473" i="11"/>
  <c r="D473" i="11"/>
  <c r="C474" i="11"/>
  <c r="D474" i="11"/>
  <c r="C475" i="11"/>
  <c r="D475" i="11"/>
  <c r="C476" i="11"/>
  <c r="D476" i="11"/>
  <c r="C477" i="11"/>
  <c r="D477" i="11"/>
  <c r="C478" i="11"/>
  <c r="D478" i="11"/>
  <c r="C479" i="11"/>
  <c r="D479" i="11"/>
  <c r="C480" i="11"/>
  <c r="D480" i="11"/>
  <c r="C481" i="11"/>
  <c r="D481" i="11"/>
  <c r="C482" i="11"/>
  <c r="D482" i="11"/>
  <c r="C483" i="11"/>
  <c r="D483" i="11"/>
  <c r="C484" i="11"/>
  <c r="D484" i="11"/>
  <c r="C485" i="11"/>
  <c r="D485" i="11"/>
  <c r="C486" i="11"/>
  <c r="D486" i="11"/>
  <c r="C487" i="11"/>
  <c r="D487" i="11"/>
  <c r="C488" i="11"/>
  <c r="D488" i="11"/>
  <c r="C489" i="11"/>
  <c r="D489" i="11"/>
  <c r="C490" i="11"/>
  <c r="D490" i="11"/>
  <c r="C491" i="11"/>
  <c r="D491" i="11"/>
  <c r="C492" i="11"/>
  <c r="D492" i="11"/>
  <c r="C493" i="11"/>
  <c r="D493" i="11"/>
  <c r="C494" i="11"/>
  <c r="D494" i="11"/>
  <c r="C389" i="11"/>
  <c r="D389" i="11"/>
  <c r="C390" i="11"/>
  <c r="D390" i="11"/>
  <c r="C391" i="11"/>
  <c r="D391" i="11"/>
  <c r="C392" i="11"/>
  <c r="D392" i="11"/>
  <c r="C393" i="11"/>
  <c r="D393" i="11"/>
  <c r="C394" i="11"/>
  <c r="D394" i="11"/>
  <c r="C395" i="11"/>
  <c r="D395" i="11"/>
  <c r="C396" i="11"/>
  <c r="D396" i="11"/>
  <c r="C397" i="11"/>
  <c r="D397" i="11"/>
  <c r="C398" i="11"/>
  <c r="D398" i="11"/>
  <c r="C399" i="11"/>
  <c r="D399" i="11"/>
  <c r="C400" i="11"/>
  <c r="D400" i="11"/>
  <c r="C295" i="11"/>
  <c r="D295" i="11"/>
  <c r="C296" i="11"/>
  <c r="D296" i="11"/>
  <c r="C297" i="11"/>
  <c r="D297" i="11"/>
  <c r="C298" i="11"/>
  <c r="D298" i="11"/>
  <c r="C299" i="11"/>
  <c r="D299" i="11"/>
  <c r="C300" i="11"/>
  <c r="D300" i="11"/>
  <c r="C301" i="11"/>
  <c r="D301" i="11"/>
  <c r="C302" i="11"/>
  <c r="D302" i="11"/>
  <c r="C303" i="11"/>
  <c r="D303" i="11"/>
  <c r="C304" i="11"/>
  <c r="D304" i="11"/>
  <c r="C305" i="11"/>
  <c r="D305" i="11"/>
  <c r="C306" i="11"/>
  <c r="D306" i="11"/>
  <c r="C307" i="11"/>
  <c r="D307" i="11"/>
  <c r="C308" i="11"/>
  <c r="D308" i="11"/>
  <c r="C309" i="11"/>
  <c r="D309" i="11"/>
  <c r="C310" i="11"/>
  <c r="D310" i="11"/>
  <c r="C311" i="11"/>
  <c r="D311" i="11"/>
  <c r="C312" i="11"/>
  <c r="D312" i="11"/>
  <c r="C313" i="11"/>
  <c r="D313" i="11"/>
  <c r="C314" i="11"/>
  <c r="D314" i="11"/>
  <c r="C315" i="11"/>
  <c r="D315" i="11"/>
  <c r="C316" i="11"/>
  <c r="D316" i="11"/>
  <c r="C317" i="11"/>
  <c r="D317" i="11"/>
  <c r="C318" i="11"/>
  <c r="D318" i="11"/>
  <c r="C319" i="11"/>
  <c r="D319" i="11"/>
  <c r="C320" i="11"/>
  <c r="D320" i="11"/>
  <c r="C321" i="11"/>
  <c r="D321" i="11"/>
  <c r="C322" i="11"/>
  <c r="D322" i="11"/>
  <c r="C323" i="11"/>
  <c r="D323" i="11"/>
  <c r="C324" i="11"/>
  <c r="D324" i="11"/>
  <c r="C325" i="11"/>
  <c r="D325" i="11"/>
  <c r="C326" i="11"/>
  <c r="D326" i="11"/>
  <c r="C327" i="11"/>
  <c r="D327" i="11"/>
  <c r="C328" i="11"/>
  <c r="D328" i="11"/>
  <c r="C329" i="11"/>
  <c r="D329" i="11"/>
  <c r="C330" i="11"/>
  <c r="D330" i="11"/>
  <c r="C331" i="11"/>
  <c r="D331" i="11"/>
  <c r="C332" i="11"/>
  <c r="D332" i="11"/>
  <c r="C333" i="11"/>
  <c r="D333" i="11"/>
  <c r="C334" i="11"/>
  <c r="D334" i="11"/>
  <c r="C335" i="11"/>
  <c r="D335" i="11"/>
  <c r="C336" i="11"/>
  <c r="D336" i="11"/>
  <c r="C337" i="11"/>
  <c r="D337" i="11"/>
  <c r="C338" i="11"/>
  <c r="D338" i="11"/>
  <c r="C339" i="11"/>
  <c r="D339" i="11"/>
  <c r="C340" i="11"/>
  <c r="D340" i="11"/>
  <c r="C341" i="11"/>
  <c r="D341" i="11"/>
  <c r="C342" i="11"/>
  <c r="D342" i="11"/>
  <c r="C343" i="11"/>
  <c r="D343" i="11"/>
  <c r="C344" i="11"/>
  <c r="D344" i="11"/>
  <c r="C345" i="11"/>
  <c r="D345" i="11"/>
  <c r="C346" i="11"/>
  <c r="D346" i="11"/>
  <c r="C347" i="11"/>
  <c r="D347" i="11"/>
  <c r="C348" i="11"/>
  <c r="D348" i="11"/>
  <c r="C349" i="11"/>
  <c r="D349" i="11"/>
  <c r="C350" i="11"/>
  <c r="D350" i="11"/>
  <c r="C351" i="11"/>
  <c r="D351" i="11"/>
  <c r="C352" i="11"/>
  <c r="D352" i="11"/>
  <c r="C353" i="11"/>
  <c r="D353" i="11"/>
  <c r="C354" i="11"/>
  <c r="D354" i="11"/>
  <c r="C355" i="11"/>
  <c r="D355" i="11"/>
  <c r="C356" i="11"/>
  <c r="D356" i="11"/>
  <c r="C357" i="11"/>
  <c r="D357" i="11"/>
  <c r="C358" i="11"/>
  <c r="D358" i="11"/>
  <c r="C359" i="11"/>
  <c r="D359" i="11"/>
  <c r="C360" i="11"/>
  <c r="D360" i="11"/>
  <c r="C361" i="11"/>
  <c r="D361" i="11"/>
  <c r="C362" i="11"/>
  <c r="D362" i="11"/>
  <c r="C363" i="11"/>
  <c r="D363" i="11"/>
  <c r="I363" i="11"/>
  <c r="C364" i="11"/>
  <c r="D364" i="11"/>
  <c r="E364" i="11"/>
  <c r="C365" i="11"/>
  <c r="D365" i="11"/>
  <c r="C366" i="11"/>
  <c r="D366" i="11"/>
  <c r="C367" i="11"/>
  <c r="D367" i="11"/>
  <c r="C368" i="11"/>
  <c r="D368" i="11"/>
  <c r="C369" i="11"/>
  <c r="D369" i="11"/>
  <c r="C370" i="11"/>
  <c r="D370" i="11"/>
  <c r="C371" i="11"/>
  <c r="D371" i="11"/>
  <c r="C372" i="11"/>
  <c r="D372" i="11"/>
  <c r="C373" i="11"/>
  <c r="D373" i="11"/>
  <c r="C374" i="11"/>
  <c r="D374" i="11"/>
  <c r="C375" i="11"/>
  <c r="D375" i="11"/>
  <c r="C376" i="11"/>
  <c r="D376" i="11"/>
  <c r="C377" i="11"/>
  <c r="D377" i="11"/>
  <c r="C378" i="11"/>
  <c r="D378" i="11"/>
  <c r="C379" i="11"/>
  <c r="D379" i="11"/>
  <c r="C380" i="11"/>
  <c r="D380" i="11"/>
  <c r="C381" i="11"/>
  <c r="D381" i="11"/>
  <c r="C382" i="11"/>
  <c r="D382" i="11"/>
  <c r="C383" i="11"/>
  <c r="D383" i="11"/>
  <c r="C384" i="11"/>
  <c r="D384" i="11"/>
  <c r="C385" i="11"/>
  <c r="D385" i="11"/>
  <c r="C386" i="11"/>
  <c r="D386" i="11"/>
  <c r="C387" i="11"/>
  <c r="D387" i="11"/>
  <c r="C388" i="11"/>
  <c r="D388" i="11"/>
  <c r="C201" i="11"/>
  <c r="D201" i="11"/>
  <c r="C202" i="11"/>
  <c r="D202" i="11"/>
  <c r="C203" i="11"/>
  <c r="D203" i="11"/>
  <c r="C204" i="11"/>
  <c r="D204" i="11"/>
  <c r="C205" i="11"/>
  <c r="D205" i="11"/>
  <c r="C206" i="11"/>
  <c r="D206" i="11"/>
  <c r="C207" i="11"/>
  <c r="D207" i="11"/>
  <c r="C208" i="11"/>
  <c r="D208" i="11"/>
  <c r="C209" i="11"/>
  <c r="D209" i="11"/>
  <c r="C210" i="11"/>
  <c r="D210" i="11"/>
  <c r="C211" i="11"/>
  <c r="D211" i="11"/>
  <c r="C212" i="11"/>
  <c r="D212" i="11"/>
  <c r="C213" i="11"/>
  <c r="D213" i="11"/>
  <c r="C214" i="11"/>
  <c r="D214" i="11"/>
  <c r="C215" i="11"/>
  <c r="D215" i="11"/>
  <c r="C216" i="11"/>
  <c r="D216" i="11"/>
  <c r="C217" i="11"/>
  <c r="D217" i="11"/>
  <c r="C218" i="11"/>
  <c r="D218" i="11"/>
  <c r="C219" i="11"/>
  <c r="D219" i="11"/>
  <c r="C220" i="11"/>
  <c r="D220" i="11"/>
  <c r="C221" i="11"/>
  <c r="D221" i="11"/>
  <c r="C222" i="11"/>
  <c r="D222" i="11"/>
  <c r="C223" i="11"/>
  <c r="D223" i="11"/>
  <c r="C224" i="11"/>
  <c r="D224" i="11"/>
  <c r="C225" i="11"/>
  <c r="D225" i="11"/>
  <c r="C226" i="11"/>
  <c r="D226" i="11"/>
  <c r="C227" i="11"/>
  <c r="D227" i="11"/>
  <c r="C228" i="11"/>
  <c r="D228" i="11"/>
  <c r="C229" i="11"/>
  <c r="D229" i="11"/>
  <c r="C230" i="11"/>
  <c r="D230" i="11"/>
  <c r="C231" i="11"/>
  <c r="D231" i="11"/>
  <c r="C232" i="11"/>
  <c r="D232" i="11"/>
  <c r="C233" i="11"/>
  <c r="D233" i="11"/>
  <c r="C234" i="11"/>
  <c r="D234" i="11"/>
  <c r="C235" i="11"/>
  <c r="D235" i="11"/>
  <c r="C236" i="11"/>
  <c r="D236" i="11"/>
  <c r="C237" i="11"/>
  <c r="D237" i="11"/>
  <c r="C238" i="11"/>
  <c r="D238" i="11"/>
  <c r="C239" i="11"/>
  <c r="D239" i="11"/>
  <c r="C240" i="11"/>
  <c r="D240" i="11"/>
  <c r="C241" i="11"/>
  <c r="D241" i="11"/>
  <c r="C242" i="11"/>
  <c r="D242" i="11"/>
  <c r="C243" i="11"/>
  <c r="D243" i="11"/>
  <c r="C244" i="11"/>
  <c r="D244" i="11"/>
  <c r="C245" i="11"/>
  <c r="D245" i="11"/>
  <c r="C246" i="11"/>
  <c r="D246" i="11"/>
  <c r="C247" i="11"/>
  <c r="D247" i="11"/>
  <c r="C248" i="11"/>
  <c r="D248" i="11"/>
  <c r="C249" i="11"/>
  <c r="D249" i="11"/>
  <c r="C250" i="11"/>
  <c r="D250" i="11"/>
  <c r="C251" i="11"/>
  <c r="D251" i="11"/>
  <c r="C252" i="11"/>
  <c r="D252" i="11"/>
  <c r="C253" i="11"/>
  <c r="D253" i="11"/>
  <c r="C254" i="11"/>
  <c r="D254" i="11"/>
  <c r="C255" i="11"/>
  <c r="D255" i="11"/>
  <c r="C256" i="11"/>
  <c r="D256" i="11"/>
  <c r="C257" i="11"/>
  <c r="D257" i="11"/>
  <c r="C258" i="11"/>
  <c r="D258" i="11"/>
  <c r="C259" i="11"/>
  <c r="D259" i="11"/>
  <c r="C260" i="11"/>
  <c r="D260" i="11"/>
  <c r="C261" i="11"/>
  <c r="D261" i="11"/>
  <c r="C262" i="11"/>
  <c r="D262" i="11"/>
  <c r="C263" i="11"/>
  <c r="D263" i="11"/>
  <c r="C264" i="11"/>
  <c r="D264" i="11"/>
  <c r="C265" i="11"/>
  <c r="D265" i="11"/>
  <c r="C266" i="11"/>
  <c r="D266" i="11"/>
  <c r="C267" i="11"/>
  <c r="D267" i="11"/>
  <c r="C268" i="11"/>
  <c r="D268" i="11"/>
  <c r="C269" i="11"/>
  <c r="D269" i="11"/>
  <c r="C270" i="11"/>
  <c r="D270" i="11"/>
  <c r="C271" i="11"/>
  <c r="D271" i="11"/>
  <c r="C272" i="11"/>
  <c r="D272" i="11"/>
  <c r="C273" i="11"/>
  <c r="D273" i="11"/>
  <c r="C274" i="11"/>
  <c r="D274" i="11"/>
  <c r="C275" i="11"/>
  <c r="D275" i="11"/>
  <c r="C276" i="11"/>
  <c r="D276" i="11"/>
  <c r="C277" i="11"/>
  <c r="D277" i="11"/>
  <c r="C278" i="11"/>
  <c r="D278" i="11"/>
  <c r="C279" i="11"/>
  <c r="D279" i="11"/>
  <c r="C280" i="11"/>
  <c r="D280" i="11"/>
  <c r="C281" i="11"/>
  <c r="D281" i="11"/>
  <c r="C282" i="11"/>
  <c r="D282" i="11"/>
  <c r="C283" i="11"/>
  <c r="D283" i="11"/>
  <c r="C284" i="11"/>
  <c r="D284" i="11"/>
  <c r="C285" i="11"/>
  <c r="D285" i="11"/>
  <c r="C286" i="11"/>
  <c r="D286" i="11"/>
  <c r="C287" i="11"/>
  <c r="D287" i="11"/>
  <c r="C288" i="11"/>
  <c r="D288" i="11"/>
  <c r="C289" i="11"/>
  <c r="D289" i="11"/>
  <c r="C290" i="11"/>
  <c r="D290" i="11"/>
  <c r="C291" i="11"/>
  <c r="D291" i="11"/>
  <c r="C292" i="11"/>
  <c r="D292" i="11"/>
  <c r="C293" i="11"/>
  <c r="D293" i="11"/>
  <c r="C294" i="11"/>
  <c r="D294" i="11"/>
  <c r="C189" i="11"/>
  <c r="D189" i="11"/>
  <c r="C190" i="11"/>
  <c r="D190" i="11"/>
  <c r="C191" i="11"/>
  <c r="D191" i="11"/>
  <c r="C192" i="11"/>
  <c r="D192" i="11"/>
  <c r="C193" i="11"/>
  <c r="D193" i="11"/>
  <c r="C194" i="11"/>
  <c r="D194" i="11"/>
  <c r="C195" i="11"/>
  <c r="D195" i="11"/>
  <c r="C196" i="11"/>
  <c r="D196" i="11"/>
  <c r="C197" i="11"/>
  <c r="D197" i="11"/>
  <c r="C198" i="11"/>
  <c r="D198" i="11"/>
  <c r="C199" i="11"/>
  <c r="D199" i="11"/>
  <c r="C200" i="11"/>
  <c r="D200" i="11"/>
  <c r="C95" i="11"/>
  <c r="D95" i="11"/>
  <c r="C96" i="11"/>
  <c r="D96" i="11"/>
  <c r="C97" i="11"/>
  <c r="D97" i="11"/>
  <c r="C98" i="11"/>
  <c r="D98" i="11"/>
  <c r="C99" i="11"/>
  <c r="D99" i="11"/>
  <c r="C100" i="11"/>
  <c r="D100" i="11"/>
  <c r="C101" i="11"/>
  <c r="D101" i="11"/>
  <c r="C102" i="11"/>
  <c r="D102" i="11"/>
  <c r="C103" i="11"/>
  <c r="D103" i="11"/>
  <c r="C104" i="11"/>
  <c r="D104" i="11"/>
  <c r="C105" i="11"/>
  <c r="D105" i="11"/>
  <c r="C106" i="11"/>
  <c r="D106" i="11"/>
  <c r="C107" i="11"/>
  <c r="D107" i="11"/>
  <c r="C108" i="11"/>
  <c r="D108" i="11"/>
  <c r="C109" i="11"/>
  <c r="D109" i="11"/>
  <c r="C110" i="11"/>
  <c r="D110" i="11"/>
  <c r="C111" i="11"/>
  <c r="D111" i="11"/>
  <c r="C112" i="11"/>
  <c r="D112" i="11"/>
  <c r="C113" i="11"/>
  <c r="D113" i="11"/>
  <c r="C114" i="11"/>
  <c r="D114" i="11"/>
  <c r="C115" i="11"/>
  <c r="D115" i="11"/>
  <c r="C116" i="11"/>
  <c r="D116" i="11"/>
  <c r="C117" i="11"/>
  <c r="D117" i="11"/>
  <c r="C118" i="11"/>
  <c r="D118" i="11"/>
  <c r="C119" i="11"/>
  <c r="D119" i="11"/>
  <c r="C120" i="11"/>
  <c r="D120" i="11"/>
  <c r="C121" i="11"/>
  <c r="D121" i="11"/>
  <c r="C122" i="11"/>
  <c r="D122" i="11"/>
  <c r="C123" i="11"/>
  <c r="D123" i="11"/>
  <c r="C124" i="11"/>
  <c r="D124" i="11"/>
  <c r="C125" i="11"/>
  <c r="D125" i="11"/>
  <c r="C126" i="11"/>
  <c r="D126" i="11"/>
  <c r="C127" i="11"/>
  <c r="D127" i="11"/>
  <c r="C128" i="11"/>
  <c r="D128" i="11"/>
  <c r="C129" i="11"/>
  <c r="D129" i="11"/>
  <c r="C130" i="11"/>
  <c r="D130" i="11"/>
  <c r="C131" i="11"/>
  <c r="D131" i="11"/>
  <c r="C132" i="11"/>
  <c r="D132" i="11"/>
  <c r="C133" i="11"/>
  <c r="D133" i="11"/>
  <c r="C134" i="11"/>
  <c r="D134" i="11"/>
  <c r="C135" i="11"/>
  <c r="D135" i="11"/>
  <c r="C136" i="11"/>
  <c r="D136" i="11"/>
  <c r="C137" i="11"/>
  <c r="D137" i="11"/>
  <c r="C138" i="11"/>
  <c r="D138" i="11"/>
  <c r="C139" i="11"/>
  <c r="D139" i="11"/>
  <c r="C140" i="11"/>
  <c r="D140" i="11"/>
  <c r="C141" i="11"/>
  <c r="D141" i="11"/>
  <c r="C142" i="11"/>
  <c r="D142" i="11"/>
  <c r="C143" i="11"/>
  <c r="D143" i="11"/>
  <c r="C144" i="11"/>
  <c r="D144" i="11"/>
  <c r="C145" i="11"/>
  <c r="D145" i="11"/>
  <c r="C146" i="11"/>
  <c r="D146" i="11"/>
  <c r="C147" i="11"/>
  <c r="D147" i="11"/>
  <c r="C148" i="11"/>
  <c r="D148" i="11"/>
  <c r="C149" i="11"/>
  <c r="D149" i="11"/>
  <c r="C150" i="11"/>
  <c r="D150" i="11"/>
  <c r="C151" i="11"/>
  <c r="D151" i="11"/>
  <c r="C152" i="11"/>
  <c r="D152" i="11"/>
  <c r="C153" i="11"/>
  <c r="D153" i="11"/>
  <c r="C154" i="11"/>
  <c r="D154" i="11"/>
  <c r="C155" i="11"/>
  <c r="D155" i="11"/>
  <c r="C156" i="11"/>
  <c r="D156" i="11"/>
  <c r="C157" i="11"/>
  <c r="D157" i="11"/>
  <c r="C158" i="11"/>
  <c r="D158" i="11"/>
  <c r="C159" i="11"/>
  <c r="D159" i="11"/>
  <c r="C160" i="11"/>
  <c r="D160" i="11"/>
  <c r="C161" i="11"/>
  <c r="D161" i="11"/>
  <c r="C162" i="11"/>
  <c r="D162" i="11"/>
  <c r="C163" i="11"/>
  <c r="D163" i="11"/>
  <c r="C164" i="11"/>
  <c r="D164" i="11"/>
  <c r="C165" i="11"/>
  <c r="D165" i="11"/>
  <c r="C166" i="11"/>
  <c r="D166" i="11"/>
  <c r="C167" i="11"/>
  <c r="D167" i="11"/>
  <c r="C168" i="11"/>
  <c r="D168" i="11"/>
  <c r="C169" i="11"/>
  <c r="D169" i="11"/>
  <c r="C170" i="11"/>
  <c r="D170" i="11"/>
  <c r="C171" i="11"/>
  <c r="D171" i="11"/>
  <c r="C172" i="11"/>
  <c r="D172" i="11"/>
  <c r="C173" i="11"/>
  <c r="D173" i="11"/>
  <c r="C174" i="11"/>
  <c r="D174" i="11"/>
  <c r="C175" i="11"/>
  <c r="D175" i="11"/>
  <c r="C176" i="11"/>
  <c r="D176" i="11"/>
  <c r="C177" i="11"/>
  <c r="D177" i="11"/>
  <c r="C178" i="11"/>
  <c r="D178" i="11"/>
  <c r="C179" i="11"/>
  <c r="D179" i="11"/>
  <c r="C180" i="11"/>
  <c r="D180" i="11"/>
  <c r="C181" i="11"/>
  <c r="D181" i="11"/>
  <c r="C182" i="11"/>
  <c r="D182" i="11"/>
  <c r="C183" i="11"/>
  <c r="D183" i="11"/>
  <c r="C184" i="11"/>
  <c r="D184" i="11"/>
  <c r="I184" i="11"/>
  <c r="C185" i="11"/>
  <c r="D185" i="11"/>
  <c r="E185" i="11"/>
  <c r="C186" i="11"/>
  <c r="D186" i="11"/>
  <c r="C187" i="11"/>
  <c r="D187" i="11"/>
  <c r="C188" i="11"/>
  <c r="D188" i="11"/>
  <c r="C4" i="11"/>
  <c r="D4" i="11"/>
  <c r="C5" i="11"/>
  <c r="D5" i="11"/>
  <c r="I5" i="11"/>
  <c r="C6" i="11"/>
  <c r="D6" i="11"/>
  <c r="E6" i="11"/>
  <c r="I6" i="11"/>
  <c r="C7" i="11"/>
  <c r="D7" i="11"/>
  <c r="C8" i="11"/>
  <c r="D8" i="11"/>
  <c r="C9" i="11"/>
  <c r="D9" i="11"/>
  <c r="C10" i="11"/>
  <c r="D10" i="11"/>
  <c r="C11" i="11"/>
  <c r="D11" i="11"/>
  <c r="C12" i="11"/>
  <c r="D12" i="11"/>
  <c r="C13" i="11"/>
  <c r="D13" i="11"/>
  <c r="C14" i="11"/>
  <c r="D14" i="11"/>
  <c r="C15" i="11"/>
  <c r="D15" i="11"/>
  <c r="C16" i="11"/>
  <c r="D16" i="11"/>
  <c r="C17" i="11"/>
  <c r="D17" i="11"/>
  <c r="C18" i="11"/>
  <c r="D18" i="11"/>
  <c r="C19" i="11"/>
  <c r="D19" i="11"/>
  <c r="C20" i="11"/>
  <c r="D20" i="11"/>
  <c r="C21" i="11"/>
  <c r="D21" i="11"/>
  <c r="C22" i="11"/>
  <c r="D22" i="11"/>
  <c r="C23" i="11"/>
  <c r="D23" i="11"/>
  <c r="C24" i="11"/>
  <c r="D24" i="11"/>
  <c r="C25" i="11"/>
  <c r="D25" i="11"/>
  <c r="C26" i="11"/>
  <c r="D26" i="11"/>
  <c r="C27" i="11"/>
  <c r="D27" i="11"/>
  <c r="C28" i="11"/>
  <c r="D28" i="11"/>
  <c r="C29" i="11"/>
  <c r="D29" i="11"/>
  <c r="C30" i="11"/>
  <c r="D30" i="11"/>
  <c r="C31" i="11"/>
  <c r="D31" i="11"/>
  <c r="C32" i="11"/>
  <c r="D32" i="11"/>
  <c r="C33" i="11"/>
  <c r="D33" i="11"/>
  <c r="C34" i="11"/>
  <c r="D34" i="11"/>
  <c r="C35" i="11"/>
  <c r="D35" i="11"/>
  <c r="C36" i="11"/>
  <c r="D36" i="11"/>
  <c r="C37" i="11"/>
  <c r="D37" i="11"/>
  <c r="C38" i="11"/>
  <c r="D38" i="11"/>
  <c r="C39" i="11"/>
  <c r="D39" i="11"/>
  <c r="C40" i="11"/>
  <c r="D40" i="11"/>
  <c r="C41" i="11"/>
  <c r="D41" i="11"/>
  <c r="C42" i="11"/>
  <c r="D42" i="11"/>
  <c r="C43" i="11"/>
  <c r="D43" i="11"/>
  <c r="C44" i="11"/>
  <c r="D44" i="11"/>
  <c r="C45" i="11"/>
  <c r="D45" i="11"/>
  <c r="C46" i="11"/>
  <c r="D46" i="11"/>
  <c r="C47" i="11"/>
  <c r="D47" i="11"/>
  <c r="C48" i="11"/>
  <c r="D48" i="11"/>
  <c r="C49" i="11"/>
  <c r="D49" i="11"/>
  <c r="C50" i="11"/>
  <c r="D50" i="11"/>
  <c r="C51" i="11"/>
  <c r="D51" i="11"/>
  <c r="C52" i="11"/>
  <c r="D52" i="11"/>
  <c r="C53" i="11"/>
  <c r="D53" i="11"/>
  <c r="C54" i="11"/>
  <c r="D54" i="11"/>
  <c r="C55" i="11"/>
  <c r="D55" i="11"/>
  <c r="C56" i="11"/>
  <c r="D56" i="11"/>
  <c r="C57" i="11"/>
  <c r="D57" i="11"/>
  <c r="C58" i="11"/>
  <c r="D58" i="11"/>
  <c r="C59" i="11"/>
  <c r="D59" i="11"/>
  <c r="C60" i="11"/>
  <c r="D60" i="11"/>
  <c r="C61" i="11"/>
  <c r="D61" i="11"/>
  <c r="C62" i="11"/>
  <c r="D62" i="11"/>
  <c r="C63" i="11"/>
  <c r="D63" i="11"/>
  <c r="C64" i="11"/>
  <c r="D64" i="11"/>
  <c r="C65" i="11"/>
  <c r="D65" i="11"/>
  <c r="C66" i="11"/>
  <c r="D66" i="11"/>
  <c r="C67" i="11"/>
  <c r="D67" i="11"/>
  <c r="C68" i="11"/>
  <c r="D68" i="11"/>
  <c r="C69" i="11"/>
  <c r="D69" i="11"/>
  <c r="C70" i="11"/>
  <c r="D70" i="11"/>
  <c r="C71" i="11"/>
  <c r="D71" i="11"/>
  <c r="C72" i="11"/>
  <c r="D72" i="11"/>
  <c r="C73" i="11"/>
  <c r="D73" i="11"/>
  <c r="C74" i="11"/>
  <c r="D74" i="11"/>
  <c r="C75" i="11"/>
  <c r="D75" i="11"/>
  <c r="C76" i="11"/>
  <c r="D76" i="11"/>
  <c r="C77" i="11"/>
  <c r="D77" i="11"/>
  <c r="C78" i="11"/>
  <c r="D78" i="11"/>
  <c r="C79" i="11"/>
  <c r="D79" i="11"/>
  <c r="C80" i="11"/>
  <c r="D80" i="11"/>
  <c r="C81" i="11"/>
  <c r="D81" i="11"/>
  <c r="C82" i="11"/>
  <c r="D82" i="11"/>
  <c r="C83" i="11"/>
  <c r="D83" i="11"/>
  <c r="C84" i="11"/>
  <c r="D84" i="11"/>
  <c r="C85" i="11"/>
  <c r="D85" i="11"/>
  <c r="C86" i="11"/>
  <c r="D86" i="11"/>
  <c r="C87" i="11"/>
  <c r="D87" i="11"/>
  <c r="C88" i="11"/>
  <c r="D88" i="11"/>
  <c r="C89" i="11"/>
  <c r="D89" i="11"/>
  <c r="C90" i="11"/>
  <c r="D90" i="11"/>
  <c r="C91" i="11"/>
  <c r="D91" i="11"/>
  <c r="C92" i="11"/>
  <c r="D92" i="11"/>
  <c r="C93" i="11"/>
  <c r="D93" i="11"/>
  <c r="C94" i="11"/>
  <c r="D94" i="11"/>
  <c r="A900" i="10"/>
  <c r="C900" i="10"/>
  <c r="D900" i="10"/>
  <c r="O900" i="10" a="1"/>
  <c r="O900" i="10" s="1"/>
  <c r="A901" i="10"/>
  <c r="C901" i="10"/>
  <c r="D901" i="10"/>
  <c r="O901" i="10" a="1"/>
  <c r="O901" i="10" s="1"/>
  <c r="A902" i="10"/>
  <c r="C902" i="10"/>
  <c r="D902" i="10"/>
  <c r="O902" i="10" a="1"/>
  <c r="O902" i="10" s="1"/>
  <c r="A903" i="10"/>
  <c r="C903" i="10"/>
  <c r="D903" i="10"/>
  <c r="O903" i="10" a="1"/>
  <c r="O903" i="10" s="1"/>
  <c r="A904" i="10"/>
  <c r="C904" i="10"/>
  <c r="D904" i="10"/>
  <c r="O904" i="10" a="1"/>
  <c r="O904" i="10" s="1"/>
  <c r="A905" i="10"/>
  <c r="C905" i="10"/>
  <c r="D905" i="10"/>
  <c r="O905" i="10" a="1"/>
  <c r="O905" i="10" s="1"/>
  <c r="A906" i="10"/>
  <c r="C906" i="10"/>
  <c r="D906" i="10"/>
  <c r="O906" i="10" a="1"/>
  <c r="O906" i="10" s="1"/>
  <c r="A907" i="10"/>
  <c r="C907" i="10"/>
  <c r="D907" i="10"/>
  <c r="O907" i="10" a="1"/>
  <c r="O907" i="10" s="1"/>
  <c r="A908" i="10"/>
  <c r="C908" i="10"/>
  <c r="D908" i="10"/>
  <c r="O908" i="10" a="1"/>
  <c r="O908" i="10" s="1"/>
  <c r="A909" i="10"/>
  <c r="C909" i="10"/>
  <c r="D909" i="10"/>
  <c r="O909" i="10" a="1"/>
  <c r="O909" i="10" s="1"/>
  <c r="A910" i="10"/>
  <c r="C910" i="10"/>
  <c r="D910" i="10"/>
  <c r="O910" i="10" a="1"/>
  <c r="O910" i="10" s="1"/>
  <c r="A911" i="10"/>
  <c r="C911" i="10"/>
  <c r="D911" i="10"/>
  <c r="O911" i="10" a="1"/>
  <c r="O911" i="10" s="1"/>
  <c r="A912" i="10"/>
  <c r="C912" i="10"/>
  <c r="D912" i="10"/>
  <c r="O912" i="10" a="1"/>
  <c r="O912" i="10" s="1"/>
  <c r="A913" i="10"/>
  <c r="C913" i="10"/>
  <c r="D913" i="10"/>
  <c r="O913" i="10" a="1"/>
  <c r="O913" i="10" s="1"/>
  <c r="A914" i="10"/>
  <c r="C914" i="10"/>
  <c r="D914" i="10"/>
  <c r="O914" i="10" a="1"/>
  <c r="O914" i="10" s="1"/>
  <c r="A915" i="10"/>
  <c r="C915" i="10"/>
  <c r="D915" i="10"/>
  <c r="O915" i="10" a="1"/>
  <c r="O915" i="10" s="1"/>
  <c r="A916" i="10"/>
  <c r="C916" i="10"/>
  <c r="D916" i="10"/>
  <c r="O916" i="10" a="1"/>
  <c r="O916" i="10" s="1"/>
  <c r="A917" i="10"/>
  <c r="C917" i="10"/>
  <c r="D917" i="10"/>
  <c r="O917" i="10" a="1"/>
  <c r="O917" i="10" s="1"/>
  <c r="A918" i="10"/>
  <c r="C918" i="10"/>
  <c r="D918" i="10"/>
  <c r="O918" i="10" a="1"/>
  <c r="O918" i="10" s="1"/>
  <c r="A919" i="10"/>
  <c r="C919" i="10"/>
  <c r="D919" i="10"/>
  <c r="O919" i="10" a="1"/>
  <c r="O919" i="10" s="1"/>
  <c r="A920" i="10"/>
  <c r="C920" i="10"/>
  <c r="D920" i="10"/>
  <c r="O920" i="10" a="1"/>
  <c r="O920" i="10" s="1"/>
  <c r="A921" i="10"/>
  <c r="C921" i="10"/>
  <c r="D921" i="10"/>
  <c r="O921" i="10" a="1"/>
  <c r="O921" i="10" s="1"/>
  <c r="A922" i="10"/>
  <c r="C922" i="10"/>
  <c r="D922" i="10"/>
  <c r="O922" i="10" a="1"/>
  <c r="O922" i="10" s="1"/>
  <c r="A923" i="10"/>
  <c r="C923" i="10"/>
  <c r="D923" i="10"/>
  <c r="O923" i="10" a="1"/>
  <c r="O923" i="10" s="1"/>
  <c r="A924" i="10"/>
  <c r="C924" i="10"/>
  <c r="D924" i="10"/>
  <c r="O924" i="10" a="1"/>
  <c r="O924" i="10" s="1"/>
  <c r="A925" i="10"/>
  <c r="C925" i="10"/>
  <c r="D925" i="10"/>
  <c r="O925" i="10" a="1"/>
  <c r="O925" i="10" s="1"/>
  <c r="A926" i="10"/>
  <c r="C926" i="10"/>
  <c r="D926" i="10"/>
  <c r="O926" i="10" a="1"/>
  <c r="O926" i="10" s="1"/>
  <c r="A927" i="10"/>
  <c r="C927" i="10"/>
  <c r="D927" i="10"/>
  <c r="O927" i="10" a="1"/>
  <c r="O927" i="10" s="1"/>
  <c r="A928" i="10"/>
  <c r="C928" i="10"/>
  <c r="D928" i="10"/>
  <c r="O928" i="10" a="1"/>
  <c r="O928" i="10" s="1"/>
  <c r="A929" i="10"/>
  <c r="C929" i="10"/>
  <c r="D929" i="10"/>
  <c r="O929" i="10" a="1"/>
  <c r="O929" i="10" s="1"/>
  <c r="A930" i="10"/>
  <c r="C930" i="10"/>
  <c r="D930" i="10"/>
  <c r="O930" i="10" a="1"/>
  <c r="O930" i="10" s="1"/>
  <c r="A931" i="10"/>
  <c r="C931" i="10"/>
  <c r="D931" i="10"/>
  <c r="O931" i="10" a="1"/>
  <c r="O931" i="10" s="1"/>
  <c r="A932" i="10"/>
  <c r="C932" i="10"/>
  <c r="D932" i="10"/>
  <c r="O932" i="10" a="1"/>
  <c r="O932" i="10" s="1"/>
  <c r="A933" i="10"/>
  <c r="C933" i="10"/>
  <c r="D933" i="10"/>
  <c r="O933" i="10" a="1"/>
  <c r="O933" i="10" s="1"/>
  <c r="A934" i="10"/>
  <c r="C934" i="10"/>
  <c r="D934" i="10"/>
  <c r="O934" i="10" a="1"/>
  <c r="O934" i="10" s="1"/>
  <c r="A935" i="10"/>
  <c r="C935" i="10"/>
  <c r="D935" i="10"/>
  <c r="O935" i="10" a="1"/>
  <c r="O935" i="10" s="1"/>
  <c r="A936" i="10"/>
  <c r="C936" i="10"/>
  <c r="D936" i="10"/>
  <c r="O936" i="10" a="1"/>
  <c r="O936" i="10" s="1"/>
  <c r="A937" i="10"/>
  <c r="C937" i="10"/>
  <c r="D937" i="10"/>
  <c r="O937" i="10" a="1"/>
  <c r="O937" i="10" s="1"/>
  <c r="A938" i="10"/>
  <c r="C938" i="10"/>
  <c r="D938" i="10"/>
  <c r="O938" i="10" a="1"/>
  <c r="O938" i="10" s="1"/>
  <c r="A939" i="10"/>
  <c r="C939" i="10"/>
  <c r="D939" i="10"/>
  <c r="O939" i="10" a="1"/>
  <c r="O939" i="10" s="1"/>
  <c r="A940" i="10"/>
  <c r="C940" i="10"/>
  <c r="D940" i="10"/>
  <c r="O940" i="10" a="1"/>
  <c r="O940" i="10" s="1"/>
  <c r="A941" i="10"/>
  <c r="C941" i="10"/>
  <c r="D941" i="10"/>
  <c r="O941" i="10" a="1"/>
  <c r="O941" i="10" s="1"/>
  <c r="A942" i="10"/>
  <c r="C942" i="10"/>
  <c r="D942" i="10"/>
  <c r="O942" i="10" a="1"/>
  <c r="O942" i="10" s="1"/>
  <c r="A943" i="10"/>
  <c r="C943" i="10"/>
  <c r="D943" i="10"/>
  <c r="O943" i="10" a="1"/>
  <c r="O943" i="10" s="1"/>
  <c r="A944" i="10"/>
  <c r="C944" i="10"/>
  <c r="D944" i="10"/>
  <c r="O944" i="10" a="1"/>
  <c r="O944" i="10" s="1"/>
  <c r="A945" i="10"/>
  <c r="C945" i="10"/>
  <c r="D945" i="10"/>
  <c r="O945" i="10" a="1"/>
  <c r="O945" i="10" s="1"/>
  <c r="A946" i="10"/>
  <c r="C946" i="10"/>
  <c r="D946" i="10"/>
  <c r="O946" i="10" a="1"/>
  <c r="O946" i="10" s="1"/>
  <c r="A947" i="10"/>
  <c r="C947" i="10"/>
  <c r="D947" i="10"/>
  <c r="O947" i="10" a="1"/>
  <c r="O947" i="10" s="1"/>
  <c r="A948" i="10"/>
  <c r="C948" i="10"/>
  <c r="D948" i="10"/>
  <c r="O948" i="10" a="1"/>
  <c r="O948" i="10" s="1"/>
  <c r="A949" i="10"/>
  <c r="C949" i="10"/>
  <c r="D949" i="10"/>
  <c r="O949" i="10" a="1"/>
  <c r="O949" i="10" s="1"/>
  <c r="A950" i="10"/>
  <c r="C950" i="10"/>
  <c r="D950" i="10"/>
  <c r="O950" i="10" a="1"/>
  <c r="O950" i="10" s="1"/>
  <c r="A951" i="10"/>
  <c r="C951" i="10"/>
  <c r="D951" i="10"/>
  <c r="O951" i="10" a="1"/>
  <c r="O951" i="10" s="1"/>
  <c r="A952" i="10"/>
  <c r="C952" i="10"/>
  <c r="D952" i="10"/>
  <c r="O952" i="10" a="1"/>
  <c r="O952" i="10" s="1"/>
  <c r="A953" i="10"/>
  <c r="C953" i="10"/>
  <c r="D953" i="10"/>
  <c r="O953" i="10" a="1"/>
  <c r="O953" i="10" s="1"/>
  <c r="A954" i="10"/>
  <c r="C954" i="10"/>
  <c r="D954" i="10"/>
  <c r="O954" i="10" a="1"/>
  <c r="O954" i="10" s="1"/>
  <c r="A955" i="10"/>
  <c r="C955" i="10"/>
  <c r="D955" i="10"/>
  <c r="O955" i="10" a="1"/>
  <c r="O955" i="10" s="1"/>
  <c r="A956" i="10"/>
  <c r="C956" i="10"/>
  <c r="D956" i="10"/>
  <c r="O956" i="10" a="1"/>
  <c r="O956" i="10" s="1"/>
  <c r="A957" i="10"/>
  <c r="C957" i="10"/>
  <c r="D957" i="10"/>
  <c r="O957" i="10" a="1"/>
  <c r="O957" i="10" s="1"/>
  <c r="A958" i="10"/>
  <c r="C958" i="10"/>
  <c r="D958" i="10"/>
  <c r="O958" i="10" a="1"/>
  <c r="O958" i="10" s="1"/>
  <c r="A959" i="10"/>
  <c r="C959" i="10"/>
  <c r="D959" i="10"/>
  <c r="O959" i="10" a="1"/>
  <c r="O959" i="10" s="1"/>
  <c r="A960" i="10"/>
  <c r="C960" i="10"/>
  <c r="D960" i="10"/>
  <c r="O960" i="10" a="1"/>
  <c r="O960" i="10" s="1"/>
  <c r="A961" i="10"/>
  <c r="C961" i="10"/>
  <c r="D961" i="10"/>
  <c r="O961" i="10" a="1"/>
  <c r="O961" i="10" s="1"/>
  <c r="A962" i="10"/>
  <c r="C962" i="10"/>
  <c r="D962" i="10"/>
  <c r="O962" i="10" a="1"/>
  <c r="O962" i="10" s="1"/>
  <c r="A963" i="10"/>
  <c r="C963" i="10"/>
  <c r="D963" i="10"/>
  <c r="O963" i="10" a="1"/>
  <c r="O963" i="10" s="1"/>
  <c r="A964" i="10"/>
  <c r="C964" i="10"/>
  <c r="D964" i="10"/>
  <c r="O964" i="10" a="1"/>
  <c r="O964" i="10" s="1"/>
  <c r="A965" i="10"/>
  <c r="C965" i="10"/>
  <c r="D965" i="10"/>
  <c r="O965" i="10" a="1"/>
  <c r="O965" i="10" s="1"/>
  <c r="A966" i="10"/>
  <c r="C966" i="10"/>
  <c r="D966" i="10"/>
  <c r="O966" i="10" a="1"/>
  <c r="O966" i="10" s="1"/>
  <c r="A967" i="10"/>
  <c r="C967" i="10"/>
  <c r="D967" i="10"/>
  <c r="O967" i="10" a="1"/>
  <c r="O967" i="10" s="1"/>
  <c r="A968" i="10"/>
  <c r="C968" i="10"/>
  <c r="D968" i="10"/>
  <c r="O968" i="10" a="1"/>
  <c r="O968" i="10" s="1"/>
  <c r="A969" i="10"/>
  <c r="C969" i="10"/>
  <c r="D969" i="10"/>
  <c r="O969" i="10" a="1"/>
  <c r="O969" i="10" s="1"/>
  <c r="A970" i="10"/>
  <c r="C970" i="10"/>
  <c r="D970" i="10"/>
  <c r="O970" i="10" a="1"/>
  <c r="O970" i="10" s="1"/>
  <c r="A971" i="10"/>
  <c r="C971" i="10"/>
  <c r="D971" i="10"/>
  <c r="O971" i="10" a="1"/>
  <c r="O971" i="10" s="1"/>
  <c r="A972" i="10"/>
  <c r="C972" i="10"/>
  <c r="D972" i="10"/>
  <c r="O972" i="10" a="1"/>
  <c r="O972" i="10" s="1"/>
  <c r="A973" i="10"/>
  <c r="C973" i="10"/>
  <c r="D973" i="10"/>
  <c r="O973" i="10" a="1"/>
  <c r="O973" i="10" s="1"/>
  <c r="A974" i="10"/>
  <c r="C974" i="10"/>
  <c r="D974" i="10"/>
  <c r="O974" i="10" a="1"/>
  <c r="O974" i="10" s="1"/>
  <c r="A975" i="10"/>
  <c r="C975" i="10"/>
  <c r="D975" i="10"/>
  <c r="O975" i="10" a="1"/>
  <c r="O975" i="10" s="1"/>
  <c r="A976" i="10"/>
  <c r="C976" i="10"/>
  <c r="D976" i="10"/>
  <c r="O976" i="10" a="1"/>
  <c r="O976" i="10" s="1"/>
  <c r="A977" i="10"/>
  <c r="C977" i="10"/>
  <c r="D977" i="10"/>
  <c r="O977" i="10" a="1"/>
  <c r="O977" i="10" s="1"/>
  <c r="A978" i="10"/>
  <c r="C978" i="10"/>
  <c r="D978" i="10"/>
  <c r="O978" i="10" a="1"/>
  <c r="O978" i="10" s="1"/>
  <c r="A979" i="10"/>
  <c r="C979" i="10"/>
  <c r="D979" i="10"/>
  <c r="O979" i="10" a="1"/>
  <c r="O979" i="10" s="1"/>
  <c r="A980" i="10"/>
  <c r="C980" i="10"/>
  <c r="D980" i="10"/>
  <c r="O980" i="10" a="1"/>
  <c r="O980" i="10" s="1"/>
  <c r="A981" i="10"/>
  <c r="C981" i="10"/>
  <c r="D981" i="10"/>
  <c r="O981" i="10" a="1"/>
  <c r="O981" i="10" s="1"/>
  <c r="A982" i="10"/>
  <c r="C982" i="10"/>
  <c r="D982" i="10"/>
  <c r="O982" i="10" a="1"/>
  <c r="O982" i="10" s="1"/>
  <c r="A983" i="10"/>
  <c r="C983" i="10"/>
  <c r="D983" i="10"/>
  <c r="O983" i="10" a="1"/>
  <c r="O983" i="10" s="1"/>
  <c r="A984" i="10"/>
  <c r="C984" i="10"/>
  <c r="D984" i="10"/>
  <c r="O984" i="10" a="1"/>
  <c r="O984" i="10" s="1"/>
  <c r="A985" i="10"/>
  <c r="C985" i="10"/>
  <c r="D985" i="10"/>
  <c r="O985" i="10" a="1"/>
  <c r="O985" i="10" s="1"/>
  <c r="A986" i="10"/>
  <c r="C986" i="10"/>
  <c r="D986" i="10"/>
  <c r="O986" i="10" a="1"/>
  <c r="O986" i="10" s="1"/>
  <c r="A987" i="10"/>
  <c r="C987" i="10"/>
  <c r="D987" i="10"/>
  <c r="O987" i="10" a="1"/>
  <c r="O987" i="10" s="1"/>
  <c r="A988" i="10"/>
  <c r="C988" i="10"/>
  <c r="D988" i="10"/>
  <c r="O988" i="10" a="1"/>
  <c r="O988" i="10" s="1"/>
  <c r="A989" i="10"/>
  <c r="C989" i="10"/>
  <c r="D989" i="10"/>
  <c r="O989" i="10" a="1"/>
  <c r="O989" i="10" s="1"/>
  <c r="A990" i="10"/>
  <c r="C990" i="10"/>
  <c r="D990" i="10"/>
  <c r="O990" i="10" a="1"/>
  <c r="O990" i="10" s="1"/>
  <c r="A991" i="10"/>
  <c r="C991" i="10"/>
  <c r="D991" i="10"/>
  <c r="O991" i="10" a="1"/>
  <c r="O991" i="10" s="1"/>
  <c r="A992" i="10"/>
  <c r="C992" i="10"/>
  <c r="D992" i="10"/>
  <c r="O992" i="10" a="1"/>
  <c r="O992" i="10" s="1"/>
  <c r="A993" i="10"/>
  <c r="C993" i="10"/>
  <c r="D993" i="10"/>
  <c r="O993" i="10" a="1"/>
  <c r="O993" i="10" s="1"/>
  <c r="A994" i="10"/>
  <c r="C994" i="10"/>
  <c r="D994" i="10"/>
  <c r="O994" i="10" a="1"/>
  <c r="O994" i="10" s="1"/>
  <c r="A995" i="10"/>
  <c r="C995" i="10"/>
  <c r="D995" i="10"/>
  <c r="O995" i="10" a="1"/>
  <c r="O995" i="10" s="1"/>
  <c r="A996" i="10"/>
  <c r="C996" i="10"/>
  <c r="D996" i="10"/>
  <c r="O996" i="10" a="1"/>
  <c r="O996" i="10" s="1"/>
  <c r="A997" i="10"/>
  <c r="C997" i="10"/>
  <c r="D997" i="10"/>
  <c r="O997" i="10" a="1"/>
  <c r="O997" i="10" s="1"/>
  <c r="A998" i="10"/>
  <c r="C998" i="10"/>
  <c r="D998" i="10"/>
  <c r="O998" i="10" a="1"/>
  <c r="O998" i="10" s="1"/>
  <c r="A999" i="10"/>
  <c r="C999" i="10"/>
  <c r="D999" i="10"/>
  <c r="O999" i="10" a="1"/>
  <c r="O999" i="10" s="1"/>
  <c r="A1000" i="10"/>
  <c r="C1000" i="10"/>
  <c r="D1000" i="10"/>
  <c r="O1000" i="10" a="1"/>
  <c r="O1000" i="10" s="1"/>
  <c r="A1001" i="10"/>
  <c r="C1001" i="10"/>
  <c r="D1001" i="10"/>
  <c r="O1001" i="10" a="1"/>
  <c r="O1001" i="10" s="1"/>
  <c r="A1002" i="10"/>
  <c r="C1002" i="10"/>
  <c r="D1002" i="10"/>
  <c r="O1002" i="10" a="1"/>
  <c r="O1002" i="10" s="1"/>
  <c r="A1003" i="10"/>
  <c r="C1003" i="10"/>
  <c r="D1003" i="10"/>
  <c r="O1003" i="10" a="1"/>
  <c r="O1003" i="10" s="1"/>
  <c r="A1004" i="10"/>
  <c r="C1004" i="10"/>
  <c r="D1004" i="10"/>
  <c r="O1004" i="10" a="1"/>
  <c r="O1004" i="10" s="1"/>
  <c r="A1005" i="10"/>
  <c r="C1005" i="10"/>
  <c r="D1005" i="10"/>
  <c r="O1005" i="10" a="1"/>
  <c r="O1005" i="10" s="1"/>
  <c r="A1006" i="10"/>
  <c r="C1006" i="10"/>
  <c r="D1006" i="10"/>
  <c r="O1006" i="10" a="1"/>
  <c r="O1006" i="10" s="1"/>
  <c r="A1007" i="10"/>
  <c r="C1007" i="10"/>
  <c r="D1007" i="10"/>
  <c r="O1007" i="10" a="1"/>
  <c r="O1007" i="10" s="1"/>
  <c r="A1008" i="10"/>
  <c r="C1008" i="10"/>
  <c r="D1008" i="10"/>
  <c r="O1008" i="10" a="1"/>
  <c r="O1008" i="10" s="1"/>
  <c r="A1009" i="10"/>
  <c r="C1009" i="10"/>
  <c r="D1009" i="10"/>
  <c r="O1009" i="10" a="1"/>
  <c r="O1009" i="10" s="1"/>
  <c r="A1010" i="10"/>
  <c r="C1010" i="10"/>
  <c r="D1010" i="10"/>
  <c r="O1010" i="10" a="1"/>
  <c r="O1010" i="10" s="1"/>
  <c r="A1011" i="10"/>
  <c r="C1011" i="10"/>
  <c r="D1011" i="10"/>
  <c r="O1011" i="10" a="1"/>
  <c r="O1011" i="10" s="1"/>
  <c r="A1012" i="10"/>
  <c r="C1012" i="10"/>
  <c r="D1012" i="10"/>
  <c r="O1012" i="10" a="1"/>
  <c r="O1012" i="10" s="1"/>
  <c r="A1013" i="10"/>
  <c r="C1013" i="10"/>
  <c r="D1013" i="10"/>
  <c r="O1013" i="10" a="1"/>
  <c r="O1013" i="10" s="1"/>
  <c r="A1014" i="10"/>
  <c r="C1014" i="10"/>
  <c r="D1014" i="10"/>
  <c r="O1014" i="10" a="1"/>
  <c r="O1014" i="10" s="1"/>
  <c r="A1015" i="10"/>
  <c r="C1015" i="10"/>
  <c r="D1015" i="10"/>
  <c r="O1015" i="10" a="1"/>
  <c r="O1015" i="10" s="1"/>
  <c r="A1016" i="10"/>
  <c r="C1016" i="10"/>
  <c r="D1016" i="10"/>
  <c r="O1016" i="10" a="1"/>
  <c r="O1016" i="10" s="1"/>
  <c r="A1017" i="10"/>
  <c r="C1017" i="10"/>
  <c r="D1017" i="10"/>
  <c r="O1017" i="10" a="1"/>
  <c r="O1017" i="10" s="1"/>
  <c r="A1018" i="10"/>
  <c r="C1018" i="10"/>
  <c r="D1018" i="10"/>
  <c r="O1018" i="10" a="1"/>
  <c r="O1018" i="10" s="1"/>
  <c r="A1019" i="10"/>
  <c r="C1019" i="10"/>
  <c r="D1019" i="10"/>
  <c r="O1019" i="10" a="1"/>
  <c r="O1019" i="10" s="1"/>
  <c r="A1020" i="10"/>
  <c r="C1020" i="10"/>
  <c r="D1020" i="10"/>
  <c r="O1020" i="10" a="1"/>
  <c r="O1020" i="10" s="1"/>
  <c r="A1021" i="10"/>
  <c r="C1021" i="10"/>
  <c r="D1021" i="10"/>
  <c r="O1021" i="10" a="1"/>
  <c r="O1021" i="10" s="1"/>
  <c r="A1022" i="10"/>
  <c r="C1022" i="10"/>
  <c r="D1022" i="10"/>
  <c r="O1022" i="10" a="1"/>
  <c r="O1022" i="10" s="1"/>
  <c r="A1023" i="10"/>
  <c r="C1023" i="10"/>
  <c r="D1023" i="10"/>
  <c r="O1023" i="10" a="1"/>
  <c r="O1023" i="10" s="1"/>
  <c r="A1024" i="10"/>
  <c r="C1024" i="10"/>
  <c r="D1024" i="10"/>
  <c r="O1024" i="10" a="1"/>
  <c r="O1024" i="10" s="1"/>
  <c r="A1025" i="10"/>
  <c r="C1025" i="10"/>
  <c r="D1025" i="10"/>
  <c r="O1025" i="10" a="1"/>
  <c r="O1025" i="10" s="1"/>
  <c r="A1026" i="10"/>
  <c r="C1026" i="10"/>
  <c r="D1026" i="10"/>
  <c r="O1026" i="10" a="1"/>
  <c r="O1026" i="10" s="1"/>
  <c r="A1027" i="10"/>
  <c r="C1027" i="10"/>
  <c r="D1027" i="10"/>
  <c r="O1027" i="10" a="1"/>
  <c r="O1027" i="10" s="1"/>
  <c r="A1028" i="10"/>
  <c r="C1028" i="10"/>
  <c r="D1028" i="10"/>
  <c r="O1028" i="10" a="1"/>
  <c r="O1028" i="10" s="1"/>
  <c r="A1029" i="10"/>
  <c r="C1029" i="10"/>
  <c r="D1029" i="10"/>
  <c r="O1029" i="10" a="1"/>
  <c r="O1029" i="10" s="1"/>
  <c r="A1030" i="10"/>
  <c r="C1030" i="10"/>
  <c r="D1030" i="10"/>
  <c r="O1030" i="10" a="1"/>
  <c r="O1030" i="10" s="1"/>
  <c r="A1031" i="10"/>
  <c r="C1031" i="10"/>
  <c r="D1031" i="10"/>
  <c r="O1031" i="10" a="1"/>
  <c r="O1031" i="10" s="1"/>
  <c r="A1032" i="10"/>
  <c r="C1032" i="10"/>
  <c r="D1032" i="10"/>
  <c r="O1032" i="10" a="1"/>
  <c r="O1032" i="10" s="1"/>
  <c r="A1033" i="10"/>
  <c r="C1033" i="10"/>
  <c r="D1033" i="10"/>
  <c r="O1033" i="10" a="1"/>
  <c r="O1033" i="10" s="1"/>
  <c r="A1034" i="10"/>
  <c r="C1034" i="10"/>
  <c r="D1034" i="10"/>
  <c r="O1034" i="10" a="1"/>
  <c r="O1034" i="10" s="1"/>
  <c r="A1035" i="10"/>
  <c r="C1035" i="10"/>
  <c r="D1035" i="10"/>
  <c r="O1035" i="10" a="1"/>
  <c r="O1035" i="10" s="1"/>
  <c r="A1036" i="10"/>
  <c r="C1036" i="10"/>
  <c r="D1036" i="10"/>
  <c r="O1036" i="10" a="1"/>
  <c r="O1036" i="10" s="1"/>
  <c r="A1037" i="10"/>
  <c r="C1037" i="10"/>
  <c r="D1037" i="10"/>
  <c r="O1037" i="10" a="1"/>
  <c r="O1037" i="10" s="1"/>
  <c r="A1038" i="10"/>
  <c r="C1038" i="10"/>
  <c r="D1038" i="10"/>
  <c r="O1038" i="10" a="1"/>
  <c r="O1038" i="10" s="1"/>
  <c r="A1039" i="10"/>
  <c r="C1039" i="10"/>
  <c r="D1039" i="10"/>
  <c r="O1039" i="10" a="1"/>
  <c r="O1039" i="10" s="1"/>
  <c r="A1040" i="10"/>
  <c r="C1040" i="10"/>
  <c r="D1040" i="10"/>
  <c r="O1040" i="10" a="1"/>
  <c r="O1040" i="10" s="1"/>
  <c r="A1041" i="10"/>
  <c r="C1041" i="10"/>
  <c r="D1041" i="10"/>
  <c r="O1041" i="10" a="1"/>
  <c r="O1041" i="10" s="1"/>
  <c r="A1042" i="10"/>
  <c r="C1042" i="10"/>
  <c r="D1042" i="10"/>
  <c r="O1042" i="10" a="1"/>
  <c r="O1042" i="10" s="1"/>
  <c r="A1043" i="10"/>
  <c r="C1043" i="10"/>
  <c r="D1043" i="10"/>
  <c r="O1043" i="10" a="1"/>
  <c r="O1043" i="10" s="1"/>
  <c r="A1044" i="10"/>
  <c r="C1044" i="10"/>
  <c r="D1044" i="10"/>
  <c r="O1044" i="10" a="1"/>
  <c r="O1044" i="10" s="1"/>
  <c r="A1045" i="10"/>
  <c r="C1045" i="10"/>
  <c r="D1045" i="10"/>
  <c r="O1045" i="10" a="1"/>
  <c r="O1045" i="10" s="1"/>
  <c r="A1046" i="10"/>
  <c r="C1046" i="10"/>
  <c r="D1046" i="10"/>
  <c r="O1046" i="10" a="1"/>
  <c r="O1046" i="10" s="1"/>
  <c r="A1047" i="10"/>
  <c r="C1047" i="10"/>
  <c r="D1047" i="10"/>
  <c r="O1047" i="10" a="1"/>
  <c r="O1047" i="10" s="1"/>
  <c r="A1048" i="10"/>
  <c r="C1048" i="10"/>
  <c r="D1048" i="10"/>
  <c r="O1048" i="10" a="1"/>
  <c r="O1048" i="10" s="1"/>
  <c r="A1049" i="10"/>
  <c r="C1049" i="10"/>
  <c r="D1049" i="10"/>
  <c r="O1049" i="10" a="1"/>
  <c r="O1049" i="10" s="1"/>
  <c r="A1050" i="10"/>
  <c r="C1050" i="10"/>
  <c r="D1050" i="10"/>
  <c r="O1050" i="10" a="1"/>
  <c r="O1050" i="10" s="1"/>
  <c r="A1051" i="10"/>
  <c r="C1051" i="10"/>
  <c r="D1051" i="10"/>
  <c r="O1051" i="10" a="1"/>
  <c r="O1051" i="10" s="1"/>
  <c r="A1052" i="10"/>
  <c r="C1052" i="10"/>
  <c r="D1052" i="10"/>
  <c r="O1052" i="10" a="1"/>
  <c r="O1052" i="10" s="1"/>
  <c r="A1053" i="10"/>
  <c r="C1053" i="10"/>
  <c r="D1053" i="10"/>
  <c r="O1053" i="10" a="1"/>
  <c r="O1053" i="10" s="1"/>
  <c r="A1054" i="10"/>
  <c r="C1054" i="10"/>
  <c r="D1054" i="10"/>
  <c r="O1054" i="10" a="1"/>
  <c r="O1054" i="10" s="1"/>
  <c r="A1055" i="10"/>
  <c r="C1055" i="10"/>
  <c r="D1055" i="10"/>
  <c r="O1055" i="10" a="1"/>
  <c r="O1055" i="10" s="1"/>
  <c r="A1056" i="10"/>
  <c r="C1056" i="10"/>
  <c r="D1056" i="10"/>
  <c r="O1056" i="10" a="1"/>
  <c r="O1056" i="10" s="1"/>
  <c r="A1057" i="10"/>
  <c r="C1057" i="10"/>
  <c r="D1057" i="10"/>
  <c r="O1057" i="10" a="1"/>
  <c r="O1057" i="10" s="1"/>
  <c r="A1058" i="10"/>
  <c r="C1058" i="10"/>
  <c r="D1058" i="10"/>
  <c r="O1058" i="10" a="1"/>
  <c r="O1058" i="10" s="1"/>
  <c r="A1059" i="10"/>
  <c r="C1059" i="10"/>
  <c r="D1059" i="10"/>
  <c r="O1059" i="10" a="1"/>
  <c r="O1059" i="10" s="1"/>
  <c r="A1060" i="10"/>
  <c r="C1060" i="10"/>
  <c r="D1060" i="10"/>
  <c r="O1060" i="10" a="1"/>
  <c r="O1060" i="10" s="1"/>
  <c r="A1061" i="10"/>
  <c r="C1061" i="10"/>
  <c r="D1061" i="10"/>
  <c r="O1061" i="10" a="1"/>
  <c r="O1061" i="10" s="1"/>
  <c r="A1062" i="10"/>
  <c r="C1062" i="10"/>
  <c r="D1062" i="10"/>
  <c r="O1062" i="10" a="1"/>
  <c r="O1062" i="10" s="1"/>
  <c r="A1063" i="10"/>
  <c r="C1063" i="10"/>
  <c r="D1063" i="10"/>
  <c r="O1063" i="10" a="1"/>
  <c r="O1063" i="10" s="1"/>
  <c r="A1064" i="10"/>
  <c r="C1064" i="10"/>
  <c r="D1064" i="10"/>
  <c r="O1064" i="10" a="1"/>
  <c r="O1064" i="10" s="1"/>
  <c r="A1065" i="10"/>
  <c r="C1065" i="10"/>
  <c r="D1065" i="10"/>
  <c r="O1065" i="10" a="1"/>
  <c r="O1065" i="10" s="1"/>
  <c r="A1066" i="10"/>
  <c r="C1066" i="10"/>
  <c r="D1066" i="10"/>
  <c r="O1066" i="10" a="1"/>
  <c r="O1066" i="10" s="1"/>
  <c r="A1067" i="10"/>
  <c r="C1067" i="10"/>
  <c r="D1067" i="10"/>
  <c r="O1067" i="10" a="1"/>
  <c r="O1067" i="10" s="1"/>
  <c r="A1068" i="10"/>
  <c r="C1068" i="10"/>
  <c r="D1068" i="10"/>
  <c r="O1068" i="10" a="1"/>
  <c r="O1068" i="10" s="1"/>
  <c r="A1069" i="10"/>
  <c r="C1069" i="10"/>
  <c r="D1069" i="10"/>
  <c r="O1069" i="10" a="1"/>
  <c r="O1069" i="10" s="1"/>
  <c r="A1070" i="10"/>
  <c r="C1070" i="10"/>
  <c r="D1070" i="10"/>
  <c r="O1070" i="10" a="1"/>
  <c r="O1070" i="10"/>
  <c r="A1071" i="10"/>
  <c r="C1071" i="10"/>
  <c r="D1071" i="10"/>
  <c r="O1071" i="10" a="1"/>
  <c r="O1071" i="10" s="1"/>
  <c r="A1072" i="10"/>
  <c r="C1072" i="10"/>
  <c r="D1072" i="10"/>
  <c r="O1072" i="10" a="1"/>
  <c r="O1072" i="10" s="1"/>
  <c r="A1073" i="10"/>
  <c r="C1073" i="10"/>
  <c r="D1073" i="10"/>
  <c r="O1073" i="10" a="1"/>
  <c r="O1073" i="10" s="1"/>
  <c r="A1074" i="10"/>
  <c r="C1074" i="10"/>
  <c r="D1074" i="10"/>
  <c r="O1074" i="10" a="1"/>
  <c r="O1074" i="10" s="1"/>
  <c r="A1075" i="10"/>
  <c r="C1075" i="10"/>
  <c r="D1075" i="10"/>
  <c r="O1075" i="10" a="1"/>
  <c r="O1075" i="10" s="1"/>
  <c r="A1076" i="10"/>
  <c r="C1076" i="10"/>
  <c r="D1076" i="10"/>
  <c r="O1076" i="10" a="1"/>
  <c r="O1076" i="10" s="1"/>
  <c r="A1077" i="10"/>
  <c r="C1077" i="10"/>
  <c r="D1077" i="10"/>
  <c r="O1077" i="10" a="1"/>
  <c r="O1077" i="10" s="1"/>
  <c r="A899" i="10"/>
  <c r="C899" i="10"/>
  <c r="D899" i="10"/>
  <c r="O899" i="10" a="1"/>
  <c r="O899" i="10" s="1"/>
  <c r="A721" i="10"/>
  <c r="C721" i="10"/>
  <c r="D721" i="10"/>
  <c r="O721" i="10" a="1"/>
  <c r="O721" i="10" s="1"/>
  <c r="A722" i="10"/>
  <c r="C722" i="10"/>
  <c r="D722" i="10"/>
  <c r="O722" i="10" a="1"/>
  <c r="O722" i="10" s="1"/>
  <c r="A723" i="10"/>
  <c r="C723" i="10"/>
  <c r="D723" i="10"/>
  <c r="O723" i="10" a="1"/>
  <c r="O723" i="10" s="1"/>
  <c r="A724" i="10"/>
  <c r="C724" i="10"/>
  <c r="D724" i="10"/>
  <c r="O724" i="10" a="1"/>
  <c r="O724" i="10" s="1"/>
  <c r="A725" i="10"/>
  <c r="C725" i="10"/>
  <c r="D725" i="10"/>
  <c r="O725" i="10" a="1"/>
  <c r="O725" i="10" s="1"/>
  <c r="A726" i="10"/>
  <c r="C726" i="10"/>
  <c r="D726" i="10"/>
  <c r="O726" i="10" a="1"/>
  <c r="O726" i="10" s="1"/>
  <c r="A727" i="10"/>
  <c r="C727" i="10"/>
  <c r="D727" i="10"/>
  <c r="O727" i="10" a="1"/>
  <c r="O727" i="10" s="1"/>
  <c r="A728" i="10"/>
  <c r="C728" i="10"/>
  <c r="D728" i="10"/>
  <c r="O728" i="10" a="1"/>
  <c r="O728" i="10" s="1"/>
  <c r="A729" i="10"/>
  <c r="C729" i="10"/>
  <c r="D729" i="10"/>
  <c r="O729" i="10" a="1"/>
  <c r="O729" i="10" s="1"/>
  <c r="A730" i="10"/>
  <c r="C730" i="10"/>
  <c r="D730" i="10"/>
  <c r="O730" i="10" a="1"/>
  <c r="O730" i="10" s="1"/>
  <c r="A731" i="10"/>
  <c r="C731" i="10"/>
  <c r="D731" i="10"/>
  <c r="O731" i="10" a="1"/>
  <c r="O731" i="10" s="1"/>
  <c r="A732" i="10"/>
  <c r="C732" i="10"/>
  <c r="D732" i="10"/>
  <c r="O732" i="10" a="1"/>
  <c r="O732" i="10" s="1"/>
  <c r="A733" i="10"/>
  <c r="C733" i="10"/>
  <c r="D733" i="10"/>
  <c r="O733" i="10" a="1"/>
  <c r="O733" i="10" s="1"/>
  <c r="A734" i="10"/>
  <c r="C734" i="10"/>
  <c r="D734" i="10"/>
  <c r="O734" i="10" a="1"/>
  <c r="O734" i="10" s="1"/>
  <c r="A735" i="10"/>
  <c r="C735" i="10"/>
  <c r="D735" i="10"/>
  <c r="O735" i="10" a="1"/>
  <c r="O735" i="10" s="1"/>
  <c r="A736" i="10"/>
  <c r="C736" i="10"/>
  <c r="D736" i="10"/>
  <c r="O736" i="10" a="1"/>
  <c r="O736" i="10" s="1"/>
  <c r="A737" i="10"/>
  <c r="C737" i="10"/>
  <c r="D737" i="10"/>
  <c r="O737" i="10" a="1"/>
  <c r="O737" i="10" s="1"/>
  <c r="A738" i="10"/>
  <c r="C738" i="10"/>
  <c r="D738" i="10"/>
  <c r="O738" i="10" a="1"/>
  <c r="O738" i="10" s="1"/>
  <c r="A739" i="10"/>
  <c r="C739" i="10"/>
  <c r="D739" i="10"/>
  <c r="O739" i="10" a="1"/>
  <c r="O739" i="10" s="1"/>
  <c r="A740" i="10"/>
  <c r="C740" i="10"/>
  <c r="D740" i="10"/>
  <c r="O740" i="10" a="1"/>
  <c r="O740" i="10" s="1"/>
  <c r="A741" i="10"/>
  <c r="C741" i="10"/>
  <c r="D741" i="10"/>
  <c r="O741" i="10" a="1"/>
  <c r="O741" i="10" s="1"/>
  <c r="A742" i="10"/>
  <c r="C742" i="10"/>
  <c r="D742" i="10"/>
  <c r="O742" i="10" a="1"/>
  <c r="O742" i="10" s="1"/>
  <c r="A743" i="10"/>
  <c r="C743" i="10"/>
  <c r="D743" i="10"/>
  <c r="O743" i="10" a="1"/>
  <c r="O743" i="10" s="1"/>
  <c r="A744" i="10"/>
  <c r="C744" i="10"/>
  <c r="D744" i="10"/>
  <c r="O744" i="10" a="1"/>
  <c r="O744" i="10" s="1"/>
  <c r="A745" i="10"/>
  <c r="C745" i="10"/>
  <c r="D745" i="10"/>
  <c r="O745" i="10" a="1"/>
  <c r="O745" i="10" s="1"/>
  <c r="A746" i="10"/>
  <c r="C746" i="10"/>
  <c r="D746" i="10"/>
  <c r="O746" i="10" a="1"/>
  <c r="O746" i="10" s="1"/>
  <c r="A747" i="10"/>
  <c r="C747" i="10"/>
  <c r="D747" i="10"/>
  <c r="O747" i="10" a="1"/>
  <c r="O747" i="10" s="1"/>
  <c r="A748" i="10"/>
  <c r="C748" i="10"/>
  <c r="D748" i="10"/>
  <c r="O748" i="10" a="1"/>
  <c r="O748" i="10" s="1"/>
  <c r="A749" i="10"/>
  <c r="C749" i="10"/>
  <c r="D749" i="10"/>
  <c r="O749" i="10" a="1"/>
  <c r="O749" i="10" s="1"/>
  <c r="A750" i="10"/>
  <c r="C750" i="10"/>
  <c r="D750" i="10"/>
  <c r="O750" i="10" a="1"/>
  <c r="O750" i="10" s="1"/>
  <c r="A751" i="10"/>
  <c r="C751" i="10"/>
  <c r="D751" i="10"/>
  <c r="O751" i="10" a="1"/>
  <c r="O751" i="10" s="1"/>
  <c r="A752" i="10"/>
  <c r="C752" i="10"/>
  <c r="D752" i="10"/>
  <c r="O752" i="10" a="1"/>
  <c r="O752" i="10" s="1"/>
  <c r="A753" i="10"/>
  <c r="C753" i="10"/>
  <c r="D753" i="10"/>
  <c r="O753" i="10" a="1"/>
  <c r="O753" i="10" s="1"/>
  <c r="A754" i="10"/>
  <c r="C754" i="10"/>
  <c r="D754" i="10"/>
  <c r="O754" i="10" a="1"/>
  <c r="O754" i="10" s="1"/>
  <c r="A755" i="10"/>
  <c r="C755" i="10"/>
  <c r="D755" i="10"/>
  <c r="O755" i="10" a="1"/>
  <c r="O755" i="10" s="1"/>
  <c r="A756" i="10"/>
  <c r="C756" i="10"/>
  <c r="D756" i="10"/>
  <c r="O756" i="10" a="1"/>
  <c r="O756" i="10" s="1"/>
  <c r="A757" i="10"/>
  <c r="C757" i="10"/>
  <c r="D757" i="10"/>
  <c r="O757" i="10" a="1"/>
  <c r="O757" i="10" s="1"/>
  <c r="A758" i="10"/>
  <c r="C758" i="10"/>
  <c r="D758" i="10"/>
  <c r="O758" i="10" a="1"/>
  <c r="O758" i="10" s="1"/>
  <c r="A759" i="10"/>
  <c r="C759" i="10"/>
  <c r="D759" i="10"/>
  <c r="O759" i="10" a="1"/>
  <c r="O759" i="10" s="1"/>
  <c r="A760" i="10"/>
  <c r="C760" i="10"/>
  <c r="D760" i="10"/>
  <c r="O760" i="10" a="1"/>
  <c r="O760" i="10" s="1"/>
  <c r="A761" i="10"/>
  <c r="C761" i="10"/>
  <c r="D761" i="10"/>
  <c r="O761" i="10" a="1"/>
  <c r="O761" i="10" s="1"/>
  <c r="A762" i="10"/>
  <c r="C762" i="10"/>
  <c r="D762" i="10"/>
  <c r="O762" i="10" a="1"/>
  <c r="O762" i="10" s="1"/>
  <c r="A763" i="10"/>
  <c r="C763" i="10"/>
  <c r="D763" i="10"/>
  <c r="O763" i="10" a="1"/>
  <c r="O763" i="10" s="1"/>
  <c r="A764" i="10"/>
  <c r="C764" i="10"/>
  <c r="D764" i="10"/>
  <c r="O764" i="10" a="1"/>
  <c r="O764" i="10" s="1"/>
  <c r="A765" i="10"/>
  <c r="C765" i="10"/>
  <c r="D765" i="10"/>
  <c r="O765" i="10" a="1"/>
  <c r="O765" i="10" s="1"/>
  <c r="A766" i="10"/>
  <c r="C766" i="10"/>
  <c r="D766" i="10"/>
  <c r="O766" i="10" a="1"/>
  <c r="O766" i="10" s="1"/>
  <c r="A767" i="10"/>
  <c r="C767" i="10"/>
  <c r="D767" i="10"/>
  <c r="O767" i="10" a="1"/>
  <c r="O767" i="10" s="1"/>
  <c r="A768" i="10"/>
  <c r="C768" i="10"/>
  <c r="D768" i="10"/>
  <c r="O768" i="10" a="1"/>
  <c r="O768" i="10" s="1"/>
  <c r="A769" i="10"/>
  <c r="C769" i="10"/>
  <c r="D769" i="10"/>
  <c r="O769" i="10" a="1"/>
  <c r="O769" i="10" s="1"/>
  <c r="A770" i="10"/>
  <c r="C770" i="10"/>
  <c r="D770" i="10"/>
  <c r="O770" i="10" a="1"/>
  <c r="O770" i="10" s="1"/>
  <c r="A771" i="10"/>
  <c r="C771" i="10"/>
  <c r="D771" i="10"/>
  <c r="O771" i="10" a="1"/>
  <c r="O771" i="10" s="1"/>
  <c r="A772" i="10"/>
  <c r="C772" i="10"/>
  <c r="D772" i="10"/>
  <c r="O772" i="10" a="1"/>
  <c r="O772" i="10" s="1"/>
  <c r="A773" i="10"/>
  <c r="C773" i="10"/>
  <c r="D773" i="10"/>
  <c r="O773" i="10" a="1"/>
  <c r="O773" i="10" s="1"/>
  <c r="A774" i="10"/>
  <c r="C774" i="10"/>
  <c r="D774" i="10"/>
  <c r="O774" i="10" a="1"/>
  <c r="O774" i="10" s="1"/>
  <c r="A775" i="10"/>
  <c r="C775" i="10"/>
  <c r="D775" i="10"/>
  <c r="O775" i="10" a="1"/>
  <c r="O775" i="10" s="1"/>
  <c r="A776" i="10"/>
  <c r="C776" i="10"/>
  <c r="D776" i="10"/>
  <c r="O776" i="10" a="1"/>
  <c r="O776" i="10" s="1"/>
  <c r="A777" i="10"/>
  <c r="C777" i="10"/>
  <c r="D777" i="10"/>
  <c r="O777" i="10" a="1"/>
  <c r="O777" i="10" s="1"/>
  <c r="A778" i="10"/>
  <c r="C778" i="10"/>
  <c r="D778" i="10"/>
  <c r="O778" i="10" a="1"/>
  <c r="O778" i="10" s="1"/>
  <c r="A779" i="10"/>
  <c r="C779" i="10"/>
  <c r="D779" i="10"/>
  <c r="O779" i="10" a="1"/>
  <c r="O779" i="10" s="1"/>
  <c r="A780" i="10"/>
  <c r="C780" i="10"/>
  <c r="D780" i="10"/>
  <c r="O780" i="10" a="1"/>
  <c r="O780" i="10" s="1"/>
  <c r="A781" i="10"/>
  <c r="C781" i="10"/>
  <c r="D781" i="10"/>
  <c r="O781" i="10" a="1"/>
  <c r="O781" i="10" s="1"/>
  <c r="A782" i="10"/>
  <c r="C782" i="10"/>
  <c r="D782" i="10"/>
  <c r="O782" i="10" a="1"/>
  <c r="O782" i="10" s="1"/>
  <c r="A783" i="10"/>
  <c r="C783" i="10"/>
  <c r="D783" i="10"/>
  <c r="O783" i="10" a="1"/>
  <c r="O783" i="10" s="1"/>
  <c r="A784" i="10"/>
  <c r="C784" i="10"/>
  <c r="D784" i="10"/>
  <c r="O784" i="10" a="1"/>
  <c r="O784" i="10" s="1"/>
  <c r="A785" i="10"/>
  <c r="C785" i="10"/>
  <c r="D785" i="10"/>
  <c r="O785" i="10" a="1"/>
  <c r="O785" i="10" s="1"/>
  <c r="A786" i="10"/>
  <c r="C786" i="10"/>
  <c r="D786" i="10"/>
  <c r="O786" i="10" a="1"/>
  <c r="O786" i="10" s="1"/>
  <c r="A787" i="10"/>
  <c r="C787" i="10"/>
  <c r="D787" i="10"/>
  <c r="O787" i="10" a="1"/>
  <c r="O787" i="10" s="1"/>
  <c r="A788" i="10"/>
  <c r="C788" i="10"/>
  <c r="D788" i="10"/>
  <c r="O788" i="10" a="1"/>
  <c r="O788" i="10" s="1"/>
  <c r="A789" i="10"/>
  <c r="C789" i="10"/>
  <c r="D789" i="10"/>
  <c r="O789" i="10" a="1"/>
  <c r="O789" i="10" s="1"/>
  <c r="A790" i="10"/>
  <c r="C790" i="10"/>
  <c r="D790" i="10"/>
  <c r="O790" i="10" a="1"/>
  <c r="O790" i="10" s="1"/>
  <c r="A791" i="10"/>
  <c r="C791" i="10"/>
  <c r="D791" i="10"/>
  <c r="O791" i="10" a="1"/>
  <c r="O791" i="10" s="1"/>
  <c r="A792" i="10"/>
  <c r="C792" i="10"/>
  <c r="D792" i="10"/>
  <c r="O792" i="10" a="1"/>
  <c r="O792" i="10" s="1"/>
  <c r="A793" i="10"/>
  <c r="C793" i="10"/>
  <c r="D793" i="10"/>
  <c r="O793" i="10" a="1"/>
  <c r="O793" i="10" s="1"/>
  <c r="A794" i="10"/>
  <c r="C794" i="10"/>
  <c r="D794" i="10"/>
  <c r="O794" i="10" a="1"/>
  <c r="O794" i="10" s="1"/>
  <c r="A795" i="10"/>
  <c r="C795" i="10"/>
  <c r="D795" i="10"/>
  <c r="O795" i="10" a="1"/>
  <c r="O795" i="10" s="1"/>
  <c r="A796" i="10"/>
  <c r="C796" i="10"/>
  <c r="D796" i="10"/>
  <c r="O796" i="10" a="1"/>
  <c r="O796" i="10" s="1"/>
  <c r="A797" i="10"/>
  <c r="C797" i="10"/>
  <c r="D797" i="10"/>
  <c r="O797" i="10" a="1"/>
  <c r="O797" i="10" s="1"/>
  <c r="A798" i="10"/>
  <c r="C798" i="10"/>
  <c r="D798" i="10"/>
  <c r="O798" i="10" a="1"/>
  <c r="O798" i="10" s="1"/>
  <c r="A799" i="10"/>
  <c r="C799" i="10"/>
  <c r="D799" i="10"/>
  <c r="O799" i="10" a="1"/>
  <c r="O799" i="10" s="1"/>
  <c r="A800" i="10"/>
  <c r="C800" i="10"/>
  <c r="D800" i="10"/>
  <c r="O800" i="10" a="1"/>
  <c r="O800" i="10" s="1"/>
  <c r="A801" i="10"/>
  <c r="C801" i="10"/>
  <c r="D801" i="10"/>
  <c r="O801" i="10" a="1"/>
  <c r="O801" i="10" s="1"/>
  <c r="A802" i="10"/>
  <c r="C802" i="10"/>
  <c r="D802" i="10"/>
  <c r="O802" i="10" a="1"/>
  <c r="O802" i="10" s="1"/>
  <c r="A803" i="10"/>
  <c r="C803" i="10"/>
  <c r="D803" i="10"/>
  <c r="O803" i="10" a="1"/>
  <c r="O803" i="10" s="1"/>
  <c r="A804" i="10"/>
  <c r="C804" i="10"/>
  <c r="D804" i="10"/>
  <c r="O804" i="10" a="1"/>
  <c r="O804" i="10" s="1"/>
  <c r="A805" i="10"/>
  <c r="C805" i="10"/>
  <c r="D805" i="10"/>
  <c r="O805" i="10" a="1"/>
  <c r="O805" i="10" s="1"/>
  <c r="A806" i="10"/>
  <c r="C806" i="10"/>
  <c r="D806" i="10"/>
  <c r="O806" i="10" a="1"/>
  <c r="O806" i="10" s="1"/>
  <c r="A807" i="10"/>
  <c r="C807" i="10"/>
  <c r="D807" i="10"/>
  <c r="O807" i="10" a="1"/>
  <c r="O807" i="10" s="1"/>
  <c r="A808" i="10"/>
  <c r="C808" i="10"/>
  <c r="D808" i="10"/>
  <c r="O808" i="10" a="1"/>
  <c r="O808" i="10" s="1"/>
  <c r="A809" i="10"/>
  <c r="C809" i="10"/>
  <c r="D809" i="10"/>
  <c r="O809" i="10" a="1"/>
  <c r="O809" i="10" s="1"/>
  <c r="A810" i="10"/>
  <c r="C810" i="10"/>
  <c r="D810" i="10"/>
  <c r="O810" i="10" a="1"/>
  <c r="O810" i="10" s="1"/>
  <c r="A811" i="10"/>
  <c r="C811" i="10"/>
  <c r="D811" i="10"/>
  <c r="O811" i="10" a="1"/>
  <c r="O811" i="10" s="1"/>
  <c r="A812" i="10"/>
  <c r="C812" i="10"/>
  <c r="D812" i="10"/>
  <c r="O812" i="10" a="1"/>
  <c r="O812" i="10" s="1"/>
  <c r="A813" i="10"/>
  <c r="C813" i="10"/>
  <c r="D813" i="10"/>
  <c r="O813" i="10" a="1"/>
  <c r="O813" i="10" s="1"/>
  <c r="A814" i="10"/>
  <c r="C814" i="10"/>
  <c r="D814" i="10"/>
  <c r="O814" i="10" a="1"/>
  <c r="O814" i="10" s="1"/>
  <c r="A815" i="10"/>
  <c r="C815" i="10"/>
  <c r="D815" i="10"/>
  <c r="O815" i="10" a="1"/>
  <c r="O815" i="10" s="1"/>
  <c r="A816" i="10"/>
  <c r="C816" i="10"/>
  <c r="D816" i="10"/>
  <c r="O816" i="10" a="1"/>
  <c r="O816" i="10" s="1"/>
  <c r="A817" i="10"/>
  <c r="C817" i="10"/>
  <c r="D817" i="10"/>
  <c r="O817" i="10" a="1"/>
  <c r="O817" i="10" s="1"/>
  <c r="A818" i="10"/>
  <c r="C818" i="10"/>
  <c r="D818" i="10"/>
  <c r="O818" i="10" a="1"/>
  <c r="O818" i="10" s="1"/>
  <c r="A819" i="10"/>
  <c r="C819" i="10"/>
  <c r="D819" i="10"/>
  <c r="O819" i="10" a="1"/>
  <c r="O819" i="10" s="1"/>
  <c r="A820" i="10"/>
  <c r="C820" i="10"/>
  <c r="D820" i="10"/>
  <c r="O820" i="10" a="1"/>
  <c r="O820" i="10" s="1"/>
  <c r="A821" i="10"/>
  <c r="C821" i="10"/>
  <c r="D821" i="10"/>
  <c r="O821" i="10" a="1"/>
  <c r="O821" i="10" s="1"/>
  <c r="A822" i="10"/>
  <c r="C822" i="10"/>
  <c r="D822" i="10"/>
  <c r="O822" i="10" a="1"/>
  <c r="O822" i="10" s="1"/>
  <c r="A823" i="10"/>
  <c r="C823" i="10"/>
  <c r="D823" i="10"/>
  <c r="O823" i="10" a="1"/>
  <c r="O823" i="10" s="1"/>
  <c r="A824" i="10"/>
  <c r="C824" i="10"/>
  <c r="D824" i="10"/>
  <c r="O824" i="10" a="1"/>
  <c r="O824" i="10" s="1"/>
  <c r="A825" i="10"/>
  <c r="C825" i="10"/>
  <c r="D825" i="10"/>
  <c r="O825" i="10" a="1"/>
  <c r="O825" i="10" s="1"/>
  <c r="A826" i="10"/>
  <c r="C826" i="10"/>
  <c r="D826" i="10"/>
  <c r="O826" i="10" a="1"/>
  <c r="O826" i="10" s="1"/>
  <c r="A827" i="10"/>
  <c r="C827" i="10"/>
  <c r="D827" i="10"/>
  <c r="O827" i="10" a="1"/>
  <c r="O827" i="10" s="1"/>
  <c r="A828" i="10"/>
  <c r="C828" i="10"/>
  <c r="D828" i="10"/>
  <c r="O828" i="10" a="1"/>
  <c r="O828" i="10" s="1"/>
  <c r="A829" i="10"/>
  <c r="C829" i="10"/>
  <c r="D829" i="10"/>
  <c r="O829" i="10" a="1"/>
  <c r="O829" i="10" s="1"/>
  <c r="A830" i="10"/>
  <c r="C830" i="10"/>
  <c r="D830" i="10"/>
  <c r="O830" i="10" a="1"/>
  <c r="O830" i="10" s="1"/>
  <c r="A831" i="10"/>
  <c r="C831" i="10"/>
  <c r="D831" i="10"/>
  <c r="O831" i="10" a="1"/>
  <c r="O831" i="10" s="1"/>
  <c r="A832" i="10"/>
  <c r="C832" i="10"/>
  <c r="D832" i="10"/>
  <c r="O832" i="10" a="1"/>
  <c r="O832" i="10" s="1"/>
  <c r="A833" i="10"/>
  <c r="C833" i="10"/>
  <c r="D833" i="10"/>
  <c r="O833" i="10" a="1"/>
  <c r="O833" i="10" s="1"/>
  <c r="A834" i="10"/>
  <c r="C834" i="10"/>
  <c r="D834" i="10"/>
  <c r="O834" i="10" a="1"/>
  <c r="O834" i="10" s="1"/>
  <c r="A835" i="10"/>
  <c r="C835" i="10"/>
  <c r="D835" i="10"/>
  <c r="O835" i="10" a="1"/>
  <c r="O835" i="10" s="1"/>
  <c r="A836" i="10"/>
  <c r="C836" i="10"/>
  <c r="D836" i="10"/>
  <c r="O836" i="10" a="1"/>
  <c r="O836" i="10" s="1"/>
  <c r="A837" i="10"/>
  <c r="C837" i="10"/>
  <c r="D837" i="10"/>
  <c r="O837" i="10" a="1"/>
  <c r="O837" i="10" s="1"/>
  <c r="A838" i="10"/>
  <c r="C838" i="10"/>
  <c r="D838" i="10"/>
  <c r="O838" i="10" a="1"/>
  <c r="O838" i="10" s="1"/>
  <c r="A839" i="10"/>
  <c r="C839" i="10"/>
  <c r="D839" i="10"/>
  <c r="O839" i="10" a="1"/>
  <c r="O839" i="10" s="1"/>
  <c r="A840" i="10"/>
  <c r="C840" i="10"/>
  <c r="D840" i="10"/>
  <c r="O840" i="10" a="1"/>
  <c r="O840" i="10" s="1"/>
  <c r="A841" i="10"/>
  <c r="C841" i="10"/>
  <c r="D841" i="10"/>
  <c r="O841" i="10" a="1"/>
  <c r="O841" i="10" s="1"/>
  <c r="A842" i="10"/>
  <c r="C842" i="10"/>
  <c r="D842" i="10"/>
  <c r="O842" i="10" a="1"/>
  <c r="O842" i="10" s="1"/>
  <c r="A843" i="10"/>
  <c r="C843" i="10"/>
  <c r="D843" i="10"/>
  <c r="O843" i="10" a="1"/>
  <c r="O843" i="10" s="1"/>
  <c r="A844" i="10"/>
  <c r="C844" i="10"/>
  <c r="D844" i="10"/>
  <c r="O844" i="10" a="1"/>
  <c r="O844" i="10" s="1"/>
  <c r="A845" i="10"/>
  <c r="C845" i="10"/>
  <c r="D845" i="10"/>
  <c r="O845" i="10" a="1"/>
  <c r="O845" i="10" s="1"/>
  <c r="A846" i="10"/>
  <c r="C846" i="10"/>
  <c r="D846" i="10"/>
  <c r="O846" i="10" a="1"/>
  <c r="O846" i="10" s="1"/>
  <c r="A847" i="10"/>
  <c r="C847" i="10"/>
  <c r="D847" i="10"/>
  <c r="O847" i="10" a="1"/>
  <c r="O847" i="10" s="1"/>
  <c r="A848" i="10"/>
  <c r="C848" i="10"/>
  <c r="D848" i="10"/>
  <c r="O848" i="10" a="1"/>
  <c r="O848" i="10" s="1"/>
  <c r="A849" i="10"/>
  <c r="C849" i="10"/>
  <c r="D849" i="10"/>
  <c r="O849" i="10" a="1"/>
  <c r="O849" i="10" s="1"/>
  <c r="A850" i="10"/>
  <c r="C850" i="10"/>
  <c r="D850" i="10"/>
  <c r="O850" i="10" a="1"/>
  <c r="O850" i="10" s="1"/>
  <c r="A851" i="10"/>
  <c r="C851" i="10"/>
  <c r="D851" i="10"/>
  <c r="O851" i="10" a="1"/>
  <c r="O851" i="10" s="1"/>
  <c r="A852" i="10"/>
  <c r="C852" i="10"/>
  <c r="D852" i="10"/>
  <c r="O852" i="10" a="1"/>
  <c r="O852" i="10" s="1"/>
  <c r="A853" i="10"/>
  <c r="C853" i="10"/>
  <c r="D853" i="10"/>
  <c r="O853" i="10" a="1"/>
  <c r="O853" i="10" s="1"/>
  <c r="A854" i="10"/>
  <c r="C854" i="10"/>
  <c r="D854" i="10"/>
  <c r="O854" i="10" a="1"/>
  <c r="O854" i="10" s="1"/>
  <c r="A855" i="10"/>
  <c r="C855" i="10"/>
  <c r="D855" i="10"/>
  <c r="O855" i="10" a="1"/>
  <c r="O855" i="10" s="1"/>
  <c r="A856" i="10"/>
  <c r="C856" i="10"/>
  <c r="D856" i="10"/>
  <c r="O856" i="10" a="1"/>
  <c r="O856" i="10" s="1"/>
  <c r="A857" i="10"/>
  <c r="C857" i="10"/>
  <c r="D857" i="10"/>
  <c r="O857" i="10" a="1"/>
  <c r="O857" i="10" s="1"/>
  <c r="A858" i="10"/>
  <c r="C858" i="10"/>
  <c r="D858" i="10"/>
  <c r="O858" i="10" a="1"/>
  <c r="O858" i="10" s="1"/>
  <c r="A859" i="10"/>
  <c r="C859" i="10"/>
  <c r="D859" i="10"/>
  <c r="O859" i="10" a="1"/>
  <c r="O859" i="10" s="1"/>
  <c r="A860" i="10"/>
  <c r="C860" i="10"/>
  <c r="D860" i="10"/>
  <c r="O860" i="10" a="1"/>
  <c r="O860" i="10"/>
  <c r="A861" i="10"/>
  <c r="C861" i="10"/>
  <c r="D861" i="10"/>
  <c r="O861" i="10" a="1"/>
  <c r="O861" i="10" s="1"/>
  <c r="A862" i="10"/>
  <c r="C862" i="10"/>
  <c r="D862" i="10"/>
  <c r="O862" i="10" a="1"/>
  <c r="O862" i="10" s="1"/>
  <c r="A863" i="10"/>
  <c r="C863" i="10"/>
  <c r="D863" i="10"/>
  <c r="O863" i="10" a="1"/>
  <c r="O863" i="10" s="1"/>
  <c r="A864" i="10"/>
  <c r="C864" i="10"/>
  <c r="D864" i="10"/>
  <c r="O864" i="10" a="1"/>
  <c r="O864" i="10" s="1"/>
  <c r="A865" i="10"/>
  <c r="C865" i="10"/>
  <c r="D865" i="10"/>
  <c r="O865" i="10" a="1"/>
  <c r="O865" i="10" s="1"/>
  <c r="A866" i="10"/>
  <c r="C866" i="10"/>
  <c r="D866" i="10"/>
  <c r="O866" i="10" a="1"/>
  <c r="O866" i="10" s="1"/>
  <c r="A867" i="10"/>
  <c r="C867" i="10"/>
  <c r="D867" i="10"/>
  <c r="O867" i="10" a="1"/>
  <c r="O867" i="10" s="1"/>
  <c r="A868" i="10"/>
  <c r="C868" i="10"/>
  <c r="D868" i="10"/>
  <c r="O868" i="10" a="1"/>
  <c r="O868" i="10" s="1"/>
  <c r="A869" i="10"/>
  <c r="C869" i="10"/>
  <c r="D869" i="10"/>
  <c r="O869" i="10" a="1"/>
  <c r="O869" i="10" s="1"/>
  <c r="A870" i="10"/>
  <c r="C870" i="10"/>
  <c r="D870" i="10"/>
  <c r="O870" i="10" a="1"/>
  <c r="O870" i="10" s="1"/>
  <c r="A871" i="10"/>
  <c r="C871" i="10"/>
  <c r="D871" i="10"/>
  <c r="O871" i="10" a="1"/>
  <c r="O871" i="10"/>
  <c r="A872" i="10"/>
  <c r="C872" i="10"/>
  <c r="D872" i="10"/>
  <c r="O872" i="10" a="1"/>
  <c r="O872" i="10" s="1"/>
  <c r="A873" i="10"/>
  <c r="C873" i="10"/>
  <c r="D873" i="10"/>
  <c r="O873" i="10" a="1"/>
  <c r="O873" i="10"/>
  <c r="A874" i="10"/>
  <c r="C874" i="10"/>
  <c r="D874" i="10"/>
  <c r="O874" i="10" a="1"/>
  <c r="O874" i="10" s="1"/>
  <c r="A875" i="10"/>
  <c r="C875" i="10"/>
  <c r="D875" i="10"/>
  <c r="O875" i="10" a="1"/>
  <c r="O875" i="10" s="1"/>
  <c r="A876" i="10"/>
  <c r="C876" i="10"/>
  <c r="D876" i="10"/>
  <c r="O876" i="10" a="1"/>
  <c r="O876" i="10" s="1"/>
  <c r="A877" i="10"/>
  <c r="C877" i="10"/>
  <c r="D877" i="10"/>
  <c r="O877" i="10" a="1"/>
  <c r="O877" i="10" s="1"/>
  <c r="A878" i="10"/>
  <c r="C878" i="10"/>
  <c r="D878" i="10"/>
  <c r="O878" i="10" a="1"/>
  <c r="O878" i="10"/>
  <c r="A879" i="10"/>
  <c r="C879" i="10"/>
  <c r="D879" i="10"/>
  <c r="O879" i="10" a="1"/>
  <c r="O879" i="10" s="1"/>
  <c r="A880" i="10"/>
  <c r="C880" i="10"/>
  <c r="D880" i="10"/>
  <c r="O880" i="10" a="1"/>
  <c r="O880" i="10" s="1"/>
  <c r="A881" i="10"/>
  <c r="C881" i="10"/>
  <c r="D881" i="10"/>
  <c r="O881" i="10" a="1"/>
  <c r="O881" i="10" s="1"/>
  <c r="A882" i="10"/>
  <c r="C882" i="10"/>
  <c r="D882" i="10"/>
  <c r="O882" i="10" a="1"/>
  <c r="O882" i="10" s="1"/>
  <c r="A883" i="10"/>
  <c r="C883" i="10"/>
  <c r="D883" i="10"/>
  <c r="O883" i="10" a="1"/>
  <c r="O883" i="10" s="1"/>
  <c r="A884" i="10"/>
  <c r="C884" i="10"/>
  <c r="D884" i="10"/>
  <c r="O884" i="10" a="1"/>
  <c r="O884" i="10" s="1"/>
  <c r="A885" i="10"/>
  <c r="C885" i="10"/>
  <c r="D885" i="10"/>
  <c r="O885" i="10" a="1"/>
  <c r="O885" i="10" s="1"/>
  <c r="A886" i="10"/>
  <c r="C886" i="10"/>
  <c r="D886" i="10"/>
  <c r="O886" i="10" a="1"/>
  <c r="O886" i="10" s="1"/>
  <c r="A887" i="10"/>
  <c r="C887" i="10"/>
  <c r="D887" i="10"/>
  <c r="O887" i="10" a="1"/>
  <c r="O887" i="10" s="1"/>
  <c r="A888" i="10"/>
  <c r="C888" i="10"/>
  <c r="D888" i="10"/>
  <c r="O888" i="10" a="1"/>
  <c r="O888" i="10" s="1"/>
  <c r="A889" i="10"/>
  <c r="C889" i="10"/>
  <c r="D889" i="10"/>
  <c r="O889" i="10" a="1"/>
  <c r="O889" i="10" s="1"/>
  <c r="A890" i="10"/>
  <c r="C890" i="10"/>
  <c r="D890" i="10"/>
  <c r="O890" i="10" a="1"/>
  <c r="O890" i="10" s="1"/>
  <c r="A891" i="10"/>
  <c r="C891" i="10"/>
  <c r="D891" i="10"/>
  <c r="O891" i="10" a="1"/>
  <c r="O891" i="10" s="1"/>
  <c r="A892" i="10"/>
  <c r="C892" i="10"/>
  <c r="D892" i="10"/>
  <c r="O892" i="10" a="1"/>
  <c r="O892" i="10" s="1"/>
  <c r="A893" i="10"/>
  <c r="C893" i="10"/>
  <c r="D893" i="10"/>
  <c r="O893" i="10" a="1"/>
  <c r="O893" i="10" s="1"/>
  <c r="A894" i="10"/>
  <c r="C894" i="10"/>
  <c r="D894" i="10"/>
  <c r="O894" i="10" a="1"/>
  <c r="O894" i="10" s="1"/>
  <c r="A895" i="10"/>
  <c r="C895" i="10"/>
  <c r="D895" i="10"/>
  <c r="O895" i="10" a="1"/>
  <c r="O895" i="10" s="1"/>
  <c r="A896" i="10"/>
  <c r="C896" i="10"/>
  <c r="D896" i="10"/>
  <c r="O896" i="10" a="1"/>
  <c r="O896" i="10" s="1"/>
  <c r="A897" i="10"/>
  <c r="C897" i="10"/>
  <c r="D897" i="10"/>
  <c r="O897" i="10" a="1"/>
  <c r="O897" i="10" s="1"/>
  <c r="A898" i="10"/>
  <c r="C898" i="10"/>
  <c r="D898" i="10"/>
  <c r="O898" i="10" a="1"/>
  <c r="O898" i="10" s="1"/>
  <c r="A720" i="10"/>
  <c r="C720" i="10"/>
  <c r="D720" i="10"/>
  <c r="O720" i="10" a="1"/>
  <c r="O720" i="10" s="1"/>
  <c r="DC20" i="5"/>
  <c r="DK20" i="5"/>
  <c r="DO20" i="5"/>
  <c r="EL20" i="5"/>
  <c r="H19" i="5"/>
  <c r="I19" i="5" s="1"/>
  <c r="J19" i="5" s="1"/>
  <c r="G19" i="5"/>
  <c r="F19" i="5"/>
  <c r="E19" i="5"/>
  <c r="AF20" i="5" s="1"/>
  <c r="H15" i="5"/>
  <c r="I15" i="5" s="1"/>
  <c r="J15" i="5" s="1"/>
  <c r="G15" i="5"/>
  <c r="F15" i="5"/>
  <c r="J31" i="3"/>
  <c r="R2288" i="7" s="1"/>
  <c r="I31" i="3"/>
  <c r="O2229" i="7" s="1"/>
  <c r="H31" i="3"/>
  <c r="N2267" i="7" s="1"/>
  <c r="G31" i="3"/>
  <c r="F31" i="3"/>
  <c r="Q2298" i="7" s="1"/>
  <c r="S2298" i="7" s="1"/>
  <c r="M1044" i="10" s="1"/>
  <c r="E31" i="3"/>
  <c r="N11" i="1"/>
  <c r="K31" i="3" s="1"/>
  <c r="N10" i="1"/>
  <c r="J30" i="3"/>
  <c r="R2122" i="7" s="1"/>
  <c r="I30" i="3"/>
  <c r="H30" i="3"/>
  <c r="G30" i="3"/>
  <c r="F30" i="3"/>
  <c r="Q2151" i="7" s="1"/>
  <c r="S2151" i="7" s="1"/>
  <c r="M897" i="10" s="1"/>
  <c r="E30" i="3"/>
  <c r="P2127" i="7" s="1"/>
  <c r="AA2273" i="7" a="1"/>
  <c r="AA2273" i="7" s="1"/>
  <c r="AA2274" i="7" a="1"/>
  <c r="AA2274" i="7" s="1"/>
  <c r="AA2275" i="7" a="1"/>
  <c r="AA2275" i="7" s="1"/>
  <c r="AA2276" i="7" a="1"/>
  <c r="AA2276" i="7" s="1"/>
  <c r="AA2277" i="7" a="1"/>
  <c r="AA2277" i="7" s="1"/>
  <c r="AA2278" i="7" a="1"/>
  <c r="AA2278" i="7" s="1"/>
  <c r="AA2279" i="7" a="1"/>
  <c r="AA2279" i="7" s="1"/>
  <c r="AA2280" i="7" a="1"/>
  <c r="AA2280" i="7" s="1"/>
  <c r="AA2281" i="7" a="1"/>
  <c r="AA2281" i="7" s="1"/>
  <c r="AA2282" i="7" a="1"/>
  <c r="AA2282" i="7" s="1"/>
  <c r="AA2283" i="7" a="1"/>
  <c r="AA2283" i="7" s="1"/>
  <c r="AA2284" i="7" a="1"/>
  <c r="AA2284" i="7" s="1"/>
  <c r="AA2285" i="7" a="1"/>
  <c r="AA2285" i="7" s="1"/>
  <c r="AA2286" i="7" a="1"/>
  <c r="AA2286" i="7" s="1"/>
  <c r="AA2287" i="7" a="1"/>
  <c r="AA2287" i="7" s="1"/>
  <c r="AA2288" i="7" a="1"/>
  <c r="AA2288" i="7" s="1"/>
  <c r="AA2289" i="7" a="1"/>
  <c r="AA2289" i="7" s="1"/>
  <c r="AA2290" i="7" a="1"/>
  <c r="AA2290" i="7" s="1"/>
  <c r="AA2291" i="7" a="1"/>
  <c r="AA2291" i="7" s="1"/>
  <c r="AA2292" i="7" a="1"/>
  <c r="AA2292" i="7" s="1"/>
  <c r="AA2293" i="7" a="1"/>
  <c r="AA2293" i="7" s="1"/>
  <c r="AA2294" i="7" a="1"/>
  <c r="AA2294" i="7" s="1"/>
  <c r="AA2295" i="7" a="1"/>
  <c r="AA2295" i="7" s="1"/>
  <c r="AA2296" i="7" a="1"/>
  <c r="AA2296" i="7" s="1"/>
  <c r="AA2297" i="7" a="1"/>
  <c r="AA2297" i="7" s="1"/>
  <c r="AA2298" i="7" a="1"/>
  <c r="AA2298" i="7" s="1"/>
  <c r="AA2299" i="7" a="1"/>
  <c r="AA2299" i="7" s="1"/>
  <c r="AA2300" i="7" a="1"/>
  <c r="AA2300" i="7" s="1"/>
  <c r="AA2301" i="7" a="1"/>
  <c r="AA2301" i="7" s="1"/>
  <c r="AA2302" i="7" a="1"/>
  <c r="AA2302" i="7" s="1"/>
  <c r="AA2303" i="7" a="1"/>
  <c r="AA2303" i="7" s="1"/>
  <c r="AA2304" i="7" a="1"/>
  <c r="AA2304" i="7" s="1"/>
  <c r="AA2305" i="7" a="1"/>
  <c r="AA2305" i="7" s="1"/>
  <c r="AA2306" i="7" a="1"/>
  <c r="AA2306" i="7" s="1"/>
  <c r="AA2307" i="7" a="1"/>
  <c r="AA2307" i="7" s="1"/>
  <c r="AA2308" i="7" a="1"/>
  <c r="AA2308" i="7" s="1"/>
  <c r="AA2309" i="7" a="1"/>
  <c r="AA2309" i="7" s="1"/>
  <c r="AA2310" i="7" a="1"/>
  <c r="AA2310" i="7" s="1"/>
  <c r="AA2311" i="7" a="1"/>
  <c r="AA2311" i="7" s="1"/>
  <c r="AA2312" i="7" a="1"/>
  <c r="AA2312" i="7" s="1"/>
  <c r="AA2313" i="7" a="1"/>
  <c r="AA2313" i="7" s="1"/>
  <c r="AA2314" i="7" a="1"/>
  <c r="AA2314" i="7" s="1"/>
  <c r="AA2315" i="7" a="1"/>
  <c r="AA2315" i="7" s="1"/>
  <c r="AA2316" i="7" a="1"/>
  <c r="AA2316" i="7" s="1"/>
  <c r="AA2317" i="7" a="1"/>
  <c r="AA2317" i="7" s="1"/>
  <c r="AA2318" i="7" a="1"/>
  <c r="AA2318" i="7" s="1"/>
  <c r="AA2319" i="7" a="1"/>
  <c r="AA2319" i="7" s="1"/>
  <c r="AA2320" i="7" a="1"/>
  <c r="AA2320" i="7" s="1"/>
  <c r="AA2321" i="7" a="1"/>
  <c r="AA2321" i="7" s="1"/>
  <c r="AA2322" i="7" a="1"/>
  <c r="AA2322" i="7" s="1"/>
  <c r="AA2323" i="7" a="1"/>
  <c r="AA2323" i="7" s="1"/>
  <c r="AA2324" i="7" a="1"/>
  <c r="AA2324" i="7" s="1"/>
  <c r="AA2325" i="7" a="1"/>
  <c r="AA2325" i="7" s="1"/>
  <c r="AA2326" i="7" a="1"/>
  <c r="AA2326" i="7" s="1"/>
  <c r="AA2327" i="7" a="1"/>
  <c r="AA2327" i="7" s="1"/>
  <c r="AA2328" i="7" a="1"/>
  <c r="AA2328" i="7" s="1"/>
  <c r="AA2329" i="7" a="1"/>
  <c r="AA2329" i="7" s="1"/>
  <c r="AA2330" i="7" a="1"/>
  <c r="AA2330" i="7" s="1"/>
  <c r="AA2331" i="7" a="1"/>
  <c r="AA2331" i="7" s="1"/>
  <c r="Z2273" i="7" a="1"/>
  <c r="Z2273" i="7" s="1"/>
  <c r="Z2274" i="7" a="1"/>
  <c r="Z2274" i="7" s="1"/>
  <c r="Z2275" i="7" a="1"/>
  <c r="Z2275" i="7" s="1"/>
  <c r="Z2276" i="7" a="1"/>
  <c r="Z2276" i="7" s="1"/>
  <c r="Z2277" i="7" a="1"/>
  <c r="Z2277" i="7" s="1"/>
  <c r="Z2278" i="7" a="1"/>
  <c r="Z2278" i="7" s="1"/>
  <c r="Z2279" i="7" a="1"/>
  <c r="Z2279" i="7" s="1"/>
  <c r="Z2280" i="7" a="1"/>
  <c r="Z2280" i="7" s="1"/>
  <c r="Z2281" i="7" a="1"/>
  <c r="Z2281" i="7" s="1"/>
  <c r="Z2282" i="7" a="1"/>
  <c r="Z2282" i="7" s="1"/>
  <c r="Z2283" i="7" a="1"/>
  <c r="Z2283" i="7" s="1"/>
  <c r="Z2284" i="7" a="1"/>
  <c r="Z2284" i="7" s="1"/>
  <c r="Z2285" i="7" a="1"/>
  <c r="Z2285" i="7" s="1"/>
  <c r="Z2286" i="7" a="1"/>
  <c r="Z2286" i="7" s="1"/>
  <c r="Z2287" i="7" a="1"/>
  <c r="Z2287" i="7" s="1"/>
  <c r="Z2288" i="7" a="1"/>
  <c r="Z2288" i="7" s="1"/>
  <c r="Z2289" i="7" a="1"/>
  <c r="Z2289" i="7" s="1"/>
  <c r="Z2290" i="7" a="1"/>
  <c r="Z2290" i="7" s="1"/>
  <c r="Z2291" i="7" a="1"/>
  <c r="Z2291" i="7" s="1"/>
  <c r="Z2292" i="7" a="1"/>
  <c r="Z2292" i="7" s="1"/>
  <c r="Z2293" i="7" a="1"/>
  <c r="Z2293" i="7" s="1"/>
  <c r="Z2294" i="7" a="1"/>
  <c r="Z2294" i="7" s="1"/>
  <c r="Z2295" i="7" a="1"/>
  <c r="Z2295" i="7" s="1"/>
  <c r="Z2296" i="7" a="1"/>
  <c r="Z2296" i="7" s="1"/>
  <c r="Z2297" i="7" a="1"/>
  <c r="Z2297" i="7" s="1"/>
  <c r="Z2298" i="7" a="1"/>
  <c r="Z2298" i="7" s="1"/>
  <c r="Z2299" i="7" a="1"/>
  <c r="Z2299" i="7" s="1"/>
  <c r="Z2300" i="7" a="1"/>
  <c r="Z2300" i="7" s="1"/>
  <c r="Z2301" i="7" a="1"/>
  <c r="Z2301" i="7" s="1"/>
  <c r="Z2302" i="7" a="1"/>
  <c r="Z2302" i="7" s="1"/>
  <c r="Z2303" i="7" a="1"/>
  <c r="Z2303" i="7" s="1"/>
  <c r="Z2304" i="7" a="1"/>
  <c r="Z2304" i="7" s="1"/>
  <c r="Z2305" i="7" a="1"/>
  <c r="Z2305" i="7" s="1"/>
  <c r="Z2306" i="7" a="1"/>
  <c r="Z2306" i="7" s="1"/>
  <c r="Z2307" i="7" a="1"/>
  <c r="Z2307" i="7" s="1"/>
  <c r="Z2308" i="7" a="1"/>
  <c r="Z2308" i="7" s="1"/>
  <c r="Z2309" i="7" a="1"/>
  <c r="Z2309" i="7" s="1"/>
  <c r="Z2310" i="7" a="1"/>
  <c r="Z2310" i="7" s="1"/>
  <c r="Z2311" i="7" a="1"/>
  <c r="Z2311" i="7" s="1"/>
  <c r="Z2312" i="7" a="1"/>
  <c r="Z2312" i="7" s="1"/>
  <c r="Z2313" i="7" a="1"/>
  <c r="Z2313" i="7" s="1"/>
  <c r="Z2314" i="7" a="1"/>
  <c r="Z2314" i="7" s="1"/>
  <c r="Z2315" i="7" a="1"/>
  <c r="Z2315" i="7" s="1"/>
  <c r="Z2316" i="7" a="1"/>
  <c r="Z2316" i="7" s="1"/>
  <c r="Z2317" i="7" a="1"/>
  <c r="Z2317" i="7" s="1"/>
  <c r="Z2318" i="7" a="1"/>
  <c r="Z2318" i="7" s="1"/>
  <c r="Z2319" i="7" a="1"/>
  <c r="Z2319" i="7" s="1"/>
  <c r="Z2320" i="7" a="1"/>
  <c r="Z2320" i="7" s="1"/>
  <c r="Z2321" i="7" a="1"/>
  <c r="Z2321" i="7" s="1"/>
  <c r="Z2322" i="7" a="1"/>
  <c r="Z2322" i="7" s="1"/>
  <c r="Z2323" i="7" a="1"/>
  <c r="Z2323" i="7" s="1"/>
  <c r="Z2324" i="7" a="1"/>
  <c r="Z2324" i="7" s="1"/>
  <c r="Z2325" i="7" a="1"/>
  <c r="Z2325" i="7" s="1"/>
  <c r="Z2326" i="7" a="1"/>
  <c r="Z2326" i="7" s="1"/>
  <c r="Z2327" i="7" a="1"/>
  <c r="Z2327" i="7" s="1"/>
  <c r="Z2328" i="7" a="1"/>
  <c r="Z2328" i="7" s="1"/>
  <c r="Z2329" i="7" a="1"/>
  <c r="Z2329" i="7" s="1"/>
  <c r="Z2330" i="7" a="1"/>
  <c r="Z2330" i="7" s="1"/>
  <c r="Z2331" i="7" a="1"/>
  <c r="Z2331" i="7" s="1"/>
  <c r="Y2273" i="7" a="1"/>
  <c r="Y2273" i="7" s="1"/>
  <c r="Y2274" i="7" a="1"/>
  <c r="Y2274" i="7" s="1"/>
  <c r="Y2275" i="7" a="1"/>
  <c r="Y2275" i="7" s="1"/>
  <c r="Y2276" i="7" a="1"/>
  <c r="Y2276" i="7" s="1"/>
  <c r="Y2277" i="7" a="1"/>
  <c r="Y2277" i="7" s="1"/>
  <c r="Y2278" i="7" a="1"/>
  <c r="Y2278" i="7" s="1"/>
  <c r="Y2279" i="7" a="1"/>
  <c r="Y2279" i="7" s="1"/>
  <c r="Y2280" i="7" a="1"/>
  <c r="Y2280" i="7" s="1"/>
  <c r="Y2281" i="7" a="1"/>
  <c r="Y2281" i="7" s="1"/>
  <c r="Y2282" i="7" a="1"/>
  <c r="Y2282" i="7" s="1"/>
  <c r="Y2283" i="7" a="1"/>
  <c r="Y2283" i="7" s="1"/>
  <c r="Y2284" i="7" a="1"/>
  <c r="Y2284" i="7" s="1"/>
  <c r="Y2285" i="7" a="1"/>
  <c r="Y2285" i="7" s="1"/>
  <c r="Y2286" i="7" a="1"/>
  <c r="Y2286" i="7" s="1"/>
  <c r="Y2287" i="7" a="1"/>
  <c r="Y2287" i="7" s="1"/>
  <c r="Y2288" i="7" a="1"/>
  <c r="Y2288" i="7" s="1"/>
  <c r="Y2289" i="7" a="1"/>
  <c r="Y2289" i="7" s="1"/>
  <c r="Y2290" i="7" a="1"/>
  <c r="Y2290" i="7" s="1"/>
  <c r="Y2291" i="7" a="1"/>
  <c r="Y2291" i="7" s="1"/>
  <c r="Y2292" i="7" a="1"/>
  <c r="Y2292" i="7" s="1"/>
  <c r="Y2293" i="7" a="1"/>
  <c r="Y2293" i="7" s="1"/>
  <c r="Y2294" i="7" a="1"/>
  <c r="Y2294" i="7" s="1"/>
  <c r="Y2295" i="7" a="1"/>
  <c r="Y2295" i="7" s="1"/>
  <c r="Y2296" i="7" a="1"/>
  <c r="Y2296" i="7" s="1"/>
  <c r="Y2297" i="7" a="1"/>
  <c r="Y2297" i="7" s="1"/>
  <c r="Y2298" i="7" a="1"/>
  <c r="Y2298" i="7" s="1"/>
  <c r="Y2299" i="7" a="1"/>
  <c r="Y2299" i="7" s="1"/>
  <c r="Y2300" i="7" a="1"/>
  <c r="Y2300" i="7" s="1"/>
  <c r="Y2301" i="7" a="1"/>
  <c r="Y2301" i="7" s="1"/>
  <c r="Y2302" i="7" a="1"/>
  <c r="Y2302" i="7" s="1"/>
  <c r="Y2303" i="7" a="1"/>
  <c r="Y2303" i="7" s="1"/>
  <c r="Y2304" i="7" a="1"/>
  <c r="Y2304" i="7" s="1"/>
  <c r="Y2305" i="7" a="1"/>
  <c r="Y2305" i="7" s="1"/>
  <c r="Y2306" i="7" a="1"/>
  <c r="Y2306" i="7" s="1"/>
  <c r="Y2307" i="7" a="1"/>
  <c r="Y2307" i="7" s="1"/>
  <c r="Y2308" i="7" a="1"/>
  <c r="Y2308" i="7" s="1"/>
  <c r="Y2309" i="7" a="1"/>
  <c r="Y2309" i="7" s="1"/>
  <c r="Y2310" i="7" a="1"/>
  <c r="Y2310" i="7" s="1"/>
  <c r="Y2311" i="7" a="1"/>
  <c r="Y2311" i="7" s="1"/>
  <c r="Y2312" i="7" a="1"/>
  <c r="Y2312" i="7" s="1"/>
  <c r="Y2313" i="7" a="1"/>
  <c r="Y2313" i="7" s="1"/>
  <c r="Y2314" i="7" a="1"/>
  <c r="Y2314" i="7" s="1"/>
  <c r="Y2315" i="7" a="1"/>
  <c r="Y2315" i="7" s="1"/>
  <c r="Y2316" i="7" a="1"/>
  <c r="Y2316" i="7" s="1"/>
  <c r="Y2317" i="7" a="1"/>
  <c r="Y2317" i="7" s="1"/>
  <c r="Y2318" i="7" a="1"/>
  <c r="Y2318" i="7" s="1"/>
  <c r="Y2319" i="7" a="1"/>
  <c r="Y2319" i="7" s="1"/>
  <c r="Y2320" i="7" a="1"/>
  <c r="Y2320" i="7" s="1"/>
  <c r="Y2321" i="7" a="1"/>
  <c r="Y2321" i="7" s="1"/>
  <c r="Y2322" i="7" a="1"/>
  <c r="Y2322" i="7" s="1"/>
  <c r="Y2323" i="7" a="1"/>
  <c r="Y2323" i="7" s="1"/>
  <c r="Y2324" i="7" a="1"/>
  <c r="Y2324" i="7" s="1"/>
  <c r="Y2325" i="7" a="1"/>
  <c r="Y2325" i="7" s="1"/>
  <c r="Y2326" i="7" a="1"/>
  <c r="Y2326" i="7" s="1"/>
  <c r="Y2327" i="7" a="1"/>
  <c r="Y2327" i="7" s="1"/>
  <c r="Y2328" i="7" a="1"/>
  <c r="Y2328" i="7" s="1"/>
  <c r="Y2329" i="7" a="1"/>
  <c r="Y2329" i="7" s="1"/>
  <c r="Y2330" i="7" a="1"/>
  <c r="Y2330" i="7" s="1"/>
  <c r="Y2331" i="7" a="1"/>
  <c r="Y2331" i="7" s="1"/>
  <c r="X2273" i="7" a="1"/>
  <c r="X2273" i="7" s="1"/>
  <c r="X2274" i="7" a="1"/>
  <c r="X2274" i="7" s="1"/>
  <c r="X2275" i="7" a="1"/>
  <c r="X2275" i="7" s="1"/>
  <c r="X2276" i="7" a="1"/>
  <c r="X2276" i="7" s="1"/>
  <c r="X2277" i="7" a="1"/>
  <c r="X2277" i="7" s="1"/>
  <c r="X2278" i="7" a="1"/>
  <c r="X2278" i="7" s="1"/>
  <c r="X2279" i="7" a="1"/>
  <c r="X2279" i="7" s="1"/>
  <c r="X2280" i="7" a="1"/>
  <c r="X2280" i="7" s="1"/>
  <c r="X2281" i="7" a="1"/>
  <c r="X2281" i="7" s="1"/>
  <c r="X2282" i="7" a="1"/>
  <c r="X2282" i="7" s="1"/>
  <c r="X2283" i="7" a="1"/>
  <c r="X2283" i="7" s="1"/>
  <c r="X2284" i="7" a="1"/>
  <c r="X2284" i="7" s="1"/>
  <c r="X2285" i="7" a="1"/>
  <c r="X2285" i="7" s="1"/>
  <c r="X2286" i="7" a="1"/>
  <c r="X2286" i="7" s="1"/>
  <c r="X2287" i="7" a="1"/>
  <c r="X2287" i="7" s="1"/>
  <c r="X2288" i="7" a="1"/>
  <c r="X2288" i="7" s="1"/>
  <c r="X2289" i="7" a="1"/>
  <c r="X2289" i="7" s="1"/>
  <c r="X2290" i="7" a="1"/>
  <c r="X2290" i="7" s="1"/>
  <c r="X2291" i="7" a="1"/>
  <c r="X2291" i="7" s="1"/>
  <c r="X2292" i="7" a="1"/>
  <c r="X2292" i="7" s="1"/>
  <c r="X2293" i="7" a="1"/>
  <c r="X2293" i="7" s="1"/>
  <c r="X2294" i="7" a="1"/>
  <c r="X2294" i="7" s="1"/>
  <c r="X2295" i="7" a="1"/>
  <c r="X2295" i="7" s="1"/>
  <c r="X2296" i="7" a="1"/>
  <c r="X2296" i="7" s="1"/>
  <c r="X2297" i="7" a="1"/>
  <c r="X2297" i="7" s="1"/>
  <c r="X2298" i="7" a="1"/>
  <c r="X2298" i="7" s="1"/>
  <c r="X2299" i="7" a="1"/>
  <c r="X2299" i="7" s="1"/>
  <c r="X2300" i="7" a="1"/>
  <c r="X2300" i="7" s="1"/>
  <c r="X2301" i="7" a="1"/>
  <c r="X2301" i="7" s="1"/>
  <c r="X2302" i="7" a="1"/>
  <c r="X2302" i="7" s="1"/>
  <c r="X2303" i="7" a="1"/>
  <c r="X2303" i="7" s="1"/>
  <c r="X2304" i="7" a="1"/>
  <c r="X2304" i="7" s="1"/>
  <c r="X2305" i="7" a="1"/>
  <c r="X2305" i="7" s="1"/>
  <c r="X2306" i="7" a="1"/>
  <c r="X2306" i="7" s="1"/>
  <c r="X2307" i="7" a="1"/>
  <c r="X2307" i="7" s="1"/>
  <c r="X2308" i="7" a="1"/>
  <c r="X2308" i="7" s="1"/>
  <c r="X2309" i="7" a="1"/>
  <c r="X2309" i="7" s="1"/>
  <c r="X2310" i="7" a="1"/>
  <c r="X2310" i="7" s="1"/>
  <c r="X2311" i="7" a="1"/>
  <c r="X2311" i="7" s="1"/>
  <c r="X2312" i="7" a="1"/>
  <c r="X2312" i="7" s="1"/>
  <c r="X2313" i="7" a="1"/>
  <c r="X2313" i="7" s="1"/>
  <c r="X2314" i="7" a="1"/>
  <c r="X2314" i="7" s="1"/>
  <c r="X2315" i="7" a="1"/>
  <c r="X2315" i="7" s="1"/>
  <c r="X2316" i="7" a="1"/>
  <c r="X2316" i="7" s="1"/>
  <c r="X2317" i="7" a="1"/>
  <c r="X2317" i="7" s="1"/>
  <c r="X2318" i="7" a="1"/>
  <c r="X2318" i="7" s="1"/>
  <c r="X2319" i="7" a="1"/>
  <c r="X2319" i="7" s="1"/>
  <c r="X2320" i="7" a="1"/>
  <c r="X2320" i="7" s="1"/>
  <c r="X2321" i="7" a="1"/>
  <c r="X2321" i="7" s="1"/>
  <c r="X2322" i="7" a="1"/>
  <c r="X2322" i="7" s="1"/>
  <c r="X2323" i="7" a="1"/>
  <c r="X2323" i="7" s="1"/>
  <c r="X2324" i="7" a="1"/>
  <c r="X2324" i="7" s="1"/>
  <c r="X2325" i="7" a="1"/>
  <c r="X2325" i="7" s="1"/>
  <c r="X2326" i="7" a="1"/>
  <c r="X2326" i="7" s="1"/>
  <c r="X2327" i="7" a="1"/>
  <c r="X2327" i="7" s="1"/>
  <c r="X2328" i="7" a="1"/>
  <c r="X2328" i="7" s="1"/>
  <c r="X2329" i="7" a="1"/>
  <c r="X2329" i="7" s="1"/>
  <c r="X2330" i="7" a="1"/>
  <c r="X2330" i="7" s="1"/>
  <c r="X2331" i="7" a="1"/>
  <c r="X2331" i="7" s="1"/>
  <c r="W2273" i="7" a="1"/>
  <c r="W2273" i="7" s="1"/>
  <c r="W2274" i="7" a="1"/>
  <c r="W2274" i="7" s="1"/>
  <c r="W2275" i="7" a="1"/>
  <c r="W2275" i="7" s="1"/>
  <c r="W2276" i="7" a="1"/>
  <c r="W2276" i="7" s="1"/>
  <c r="W2277" i="7" a="1"/>
  <c r="W2277" i="7" s="1"/>
  <c r="W2278" i="7" a="1"/>
  <c r="W2278" i="7" s="1"/>
  <c r="W2279" i="7" a="1"/>
  <c r="W2279" i="7" s="1"/>
  <c r="W2280" i="7" a="1"/>
  <c r="W2280" i="7" s="1"/>
  <c r="W2281" i="7" a="1"/>
  <c r="W2281" i="7" s="1"/>
  <c r="W2282" i="7" a="1"/>
  <c r="W2282" i="7" s="1"/>
  <c r="W2283" i="7" a="1"/>
  <c r="W2283" i="7" s="1"/>
  <c r="W2284" i="7" a="1"/>
  <c r="W2284" i="7" s="1"/>
  <c r="W2285" i="7" a="1"/>
  <c r="W2285" i="7" s="1"/>
  <c r="W2286" i="7" a="1"/>
  <c r="W2286" i="7" s="1"/>
  <c r="W2287" i="7" a="1"/>
  <c r="W2287" i="7" s="1"/>
  <c r="W2288" i="7" a="1"/>
  <c r="W2288" i="7" s="1"/>
  <c r="W2289" i="7" a="1"/>
  <c r="W2289" i="7" s="1"/>
  <c r="W2290" i="7" a="1"/>
  <c r="W2290" i="7" s="1"/>
  <c r="W2291" i="7" a="1"/>
  <c r="W2291" i="7" s="1"/>
  <c r="W2292" i="7" a="1"/>
  <c r="W2292" i="7" s="1"/>
  <c r="W2293" i="7" a="1"/>
  <c r="W2293" i="7" s="1"/>
  <c r="W2294" i="7" a="1"/>
  <c r="W2294" i="7" s="1"/>
  <c r="W2295" i="7" a="1"/>
  <c r="W2295" i="7" s="1"/>
  <c r="W2296" i="7" a="1"/>
  <c r="W2296" i="7" s="1"/>
  <c r="W2297" i="7" a="1"/>
  <c r="W2297" i="7" s="1"/>
  <c r="W2298" i="7" a="1"/>
  <c r="W2298" i="7" s="1"/>
  <c r="W2299" i="7" a="1"/>
  <c r="W2299" i="7" s="1"/>
  <c r="W2300" i="7" a="1"/>
  <c r="W2300" i="7" s="1"/>
  <c r="W2301" i="7" a="1"/>
  <c r="W2301" i="7" s="1"/>
  <c r="W2302" i="7" a="1"/>
  <c r="W2302" i="7" s="1"/>
  <c r="W2303" i="7" a="1"/>
  <c r="W2303" i="7" s="1"/>
  <c r="W2304" i="7" a="1"/>
  <c r="W2304" i="7" s="1"/>
  <c r="W2305" i="7" a="1"/>
  <c r="W2305" i="7" s="1"/>
  <c r="W2306" i="7" a="1"/>
  <c r="W2306" i="7" s="1"/>
  <c r="W2307" i="7" a="1"/>
  <c r="W2307" i="7" s="1"/>
  <c r="W2308" i="7" a="1"/>
  <c r="W2308" i="7" s="1"/>
  <c r="W2309" i="7" a="1"/>
  <c r="W2309" i="7" s="1"/>
  <c r="W2310" i="7" a="1"/>
  <c r="W2310" i="7" s="1"/>
  <c r="W2311" i="7" a="1"/>
  <c r="W2311" i="7" s="1"/>
  <c r="W2312" i="7" a="1"/>
  <c r="W2312" i="7" s="1"/>
  <c r="W2313" i="7" a="1"/>
  <c r="W2313" i="7" s="1"/>
  <c r="W2314" i="7" a="1"/>
  <c r="W2314" i="7" s="1"/>
  <c r="W2315" i="7" a="1"/>
  <c r="W2315" i="7" s="1"/>
  <c r="W2316" i="7" a="1"/>
  <c r="W2316" i="7" s="1"/>
  <c r="W2317" i="7" a="1"/>
  <c r="W2317" i="7" s="1"/>
  <c r="W2318" i="7" a="1"/>
  <c r="W2318" i="7" s="1"/>
  <c r="W2319" i="7" a="1"/>
  <c r="W2319" i="7" s="1"/>
  <c r="W2320" i="7" a="1"/>
  <c r="W2320" i="7" s="1"/>
  <c r="W2321" i="7" a="1"/>
  <c r="W2321" i="7" s="1"/>
  <c r="W2322" i="7" a="1"/>
  <c r="W2322" i="7" s="1"/>
  <c r="W2323" i="7" a="1"/>
  <c r="W2323" i="7" s="1"/>
  <c r="W2324" i="7" a="1"/>
  <c r="W2324" i="7" s="1"/>
  <c r="W2325" i="7" a="1"/>
  <c r="W2325" i="7" s="1"/>
  <c r="W2326" i="7" a="1"/>
  <c r="W2326" i="7" s="1"/>
  <c r="W2327" i="7" a="1"/>
  <c r="W2327" i="7" s="1"/>
  <c r="W2328" i="7" a="1"/>
  <c r="W2328" i="7" s="1"/>
  <c r="W2329" i="7" a="1"/>
  <c r="W2329" i="7" s="1"/>
  <c r="W2330" i="7" a="1"/>
  <c r="W2330" i="7" s="1"/>
  <c r="W2331" i="7" a="1"/>
  <c r="W2331" i="7" s="1"/>
  <c r="AA2213" i="7" a="1"/>
  <c r="AA2213" i="7" s="1"/>
  <c r="AA2214" i="7" a="1"/>
  <c r="AA2214" i="7" s="1"/>
  <c r="AA2215" i="7" a="1"/>
  <c r="AA2215" i="7" s="1"/>
  <c r="AA2216" i="7" a="1"/>
  <c r="AA2216" i="7" s="1"/>
  <c r="AA2217" i="7" a="1"/>
  <c r="AA2217" i="7" s="1"/>
  <c r="AA2218" i="7" a="1"/>
  <c r="AA2218" i="7" s="1"/>
  <c r="AA2219" i="7" a="1"/>
  <c r="AA2219" i="7" s="1"/>
  <c r="AA2220" i="7" a="1"/>
  <c r="AA2220" i="7" s="1"/>
  <c r="AA2221" i="7" a="1"/>
  <c r="AA2221" i="7" s="1"/>
  <c r="AA2222" i="7" a="1"/>
  <c r="AA2222" i="7" s="1"/>
  <c r="AA2223" i="7" a="1"/>
  <c r="AA2223" i="7" s="1"/>
  <c r="AA2224" i="7" a="1"/>
  <c r="AA2224" i="7" s="1"/>
  <c r="AA2225" i="7" a="1"/>
  <c r="AA2225" i="7" s="1"/>
  <c r="AA2226" i="7" a="1"/>
  <c r="AA2226" i="7" s="1"/>
  <c r="AA2227" i="7" a="1"/>
  <c r="AA2227" i="7" s="1"/>
  <c r="AA2228" i="7" a="1"/>
  <c r="AA2228" i="7" s="1"/>
  <c r="AA2229" i="7" a="1"/>
  <c r="AA2229" i="7" s="1"/>
  <c r="AA2230" i="7" a="1"/>
  <c r="AA2230" i="7" s="1"/>
  <c r="AA2231" i="7" a="1"/>
  <c r="AA2231" i="7" s="1"/>
  <c r="AA2232" i="7" a="1"/>
  <c r="AA2232" i="7" s="1"/>
  <c r="AA2233" i="7" a="1"/>
  <c r="AA2233" i="7" s="1"/>
  <c r="AA2234" i="7" a="1"/>
  <c r="AA2234" i="7" s="1"/>
  <c r="AA2235" i="7" a="1"/>
  <c r="AA2235" i="7" s="1"/>
  <c r="AA2236" i="7" a="1"/>
  <c r="AA2236" i="7" s="1"/>
  <c r="AA2237" i="7" a="1"/>
  <c r="AA2237" i="7" s="1"/>
  <c r="AA2238" i="7" a="1"/>
  <c r="AA2238" i="7" s="1"/>
  <c r="AA2239" i="7" a="1"/>
  <c r="AA2239" i="7" s="1"/>
  <c r="AA2240" i="7" a="1"/>
  <c r="AA2240" i="7" s="1"/>
  <c r="AA2241" i="7" a="1"/>
  <c r="AA2241" i="7" s="1"/>
  <c r="AA2242" i="7" a="1"/>
  <c r="AA2242" i="7" s="1"/>
  <c r="AA2243" i="7" a="1"/>
  <c r="AA2243" i="7" s="1"/>
  <c r="AA2244" i="7" a="1"/>
  <c r="AA2244" i="7" s="1"/>
  <c r="AA2245" i="7" a="1"/>
  <c r="AA2245" i="7" s="1"/>
  <c r="AA2246" i="7" a="1"/>
  <c r="AA2246" i="7" s="1"/>
  <c r="AA2247" i="7" a="1"/>
  <c r="AA2247" i="7" s="1"/>
  <c r="AA2248" i="7" a="1"/>
  <c r="AA2248" i="7" s="1"/>
  <c r="AA2249" i="7" a="1"/>
  <c r="AA2249" i="7" s="1"/>
  <c r="AA2250" i="7" a="1"/>
  <c r="AA2250" i="7" s="1"/>
  <c r="AA2251" i="7" a="1"/>
  <c r="AA2251" i="7" s="1"/>
  <c r="AA2252" i="7" a="1"/>
  <c r="AA2252" i="7" s="1"/>
  <c r="AA2253" i="7" a="1"/>
  <c r="AA2253" i="7" s="1"/>
  <c r="AA2254" i="7" a="1"/>
  <c r="AA2254" i="7" s="1"/>
  <c r="AA2255" i="7" a="1"/>
  <c r="AA2255" i="7" s="1"/>
  <c r="AA2256" i="7" a="1"/>
  <c r="AA2256" i="7" s="1"/>
  <c r="AA2257" i="7" a="1"/>
  <c r="AA2257" i="7" s="1"/>
  <c r="AA2258" i="7" a="1"/>
  <c r="AA2258" i="7" s="1"/>
  <c r="AA2259" i="7" a="1"/>
  <c r="AA2259" i="7" s="1"/>
  <c r="AA2260" i="7" a="1"/>
  <c r="AA2260" i="7" s="1"/>
  <c r="AA2261" i="7" a="1"/>
  <c r="AA2261" i="7" s="1"/>
  <c r="AA2262" i="7" a="1"/>
  <c r="AA2262" i="7" s="1"/>
  <c r="AA2263" i="7" a="1"/>
  <c r="AA2263" i="7" s="1"/>
  <c r="AA2264" i="7" a="1"/>
  <c r="AA2264" i="7" s="1"/>
  <c r="AA2265" i="7" a="1"/>
  <c r="AA2265" i="7" s="1"/>
  <c r="AA2266" i="7" a="1"/>
  <c r="AA2266" i="7" s="1"/>
  <c r="AA2267" i="7" a="1"/>
  <c r="AA2267" i="7" s="1"/>
  <c r="AA2268" i="7" a="1"/>
  <c r="AA2268" i="7" s="1"/>
  <c r="AA2269" i="7" a="1"/>
  <c r="AA2269" i="7" s="1"/>
  <c r="AA2270" i="7" a="1"/>
  <c r="AA2270" i="7" s="1"/>
  <c r="AA2271" i="7" a="1"/>
  <c r="AA2271" i="7" s="1"/>
  <c r="AA2272" i="7" a="1"/>
  <c r="AA2272" i="7" s="1"/>
  <c r="Z2213" i="7" a="1"/>
  <c r="Z2213" i="7" s="1"/>
  <c r="Z2214" i="7" a="1"/>
  <c r="Z2214" i="7" s="1"/>
  <c r="Z2215" i="7" a="1"/>
  <c r="Z2215" i="7" s="1"/>
  <c r="Z2216" i="7" a="1"/>
  <c r="Z2216" i="7" s="1"/>
  <c r="Z2217" i="7" a="1"/>
  <c r="Z2217" i="7" s="1"/>
  <c r="Z2218" i="7" a="1"/>
  <c r="Z2218" i="7" s="1"/>
  <c r="Z2219" i="7" a="1"/>
  <c r="Z2219" i="7" s="1"/>
  <c r="Z2220" i="7" a="1"/>
  <c r="Z2220" i="7" s="1"/>
  <c r="Z2221" i="7" a="1"/>
  <c r="Z2221" i="7" s="1"/>
  <c r="Z2222" i="7" a="1"/>
  <c r="Z2222" i="7" s="1"/>
  <c r="Z2223" i="7" a="1"/>
  <c r="Z2223" i="7" s="1"/>
  <c r="Z2224" i="7" a="1"/>
  <c r="Z2224" i="7" s="1"/>
  <c r="Z2225" i="7" a="1"/>
  <c r="Z2225" i="7" s="1"/>
  <c r="Z2226" i="7" a="1"/>
  <c r="Z2226" i="7" s="1"/>
  <c r="Z2227" i="7" a="1"/>
  <c r="Z2227" i="7" s="1"/>
  <c r="Z2228" i="7" a="1"/>
  <c r="Z2228" i="7" s="1"/>
  <c r="Z2229" i="7" a="1"/>
  <c r="Z2229" i="7" s="1"/>
  <c r="Z2230" i="7" a="1"/>
  <c r="Z2230" i="7" s="1"/>
  <c r="Z2231" i="7" a="1"/>
  <c r="Z2231" i="7" s="1"/>
  <c r="Z2232" i="7" a="1"/>
  <c r="Z2232" i="7" s="1"/>
  <c r="Z2233" i="7" a="1"/>
  <c r="Z2233" i="7" s="1"/>
  <c r="Z2234" i="7" a="1"/>
  <c r="Z2234" i="7" s="1"/>
  <c r="Z2235" i="7" a="1"/>
  <c r="Z2235" i="7" s="1"/>
  <c r="Z2236" i="7" a="1"/>
  <c r="Z2236" i="7" s="1"/>
  <c r="Z2237" i="7" a="1"/>
  <c r="Z2237" i="7" s="1"/>
  <c r="Z2238" i="7" a="1"/>
  <c r="Z2238" i="7" s="1"/>
  <c r="Z2239" i="7" a="1"/>
  <c r="Z2239" i="7" s="1"/>
  <c r="Z2240" i="7" a="1"/>
  <c r="Z2240" i="7" s="1"/>
  <c r="Z2241" i="7" a="1"/>
  <c r="Z2241" i="7" s="1"/>
  <c r="Z2242" i="7" a="1"/>
  <c r="Z2242" i="7" s="1"/>
  <c r="Z2243" i="7" a="1"/>
  <c r="Z2243" i="7" s="1"/>
  <c r="Z2244" i="7" a="1"/>
  <c r="Z2244" i="7" s="1"/>
  <c r="Z2245" i="7" a="1"/>
  <c r="Z2245" i="7" s="1"/>
  <c r="Z2246" i="7" a="1"/>
  <c r="Z2246" i="7" s="1"/>
  <c r="Z2247" i="7" a="1"/>
  <c r="Z2247" i="7" s="1"/>
  <c r="Z2248" i="7" a="1"/>
  <c r="Z2248" i="7" s="1"/>
  <c r="Z2249" i="7" a="1"/>
  <c r="Z2249" i="7" s="1"/>
  <c r="Z2250" i="7" a="1"/>
  <c r="Z2250" i="7" s="1"/>
  <c r="Z2251" i="7" a="1"/>
  <c r="Z2251" i="7" s="1"/>
  <c r="Z2252" i="7" a="1"/>
  <c r="Z2252" i="7" s="1"/>
  <c r="Z2253" i="7" a="1"/>
  <c r="Z2253" i="7" s="1"/>
  <c r="Z2254" i="7" a="1"/>
  <c r="Z2254" i="7" s="1"/>
  <c r="Z2255" i="7" a="1"/>
  <c r="Z2255" i="7" s="1"/>
  <c r="Z2256" i="7" a="1"/>
  <c r="Z2256" i="7" s="1"/>
  <c r="Z2257" i="7" a="1"/>
  <c r="Z2257" i="7" s="1"/>
  <c r="Z2258" i="7" a="1"/>
  <c r="Z2258" i="7" s="1"/>
  <c r="Z2259" i="7" a="1"/>
  <c r="Z2259" i="7" s="1"/>
  <c r="Z2260" i="7" a="1"/>
  <c r="Z2260" i="7" s="1"/>
  <c r="Z2261" i="7" a="1"/>
  <c r="Z2261" i="7" s="1"/>
  <c r="Z2262" i="7" a="1"/>
  <c r="Z2262" i="7" s="1"/>
  <c r="Z2263" i="7" a="1"/>
  <c r="Z2263" i="7" s="1"/>
  <c r="Z2264" i="7" a="1"/>
  <c r="Z2264" i="7" s="1"/>
  <c r="Z2265" i="7" a="1"/>
  <c r="Z2265" i="7" s="1"/>
  <c r="Z2266" i="7" a="1"/>
  <c r="Z2266" i="7" s="1"/>
  <c r="Z2267" i="7" a="1"/>
  <c r="Z2267" i="7" s="1"/>
  <c r="Z2268" i="7" a="1"/>
  <c r="Z2268" i="7" s="1"/>
  <c r="Z2269" i="7" a="1"/>
  <c r="Z2269" i="7" s="1"/>
  <c r="Z2270" i="7" a="1"/>
  <c r="Z2270" i="7" s="1"/>
  <c r="Z2271" i="7" a="1"/>
  <c r="Z2271" i="7" s="1"/>
  <c r="Z2272" i="7" a="1"/>
  <c r="Z2272" i="7" s="1"/>
  <c r="Y2213" i="7" a="1"/>
  <c r="Y2213" i="7" s="1"/>
  <c r="Y2214" i="7" a="1"/>
  <c r="Y2214" i="7" s="1"/>
  <c r="Y2215" i="7" a="1"/>
  <c r="Y2215" i="7" s="1"/>
  <c r="Y2216" i="7" a="1"/>
  <c r="Y2216" i="7" s="1"/>
  <c r="Y2217" i="7" a="1"/>
  <c r="Y2217" i="7" s="1"/>
  <c r="Y2218" i="7" a="1"/>
  <c r="Y2218" i="7" s="1"/>
  <c r="Y2219" i="7" a="1"/>
  <c r="Y2219" i="7" s="1"/>
  <c r="Y2220" i="7" a="1"/>
  <c r="Y2220" i="7" s="1"/>
  <c r="Y2221" i="7" a="1"/>
  <c r="Y2221" i="7" s="1"/>
  <c r="Y2222" i="7" a="1"/>
  <c r="Y2222" i="7" s="1"/>
  <c r="Y2223" i="7" a="1"/>
  <c r="Y2223" i="7" s="1"/>
  <c r="Y2224" i="7" a="1"/>
  <c r="Y2224" i="7" s="1"/>
  <c r="Y2225" i="7" a="1"/>
  <c r="Y2225" i="7" s="1"/>
  <c r="Y2226" i="7" a="1"/>
  <c r="Y2226" i="7" s="1"/>
  <c r="Y2227" i="7" a="1"/>
  <c r="Y2227" i="7" s="1"/>
  <c r="Y2228" i="7" a="1"/>
  <c r="Y2228" i="7" s="1"/>
  <c r="Y2229" i="7" a="1"/>
  <c r="Y2229" i="7" s="1"/>
  <c r="Y2230" i="7" a="1"/>
  <c r="Y2230" i="7" s="1"/>
  <c r="Y2231" i="7" a="1"/>
  <c r="Y2231" i="7" s="1"/>
  <c r="Y2232" i="7" a="1"/>
  <c r="Y2232" i="7" s="1"/>
  <c r="Y2233" i="7" a="1"/>
  <c r="Y2233" i="7" s="1"/>
  <c r="Y2234" i="7" a="1"/>
  <c r="Y2234" i="7" s="1"/>
  <c r="Y2235" i="7" a="1"/>
  <c r="Y2235" i="7" s="1"/>
  <c r="Y2236" i="7" a="1"/>
  <c r="Y2236" i="7" s="1"/>
  <c r="Y2237" i="7" a="1"/>
  <c r="Y2237" i="7" s="1"/>
  <c r="Y2238" i="7" a="1"/>
  <c r="Y2238" i="7" s="1"/>
  <c r="Y2239" i="7" a="1"/>
  <c r="Y2239" i="7" s="1"/>
  <c r="Y2240" i="7" a="1"/>
  <c r="Y2240" i="7" s="1"/>
  <c r="Y2241" i="7" a="1"/>
  <c r="Y2241" i="7" s="1"/>
  <c r="Y2242" i="7" a="1"/>
  <c r="Y2242" i="7" s="1"/>
  <c r="Y2243" i="7" a="1"/>
  <c r="Y2243" i="7" s="1"/>
  <c r="Y2244" i="7" a="1"/>
  <c r="Y2244" i="7" s="1"/>
  <c r="Y2245" i="7" a="1"/>
  <c r="Y2245" i="7" s="1"/>
  <c r="Y2246" i="7" a="1"/>
  <c r="Y2246" i="7" s="1"/>
  <c r="Y2247" i="7" a="1"/>
  <c r="Y2247" i="7" s="1"/>
  <c r="Y2248" i="7" a="1"/>
  <c r="Y2248" i="7" s="1"/>
  <c r="Y2249" i="7" a="1"/>
  <c r="Y2249" i="7" s="1"/>
  <c r="Y2250" i="7" a="1"/>
  <c r="Y2250" i="7" s="1"/>
  <c r="Y2251" i="7" a="1"/>
  <c r="Y2251" i="7" s="1"/>
  <c r="Y2252" i="7" a="1"/>
  <c r="Y2252" i="7" s="1"/>
  <c r="Y2253" i="7" a="1"/>
  <c r="Y2253" i="7" s="1"/>
  <c r="Y2254" i="7" a="1"/>
  <c r="Y2254" i="7" s="1"/>
  <c r="Y2255" i="7" a="1"/>
  <c r="Y2255" i="7" s="1"/>
  <c r="Y2256" i="7" a="1"/>
  <c r="Y2256" i="7" s="1"/>
  <c r="Y2257" i="7" a="1"/>
  <c r="Y2257" i="7" s="1"/>
  <c r="Y2258" i="7" a="1"/>
  <c r="Y2258" i="7" s="1"/>
  <c r="Y2259" i="7" a="1"/>
  <c r="Y2259" i="7" s="1"/>
  <c r="Y2260" i="7" a="1"/>
  <c r="Y2260" i="7" s="1"/>
  <c r="Y2261" i="7" a="1"/>
  <c r="Y2261" i="7" s="1"/>
  <c r="Y2262" i="7" a="1"/>
  <c r="Y2262" i="7" s="1"/>
  <c r="Y2263" i="7" a="1"/>
  <c r="Y2263" i="7" s="1"/>
  <c r="Y2264" i="7" a="1"/>
  <c r="Y2264" i="7" s="1"/>
  <c r="Y2265" i="7" a="1"/>
  <c r="Y2265" i="7" s="1"/>
  <c r="Y2266" i="7" a="1"/>
  <c r="Y2266" i="7" s="1"/>
  <c r="Y2267" i="7" a="1"/>
  <c r="Y2267" i="7" s="1"/>
  <c r="Y2268" i="7" a="1"/>
  <c r="Y2268" i="7" s="1"/>
  <c r="Y2269" i="7" a="1"/>
  <c r="Y2269" i="7" s="1"/>
  <c r="Y2270" i="7" a="1"/>
  <c r="Y2270" i="7" s="1"/>
  <c r="Y2271" i="7" a="1"/>
  <c r="Y2271" i="7" s="1"/>
  <c r="Y2272" i="7" a="1"/>
  <c r="Y2272" i="7" s="1"/>
  <c r="X2213" i="7" a="1"/>
  <c r="X2213" i="7" s="1"/>
  <c r="X2214" i="7" a="1"/>
  <c r="X2214" i="7" s="1"/>
  <c r="X2215" i="7" a="1"/>
  <c r="X2215" i="7" s="1"/>
  <c r="X2216" i="7" a="1"/>
  <c r="X2216" i="7" s="1"/>
  <c r="X2217" i="7" a="1"/>
  <c r="X2217" i="7" s="1"/>
  <c r="X2218" i="7" a="1"/>
  <c r="X2218" i="7" s="1"/>
  <c r="X2219" i="7" a="1"/>
  <c r="X2219" i="7" s="1"/>
  <c r="X2220" i="7" a="1"/>
  <c r="X2220" i="7" s="1"/>
  <c r="X2221" i="7" a="1"/>
  <c r="X2221" i="7" s="1"/>
  <c r="X2222" i="7" a="1"/>
  <c r="X2222" i="7" s="1"/>
  <c r="X2223" i="7" a="1"/>
  <c r="X2223" i="7" s="1"/>
  <c r="X2224" i="7" a="1"/>
  <c r="X2224" i="7" s="1"/>
  <c r="X2225" i="7" a="1"/>
  <c r="X2225" i="7" s="1"/>
  <c r="X2226" i="7" a="1"/>
  <c r="X2226" i="7" s="1"/>
  <c r="X2227" i="7" a="1"/>
  <c r="X2227" i="7" s="1"/>
  <c r="X2228" i="7" a="1"/>
  <c r="X2228" i="7" s="1"/>
  <c r="X2229" i="7" a="1"/>
  <c r="X2229" i="7" s="1"/>
  <c r="X2230" i="7" a="1"/>
  <c r="X2230" i="7" s="1"/>
  <c r="X2231" i="7" a="1"/>
  <c r="X2231" i="7" s="1"/>
  <c r="X2232" i="7" a="1"/>
  <c r="X2232" i="7" s="1"/>
  <c r="X2233" i="7" a="1"/>
  <c r="X2233" i="7" s="1"/>
  <c r="X2234" i="7" a="1"/>
  <c r="X2234" i="7" s="1"/>
  <c r="X2235" i="7" a="1"/>
  <c r="X2235" i="7" s="1"/>
  <c r="X2236" i="7" a="1"/>
  <c r="X2236" i="7" s="1"/>
  <c r="X2237" i="7" a="1"/>
  <c r="X2237" i="7" s="1"/>
  <c r="X2238" i="7" a="1"/>
  <c r="X2238" i="7" s="1"/>
  <c r="X2239" i="7" a="1"/>
  <c r="X2239" i="7" s="1"/>
  <c r="X2240" i="7" a="1"/>
  <c r="X2240" i="7" s="1"/>
  <c r="X2241" i="7" a="1"/>
  <c r="X2241" i="7" s="1"/>
  <c r="X2242" i="7" a="1"/>
  <c r="X2242" i="7" s="1"/>
  <c r="X2243" i="7" a="1"/>
  <c r="X2243" i="7" s="1"/>
  <c r="X2244" i="7" a="1"/>
  <c r="X2244" i="7" s="1"/>
  <c r="X2245" i="7" a="1"/>
  <c r="X2245" i="7" s="1"/>
  <c r="X2246" i="7" a="1"/>
  <c r="X2246" i="7" s="1"/>
  <c r="X2247" i="7" a="1"/>
  <c r="X2247" i="7" s="1"/>
  <c r="X2248" i="7" a="1"/>
  <c r="X2248" i="7" s="1"/>
  <c r="X2249" i="7" a="1"/>
  <c r="X2249" i="7" s="1"/>
  <c r="X2250" i="7" a="1"/>
  <c r="X2250" i="7" s="1"/>
  <c r="X2251" i="7" a="1"/>
  <c r="X2251" i="7" s="1"/>
  <c r="X2252" i="7" a="1"/>
  <c r="X2252" i="7" s="1"/>
  <c r="X2253" i="7" a="1"/>
  <c r="X2253" i="7" s="1"/>
  <c r="X2254" i="7" a="1"/>
  <c r="X2254" i="7" s="1"/>
  <c r="X2255" i="7" a="1"/>
  <c r="X2255" i="7" s="1"/>
  <c r="X2256" i="7" a="1"/>
  <c r="X2256" i="7" s="1"/>
  <c r="X2257" i="7" a="1"/>
  <c r="X2257" i="7" s="1"/>
  <c r="X2258" i="7" a="1"/>
  <c r="X2258" i="7" s="1"/>
  <c r="X2259" i="7" a="1"/>
  <c r="X2259" i="7" s="1"/>
  <c r="X2260" i="7" a="1"/>
  <c r="X2260" i="7" s="1"/>
  <c r="X2261" i="7" a="1"/>
  <c r="X2261" i="7" s="1"/>
  <c r="X2262" i="7" a="1"/>
  <c r="X2262" i="7" s="1"/>
  <c r="X2263" i="7" a="1"/>
  <c r="X2263" i="7" s="1"/>
  <c r="X2264" i="7" a="1"/>
  <c r="X2264" i="7" s="1"/>
  <c r="X2265" i="7" a="1"/>
  <c r="X2265" i="7" s="1"/>
  <c r="X2266" i="7" a="1"/>
  <c r="X2266" i="7" s="1"/>
  <c r="X2267" i="7" a="1"/>
  <c r="X2267" i="7" s="1"/>
  <c r="X2268" i="7" a="1"/>
  <c r="X2268" i="7" s="1"/>
  <c r="X2269" i="7" a="1"/>
  <c r="X2269" i="7" s="1"/>
  <c r="X2270" i="7" a="1"/>
  <c r="X2270" i="7" s="1"/>
  <c r="X2271" i="7" a="1"/>
  <c r="X2271" i="7" s="1"/>
  <c r="X2272" i="7" a="1"/>
  <c r="X2272" i="7" s="1"/>
  <c r="W2213" i="7" a="1"/>
  <c r="W2213" i="7" s="1"/>
  <c r="W2214" i="7" a="1"/>
  <c r="W2214" i="7" s="1"/>
  <c r="W2215" i="7" a="1"/>
  <c r="W2215" i="7" s="1"/>
  <c r="W2216" i="7" a="1"/>
  <c r="W2216" i="7" s="1"/>
  <c r="W2217" i="7" a="1"/>
  <c r="W2217" i="7" s="1"/>
  <c r="W2218" i="7" a="1"/>
  <c r="W2218" i="7" s="1"/>
  <c r="W2219" i="7" a="1"/>
  <c r="W2219" i="7" s="1"/>
  <c r="W2220" i="7" a="1"/>
  <c r="W2220" i="7" s="1"/>
  <c r="W2221" i="7" a="1"/>
  <c r="W2221" i="7" s="1"/>
  <c r="W2222" i="7" a="1"/>
  <c r="W2222" i="7" s="1"/>
  <c r="W2223" i="7" a="1"/>
  <c r="W2223" i="7" s="1"/>
  <c r="W2224" i="7" a="1"/>
  <c r="W2224" i="7" s="1"/>
  <c r="W2225" i="7" a="1"/>
  <c r="W2225" i="7" s="1"/>
  <c r="W2226" i="7" a="1"/>
  <c r="W2226" i="7" s="1"/>
  <c r="W2227" i="7" a="1"/>
  <c r="W2227" i="7" s="1"/>
  <c r="W2228" i="7" a="1"/>
  <c r="W2228" i="7" s="1"/>
  <c r="W2229" i="7" a="1"/>
  <c r="W2229" i="7" s="1"/>
  <c r="W2230" i="7" a="1"/>
  <c r="W2230" i="7" s="1"/>
  <c r="W2231" i="7" a="1"/>
  <c r="W2231" i="7" s="1"/>
  <c r="W2232" i="7" a="1"/>
  <c r="W2232" i="7" s="1"/>
  <c r="W2233" i="7" a="1"/>
  <c r="W2233" i="7" s="1"/>
  <c r="W2234" i="7" a="1"/>
  <c r="W2234" i="7" s="1"/>
  <c r="W2235" i="7" a="1"/>
  <c r="W2235" i="7" s="1"/>
  <c r="W2236" i="7" a="1"/>
  <c r="W2236" i="7" s="1"/>
  <c r="W2237" i="7" a="1"/>
  <c r="W2237" i="7" s="1"/>
  <c r="W2238" i="7" a="1"/>
  <c r="W2238" i="7" s="1"/>
  <c r="W2239" i="7" a="1"/>
  <c r="W2239" i="7" s="1"/>
  <c r="W2240" i="7" a="1"/>
  <c r="W2240" i="7" s="1"/>
  <c r="W2241" i="7" a="1"/>
  <c r="W2241" i="7" s="1"/>
  <c r="W2242" i="7" a="1"/>
  <c r="W2242" i="7" s="1"/>
  <c r="W2243" i="7" a="1"/>
  <c r="W2243" i="7" s="1"/>
  <c r="W2244" i="7" a="1"/>
  <c r="W2244" i="7" s="1"/>
  <c r="W2245" i="7" a="1"/>
  <c r="W2245" i="7" s="1"/>
  <c r="W2246" i="7" a="1"/>
  <c r="W2246" i="7" s="1"/>
  <c r="W2247" i="7" a="1"/>
  <c r="W2247" i="7" s="1"/>
  <c r="W2248" i="7" a="1"/>
  <c r="W2248" i="7" s="1"/>
  <c r="W2249" i="7" a="1"/>
  <c r="W2249" i="7" s="1"/>
  <c r="W2250" i="7" a="1"/>
  <c r="W2250" i="7" s="1"/>
  <c r="W2251" i="7" a="1"/>
  <c r="W2251" i="7" s="1"/>
  <c r="W2252" i="7" a="1"/>
  <c r="W2252" i="7" s="1"/>
  <c r="W2253" i="7" a="1"/>
  <c r="W2253" i="7" s="1"/>
  <c r="W2254" i="7" a="1"/>
  <c r="W2254" i="7" s="1"/>
  <c r="W2255" i="7" a="1"/>
  <c r="W2255" i="7" s="1"/>
  <c r="W2256" i="7" a="1"/>
  <c r="W2256" i="7" s="1"/>
  <c r="W2257" i="7" a="1"/>
  <c r="W2257" i="7" s="1"/>
  <c r="W2258" i="7" a="1"/>
  <c r="W2258" i="7" s="1"/>
  <c r="W2259" i="7" a="1"/>
  <c r="W2259" i="7" s="1"/>
  <c r="W2260" i="7" a="1"/>
  <c r="W2260" i="7" s="1"/>
  <c r="W2261" i="7" a="1"/>
  <c r="W2261" i="7" s="1"/>
  <c r="W2262" i="7" a="1"/>
  <c r="W2262" i="7" s="1"/>
  <c r="W2263" i="7" a="1"/>
  <c r="W2263" i="7" s="1"/>
  <c r="W2264" i="7" a="1"/>
  <c r="W2264" i="7" s="1"/>
  <c r="W2265" i="7" a="1"/>
  <c r="W2265" i="7" s="1"/>
  <c r="W2266" i="7" a="1"/>
  <c r="W2266" i="7" s="1"/>
  <c r="W2267" i="7" a="1"/>
  <c r="W2267" i="7" s="1"/>
  <c r="W2268" i="7" a="1"/>
  <c r="W2268" i="7" s="1"/>
  <c r="W2269" i="7" a="1"/>
  <c r="W2269" i="7" s="1"/>
  <c r="W2270" i="7" a="1"/>
  <c r="W2270" i="7" s="1"/>
  <c r="W2271" i="7" a="1"/>
  <c r="W2271" i="7" s="1"/>
  <c r="W2272" i="7" a="1"/>
  <c r="W2272" i="7" s="1"/>
  <c r="AA2171" i="7" a="1"/>
  <c r="AA2171" i="7" s="1"/>
  <c r="AA2172" i="7" a="1"/>
  <c r="AA2172" i="7" s="1"/>
  <c r="AA2173" i="7" a="1"/>
  <c r="AA2173" i="7" s="1"/>
  <c r="AA2174" i="7" a="1"/>
  <c r="AA2174" i="7" s="1"/>
  <c r="AA2175" i="7" a="1"/>
  <c r="AA2175" i="7" s="1"/>
  <c r="AA2176" i="7" a="1"/>
  <c r="AA2176" i="7" s="1"/>
  <c r="AA2177" i="7" a="1"/>
  <c r="AA2177" i="7" s="1"/>
  <c r="AA2178" i="7" a="1"/>
  <c r="AA2178" i="7" s="1"/>
  <c r="AA2179" i="7" a="1"/>
  <c r="AA2179" i="7" s="1"/>
  <c r="AA2180" i="7" a="1"/>
  <c r="AA2180" i="7" s="1"/>
  <c r="AA2181" i="7" a="1"/>
  <c r="AA2181" i="7" s="1"/>
  <c r="AA2182" i="7" a="1"/>
  <c r="AA2182" i="7" s="1"/>
  <c r="AA2183" i="7" a="1"/>
  <c r="AA2183" i="7" s="1"/>
  <c r="AA2184" i="7" a="1"/>
  <c r="AA2184" i="7" s="1"/>
  <c r="AA2185" i="7" a="1"/>
  <c r="AA2185" i="7" s="1"/>
  <c r="AA2186" i="7" a="1"/>
  <c r="AA2186" i="7" s="1"/>
  <c r="AA2187" i="7" a="1"/>
  <c r="AA2187" i="7" s="1"/>
  <c r="AA2188" i="7" a="1"/>
  <c r="AA2188" i="7" s="1"/>
  <c r="AA2189" i="7" a="1"/>
  <c r="AA2189" i="7" s="1"/>
  <c r="AA2190" i="7" a="1"/>
  <c r="AA2190" i="7" s="1"/>
  <c r="AA2191" i="7" a="1"/>
  <c r="AA2191" i="7" s="1"/>
  <c r="AA2192" i="7" a="1"/>
  <c r="AA2192" i="7" s="1"/>
  <c r="AA2193" i="7" a="1"/>
  <c r="AA2193" i="7" s="1"/>
  <c r="AA2194" i="7" a="1"/>
  <c r="AA2194" i="7" s="1"/>
  <c r="AA2195" i="7" a="1"/>
  <c r="AA2195" i="7" s="1"/>
  <c r="AA2196" i="7" a="1"/>
  <c r="AA2196" i="7" s="1"/>
  <c r="AA2197" i="7" a="1"/>
  <c r="AA2197" i="7" s="1"/>
  <c r="AA2198" i="7" a="1"/>
  <c r="AA2198" i="7" s="1"/>
  <c r="AA2199" i="7" a="1"/>
  <c r="AA2199" i="7" s="1"/>
  <c r="AA2200" i="7" a="1"/>
  <c r="AA2200" i="7" s="1"/>
  <c r="AA2201" i="7" a="1"/>
  <c r="AA2201" i="7" s="1"/>
  <c r="AA2202" i="7" a="1"/>
  <c r="AA2202" i="7" s="1"/>
  <c r="AA2203" i="7" a="1"/>
  <c r="AA2203" i="7" s="1"/>
  <c r="AA2204" i="7" a="1"/>
  <c r="AA2204" i="7" s="1"/>
  <c r="AA2205" i="7" a="1"/>
  <c r="AA2205" i="7" s="1"/>
  <c r="AA2206" i="7" a="1"/>
  <c r="AA2206" i="7" s="1"/>
  <c r="AA2207" i="7" a="1"/>
  <c r="AA2207" i="7" s="1"/>
  <c r="AA2208" i="7" a="1"/>
  <c r="AA2208" i="7" s="1"/>
  <c r="AA2209" i="7" a="1"/>
  <c r="AA2209" i="7" s="1"/>
  <c r="AA2210" i="7" a="1"/>
  <c r="AA2210" i="7" s="1"/>
  <c r="AA2211" i="7" a="1"/>
  <c r="AA2211" i="7" s="1"/>
  <c r="AA2212" i="7" a="1"/>
  <c r="AA2212" i="7" s="1"/>
  <c r="Z2171" i="7" a="1"/>
  <c r="Z2171" i="7" s="1"/>
  <c r="Z2172" i="7" a="1"/>
  <c r="Z2172" i="7" s="1"/>
  <c r="Z2173" i="7" a="1"/>
  <c r="Z2173" i="7" s="1"/>
  <c r="Z2174" i="7" a="1"/>
  <c r="Z2174" i="7" s="1"/>
  <c r="Z2175" i="7" a="1"/>
  <c r="Z2175" i="7" s="1"/>
  <c r="Z2176" i="7" a="1"/>
  <c r="Z2176" i="7" s="1"/>
  <c r="Z2177" i="7" a="1"/>
  <c r="Z2177" i="7" s="1"/>
  <c r="Z2178" i="7" a="1"/>
  <c r="Z2178" i="7" s="1"/>
  <c r="Z2179" i="7" a="1"/>
  <c r="Z2179" i="7" s="1"/>
  <c r="Z2180" i="7" a="1"/>
  <c r="Z2180" i="7" s="1"/>
  <c r="Z2181" i="7" a="1"/>
  <c r="Z2181" i="7" s="1"/>
  <c r="Z2182" i="7" a="1"/>
  <c r="Z2182" i="7" s="1"/>
  <c r="Z2183" i="7" a="1"/>
  <c r="Z2183" i="7" s="1"/>
  <c r="Z2184" i="7" a="1"/>
  <c r="Z2184" i="7" s="1"/>
  <c r="Z2185" i="7" a="1"/>
  <c r="Z2185" i="7" s="1"/>
  <c r="Z2186" i="7" a="1"/>
  <c r="Z2186" i="7" s="1"/>
  <c r="Z2187" i="7" a="1"/>
  <c r="Z2187" i="7" s="1"/>
  <c r="Z2188" i="7" a="1"/>
  <c r="Z2188" i="7" s="1"/>
  <c r="Z2189" i="7" a="1"/>
  <c r="Z2189" i="7" s="1"/>
  <c r="Z2190" i="7" a="1"/>
  <c r="Z2190" i="7" s="1"/>
  <c r="Z2191" i="7" a="1"/>
  <c r="Z2191" i="7" s="1"/>
  <c r="Z2192" i="7" a="1"/>
  <c r="Z2192" i="7" s="1"/>
  <c r="Z2193" i="7" a="1"/>
  <c r="Z2193" i="7" s="1"/>
  <c r="Z2194" i="7" a="1"/>
  <c r="Z2194" i="7" s="1"/>
  <c r="Z2195" i="7" a="1"/>
  <c r="Z2195" i="7" s="1"/>
  <c r="Z2196" i="7" a="1"/>
  <c r="Z2196" i="7" s="1"/>
  <c r="Z2197" i="7" a="1"/>
  <c r="Z2197" i="7" s="1"/>
  <c r="Z2198" i="7" a="1"/>
  <c r="Z2198" i="7" s="1"/>
  <c r="Z2199" i="7" a="1"/>
  <c r="Z2199" i="7" s="1"/>
  <c r="Z2200" i="7" a="1"/>
  <c r="Z2200" i="7" s="1"/>
  <c r="Z2201" i="7" a="1"/>
  <c r="Z2201" i="7" s="1"/>
  <c r="Z2202" i="7" a="1"/>
  <c r="Z2202" i="7" s="1"/>
  <c r="Z2203" i="7" a="1"/>
  <c r="Z2203" i="7" s="1"/>
  <c r="Z2204" i="7" a="1"/>
  <c r="Z2204" i="7" s="1"/>
  <c r="Z2205" i="7" a="1"/>
  <c r="Z2205" i="7" s="1"/>
  <c r="Z2206" i="7" a="1"/>
  <c r="Z2206" i="7" s="1"/>
  <c r="Z2207" i="7" a="1"/>
  <c r="Z2207" i="7" s="1"/>
  <c r="Z2208" i="7" a="1"/>
  <c r="Z2208" i="7" s="1"/>
  <c r="Z2209" i="7" a="1"/>
  <c r="Z2209" i="7" s="1"/>
  <c r="Z2210" i="7" a="1"/>
  <c r="Z2210" i="7" s="1"/>
  <c r="Z2211" i="7" a="1"/>
  <c r="Z2211" i="7" s="1"/>
  <c r="Z2212" i="7" a="1"/>
  <c r="Z2212" i="7" s="1"/>
  <c r="Y2171" i="7" a="1"/>
  <c r="Y2171" i="7" s="1"/>
  <c r="Y2172" i="7" a="1"/>
  <c r="Y2172" i="7" s="1"/>
  <c r="Y2173" i="7" a="1"/>
  <c r="Y2173" i="7" s="1"/>
  <c r="Y2174" i="7" a="1"/>
  <c r="Y2174" i="7" s="1"/>
  <c r="Y2175" i="7" a="1"/>
  <c r="Y2175" i="7" s="1"/>
  <c r="Y2176" i="7" a="1"/>
  <c r="Y2176" i="7" s="1"/>
  <c r="Y2177" i="7" a="1"/>
  <c r="Y2177" i="7" s="1"/>
  <c r="Y2178" i="7" a="1"/>
  <c r="Y2178" i="7" s="1"/>
  <c r="Y2179" i="7" a="1"/>
  <c r="Y2179" i="7" s="1"/>
  <c r="Y2180" i="7" a="1"/>
  <c r="Y2180" i="7" s="1"/>
  <c r="Y2181" i="7" a="1"/>
  <c r="Y2181" i="7" s="1"/>
  <c r="Y2182" i="7" a="1"/>
  <c r="Y2182" i="7" s="1"/>
  <c r="Y2183" i="7" a="1"/>
  <c r="Y2183" i="7" s="1"/>
  <c r="Y2184" i="7" a="1"/>
  <c r="Y2184" i="7" s="1"/>
  <c r="Y2185" i="7" a="1"/>
  <c r="Y2185" i="7" s="1"/>
  <c r="Y2186" i="7" a="1"/>
  <c r="Y2186" i="7" s="1"/>
  <c r="Y2187" i="7" a="1"/>
  <c r="Y2187" i="7" s="1"/>
  <c r="Y2188" i="7" a="1"/>
  <c r="Y2188" i="7" s="1"/>
  <c r="Y2189" i="7" a="1"/>
  <c r="Y2189" i="7" s="1"/>
  <c r="Y2190" i="7" a="1"/>
  <c r="Y2190" i="7" s="1"/>
  <c r="Y2191" i="7" a="1"/>
  <c r="Y2191" i="7" s="1"/>
  <c r="Y2192" i="7" a="1"/>
  <c r="Y2192" i="7" s="1"/>
  <c r="Y2193" i="7" a="1"/>
  <c r="Y2193" i="7" s="1"/>
  <c r="Y2194" i="7" a="1"/>
  <c r="Y2194" i="7" s="1"/>
  <c r="Y2195" i="7" a="1"/>
  <c r="Y2195" i="7" s="1"/>
  <c r="Y2196" i="7" a="1"/>
  <c r="Y2196" i="7" s="1"/>
  <c r="Y2197" i="7" a="1"/>
  <c r="Y2197" i="7" s="1"/>
  <c r="Y2198" i="7" a="1"/>
  <c r="Y2198" i="7" s="1"/>
  <c r="Y2199" i="7" a="1"/>
  <c r="Y2199" i="7" s="1"/>
  <c r="Y2200" i="7" a="1"/>
  <c r="Y2200" i="7" s="1"/>
  <c r="Y2201" i="7" a="1"/>
  <c r="Y2201" i="7" s="1"/>
  <c r="Y2202" i="7" a="1"/>
  <c r="Y2202" i="7" s="1"/>
  <c r="Y2203" i="7" a="1"/>
  <c r="Y2203" i="7" s="1"/>
  <c r="Y2204" i="7" a="1"/>
  <c r="Y2204" i="7" s="1"/>
  <c r="Y2205" i="7" a="1"/>
  <c r="Y2205" i="7" s="1"/>
  <c r="Y2206" i="7" a="1"/>
  <c r="Y2206" i="7" s="1"/>
  <c r="Y2207" i="7" a="1"/>
  <c r="Y2207" i="7" s="1"/>
  <c r="Y2208" i="7" a="1"/>
  <c r="Y2208" i="7" s="1"/>
  <c r="Y2209" i="7" a="1"/>
  <c r="Y2209" i="7" s="1"/>
  <c r="Y2210" i="7" a="1"/>
  <c r="Y2210" i="7" s="1"/>
  <c r="Y2211" i="7" a="1"/>
  <c r="Y2211" i="7" s="1"/>
  <c r="Y2212" i="7" a="1"/>
  <c r="Y2212" i="7" s="1"/>
  <c r="X2171" i="7" a="1"/>
  <c r="X2171" i="7" s="1"/>
  <c r="X2172" i="7" a="1"/>
  <c r="X2172" i="7" s="1"/>
  <c r="X2173" i="7" a="1"/>
  <c r="X2173" i="7" s="1"/>
  <c r="X2174" i="7" a="1"/>
  <c r="X2174" i="7" s="1"/>
  <c r="X2175" i="7" a="1"/>
  <c r="X2175" i="7" s="1"/>
  <c r="X2176" i="7" a="1"/>
  <c r="X2176" i="7" s="1"/>
  <c r="X2177" i="7" a="1"/>
  <c r="X2177" i="7" s="1"/>
  <c r="X2178" i="7" a="1"/>
  <c r="X2178" i="7" s="1"/>
  <c r="X2179" i="7" a="1"/>
  <c r="X2179" i="7" s="1"/>
  <c r="X2180" i="7" a="1"/>
  <c r="X2180" i="7" s="1"/>
  <c r="X2181" i="7" a="1"/>
  <c r="X2181" i="7" s="1"/>
  <c r="X2182" i="7" a="1"/>
  <c r="X2182" i="7" s="1"/>
  <c r="X2183" i="7" a="1"/>
  <c r="X2183" i="7" s="1"/>
  <c r="X2184" i="7" a="1"/>
  <c r="X2184" i="7" s="1"/>
  <c r="X2185" i="7" a="1"/>
  <c r="X2185" i="7" s="1"/>
  <c r="X2186" i="7" a="1"/>
  <c r="X2186" i="7" s="1"/>
  <c r="X2187" i="7" a="1"/>
  <c r="X2187" i="7" s="1"/>
  <c r="X2188" i="7" a="1"/>
  <c r="X2188" i="7" s="1"/>
  <c r="X2189" i="7" a="1"/>
  <c r="X2189" i="7" s="1"/>
  <c r="X2190" i="7" a="1"/>
  <c r="X2190" i="7" s="1"/>
  <c r="X2191" i="7" a="1"/>
  <c r="X2191" i="7" s="1"/>
  <c r="X2192" i="7" a="1"/>
  <c r="X2192" i="7" s="1"/>
  <c r="X2193" i="7" a="1"/>
  <c r="X2193" i="7" s="1"/>
  <c r="X2194" i="7" a="1"/>
  <c r="X2194" i="7" s="1"/>
  <c r="X2195" i="7" a="1"/>
  <c r="X2195" i="7" s="1"/>
  <c r="X2196" i="7" a="1"/>
  <c r="X2196" i="7" s="1"/>
  <c r="X2197" i="7" a="1"/>
  <c r="X2197" i="7" s="1"/>
  <c r="X2198" i="7" a="1"/>
  <c r="X2198" i="7" s="1"/>
  <c r="X2199" i="7" a="1"/>
  <c r="X2199" i="7" s="1"/>
  <c r="X2200" i="7" a="1"/>
  <c r="X2200" i="7" s="1"/>
  <c r="X2201" i="7" a="1"/>
  <c r="X2201" i="7" s="1"/>
  <c r="X2202" i="7" a="1"/>
  <c r="X2202" i="7" s="1"/>
  <c r="X2203" i="7" a="1"/>
  <c r="X2203" i="7" s="1"/>
  <c r="X2204" i="7" a="1"/>
  <c r="X2204" i="7" s="1"/>
  <c r="X2205" i="7" a="1"/>
  <c r="X2205" i="7" s="1"/>
  <c r="X2206" i="7" a="1"/>
  <c r="X2206" i="7" s="1"/>
  <c r="X2207" i="7" a="1"/>
  <c r="X2207" i="7" s="1"/>
  <c r="X2208" i="7" a="1"/>
  <c r="X2208" i="7" s="1"/>
  <c r="X2209" i="7" a="1"/>
  <c r="X2209" i="7" s="1"/>
  <c r="X2210" i="7" a="1"/>
  <c r="X2210" i="7" s="1"/>
  <c r="X2211" i="7" a="1"/>
  <c r="X2211" i="7" s="1"/>
  <c r="X2212" i="7" a="1"/>
  <c r="X2212" i="7" s="1"/>
  <c r="W2153" i="7" a="1"/>
  <c r="W2153" i="7" s="1"/>
  <c r="W2154" i="7" a="1"/>
  <c r="W2154" i="7" s="1"/>
  <c r="W2155" i="7" a="1"/>
  <c r="W2155" i="7" s="1"/>
  <c r="W2156" i="7" a="1"/>
  <c r="W2156" i="7" s="1"/>
  <c r="W2157" i="7" a="1"/>
  <c r="W2157" i="7" s="1"/>
  <c r="W2158" i="7" a="1"/>
  <c r="W2158" i="7" s="1"/>
  <c r="W2159" i="7" a="1"/>
  <c r="W2159" i="7" s="1"/>
  <c r="W2160" i="7" a="1"/>
  <c r="W2160" i="7" s="1"/>
  <c r="W2161" i="7" a="1"/>
  <c r="W2161" i="7" s="1"/>
  <c r="W2162" i="7" a="1"/>
  <c r="W2162" i="7" s="1"/>
  <c r="W2163" i="7" a="1"/>
  <c r="W2163" i="7" s="1"/>
  <c r="W2164" i="7" a="1"/>
  <c r="W2164" i="7" s="1"/>
  <c r="W2165" i="7" a="1"/>
  <c r="W2165" i="7" s="1"/>
  <c r="W2166" i="7" a="1"/>
  <c r="W2166" i="7" s="1"/>
  <c r="W2167" i="7" a="1"/>
  <c r="W2167" i="7" s="1"/>
  <c r="W2168" i="7" a="1"/>
  <c r="W2168" i="7" s="1"/>
  <c r="W2169" i="7" a="1"/>
  <c r="W2169" i="7" s="1"/>
  <c r="W2170" i="7" a="1"/>
  <c r="W2170" i="7" s="1"/>
  <c r="W2171" i="7" a="1"/>
  <c r="W2171" i="7" s="1"/>
  <c r="W2172" i="7" a="1"/>
  <c r="W2172" i="7" s="1"/>
  <c r="W2173" i="7" a="1"/>
  <c r="W2173" i="7" s="1"/>
  <c r="W2174" i="7" a="1"/>
  <c r="W2174" i="7" s="1"/>
  <c r="W2175" i="7" a="1"/>
  <c r="W2175" i="7" s="1"/>
  <c r="W2176" i="7" a="1"/>
  <c r="W2176" i="7" s="1"/>
  <c r="W2177" i="7" a="1"/>
  <c r="W2177" i="7" s="1"/>
  <c r="W2178" i="7" a="1"/>
  <c r="W2178" i="7" s="1"/>
  <c r="W2179" i="7" a="1"/>
  <c r="W2179" i="7" s="1"/>
  <c r="W2180" i="7" a="1"/>
  <c r="W2180" i="7" s="1"/>
  <c r="W2181" i="7" a="1"/>
  <c r="W2181" i="7" s="1"/>
  <c r="W2182" i="7" a="1"/>
  <c r="W2182" i="7" s="1"/>
  <c r="W2183" i="7" a="1"/>
  <c r="W2183" i="7" s="1"/>
  <c r="W2184" i="7" a="1"/>
  <c r="W2184" i="7" s="1"/>
  <c r="W2185" i="7" a="1"/>
  <c r="W2185" i="7" s="1"/>
  <c r="W2186" i="7" a="1"/>
  <c r="W2186" i="7" s="1"/>
  <c r="W2187" i="7" a="1"/>
  <c r="W2187" i="7" s="1"/>
  <c r="W2188" i="7" a="1"/>
  <c r="W2188" i="7" s="1"/>
  <c r="W2189" i="7" a="1"/>
  <c r="W2189" i="7" s="1"/>
  <c r="W2190" i="7" a="1"/>
  <c r="W2190" i="7" s="1"/>
  <c r="W2191" i="7" a="1"/>
  <c r="W2191" i="7" s="1"/>
  <c r="W2192" i="7" a="1"/>
  <c r="W2192" i="7" s="1"/>
  <c r="W2193" i="7" a="1"/>
  <c r="W2193" i="7" s="1"/>
  <c r="W2194" i="7" a="1"/>
  <c r="W2194" i="7" s="1"/>
  <c r="W2195" i="7" a="1"/>
  <c r="W2195" i="7" s="1"/>
  <c r="W2196" i="7" a="1"/>
  <c r="W2196" i="7" s="1"/>
  <c r="W2197" i="7" a="1"/>
  <c r="W2197" i="7" s="1"/>
  <c r="W2198" i="7" a="1"/>
  <c r="W2198" i="7" s="1"/>
  <c r="W2199" i="7" a="1"/>
  <c r="W2199" i="7" s="1"/>
  <c r="W2200" i="7" a="1"/>
  <c r="W2200" i="7" s="1"/>
  <c r="W2201" i="7" a="1"/>
  <c r="W2201" i="7" s="1"/>
  <c r="W2202" i="7" a="1"/>
  <c r="W2202" i="7" s="1"/>
  <c r="W2203" i="7" a="1"/>
  <c r="W2203" i="7" s="1"/>
  <c r="W2204" i="7" a="1"/>
  <c r="W2204" i="7" s="1"/>
  <c r="W2205" i="7" a="1"/>
  <c r="W2205" i="7" s="1"/>
  <c r="W2206" i="7" a="1"/>
  <c r="W2206" i="7" s="1"/>
  <c r="W2207" i="7" a="1"/>
  <c r="W2207" i="7" s="1"/>
  <c r="W2208" i="7" a="1"/>
  <c r="W2208" i="7" s="1"/>
  <c r="W2209" i="7" a="1"/>
  <c r="W2209" i="7" s="1"/>
  <c r="W2210" i="7" a="1"/>
  <c r="W2210" i="7" s="1"/>
  <c r="W2211" i="7" a="1"/>
  <c r="W2211" i="7" s="1"/>
  <c r="W2212" i="7" a="1"/>
  <c r="W2212" i="7" s="1"/>
  <c r="AA2094" i="7" a="1"/>
  <c r="AA2094" i="7" s="1"/>
  <c r="AA2095" i="7" a="1"/>
  <c r="AA2095" i="7" s="1"/>
  <c r="AA2096" i="7" a="1"/>
  <c r="AA2096" i="7" s="1"/>
  <c r="AA2097" i="7" a="1"/>
  <c r="AA2097" i="7" s="1"/>
  <c r="AA2098" i="7" a="1"/>
  <c r="AA2098" i="7" s="1"/>
  <c r="AA2099" i="7" a="1"/>
  <c r="AA2099" i="7" s="1"/>
  <c r="AA2100" i="7" a="1"/>
  <c r="AA2100" i="7" s="1"/>
  <c r="AA2101" i="7" a="1"/>
  <c r="AA2101" i="7" s="1"/>
  <c r="AA2102" i="7" a="1"/>
  <c r="AA2102" i="7" s="1"/>
  <c r="AA2103" i="7" a="1"/>
  <c r="AA2103" i="7" s="1"/>
  <c r="AA2104" i="7" a="1"/>
  <c r="AA2104" i="7" s="1"/>
  <c r="AA2105" i="7" a="1"/>
  <c r="AA2105" i="7" s="1"/>
  <c r="AA2106" i="7" a="1"/>
  <c r="AA2106" i="7" s="1"/>
  <c r="AA2107" i="7" a="1"/>
  <c r="AA2107" i="7" s="1"/>
  <c r="AA2108" i="7" a="1"/>
  <c r="AA2108" i="7" s="1"/>
  <c r="AA2109" i="7" a="1"/>
  <c r="AA2109" i="7" s="1"/>
  <c r="AA2110" i="7" a="1"/>
  <c r="AA2110" i="7" s="1"/>
  <c r="AA2111" i="7" a="1"/>
  <c r="AA2111" i="7" s="1"/>
  <c r="AA2112" i="7" a="1"/>
  <c r="AA2112" i="7" s="1"/>
  <c r="AA2113" i="7" a="1"/>
  <c r="AA2113" i="7" s="1"/>
  <c r="AA2114" i="7" a="1"/>
  <c r="AA2114" i="7" s="1"/>
  <c r="AA2115" i="7" a="1"/>
  <c r="AA2115" i="7" s="1"/>
  <c r="AA2116" i="7" a="1"/>
  <c r="AA2116" i="7" s="1"/>
  <c r="AA2117" i="7" a="1"/>
  <c r="AA2117" i="7" s="1"/>
  <c r="AA2118" i="7" a="1"/>
  <c r="AA2118" i="7" s="1"/>
  <c r="AA2119" i="7" a="1"/>
  <c r="AA2119" i="7" s="1"/>
  <c r="AA2120" i="7" a="1"/>
  <c r="AA2120" i="7" s="1"/>
  <c r="AA2121" i="7" a="1"/>
  <c r="AA2121" i="7" s="1"/>
  <c r="AA2122" i="7" a="1"/>
  <c r="AA2122" i="7" s="1"/>
  <c r="AA2123" i="7" a="1"/>
  <c r="AA2123" i="7" s="1"/>
  <c r="AA2124" i="7" a="1"/>
  <c r="AA2124" i="7" s="1"/>
  <c r="AA2125" i="7" a="1"/>
  <c r="AA2125" i="7" s="1"/>
  <c r="AA2126" i="7" a="1"/>
  <c r="AA2126" i="7" s="1"/>
  <c r="AA2127" i="7" a="1"/>
  <c r="AA2127" i="7" s="1"/>
  <c r="AA2128" i="7" a="1"/>
  <c r="AA2128" i="7" s="1"/>
  <c r="AA2129" i="7" a="1"/>
  <c r="AA2129" i="7" s="1"/>
  <c r="AA2130" i="7" a="1"/>
  <c r="AA2130" i="7" s="1"/>
  <c r="AA2131" i="7" a="1"/>
  <c r="AA2131" i="7" s="1"/>
  <c r="AA2132" i="7" a="1"/>
  <c r="AA2132" i="7" s="1"/>
  <c r="AA2133" i="7" a="1"/>
  <c r="AA2133" i="7" s="1"/>
  <c r="AA2134" i="7" a="1"/>
  <c r="AA2134" i="7" s="1"/>
  <c r="AA2135" i="7" a="1"/>
  <c r="AA2135" i="7" s="1"/>
  <c r="AA2136" i="7" a="1"/>
  <c r="AA2136" i="7" s="1"/>
  <c r="AA2137" i="7" a="1"/>
  <c r="AA2137" i="7" s="1"/>
  <c r="AA2138" i="7" a="1"/>
  <c r="AA2138" i="7" s="1"/>
  <c r="AA2139" i="7" a="1"/>
  <c r="AA2139" i="7" s="1"/>
  <c r="AA2140" i="7" a="1"/>
  <c r="AA2140" i="7" s="1"/>
  <c r="AA2141" i="7" a="1"/>
  <c r="AA2141" i="7" s="1"/>
  <c r="AA2142" i="7" a="1"/>
  <c r="AA2142" i="7" s="1"/>
  <c r="AA2143" i="7" a="1"/>
  <c r="AA2143" i="7" s="1"/>
  <c r="AA2144" i="7" a="1"/>
  <c r="AA2144" i="7" s="1"/>
  <c r="AA2145" i="7" a="1"/>
  <c r="AA2145" i="7" s="1"/>
  <c r="AA2146" i="7" a="1"/>
  <c r="AA2146" i="7" s="1"/>
  <c r="AA2147" i="7" a="1"/>
  <c r="AA2147" i="7" s="1"/>
  <c r="AA2148" i="7" a="1"/>
  <c r="AA2148" i="7" s="1"/>
  <c r="AA2149" i="7" a="1"/>
  <c r="AA2149" i="7" s="1"/>
  <c r="AA2150" i="7" a="1"/>
  <c r="AA2150" i="7" s="1"/>
  <c r="AA2151" i="7" a="1"/>
  <c r="AA2151" i="7" s="1"/>
  <c r="AA2152" i="7" a="1"/>
  <c r="AA2152" i="7" s="1"/>
  <c r="Z2094" i="7" a="1"/>
  <c r="Z2094" i="7" s="1"/>
  <c r="Z2095" i="7" a="1"/>
  <c r="Z2095" i="7" s="1"/>
  <c r="Z2096" i="7" a="1"/>
  <c r="Z2096" i="7" s="1"/>
  <c r="Z2097" i="7" a="1"/>
  <c r="Z2097" i="7" s="1"/>
  <c r="Z2098" i="7" a="1"/>
  <c r="Z2098" i="7" s="1"/>
  <c r="Z2099" i="7" a="1"/>
  <c r="Z2099" i="7" s="1"/>
  <c r="Z2100" i="7" a="1"/>
  <c r="Z2100" i="7" s="1"/>
  <c r="Z2101" i="7" a="1"/>
  <c r="Z2101" i="7" s="1"/>
  <c r="Z2102" i="7" a="1"/>
  <c r="Z2102" i="7" s="1"/>
  <c r="Z2103" i="7" a="1"/>
  <c r="Z2103" i="7" s="1"/>
  <c r="Z2104" i="7" a="1"/>
  <c r="Z2104" i="7" s="1"/>
  <c r="Z2105" i="7" a="1"/>
  <c r="Z2105" i="7" s="1"/>
  <c r="Z2106" i="7" a="1"/>
  <c r="Z2106" i="7" s="1"/>
  <c r="Z2107" i="7" a="1"/>
  <c r="Z2107" i="7" s="1"/>
  <c r="Z2108" i="7" a="1"/>
  <c r="Z2108" i="7" s="1"/>
  <c r="Z2109" i="7" a="1"/>
  <c r="Z2109" i="7" s="1"/>
  <c r="Z2110" i="7" a="1"/>
  <c r="Z2110" i="7" s="1"/>
  <c r="Z2111" i="7" a="1"/>
  <c r="Z2111" i="7" s="1"/>
  <c r="Z2112" i="7" a="1"/>
  <c r="Z2112" i="7" s="1"/>
  <c r="Z2113" i="7" a="1"/>
  <c r="Z2113" i="7" s="1"/>
  <c r="Z2114" i="7" a="1"/>
  <c r="Z2114" i="7" s="1"/>
  <c r="Z2115" i="7" a="1"/>
  <c r="Z2115" i="7" s="1"/>
  <c r="Z2116" i="7" a="1"/>
  <c r="Z2116" i="7" s="1"/>
  <c r="Z2117" i="7" a="1"/>
  <c r="Z2117" i="7" s="1"/>
  <c r="Z2118" i="7" a="1"/>
  <c r="Z2118" i="7" s="1"/>
  <c r="Z2119" i="7" a="1"/>
  <c r="Z2119" i="7" s="1"/>
  <c r="Z2120" i="7" a="1"/>
  <c r="Z2120" i="7" s="1"/>
  <c r="Z2121" i="7" a="1"/>
  <c r="Z2121" i="7" s="1"/>
  <c r="Z2122" i="7" a="1"/>
  <c r="Z2122" i="7" s="1"/>
  <c r="Z2123" i="7" a="1"/>
  <c r="Z2123" i="7" s="1"/>
  <c r="Z2124" i="7" a="1"/>
  <c r="Z2124" i="7" s="1"/>
  <c r="Z2125" i="7" a="1"/>
  <c r="Z2125" i="7" s="1"/>
  <c r="Z2126" i="7" a="1"/>
  <c r="Z2126" i="7" s="1"/>
  <c r="Z2127" i="7" a="1"/>
  <c r="Z2127" i="7" s="1"/>
  <c r="Z2128" i="7" a="1"/>
  <c r="Z2128" i="7" s="1"/>
  <c r="Z2129" i="7" a="1"/>
  <c r="Z2129" i="7" s="1"/>
  <c r="Z2130" i="7" a="1"/>
  <c r="Z2130" i="7" s="1"/>
  <c r="Z2131" i="7" a="1"/>
  <c r="Z2131" i="7" s="1"/>
  <c r="Z2132" i="7" a="1"/>
  <c r="Z2132" i="7" s="1"/>
  <c r="Z2133" i="7" a="1"/>
  <c r="Z2133" i="7" s="1"/>
  <c r="Z2134" i="7" a="1"/>
  <c r="Z2134" i="7" s="1"/>
  <c r="Z2135" i="7" a="1"/>
  <c r="Z2135" i="7" s="1"/>
  <c r="Z2136" i="7" a="1"/>
  <c r="Z2136" i="7" s="1"/>
  <c r="Z2137" i="7" a="1"/>
  <c r="Z2137" i="7" s="1"/>
  <c r="Z2138" i="7" a="1"/>
  <c r="Z2138" i="7" s="1"/>
  <c r="Z2139" i="7" a="1"/>
  <c r="Z2139" i="7" s="1"/>
  <c r="Z2140" i="7" a="1"/>
  <c r="Z2140" i="7" s="1"/>
  <c r="Z2141" i="7" a="1"/>
  <c r="Z2141" i="7" s="1"/>
  <c r="Z2142" i="7" a="1"/>
  <c r="Z2142" i="7" s="1"/>
  <c r="Z2143" i="7" a="1"/>
  <c r="Z2143" i="7" s="1"/>
  <c r="Z2144" i="7" a="1"/>
  <c r="Z2144" i="7" s="1"/>
  <c r="Z2145" i="7" a="1"/>
  <c r="Z2145" i="7" s="1"/>
  <c r="Z2146" i="7" a="1"/>
  <c r="Z2146" i="7" s="1"/>
  <c r="Z2147" i="7" a="1"/>
  <c r="Z2147" i="7" s="1"/>
  <c r="Z2148" i="7" a="1"/>
  <c r="Z2148" i="7" s="1"/>
  <c r="Z2149" i="7" a="1"/>
  <c r="Z2149" i="7" s="1"/>
  <c r="Z2150" i="7" a="1"/>
  <c r="Z2150" i="7" s="1"/>
  <c r="Z2151" i="7" a="1"/>
  <c r="Z2151" i="7" s="1"/>
  <c r="Z2152" i="7" a="1"/>
  <c r="Z2152" i="7" s="1"/>
  <c r="Y2094" i="7" a="1"/>
  <c r="Y2094" i="7" s="1"/>
  <c r="Y2095" i="7" a="1"/>
  <c r="Y2095" i="7" s="1"/>
  <c r="Y2096" i="7" a="1"/>
  <c r="Y2096" i="7" s="1"/>
  <c r="Y2097" i="7" a="1"/>
  <c r="Y2097" i="7" s="1"/>
  <c r="Y2098" i="7" a="1"/>
  <c r="Y2098" i="7" s="1"/>
  <c r="Y2099" i="7" a="1"/>
  <c r="Y2099" i="7" s="1"/>
  <c r="Y2100" i="7" a="1"/>
  <c r="Y2100" i="7" s="1"/>
  <c r="Y2101" i="7" a="1"/>
  <c r="Y2101" i="7" s="1"/>
  <c r="Y2102" i="7" a="1"/>
  <c r="Y2102" i="7" s="1"/>
  <c r="Y2103" i="7" a="1"/>
  <c r="Y2103" i="7" s="1"/>
  <c r="Y2104" i="7" a="1"/>
  <c r="Y2104" i="7" s="1"/>
  <c r="Y2105" i="7" a="1"/>
  <c r="Y2105" i="7" s="1"/>
  <c r="Y2106" i="7" a="1"/>
  <c r="Y2106" i="7" s="1"/>
  <c r="Y2107" i="7" a="1"/>
  <c r="Y2107" i="7" s="1"/>
  <c r="Y2108" i="7" a="1"/>
  <c r="Y2108" i="7" s="1"/>
  <c r="Y2109" i="7" a="1"/>
  <c r="Y2109" i="7" s="1"/>
  <c r="Y2110" i="7" a="1"/>
  <c r="Y2110" i="7" s="1"/>
  <c r="Y2111" i="7" a="1"/>
  <c r="Y2111" i="7" s="1"/>
  <c r="Y2112" i="7" a="1"/>
  <c r="Y2112" i="7" s="1"/>
  <c r="Y2113" i="7" a="1"/>
  <c r="Y2113" i="7" s="1"/>
  <c r="Y2114" i="7" a="1"/>
  <c r="Y2114" i="7" s="1"/>
  <c r="Y2115" i="7" a="1"/>
  <c r="Y2115" i="7" s="1"/>
  <c r="Y2116" i="7" a="1"/>
  <c r="Y2116" i="7" s="1"/>
  <c r="Y2117" i="7" a="1"/>
  <c r="Y2117" i="7" s="1"/>
  <c r="Y2118" i="7" a="1"/>
  <c r="Y2118" i="7" s="1"/>
  <c r="Y2119" i="7" a="1"/>
  <c r="Y2119" i="7" s="1"/>
  <c r="Y2120" i="7" a="1"/>
  <c r="Y2120" i="7" s="1"/>
  <c r="Y2121" i="7" a="1"/>
  <c r="Y2121" i="7" s="1"/>
  <c r="Y2122" i="7" a="1"/>
  <c r="Y2122" i="7" s="1"/>
  <c r="Y2123" i="7" a="1"/>
  <c r="Y2123" i="7" s="1"/>
  <c r="Y2124" i="7" a="1"/>
  <c r="Y2124" i="7" s="1"/>
  <c r="Y2125" i="7" a="1"/>
  <c r="Y2125" i="7" s="1"/>
  <c r="Y2126" i="7" a="1"/>
  <c r="Y2126" i="7" s="1"/>
  <c r="Y2127" i="7" a="1"/>
  <c r="Y2127" i="7" s="1"/>
  <c r="Y2128" i="7" a="1"/>
  <c r="Y2128" i="7" s="1"/>
  <c r="Y2129" i="7" a="1"/>
  <c r="Y2129" i="7" s="1"/>
  <c r="Y2130" i="7" a="1"/>
  <c r="Y2130" i="7" s="1"/>
  <c r="Y2131" i="7" a="1"/>
  <c r="Y2131" i="7" s="1"/>
  <c r="Y2132" i="7" a="1"/>
  <c r="Y2132" i="7" s="1"/>
  <c r="Y2133" i="7" a="1"/>
  <c r="Y2133" i="7" s="1"/>
  <c r="Y2134" i="7" a="1"/>
  <c r="Y2134" i="7" s="1"/>
  <c r="Y2135" i="7" a="1"/>
  <c r="Y2135" i="7" s="1"/>
  <c r="Y2136" i="7" a="1"/>
  <c r="Y2136" i="7" s="1"/>
  <c r="Y2137" i="7" a="1"/>
  <c r="Y2137" i="7" s="1"/>
  <c r="Y2138" i="7" a="1"/>
  <c r="Y2138" i="7" s="1"/>
  <c r="Y2139" i="7" a="1"/>
  <c r="Y2139" i="7" s="1"/>
  <c r="Y2140" i="7" a="1"/>
  <c r="Y2140" i="7" s="1"/>
  <c r="Y2141" i="7" a="1"/>
  <c r="Y2141" i="7" s="1"/>
  <c r="Y2142" i="7" a="1"/>
  <c r="Y2142" i="7" s="1"/>
  <c r="Y2143" i="7" a="1"/>
  <c r="Y2143" i="7" s="1"/>
  <c r="Y2144" i="7" a="1"/>
  <c r="Y2144" i="7" s="1"/>
  <c r="Y2145" i="7" a="1"/>
  <c r="Y2145" i="7" s="1"/>
  <c r="Y2146" i="7" a="1"/>
  <c r="Y2146" i="7" s="1"/>
  <c r="Y2147" i="7" a="1"/>
  <c r="Y2147" i="7" s="1"/>
  <c r="Y2148" i="7" a="1"/>
  <c r="Y2148" i="7" s="1"/>
  <c r="Y2149" i="7" a="1"/>
  <c r="Y2149" i="7" s="1"/>
  <c r="Y2150" i="7" a="1"/>
  <c r="Y2150" i="7" s="1"/>
  <c r="Y2151" i="7" a="1"/>
  <c r="Y2151" i="7" s="1"/>
  <c r="Y2152" i="7" a="1"/>
  <c r="Y2152" i="7" s="1"/>
  <c r="X2094" i="7" a="1"/>
  <c r="X2094" i="7" s="1"/>
  <c r="X2095" i="7" a="1"/>
  <c r="X2095" i="7" s="1"/>
  <c r="X2096" i="7" a="1"/>
  <c r="X2096" i="7" s="1"/>
  <c r="X2097" i="7" a="1"/>
  <c r="X2097" i="7" s="1"/>
  <c r="X2098" i="7" a="1"/>
  <c r="X2098" i="7" s="1"/>
  <c r="X2099" i="7" a="1"/>
  <c r="X2099" i="7" s="1"/>
  <c r="X2100" i="7" a="1"/>
  <c r="X2100" i="7" s="1"/>
  <c r="X2101" i="7" a="1"/>
  <c r="X2101" i="7" s="1"/>
  <c r="X2102" i="7" a="1"/>
  <c r="X2102" i="7" s="1"/>
  <c r="X2103" i="7" a="1"/>
  <c r="X2103" i="7" s="1"/>
  <c r="X2104" i="7" a="1"/>
  <c r="X2104" i="7" s="1"/>
  <c r="X2105" i="7" a="1"/>
  <c r="X2105" i="7" s="1"/>
  <c r="X2106" i="7" a="1"/>
  <c r="X2106" i="7" s="1"/>
  <c r="X2107" i="7" a="1"/>
  <c r="X2107" i="7" s="1"/>
  <c r="X2108" i="7" a="1"/>
  <c r="X2108" i="7" s="1"/>
  <c r="X2109" i="7" a="1"/>
  <c r="X2109" i="7" s="1"/>
  <c r="X2110" i="7" a="1"/>
  <c r="X2110" i="7" s="1"/>
  <c r="X2111" i="7" a="1"/>
  <c r="X2111" i="7" s="1"/>
  <c r="X2112" i="7" a="1"/>
  <c r="X2112" i="7" s="1"/>
  <c r="X2113" i="7" a="1"/>
  <c r="X2113" i="7" s="1"/>
  <c r="X2114" i="7" a="1"/>
  <c r="X2114" i="7" s="1"/>
  <c r="X2115" i="7" a="1"/>
  <c r="X2115" i="7" s="1"/>
  <c r="X2116" i="7" a="1"/>
  <c r="X2116" i="7" s="1"/>
  <c r="X2117" i="7" a="1"/>
  <c r="X2117" i="7" s="1"/>
  <c r="X2118" i="7" a="1"/>
  <c r="X2118" i="7" s="1"/>
  <c r="X2119" i="7" a="1"/>
  <c r="X2119" i="7" s="1"/>
  <c r="X2120" i="7" a="1"/>
  <c r="X2120" i="7" s="1"/>
  <c r="X2121" i="7" a="1"/>
  <c r="X2121" i="7" s="1"/>
  <c r="X2122" i="7" a="1"/>
  <c r="X2122" i="7" s="1"/>
  <c r="X2123" i="7" a="1"/>
  <c r="X2123" i="7" s="1"/>
  <c r="X2124" i="7" a="1"/>
  <c r="X2124" i="7" s="1"/>
  <c r="X2125" i="7" a="1"/>
  <c r="X2125" i="7" s="1"/>
  <c r="X2126" i="7" a="1"/>
  <c r="X2126" i="7" s="1"/>
  <c r="X2127" i="7" a="1"/>
  <c r="X2127" i="7" s="1"/>
  <c r="X2128" i="7" a="1"/>
  <c r="X2128" i="7" s="1"/>
  <c r="X2129" i="7" a="1"/>
  <c r="X2129" i="7" s="1"/>
  <c r="X2130" i="7" a="1"/>
  <c r="X2130" i="7" s="1"/>
  <c r="X2131" i="7" a="1"/>
  <c r="X2131" i="7" s="1"/>
  <c r="X2132" i="7" a="1"/>
  <c r="X2132" i="7" s="1"/>
  <c r="X2133" i="7" a="1"/>
  <c r="X2133" i="7" s="1"/>
  <c r="X2134" i="7" a="1"/>
  <c r="X2134" i="7" s="1"/>
  <c r="X2135" i="7" a="1"/>
  <c r="X2135" i="7" s="1"/>
  <c r="X2136" i="7" a="1"/>
  <c r="X2136" i="7" s="1"/>
  <c r="X2137" i="7" a="1"/>
  <c r="X2137" i="7" s="1"/>
  <c r="X2138" i="7" a="1"/>
  <c r="X2138" i="7" s="1"/>
  <c r="X2139" i="7" a="1"/>
  <c r="X2139" i="7" s="1"/>
  <c r="X2140" i="7" a="1"/>
  <c r="X2140" i="7" s="1"/>
  <c r="X2141" i="7" a="1"/>
  <c r="X2141" i="7" s="1"/>
  <c r="X2142" i="7" a="1"/>
  <c r="X2142" i="7" s="1"/>
  <c r="X2143" i="7" a="1"/>
  <c r="X2143" i="7" s="1"/>
  <c r="X2144" i="7" a="1"/>
  <c r="X2144" i="7" s="1"/>
  <c r="X2145" i="7" a="1"/>
  <c r="X2145" i="7" s="1"/>
  <c r="X2146" i="7" a="1"/>
  <c r="X2146" i="7" s="1"/>
  <c r="X2147" i="7" a="1"/>
  <c r="X2147" i="7" s="1"/>
  <c r="X2148" i="7" a="1"/>
  <c r="X2148" i="7" s="1"/>
  <c r="X2149" i="7" a="1"/>
  <c r="X2149" i="7" s="1"/>
  <c r="X2150" i="7" a="1"/>
  <c r="X2150" i="7" s="1"/>
  <c r="X2151" i="7" a="1"/>
  <c r="X2151" i="7" s="1"/>
  <c r="X2152" i="7" a="1"/>
  <c r="X2152" i="7" s="1"/>
  <c r="W2094" i="7" a="1"/>
  <c r="W2094" i="7" s="1"/>
  <c r="W2095" i="7" a="1"/>
  <c r="W2095" i="7" s="1"/>
  <c r="W2096" i="7" a="1"/>
  <c r="W2096" i="7" s="1"/>
  <c r="W2097" i="7" a="1"/>
  <c r="W2097" i="7" s="1"/>
  <c r="W2098" i="7" a="1"/>
  <c r="W2098" i="7" s="1"/>
  <c r="W2099" i="7" a="1"/>
  <c r="W2099" i="7" s="1"/>
  <c r="W2100" i="7" a="1"/>
  <c r="W2100" i="7" s="1"/>
  <c r="W2101" i="7" a="1"/>
  <c r="W2101" i="7" s="1"/>
  <c r="W2102" i="7" a="1"/>
  <c r="W2102" i="7" s="1"/>
  <c r="W2103" i="7" a="1"/>
  <c r="W2103" i="7" s="1"/>
  <c r="W2104" i="7" a="1"/>
  <c r="W2104" i="7" s="1"/>
  <c r="W2105" i="7" a="1"/>
  <c r="W2105" i="7" s="1"/>
  <c r="W2106" i="7" a="1"/>
  <c r="W2106" i="7" s="1"/>
  <c r="W2107" i="7" a="1"/>
  <c r="W2107" i="7" s="1"/>
  <c r="W2108" i="7" a="1"/>
  <c r="W2108" i="7" s="1"/>
  <c r="W2109" i="7" a="1"/>
  <c r="W2109" i="7" s="1"/>
  <c r="W2110" i="7" a="1"/>
  <c r="W2110" i="7" s="1"/>
  <c r="W2111" i="7" a="1"/>
  <c r="W2111" i="7" s="1"/>
  <c r="W2112" i="7" a="1"/>
  <c r="W2112" i="7" s="1"/>
  <c r="W2113" i="7" a="1"/>
  <c r="W2113" i="7" s="1"/>
  <c r="W2114" i="7" a="1"/>
  <c r="W2114" i="7" s="1"/>
  <c r="W2115" i="7" a="1"/>
  <c r="W2115" i="7" s="1"/>
  <c r="W2116" i="7" a="1"/>
  <c r="W2116" i="7" s="1"/>
  <c r="W2117" i="7" a="1"/>
  <c r="W2117" i="7" s="1"/>
  <c r="W2118" i="7" a="1"/>
  <c r="W2118" i="7" s="1"/>
  <c r="W2119" i="7" a="1"/>
  <c r="W2119" i="7" s="1"/>
  <c r="W2120" i="7" a="1"/>
  <c r="W2120" i="7" s="1"/>
  <c r="W2121" i="7" a="1"/>
  <c r="W2121" i="7" s="1"/>
  <c r="W2122" i="7" a="1"/>
  <c r="W2122" i="7" s="1"/>
  <c r="W2123" i="7" a="1"/>
  <c r="W2123" i="7" s="1"/>
  <c r="W2124" i="7" a="1"/>
  <c r="W2124" i="7" s="1"/>
  <c r="W2125" i="7" a="1"/>
  <c r="W2125" i="7" s="1"/>
  <c r="W2126" i="7" a="1"/>
  <c r="W2126" i="7" s="1"/>
  <c r="W2127" i="7" a="1"/>
  <c r="W2127" i="7" s="1"/>
  <c r="W2128" i="7" a="1"/>
  <c r="W2128" i="7" s="1"/>
  <c r="W2129" i="7" a="1"/>
  <c r="W2129" i="7" s="1"/>
  <c r="W2130" i="7" a="1"/>
  <c r="W2130" i="7" s="1"/>
  <c r="W2131" i="7" a="1"/>
  <c r="W2131" i="7" s="1"/>
  <c r="W2132" i="7" a="1"/>
  <c r="W2132" i="7" s="1"/>
  <c r="W2133" i="7" a="1"/>
  <c r="W2133" i="7" s="1"/>
  <c r="W2134" i="7" a="1"/>
  <c r="W2134" i="7" s="1"/>
  <c r="W2135" i="7" a="1"/>
  <c r="W2135" i="7" s="1"/>
  <c r="W2136" i="7" a="1"/>
  <c r="W2136" i="7" s="1"/>
  <c r="W2137" i="7" a="1"/>
  <c r="W2137" i="7" s="1"/>
  <c r="W2138" i="7" a="1"/>
  <c r="W2138" i="7" s="1"/>
  <c r="W2139" i="7" a="1"/>
  <c r="W2139" i="7" s="1"/>
  <c r="W2140" i="7" a="1"/>
  <c r="W2140" i="7" s="1"/>
  <c r="W2141" i="7" a="1"/>
  <c r="W2141" i="7" s="1"/>
  <c r="W2142" i="7" a="1"/>
  <c r="W2142" i="7" s="1"/>
  <c r="W2143" i="7" a="1"/>
  <c r="W2143" i="7" s="1"/>
  <c r="W2144" i="7" a="1"/>
  <c r="W2144" i="7" s="1"/>
  <c r="W2145" i="7" a="1"/>
  <c r="W2145" i="7" s="1"/>
  <c r="W2146" i="7" a="1"/>
  <c r="W2146" i="7" s="1"/>
  <c r="W2147" i="7" a="1"/>
  <c r="W2147" i="7" s="1"/>
  <c r="W2148" i="7" a="1"/>
  <c r="W2148" i="7" s="1"/>
  <c r="W2149" i="7" a="1"/>
  <c r="W2149" i="7" s="1"/>
  <c r="W2150" i="7" a="1"/>
  <c r="W2150" i="7" s="1"/>
  <c r="W2151" i="7" a="1"/>
  <c r="W2151" i="7" s="1"/>
  <c r="W2152" i="7" a="1"/>
  <c r="W2152" i="7" s="1"/>
  <c r="AA2034" i="7" a="1"/>
  <c r="AA2034" i="7" s="1"/>
  <c r="AA2035" i="7" a="1"/>
  <c r="AA2035" i="7" s="1"/>
  <c r="AA2036" i="7" a="1"/>
  <c r="AA2036" i="7" s="1"/>
  <c r="AA2037" i="7" a="1"/>
  <c r="AA2037" i="7" s="1"/>
  <c r="AA2038" i="7" a="1"/>
  <c r="AA2038" i="7" s="1"/>
  <c r="AA2039" i="7" a="1"/>
  <c r="AA2039" i="7" s="1"/>
  <c r="AA2040" i="7" a="1"/>
  <c r="AA2040" i="7" s="1"/>
  <c r="AA2041" i="7" a="1"/>
  <c r="AA2041" i="7" s="1"/>
  <c r="AA2042" i="7" a="1"/>
  <c r="AA2042" i="7" s="1"/>
  <c r="AA2043" i="7" a="1"/>
  <c r="AA2043" i="7" s="1"/>
  <c r="AA2044" i="7" a="1"/>
  <c r="AA2044" i="7" s="1"/>
  <c r="AA2045" i="7" a="1"/>
  <c r="AA2045" i="7" s="1"/>
  <c r="AA2046" i="7" a="1"/>
  <c r="AA2046" i="7" s="1"/>
  <c r="AA2047" i="7" a="1"/>
  <c r="AA2047" i="7" s="1"/>
  <c r="AA2048" i="7" a="1"/>
  <c r="AA2048" i="7" s="1"/>
  <c r="AA2049" i="7" a="1"/>
  <c r="AA2049" i="7" s="1"/>
  <c r="AA2050" i="7" a="1"/>
  <c r="AA2050" i="7" s="1"/>
  <c r="AA2051" i="7" a="1"/>
  <c r="AA2051" i="7" s="1"/>
  <c r="AA2052" i="7" a="1"/>
  <c r="AA2052" i="7" s="1"/>
  <c r="AA2053" i="7" a="1"/>
  <c r="AA2053" i="7" s="1"/>
  <c r="AA2054" i="7" a="1"/>
  <c r="AA2054" i="7" s="1"/>
  <c r="AA2055" i="7" a="1"/>
  <c r="AA2055" i="7" s="1"/>
  <c r="AA2056" i="7" a="1"/>
  <c r="AA2056" i="7" s="1"/>
  <c r="AA2057" i="7" a="1"/>
  <c r="AA2057" i="7" s="1"/>
  <c r="AA2058" i="7" a="1"/>
  <c r="AA2058" i="7" s="1"/>
  <c r="AA2059" i="7" a="1"/>
  <c r="AA2059" i="7" s="1"/>
  <c r="AA2060" i="7" a="1"/>
  <c r="AA2060" i="7" s="1"/>
  <c r="AA2061" i="7" a="1"/>
  <c r="AA2061" i="7" s="1"/>
  <c r="AA2062" i="7" a="1"/>
  <c r="AA2062" i="7" s="1"/>
  <c r="AA2063" i="7" a="1"/>
  <c r="AA2063" i="7" s="1"/>
  <c r="AA2064" i="7" a="1"/>
  <c r="AA2064" i="7" s="1"/>
  <c r="AA2065" i="7" a="1"/>
  <c r="AA2065" i="7" s="1"/>
  <c r="AA2066" i="7" a="1"/>
  <c r="AA2066" i="7" s="1"/>
  <c r="AA2067" i="7" a="1"/>
  <c r="AA2067" i="7" s="1"/>
  <c r="AA2068" i="7" a="1"/>
  <c r="AA2068" i="7" s="1"/>
  <c r="AA2069" i="7" a="1"/>
  <c r="AA2069" i="7" s="1"/>
  <c r="AA2070" i="7" a="1"/>
  <c r="AA2070" i="7" s="1"/>
  <c r="AA2071" i="7" a="1"/>
  <c r="AA2071" i="7" s="1"/>
  <c r="AA2072" i="7" a="1"/>
  <c r="AA2072" i="7" s="1"/>
  <c r="AA2073" i="7" a="1"/>
  <c r="AA2073" i="7" s="1"/>
  <c r="AA2074" i="7" a="1"/>
  <c r="AA2074" i="7" s="1"/>
  <c r="AA2075" i="7" a="1"/>
  <c r="AA2075" i="7" s="1"/>
  <c r="AA2076" i="7" a="1"/>
  <c r="AA2076" i="7" s="1"/>
  <c r="AA2077" i="7" a="1"/>
  <c r="AA2077" i="7" s="1"/>
  <c r="AA2078" i="7" a="1"/>
  <c r="AA2078" i="7" s="1"/>
  <c r="AA2079" i="7" a="1"/>
  <c r="AA2079" i="7" s="1"/>
  <c r="AA2080" i="7" a="1"/>
  <c r="AA2080" i="7" s="1"/>
  <c r="AA2081" i="7" a="1"/>
  <c r="AA2081" i="7" s="1"/>
  <c r="AA2082" i="7" a="1"/>
  <c r="AA2082" i="7" s="1"/>
  <c r="AA2083" i="7" a="1"/>
  <c r="AA2083" i="7" s="1"/>
  <c r="AA2084" i="7" a="1"/>
  <c r="AA2084" i="7" s="1"/>
  <c r="AA2085" i="7" a="1"/>
  <c r="AA2085" i="7" s="1"/>
  <c r="AA2086" i="7" a="1"/>
  <c r="AA2086" i="7" s="1"/>
  <c r="AA2087" i="7" a="1"/>
  <c r="AA2087" i="7" s="1"/>
  <c r="AA2088" i="7" a="1"/>
  <c r="AA2088" i="7" s="1"/>
  <c r="AA2089" i="7" a="1"/>
  <c r="AA2089" i="7" s="1"/>
  <c r="AA2090" i="7" a="1"/>
  <c r="AA2090" i="7" s="1"/>
  <c r="AA2091" i="7" a="1"/>
  <c r="AA2091" i="7" s="1"/>
  <c r="AA2092" i="7" a="1"/>
  <c r="AA2092" i="7" s="1"/>
  <c r="AA2093" i="7" a="1"/>
  <c r="AA2093" i="7" s="1"/>
  <c r="Z2034" i="7" a="1"/>
  <c r="Z2034" i="7" s="1"/>
  <c r="Z2035" i="7" a="1"/>
  <c r="Z2035" i="7" s="1"/>
  <c r="Z2036" i="7" a="1"/>
  <c r="Z2036" i="7" s="1"/>
  <c r="Z2037" i="7" a="1"/>
  <c r="Z2037" i="7" s="1"/>
  <c r="Z2038" i="7" a="1"/>
  <c r="Z2038" i="7" s="1"/>
  <c r="Z2039" i="7" a="1"/>
  <c r="Z2039" i="7" s="1"/>
  <c r="Z2040" i="7" a="1"/>
  <c r="Z2040" i="7" s="1"/>
  <c r="Z2041" i="7" a="1"/>
  <c r="Z2041" i="7" s="1"/>
  <c r="Z2042" i="7" a="1"/>
  <c r="Z2042" i="7" s="1"/>
  <c r="Z2043" i="7" a="1"/>
  <c r="Z2043" i="7" s="1"/>
  <c r="Z2044" i="7" a="1"/>
  <c r="Z2044" i="7" s="1"/>
  <c r="Z2045" i="7" a="1"/>
  <c r="Z2045" i="7" s="1"/>
  <c r="Z2046" i="7" a="1"/>
  <c r="Z2046" i="7" s="1"/>
  <c r="Z2047" i="7" a="1"/>
  <c r="Z2047" i="7" s="1"/>
  <c r="Z2048" i="7" a="1"/>
  <c r="Z2048" i="7" s="1"/>
  <c r="Z2049" i="7" a="1"/>
  <c r="Z2049" i="7" s="1"/>
  <c r="Z2050" i="7" a="1"/>
  <c r="Z2050" i="7" s="1"/>
  <c r="Z2051" i="7" a="1"/>
  <c r="Z2051" i="7" s="1"/>
  <c r="Z2052" i="7" a="1"/>
  <c r="Z2052" i="7" s="1"/>
  <c r="Z2053" i="7" a="1"/>
  <c r="Z2053" i="7" s="1"/>
  <c r="Z2054" i="7" a="1"/>
  <c r="Z2054" i="7" s="1"/>
  <c r="Z2055" i="7" a="1"/>
  <c r="Z2055" i="7" s="1"/>
  <c r="Z2056" i="7" a="1"/>
  <c r="Z2056" i="7" s="1"/>
  <c r="Z2057" i="7" a="1"/>
  <c r="Z2057" i="7" s="1"/>
  <c r="Z2058" i="7" a="1"/>
  <c r="Z2058" i="7" s="1"/>
  <c r="Z2059" i="7" a="1"/>
  <c r="Z2059" i="7" s="1"/>
  <c r="Z2060" i="7" a="1"/>
  <c r="Z2060" i="7" s="1"/>
  <c r="Z2061" i="7" a="1"/>
  <c r="Z2061" i="7" s="1"/>
  <c r="Z2062" i="7" a="1"/>
  <c r="Z2062" i="7" s="1"/>
  <c r="Z2063" i="7" a="1"/>
  <c r="Z2063" i="7" s="1"/>
  <c r="Z2064" i="7" a="1"/>
  <c r="Z2064" i="7" s="1"/>
  <c r="Z2065" i="7" a="1"/>
  <c r="Z2065" i="7" s="1"/>
  <c r="Z2066" i="7" a="1"/>
  <c r="Z2066" i="7" s="1"/>
  <c r="Z2067" i="7" a="1"/>
  <c r="Z2067" i="7" s="1"/>
  <c r="Z2068" i="7" a="1"/>
  <c r="Z2068" i="7" s="1"/>
  <c r="Z2069" i="7" a="1"/>
  <c r="Z2069" i="7" s="1"/>
  <c r="Z2070" i="7" a="1"/>
  <c r="Z2070" i="7" s="1"/>
  <c r="Z2071" i="7" a="1"/>
  <c r="Z2071" i="7" s="1"/>
  <c r="Z2072" i="7" a="1"/>
  <c r="Z2072" i="7" s="1"/>
  <c r="Z2073" i="7" a="1"/>
  <c r="Z2073" i="7" s="1"/>
  <c r="Z2074" i="7" a="1"/>
  <c r="Z2074" i="7" s="1"/>
  <c r="Z2075" i="7" a="1"/>
  <c r="Z2075" i="7" s="1"/>
  <c r="Z2076" i="7" a="1"/>
  <c r="Z2076" i="7" s="1"/>
  <c r="Z2077" i="7" a="1"/>
  <c r="Z2077" i="7" s="1"/>
  <c r="Z2078" i="7" a="1"/>
  <c r="Z2078" i="7" s="1"/>
  <c r="Z2079" i="7" a="1"/>
  <c r="Z2079" i="7" s="1"/>
  <c r="Z2080" i="7" a="1"/>
  <c r="Z2080" i="7" s="1"/>
  <c r="Z2081" i="7" a="1"/>
  <c r="Z2081" i="7" s="1"/>
  <c r="Z2082" i="7" a="1"/>
  <c r="Z2082" i="7" s="1"/>
  <c r="Z2083" i="7" a="1"/>
  <c r="Z2083" i="7" s="1"/>
  <c r="Z2084" i="7" a="1"/>
  <c r="Z2084" i="7" s="1"/>
  <c r="Z2085" i="7" a="1"/>
  <c r="Z2085" i="7" s="1"/>
  <c r="Z2086" i="7" a="1"/>
  <c r="Z2086" i="7" s="1"/>
  <c r="Z2087" i="7" a="1"/>
  <c r="Z2087" i="7" s="1"/>
  <c r="Z2088" i="7" a="1"/>
  <c r="Z2088" i="7" s="1"/>
  <c r="Z2089" i="7" a="1"/>
  <c r="Z2089" i="7" s="1"/>
  <c r="Z2090" i="7" a="1"/>
  <c r="Z2090" i="7" s="1"/>
  <c r="Z2091" i="7" a="1"/>
  <c r="Z2091" i="7" s="1"/>
  <c r="Z2092" i="7" a="1"/>
  <c r="Z2092" i="7" s="1"/>
  <c r="Z2093" i="7" a="1"/>
  <c r="Z2093" i="7" s="1"/>
  <c r="Y2034" i="7" a="1"/>
  <c r="Y2034" i="7" s="1"/>
  <c r="Y2035" i="7" a="1"/>
  <c r="Y2035" i="7" s="1"/>
  <c r="Y2036" i="7" a="1"/>
  <c r="Y2036" i="7" s="1"/>
  <c r="Y2037" i="7" a="1"/>
  <c r="Y2037" i="7" s="1"/>
  <c r="Y2038" i="7" a="1"/>
  <c r="Y2038" i="7" s="1"/>
  <c r="Y2039" i="7" a="1"/>
  <c r="Y2039" i="7" s="1"/>
  <c r="Y2040" i="7" a="1"/>
  <c r="Y2040" i="7" s="1"/>
  <c r="Y2041" i="7" a="1"/>
  <c r="Y2041" i="7" s="1"/>
  <c r="Y2042" i="7" a="1"/>
  <c r="Y2042" i="7" s="1"/>
  <c r="Y2043" i="7" a="1"/>
  <c r="Y2043" i="7" s="1"/>
  <c r="Y2044" i="7" a="1"/>
  <c r="Y2044" i="7" s="1"/>
  <c r="Y2045" i="7" a="1"/>
  <c r="Y2045" i="7" s="1"/>
  <c r="Y2046" i="7" a="1"/>
  <c r="Y2046" i="7" s="1"/>
  <c r="Y2047" i="7" a="1"/>
  <c r="Y2047" i="7" s="1"/>
  <c r="Y2048" i="7" a="1"/>
  <c r="Y2048" i="7" s="1"/>
  <c r="Y2049" i="7" a="1"/>
  <c r="Y2049" i="7" s="1"/>
  <c r="Y2050" i="7" a="1"/>
  <c r="Y2050" i="7" s="1"/>
  <c r="Y2051" i="7" a="1"/>
  <c r="Y2051" i="7" s="1"/>
  <c r="Y2052" i="7" a="1"/>
  <c r="Y2052" i="7" s="1"/>
  <c r="Y2053" i="7" a="1"/>
  <c r="Y2053" i="7" s="1"/>
  <c r="Y2054" i="7" a="1"/>
  <c r="Y2054" i="7" s="1"/>
  <c r="Y2055" i="7" a="1"/>
  <c r="Y2055" i="7" s="1"/>
  <c r="Y2056" i="7" a="1"/>
  <c r="Y2056" i="7" s="1"/>
  <c r="Y2057" i="7" a="1"/>
  <c r="Y2057" i="7" s="1"/>
  <c r="Y2058" i="7" a="1"/>
  <c r="Y2058" i="7" s="1"/>
  <c r="Y2059" i="7" a="1"/>
  <c r="Y2059" i="7" s="1"/>
  <c r="Y2060" i="7" a="1"/>
  <c r="Y2060" i="7" s="1"/>
  <c r="Y2061" i="7" a="1"/>
  <c r="Y2061" i="7" s="1"/>
  <c r="Y2062" i="7" a="1"/>
  <c r="Y2062" i="7" s="1"/>
  <c r="Y2063" i="7" a="1"/>
  <c r="Y2063" i="7" s="1"/>
  <c r="Y2064" i="7" a="1"/>
  <c r="Y2064" i="7" s="1"/>
  <c r="Y2065" i="7" a="1"/>
  <c r="Y2065" i="7" s="1"/>
  <c r="Y2066" i="7" a="1"/>
  <c r="Y2066" i="7" s="1"/>
  <c r="Y2067" i="7" a="1"/>
  <c r="Y2067" i="7" s="1"/>
  <c r="Y2068" i="7" a="1"/>
  <c r="Y2068" i="7" s="1"/>
  <c r="Y2069" i="7" a="1"/>
  <c r="Y2069" i="7" s="1"/>
  <c r="Y2070" i="7" a="1"/>
  <c r="Y2070" i="7" s="1"/>
  <c r="Y2071" i="7" a="1"/>
  <c r="Y2071" i="7" s="1"/>
  <c r="Y2072" i="7" a="1"/>
  <c r="Y2072" i="7" s="1"/>
  <c r="Y2073" i="7" a="1"/>
  <c r="Y2073" i="7" s="1"/>
  <c r="Y2074" i="7" a="1"/>
  <c r="Y2074" i="7" s="1"/>
  <c r="Y2075" i="7" a="1"/>
  <c r="Y2075" i="7" s="1"/>
  <c r="Y2076" i="7" a="1"/>
  <c r="Y2076" i="7" s="1"/>
  <c r="Y2077" i="7" a="1"/>
  <c r="Y2077" i="7" s="1"/>
  <c r="Y2078" i="7" a="1"/>
  <c r="Y2078" i="7" s="1"/>
  <c r="Y2079" i="7" a="1"/>
  <c r="Y2079" i="7" s="1"/>
  <c r="Y2080" i="7" a="1"/>
  <c r="Y2080" i="7" s="1"/>
  <c r="Y2081" i="7" a="1"/>
  <c r="Y2081" i="7" s="1"/>
  <c r="Y2082" i="7" a="1"/>
  <c r="Y2082" i="7" s="1"/>
  <c r="Y2083" i="7" a="1"/>
  <c r="Y2083" i="7" s="1"/>
  <c r="Y2084" i="7" a="1"/>
  <c r="Y2084" i="7" s="1"/>
  <c r="Y2085" i="7" a="1"/>
  <c r="Y2085" i="7" s="1"/>
  <c r="Y2086" i="7" a="1"/>
  <c r="Y2086" i="7" s="1"/>
  <c r="Y2087" i="7" a="1"/>
  <c r="Y2087" i="7" s="1"/>
  <c r="Y2088" i="7" a="1"/>
  <c r="Y2088" i="7" s="1"/>
  <c r="Y2089" i="7" a="1"/>
  <c r="Y2089" i="7" s="1"/>
  <c r="Y2090" i="7" a="1"/>
  <c r="Y2090" i="7" s="1"/>
  <c r="Y2091" i="7" a="1"/>
  <c r="Y2091" i="7" s="1"/>
  <c r="Y2092" i="7" a="1"/>
  <c r="Y2092" i="7" s="1"/>
  <c r="Y2093" i="7" a="1"/>
  <c r="Y2093" i="7" s="1"/>
  <c r="X2034" i="7" a="1"/>
  <c r="X2034" i="7" s="1"/>
  <c r="X2035" i="7" a="1"/>
  <c r="X2035" i="7" s="1"/>
  <c r="X2036" i="7" a="1"/>
  <c r="X2036" i="7" s="1"/>
  <c r="X2037" i="7" a="1"/>
  <c r="X2037" i="7" s="1"/>
  <c r="X2038" i="7" a="1"/>
  <c r="X2038" i="7" s="1"/>
  <c r="X2039" i="7" a="1"/>
  <c r="X2039" i="7" s="1"/>
  <c r="X2040" i="7" a="1"/>
  <c r="X2040" i="7" s="1"/>
  <c r="X2041" i="7" a="1"/>
  <c r="X2041" i="7" s="1"/>
  <c r="X2042" i="7" a="1"/>
  <c r="X2042" i="7" s="1"/>
  <c r="X2043" i="7" a="1"/>
  <c r="X2043" i="7" s="1"/>
  <c r="X2044" i="7" a="1"/>
  <c r="X2044" i="7" s="1"/>
  <c r="X2045" i="7" a="1"/>
  <c r="X2045" i="7" s="1"/>
  <c r="X2046" i="7" a="1"/>
  <c r="X2046" i="7" s="1"/>
  <c r="X2047" i="7" a="1"/>
  <c r="X2047" i="7" s="1"/>
  <c r="X2048" i="7" a="1"/>
  <c r="X2048" i="7" s="1"/>
  <c r="X2049" i="7" a="1"/>
  <c r="X2049" i="7" s="1"/>
  <c r="X2050" i="7" a="1"/>
  <c r="X2050" i="7" s="1"/>
  <c r="X2051" i="7" a="1"/>
  <c r="X2051" i="7" s="1"/>
  <c r="X2052" i="7" a="1"/>
  <c r="X2052" i="7" s="1"/>
  <c r="X2053" i="7" a="1"/>
  <c r="X2053" i="7" s="1"/>
  <c r="X2054" i="7" a="1"/>
  <c r="X2054" i="7" s="1"/>
  <c r="X2055" i="7" a="1"/>
  <c r="X2055" i="7" s="1"/>
  <c r="X2056" i="7" a="1"/>
  <c r="X2056" i="7" s="1"/>
  <c r="X2057" i="7" a="1"/>
  <c r="X2057" i="7" s="1"/>
  <c r="X2058" i="7" a="1"/>
  <c r="X2058" i="7" s="1"/>
  <c r="X2059" i="7" a="1"/>
  <c r="X2059" i="7" s="1"/>
  <c r="X2060" i="7" a="1"/>
  <c r="X2060" i="7" s="1"/>
  <c r="X2061" i="7" a="1"/>
  <c r="X2061" i="7" s="1"/>
  <c r="X2062" i="7" a="1"/>
  <c r="X2062" i="7" s="1"/>
  <c r="X2063" i="7" a="1"/>
  <c r="X2063" i="7" s="1"/>
  <c r="X2064" i="7" a="1"/>
  <c r="X2064" i="7" s="1"/>
  <c r="X2065" i="7" a="1"/>
  <c r="X2065" i="7" s="1"/>
  <c r="X2066" i="7" a="1"/>
  <c r="X2066" i="7" s="1"/>
  <c r="X2067" i="7" a="1"/>
  <c r="X2067" i="7" s="1"/>
  <c r="X2068" i="7" a="1"/>
  <c r="X2068" i="7" s="1"/>
  <c r="X2069" i="7" a="1"/>
  <c r="X2069" i="7" s="1"/>
  <c r="X2070" i="7" a="1"/>
  <c r="X2070" i="7" s="1"/>
  <c r="X2071" i="7" a="1"/>
  <c r="X2071" i="7" s="1"/>
  <c r="X2072" i="7" a="1"/>
  <c r="X2072" i="7" s="1"/>
  <c r="X2073" i="7" a="1"/>
  <c r="X2073" i="7" s="1"/>
  <c r="X2074" i="7" a="1"/>
  <c r="X2074" i="7" s="1"/>
  <c r="X2075" i="7" a="1"/>
  <c r="X2075" i="7" s="1"/>
  <c r="X2076" i="7" a="1"/>
  <c r="X2076" i="7" s="1"/>
  <c r="X2077" i="7" a="1"/>
  <c r="X2077" i="7" s="1"/>
  <c r="X2078" i="7" a="1"/>
  <c r="X2078" i="7" s="1"/>
  <c r="X2079" i="7" a="1"/>
  <c r="X2079" i="7" s="1"/>
  <c r="X2080" i="7" a="1"/>
  <c r="X2080" i="7" s="1"/>
  <c r="X2081" i="7" a="1"/>
  <c r="X2081" i="7" s="1"/>
  <c r="X2082" i="7" a="1"/>
  <c r="X2082" i="7" s="1"/>
  <c r="X2083" i="7" a="1"/>
  <c r="X2083" i="7" s="1"/>
  <c r="X2084" i="7" a="1"/>
  <c r="X2084" i="7" s="1"/>
  <c r="X2085" i="7" a="1"/>
  <c r="X2085" i="7" s="1"/>
  <c r="X2086" i="7" a="1"/>
  <c r="X2086" i="7" s="1"/>
  <c r="X2087" i="7" a="1"/>
  <c r="X2087" i="7" s="1"/>
  <c r="X2088" i="7" a="1"/>
  <c r="X2088" i="7" s="1"/>
  <c r="X2089" i="7" a="1"/>
  <c r="X2089" i="7" s="1"/>
  <c r="X2090" i="7" a="1"/>
  <c r="X2090" i="7" s="1"/>
  <c r="X2091" i="7" a="1"/>
  <c r="X2091" i="7" s="1"/>
  <c r="X2092" i="7" a="1"/>
  <c r="X2092" i="7" s="1"/>
  <c r="X2093" i="7" a="1"/>
  <c r="X2093" i="7" s="1"/>
  <c r="W2055" i="7" a="1"/>
  <c r="W2055" i="7" s="1"/>
  <c r="W2056" i="7" a="1"/>
  <c r="W2056" i="7" s="1"/>
  <c r="W2057" i="7" a="1"/>
  <c r="W2057" i="7" s="1"/>
  <c r="W2058" i="7" a="1"/>
  <c r="W2058" i="7" s="1"/>
  <c r="W2059" i="7" a="1"/>
  <c r="W2059" i="7" s="1"/>
  <c r="W2060" i="7" a="1"/>
  <c r="W2060" i="7" s="1"/>
  <c r="W2061" i="7" a="1"/>
  <c r="W2061" i="7" s="1"/>
  <c r="W2062" i="7" a="1"/>
  <c r="W2062" i="7" s="1"/>
  <c r="W2063" i="7" a="1"/>
  <c r="W2063" i="7" s="1"/>
  <c r="W2064" i="7" a="1"/>
  <c r="W2064" i="7" s="1"/>
  <c r="W2065" i="7" a="1"/>
  <c r="W2065" i="7" s="1"/>
  <c r="W2066" i="7" a="1"/>
  <c r="W2066" i="7" s="1"/>
  <c r="W2067" i="7" a="1"/>
  <c r="W2067" i="7" s="1"/>
  <c r="W2068" i="7" a="1"/>
  <c r="W2068" i="7" s="1"/>
  <c r="W2069" i="7" a="1"/>
  <c r="W2069" i="7" s="1"/>
  <c r="W2070" i="7" a="1"/>
  <c r="W2070" i="7" s="1"/>
  <c r="W2071" i="7" a="1"/>
  <c r="W2071" i="7" s="1"/>
  <c r="W2072" i="7" a="1"/>
  <c r="W2072" i="7" s="1"/>
  <c r="W2073" i="7" a="1"/>
  <c r="W2073" i="7" s="1"/>
  <c r="W2074" i="7" a="1"/>
  <c r="W2074" i="7" s="1"/>
  <c r="W2075" i="7" a="1"/>
  <c r="W2075" i="7" s="1"/>
  <c r="W2076" i="7" a="1"/>
  <c r="W2076" i="7" s="1"/>
  <c r="W2077" i="7" a="1"/>
  <c r="W2077" i="7" s="1"/>
  <c r="W2078" i="7" a="1"/>
  <c r="W2078" i="7" s="1"/>
  <c r="W2079" i="7" a="1"/>
  <c r="W2079" i="7" s="1"/>
  <c r="W2080" i="7" a="1"/>
  <c r="W2080" i="7" s="1"/>
  <c r="W2081" i="7" a="1"/>
  <c r="W2081" i="7" s="1"/>
  <c r="W2082" i="7" a="1"/>
  <c r="W2082" i="7" s="1"/>
  <c r="W2083" i="7" a="1"/>
  <c r="W2083" i="7" s="1"/>
  <c r="W2084" i="7" a="1"/>
  <c r="W2084" i="7" s="1"/>
  <c r="W2085" i="7" a="1"/>
  <c r="W2085" i="7" s="1"/>
  <c r="W2086" i="7" a="1"/>
  <c r="W2086" i="7" s="1"/>
  <c r="W2087" i="7" a="1"/>
  <c r="W2087" i="7" s="1"/>
  <c r="W2088" i="7" a="1"/>
  <c r="W2088" i="7" s="1"/>
  <c r="W2089" i="7" a="1"/>
  <c r="W2089" i="7" s="1"/>
  <c r="W2090" i="7" a="1"/>
  <c r="W2090" i="7" s="1"/>
  <c r="W2091" i="7" a="1"/>
  <c r="W2091" i="7" s="1"/>
  <c r="W2092" i="7" a="1"/>
  <c r="W2092" i="7" s="1"/>
  <c r="W2093" i="7" a="1"/>
  <c r="W2093" i="7" s="1"/>
  <c r="AA1992" i="7" a="1"/>
  <c r="AA1992" i="7" s="1"/>
  <c r="AA1993" i="7" a="1"/>
  <c r="AA1993" i="7" s="1"/>
  <c r="AA1994" i="7" a="1"/>
  <c r="AA1994" i="7" s="1"/>
  <c r="AA1995" i="7" a="1"/>
  <c r="AA1995" i="7" s="1"/>
  <c r="AA1996" i="7" a="1"/>
  <c r="AA1996" i="7" s="1"/>
  <c r="AA1997" i="7" a="1"/>
  <c r="AA1997" i="7" s="1"/>
  <c r="AA1998" i="7" a="1"/>
  <c r="AA1998" i="7" s="1"/>
  <c r="AA1999" i="7" a="1"/>
  <c r="AA1999" i="7" s="1"/>
  <c r="AA2000" i="7" a="1"/>
  <c r="AA2000" i="7" s="1"/>
  <c r="AA2001" i="7" a="1"/>
  <c r="AA2001" i="7" s="1"/>
  <c r="AA2002" i="7" a="1"/>
  <c r="AA2002" i="7" s="1"/>
  <c r="AA2003" i="7" a="1"/>
  <c r="AA2003" i="7" s="1"/>
  <c r="AA2004" i="7" a="1"/>
  <c r="AA2004" i="7" s="1"/>
  <c r="AA2005" i="7" a="1"/>
  <c r="AA2005" i="7" s="1"/>
  <c r="AA2006" i="7" a="1"/>
  <c r="AA2006" i="7" s="1"/>
  <c r="AA2007" i="7" a="1"/>
  <c r="AA2007" i="7" s="1"/>
  <c r="AA2008" i="7" a="1"/>
  <c r="AA2008" i="7" s="1"/>
  <c r="AA2009" i="7" a="1"/>
  <c r="AA2009" i="7" s="1"/>
  <c r="AA2010" i="7" a="1"/>
  <c r="AA2010" i="7" s="1"/>
  <c r="AA2011" i="7" a="1"/>
  <c r="AA2011" i="7" s="1"/>
  <c r="AA2012" i="7" a="1"/>
  <c r="AA2012" i="7" s="1"/>
  <c r="AA2013" i="7" a="1"/>
  <c r="AA2013" i="7" s="1"/>
  <c r="AA2014" i="7" a="1"/>
  <c r="AA2014" i="7" s="1"/>
  <c r="AA2015" i="7" a="1"/>
  <c r="AA2015" i="7" s="1"/>
  <c r="AA2016" i="7" a="1"/>
  <c r="AA2016" i="7" s="1"/>
  <c r="AA2017" i="7" a="1"/>
  <c r="AA2017" i="7" s="1"/>
  <c r="AA2018" i="7" a="1"/>
  <c r="AA2018" i="7" s="1"/>
  <c r="AA2019" i="7" a="1"/>
  <c r="AA2019" i="7" s="1"/>
  <c r="AA2020" i="7" a="1"/>
  <c r="AA2020" i="7" s="1"/>
  <c r="AA2021" i="7" a="1"/>
  <c r="AA2021" i="7" s="1"/>
  <c r="AA2022" i="7" a="1"/>
  <c r="AA2022" i="7" s="1"/>
  <c r="AA2023" i="7" a="1"/>
  <c r="AA2023" i="7" s="1"/>
  <c r="AA2024" i="7" a="1"/>
  <c r="AA2024" i="7" s="1"/>
  <c r="AA2025" i="7" a="1"/>
  <c r="AA2025" i="7" s="1"/>
  <c r="AA2026" i="7" a="1"/>
  <c r="AA2026" i="7" s="1"/>
  <c r="AA2027" i="7" a="1"/>
  <c r="AA2027" i="7" s="1"/>
  <c r="AA2028" i="7" a="1"/>
  <c r="AA2028" i="7" s="1"/>
  <c r="AA2029" i="7" a="1"/>
  <c r="AA2029" i="7" s="1"/>
  <c r="AA2030" i="7" a="1"/>
  <c r="AA2030" i="7" s="1"/>
  <c r="AA2031" i="7" a="1"/>
  <c r="AA2031" i="7" s="1"/>
  <c r="AA2032" i="7" a="1"/>
  <c r="AA2032" i="7" s="1"/>
  <c r="AA2033" i="7" a="1"/>
  <c r="AA2033" i="7" s="1"/>
  <c r="Z1992" i="7" a="1"/>
  <c r="Z1992" i="7" s="1"/>
  <c r="Z1993" i="7" a="1"/>
  <c r="Z1993" i="7" s="1"/>
  <c r="Z1994" i="7" a="1"/>
  <c r="Z1994" i="7" s="1"/>
  <c r="Z1995" i="7" a="1"/>
  <c r="Z1995" i="7" s="1"/>
  <c r="Z1996" i="7" a="1"/>
  <c r="Z1996" i="7" s="1"/>
  <c r="Z1997" i="7" a="1"/>
  <c r="Z1997" i="7" s="1"/>
  <c r="Z1998" i="7" a="1"/>
  <c r="Z1998" i="7" s="1"/>
  <c r="Z1999" i="7" a="1"/>
  <c r="Z1999" i="7" s="1"/>
  <c r="Z2000" i="7" a="1"/>
  <c r="Z2000" i="7" s="1"/>
  <c r="Z2001" i="7" a="1"/>
  <c r="Z2001" i="7" s="1"/>
  <c r="Z2002" i="7" a="1"/>
  <c r="Z2002" i="7" s="1"/>
  <c r="Z2003" i="7" a="1"/>
  <c r="Z2003" i="7" s="1"/>
  <c r="Z2004" i="7" a="1"/>
  <c r="Z2004" i="7" s="1"/>
  <c r="Z2005" i="7" a="1"/>
  <c r="Z2005" i="7" s="1"/>
  <c r="Z2006" i="7" a="1"/>
  <c r="Z2006" i="7" s="1"/>
  <c r="Z2007" i="7" a="1"/>
  <c r="Z2007" i="7" s="1"/>
  <c r="Z2008" i="7" a="1"/>
  <c r="Z2008" i="7" s="1"/>
  <c r="Z2009" i="7" a="1"/>
  <c r="Z2009" i="7" s="1"/>
  <c r="Z2010" i="7" a="1"/>
  <c r="Z2010" i="7" s="1"/>
  <c r="Z2011" i="7" a="1"/>
  <c r="Z2011" i="7" s="1"/>
  <c r="Z2012" i="7" a="1"/>
  <c r="Z2012" i="7" s="1"/>
  <c r="Z2013" i="7" a="1"/>
  <c r="Z2013" i="7" s="1"/>
  <c r="Z2014" i="7" a="1"/>
  <c r="Z2014" i="7" s="1"/>
  <c r="Z2015" i="7" a="1"/>
  <c r="Z2015" i="7" s="1"/>
  <c r="Z2016" i="7" a="1"/>
  <c r="Z2016" i="7" s="1"/>
  <c r="Z2017" i="7" a="1"/>
  <c r="Z2017" i="7" s="1"/>
  <c r="Z2018" i="7" a="1"/>
  <c r="Z2018" i="7" s="1"/>
  <c r="Z2019" i="7" a="1"/>
  <c r="Z2019" i="7" s="1"/>
  <c r="Z2020" i="7" a="1"/>
  <c r="Z2020" i="7" s="1"/>
  <c r="Z2021" i="7" a="1"/>
  <c r="Z2021" i="7" s="1"/>
  <c r="Z2022" i="7" a="1"/>
  <c r="Z2022" i="7" s="1"/>
  <c r="Z2023" i="7" a="1"/>
  <c r="Z2023" i="7" s="1"/>
  <c r="Z2024" i="7" a="1"/>
  <c r="Z2024" i="7" s="1"/>
  <c r="Z2025" i="7" a="1"/>
  <c r="Z2025" i="7" s="1"/>
  <c r="Z2026" i="7" a="1"/>
  <c r="Z2026" i="7" s="1"/>
  <c r="Z2027" i="7" a="1"/>
  <c r="Z2027" i="7" s="1"/>
  <c r="Z2028" i="7" a="1"/>
  <c r="Z2028" i="7" s="1"/>
  <c r="Z2029" i="7" a="1"/>
  <c r="Z2029" i="7" s="1"/>
  <c r="Z2030" i="7" a="1"/>
  <c r="Z2030" i="7" s="1"/>
  <c r="Z2031" i="7" a="1"/>
  <c r="Z2031" i="7" s="1"/>
  <c r="Z2032" i="7" a="1"/>
  <c r="Z2032" i="7" s="1"/>
  <c r="Z2033" i="7" a="1"/>
  <c r="Z2033" i="7" s="1"/>
  <c r="Y1992" i="7" a="1"/>
  <c r="Y1992" i="7" s="1"/>
  <c r="Y1993" i="7" a="1"/>
  <c r="Y1993" i="7" s="1"/>
  <c r="Y1994" i="7" a="1"/>
  <c r="Y1994" i="7" s="1"/>
  <c r="Y1995" i="7" a="1"/>
  <c r="Y1995" i="7" s="1"/>
  <c r="Y1996" i="7" a="1"/>
  <c r="Y1996" i="7" s="1"/>
  <c r="Y1997" i="7" a="1"/>
  <c r="Y1997" i="7" s="1"/>
  <c r="Y1998" i="7" a="1"/>
  <c r="Y1998" i="7" s="1"/>
  <c r="Y1999" i="7" a="1"/>
  <c r="Y1999" i="7" s="1"/>
  <c r="Y2000" i="7" a="1"/>
  <c r="Y2000" i="7" s="1"/>
  <c r="Y2001" i="7" a="1"/>
  <c r="Y2001" i="7" s="1"/>
  <c r="Y2002" i="7" a="1"/>
  <c r="Y2002" i="7" s="1"/>
  <c r="Y2003" i="7" a="1"/>
  <c r="Y2003" i="7" s="1"/>
  <c r="Y2004" i="7" a="1"/>
  <c r="Y2004" i="7" s="1"/>
  <c r="Y2005" i="7" a="1"/>
  <c r="Y2005" i="7" s="1"/>
  <c r="Y2006" i="7" a="1"/>
  <c r="Y2006" i="7" s="1"/>
  <c r="Y2007" i="7" a="1"/>
  <c r="Y2007" i="7" s="1"/>
  <c r="Y2008" i="7" a="1"/>
  <c r="Y2008" i="7" s="1"/>
  <c r="Y2009" i="7" a="1"/>
  <c r="Y2009" i="7" s="1"/>
  <c r="Y2010" i="7" a="1"/>
  <c r="Y2010" i="7" s="1"/>
  <c r="Y2011" i="7" a="1"/>
  <c r="Y2011" i="7" s="1"/>
  <c r="Y2012" i="7" a="1"/>
  <c r="Y2012" i="7" s="1"/>
  <c r="Y2013" i="7" a="1"/>
  <c r="Y2013" i="7" s="1"/>
  <c r="Y2014" i="7" a="1"/>
  <c r="Y2014" i="7" s="1"/>
  <c r="Y2015" i="7" a="1"/>
  <c r="Y2015" i="7" s="1"/>
  <c r="Y2016" i="7" a="1"/>
  <c r="Y2016" i="7" s="1"/>
  <c r="Y2017" i="7" a="1"/>
  <c r="Y2017" i="7" s="1"/>
  <c r="Y2018" i="7" a="1"/>
  <c r="Y2018" i="7" s="1"/>
  <c r="Y2019" i="7" a="1"/>
  <c r="Y2019" i="7" s="1"/>
  <c r="Y2020" i="7" a="1"/>
  <c r="Y2020" i="7" s="1"/>
  <c r="Y2021" i="7" a="1"/>
  <c r="Y2021" i="7" s="1"/>
  <c r="Y2022" i="7" a="1"/>
  <c r="Y2022" i="7" s="1"/>
  <c r="Y2023" i="7" a="1"/>
  <c r="Y2023" i="7" s="1"/>
  <c r="Y2024" i="7" a="1"/>
  <c r="Y2024" i="7" s="1"/>
  <c r="Y2025" i="7" a="1"/>
  <c r="Y2025" i="7" s="1"/>
  <c r="Y2026" i="7" a="1"/>
  <c r="Y2026" i="7" s="1"/>
  <c r="Y2027" i="7" a="1"/>
  <c r="Y2027" i="7" s="1"/>
  <c r="Y2028" i="7" a="1"/>
  <c r="Y2028" i="7" s="1"/>
  <c r="Y2029" i="7" a="1"/>
  <c r="Y2029" i="7" s="1"/>
  <c r="Y2030" i="7" a="1"/>
  <c r="Y2030" i="7" s="1"/>
  <c r="Y2031" i="7" a="1"/>
  <c r="Y2031" i="7" s="1"/>
  <c r="Y2032" i="7" a="1"/>
  <c r="Y2032" i="7" s="1"/>
  <c r="Y2033" i="7" a="1"/>
  <c r="Y2033" i="7" s="1"/>
  <c r="X1992" i="7" a="1"/>
  <c r="X1992" i="7" s="1"/>
  <c r="X1993" i="7" a="1"/>
  <c r="X1993" i="7" s="1"/>
  <c r="X1994" i="7" a="1"/>
  <c r="X1994" i="7" s="1"/>
  <c r="X1995" i="7" a="1"/>
  <c r="X1995" i="7" s="1"/>
  <c r="X1996" i="7" a="1"/>
  <c r="X1996" i="7" s="1"/>
  <c r="X1997" i="7" a="1"/>
  <c r="X1997" i="7" s="1"/>
  <c r="X1998" i="7" a="1"/>
  <c r="X1998" i="7" s="1"/>
  <c r="X1999" i="7" a="1"/>
  <c r="X1999" i="7" s="1"/>
  <c r="X2000" i="7" a="1"/>
  <c r="X2000" i="7" s="1"/>
  <c r="X2001" i="7" a="1"/>
  <c r="X2001" i="7" s="1"/>
  <c r="X2002" i="7" a="1"/>
  <c r="X2002" i="7" s="1"/>
  <c r="X2003" i="7" a="1"/>
  <c r="X2003" i="7" s="1"/>
  <c r="X2004" i="7" a="1"/>
  <c r="X2004" i="7" s="1"/>
  <c r="X2005" i="7" a="1"/>
  <c r="X2005" i="7" s="1"/>
  <c r="X2006" i="7" a="1"/>
  <c r="X2006" i="7" s="1"/>
  <c r="X2007" i="7" a="1"/>
  <c r="X2007" i="7" s="1"/>
  <c r="X2008" i="7" a="1"/>
  <c r="X2008" i="7" s="1"/>
  <c r="X2009" i="7" a="1"/>
  <c r="X2009" i="7" s="1"/>
  <c r="X2010" i="7" a="1"/>
  <c r="X2010" i="7" s="1"/>
  <c r="X2011" i="7" a="1"/>
  <c r="X2011" i="7" s="1"/>
  <c r="X2012" i="7" a="1"/>
  <c r="X2012" i="7" s="1"/>
  <c r="X2013" i="7" a="1"/>
  <c r="X2013" i="7" s="1"/>
  <c r="X2014" i="7" a="1"/>
  <c r="X2014" i="7" s="1"/>
  <c r="X2015" i="7" a="1"/>
  <c r="X2015" i="7" s="1"/>
  <c r="X2016" i="7" a="1"/>
  <c r="X2016" i="7" s="1"/>
  <c r="X2017" i="7" a="1"/>
  <c r="X2017" i="7" s="1"/>
  <c r="X2018" i="7" a="1"/>
  <c r="X2018" i="7" s="1"/>
  <c r="X2019" i="7" a="1"/>
  <c r="X2019" i="7" s="1"/>
  <c r="X2020" i="7" a="1"/>
  <c r="X2020" i="7" s="1"/>
  <c r="X2021" i="7" a="1"/>
  <c r="X2021" i="7" s="1"/>
  <c r="X2022" i="7" a="1"/>
  <c r="X2022" i="7" s="1"/>
  <c r="X2023" i="7" a="1"/>
  <c r="X2023" i="7" s="1"/>
  <c r="X2024" i="7" a="1"/>
  <c r="X2024" i="7" s="1"/>
  <c r="X2025" i="7" a="1"/>
  <c r="X2025" i="7" s="1"/>
  <c r="X2026" i="7" a="1"/>
  <c r="X2026" i="7" s="1"/>
  <c r="X2027" i="7" a="1"/>
  <c r="X2027" i="7" s="1"/>
  <c r="X2028" i="7" a="1"/>
  <c r="X2028" i="7" s="1"/>
  <c r="X2029" i="7" a="1"/>
  <c r="X2029" i="7" s="1"/>
  <c r="X2030" i="7" a="1"/>
  <c r="X2030" i="7" s="1"/>
  <c r="X2031" i="7" a="1"/>
  <c r="X2031" i="7" s="1"/>
  <c r="X2032" i="7" a="1"/>
  <c r="X2032" i="7" s="1"/>
  <c r="X2033" i="7" a="1"/>
  <c r="X2033" i="7" s="1"/>
  <c r="W1974" i="7" a="1"/>
  <c r="W1974" i="7" s="1"/>
  <c r="W1975" i="7" a="1"/>
  <c r="W1975" i="7" s="1"/>
  <c r="W1976" i="7" a="1"/>
  <c r="W1976" i="7" s="1"/>
  <c r="W1977" i="7" a="1"/>
  <c r="W1977" i="7" s="1"/>
  <c r="W1978" i="7" a="1"/>
  <c r="W1978" i="7" s="1"/>
  <c r="W1979" i="7" a="1"/>
  <c r="W1979" i="7" s="1"/>
  <c r="W2016" i="7" a="1"/>
  <c r="W2016" i="7" s="1"/>
  <c r="W2017" i="7" a="1"/>
  <c r="W2017" i="7" s="1"/>
  <c r="W2018" i="7" a="1"/>
  <c r="W2018" i="7" s="1"/>
  <c r="R2291" i="7"/>
  <c r="R2296" i="7"/>
  <c r="R2298" i="7"/>
  <c r="R2301" i="7"/>
  <c r="R2302" i="7"/>
  <c r="R2305" i="7"/>
  <c r="R2306" i="7"/>
  <c r="R2309" i="7"/>
  <c r="R2312" i="7"/>
  <c r="R2315" i="7"/>
  <c r="R2316" i="7"/>
  <c r="R2323" i="7"/>
  <c r="R2324" i="7"/>
  <c r="R2325" i="7"/>
  <c r="R2327" i="7"/>
  <c r="R2328" i="7"/>
  <c r="Q2291" i="7"/>
  <c r="S2291" i="7" s="1"/>
  <c r="M1037" i="10" s="1"/>
  <c r="Q2294" i="7"/>
  <c r="S2294" i="7" s="1"/>
  <c r="M1040" i="10" s="1"/>
  <c r="Q2309" i="7"/>
  <c r="S2309" i="7" s="1"/>
  <c r="M1055" i="10" s="1"/>
  <c r="Q2312" i="7"/>
  <c r="S2312" i="7" s="1"/>
  <c r="M1058" i="10" s="1"/>
  <c r="Q2314" i="7"/>
  <c r="S2314" i="7" s="1"/>
  <c r="M1060" i="10" s="1"/>
  <c r="Q2329" i="7"/>
  <c r="S2329" i="7" s="1"/>
  <c r="M1075" i="10" s="1"/>
  <c r="P2292" i="7"/>
  <c r="P2295" i="7"/>
  <c r="P2314" i="7"/>
  <c r="P2328" i="7"/>
  <c r="N2293" i="7"/>
  <c r="N2300" i="7"/>
  <c r="N2303" i="7"/>
  <c r="N2309" i="7"/>
  <c r="N2314" i="7"/>
  <c r="N2326" i="7"/>
  <c r="N2329" i="7"/>
  <c r="M2288" i="7"/>
  <c r="M2289" i="7"/>
  <c r="M2290" i="7"/>
  <c r="M2291" i="7"/>
  <c r="M2292" i="7"/>
  <c r="M2293" i="7"/>
  <c r="M2294" i="7"/>
  <c r="M2295" i="7"/>
  <c r="M2296" i="7"/>
  <c r="M2297" i="7"/>
  <c r="M2298" i="7"/>
  <c r="M2299" i="7"/>
  <c r="M2300" i="7"/>
  <c r="M2301" i="7"/>
  <c r="M2302" i="7"/>
  <c r="M2303" i="7"/>
  <c r="M2304" i="7"/>
  <c r="M2305" i="7"/>
  <c r="M2306" i="7"/>
  <c r="M2307" i="7"/>
  <c r="M2308" i="7"/>
  <c r="M2309" i="7"/>
  <c r="M2310" i="7"/>
  <c r="M2311" i="7"/>
  <c r="M2312" i="7"/>
  <c r="M2313" i="7"/>
  <c r="M2314" i="7"/>
  <c r="M2315" i="7"/>
  <c r="M2316" i="7"/>
  <c r="M2317" i="7"/>
  <c r="M2318" i="7"/>
  <c r="M2319" i="7"/>
  <c r="M2320" i="7"/>
  <c r="M2321" i="7"/>
  <c r="M2322" i="7"/>
  <c r="M2323" i="7"/>
  <c r="M2324" i="7"/>
  <c r="M2325" i="7"/>
  <c r="M2326" i="7"/>
  <c r="M2327" i="7"/>
  <c r="M2328" i="7"/>
  <c r="M2329" i="7"/>
  <c r="M2330" i="7"/>
  <c r="M2331" i="7"/>
  <c r="R2243" i="7"/>
  <c r="R2244" i="7"/>
  <c r="R2245" i="7"/>
  <c r="R2248" i="7"/>
  <c r="R2252" i="7"/>
  <c r="R2256" i="7"/>
  <c r="R2257" i="7"/>
  <c r="R2261" i="7"/>
  <c r="R2263" i="7"/>
  <c r="R2265" i="7"/>
  <c r="R2266" i="7"/>
  <c r="R2270" i="7"/>
  <c r="R2272" i="7"/>
  <c r="R2276" i="7"/>
  <c r="R2277" i="7"/>
  <c r="R2283" i="7"/>
  <c r="R2284" i="7"/>
  <c r="Q2245" i="7"/>
  <c r="S2245" i="7" s="1"/>
  <c r="M991" i="10" s="1"/>
  <c r="Q2247" i="7"/>
  <c r="S2247" i="7" s="1"/>
  <c r="M993" i="10" s="1"/>
  <c r="Q2249" i="7"/>
  <c r="S2249" i="7" s="1"/>
  <c r="M995" i="10" s="1"/>
  <c r="Q2263" i="7"/>
  <c r="S2263" i="7" s="1"/>
  <c r="M1009" i="10" s="1"/>
  <c r="Q2269" i="7"/>
  <c r="S2269" i="7" s="1"/>
  <c r="M1015" i="10" s="1"/>
  <c r="Q2272" i="7"/>
  <c r="S2272" i="7" s="1"/>
  <c r="M1018" i="10" s="1"/>
  <c r="Q2285" i="7"/>
  <c r="S2285" i="7" s="1"/>
  <c r="M1031" i="10" s="1"/>
  <c r="P2247" i="7"/>
  <c r="P2248" i="7"/>
  <c r="P2261" i="7"/>
  <c r="P2281" i="7"/>
  <c r="O2278" i="7"/>
  <c r="N2243" i="7"/>
  <c r="N2247" i="7"/>
  <c r="N2257" i="7"/>
  <c r="N2259" i="7"/>
  <c r="N2261" i="7"/>
  <c r="N2276" i="7"/>
  <c r="N2280" i="7"/>
  <c r="N2284" i="7"/>
  <c r="N2287" i="7"/>
  <c r="M2243" i="7"/>
  <c r="M2244" i="7"/>
  <c r="M2245" i="7"/>
  <c r="M2246" i="7"/>
  <c r="M2247" i="7"/>
  <c r="M2248" i="7"/>
  <c r="M2249" i="7"/>
  <c r="M2250" i="7"/>
  <c r="M2251" i="7"/>
  <c r="M2252" i="7"/>
  <c r="M2253" i="7"/>
  <c r="M2254" i="7"/>
  <c r="M2255" i="7"/>
  <c r="M2256" i="7"/>
  <c r="M2257" i="7"/>
  <c r="M2258" i="7"/>
  <c r="M2259" i="7"/>
  <c r="M2260" i="7"/>
  <c r="M2261" i="7"/>
  <c r="M2262" i="7"/>
  <c r="M2263" i="7"/>
  <c r="M2264" i="7"/>
  <c r="M2265" i="7"/>
  <c r="M2266" i="7"/>
  <c r="M2267" i="7"/>
  <c r="M2268" i="7"/>
  <c r="M2269" i="7"/>
  <c r="M2270" i="7"/>
  <c r="M2271" i="7"/>
  <c r="M2272" i="7"/>
  <c r="M2273" i="7"/>
  <c r="M2274" i="7"/>
  <c r="M2275" i="7"/>
  <c r="M2276" i="7"/>
  <c r="M2277" i="7"/>
  <c r="M2278" i="7"/>
  <c r="M2279" i="7"/>
  <c r="M2280" i="7"/>
  <c r="M2281" i="7"/>
  <c r="M2282" i="7"/>
  <c r="M2283" i="7"/>
  <c r="M2284" i="7"/>
  <c r="M2285" i="7"/>
  <c r="M2286" i="7"/>
  <c r="M2287" i="7"/>
  <c r="R2198" i="7"/>
  <c r="R2201" i="7"/>
  <c r="R2203" i="7"/>
  <c r="R2209" i="7"/>
  <c r="R2210" i="7"/>
  <c r="R2213" i="7"/>
  <c r="R2214" i="7"/>
  <c r="R2216" i="7"/>
  <c r="R2218" i="7"/>
  <c r="R2222" i="7"/>
  <c r="R2224" i="7"/>
  <c r="R2230" i="7"/>
  <c r="R2231" i="7"/>
  <c r="R2232" i="7"/>
  <c r="R2236" i="7"/>
  <c r="R2237" i="7"/>
  <c r="R2239" i="7"/>
  <c r="Q2198" i="7"/>
  <c r="S2198" i="7" s="1"/>
  <c r="M944" i="10" s="1"/>
  <c r="Q2211" i="7"/>
  <c r="S2211" i="7" s="1"/>
  <c r="M957" i="10" s="1"/>
  <c r="Q2215" i="7"/>
  <c r="S2215" i="7" s="1"/>
  <c r="M961" i="10" s="1"/>
  <c r="Q2220" i="7"/>
  <c r="S2220" i="7" s="1"/>
  <c r="M966" i="10" s="1"/>
  <c r="Q2233" i="7"/>
  <c r="S2233" i="7" s="1"/>
  <c r="M979" i="10" s="1"/>
  <c r="Q2237" i="7"/>
  <c r="S2237" i="7" s="1"/>
  <c r="M983" i="10" s="1"/>
  <c r="Q2240" i="7"/>
  <c r="S2240" i="7" s="1"/>
  <c r="M986" i="10" s="1"/>
  <c r="P2202" i="7"/>
  <c r="P2212" i="7"/>
  <c r="P2228" i="7"/>
  <c r="P2239" i="7"/>
  <c r="O2200" i="7"/>
  <c r="N2198" i="7"/>
  <c r="N2202" i="7"/>
  <c r="N2207" i="7"/>
  <c r="N2218" i="7"/>
  <c r="N2219" i="7"/>
  <c r="N2220" i="7"/>
  <c r="N2228" i="7"/>
  <c r="N2231" i="7"/>
  <c r="N2232" i="7"/>
  <c r="M2198" i="7"/>
  <c r="M2199" i="7"/>
  <c r="M2200" i="7"/>
  <c r="M2201" i="7"/>
  <c r="M2202" i="7"/>
  <c r="M2203" i="7"/>
  <c r="M2204" i="7"/>
  <c r="M2205" i="7"/>
  <c r="M2206" i="7"/>
  <c r="M2207" i="7"/>
  <c r="M2208" i="7"/>
  <c r="M2209" i="7"/>
  <c r="M2210" i="7"/>
  <c r="M2211" i="7"/>
  <c r="M2212" i="7"/>
  <c r="M2213" i="7"/>
  <c r="M2214" i="7"/>
  <c r="M2215" i="7"/>
  <c r="M2216" i="7"/>
  <c r="M2217" i="7"/>
  <c r="M2218" i="7"/>
  <c r="M2219" i="7"/>
  <c r="M2220" i="7"/>
  <c r="M2221" i="7"/>
  <c r="M2222" i="7"/>
  <c r="M2223" i="7"/>
  <c r="M2224" i="7"/>
  <c r="M2225" i="7"/>
  <c r="M2226" i="7"/>
  <c r="M2227" i="7"/>
  <c r="M2228" i="7"/>
  <c r="M2229" i="7"/>
  <c r="M2230" i="7"/>
  <c r="M2231" i="7"/>
  <c r="M2232" i="7"/>
  <c r="M2233" i="7"/>
  <c r="M2234" i="7"/>
  <c r="M2235" i="7"/>
  <c r="M2236" i="7"/>
  <c r="M2237" i="7"/>
  <c r="M2238" i="7"/>
  <c r="M2239" i="7"/>
  <c r="M2240" i="7"/>
  <c r="M2241" i="7"/>
  <c r="M2242" i="7"/>
  <c r="R2159" i="7"/>
  <c r="R2161" i="7"/>
  <c r="R2162" i="7"/>
  <c r="R2163" i="7"/>
  <c r="R2164" i="7"/>
  <c r="R2166" i="7"/>
  <c r="R2173" i="7"/>
  <c r="R2175" i="7"/>
  <c r="R2178" i="7"/>
  <c r="R2179" i="7"/>
  <c r="R2181" i="7"/>
  <c r="R2182" i="7"/>
  <c r="R2183" i="7"/>
  <c r="R2189" i="7"/>
  <c r="R2192" i="7"/>
  <c r="R2194" i="7"/>
  <c r="Q2159" i="7"/>
  <c r="S2159" i="7" s="1"/>
  <c r="M905" i="10" s="1"/>
  <c r="Q2162" i="7"/>
  <c r="S2162" i="7" s="1"/>
  <c r="M908" i="10" s="1"/>
  <c r="Q2165" i="7"/>
  <c r="S2165" i="7" s="1"/>
  <c r="M911" i="10" s="1"/>
  <c r="Q2177" i="7"/>
  <c r="S2177" i="7" s="1"/>
  <c r="M923" i="10" s="1"/>
  <c r="Q2179" i="7"/>
  <c r="S2179" i="7" s="1"/>
  <c r="M925" i="10" s="1"/>
  <c r="Q2182" i="7"/>
  <c r="S2182" i="7" s="1"/>
  <c r="M928" i="10" s="1"/>
  <c r="Q2194" i="7"/>
  <c r="S2194" i="7" s="1"/>
  <c r="M940" i="10" s="1"/>
  <c r="Q2196" i="7"/>
  <c r="S2196" i="7" s="1"/>
  <c r="M942" i="10" s="1"/>
  <c r="P2156" i="7"/>
  <c r="P2164" i="7"/>
  <c r="P2180" i="7"/>
  <c r="P2192" i="7"/>
  <c r="O2163" i="7"/>
  <c r="O2187" i="7"/>
  <c r="N2153" i="7"/>
  <c r="N2155" i="7"/>
  <c r="N2161" i="7"/>
  <c r="N2163" i="7"/>
  <c r="N2171" i="7"/>
  <c r="N2174" i="7"/>
  <c r="N2175" i="7"/>
  <c r="N2179" i="7"/>
  <c r="N2185" i="7"/>
  <c r="N2187" i="7"/>
  <c r="N2193" i="7"/>
  <c r="N2197" i="7"/>
  <c r="M2153" i="7"/>
  <c r="M2154" i="7"/>
  <c r="M2155" i="7"/>
  <c r="M2156" i="7"/>
  <c r="M2157" i="7"/>
  <c r="M2158" i="7"/>
  <c r="M2159" i="7"/>
  <c r="M2160" i="7"/>
  <c r="M2161" i="7"/>
  <c r="M2162" i="7"/>
  <c r="M2163" i="7"/>
  <c r="M2164" i="7"/>
  <c r="M2165" i="7"/>
  <c r="M2166" i="7"/>
  <c r="M2167" i="7"/>
  <c r="M2168" i="7"/>
  <c r="M2169" i="7"/>
  <c r="M2170" i="7"/>
  <c r="M2171" i="7"/>
  <c r="M2172" i="7"/>
  <c r="M2173" i="7"/>
  <c r="M2174" i="7"/>
  <c r="M2175" i="7"/>
  <c r="M2176" i="7"/>
  <c r="M2177" i="7"/>
  <c r="M2178" i="7"/>
  <c r="M2179" i="7"/>
  <c r="M2180" i="7"/>
  <c r="M2181" i="7"/>
  <c r="M2182" i="7"/>
  <c r="M2183" i="7"/>
  <c r="M2184" i="7"/>
  <c r="M2185" i="7"/>
  <c r="M2186" i="7"/>
  <c r="M2187" i="7"/>
  <c r="M2188" i="7"/>
  <c r="M2189" i="7"/>
  <c r="M2190" i="7"/>
  <c r="M2191" i="7"/>
  <c r="M2192" i="7"/>
  <c r="M2193" i="7"/>
  <c r="M2194" i="7"/>
  <c r="M2195" i="7"/>
  <c r="M2196" i="7"/>
  <c r="M2197" i="7"/>
  <c r="E899" i="10"/>
  <c r="R2112" i="7"/>
  <c r="R2119" i="7"/>
  <c r="R2137" i="7"/>
  <c r="R2142" i="7"/>
  <c r="Q2128" i="7"/>
  <c r="S2128" i="7" s="1"/>
  <c r="M874" i="10" s="1"/>
  <c r="P2110" i="7"/>
  <c r="P2111" i="7"/>
  <c r="P2118" i="7"/>
  <c r="P2120" i="7"/>
  <c r="P2123" i="7"/>
  <c r="P2125" i="7"/>
  <c r="P2128" i="7"/>
  <c r="P2131" i="7"/>
  <c r="P2132" i="7"/>
  <c r="P2140" i="7"/>
  <c r="P2143" i="7"/>
  <c r="P2144" i="7"/>
  <c r="P2145" i="7"/>
  <c r="P2148" i="7"/>
  <c r="P2151" i="7"/>
  <c r="P2152" i="7"/>
  <c r="O2119" i="7"/>
  <c r="O2121" i="7"/>
  <c r="O2125" i="7"/>
  <c r="O2127" i="7"/>
  <c r="O2136" i="7"/>
  <c r="O2140" i="7"/>
  <c r="O2143" i="7"/>
  <c r="O2144" i="7"/>
  <c r="N2109" i="7"/>
  <c r="N2111" i="7"/>
  <c r="N2115" i="7"/>
  <c r="N2116" i="7"/>
  <c r="N2117" i="7"/>
  <c r="N2119" i="7"/>
  <c r="N2120" i="7"/>
  <c r="N2121" i="7"/>
  <c r="N2124" i="7"/>
  <c r="N2126" i="7"/>
  <c r="N2127" i="7"/>
  <c r="N2131" i="7"/>
  <c r="N2132" i="7"/>
  <c r="N2133" i="7"/>
  <c r="N2135" i="7"/>
  <c r="N2136" i="7"/>
  <c r="N2138" i="7"/>
  <c r="N2139" i="7"/>
  <c r="N2140" i="7"/>
  <c r="N2143" i="7"/>
  <c r="N2147" i="7"/>
  <c r="N2148" i="7"/>
  <c r="N2150" i="7"/>
  <c r="N2151" i="7"/>
  <c r="N2152" i="7"/>
  <c r="M2109" i="7"/>
  <c r="M2110" i="7"/>
  <c r="M2112" i="7"/>
  <c r="M2113" i="7"/>
  <c r="M2115" i="7"/>
  <c r="M2117" i="7"/>
  <c r="M2118" i="7"/>
  <c r="M2119" i="7"/>
  <c r="M2120" i="7"/>
  <c r="M2122" i="7"/>
  <c r="M2123" i="7"/>
  <c r="M2125" i="7"/>
  <c r="M2127" i="7"/>
  <c r="M2128" i="7"/>
  <c r="M2129" i="7"/>
  <c r="M2130" i="7"/>
  <c r="M2132" i="7"/>
  <c r="M2133" i="7"/>
  <c r="M2135" i="7"/>
  <c r="M2136" i="7"/>
  <c r="M2139" i="7"/>
  <c r="M2140" i="7"/>
  <c r="M2141" i="7"/>
  <c r="M2142" i="7"/>
  <c r="M2143" i="7"/>
  <c r="M2144" i="7"/>
  <c r="M2145" i="7"/>
  <c r="M2148" i="7"/>
  <c r="M2149" i="7"/>
  <c r="M2152" i="7"/>
  <c r="R2065" i="7"/>
  <c r="R2080" i="7"/>
  <c r="R2083" i="7"/>
  <c r="R2086" i="7"/>
  <c r="R2102" i="7"/>
  <c r="R2106" i="7"/>
  <c r="Q2068" i="7"/>
  <c r="S2068" i="7" s="1"/>
  <c r="M814" i="10" s="1"/>
  <c r="P2064" i="7"/>
  <c r="P2072" i="7"/>
  <c r="P2073" i="7"/>
  <c r="P2074" i="7"/>
  <c r="P2076" i="7"/>
  <c r="P2078" i="7"/>
  <c r="P2084" i="7"/>
  <c r="P2086" i="7"/>
  <c r="P2092" i="7"/>
  <c r="P2093" i="7"/>
  <c r="P2095" i="7"/>
  <c r="P2096" i="7"/>
  <c r="P2101" i="7"/>
  <c r="P2105" i="7"/>
  <c r="P2107" i="7"/>
  <c r="O2072" i="7"/>
  <c r="O2075" i="7"/>
  <c r="O2077" i="7"/>
  <c r="O2079" i="7"/>
  <c r="O2089" i="7"/>
  <c r="O2092" i="7"/>
  <c r="O2095" i="7"/>
  <c r="O2096" i="7"/>
  <c r="O2106" i="7"/>
  <c r="N2066" i="7"/>
  <c r="N2067" i="7"/>
  <c r="N2068" i="7"/>
  <c r="N2070" i="7"/>
  <c r="N2071" i="7"/>
  <c r="N2072" i="7"/>
  <c r="N2074" i="7"/>
  <c r="N2075" i="7"/>
  <c r="N2077" i="7"/>
  <c r="N2078" i="7"/>
  <c r="N2083" i="7"/>
  <c r="N2084" i="7"/>
  <c r="N2086" i="7"/>
  <c r="N2087" i="7"/>
  <c r="N2089" i="7"/>
  <c r="N2090" i="7"/>
  <c r="N2091" i="7"/>
  <c r="N2092" i="7"/>
  <c r="N2094" i="7"/>
  <c r="N2098" i="7"/>
  <c r="N2099" i="7"/>
  <c r="N2102" i="7"/>
  <c r="N2103" i="7"/>
  <c r="N2104" i="7"/>
  <c r="N2106" i="7"/>
  <c r="N2107" i="7"/>
  <c r="N2108" i="7"/>
  <c r="M2065" i="7"/>
  <c r="M2068" i="7"/>
  <c r="M2070" i="7"/>
  <c r="M2071" i="7"/>
  <c r="M2072" i="7"/>
  <c r="M2073" i="7"/>
  <c r="M2074" i="7"/>
  <c r="M2075" i="7"/>
  <c r="M2076" i="7"/>
  <c r="M2078" i="7"/>
  <c r="M2079" i="7"/>
  <c r="M2082" i="7"/>
  <c r="M2084" i="7"/>
  <c r="M2085" i="7"/>
  <c r="M2086" i="7"/>
  <c r="M2087" i="7"/>
  <c r="M2088" i="7"/>
  <c r="M2089" i="7"/>
  <c r="M2091" i="7"/>
  <c r="M2092" i="7"/>
  <c r="M2095" i="7"/>
  <c r="M2096" i="7"/>
  <c r="M2097" i="7"/>
  <c r="M2099" i="7"/>
  <c r="M2100" i="7"/>
  <c r="M2101" i="7"/>
  <c r="M2102" i="7"/>
  <c r="M2104" i="7"/>
  <c r="M2106" i="7"/>
  <c r="M2108" i="7"/>
  <c r="R2031" i="7"/>
  <c r="R2033" i="7"/>
  <c r="R2038" i="7"/>
  <c r="R2052" i="7"/>
  <c r="R2058" i="7"/>
  <c r="R2060" i="7"/>
  <c r="Q2036" i="7"/>
  <c r="S2036" i="7" s="1"/>
  <c r="M782" i="10" s="1"/>
  <c r="P2021" i="7"/>
  <c r="P2022" i="7"/>
  <c r="P2025" i="7"/>
  <c r="P2026" i="7"/>
  <c r="P2028" i="7"/>
  <c r="P2030" i="7"/>
  <c r="P2032" i="7"/>
  <c r="P2040" i="7"/>
  <c r="P2041" i="7"/>
  <c r="P2042" i="7"/>
  <c r="P2044" i="7"/>
  <c r="P2046" i="7"/>
  <c r="P2050" i="7"/>
  <c r="P2052" i="7"/>
  <c r="P2058" i="7"/>
  <c r="P2059" i="7"/>
  <c r="P2061" i="7"/>
  <c r="P2062" i="7"/>
  <c r="O2020" i="7"/>
  <c r="O2023" i="7"/>
  <c r="O2025" i="7"/>
  <c r="O2034" i="7"/>
  <c r="O2037" i="7"/>
  <c r="O2041" i="7"/>
  <c r="O2042" i="7"/>
  <c r="O2052" i="7"/>
  <c r="O2055" i="7"/>
  <c r="O2058" i="7"/>
  <c r="O2059" i="7"/>
  <c r="N2019" i="7"/>
  <c r="N2020" i="7"/>
  <c r="N2021" i="7"/>
  <c r="N2022" i="7"/>
  <c r="N2023" i="7"/>
  <c r="N2024" i="7"/>
  <c r="N2027" i="7"/>
  <c r="N2031" i="7"/>
  <c r="N2032" i="7"/>
  <c r="N2033" i="7"/>
  <c r="N2034" i="7"/>
  <c r="N2035" i="7"/>
  <c r="N2036" i="7"/>
  <c r="N2038" i="7"/>
  <c r="N2039" i="7"/>
  <c r="N2040" i="7"/>
  <c r="N2041" i="7"/>
  <c r="N2046" i="7"/>
  <c r="N2047" i="7"/>
  <c r="N2048" i="7"/>
  <c r="N2050" i="7"/>
  <c r="N2051" i="7"/>
  <c r="N2052" i="7"/>
  <c r="N2053" i="7"/>
  <c r="N2055" i="7"/>
  <c r="N2056" i="7"/>
  <c r="N2059" i="7"/>
  <c r="N2060" i="7"/>
  <c r="N2063" i="7"/>
  <c r="M2019" i="7"/>
  <c r="M2020" i="7"/>
  <c r="M2021" i="7"/>
  <c r="M2022" i="7"/>
  <c r="M2024" i="7"/>
  <c r="M2025" i="7"/>
  <c r="M2027" i="7"/>
  <c r="M2028" i="7"/>
  <c r="M2031" i="7"/>
  <c r="M2032" i="7"/>
  <c r="M2033" i="7"/>
  <c r="M2034" i="7"/>
  <c r="M2035" i="7"/>
  <c r="M2036" i="7"/>
  <c r="M2037" i="7"/>
  <c r="M2040" i="7"/>
  <c r="M2042" i="7"/>
  <c r="M2044" i="7"/>
  <c r="M2045" i="7"/>
  <c r="M2046" i="7"/>
  <c r="M2047" i="7"/>
  <c r="M2048" i="7"/>
  <c r="M2049" i="7"/>
  <c r="M2050" i="7"/>
  <c r="M2051" i="7"/>
  <c r="M2054" i="7"/>
  <c r="M2057" i="7"/>
  <c r="M2058" i="7"/>
  <c r="M2059" i="7"/>
  <c r="M2060" i="7"/>
  <c r="M2061" i="7"/>
  <c r="M2062" i="7"/>
  <c r="M2063" i="7"/>
  <c r="R1981" i="7"/>
  <c r="R1990" i="7"/>
  <c r="R2005" i="7"/>
  <c r="R2007" i="7"/>
  <c r="R2009" i="7"/>
  <c r="Q2008" i="7"/>
  <c r="S2008" i="7" s="1"/>
  <c r="M754" i="10" s="1"/>
  <c r="P1974" i="7"/>
  <c r="P1975" i="7"/>
  <c r="P1976" i="7"/>
  <c r="P1977" i="7"/>
  <c r="P1981" i="7"/>
  <c r="P1984" i="7"/>
  <c r="P1987" i="7"/>
  <c r="P1991" i="7"/>
  <c r="P1993" i="7"/>
  <c r="P1995" i="7"/>
  <c r="P1996" i="7"/>
  <c r="P2000" i="7"/>
  <c r="P2003" i="7"/>
  <c r="P2005" i="7"/>
  <c r="P2011" i="7"/>
  <c r="P2012" i="7"/>
  <c r="P2014" i="7"/>
  <c r="P2015" i="7"/>
  <c r="O1974" i="7"/>
  <c r="O1977" i="7"/>
  <c r="O1979" i="7"/>
  <c r="O1989" i="7"/>
  <c r="O1992" i="7"/>
  <c r="O1994" i="7"/>
  <c r="O1995" i="7"/>
  <c r="O2006" i="7"/>
  <c r="O2008" i="7"/>
  <c r="O2010" i="7"/>
  <c r="O2013" i="7"/>
  <c r="N1977" i="7"/>
  <c r="N1978" i="7"/>
  <c r="N1980" i="7"/>
  <c r="N1981" i="7"/>
  <c r="N1982" i="7"/>
  <c r="N1983" i="7"/>
  <c r="N1984" i="7"/>
  <c r="N1985" i="7"/>
  <c r="N1987" i="7"/>
  <c r="N1988" i="7"/>
  <c r="N1993" i="7"/>
  <c r="N1994" i="7"/>
  <c r="N1995" i="7"/>
  <c r="N1996" i="7"/>
  <c r="N1997" i="7"/>
  <c r="N1999" i="7"/>
  <c r="N2000" i="7"/>
  <c r="N2001" i="7"/>
  <c r="N2002" i="7"/>
  <c r="N2006" i="7"/>
  <c r="N2007" i="7"/>
  <c r="N2009" i="7"/>
  <c r="N2011" i="7"/>
  <c r="N2012" i="7"/>
  <c r="N2013" i="7"/>
  <c r="N2014" i="7"/>
  <c r="N2016" i="7"/>
  <c r="N2017" i="7"/>
  <c r="M1974" i="7"/>
  <c r="M1975" i="7"/>
  <c r="M1977" i="7"/>
  <c r="M1979" i="7"/>
  <c r="M1981" i="7"/>
  <c r="M1983" i="7"/>
  <c r="M1984" i="7"/>
  <c r="M1985" i="7"/>
  <c r="M1986" i="7"/>
  <c r="M1987" i="7"/>
  <c r="M1988" i="7"/>
  <c r="M1991" i="7"/>
  <c r="M1992" i="7"/>
  <c r="M1994" i="7"/>
  <c r="M1995" i="7"/>
  <c r="M1996" i="7"/>
  <c r="M1998" i="7"/>
  <c r="M1999" i="7"/>
  <c r="M2000" i="7"/>
  <c r="M2001" i="7"/>
  <c r="M2003" i="7"/>
  <c r="M2004" i="7"/>
  <c r="M2005" i="7"/>
  <c r="M2007" i="7"/>
  <c r="M2008" i="7"/>
  <c r="M2009" i="7"/>
  <c r="M2010" i="7"/>
  <c r="M2012" i="7"/>
  <c r="M2013" i="7"/>
  <c r="M2015" i="7"/>
  <c r="M2016" i="7"/>
  <c r="M2017" i="7"/>
  <c r="M2018" i="7"/>
  <c r="E720" i="10"/>
  <c r="Q2183" i="7" l="1"/>
  <c r="S2183" i="7" s="1"/>
  <c r="M929" i="10" s="1"/>
  <c r="Q2166" i="7"/>
  <c r="S2166" i="7" s="1"/>
  <c r="M912" i="10" s="1"/>
  <c r="Q2241" i="7"/>
  <c r="S2241" i="7" s="1"/>
  <c r="M987" i="10" s="1"/>
  <c r="Q2221" i="7"/>
  <c r="S2221" i="7" s="1"/>
  <c r="M967" i="10" s="1"/>
  <c r="Q2199" i="7"/>
  <c r="S2199" i="7" s="1"/>
  <c r="M945" i="10" s="1"/>
  <c r="Q2273" i="7"/>
  <c r="S2273" i="7" s="1"/>
  <c r="M1019" i="10" s="1"/>
  <c r="Q2252" i="7"/>
  <c r="S2252" i="7" s="1"/>
  <c r="M998" i="10" s="1"/>
  <c r="Q2315" i="7"/>
  <c r="S2315" i="7" s="1"/>
  <c r="M1061" i="10" s="1"/>
  <c r="Q2295" i="7"/>
  <c r="S2295" i="7" s="1"/>
  <c r="M1041" i="10" s="1"/>
  <c r="O2114" i="7"/>
  <c r="O2109" i="7"/>
  <c r="O2122" i="7"/>
  <c r="O2135" i="7"/>
  <c r="O2148" i="7"/>
  <c r="O2068" i="7"/>
  <c r="O2081" i="7"/>
  <c r="O2094" i="7"/>
  <c r="O2107" i="7"/>
  <c r="O2031" i="7"/>
  <c r="O2044" i="7"/>
  <c r="O2057" i="7"/>
  <c r="O1978" i="7"/>
  <c r="O1991" i="7"/>
  <c r="O2004" i="7"/>
  <c r="O2017" i="7"/>
  <c r="O2113" i="7"/>
  <c r="O2128" i="7"/>
  <c r="O2142" i="7"/>
  <c r="O2073" i="7"/>
  <c r="O2087" i="7"/>
  <c r="O2101" i="7"/>
  <c r="O2024" i="7"/>
  <c r="O2038" i="7"/>
  <c r="O2053" i="7"/>
  <c r="O1986" i="7"/>
  <c r="O2001" i="7"/>
  <c r="O2015" i="7"/>
  <c r="O2110" i="7"/>
  <c r="O2124" i="7"/>
  <c r="O2139" i="7"/>
  <c r="O2070" i="7"/>
  <c r="O2084" i="7"/>
  <c r="O2098" i="7"/>
  <c r="O2021" i="7"/>
  <c r="O2035" i="7"/>
  <c r="O2049" i="7"/>
  <c r="O1983" i="7"/>
  <c r="O1997" i="7"/>
  <c r="O2011" i="7"/>
  <c r="O2009" i="7"/>
  <c r="O1993" i="7"/>
  <c r="O1975" i="7"/>
  <c r="P2002" i="7"/>
  <c r="P1983" i="7"/>
  <c r="O2056" i="7"/>
  <c r="O2040" i="7"/>
  <c r="O2022" i="7"/>
  <c r="P2047" i="7"/>
  <c r="P2029" i="7"/>
  <c r="O2093" i="7"/>
  <c r="O2076" i="7"/>
  <c r="P2104" i="7"/>
  <c r="P2083" i="7"/>
  <c r="O2141" i="7"/>
  <c r="O2123" i="7"/>
  <c r="P2149" i="7"/>
  <c r="P2130" i="7"/>
  <c r="N2183" i="7"/>
  <c r="N2158" i="7"/>
  <c r="Q2197" i="7"/>
  <c r="S2197" i="7" s="1"/>
  <c r="M943" i="10" s="1"/>
  <c r="Q2181" i="7"/>
  <c r="S2181" i="7" s="1"/>
  <c r="M927" i="10" s="1"/>
  <c r="Q2164" i="7"/>
  <c r="S2164" i="7" s="1"/>
  <c r="M910" i="10" s="1"/>
  <c r="R2191" i="7"/>
  <c r="R2169" i="7"/>
  <c r="N2229" i="7"/>
  <c r="N2200" i="7"/>
  <c r="Q2239" i="7"/>
  <c r="S2239" i="7" s="1"/>
  <c r="M985" i="10" s="1"/>
  <c r="Q2216" i="7"/>
  <c r="S2216" i="7" s="1"/>
  <c r="M962" i="10" s="1"/>
  <c r="R2240" i="7"/>
  <c r="R2221" i="7"/>
  <c r="R2200" i="7"/>
  <c r="N2285" i="7"/>
  <c r="N2258" i="7"/>
  <c r="Q2270" i="7"/>
  <c r="S2270" i="7" s="1"/>
  <c r="M1016" i="10" s="1"/>
  <c r="Q2248" i="7"/>
  <c r="S2248" i="7" s="1"/>
  <c r="M994" i="10" s="1"/>
  <c r="R2275" i="7"/>
  <c r="R2255" i="7"/>
  <c r="N2306" i="7"/>
  <c r="Q2313" i="7"/>
  <c r="S2313" i="7" s="1"/>
  <c r="M1059" i="10" s="1"/>
  <c r="Q2293" i="7"/>
  <c r="S2293" i="7" s="1"/>
  <c r="M1039" i="10" s="1"/>
  <c r="R2314" i="7"/>
  <c r="R2293" i="7"/>
  <c r="O2007" i="7"/>
  <c r="O1990" i="7"/>
  <c r="P2018" i="7"/>
  <c r="P1999" i="7"/>
  <c r="P1978" i="7"/>
  <c r="O2054" i="7"/>
  <c r="O2036" i="7"/>
  <c r="O2019" i="7"/>
  <c r="P2045" i="7"/>
  <c r="P2027" i="7"/>
  <c r="O2108" i="7"/>
  <c r="O2091" i="7"/>
  <c r="O2074" i="7"/>
  <c r="P2100" i="7"/>
  <c r="P2077" i="7"/>
  <c r="O2137" i="7"/>
  <c r="O2120" i="7"/>
  <c r="P2147" i="7"/>
  <c r="N2177" i="7"/>
  <c r="N2154" i="7"/>
  <c r="Q2195" i="7"/>
  <c r="S2195" i="7" s="1"/>
  <c r="M941" i="10" s="1"/>
  <c r="Q2178" i="7"/>
  <c r="S2178" i="7" s="1"/>
  <c r="M924" i="10" s="1"/>
  <c r="Q2161" i="7"/>
  <c r="S2161" i="7" s="1"/>
  <c r="M907" i="10" s="1"/>
  <c r="R2188" i="7"/>
  <c r="R2165" i="7"/>
  <c r="N2226" i="7"/>
  <c r="Q2234" i="7"/>
  <c r="S2234" i="7" s="1"/>
  <c r="M980" i="10" s="1"/>
  <c r="Q2212" i="7"/>
  <c r="S2212" i="7" s="1"/>
  <c r="M958" i="10" s="1"/>
  <c r="R2238" i="7"/>
  <c r="R2217" i="7"/>
  <c r="N2282" i="7"/>
  <c r="N2248" i="7"/>
  <c r="Q2286" i="7"/>
  <c r="S2286" i="7" s="1"/>
  <c r="M1032" i="10" s="1"/>
  <c r="Q2267" i="7"/>
  <c r="S2267" i="7" s="1"/>
  <c r="M1013" i="10" s="1"/>
  <c r="Q2246" i="7"/>
  <c r="S2246" i="7" s="1"/>
  <c r="M992" i="10" s="1"/>
  <c r="R2271" i="7"/>
  <c r="R2249" i="7"/>
  <c r="N2301" i="7"/>
  <c r="Q2330" i="7"/>
  <c r="S2330" i="7" s="1"/>
  <c r="M1076" i="10" s="1"/>
  <c r="Q2310" i="7"/>
  <c r="S2310" i="7" s="1"/>
  <c r="M1056" i="10" s="1"/>
  <c r="R2330" i="7"/>
  <c r="R2311" i="7"/>
  <c r="P2288" i="7"/>
  <c r="P2293" i="7"/>
  <c r="P2265" i="7"/>
  <c r="P2220" i="7"/>
  <c r="P2305" i="7"/>
  <c r="P2262" i="7"/>
  <c r="P2207" i="7"/>
  <c r="P2191" i="7"/>
  <c r="P2311" i="7"/>
  <c r="P2277" i="7"/>
  <c r="P2208" i="7"/>
  <c r="P2260" i="7"/>
  <c r="P2240" i="7"/>
  <c r="P2174" i="7"/>
  <c r="P2325" i="7"/>
  <c r="P2226" i="7"/>
  <c r="P2162" i="7"/>
  <c r="O2005" i="7"/>
  <c r="O1987" i="7"/>
  <c r="O2050" i="7"/>
  <c r="O2033" i="7"/>
  <c r="O2105" i="7"/>
  <c r="O2088" i="7"/>
  <c r="O2071" i="7"/>
  <c r="O2152" i="7"/>
  <c r="O2134" i="7"/>
  <c r="O2118" i="7"/>
  <c r="Q2192" i="7"/>
  <c r="S2192" i="7" s="1"/>
  <c r="M938" i="10" s="1"/>
  <c r="Q2176" i="7"/>
  <c r="S2176" i="7" s="1"/>
  <c r="M922" i="10" s="1"/>
  <c r="Q2158" i="7"/>
  <c r="S2158" i="7" s="1"/>
  <c r="M904" i="10" s="1"/>
  <c r="Q2229" i="7"/>
  <c r="S2229" i="7" s="1"/>
  <c r="M975" i="10" s="1"/>
  <c r="Q2210" i="7"/>
  <c r="S2210" i="7" s="1"/>
  <c r="M956" i="10" s="1"/>
  <c r="N2277" i="7"/>
  <c r="N2244" i="7"/>
  <c r="Q2284" i="7"/>
  <c r="S2284" i="7" s="1"/>
  <c r="M1030" i="10" s="1"/>
  <c r="Q2262" i="7"/>
  <c r="S2262" i="7" s="1"/>
  <c r="M1008" i="10" s="1"/>
  <c r="Q2244" i="7"/>
  <c r="S2244" i="7" s="1"/>
  <c r="M990" i="10" s="1"/>
  <c r="N2328" i="7"/>
  <c r="N2295" i="7"/>
  <c r="Q2328" i="7"/>
  <c r="S2328" i="7" s="1"/>
  <c r="M1074" i="10" s="1"/>
  <c r="Q2308" i="7"/>
  <c r="S2308" i="7" s="1"/>
  <c r="M1054" i="10" s="1"/>
  <c r="O2030" i="7"/>
  <c r="O2103" i="7"/>
  <c r="O2116" i="7"/>
  <c r="N2192" i="7"/>
  <c r="Q2190" i="7"/>
  <c r="S2190" i="7" s="1"/>
  <c r="M936" i="10" s="1"/>
  <c r="Q2227" i="7"/>
  <c r="S2227" i="7" s="1"/>
  <c r="M973" i="10" s="1"/>
  <c r="O2003" i="7"/>
  <c r="O1985" i="7"/>
  <c r="O2048" i="7"/>
  <c r="O2032" i="7"/>
  <c r="O2104" i="7"/>
  <c r="O2086" i="7"/>
  <c r="O2069" i="7"/>
  <c r="O2151" i="7"/>
  <c r="O2133" i="7"/>
  <c r="O2117" i="7"/>
  <c r="Q2191" i="7"/>
  <c r="S2191" i="7" s="1"/>
  <c r="M937" i="10" s="1"/>
  <c r="Q2173" i="7"/>
  <c r="S2173" i="7" s="1"/>
  <c r="M919" i="10" s="1"/>
  <c r="Q2156" i="7"/>
  <c r="S2156" i="7" s="1"/>
  <c r="M902" i="10" s="1"/>
  <c r="Q2228" i="7"/>
  <c r="S2228" i="7" s="1"/>
  <c r="M974" i="10" s="1"/>
  <c r="Q2208" i="7"/>
  <c r="S2208" i="7" s="1"/>
  <c r="M954" i="10" s="1"/>
  <c r="Q2283" i="7"/>
  <c r="S2283" i="7" s="1"/>
  <c r="M1029" i="10" s="1"/>
  <c r="Q2261" i="7"/>
  <c r="S2261" i="7" s="1"/>
  <c r="M1007" i="10" s="1"/>
  <c r="Q2243" i="7"/>
  <c r="S2243" i="7" s="1"/>
  <c r="M989" i="10" s="1"/>
  <c r="Q2327" i="7"/>
  <c r="S2327" i="7" s="1"/>
  <c r="M1073" i="10" s="1"/>
  <c r="Q2302" i="7"/>
  <c r="S2302" i="7" s="1"/>
  <c r="M1048" i="10" s="1"/>
  <c r="N2290" i="7"/>
  <c r="N2313" i="7"/>
  <c r="N2249" i="7"/>
  <c r="N2270" i="7"/>
  <c r="N2206" i="7"/>
  <c r="N2224" i="7"/>
  <c r="N2241" i="7"/>
  <c r="N2297" i="7"/>
  <c r="N2319" i="7"/>
  <c r="N2252" i="7"/>
  <c r="N2272" i="7"/>
  <c r="N2203" i="7"/>
  <c r="N2221" i="7"/>
  <c r="N2242" i="7"/>
  <c r="N2164" i="7"/>
  <c r="N2181" i="7"/>
  <c r="N2298" i="7"/>
  <c r="N2320" i="7"/>
  <c r="N2253" i="7"/>
  <c r="N2273" i="7"/>
  <c r="N2205" i="7"/>
  <c r="N2225" i="7"/>
  <c r="N2310" i="7"/>
  <c r="N2256" i="7"/>
  <c r="N2278" i="7"/>
  <c r="N2216" i="7"/>
  <c r="N2238" i="7"/>
  <c r="N2162" i="7"/>
  <c r="N2180" i="7"/>
  <c r="N2305" i="7"/>
  <c r="N2331" i="7"/>
  <c r="N2245" i="7"/>
  <c r="N2271" i="7"/>
  <c r="N2212" i="7"/>
  <c r="N2233" i="7"/>
  <c r="N2157" i="7"/>
  <c r="N2176" i="7"/>
  <c r="N2194" i="7"/>
  <c r="P2121" i="7"/>
  <c r="P2137" i="7"/>
  <c r="P2065" i="7"/>
  <c r="P2081" i="7"/>
  <c r="P2097" i="7"/>
  <c r="P2020" i="7"/>
  <c r="P2034" i="7"/>
  <c r="P2049" i="7"/>
  <c r="P2063" i="7"/>
  <c r="P1979" i="7"/>
  <c r="P1994" i="7"/>
  <c r="P2008" i="7"/>
  <c r="P2124" i="7"/>
  <c r="P2142" i="7"/>
  <c r="P2068" i="7"/>
  <c r="P2085" i="7"/>
  <c r="P2102" i="7"/>
  <c r="P2023" i="7"/>
  <c r="P2039" i="7"/>
  <c r="P2054" i="7"/>
  <c r="P1986" i="7"/>
  <c r="P2001" i="7"/>
  <c r="P2017" i="7"/>
  <c r="P2119" i="7"/>
  <c r="P2136" i="7"/>
  <c r="P2080" i="7"/>
  <c r="P2098" i="7"/>
  <c r="P2035" i="7"/>
  <c r="P2051" i="7"/>
  <c r="P1982" i="7"/>
  <c r="P1998" i="7"/>
  <c r="P2013" i="7"/>
  <c r="O2100" i="7"/>
  <c r="P2090" i="7"/>
  <c r="O2115" i="7"/>
  <c r="N2190" i="7"/>
  <c r="Q2290" i="7"/>
  <c r="S2290" i="7" s="1"/>
  <c r="M1036" i="10" s="1"/>
  <c r="Q2304" i="7"/>
  <c r="S2304" i="7" s="1"/>
  <c r="M1050" i="10" s="1"/>
  <c r="Q2319" i="7"/>
  <c r="S2319" i="7" s="1"/>
  <c r="M1065" i="10" s="1"/>
  <c r="Q2255" i="7"/>
  <c r="S2255" i="7" s="1"/>
  <c r="M1001" i="10" s="1"/>
  <c r="Q2268" i="7"/>
  <c r="S2268" i="7" s="1"/>
  <c r="M1014" i="10" s="1"/>
  <c r="Q2281" i="7"/>
  <c r="S2281" i="7" s="1"/>
  <c r="M1027" i="10" s="1"/>
  <c r="Q2209" i="7"/>
  <c r="S2209" i="7" s="1"/>
  <c r="M955" i="10" s="1"/>
  <c r="Q2222" i="7"/>
  <c r="S2222" i="7" s="1"/>
  <c r="M968" i="10" s="1"/>
  <c r="Q2235" i="7"/>
  <c r="S2235" i="7" s="1"/>
  <c r="M981" i="10" s="1"/>
  <c r="Q2288" i="7"/>
  <c r="S2288" i="7" s="1"/>
  <c r="M1034" i="10" s="1"/>
  <c r="Q2303" i="7"/>
  <c r="S2303" i="7" s="1"/>
  <c r="M1049" i="10" s="1"/>
  <c r="Q2320" i="7"/>
  <c r="S2320" i="7" s="1"/>
  <c r="M1066" i="10" s="1"/>
  <c r="Q2250" i="7"/>
  <c r="S2250" i="7" s="1"/>
  <c r="M996" i="10" s="1"/>
  <c r="Q2264" i="7"/>
  <c r="S2264" i="7" s="1"/>
  <c r="M1010" i="10" s="1"/>
  <c r="Q2279" i="7"/>
  <c r="S2279" i="7" s="1"/>
  <c r="M1025" i="10" s="1"/>
  <c r="Q2203" i="7"/>
  <c r="S2203" i="7" s="1"/>
  <c r="M949" i="10" s="1"/>
  <c r="Q2217" i="7"/>
  <c r="S2217" i="7" s="1"/>
  <c r="M963" i="10" s="1"/>
  <c r="Q2231" i="7"/>
  <c r="S2231" i="7" s="1"/>
  <c r="M977" i="10" s="1"/>
  <c r="Q2154" i="7"/>
  <c r="S2154" i="7" s="1"/>
  <c r="M900" i="10" s="1"/>
  <c r="Q2167" i="7"/>
  <c r="S2167" i="7" s="1"/>
  <c r="M913" i="10" s="1"/>
  <c r="Q2180" i="7"/>
  <c r="S2180" i="7" s="1"/>
  <c r="M926" i="10" s="1"/>
  <c r="Q2193" i="7"/>
  <c r="S2193" i="7" s="1"/>
  <c r="M939" i="10" s="1"/>
  <c r="Q2289" i="7"/>
  <c r="S2289" i="7" s="1"/>
  <c r="M1035" i="10" s="1"/>
  <c r="Q2306" i="7"/>
  <c r="S2306" i="7" s="1"/>
  <c r="M1052" i="10" s="1"/>
  <c r="Q2321" i="7"/>
  <c r="S2321" i="7" s="1"/>
  <c r="M1067" i="10" s="1"/>
  <c r="Q2251" i="7"/>
  <c r="S2251" i="7" s="1"/>
  <c r="M997" i="10" s="1"/>
  <c r="Q2266" i="7"/>
  <c r="S2266" i="7" s="1"/>
  <c r="M1012" i="10" s="1"/>
  <c r="Q2280" i="7"/>
  <c r="S2280" i="7" s="1"/>
  <c r="M1026" i="10" s="1"/>
  <c r="Q2204" i="7"/>
  <c r="S2204" i="7" s="1"/>
  <c r="M950" i="10" s="1"/>
  <c r="Q2218" i="7"/>
  <c r="S2218" i="7" s="1"/>
  <c r="M964" i="10" s="1"/>
  <c r="Q2232" i="7"/>
  <c r="S2232" i="7" s="1"/>
  <c r="M978" i="10" s="1"/>
  <c r="Q2307" i="7"/>
  <c r="S2307" i="7" s="1"/>
  <c r="M1053" i="10" s="1"/>
  <c r="Q2325" i="7"/>
  <c r="S2325" i="7" s="1"/>
  <c r="M1071" i="10" s="1"/>
  <c r="Q2258" i="7"/>
  <c r="S2258" i="7" s="1"/>
  <c r="M1004" i="10" s="1"/>
  <c r="Q2274" i="7"/>
  <c r="S2274" i="7" s="1"/>
  <c r="M1020" i="10" s="1"/>
  <c r="Q2200" i="7"/>
  <c r="S2200" i="7" s="1"/>
  <c r="M946" i="10" s="1"/>
  <c r="Q2219" i="7"/>
  <c r="S2219" i="7" s="1"/>
  <c r="M965" i="10" s="1"/>
  <c r="Q2236" i="7"/>
  <c r="S2236" i="7" s="1"/>
  <c r="M982" i="10" s="1"/>
  <c r="Q2160" i="7"/>
  <c r="S2160" i="7" s="1"/>
  <c r="M906" i="10" s="1"/>
  <c r="Q2174" i="7"/>
  <c r="S2174" i="7" s="1"/>
  <c r="M920" i="10" s="1"/>
  <c r="Q2189" i="7"/>
  <c r="S2189" i="7" s="1"/>
  <c r="M935" i="10" s="1"/>
  <c r="Q2300" i="7"/>
  <c r="S2300" i="7" s="1"/>
  <c r="M1046" i="10" s="1"/>
  <c r="Q2317" i="7"/>
  <c r="S2317" i="7" s="1"/>
  <c r="M1063" i="10" s="1"/>
  <c r="Q2254" i="7"/>
  <c r="S2254" i="7" s="1"/>
  <c r="M1000" i="10" s="1"/>
  <c r="Q2271" i="7"/>
  <c r="S2271" i="7" s="1"/>
  <c r="M1017" i="10" s="1"/>
  <c r="Q2287" i="7"/>
  <c r="S2287" i="7" s="1"/>
  <c r="M1033" i="10" s="1"/>
  <c r="Q2213" i="7"/>
  <c r="S2213" i="7" s="1"/>
  <c r="M959" i="10" s="1"/>
  <c r="Q2230" i="7"/>
  <c r="S2230" i="7" s="1"/>
  <c r="M976" i="10" s="1"/>
  <c r="Q2157" i="7"/>
  <c r="S2157" i="7" s="1"/>
  <c r="M903" i="10" s="1"/>
  <c r="Q2171" i="7"/>
  <c r="S2171" i="7" s="1"/>
  <c r="M917" i="10" s="1"/>
  <c r="Q2185" i="7"/>
  <c r="S2185" i="7" s="1"/>
  <c r="M931" i="10" s="1"/>
  <c r="O1984" i="7"/>
  <c r="O2047" i="7"/>
  <c r="O2067" i="7"/>
  <c r="O2132" i="7"/>
  <c r="Q2172" i="7"/>
  <c r="S2172" i="7" s="1"/>
  <c r="M918" i="10" s="1"/>
  <c r="Q2155" i="7"/>
  <c r="S2155" i="7" s="1"/>
  <c r="M901" i="10" s="1"/>
  <c r="N2215" i="7"/>
  <c r="Q2282" i="7"/>
  <c r="S2282" i="7" s="1"/>
  <c r="M1028" i="10" s="1"/>
  <c r="N2325" i="7"/>
  <c r="N2289" i="7"/>
  <c r="Q2326" i="7"/>
  <c r="S2326" i="7" s="1"/>
  <c r="M1072" i="10" s="1"/>
  <c r="Q2301" i="7"/>
  <c r="S2301" i="7" s="1"/>
  <c r="M1047" i="10" s="1"/>
  <c r="O2316" i="7"/>
  <c r="O2288" i="7"/>
  <c r="O2018" i="7"/>
  <c r="O1999" i="7"/>
  <c r="O1982" i="7"/>
  <c r="P2010" i="7"/>
  <c r="P1990" i="7"/>
  <c r="O2062" i="7"/>
  <c r="O2046" i="7"/>
  <c r="P2057" i="7"/>
  <c r="O2083" i="7"/>
  <c r="P2071" i="7"/>
  <c r="O2147" i="7"/>
  <c r="P2139" i="7"/>
  <c r="Q2188" i="7"/>
  <c r="S2188" i="7" s="1"/>
  <c r="M934" i="10" s="1"/>
  <c r="Q2153" i="7"/>
  <c r="S2153" i="7" s="1"/>
  <c r="M899" i="10" s="1"/>
  <c r="N2239" i="7"/>
  <c r="Q2225" i="7"/>
  <c r="S2225" i="7" s="1"/>
  <c r="M971" i="10" s="1"/>
  <c r="N2266" i="7"/>
  <c r="Q2278" i="7"/>
  <c r="S2278" i="7" s="1"/>
  <c r="M1024" i="10" s="1"/>
  <c r="N2288" i="7"/>
  <c r="Q2126" i="7"/>
  <c r="S2126" i="7" s="1"/>
  <c r="M872" i="10" s="1"/>
  <c r="Q2089" i="7"/>
  <c r="S2089" i="7" s="1"/>
  <c r="M835" i="10" s="1"/>
  <c r="Q2059" i="7"/>
  <c r="S2059" i="7" s="1"/>
  <c r="M805" i="10" s="1"/>
  <c r="R2294" i="7"/>
  <c r="R2308" i="7"/>
  <c r="R2321" i="7"/>
  <c r="R2247" i="7"/>
  <c r="R2260" i="7"/>
  <c r="R2273" i="7"/>
  <c r="R2287" i="7"/>
  <c r="R2202" i="7"/>
  <c r="R2215" i="7"/>
  <c r="R2228" i="7"/>
  <c r="R2241" i="7"/>
  <c r="R2154" i="7"/>
  <c r="R2167" i="7"/>
  <c r="R2180" i="7"/>
  <c r="R2193" i="7"/>
  <c r="R2289" i="7"/>
  <c r="R2303" i="7"/>
  <c r="R2317" i="7"/>
  <c r="R2253" i="7"/>
  <c r="R2267" i="7"/>
  <c r="R2281" i="7"/>
  <c r="R2205" i="7"/>
  <c r="R2219" i="7"/>
  <c r="R2233" i="7"/>
  <c r="R2156" i="7"/>
  <c r="R2170" i="7"/>
  <c r="R2185" i="7"/>
  <c r="R2290" i="7"/>
  <c r="R2304" i="7"/>
  <c r="R2318" i="7"/>
  <c r="R2254" i="7"/>
  <c r="R2268" i="7"/>
  <c r="R2282" i="7"/>
  <c r="R2206" i="7"/>
  <c r="R2220" i="7"/>
  <c r="R2234" i="7"/>
  <c r="R2157" i="7"/>
  <c r="R2171" i="7"/>
  <c r="R2186" i="7"/>
  <c r="R2297" i="7"/>
  <c r="R2313" i="7"/>
  <c r="R2329" i="7"/>
  <c r="R2251" i="7"/>
  <c r="R2269" i="7"/>
  <c r="R2285" i="7"/>
  <c r="R2212" i="7"/>
  <c r="R2229" i="7"/>
  <c r="R2155" i="7"/>
  <c r="R2174" i="7"/>
  <c r="R2190" i="7"/>
  <c r="R2292" i="7"/>
  <c r="R2310" i="7"/>
  <c r="R2326" i="7"/>
  <c r="R2246" i="7"/>
  <c r="R2264" i="7"/>
  <c r="R2280" i="7"/>
  <c r="R2208" i="7"/>
  <c r="R2225" i="7"/>
  <c r="R2242" i="7"/>
  <c r="R2168" i="7"/>
  <c r="R2187" i="7"/>
  <c r="O2016" i="7"/>
  <c r="O1981" i="7"/>
  <c r="P1989" i="7"/>
  <c r="O2045" i="7"/>
  <c r="O2002" i="7"/>
  <c r="O2085" i="7"/>
  <c r="O2149" i="7"/>
  <c r="N2170" i="7"/>
  <c r="Q2207" i="7"/>
  <c r="S2207" i="7" s="1"/>
  <c r="M953" i="10" s="1"/>
  <c r="Q2260" i="7"/>
  <c r="S2260" i="7" s="1"/>
  <c r="M1006" i="10" s="1"/>
  <c r="O2029" i="7"/>
  <c r="P2038" i="7"/>
  <c r="O2065" i="7"/>
  <c r="O2131" i="7"/>
  <c r="P2115" i="7"/>
  <c r="N2168" i="7"/>
  <c r="Q2170" i="7"/>
  <c r="S2170" i="7" s="1"/>
  <c r="M916" i="10" s="1"/>
  <c r="N2213" i="7"/>
  <c r="Q2206" i="7"/>
  <c r="S2206" i="7" s="1"/>
  <c r="M952" i="10" s="1"/>
  <c r="O2252" i="7"/>
  <c r="Q2259" i="7"/>
  <c r="S2259" i="7" s="1"/>
  <c r="M1005" i="10" s="1"/>
  <c r="N2321" i="7"/>
  <c r="Q2324" i="7"/>
  <c r="S2324" i="7" s="1"/>
  <c r="M1070" i="10" s="1"/>
  <c r="O1998" i="7"/>
  <c r="P2007" i="7"/>
  <c r="Q1988" i="7"/>
  <c r="S1988" i="7" s="1"/>
  <c r="M734" i="10" s="1"/>
  <c r="O2061" i="7"/>
  <c r="O2028" i="7"/>
  <c r="P2056" i="7"/>
  <c r="P2037" i="7"/>
  <c r="O2099" i="7"/>
  <c r="O2082" i="7"/>
  <c r="O2064" i="7"/>
  <c r="P2089" i="7"/>
  <c r="P2069" i="7"/>
  <c r="O2146" i="7"/>
  <c r="O2130" i="7"/>
  <c r="O2112" i="7"/>
  <c r="P2135" i="7"/>
  <c r="P2114" i="7"/>
  <c r="N2189" i="7"/>
  <c r="N2167" i="7"/>
  <c r="P2175" i="7"/>
  <c r="Q2186" i="7"/>
  <c r="S2186" i="7" s="1"/>
  <c r="M932" i="10" s="1"/>
  <c r="Q2169" i="7"/>
  <c r="S2169" i="7" s="1"/>
  <c r="M915" i="10" s="1"/>
  <c r="R2197" i="7"/>
  <c r="R2177" i="7"/>
  <c r="R2158" i="7"/>
  <c r="N2237" i="7"/>
  <c r="N2210" i="7"/>
  <c r="P2201" i="7"/>
  <c r="Q2224" i="7"/>
  <c r="S2224" i="7" s="1"/>
  <c r="M970" i="10" s="1"/>
  <c r="Q2205" i="7"/>
  <c r="S2205" i="7" s="1"/>
  <c r="M951" i="10" s="1"/>
  <c r="R2227" i="7"/>
  <c r="R2207" i="7"/>
  <c r="N2264" i="7"/>
  <c r="P2286" i="7"/>
  <c r="Q2276" i="7"/>
  <c r="S2276" i="7" s="1"/>
  <c r="M1022" i="10" s="1"/>
  <c r="Q2257" i="7"/>
  <c r="S2257" i="7" s="1"/>
  <c r="M1003" i="10" s="1"/>
  <c r="R2279" i="7"/>
  <c r="R2259" i="7"/>
  <c r="N2316" i="7"/>
  <c r="O2323" i="7"/>
  <c r="Q2322" i="7"/>
  <c r="S2322" i="7" s="1"/>
  <c r="M1068" i="10" s="1"/>
  <c r="Q2297" i="7"/>
  <c r="S2297" i="7" s="1"/>
  <c r="M1043" i="10" s="1"/>
  <c r="R2322" i="7"/>
  <c r="R2300" i="7"/>
  <c r="M2114" i="7"/>
  <c r="M2126" i="7"/>
  <c r="M2138" i="7"/>
  <c r="M2150" i="7"/>
  <c r="M2069" i="7"/>
  <c r="M2081" i="7"/>
  <c r="M2093" i="7"/>
  <c r="M2105" i="7"/>
  <c r="M2029" i="7"/>
  <c r="M2041" i="7"/>
  <c r="M2053" i="7"/>
  <c r="M1978" i="7"/>
  <c r="M1990" i="7"/>
  <c r="M2002" i="7"/>
  <c r="M2014" i="7"/>
  <c r="M2111" i="7"/>
  <c r="M2124" i="7"/>
  <c r="M2137" i="7"/>
  <c r="M2151" i="7"/>
  <c r="M2067" i="7"/>
  <c r="M2080" i="7"/>
  <c r="M2094" i="7"/>
  <c r="M2107" i="7"/>
  <c r="M2030" i="7"/>
  <c r="M2043" i="7"/>
  <c r="M2056" i="7"/>
  <c r="M1980" i="7"/>
  <c r="M1993" i="7"/>
  <c r="M2006" i="7"/>
  <c r="M2121" i="7"/>
  <c r="M2134" i="7"/>
  <c r="M2147" i="7"/>
  <c r="M2064" i="7"/>
  <c r="M2077" i="7"/>
  <c r="M2090" i="7"/>
  <c r="M2103" i="7"/>
  <c r="M2026" i="7"/>
  <c r="M2039" i="7"/>
  <c r="M2052" i="7"/>
  <c r="M1976" i="7"/>
  <c r="M1989" i="7"/>
  <c r="M2011" i="7"/>
  <c r="M1997" i="7"/>
  <c r="M1982" i="7"/>
  <c r="O2014" i="7"/>
  <c r="O1996" i="7"/>
  <c r="O1980" i="7"/>
  <c r="P2006" i="7"/>
  <c r="P1988" i="7"/>
  <c r="M2055" i="7"/>
  <c r="M2038" i="7"/>
  <c r="M2023" i="7"/>
  <c r="O2060" i="7"/>
  <c r="O2043" i="7"/>
  <c r="O2026" i="7"/>
  <c r="P2053" i="7"/>
  <c r="P2033" i="7"/>
  <c r="M2098" i="7"/>
  <c r="M2083" i="7"/>
  <c r="M2066" i="7"/>
  <c r="O2097" i="7"/>
  <c r="O2080" i="7"/>
  <c r="P2108" i="7"/>
  <c r="P2088" i="7"/>
  <c r="P2066" i="7"/>
  <c r="M2146" i="7"/>
  <c r="M2131" i="7"/>
  <c r="M2116" i="7"/>
  <c r="O2145" i="7"/>
  <c r="O2129" i="7"/>
  <c r="O2111" i="7"/>
  <c r="P2133" i="7"/>
  <c r="P2112" i="7"/>
  <c r="N2188" i="7"/>
  <c r="N2166" i="7"/>
  <c r="P2173" i="7"/>
  <c r="Q2184" i="7"/>
  <c r="S2184" i="7" s="1"/>
  <c r="M930" i="10" s="1"/>
  <c r="Q2168" i="7"/>
  <c r="S2168" i="7" s="1"/>
  <c r="M914" i="10" s="1"/>
  <c r="R2195" i="7"/>
  <c r="R2176" i="7"/>
  <c r="R2153" i="7"/>
  <c r="N2234" i="7"/>
  <c r="N2208" i="7"/>
  <c r="Q2242" i="7"/>
  <c r="S2242" i="7" s="1"/>
  <c r="M988" i="10" s="1"/>
  <c r="Q2223" i="7"/>
  <c r="S2223" i="7" s="1"/>
  <c r="M969" i="10" s="1"/>
  <c r="Q2201" i="7"/>
  <c r="S2201" i="7" s="1"/>
  <c r="M947" i="10" s="1"/>
  <c r="R2226" i="7"/>
  <c r="R2204" i="7"/>
  <c r="N2263" i="7"/>
  <c r="P2285" i="7"/>
  <c r="Q2275" i="7"/>
  <c r="S2275" i="7" s="1"/>
  <c r="M1021" i="10" s="1"/>
  <c r="Q2256" i="7"/>
  <c r="S2256" i="7" s="1"/>
  <c r="M1002" i="10" s="1"/>
  <c r="R2278" i="7"/>
  <c r="R2258" i="7"/>
  <c r="N2315" i="7"/>
  <c r="P2330" i="7"/>
  <c r="Q2316" i="7"/>
  <c r="S2316" i="7" s="1"/>
  <c r="M1062" i="10" s="1"/>
  <c r="Q2296" i="7"/>
  <c r="S2296" i="7" s="1"/>
  <c r="M1042" i="10" s="1"/>
  <c r="R2320" i="7"/>
  <c r="R2299" i="7"/>
  <c r="E15" i="5"/>
  <c r="K30" i="3"/>
  <c r="N2112" i="7"/>
  <c r="N2123" i="7"/>
  <c r="N2141" i="7"/>
  <c r="N2082" i="7"/>
  <c r="N2101" i="7"/>
  <c r="N2026" i="7"/>
  <c r="N2045" i="7"/>
  <c r="N2062" i="7"/>
  <c r="N1992" i="7"/>
  <c r="N2008" i="7"/>
  <c r="R1984" i="7"/>
  <c r="R2140" i="7"/>
  <c r="F2264" i="7"/>
  <c r="F2276" i="7"/>
  <c r="F2288" i="7"/>
  <c r="F2300" i="7"/>
  <c r="F2312" i="7"/>
  <c r="F2324" i="7"/>
  <c r="F2008" i="7"/>
  <c r="F2020" i="7"/>
  <c r="F2032" i="7"/>
  <c r="F2044" i="7"/>
  <c r="F2056" i="7"/>
  <c r="F2068" i="7"/>
  <c r="F2080" i="7"/>
  <c r="F2092" i="7"/>
  <c r="F2104" i="7"/>
  <c r="F2116" i="7"/>
  <c r="F2128" i="7"/>
  <c r="F2140" i="7"/>
  <c r="F2152" i="7"/>
  <c r="F2163" i="7"/>
  <c r="F2265" i="7"/>
  <c r="F2277" i="7"/>
  <c r="F2289" i="7"/>
  <c r="F2301" i="7"/>
  <c r="F2313" i="7"/>
  <c r="F2325" i="7"/>
  <c r="F2256" i="7"/>
  <c r="F2268" i="7"/>
  <c r="F2280" i="7"/>
  <c r="F2292" i="7"/>
  <c r="F2304" i="7"/>
  <c r="F2316" i="7"/>
  <c r="F2328" i="7"/>
  <c r="F2012" i="7"/>
  <c r="F2024" i="7"/>
  <c r="F2036" i="7"/>
  <c r="F2048" i="7"/>
  <c r="F2060" i="7"/>
  <c r="F2072" i="7"/>
  <c r="F2084" i="7"/>
  <c r="F2096" i="7"/>
  <c r="F2108" i="7"/>
  <c r="F2120" i="7"/>
  <c r="F2132" i="7"/>
  <c r="F2144" i="7"/>
  <c r="F2155" i="7"/>
  <c r="F2167" i="7"/>
  <c r="F2179" i="7"/>
  <c r="F2191" i="7"/>
  <c r="F2203" i="7"/>
  <c r="F2215" i="7"/>
  <c r="F2227" i="7"/>
  <c r="F2239" i="7"/>
  <c r="F2251" i="7"/>
  <c r="F1977" i="7"/>
  <c r="F1989" i="7"/>
  <c r="F2001" i="7"/>
  <c r="F2257" i="7"/>
  <c r="F2269" i="7"/>
  <c r="F2281" i="7"/>
  <c r="F2293" i="7"/>
  <c r="F2305" i="7"/>
  <c r="F2317" i="7"/>
  <c r="F2329" i="7"/>
  <c r="F2013" i="7"/>
  <c r="F2025" i="7"/>
  <c r="F2037" i="7"/>
  <c r="F2049" i="7"/>
  <c r="F2258" i="7"/>
  <c r="F2270" i="7"/>
  <c r="F2282" i="7"/>
  <c r="F2294" i="7"/>
  <c r="F2306" i="7"/>
  <c r="F2318" i="7"/>
  <c r="F2330" i="7"/>
  <c r="F2014" i="7"/>
  <c r="F2026" i="7"/>
  <c r="F2038" i="7"/>
  <c r="F2050" i="7"/>
  <c r="F2062" i="7"/>
  <c r="F2259" i="7"/>
  <c r="F2271" i="7"/>
  <c r="F2283" i="7"/>
  <c r="F2295" i="7"/>
  <c r="F2307" i="7"/>
  <c r="F2319" i="7"/>
  <c r="F2331" i="7"/>
  <c r="F2015" i="7"/>
  <c r="F2027" i="7"/>
  <c r="F2039" i="7"/>
  <c r="F2051" i="7"/>
  <c r="F2063" i="7"/>
  <c r="F2075" i="7"/>
  <c r="F2087" i="7"/>
  <c r="F2099" i="7"/>
  <c r="F2111" i="7"/>
  <c r="F2123" i="7"/>
  <c r="F2135" i="7"/>
  <c r="F2260" i="7"/>
  <c r="F2272" i="7"/>
  <c r="F2284" i="7"/>
  <c r="F2296" i="7"/>
  <c r="F2308" i="7"/>
  <c r="F2320" i="7"/>
  <c r="F2004" i="7"/>
  <c r="F2016" i="7"/>
  <c r="F2028" i="7"/>
  <c r="F2040" i="7"/>
  <c r="F2052" i="7"/>
  <c r="F2064" i="7"/>
  <c r="F2076" i="7"/>
  <c r="F2088" i="7"/>
  <c r="F2100" i="7"/>
  <c r="F2112" i="7"/>
  <c r="F2124" i="7"/>
  <c r="F2136" i="7"/>
  <c r="F2148" i="7"/>
  <c r="F2159" i="7"/>
  <c r="F2171" i="7"/>
  <c r="F2183" i="7"/>
  <c r="F2195" i="7"/>
  <c r="F2207" i="7"/>
  <c r="F2219" i="7"/>
  <c r="F2231" i="7"/>
  <c r="F2243" i="7"/>
  <c r="F1981" i="7"/>
  <c r="F1993" i="7"/>
  <c r="F2261" i="7"/>
  <c r="F2287" i="7"/>
  <c r="F2315" i="7"/>
  <c r="F2017" i="7"/>
  <c r="F2041" i="7"/>
  <c r="F2061" i="7"/>
  <c r="F2081" i="7"/>
  <c r="F2098" i="7"/>
  <c r="F2117" i="7"/>
  <c r="F2134" i="7"/>
  <c r="F2151" i="7"/>
  <c r="F2166" i="7"/>
  <c r="F2181" i="7"/>
  <c r="F2262" i="7"/>
  <c r="F2290" i="7"/>
  <c r="F2321" i="7"/>
  <c r="F2018" i="7"/>
  <c r="F2042" i="7"/>
  <c r="F2065" i="7"/>
  <c r="F2082" i="7"/>
  <c r="F2101" i="7"/>
  <c r="F2118" i="7"/>
  <c r="F2137" i="7"/>
  <c r="F2168" i="7"/>
  <c r="F2182" i="7"/>
  <c r="F2197" i="7"/>
  <c r="F2211" i="7"/>
  <c r="F2225" i="7"/>
  <c r="F2240" i="7"/>
  <c r="F2255" i="7"/>
  <c r="F2286" i="7"/>
  <c r="F2314" i="7"/>
  <c r="F2011" i="7"/>
  <c r="F2035" i="7"/>
  <c r="F2059" i="7"/>
  <c r="F2079" i="7"/>
  <c r="F2097" i="7"/>
  <c r="F2115" i="7"/>
  <c r="F2133" i="7"/>
  <c r="F2150" i="7"/>
  <c r="F2165" i="7"/>
  <c r="F2180" i="7"/>
  <c r="F2194" i="7"/>
  <c r="F2209" i="7"/>
  <c r="F2223" i="7"/>
  <c r="F2237" i="7"/>
  <c r="F2252" i="7"/>
  <c r="F1980" i="7"/>
  <c r="F1995" i="7"/>
  <c r="F2279" i="7"/>
  <c r="F2323" i="7"/>
  <c r="F2029" i="7"/>
  <c r="F2057" i="7"/>
  <c r="F2085" i="7"/>
  <c r="F2107" i="7"/>
  <c r="F2130" i="7"/>
  <c r="F2153" i="7"/>
  <c r="F2173" i="7"/>
  <c r="F2190" i="7"/>
  <c r="F2208" i="7"/>
  <c r="F2226" i="7"/>
  <c r="F2244" i="7"/>
  <c r="F1976" i="7"/>
  <c r="F1992" i="7"/>
  <c r="F2285" i="7"/>
  <c r="F2326" i="7"/>
  <c r="F2030" i="7"/>
  <c r="F2058" i="7"/>
  <c r="F2086" i="7"/>
  <c r="F2109" i="7"/>
  <c r="F2131" i="7"/>
  <c r="F2154" i="7"/>
  <c r="F2174" i="7"/>
  <c r="F2192" i="7"/>
  <c r="F2210" i="7"/>
  <c r="F2228" i="7"/>
  <c r="F2245" i="7"/>
  <c r="F1978" i="7"/>
  <c r="F1994" i="7"/>
  <c r="F2291" i="7"/>
  <c r="F2327" i="7"/>
  <c r="F2031" i="7"/>
  <c r="F2066" i="7"/>
  <c r="F2089" i="7"/>
  <c r="F2110" i="7"/>
  <c r="F2138" i="7"/>
  <c r="F2156" i="7"/>
  <c r="F2175" i="7"/>
  <c r="F2193" i="7"/>
  <c r="F2212" i="7"/>
  <c r="F2229" i="7"/>
  <c r="F2246" i="7"/>
  <c r="F1979" i="7"/>
  <c r="F1996" i="7"/>
  <c r="F2263" i="7"/>
  <c r="F2299" i="7"/>
  <c r="F2007" i="7"/>
  <c r="F2043" i="7"/>
  <c r="F2070" i="7"/>
  <c r="F2093" i="7"/>
  <c r="F2119" i="7"/>
  <c r="F2142" i="7"/>
  <c r="F2160" i="7"/>
  <c r="F2178" i="7"/>
  <c r="F2199" i="7"/>
  <c r="F2216" i="7"/>
  <c r="F2233" i="7"/>
  <c r="F2249" i="7"/>
  <c r="F1984" i="7"/>
  <c r="F1999" i="7"/>
  <c r="F2266" i="7"/>
  <c r="F2302" i="7"/>
  <c r="F2009" i="7"/>
  <c r="F2045" i="7"/>
  <c r="F2071" i="7"/>
  <c r="F2094" i="7"/>
  <c r="F2121" i="7"/>
  <c r="F2143" i="7"/>
  <c r="F2161" i="7"/>
  <c r="F2184" i="7"/>
  <c r="F2200" i="7"/>
  <c r="F2217" i="7"/>
  <c r="F2234" i="7"/>
  <c r="F2250" i="7"/>
  <c r="F1985" i="7"/>
  <c r="F2000" i="7"/>
  <c r="F2267" i="7"/>
  <c r="F2303" i="7"/>
  <c r="F2010" i="7"/>
  <c r="F2046" i="7"/>
  <c r="F2073" i="7"/>
  <c r="F2095" i="7"/>
  <c r="F2122" i="7"/>
  <c r="F2145" i="7"/>
  <c r="F2162" i="7"/>
  <c r="F2185" i="7"/>
  <c r="F2201" i="7"/>
  <c r="F2218" i="7"/>
  <c r="F2235" i="7"/>
  <c r="F2253" i="7"/>
  <c r="F1986" i="7"/>
  <c r="F2002" i="7"/>
  <c r="F2273" i="7"/>
  <c r="F2309" i="7"/>
  <c r="F2019" i="7"/>
  <c r="F2047" i="7"/>
  <c r="F2074" i="7"/>
  <c r="F2102" i="7"/>
  <c r="F2125" i="7"/>
  <c r="F2146" i="7"/>
  <c r="F2164" i="7"/>
  <c r="F2186" i="7"/>
  <c r="F2202" i="7"/>
  <c r="F2220" i="7"/>
  <c r="F2236" i="7"/>
  <c r="F1987" i="7"/>
  <c r="F2003" i="7"/>
  <c r="F2274" i="7"/>
  <c r="F2310" i="7"/>
  <c r="F2021" i="7"/>
  <c r="F2053" i="7"/>
  <c r="F2077" i="7"/>
  <c r="F2103" i="7"/>
  <c r="F2126" i="7"/>
  <c r="F2147" i="7"/>
  <c r="F2169" i="7"/>
  <c r="F2187" i="7"/>
  <c r="F2204" i="7"/>
  <c r="F2221" i="7"/>
  <c r="F2238" i="7"/>
  <c r="F1988" i="7"/>
  <c r="F2275" i="7"/>
  <c r="F2311" i="7"/>
  <c r="F2022" i="7"/>
  <c r="F2054" i="7"/>
  <c r="F2078" i="7"/>
  <c r="F2105" i="7"/>
  <c r="F2127" i="7"/>
  <c r="F2149" i="7"/>
  <c r="F2170" i="7"/>
  <c r="F2188" i="7"/>
  <c r="F2205" i="7"/>
  <c r="F2222" i="7"/>
  <c r="F2241" i="7"/>
  <c r="F1974" i="7"/>
  <c r="F1990" i="7"/>
  <c r="F2278" i="7"/>
  <c r="F2322" i="7"/>
  <c r="F2023" i="7"/>
  <c r="F2055" i="7"/>
  <c r="F2083" i="7"/>
  <c r="F2106" i="7"/>
  <c r="F2129" i="7"/>
  <c r="F2172" i="7"/>
  <c r="F2189" i="7"/>
  <c r="F2206" i="7"/>
  <c r="F2224" i="7"/>
  <c r="F2242" i="7"/>
  <c r="F1975" i="7"/>
  <c r="F1991" i="7"/>
  <c r="F2091" i="7"/>
  <c r="F2213" i="7"/>
  <c r="F1997" i="7"/>
  <c r="F2113" i="7"/>
  <c r="F2214" i="7"/>
  <c r="F1998" i="7"/>
  <c r="F2254" i="7"/>
  <c r="F2114" i="7"/>
  <c r="F2230" i="7"/>
  <c r="F2297" i="7"/>
  <c r="F2139" i="7"/>
  <c r="F2232" i="7"/>
  <c r="F2298" i="7"/>
  <c r="F2141" i="7"/>
  <c r="F2247" i="7"/>
  <c r="F2005" i="7"/>
  <c r="F2248" i="7"/>
  <c r="F2006" i="7"/>
  <c r="F2157" i="7"/>
  <c r="F2033" i="7"/>
  <c r="F2158" i="7"/>
  <c r="F2034" i="7"/>
  <c r="F2176" i="7"/>
  <c r="F2067" i="7"/>
  <c r="F2177" i="7"/>
  <c r="F2069" i="7"/>
  <c r="F2196" i="7"/>
  <c r="F1982" i="7"/>
  <c r="F2090" i="7"/>
  <c r="F2198" i="7"/>
  <c r="F1983" i="7"/>
  <c r="Q1997" i="7"/>
  <c r="S1997" i="7" s="1"/>
  <c r="M743" i="10" s="1"/>
  <c r="Q1976" i="7"/>
  <c r="S1976" i="7" s="1"/>
  <c r="M722" i="10" s="1"/>
  <c r="R1999" i="7"/>
  <c r="R1978" i="7"/>
  <c r="Q2047" i="7"/>
  <c r="S2047" i="7" s="1"/>
  <c r="M793" i="10" s="1"/>
  <c r="Q2027" i="7"/>
  <c r="S2027" i="7" s="1"/>
  <c r="M773" i="10" s="1"/>
  <c r="R2048" i="7"/>
  <c r="R2028" i="7"/>
  <c r="Q2102" i="7"/>
  <c r="S2102" i="7" s="1"/>
  <c r="M848" i="10" s="1"/>
  <c r="Q2077" i="7"/>
  <c r="S2077" i="7" s="1"/>
  <c r="M823" i="10" s="1"/>
  <c r="R2099" i="7"/>
  <c r="R2074" i="7"/>
  <c r="Q2138" i="7"/>
  <c r="S2138" i="7" s="1"/>
  <c r="M884" i="10" s="1"/>
  <c r="Q2112" i="7"/>
  <c r="S2112" i="7" s="1"/>
  <c r="M858" i="10" s="1"/>
  <c r="R2129" i="7"/>
  <c r="O2177" i="7"/>
  <c r="P2193" i="7"/>
  <c r="P2170" i="7"/>
  <c r="O2239" i="7"/>
  <c r="O2214" i="7"/>
  <c r="P2231" i="7"/>
  <c r="P2203" i="7"/>
  <c r="O2264" i="7"/>
  <c r="P2282" i="7"/>
  <c r="P2251" i="7"/>
  <c r="O2305" i="7"/>
  <c r="P2317" i="7"/>
  <c r="O16" i="5"/>
  <c r="L16" i="5"/>
  <c r="AJ16" i="5"/>
  <c r="BH16" i="5"/>
  <c r="CF16" i="5"/>
  <c r="DD16" i="5"/>
  <c r="EB16" i="5"/>
  <c r="EZ16" i="5"/>
  <c r="FX16" i="5"/>
  <c r="GV16" i="5"/>
  <c r="M16" i="5"/>
  <c r="AL16" i="5"/>
  <c r="BQ16" i="5"/>
  <c r="CP16" i="5"/>
  <c r="DO16" i="5"/>
  <c r="EN16" i="5"/>
  <c r="FM16" i="5"/>
  <c r="GL16" i="5"/>
  <c r="AH16" i="5"/>
  <c r="BI16" i="5"/>
  <c r="CO16" i="5"/>
  <c r="DP16" i="5"/>
  <c r="EP16" i="5"/>
  <c r="FV16" i="5"/>
  <c r="GW16" i="5"/>
  <c r="AG16" i="5"/>
  <c r="BJ16" i="5"/>
  <c r="CR16" i="5"/>
  <c r="DY16" i="5"/>
  <c r="FA16" i="5"/>
  <c r="GH16" i="5"/>
  <c r="N16" i="5"/>
  <c r="AU16" i="5"/>
  <c r="BV16" i="5"/>
  <c r="DC16" i="5"/>
  <c r="EK16" i="5"/>
  <c r="FL16" i="5"/>
  <c r="GT16" i="5"/>
  <c r="X16" i="5"/>
  <c r="BE16" i="5"/>
  <c r="CG16" i="5"/>
  <c r="DN16" i="5"/>
  <c r="EW16" i="5"/>
  <c r="FY16" i="5"/>
  <c r="U16" i="5"/>
  <c r="BF16" i="5"/>
  <c r="CT16" i="5"/>
  <c r="EL16" i="5"/>
  <c r="FZ16" i="5"/>
  <c r="Y16" i="5"/>
  <c r="BS16" i="5"/>
  <c r="DE16" i="5"/>
  <c r="EX16" i="5"/>
  <c r="GJ16" i="5"/>
  <c r="Z16" i="5"/>
  <c r="BT16" i="5"/>
  <c r="DF16" i="5"/>
  <c r="EY16" i="5"/>
  <c r="GK16" i="5"/>
  <c r="AI16" i="5"/>
  <c r="BU16" i="5"/>
  <c r="DM16" i="5"/>
  <c r="FB16" i="5"/>
  <c r="GS16" i="5"/>
  <c r="K16" i="5"/>
  <c r="ED16" i="5"/>
  <c r="CD16" i="5"/>
  <c r="AQ20" i="5"/>
  <c r="CO20" i="5"/>
  <c r="FJ20" i="5"/>
  <c r="CD20" i="5"/>
  <c r="EW20" i="5"/>
  <c r="AT20" i="5"/>
  <c r="DW20" i="5"/>
  <c r="DL20" i="5"/>
  <c r="GS20" i="5"/>
  <c r="BG20" i="5"/>
  <c r="EV20" i="5"/>
  <c r="CP20" i="5"/>
  <c r="FW20" i="5"/>
  <c r="EJ20" i="5"/>
  <c r="AG20" i="5"/>
  <c r="FK20" i="5"/>
  <c r="AU20" i="5"/>
  <c r="FS20" i="5"/>
  <c r="BD20" i="5"/>
  <c r="FV20" i="5"/>
  <c r="CC20" i="5"/>
  <c r="GU16" i="5"/>
  <c r="EC16" i="5"/>
  <c r="CC16" i="5"/>
  <c r="BP20" i="5"/>
  <c r="Q1996" i="7"/>
  <c r="S1996" i="7" s="1"/>
  <c r="M742" i="10" s="1"/>
  <c r="Q1975" i="7"/>
  <c r="S1975" i="7" s="1"/>
  <c r="M721" i="10" s="1"/>
  <c r="R1997" i="7"/>
  <c r="R1977" i="7"/>
  <c r="Q2046" i="7"/>
  <c r="S2046" i="7" s="1"/>
  <c r="M792" i="10" s="1"/>
  <c r="Q2023" i="7"/>
  <c r="S2023" i="7" s="1"/>
  <c r="M769" i="10" s="1"/>
  <c r="R2047" i="7"/>
  <c r="R2023" i="7"/>
  <c r="Q2101" i="7"/>
  <c r="S2101" i="7" s="1"/>
  <c r="M847" i="10" s="1"/>
  <c r="Q2074" i="7"/>
  <c r="S2074" i="7" s="1"/>
  <c r="M820" i="10" s="1"/>
  <c r="R2098" i="7"/>
  <c r="R2071" i="7"/>
  <c r="Q2136" i="7"/>
  <c r="S2136" i="7" s="1"/>
  <c r="M882" i="10" s="1"/>
  <c r="Q2111" i="7"/>
  <c r="S2111" i="7" s="1"/>
  <c r="M857" i="10" s="1"/>
  <c r="R2128" i="7"/>
  <c r="O2172" i="7"/>
  <c r="O2237" i="7"/>
  <c r="O2213" i="7"/>
  <c r="O2260" i="7"/>
  <c r="O2303" i="7"/>
  <c r="Q2017" i="7"/>
  <c r="S2017" i="7" s="1"/>
  <c r="M763" i="10" s="1"/>
  <c r="Q1993" i="7"/>
  <c r="S1993" i="7" s="1"/>
  <c r="M739" i="10" s="1"/>
  <c r="Q1974" i="7"/>
  <c r="S1974" i="7" s="1"/>
  <c r="M720" i="10" s="1"/>
  <c r="R1995" i="7"/>
  <c r="R1976" i="7"/>
  <c r="Q2044" i="7"/>
  <c r="S2044" i="7" s="1"/>
  <c r="M790" i="10" s="1"/>
  <c r="Q2022" i="7"/>
  <c r="S2022" i="7" s="1"/>
  <c r="M768" i="10" s="1"/>
  <c r="R2046" i="7"/>
  <c r="R2021" i="7"/>
  <c r="Q2099" i="7"/>
  <c r="S2099" i="7" s="1"/>
  <c r="M845" i="10" s="1"/>
  <c r="Q2073" i="7"/>
  <c r="S2073" i="7" s="1"/>
  <c r="M819" i="10" s="1"/>
  <c r="R2096" i="7"/>
  <c r="R2070" i="7"/>
  <c r="Q2133" i="7"/>
  <c r="S2133" i="7" s="1"/>
  <c r="M879" i="10" s="1"/>
  <c r="Q2110" i="7"/>
  <c r="S2110" i="7" s="1"/>
  <c r="M856" i="10" s="1"/>
  <c r="R2125" i="7"/>
  <c r="O2170" i="7"/>
  <c r="O2235" i="7"/>
  <c r="O2212" i="7"/>
  <c r="O2258" i="7"/>
  <c r="O2329" i="7"/>
  <c r="O2302" i="7"/>
  <c r="P2291" i="7"/>
  <c r="P2303" i="7"/>
  <c r="P2315" i="7"/>
  <c r="P2327" i="7"/>
  <c r="P2244" i="7"/>
  <c r="P2256" i="7"/>
  <c r="P2268" i="7"/>
  <c r="P2280" i="7"/>
  <c r="P2205" i="7"/>
  <c r="P2217" i="7"/>
  <c r="P2229" i="7"/>
  <c r="P2241" i="7"/>
  <c r="P2154" i="7"/>
  <c r="P2166" i="7"/>
  <c r="P2178" i="7"/>
  <c r="P2190" i="7"/>
  <c r="P2300" i="7"/>
  <c r="P2313" i="7"/>
  <c r="P2326" i="7"/>
  <c r="P2296" i="7"/>
  <c r="P2310" i="7"/>
  <c r="P2324" i="7"/>
  <c r="P2253" i="7"/>
  <c r="P2266" i="7"/>
  <c r="P2279" i="7"/>
  <c r="P2210" i="7"/>
  <c r="P2223" i="7"/>
  <c r="P2236" i="7"/>
  <c r="P2290" i="7"/>
  <c r="P2306" i="7"/>
  <c r="P2321" i="7"/>
  <c r="P2245" i="7"/>
  <c r="P2259" i="7"/>
  <c r="P2273" i="7"/>
  <c r="P2287" i="7"/>
  <c r="P2199" i="7"/>
  <c r="P2213" i="7"/>
  <c r="P2227" i="7"/>
  <c r="P2242" i="7"/>
  <c r="P2158" i="7"/>
  <c r="P2171" i="7"/>
  <c r="P2184" i="7"/>
  <c r="P2197" i="7"/>
  <c r="P2297" i="7"/>
  <c r="P2312" i="7"/>
  <c r="P2329" i="7"/>
  <c r="P2250" i="7"/>
  <c r="P2264" i="7"/>
  <c r="P2278" i="7"/>
  <c r="P2204" i="7"/>
  <c r="P2219" i="7"/>
  <c r="P2233" i="7"/>
  <c r="P2163" i="7"/>
  <c r="P2176" i="7"/>
  <c r="P2189" i="7"/>
  <c r="P2302" i="7"/>
  <c r="P2318" i="7"/>
  <c r="P2255" i="7"/>
  <c r="P2270" i="7"/>
  <c r="P2284" i="7"/>
  <c r="P2209" i="7"/>
  <c r="P2224" i="7"/>
  <c r="P2238" i="7"/>
  <c r="P2155" i="7"/>
  <c r="P2168" i="7"/>
  <c r="P2181" i="7"/>
  <c r="P2194" i="7"/>
  <c r="P2294" i="7"/>
  <c r="P2316" i="7"/>
  <c r="P2249" i="7"/>
  <c r="P2269" i="7"/>
  <c r="P2211" i="7"/>
  <c r="P2230" i="7"/>
  <c r="P2161" i="7"/>
  <c r="P2179" i="7"/>
  <c r="P2196" i="7"/>
  <c r="P2299" i="7"/>
  <c r="P2320" i="7"/>
  <c r="P2254" i="7"/>
  <c r="P2274" i="7"/>
  <c r="P2215" i="7"/>
  <c r="P2234" i="7"/>
  <c r="P2165" i="7"/>
  <c r="P2183" i="7"/>
  <c r="P2304" i="7"/>
  <c r="P2276" i="7"/>
  <c r="P2200" i="7"/>
  <c r="P2237" i="7"/>
  <c r="P2301" i="7"/>
  <c r="P2322" i="7"/>
  <c r="P2257" i="7"/>
  <c r="P2275" i="7"/>
  <c r="P2198" i="7"/>
  <c r="P2216" i="7"/>
  <c r="P2235" i="7"/>
  <c r="P2167" i="7"/>
  <c r="P2185" i="7"/>
  <c r="P2323" i="7"/>
  <c r="P2258" i="7"/>
  <c r="P2218" i="7"/>
  <c r="P2169" i="7"/>
  <c r="P2186" i="7"/>
  <c r="Q2003" i="7"/>
  <c r="S2003" i="7" s="1"/>
  <c r="M749" i="10" s="1"/>
  <c r="Q2030" i="7"/>
  <c r="S2030" i="7" s="1"/>
  <c r="M776" i="10" s="1"/>
  <c r="Q2083" i="7"/>
  <c r="S2083" i="7" s="1"/>
  <c r="M829" i="10" s="1"/>
  <c r="Q2145" i="7"/>
  <c r="S2145" i="7" s="1"/>
  <c r="M891" i="10" s="1"/>
  <c r="Q2116" i="7"/>
  <c r="S2116" i="7" s="1"/>
  <c r="M862" i="10" s="1"/>
  <c r="O2180" i="7"/>
  <c r="O2153" i="7"/>
  <c r="O2217" i="7"/>
  <c r="O2311" i="7"/>
  <c r="Q2011" i="7"/>
  <c r="S2011" i="7" s="1"/>
  <c r="M757" i="10" s="1"/>
  <c r="Q1991" i="7"/>
  <c r="S1991" i="7" s="1"/>
  <c r="M737" i="10" s="1"/>
  <c r="R2013" i="7"/>
  <c r="R1993" i="7"/>
  <c r="Q2061" i="7"/>
  <c r="S2061" i="7" s="1"/>
  <c r="M807" i="10" s="1"/>
  <c r="Q2042" i="7"/>
  <c r="S2042" i="7" s="1"/>
  <c r="M788" i="10" s="1"/>
  <c r="R2063" i="7"/>
  <c r="R2044" i="7"/>
  <c r="Q2093" i="7"/>
  <c r="S2093" i="7" s="1"/>
  <c r="M839" i="10" s="1"/>
  <c r="Q2070" i="7"/>
  <c r="S2070" i="7" s="1"/>
  <c r="M816" i="10" s="1"/>
  <c r="R2090" i="7"/>
  <c r="R2067" i="7"/>
  <c r="Q2130" i="7"/>
  <c r="S2130" i="7" s="1"/>
  <c r="M876" i="10" s="1"/>
  <c r="R2147" i="7"/>
  <c r="O2195" i="7"/>
  <c r="O2166" i="7"/>
  <c r="P2187" i="7"/>
  <c r="P2159" i="7"/>
  <c r="O2231" i="7"/>
  <c r="O2204" i="7"/>
  <c r="P2222" i="7"/>
  <c r="O2282" i="7"/>
  <c r="O2255" i="7"/>
  <c r="P2271" i="7"/>
  <c r="P2243" i="7"/>
  <c r="O2327" i="7"/>
  <c r="O2293" i="7"/>
  <c r="P2308" i="7"/>
  <c r="FW16" i="5"/>
  <c r="DR16" i="5"/>
  <c r="AX16" i="5"/>
  <c r="GR20" i="5"/>
  <c r="Q1979" i="7"/>
  <c r="S1979" i="7" s="1"/>
  <c r="M725" i="10" s="1"/>
  <c r="Q2050" i="7"/>
  <c r="S2050" i="7" s="1"/>
  <c r="M796" i="10" s="1"/>
  <c r="Q2105" i="7"/>
  <c r="S2105" i="7" s="1"/>
  <c r="M851" i="10" s="1"/>
  <c r="O2272" i="7"/>
  <c r="R2109" i="7"/>
  <c r="R2121" i="7"/>
  <c r="R2133" i="7"/>
  <c r="R2145" i="7"/>
  <c r="R2113" i="7"/>
  <c r="R2126" i="7"/>
  <c r="R2139" i="7"/>
  <c r="R2152" i="7"/>
  <c r="R2064" i="7"/>
  <c r="R2076" i="7"/>
  <c r="R2088" i="7"/>
  <c r="R2100" i="7"/>
  <c r="R2025" i="7"/>
  <c r="R2037" i="7"/>
  <c r="R2049" i="7"/>
  <c r="R2061" i="7"/>
  <c r="R1974" i="7"/>
  <c r="R1986" i="7"/>
  <c r="R1998" i="7"/>
  <c r="R2010" i="7"/>
  <c r="I13" i="17"/>
  <c r="R2118" i="7"/>
  <c r="R2131" i="7"/>
  <c r="R2144" i="7"/>
  <c r="R2069" i="7"/>
  <c r="R2081" i="7"/>
  <c r="R2093" i="7"/>
  <c r="R2105" i="7"/>
  <c r="R2030" i="7"/>
  <c r="R2042" i="7"/>
  <c r="R2054" i="7"/>
  <c r="R1979" i="7"/>
  <c r="R1991" i="7"/>
  <c r="R2003" i="7"/>
  <c r="R2015" i="7"/>
  <c r="R2110" i="7"/>
  <c r="R2123" i="7"/>
  <c r="R2136" i="7"/>
  <c r="R2149" i="7"/>
  <c r="R2073" i="7"/>
  <c r="R2085" i="7"/>
  <c r="R2097" i="7"/>
  <c r="R2022" i="7"/>
  <c r="R2034" i="7"/>
  <c r="R2127" i="7"/>
  <c r="R2143" i="7"/>
  <c r="R2072" i="7"/>
  <c r="R2089" i="7"/>
  <c r="R2104" i="7"/>
  <c r="R2020" i="7"/>
  <c r="R2036" i="7"/>
  <c r="R2051" i="7"/>
  <c r="R1982" i="7"/>
  <c r="R1996" i="7"/>
  <c r="R2011" i="7"/>
  <c r="R2114" i="7"/>
  <c r="R2130" i="7"/>
  <c r="R2148" i="7"/>
  <c r="R2077" i="7"/>
  <c r="R2092" i="7"/>
  <c r="R2108" i="7"/>
  <c r="R2024" i="7"/>
  <c r="R2040" i="7"/>
  <c r="R2055" i="7"/>
  <c r="R1985" i="7"/>
  <c r="R2000" i="7"/>
  <c r="R2014" i="7"/>
  <c r="R2026" i="7"/>
  <c r="R2056" i="7"/>
  <c r="R1987" i="7"/>
  <c r="R2016" i="7"/>
  <c r="R2116" i="7"/>
  <c r="R2151" i="7"/>
  <c r="R2095" i="7"/>
  <c r="R2043" i="7"/>
  <c r="R1988" i="7"/>
  <c r="R2017" i="7"/>
  <c r="R2115" i="7"/>
  <c r="R2132" i="7"/>
  <c r="R2150" i="7"/>
  <c r="R2078" i="7"/>
  <c r="R2094" i="7"/>
  <c r="R2041" i="7"/>
  <c r="R2001" i="7"/>
  <c r="R2134" i="7"/>
  <c r="R2079" i="7"/>
  <c r="R2027" i="7"/>
  <c r="R2057" i="7"/>
  <c r="R2002" i="7"/>
  <c r="Q2016" i="7"/>
  <c r="S2016" i="7" s="1"/>
  <c r="M762" i="10" s="1"/>
  <c r="Q1992" i="7"/>
  <c r="S1992" i="7" s="1"/>
  <c r="M738" i="10" s="1"/>
  <c r="R2018" i="7"/>
  <c r="R1994" i="7"/>
  <c r="R1975" i="7"/>
  <c r="Q2062" i="7"/>
  <c r="S2062" i="7" s="1"/>
  <c r="M808" i="10" s="1"/>
  <c r="Q2043" i="7"/>
  <c r="S2043" i="7" s="1"/>
  <c r="M789" i="10" s="1"/>
  <c r="Q2019" i="7"/>
  <c r="S2019" i="7" s="1"/>
  <c r="M765" i="10" s="1"/>
  <c r="R2045" i="7"/>
  <c r="R2019" i="7"/>
  <c r="Q2094" i="7"/>
  <c r="S2094" i="7" s="1"/>
  <c r="M840" i="10" s="1"/>
  <c r="Q2071" i="7"/>
  <c r="S2071" i="7" s="1"/>
  <c r="M817" i="10" s="1"/>
  <c r="R2091" i="7"/>
  <c r="R2068" i="7"/>
  <c r="Q2132" i="7"/>
  <c r="S2132" i="7" s="1"/>
  <c r="M878" i="10" s="1"/>
  <c r="Q2109" i="7"/>
  <c r="S2109" i="7" s="1"/>
  <c r="M855" i="10" s="1"/>
  <c r="R2124" i="7"/>
  <c r="O2196" i="7"/>
  <c r="O2167" i="7"/>
  <c r="P2188" i="7"/>
  <c r="P2160" i="7"/>
  <c r="O2234" i="7"/>
  <c r="O2205" i="7"/>
  <c r="P2225" i="7"/>
  <c r="O2284" i="7"/>
  <c r="O2257" i="7"/>
  <c r="P2272" i="7"/>
  <c r="P2246" i="7"/>
  <c r="O2328" i="7"/>
  <c r="O2297" i="7"/>
  <c r="P2309" i="7"/>
  <c r="GG16" i="5"/>
  <c r="DZ16" i="5"/>
  <c r="BG16" i="5"/>
  <c r="Q2010" i="7"/>
  <c r="S2010" i="7" s="1"/>
  <c r="M756" i="10" s="1"/>
  <c r="Q1990" i="7"/>
  <c r="S1990" i="7" s="1"/>
  <c r="M736" i="10" s="1"/>
  <c r="R2012" i="7"/>
  <c r="R1992" i="7"/>
  <c r="Q2060" i="7"/>
  <c r="S2060" i="7" s="1"/>
  <c r="M806" i="10" s="1"/>
  <c r="Q2037" i="7"/>
  <c r="S2037" i="7" s="1"/>
  <c r="M783" i="10" s="1"/>
  <c r="R2062" i="7"/>
  <c r="R2039" i="7"/>
  <c r="Q2090" i="7"/>
  <c r="S2090" i="7" s="1"/>
  <c r="M836" i="10" s="1"/>
  <c r="Q2069" i="7"/>
  <c r="S2069" i="7" s="1"/>
  <c r="M815" i="10" s="1"/>
  <c r="R2087" i="7"/>
  <c r="R2066" i="7"/>
  <c r="Q2129" i="7"/>
  <c r="S2129" i="7" s="1"/>
  <c r="M875" i="10" s="1"/>
  <c r="R2146" i="7"/>
  <c r="R2120" i="7"/>
  <c r="O2189" i="7"/>
  <c r="O2164" i="7"/>
  <c r="P2182" i="7"/>
  <c r="P2157" i="7"/>
  <c r="O2230" i="7"/>
  <c r="O2201" i="7"/>
  <c r="P2221" i="7"/>
  <c r="O2279" i="7"/>
  <c r="O2254" i="7"/>
  <c r="P2267" i="7"/>
  <c r="O2326" i="7"/>
  <c r="O2290" i="7"/>
  <c r="P2307" i="7"/>
  <c r="FU16" i="5"/>
  <c r="DQ16" i="5"/>
  <c r="AW16" i="5"/>
  <c r="GQ20" i="5"/>
  <c r="Q2007" i="7"/>
  <c r="S2007" i="7" s="1"/>
  <c r="M753" i="10" s="1"/>
  <c r="Q1987" i="7"/>
  <c r="S1987" i="7" s="1"/>
  <c r="M733" i="10" s="1"/>
  <c r="R2008" i="7"/>
  <c r="R1989" i="7"/>
  <c r="Q2058" i="7"/>
  <c r="S2058" i="7" s="1"/>
  <c r="M804" i="10" s="1"/>
  <c r="Q2034" i="7"/>
  <c r="S2034" i="7" s="1"/>
  <c r="M780" i="10" s="1"/>
  <c r="R2059" i="7"/>
  <c r="R2035" i="7"/>
  <c r="Q2087" i="7"/>
  <c r="S2087" i="7" s="1"/>
  <c r="M833" i="10" s="1"/>
  <c r="R2107" i="7"/>
  <c r="R2084" i="7"/>
  <c r="Q2150" i="7"/>
  <c r="S2150" i="7" s="1"/>
  <c r="M896" i="10" s="1"/>
  <c r="R2141" i="7"/>
  <c r="R2117" i="7"/>
  <c r="O2185" i="7"/>
  <c r="O2161" i="7"/>
  <c r="P2177" i="7"/>
  <c r="P2153" i="7"/>
  <c r="O2224" i="7"/>
  <c r="O2199" i="7"/>
  <c r="P2214" i="7"/>
  <c r="O2276" i="7"/>
  <c r="O2245" i="7"/>
  <c r="P2263" i="7"/>
  <c r="P2331" i="7"/>
  <c r="P2298" i="7"/>
  <c r="FK16" i="5"/>
  <c r="DA16" i="5"/>
  <c r="AT16" i="5"/>
  <c r="EK20" i="5"/>
  <c r="Q2113" i="7"/>
  <c r="S2113" i="7" s="1"/>
  <c r="M859" i="10" s="1"/>
  <c r="Q2125" i="7"/>
  <c r="S2125" i="7" s="1"/>
  <c r="M871" i="10" s="1"/>
  <c r="Q2137" i="7"/>
  <c r="S2137" i="7" s="1"/>
  <c r="M883" i="10" s="1"/>
  <c r="Q2149" i="7"/>
  <c r="S2149" i="7" s="1"/>
  <c r="M895" i="10" s="1"/>
  <c r="Q2121" i="7"/>
  <c r="S2121" i="7" s="1"/>
  <c r="M867" i="10" s="1"/>
  <c r="Q2134" i="7"/>
  <c r="S2134" i="7" s="1"/>
  <c r="M880" i="10" s="1"/>
  <c r="Q2147" i="7"/>
  <c r="S2147" i="7" s="1"/>
  <c r="M893" i="10" s="1"/>
  <c r="Q2067" i="7"/>
  <c r="S2067" i="7" s="1"/>
  <c r="M813" i="10" s="1"/>
  <c r="Q2079" i="7"/>
  <c r="S2079" i="7" s="1"/>
  <c r="M825" i="10" s="1"/>
  <c r="Q2091" i="7"/>
  <c r="S2091" i="7" s="1"/>
  <c r="M837" i="10" s="1"/>
  <c r="Q2103" i="7"/>
  <c r="S2103" i="7" s="1"/>
  <c r="M849" i="10" s="1"/>
  <c r="Q2028" i="7"/>
  <c r="S2028" i="7" s="1"/>
  <c r="M774" i="10" s="1"/>
  <c r="Q2040" i="7"/>
  <c r="S2040" i="7" s="1"/>
  <c r="M786" i="10" s="1"/>
  <c r="Q2052" i="7"/>
  <c r="S2052" i="7" s="1"/>
  <c r="M798" i="10" s="1"/>
  <c r="Q1977" i="7"/>
  <c r="S1977" i="7" s="1"/>
  <c r="M723" i="10" s="1"/>
  <c r="Q1989" i="7"/>
  <c r="S1989" i="7" s="1"/>
  <c r="M735" i="10" s="1"/>
  <c r="Q2001" i="7"/>
  <c r="S2001" i="7" s="1"/>
  <c r="M747" i="10" s="1"/>
  <c r="Q2013" i="7"/>
  <c r="S2013" i="7" s="1"/>
  <c r="M759" i="10" s="1"/>
  <c r="Q2114" i="7"/>
  <c r="S2114" i="7" s="1"/>
  <c r="M860" i="10" s="1"/>
  <c r="Q2127" i="7"/>
  <c r="S2127" i="7" s="1"/>
  <c r="M873" i="10" s="1"/>
  <c r="Q2140" i="7"/>
  <c r="S2140" i="7" s="1"/>
  <c r="M886" i="10" s="1"/>
  <c r="Q2072" i="7"/>
  <c r="S2072" i="7" s="1"/>
  <c r="M818" i="10" s="1"/>
  <c r="Q2084" i="7"/>
  <c r="S2084" i="7" s="1"/>
  <c r="M830" i="10" s="1"/>
  <c r="Q2096" i="7"/>
  <c r="S2096" i="7" s="1"/>
  <c r="M842" i="10" s="1"/>
  <c r="Q2108" i="7"/>
  <c r="S2108" i="7" s="1"/>
  <c r="M854" i="10" s="1"/>
  <c r="Q2021" i="7"/>
  <c r="S2021" i="7" s="1"/>
  <c r="M767" i="10" s="1"/>
  <c r="Q2033" i="7"/>
  <c r="S2033" i="7" s="1"/>
  <c r="M779" i="10" s="1"/>
  <c r="Q2045" i="7"/>
  <c r="S2045" i="7" s="1"/>
  <c r="M791" i="10" s="1"/>
  <c r="Q2057" i="7"/>
  <c r="S2057" i="7" s="1"/>
  <c r="M803" i="10" s="1"/>
  <c r="Q1982" i="7"/>
  <c r="S1982" i="7" s="1"/>
  <c r="M728" i="10" s="1"/>
  <c r="Q1994" i="7"/>
  <c r="S1994" i="7" s="1"/>
  <c r="M740" i="10" s="1"/>
  <c r="Q2006" i="7"/>
  <c r="S2006" i="7" s="1"/>
  <c r="M752" i="10" s="1"/>
  <c r="Q2018" i="7"/>
  <c r="S2018" i="7" s="1"/>
  <c r="M764" i="10" s="1"/>
  <c r="Q2118" i="7"/>
  <c r="S2118" i="7" s="1"/>
  <c r="M864" i="10" s="1"/>
  <c r="Q2131" i="7"/>
  <c r="S2131" i="7" s="1"/>
  <c r="M877" i="10" s="1"/>
  <c r="Q2144" i="7"/>
  <c r="S2144" i="7" s="1"/>
  <c r="M890" i="10" s="1"/>
  <c r="Q2064" i="7"/>
  <c r="S2064" i="7" s="1"/>
  <c r="M810" i="10" s="1"/>
  <c r="Q2076" i="7"/>
  <c r="S2076" i="7" s="1"/>
  <c r="M822" i="10" s="1"/>
  <c r="Q2088" i="7"/>
  <c r="S2088" i="7" s="1"/>
  <c r="M834" i="10" s="1"/>
  <c r="Q2100" i="7"/>
  <c r="S2100" i="7" s="1"/>
  <c r="M846" i="10" s="1"/>
  <c r="Q2117" i="7"/>
  <c r="S2117" i="7" s="1"/>
  <c r="M863" i="10" s="1"/>
  <c r="Q2135" i="7"/>
  <c r="S2135" i="7" s="1"/>
  <c r="M881" i="10" s="1"/>
  <c r="Q2152" i="7"/>
  <c r="S2152" i="7" s="1"/>
  <c r="M898" i="10" s="1"/>
  <c r="Q2075" i="7"/>
  <c r="S2075" i="7" s="1"/>
  <c r="M821" i="10" s="1"/>
  <c r="Q2092" i="7"/>
  <c r="S2092" i="7" s="1"/>
  <c r="M838" i="10" s="1"/>
  <c r="Q2107" i="7"/>
  <c r="S2107" i="7" s="1"/>
  <c r="M853" i="10" s="1"/>
  <c r="Q2020" i="7"/>
  <c r="S2020" i="7" s="1"/>
  <c r="M766" i="10" s="1"/>
  <c r="Q2035" i="7"/>
  <c r="S2035" i="7" s="1"/>
  <c r="M781" i="10" s="1"/>
  <c r="Q2049" i="7"/>
  <c r="S2049" i="7" s="1"/>
  <c r="M795" i="10" s="1"/>
  <c r="Q2063" i="7"/>
  <c r="S2063" i="7" s="1"/>
  <c r="M809" i="10" s="1"/>
  <c r="Q1980" i="7"/>
  <c r="S1980" i="7" s="1"/>
  <c r="M726" i="10" s="1"/>
  <c r="Q1995" i="7"/>
  <c r="S1995" i="7" s="1"/>
  <c r="M741" i="10" s="1"/>
  <c r="Q2009" i="7"/>
  <c r="S2009" i="7" s="1"/>
  <c r="M755" i="10" s="1"/>
  <c r="Q2122" i="7"/>
  <c r="S2122" i="7" s="1"/>
  <c r="M868" i="10" s="1"/>
  <c r="Q2139" i="7"/>
  <c r="S2139" i="7" s="1"/>
  <c r="M885" i="10" s="1"/>
  <c r="Q2080" i="7"/>
  <c r="S2080" i="7" s="1"/>
  <c r="M826" i="10" s="1"/>
  <c r="Q2095" i="7"/>
  <c r="S2095" i="7" s="1"/>
  <c r="M841" i="10" s="1"/>
  <c r="Q2024" i="7"/>
  <c r="S2024" i="7" s="1"/>
  <c r="M770" i="10" s="1"/>
  <c r="Q2038" i="7"/>
  <c r="S2038" i="7" s="1"/>
  <c r="M784" i="10" s="1"/>
  <c r="Q2053" i="7"/>
  <c r="S2053" i="7" s="1"/>
  <c r="M799" i="10" s="1"/>
  <c r="Q1984" i="7"/>
  <c r="S1984" i="7" s="1"/>
  <c r="M730" i="10" s="1"/>
  <c r="Q1998" i="7"/>
  <c r="S1998" i="7" s="1"/>
  <c r="M744" i="10" s="1"/>
  <c r="Q2012" i="7"/>
  <c r="S2012" i="7" s="1"/>
  <c r="M758" i="10" s="1"/>
  <c r="Q2039" i="7"/>
  <c r="S2039" i="7" s="1"/>
  <c r="M785" i="10" s="1"/>
  <c r="Q1999" i="7"/>
  <c r="S1999" i="7" s="1"/>
  <c r="M745" i="10" s="1"/>
  <c r="Q2142" i="7"/>
  <c r="S2142" i="7" s="1"/>
  <c r="M888" i="10" s="1"/>
  <c r="Q2082" i="7"/>
  <c r="S2082" i="7" s="1"/>
  <c r="M828" i="10" s="1"/>
  <c r="Q2026" i="7"/>
  <c r="S2026" i="7" s="1"/>
  <c r="M772" i="10" s="1"/>
  <c r="Q2055" i="7"/>
  <c r="S2055" i="7" s="1"/>
  <c r="M801" i="10" s="1"/>
  <c r="Q2000" i="7"/>
  <c r="S2000" i="7" s="1"/>
  <c r="M746" i="10" s="1"/>
  <c r="Q2123" i="7"/>
  <c r="S2123" i="7" s="1"/>
  <c r="M869" i="10" s="1"/>
  <c r="Q2141" i="7"/>
  <c r="S2141" i="7" s="1"/>
  <c r="M887" i="10" s="1"/>
  <c r="Q2065" i="7"/>
  <c r="S2065" i="7" s="1"/>
  <c r="M811" i="10" s="1"/>
  <c r="Q2081" i="7"/>
  <c r="S2081" i="7" s="1"/>
  <c r="M827" i="10" s="1"/>
  <c r="Q2097" i="7"/>
  <c r="S2097" i="7" s="1"/>
  <c r="M843" i="10" s="1"/>
  <c r="Q2025" i="7"/>
  <c r="S2025" i="7" s="1"/>
  <c r="M771" i="10" s="1"/>
  <c r="Q2054" i="7"/>
  <c r="S2054" i="7" s="1"/>
  <c r="M800" i="10" s="1"/>
  <c r="Q1985" i="7"/>
  <c r="S1985" i="7" s="1"/>
  <c r="M731" i="10" s="1"/>
  <c r="Q2014" i="7"/>
  <c r="S2014" i="7" s="1"/>
  <c r="M760" i="10" s="1"/>
  <c r="Q2124" i="7"/>
  <c r="S2124" i="7" s="1"/>
  <c r="M870" i="10" s="1"/>
  <c r="Q2066" i="7"/>
  <c r="S2066" i="7" s="1"/>
  <c r="M812" i="10" s="1"/>
  <c r="Q2098" i="7"/>
  <c r="S2098" i="7" s="1"/>
  <c r="M844" i="10" s="1"/>
  <c r="Q2041" i="7"/>
  <c r="S2041" i="7" s="1"/>
  <c r="M787" i="10" s="1"/>
  <c r="Q1986" i="7"/>
  <c r="S1986" i="7" s="1"/>
  <c r="M732" i="10" s="1"/>
  <c r="Q2015" i="7"/>
  <c r="S2015" i="7" s="1"/>
  <c r="M761" i="10" s="1"/>
  <c r="O2295" i="7"/>
  <c r="O2307" i="7"/>
  <c r="O2319" i="7"/>
  <c r="O2331" i="7"/>
  <c r="O2247" i="7"/>
  <c r="O2259" i="7"/>
  <c r="O2271" i="7"/>
  <c r="O2283" i="7"/>
  <c r="O2208" i="7"/>
  <c r="O2220" i="7"/>
  <c r="O2232" i="7"/>
  <c r="O2157" i="7"/>
  <c r="O2169" i="7"/>
  <c r="O2181" i="7"/>
  <c r="O2193" i="7"/>
  <c r="O2296" i="7"/>
  <c r="O2309" i="7"/>
  <c r="O2322" i="7"/>
  <c r="O2294" i="7"/>
  <c r="O2310" i="7"/>
  <c r="O2324" i="7"/>
  <c r="O2248" i="7"/>
  <c r="O2261" i="7"/>
  <c r="O2274" i="7"/>
  <c r="O2287" i="7"/>
  <c r="O2292" i="7"/>
  <c r="O2308" i="7"/>
  <c r="O2325" i="7"/>
  <c r="O2256" i="7"/>
  <c r="O2270" i="7"/>
  <c r="O2285" i="7"/>
  <c r="O2210" i="7"/>
  <c r="O2223" i="7"/>
  <c r="O2236" i="7"/>
  <c r="O2165" i="7"/>
  <c r="O2178" i="7"/>
  <c r="O2191" i="7"/>
  <c r="O2300" i="7"/>
  <c r="O2315" i="7"/>
  <c r="O2330" i="7"/>
  <c r="O2249" i="7"/>
  <c r="O2263" i="7"/>
  <c r="O2277" i="7"/>
  <c r="O2202" i="7"/>
  <c r="O2215" i="7"/>
  <c r="O2228" i="7"/>
  <c r="O2241" i="7"/>
  <c r="O2158" i="7"/>
  <c r="O2171" i="7"/>
  <c r="O2184" i="7"/>
  <c r="O2197" i="7"/>
  <c r="O2289" i="7"/>
  <c r="O2304" i="7"/>
  <c r="O2320" i="7"/>
  <c r="O2253" i="7"/>
  <c r="O2267" i="7"/>
  <c r="O2281" i="7"/>
  <c r="O2206" i="7"/>
  <c r="O2219" i="7"/>
  <c r="O2233" i="7"/>
  <c r="O2162" i="7"/>
  <c r="O2175" i="7"/>
  <c r="O2188" i="7"/>
  <c r="O2291" i="7"/>
  <c r="O2313" i="7"/>
  <c r="O2243" i="7"/>
  <c r="O2262" i="7"/>
  <c r="O2280" i="7"/>
  <c r="O2203" i="7"/>
  <c r="O2221" i="7"/>
  <c r="O2238" i="7"/>
  <c r="O2168" i="7"/>
  <c r="O2186" i="7"/>
  <c r="O2298" i="7"/>
  <c r="O2317" i="7"/>
  <c r="O2246" i="7"/>
  <c r="O2266" i="7"/>
  <c r="O2286" i="7"/>
  <c r="O2207" i="7"/>
  <c r="O2225" i="7"/>
  <c r="O2242" i="7"/>
  <c r="O2155" i="7"/>
  <c r="O2173" i="7"/>
  <c r="O2190" i="7"/>
  <c r="O2301" i="7"/>
  <c r="O2269" i="7"/>
  <c r="O2227" i="7"/>
  <c r="O2159" i="7"/>
  <c r="O2299" i="7"/>
  <c r="O2318" i="7"/>
  <c r="O2250" i="7"/>
  <c r="O2268" i="7"/>
  <c r="O2209" i="7"/>
  <c r="O2226" i="7"/>
  <c r="O2156" i="7"/>
  <c r="O2174" i="7"/>
  <c r="O2192" i="7"/>
  <c r="O2321" i="7"/>
  <c r="O2251" i="7"/>
  <c r="O2211" i="7"/>
  <c r="O2176" i="7"/>
  <c r="O2194" i="7"/>
  <c r="Q2005" i="7"/>
  <c r="S2005" i="7" s="1"/>
  <c r="M751" i="10" s="1"/>
  <c r="Q1983" i="7"/>
  <c r="S1983" i="7" s="1"/>
  <c r="M729" i="10" s="1"/>
  <c r="Q2056" i="7"/>
  <c r="S2056" i="7" s="1"/>
  <c r="M802" i="10" s="1"/>
  <c r="Q2032" i="7"/>
  <c r="S2032" i="7" s="1"/>
  <c r="M778" i="10" s="1"/>
  <c r="Q2086" i="7"/>
  <c r="S2086" i="7" s="1"/>
  <c r="M832" i="10" s="1"/>
  <c r="Q2148" i="7"/>
  <c r="S2148" i="7" s="1"/>
  <c r="M894" i="10" s="1"/>
  <c r="Q2120" i="7"/>
  <c r="S2120" i="7" s="1"/>
  <c r="M866" i="10" s="1"/>
  <c r="O2183" i="7"/>
  <c r="O2160" i="7"/>
  <c r="O2222" i="7"/>
  <c r="O2198" i="7"/>
  <c r="O2275" i="7"/>
  <c r="O2244" i="7"/>
  <c r="O2314" i="7"/>
  <c r="Q2004" i="7"/>
  <c r="S2004" i="7" s="1"/>
  <c r="M750" i="10" s="1"/>
  <c r="Q1981" i="7"/>
  <c r="S1981" i="7" s="1"/>
  <c r="M727" i="10" s="1"/>
  <c r="R2006" i="7"/>
  <c r="R1983" i="7"/>
  <c r="Q2051" i="7"/>
  <c r="S2051" i="7" s="1"/>
  <c r="M797" i="10" s="1"/>
  <c r="Q2031" i="7"/>
  <c r="S2031" i="7" s="1"/>
  <c r="M777" i="10" s="1"/>
  <c r="R2053" i="7"/>
  <c r="R2032" i="7"/>
  <c r="Q2106" i="7"/>
  <c r="S2106" i="7" s="1"/>
  <c r="M852" i="10" s="1"/>
  <c r="Q2085" i="7"/>
  <c r="S2085" i="7" s="1"/>
  <c r="M831" i="10" s="1"/>
  <c r="R2103" i="7"/>
  <c r="R2082" i="7"/>
  <c r="Q2146" i="7"/>
  <c r="S2146" i="7" s="1"/>
  <c r="M892" i="10" s="1"/>
  <c r="Q2119" i="7"/>
  <c r="S2119" i="7" s="1"/>
  <c r="M865" i="10" s="1"/>
  <c r="R2138" i="7"/>
  <c r="R2111" i="7"/>
  <c r="O2182" i="7"/>
  <c r="O2154" i="7"/>
  <c r="O2218" i="7"/>
  <c r="O2273" i="7"/>
  <c r="O2312" i="7"/>
  <c r="Q2002" i="7"/>
  <c r="S2002" i="7" s="1"/>
  <c r="M748" i="10" s="1"/>
  <c r="Q1978" i="7"/>
  <c r="S1978" i="7" s="1"/>
  <c r="M724" i="10" s="1"/>
  <c r="R2004" i="7"/>
  <c r="R1980" i="7"/>
  <c r="Q2048" i="7"/>
  <c r="S2048" i="7" s="1"/>
  <c r="M794" i="10" s="1"/>
  <c r="Q2029" i="7"/>
  <c r="S2029" i="7" s="1"/>
  <c r="M775" i="10" s="1"/>
  <c r="R2050" i="7"/>
  <c r="R2029" i="7"/>
  <c r="Q2104" i="7"/>
  <c r="S2104" i="7" s="1"/>
  <c r="M850" i="10" s="1"/>
  <c r="Q2078" i="7"/>
  <c r="S2078" i="7" s="1"/>
  <c r="M824" i="10" s="1"/>
  <c r="R2101" i="7"/>
  <c r="R2075" i="7"/>
  <c r="Q2143" i="7"/>
  <c r="S2143" i="7" s="1"/>
  <c r="M889" i="10" s="1"/>
  <c r="Q2115" i="7"/>
  <c r="S2115" i="7" s="1"/>
  <c r="M861" i="10" s="1"/>
  <c r="R2135" i="7"/>
  <c r="O2179" i="7"/>
  <c r="P2195" i="7"/>
  <c r="P2172" i="7"/>
  <c r="O2240" i="7"/>
  <c r="O2216" i="7"/>
  <c r="P2232" i="7"/>
  <c r="P2206" i="7"/>
  <c r="O2265" i="7"/>
  <c r="P2283" i="7"/>
  <c r="P2252" i="7"/>
  <c r="O2306" i="7"/>
  <c r="P2319" i="7"/>
  <c r="P2289" i="7"/>
  <c r="EM16" i="5"/>
  <c r="CE16" i="5"/>
  <c r="V16" i="5"/>
  <c r="CE20" i="5"/>
  <c r="N2005" i="7"/>
  <c r="N1976" i="7"/>
  <c r="N2044" i="7"/>
  <c r="N2096" i="7"/>
  <c r="N2065" i="7"/>
  <c r="N2145" i="7"/>
  <c r="N2129" i="7"/>
  <c r="N2114" i="7"/>
  <c r="N1990" i="7"/>
  <c r="N2058" i="7"/>
  <c r="N2029" i="7"/>
  <c r="N2080" i="7"/>
  <c r="N2018" i="7"/>
  <c r="N2004" i="7"/>
  <c r="N1989" i="7"/>
  <c r="N1975" i="7"/>
  <c r="N2057" i="7"/>
  <c r="N2043" i="7"/>
  <c r="N2028" i="7"/>
  <c r="N2095" i="7"/>
  <c r="N2079" i="7"/>
  <c r="N2144" i="7"/>
  <c r="N2128" i="7"/>
  <c r="P2117" i="7"/>
  <c r="P2116" i="7"/>
  <c r="P2129" i="7"/>
  <c r="P2141" i="7"/>
  <c r="P2070" i="7"/>
  <c r="P2082" i="7"/>
  <c r="P2094" i="7"/>
  <c r="P2106" i="7"/>
  <c r="P2019" i="7"/>
  <c r="P2031" i="7"/>
  <c r="P2043" i="7"/>
  <c r="P2055" i="7"/>
  <c r="P1980" i="7"/>
  <c r="P1992" i="7"/>
  <c r="P2004" i="7"/>
  <c r="P2016" i="7"/>
  <c r="P2109" i="7"/>
  <c r="P2122" i="7"/>
  <c r="P2134" i="7"/>
  <c r="P2146" i="7"/>
  <c r="P2075" i="7"/>
  <c r="P2087" i="7"/>
  <c r="P2099" i="7"/>
  <c r="P2024" i="7"/>
  <c r="P2036" i="7"/>
  <c r="P2048" i="7"/>
  <c r="P2060" i="7"/>
  <c r="P1985" i="7"/>
  <c r="P1997" i="7"/>
  <c r="P2009" i="7"/>
  <c r="P2113" i="7"/>
  <c r="P2126" i="7"/>
  <c r="P2138" i="7"/>
  <c r="P2150" i="7"/>
  <c r="P2067" i="7"/>
  <c r="P2079" i="7"/>
  <c r="P2091" i="7"/>
  <c r="P2103" i="7"/>
  <c r="N2299" i="7"/>
  <c r="N2311" i="7"/>
  <c r="N2323" i="7"/>
  <c r="N2250" i="7"/>
  <c r="N2262" i="7"/>
  <c r="N2274" i="7"/>
  <c r="N2286" i="7"/>
  <c r="N2199" i="7"/>
  <c r="N2211" i="7"/>
  <c r="N2223" i="7"/>
  <c r="N2235" i="7"/>
  <c r="N2160" i="7"/>
  <c r="N2172" i="7"/>
  <c r="N2184" i="7"/>
  <c r="N2196" i="7"/>
  <c r="N2291" i="7"/>
  <c r="N2304" i="7"/>
  <c r="N2317" i="7"/>
  <c r="N2330" i="7"/>
  <c r="N2294" i="7"/>
  <c r="N2308" i="7"/>
  <c r="N2322" i="7"/>
  <c r="N2255" i="7"/>
  <c r="N2268" i="7"/>
  <c r="N2281" i="7"/>
  <c r="N2296" i="7"/>
  <c r="N2312" i="7"/>
  <c r="N2327" i="7"/>
  <c r="N2254" i="7"/>
  <c r="N2269" i="7"/>
  <c r="N2283" i="7"/>
  <c r="N2204" i="7"/>
  <c r="N2217" i="7"/>
  <c r="N2230" i="7"/>
  <c r="N2159" i="7"/>
  <c r="N2173" i="7"/>
  <c r="N2186" i="7"/>
  <c r="N2302" i="7"/>
  <c r="N2318" i="7"/>
  <c r="N2246" i="7"/>
  <c r="N2260" i="7"/>
  <c r="N2275" i="7"/>
  <c r="N2209" i="7"/>
  <c r="N2222" i="7"/>
  <c r="N2236" i="7"/>
  <c r="N2165" i="7"/>
  <c r="N2178" i="7"/>
  <c r="N2191" i="7"/>
  <c r="N2292" i="7"/>
  <c r="N2307" i="7"/>
  <c r="N2324" i="7"/>
  <c r="N2251" i="7"/>
  <c r="N2265" i="7"/>
  <c r="N2279" i="7"/>
  <c r="N2201" i="7"/>
  <c r="N2214" i="7"/>
  <c r="N2227" i="7"/>
  <c r="N2240" i="7"/>
  <c r="N2156" i="7"/>
  <c r="N2169" i="7"/>
  <c r="N2182" i="7"/>
  <c r="N2195" i="7"/>
  <c r="N2113" i="7"/>
  <c r="N2125" i="7"/>
  <c r="N2137" i="7"/>
  <c r="N2149" i="7"/>
  <c r="N2064" i="7"/>
  <c r="N2076" i="7"/>
  <c r="N2088" i="7"/>
  <c r="N2100" i="7"/>
  <c r="N2025" i="7"/>
  <c r="N2037" i="7"/>
  <c r="N2049" i="7"/>
  <c r="N2061" i="7"/>
  <c r="N1974" i="7"/>
  <c r="N1986" i="7"/>
  <c r="N1998" i="7"/>
  <c r="N2010" i="7"/>
  <c r="N2118" i="7"/>
  <c r="N2130" i="7"/>
  <c r="N2142" i="7"/>
  <c r="N2069" i="7"/>
  <c r="N2081" i="7"/>
  <c r="N2093" i="7"/>
  <c r="N2105" i="7"/>
  <c r="N2030" i="7"/>
  <c r="N2042" i="7"/>
  <c r="N2054" i="7"/>
  <c r="N1979" i="7"/>
  <c r="N1991" i="7"/>
  <c r="N2003" i="7"/>
  <c r="N2015" i="7"/>
  <c r="N2110" i="7"/>
  <c r="N2122" i="7"/>
  <c r="N2134" i="7"/>
  <c r="N2146" i="7"/>
  <c r="N2073" i="7"/>
  <c r="N2085" i="7"/>
  <c r="N2097" i="7"/>
  <c r="O2012" i="7"/>
  <c r="O2000" i="7"/>
  <c r="O1988" i="7"/>
  <c r="O1976" i="7"/>
  <c r="O2063" i="7"/>
  <c r="O2051" i="7"/>
  <c r="O2039" i="7"/>
  <c r="O2027" i="7"/>
  <c r="O2102" i="7"/>
  <c r="O2090" i="7"/>
  <c r="O2078" i="7"/>
  <c r="O2066" i="7"/>
  <c r="O2150" i="7"/>
  <c r="O2138" i="7"/>
  <c r="O2126" i="7"/>
  <c r="Q2299" i="7"/>
  <c r="S2299" i="7" s="1"/>
  <c r="M1045" i="10" s="1"/>
  <c r="Q2311" i="7"/>
  <c r="S2311" i="7" s="1"/>
  <c r="M1057" i="10" s="1"/>
  <c r="Q2323" i="7"/>
  <c r="S2323" i="7" s="1"/>
  <c r="M1069" i="10" s="1"/>
  <c r="Q2253" i="7"/>
  <c r="S2253" i="7" s="1"/>
  <c r="M999" i="10" s="1"/>
  <c r="Q2265" i="7"/>
  <c r="S2265" i="7" s="1"/>
  <c r="M1011" i="10" s="1"/>
  <c r="Q2277" i="7"/>
  <c r="S2277" i="7" s="1"/>
  <c r="M1023" i="10" s="1"/>
  <c r="Q2202" i="7"/>
  <c r="S2202" i="7" s="1"/>
  <c r="M948" i="10" s="1"/>
  <c r="Q2214" i="7"/>
  <c r="S2214" i="7" s="1"/>
  <c r="M960" i="10" s="1"/>
  <c r="Q2226" i="7"/>
  <c r="S2226" i="7" s="1"/>
  <c r="M972" i="10" s="1"/>
  <c r="Q2238" i="7"/>
  <c r="S2238" i="7" s="1"/>
  <c r="M984" i="10" s="1"/>
  <c r="Q2163" i="7"/>
  <c r="S2163" i="7" s="1"/>
  <c r="M909" i="10" s="1"/>
  <c r="Q2175" i="7"/>
  <c r="S2175" i="7" s="1"/>
  <c r="M921" i="10" s="1"/>
  <c r="Q2187" i="7"/>
  <c r="S2187" i="7" s="1"/>
  <c r="M933" i="10" s="1"/>
  <c r="Q2292" i="7"/>
  <c r="S2292" i="7" s="1"/>
  <c r="M1038" i="10" s="1"/>
  <c r="Q2305" i="7"/>
  <c r="S2305" i="7" s="1"/>
  <c r="M1051" i="10" s="1"/>
  <c r="Q2318" i="7"/>
  <c r="S2318" i="7" s="1"/>
  <c r="M1064" i="10" s="1"/>
  <c r="Q2331" i="7"/>
  <c r="S2331" i="7" s="1"/>
  <c r="M1077" i="10" s="1"/>
  <c r="I14" i="17"/>
  <c r="R2295" i="7"/>
  <c r="R2307" i="7"/>
  <c r="R2319" i="7"/>
  <c r="R2331" i="7"/>
  <c r="R2250" i="7"/>
  <c r="R2262" i="7"/>
  <c r="R2274" i="7"/>
  <c r="R2286" i="7"/>
  <c r="R2199" i="7"/>
  <c r="R2211" i="7"/>
  <c r="R2223" i="7"/>
  <c r="R2235" i="7"/>
  <c r="R2160" i="7"/>
  <c r="R2172" i="7"/>
  <c r="R2184" i="7"/>
  <c r="R2196" i="7"/>
  <c r="GI20" i="5"/>
  <c r="FI20" i="5"/>
  <c r="EI20" i="5"/>
  <c r="DB20" i="5"/>
  <c r="CB20" i="5"/>
  <c r="AS20" i="5"/>
  <c r="GH20" i="5"/>
  <c r="FH20" i="5"/>
  <c r="EA20" i="5"/>
  <c r="DA20" i="5"/>
  <c r="CA20" i="5"/>
  <c r="AR20" i="5"/>
  <c r="GG20" i="5"/>
  <c r="FG20" i="5"/>
  <c r="DZ20" i="5"/>
  <c r="CZ20" i="5"/>
  <c r="BS20" i="5"/>
  <c r="L20" i="5"/>
  <c r="X20" i="5"/>
  <c r="AJ20" i="5"/>
  <c r="AV20" i="5"/>
  <c r="BH20" i="5"/>
  <c r="BT20" i="5"/>
  <c r="CF20" i="5"/>
  <c r="CR20" i="5"/>
  <c r="DD20" i="5"/>
  <c r="DP20" i="5"/>
  <c r="EB20" i="5"/>
  <c r="EN20" i="5"/>
  <c r="EZ20" i="5"/>
  <c r="FL20" i="5"/>
  <c r="FX20" i="5"/>
  <c r="GJ20" i="5"/>
  <c r="GV20" i="5"/>
  <c r="Y20" i="5"/>
  <c r="AK20" i="5"/>
  <c r="AW20" i="5"/>
  <c r="BI20" i="5"/>
  <c r="BU20" i="5"/>
  <c r="CG20" i="5"/>
  <c r="CS20" i="5"/>
  <c r="DE20" i="5"/>
  <c r="DQ20" i="5"/>
  <c r="EC20" i="5"/>
  <c r="EO20" i="5"/>
  <c r="FA20" i="5"/>
  <c r="FM20" i="5"/>
  <c r="FY20" i="5"/>
  <c r="GK20" i="5"/>
  <c r="GW20" i="5"/>
  <c r="M20" i="5"/>
  <c r="N20" i="5"/>
  <c r="Z20" i="5"/>
  <c r="AL20" i="5"/>
  <c r="AX20" i="5"/>
  <c r="BJ20" i="5"/>
  <c r="BV20" i="5"/>
  <c r="CH20" i="5"/>
  <c r="CT20" i="5"/>
  <c r="DF20" i="5"/>
  <c r="DR20" i="5"/>
  <c r="ED20" i="5"/>
  <c r="EP20" i="5"/>
  <c r="FB20" i="5"/>
  <c r="FN20" i="5"/>
  <c r="FZ20" i="5"/>
  <c r="GL20" i="5"/>
  <c r="K20" i="5"/>
  <c r="O20" i="5"/>
  <c r="AA20" i="5"/>
  <c r="AM20" i="5"/>
  <c r="AY20" i="5"/>
  <c r="BK20" i="5"/>
  <c r="BW20" i="5"/>
  <c r="CI20" i="5"/>
  <c r="CU20" i="5"/>
  <c r="DG20" i="5"/>
  <c r="DS20" i="5"/>
  <c r="EE20" i="5"/>
  <c r="EQ20" i="5"/>
  <c r="FC20" i="5"/>
  <c r="FO20" i="5"/>
  <c r="GA20" i="5"/>
  <c r="GM20" i="5"/>
  <c r="AO20" i="5"/>
  <c r="AD20" i="5"/>
  <c r="AP20" i="5"/>
  <c r="BB20" i="5"/>
  <c r="BN20" i="5"/>
  <c r="BZ20" i="5"/>
  <c r="CL20" i="5"/>
  <c r="CX20" i="5"/>
  <c r="DJ20" i="5"/>
  <c r="DV20" i="5"/>
  <c r="EH20" i="5"/>
  <c r="ET20" i="5"/>
  <c r="FF20" i="5"/>
  <c r="FR20" i="5"/>
  <c r="GD20" i="5"/>
  <c r="GP20" i="5"/>
  <c r="AE20" i="5"/>
  <c r="BC20" i="5"/>
  <c r="BO20" i="5"/>
  <c r="P20" i="5"/>
  <c r="AB20" i="5"/>
  <c r="AN20" i="5"/>
  <c r="AZ20" i="5"/>
  <c r="BL20" i="5"/>
  <c r="BX20" i="5"/>
  <c r="CJ20" i="5"/>
  <c r="CV20" i="5"/>
  <c r="DH20" i="5"/>
  <c r="DT20" i="5"/>
  <c r="EF20" i="5"/>
  <c r="ER20" i="5"/>
  <c r="FD20" i="5"/>
  <c r="FP20" i="5"/>
  <c r="GB20" i="5"/>
  <c r="GN20" i="5"/>
  <c r="AC20" i="5"/>
  <c r="BA20" i="5"/>
  <c r="BM20" i="5"/>
  <c r="BY20" i="5"/>
  <c r="CK20" i="5"/>
  <c r="CW20" i="5"/>
  <c r="DI20" i="5"/>
  <c r="DU20" i="5"/>
  <c r="EG20" i="5"/>
  <c r="ES20" i="5"/>
  <c r="FE20" i="5"/>
  <c r="FQ20" i="5"/>
  <c r="GC20" i="5"/>
  <c r="GO20" i="5"/>
  <c r="Q20" i="5"/>
  <c r="R20" i="5"/>
  <c r="S20" i="5"/>
  <c r="T20" i="5"/>
  <c r="U20" i="5"/>
  <c r="GF20" i="5"/>
  <c r="EY20" i="5"/>
  <c r="DY20" i="5"/>
  <c r="CY20" i="5"/>
  <c r="BR20" i="5"/>
  <c r="AI20" i="5"/>
  <c r="GE20" i="5"/>
  <c r="EX20" i="5"/>
  <c r="DX20" i="5"/>
  <c r="CQ20" i="5"/>
  <c r="BQ20" i="5"/>
  <c r="AH20" i="5"/>
  <c r="GU20" i="5"/>
  <c r="FU20" i="5"/>
  <c r="EU20" i="5"/>
  <c r="DN20" i="5"/>
  <c r="CN20" i="5"/>
  <c r="BF20" i="5"/>
  <c r="W20" i="5"/>
  <c r="GT20" i="5"/>
  <c r="FT20" i="5"/>
  <c r="EM20" i="5"/>
  <c r="DM20" i="5"/>
  <c r="CM20" i="5"/>
  <c r="BE20" i="5"/>
  <c r="V20" i="5"/>
  <c r="GR16" i="5"/>
  <c r="GF16" i="5"/>
  <c r="FT16" i="5"/>
  <c r="FH16" i="5"/>
  <c r="EV16" i="5"/>
  <c r="EJ16" i="5"/>
  <c r="DX16" i="5"/>
  <c r="DL16" i="5"/>
  <c r="CZ16" i="5"/>
  <c r="CN16" i="5"/>
  <c r="CB16" i="5"/>
  <c r="BP16" i="5"/>
  <c r="BD16" i="5"/>
  <c r="AR16" i="5"/>
  <c r="AF16" i="5"/>
  <c r="T16" i="5"/>
  <c r="GQ16" i="5"/>
  <c r="GE16" i="5"/>
  <c r="FS16" i="5"/>
  <c r="FG16" i="5"/>
  <c r="EU16" i="5"/>
  <c r="EI16" i="5"/>
  <c r="DW16" i="5"/>
  <c r="DK16" i="5"/>
  <c r="CY16" i="5"/>
  <c r="CM16" i="5"/>
  <c r="CA16" i="5"/>
  <c r="BO16" i="5"/>
  <c r="BC16" i="5"/>
  <c r="AQ16" i="5"/>
  <c r="AE16" i="5"/>
  <c r="S16" i="5"/>
  <c r="GP16" i="5"/>
  <c r="GD16" i="5"/>
  <c r="FR16" i="5"/>
  <c r="FF16" i="5"/>
  <c r="ET16" i="5"/>
  <c r="EH16" i="5"/>
  <c r="DV16" i="5"/>
  <c r="DJ16" i="5"/>
  <c r="CX16" i="5"/>
  <c r="CL16" i="5"/>
  <c r="BZ16" i="5"/>
  <c r="BN16" i="5"/>
  <c r="BB16" i="5"/>
  <c r="AP16" i="5"/>
  <c r="AD16" i="5"/>
  <c r="R16" i="5"/>
  <c r="GO16" i="5"/>
  <c r="GC16" i="5"/>
  <c r="FQ16" i="5"/>
  <c r="FE16" i="5"/>
  <c r="ES16" i="5"/>
  <c r="EG16" i="5"/>
  <c r="DU16" i="5"/>
  <c r="DI16" i="5"/>
  <c r="CW16" i="5"/>
  <c r="CK16" i="5"/>
  <c r="BY16" i="5"/>
  <c r="BM16" i="5"/>
  <c r="BA16" i="5"/>
  <c r="AO16" i="5"/>
  <c r="AC16" i="5"/>
  <c r="Q16" i="5"/>
  <c r="GN16" i="5"/>
  <c r="GB16" i="5"/>
  <c r="FP16" i="5"/>
  <c r="FD16" i="5"/>
  <c r="ER16" i="5"/>
  <c r="EF16" i="5"/>
  <c r="DT16" i="5"/>
  <c r="DH16" i="5"/>
  <c r="CV16" i="5"/>
  <c r="CJ16" i="5"/>
  <c r="BX16" i="5"/>
  <c r="BL16" i="5"/>
  <c r="AZ16" i="5"/>
  <c r="AN16" i="5"/>
  <c r="AB16" i="5"/>
  <c r="P16" i="5"/>
  <c r="GM16" i="5"/>
  <c r="GA16" i="5"/>
  <c r="FO16" i="5"/>
  <c r="FC16" i="5"/>
  <c r="EQ16" i="5"/>
  <c r="EE16" i="5"/>
  <c r="DS16" i="5"/>
  <c r="DG16" i="5"/>
  <c r="CU16" i="5"/>
  <c r="CI16" i="5"/>
  <c r="BW16" i="5"/>
  <c r="BK16" i="5"/>
  <c r="AY16" i="5"/>
  <c r="AM16" i="5"/>
  <c r="AA16" i="5"/>
  <c r="D51" i="4"/>
  <c r="E51" i="4"/>
  <c r="B48" i="4"/>
  <c r="C48" i="4"/>
  <c r="D48" i="4"/>
  <c r="E48" i="4"/>
  <c r="B51" i="4"/>
  <c r="C51" i="4"/>
  <c r="D10" i="6"/>
  <c r="D9" i="6"/>
  <c r="D8" i="6"/>
  <c r="D7" i="6"/>
  <c r="D6" i="6"/>
  <c r="H29" i="13"/>
  <c r="M29" i="13" s="1" a="1"/>
  <c r="M29" i="13" s="1"/>
  <c r="N29" i="13" s="1"/>
  <c r="I29" i="13"/>
  <c r="H30" i="13"/>
  <c r="M30" i="13" s="1" a="1"/>
  <c r="M30" i="13" s="1"/>
  <c r="N30" i="13" s="1"/>
  <c r="I30" i="13"/>
  <c r="H31" i="13"/>
  <c r="M31" i="13" s="1" a="1"/>
  <c r="M31" i="13" s="1"/>
  <c r="N31" i="13" s="1"/>
  <c r="I31" i="13"/>
  <c r="H32" i="13"/>
  <c r="M32" i="13" s="1" a="1"/>
  <c r="M32" i="13" s="1"/>
  <c r="N32" i="13" s="1"/>
  <c r="I32" i="13"/>
  <c r="EO16" i="5" l="1"/>
  <c r="AS16" i="5"/>
  <c r="AV16" i="5"/>
  <c r="AK16" i="5"/>
  <c r="FJ16" i="5"/>
  <c r="FN16" i="5"/>
  <c r="EA16" i="5"/>
  <c r="W16" i="5"/>
  <c r="GI16" i="5"/>
  <c r="BR16" i="5"/>
  <c r="CH16" i="5"/>
  <c r="CS16" i="5"/>
  <c r="CQ16" i="5"/>
  <c r="DB16" i="5"/>
  <c r="FI16" i="5"/>
  <c r="AB2153" i="7"/>
  <c r="AB2165" i="7"/>
  <c r="AB2177" i="7"/>
  <c r="AB2189" i="7"/>
  <c r="AB2201" i="7"/>
  <c r="AB2213" i="7"/>
  <c r="AB2225" i="7"/>
  <c r="AB2237" i="7"/>
  <c r="AB2154" i="7"/>
  <c r="AB2166" i="7"/>
  <c r="AB2178" i="7"/>
  <c r="AB2190" i="7"/>
  <c r="AB2202" i="7"/>
  <c r="AB2214" i="7"/>
  <c r="AB2226" i="7"/>
  <c r="AB2238" i="7"/>
  <c r="AB2250" i="7"/>
  <c r="AB2262" i="7"/>
  <c r="AB2274" i="7"/>
  <c r="AB2286" i="7"/>
  <c r="AB2298" i="7"/>
  <c r="AB2310" i="7"/>
  <c r="AB2322" i="7"/>
  <c r="AB2155" i="7"/>
  <c r="AB2167" i="7"/>
  <c r="AB2179" i="7"/>
  <c r="AB2191" i="7"/>
  <c r="AB2203" i="7"/>
  <c r="AB2215" i="7"/>
  <c r="AB2227" i="7"/>
  <c r="AB2239" i="7"/>
  <c r="AB2251" i="7"/>
  <c r="AB2263" i="7"/>
  <c r="AB2275" i="7"/>
  <c r="AB2287" i="7"/>
  <c r="AB2299" i="7"/>
  <c r="AB2311" i="7"/>
  <c r="AB2323" i="7"/>
  <c r="AB2156" i="7"/>
  <c r="AB2168" i="7"/>
  <c r="AB2180" i="7"/>
  <c r="AB2192" i="7"/>
  <c r="AB2204" i="7"/>
  <c r="AB2216" i="7"/>
  <c r="AB2228" i="7"/>
  <c r="AB2240" i="7"/>
  <c r="AB2252" i="7"/>
  <c r="AB2264" i="7"/>
  <c r="AB2276" i="7"/>
  <c r="AB2288" i="7"/>
  <c r="AB2300" i="7"/>
  <c r="AB2312" i="7"/>
  <c r="AB2324" i="7"/>
  <c r="AB2157" i="7"/>
  <c r="AB2169" i="7"/>
  <c r="AB2181" i="7"/>
  <c r="AB2193" i="7"/>
  <c r="AB2205" i="7"/>
  <c r="AB2217" i="7"/>
  <c r="AB2229" i="7"/>
  <c r="AB2241" i="7"/>
  <c r="AB2253" i="7"/>
  <c r="AB2265" i="7"/>
  <c r="AB2277" i="7"/>
  <c r="AB2289" i="7"/>
  <c r="AB2301" i="7"/>
  <c r="AB2313" i="7"/>
  <c r="AB2325" i="7"/>
  <c r="AB2158" i="7"/>
  <c r="AB2170" i="7"/>
  <c r="AB2182" i="7"/>
  <c r="AB2194" i="7"/>
  <c r="AB2206" i="7"/>
  <c r="AB2218" i="7"/>
  <c r="AB2230" i="7"/>
  <c r="AB2242" i="7"/>
  <c r="AB2254" i="7"/>
  <c r="AB2266" i="7"/>
  <c r="AB2278" i="7"/>
  <c r="AB2290" i="7"/>
  <c r="AB2302" i="7"/>
  <c r="AB2314" i="7"/>
  <c r="AB2326" i="7"/>
  <c r="AB2159" i="7"/>
  <c r="AB2171" i="7"/>
  <c r="AB2183" i="7"/>
  <c r="AB2195" i="7"/>
  <c r="AB2207" i="7"/>
  <c r="AB2219" i="7"/>
  <c r="AB2231" i="7"/>
  <c r="AB2243" i="7"/>
  <c r="AB2255" i="7"/>
  <c r="AB2267" i="7"/>
  <c r="AB2279" i="7"/>
  <c r="AB2291" i="7"/>
  <c r="AB2303" i="7"/>
  <c r="AB2315" i="7"/>
  <c r="AB2327" i="7"/>
  <c r="AB2160" i="7"/>
  <c r="AB2172" i="7"/>
  <c r="AB2184" i="7"/>
  <c r="AB2196" i="7"/>
  <c r="AB2208" i="7"/>
  <c r="AB2220" i="7"/>
  <c r="AB2232" i="7"/>
  <c r="AB2244" i="7"/>
  <c r="AB2256" i="7"/>
  <c r="AB2268" i="7"/>
  <c r="AB2280" i="7"/>
  <c r="AB2292" i="7"/>
  <c r="AB2304" i="7"/>
  <c r="AB2316" i="7"/>
  <c r="AB2328" i="7"/>
  <c r="AB2161" i="7"/>
  <c r="AB2173" i="7"/>
  <c r="AB2185" i="7"/>
  <c r="AB2197" i="7"/>
  <c r="AB2209" i="7"/>
  <c r="AB2221" i="7"/>
  <c r="AB2233" i="7"/>
  <c r="AB2245" i="7"/>
  <c r="AB2257" i="7"/>
  <c r="AB2269" i="7"/>
  <c r="AB2281" i="7"/>
  <c r="AB2293" i="7"/>
  <c r="AB2305" i="7"/>
  <c r="AB2317" i="7"/>
  <c r="AB2329" i="7"/>
  <c r="AB2162" i="7"/>
  <c r="AB2174" i="7"/>
  <c r="AB2186" i="7"/>
  <c r="AB2198" i="7"/>
  <c r="AB2210" i="7"/>
  <c r="AB2222" i="7"/>
  <c r="AB2163" i="7"/>
  <c r="AB2175" i="7"/>
  <c r="AB2187" i="7"/>
  <c r="AB2199" i="7"/>
  <c r="AB2212" i="7"/>
  <c r="AB2260" i="7"/>
  <c r="AB2296" i="7"/>
  <c r="AB2223" i="7"/>
  <c r="AB2261" i="7"/>
  <c r="AB2297" i="7"/>
  <c r="AB2224" i="7"/>
  <c r="AB2270" i="7"/>
  <c r="AB2306" i="7"/>
  <c r="AB2234" i="7"/>
  <c r="AB2271" i="7"/>
  <c r="AB2307" i="7"/>
  <c r="AB2235" i="7"/>
  <c r="AB2272" i="7"/>
  <c r="AB2308" i="7"/>
  <c r="AB2236" i="7"/>
  <c r="AB2273" i="7"/>
  <c r="AB2309" i="7"/>
  <c r="AB2246" i="7"/>
  <c r="AB2282" i="7"/>
  <c r="AB2318" i="7"/>
  <c r="AB2164" i="7"/>
  <c r="AB2247" i="7"/>
  <c r="AB2283" i="7"/>
  <c r="AB2319" i="7"/>
  <c r="AB2176" i="7"/>
  <c r="AB2248" i="7"/>
  <c r="AB2284" i="7"/>
  <c r="AB2320" i="7"/>
  <c r="AB2188" i="7"/>
  <c r="AB2249" i="7"/>
  <c r="AB2285" i="7"/>
  <c r="AB2321" i="7"/>
  <c r="AB2200" i="7"/>
  <c r="AB2258" i="7"/>
  <c r="AB2294" i="7"/>
  <c r="AB2330" i="7"/>
  <c r="AB2211" i="7"/>
  <c r="AB2259" i="7"/>
  <c r="AB2295" i="7"/>
  <c r="AB2331" i="7"/>
  <c r="AB1985" i="7"/>
  <c r="AB1997" i="7"/>
  <c r="AB2009" i="7"/>
  <c r="AB2021" i="7"/>
  <c r="AB2033" i="7"/>
  <c r="AB2045" i="7"/>
  <c r="AB2057" i="7"/>
  <c r="AB2069" i="7"/>
  <c r="AB2081" i="7"/>
  <c r="AB2093" i="7"/>
  <c r="AB2105" i="7"/>
  <c r="AB2117" i="7"/>
  <c r="AB2129" i="7"/>
  <c r="AB2141" i="7"/>
  <c r="AB1974" i="7"/>
  <c r="AB1986" i="7"/>
  <c r="AB1998" i="7"/>
  <c r="AB2010" i="7"/>
  <c r="AB2022" i="7"/>
  <c r="AB2034" i="7"/>
  <c r="AB2046" i="7"/>
  <c r="AB2058" i="7"/>
  <c r="AB2070" i="7"/>
  <c r="AB2082" i="7"/>
  <c r="AB2094" i="7"/>
  <c r="AB2106" i="7"/>
  <c r="AB2118" i="7"/>
  <c r="AB2130" i="7"/>
  <c r="AB2142" i="7"/>
  <c r="AB1975" i="7"/>
  <c r="AB1987" i="7"/>
  <c r="AB1999" i="7"/>
  <c r="AB2011" i="7"/>
  <c r="AB2023" i="7"/>
  <c r="AB2035" i="7"/>
  <c r="AB2047" i="7"/>
  <c r="AB2059" i="7"/>
  <c r="AB2071" i="7"/>
  <c r="AB2083" i="7"/>
  <c r="AB2095" i="7"/>
  <c r="AB2107" i="7"/>
  <c r="AB2119" i="7"/>
  <c r="AB2131" i="7"/>
  <c r="AB2143" i="7"/>
  <c r="AB1976" i="7"/>
  <c r="AB1988" i="7"/>
  <c r="AB2000" i="7"/>
  <c r="AB2012" i="7"/>
  <c r="AB2024" i="7"/>
  <c r="AB2036" i="7"/>
  <c r="AB2048" i="7"/>
  <c r="AB2060" i="7"/>
  <c r="AB2072" i="7"/>
  <c r="AB2084" i="7"/>
  <c r="AB2096" i="7"/>
  <c r="AB2108" i="7"/>
  <c r="AB2120" i="7"/>
  <c r="AB2132" i="7"/>
  <c r="AB2144" i="7"/>
  <c r="AB1977" i="7"/>
  <c r="AB1989" i="7"/>
  <c r="AB2001" i="7"/>
  <c r="AB2013" i="7"/>
  <c r="AB2025" i="7"/>
  <c r="AB2037" i="7"/>
  <c r="AB2049" i="7"/>
  <c r="AB2061" i="7"/>
  <c r="AB2073" i="7"/>
  <c r="AB2085" i="7"/>
  <c r="AB2097" i="7"/>
  <c r="AB2109" i="7"/>
  <c r="AB2121" i="7"/>
  <c r="AB2133" i="7"/>
  <c r="AB2145" i="7"/>
  <c r="AB1978" i="7"/>
  <c r="AB1990" i="7"/>
  <c r="AB2002" i="7"/>
  <c r="AB2014" i="7"/>
  <c r="AB2026" i="7"/>
  <c r="AB2038" i="7"/>
  <c r="AB2050" i="7"/>
  <c r="AB2062" i="7"/>
  <c r="AB2074" i="7"/>
  <c r="AB2086" i="7"/>
  <c r="AB2098" i="7"/>
  <c r="AB2110" i="7"/>
  <c r="AB2122" i="7"/>
  <c r="AB2134" i="7"/>
  <c r="AB2146" i="7"/>
  <c r="AB1979" i="7"/>
  <c r="AB1991" i="7"/>
  <c r="AB2003" i="7"/>
  <c r="AB2015" i="7"/>
  <c r="AB2027" i="7"/>
  <c r="AB2039" i="7"/>
  <c r="AB2051" i="7"/>
  <c r="AB2063" i="7"/>
  <c r="AB2075" i="7"/>
  <c r="AB2087" i="7"/>
  <c r="AB2099" i="7"/>
  <c r="AB2111" i="7"/>
  <c r="AB2123" i="7"/>
  <c r="AB2135" i="7"/>
  <c r="AB2147" i="7"/>
  <c r="AB1980" i="7"/>
  <c r="AB1992" i="7"/>
  <c r="AB2004" i="7"/>
  <c r="AB2016" i="7"/>
  <c r="AB2028" i="7"/>
  <c r="AB2040" i="7"/>
  <c r="AB2052" i="7"/>
  <c r="AB2064" i="7"/>
  <c r="AB2076" i="7"/>
  <c r="AB2088" i="7"/>
  <c r="AB2100" i="7"/>
  <c r="AB2112" i="7"/>
  <c r="AB2124" i="7"/>
  <c r="AB2136" i="7"/>
  <c r="AB2148" i="7"/>
  <c r="AB1981" i="7"/>
  <c r="AB1993" i="7"/>
  <c r="AB2005" i="7"/>
  <c r="AB2017" i="7"/>
  <c r="AB2029" i="7"/>
  <c r="AB2041" i="7"/>
  <c r="AB2053" i="7"/>
  <c r="AB2065" i="7"/>
  <c r="AB2077" i="7"/>
  <c r="AB2089" i="7"/>
  <c r="AB2101" i="7"/>
  <c r="AB2113" i="7"/>
  <c r="AB2125" i="7"/>
  <c r="AB2137" i="7"/>
  <c r="AB2149" i="7"/>
  <c r="AB1982" i="7"/>
  <c r="AB1994" i="7"/>
  <c r="AB2006" i="7"/>
  <c r="AB2018" i="7"/>
  <c r="AB2030" i="7"/>
  <c r="AB2042" i="7"/>
  <c r="AB2054" i="7"/>
  <c r="AB2066" i="7"/>
  <c r="AB2078" i="7"/>
  <c r="AB2090" i="7"/>
  <c r="AB2102" i="7"/>
  <c r="AB2114" i="7"/>
  <c r="AB2126" i="7"/>
  <c r="AB2138" i="7"/>
  <c r="AB2150" i="7"/>
  <c r="AB1983" i="7"/>
  <c r="AB1995" i="7"/>
  <c r="AB2007" i="7"/>
  <c r="AB2019" i="7"/>
  <c r="AB2031" i="7"/>
  <c r="AB2043" i="7"/>
  <c r="AB2055" i="7"/>
  <c r="AB2067" i="7"/>
  <c r="AB2079" i="7"/>
  <c r="AB2091" i="7"/>
  <c r="AB2103" i="7"/>
  <c r="AB2115" i="7"/>
  <c r="AB2127" i="7"/>
  <c r="AB2139" i="7"/>
  <c r="AB2151" i="7"/>
  <c r="AB2080" i="7"/>
  <c r="AB2092" i="7"/>
  <c r="AB2104" i="7"/>
  <c r="AB2116" i="7"/>
  <c r="AB1984" i="7"/>
  <c r="AB2128" i="7"/>
  <c r="AB1996" i="7"/>
  <c r="AB2140" i="7"/>
  <c r="AB2008" i="7"/>
  <c r="AB2152" i="7"/>
  <c r="AB2020" i="7"/>
  <c r="AB2032" i="7"/>
  <c r="AB2044" i="7"/>
  <c r="AB2056" i="7"/>
  <c r="AB2068" i="7"/>
  <c r="H25" i="13"/>
  <c r="M25" i="13" s="1" a="1"/>
  <c r="M25" i="13" s="1"/>
  <c r="N25" i="13" s="1"/>
  <c r="I25" i="13"/>
  <c r="H26" i="13"/>
  <c r="M26" i="13" s="1" a="1"/>
  <c r="M26" i="13" s="1"/>
  <c r="N26" i="13" s="1"/>
  <c r="I26" i="13"/>
  <c r="H27" i="13"/>
  <c r="M27" i="13" s="1" a="1"/>
  <c r="M27" i="13" s="1"/>
  <c r="N27" i="13" s="1"/>
  <c r="I27" i="13"/>
  <c r="H28" i="13"/>
  <c r="M28" i="13" s="1" a="1"/>
  <c r="M28" i="13" s="1"/>
  <c r="N28" i="13" s="1"/>
  <c r="I28" i="13"/>
  <c r="GW66" i="5"/>
  <c r="GV66" i="5"/>
  <c r="GU66" i="5"/>
  <c r="GT66" i="5"/>
  <c r="GS66" i="5"/>
  <c r="GR66" i="5"/>
  <c r="GQ66" i="5"/>
  <c r="GP66" i="5"/>
  <c r="GO66" i="5"/>
  <c r="GN66" i="5"/>
  <c r="GM66" i="5"/>
  <c r="GL66" i="5"/>
  <c r="GK66" i="5"/>
  <c r="GJ66" i="5"/>
  <c r="GI66" i="5"/>
  <c r="GW61" i="5"/>
  <c r="GV61" i="5"/>
  <c r="GU61" i="5"/>
  <c r="GT61" i="5"/>
  <c r="GS61" i="5"/>
  <c r="GR61" i="5"/>
  <c r="GQ61" i="5"/>
  <c r="GP61" i="5"/>
  <c r="GO61" i="5"/>
  <c r="GN61" i="5"/>
  <c r="GM61" i="5"/>
  <c r="GL61" i="5"/>
  <c r="GK61" i="5"/>
  <c r="GJ61" i="5"/>
  <c r="GI61" i="5"/>
  <c r="GW60" i="5"/>
  <c r="GV60" i="5"/>
  <c r="GU60" i="5"/>
  <c r="GT60" i="5"/>
  <c r="GS60" i="5"/>
  <c r="GR60" i="5"/>
  <c r="GQ60" i="5"/>
  <c r="GP60" i="5"/>
  <c r="GO60" i="5"/>
  <c r="GN60" i="5"/>
  <c r="GM60" i="5"/>
  <c r="GL60" i="5"/>
  <c r="GK60" i="5"/>
  <c r="GJ60" i="5"/>
  <c r="GI60" i="5"/>
  <c r="GW56" i="5"/>
  <c r="GV56" i="5"/>
  <c r="GU56" i="5"/>
  <c r="GT56" i="5"/>
  <c r="GS56" i="5"/>
  <c r="GR56" i="5"/>
  <c r="GQ56" i="5"/>
  <c r="GP56" i="5"/>
  <c r="GO56" i="5"/>
  <c r="GN56" i="5"/>
  <c r="GM56" i="5"/>
  <c r="GL56" i="5"/>
  <c r="GK56" i="5"/>
  <c r="GJ56" i="5"/>
  <c r="GI56" i="5"/>
  <c r="GW55" i="5"/>
  <c r="GV55" i="5"/>
  <c r="GU55" i="5"/>
  <c r="GT55" i="5"/>
  <c r="GS55" i="5"/>
  <c r="GR55" i="5"/>
  <c r="GQ55" i="5"/>
  <c r="GP55" i="5"/>
  <c r="GO55" i="5"/>
  <c r="GN55" i="5"/>
  <c r="GM55" i="5"/>
  <c r="GL55" i="5"/>
  <c r="GK55" i="5"/>
  <c r="GJ55" i="5"/>
  <c r="GI55" i="5"/>
  <c r="GW51" i="5"/>
  <c r="GV51" i="5"/>
  <c r="GU51" i="5"/>
  <c r="GT51" i="5"/>
  <c r="GS51" i="5"/>
  <c r="GR51" i="5"/>
  <c r="GQ51" i="5"/>
  <c r="GP51" i="5"/>
  <c r="GO51" i="5"/>
  <c r="GN51" i="5"/>
  <c r="GM51" i="5"/>
  <c r="GL51" i="5"/>
  <c r="GK51" i="5"/>
  <c r="GJ51" i="5"/>
  <c r="GI51" i="5"/>
  <c r="GW50" i="5"/>
  <c r="GV50" i="5"/>
  <c r="GU50" i="5"/>
  <c r="GT50" i="5"/>
  <c r="GS50" i="5"/>
  <c r="GR50" i="5"/>
  <c r="GQ50" i="5"/>
  <c r="GP50" i="5"/>
  <c r="GO50" i="5"/>
  <c r="GN50" i="5"/>
  <c r="GM50" i="5"/>
  <c r="GL50" i="5"/>
  <c r="GK50" i="5"/>
  <c r="GJ50" i="5"/>
  <c r="GI50" i="5"/>
  <c r="GW46" i="5"/>
  <c r="GV46" i="5"/>
  <c r="GU46" i="5"/>
  <c r="GT46" i="5"/>
  <c r="GS46" i="5"/>
  <c r="GR46" i="5"/>
  <c r="GQ46" i="5"/>
  <c r="GP46" i="5"/>
  <c r="GO46" i="5"/>
  <c r="GN46" i="5"/>
  <c r="GM46" i="5"/>
  <c r="GL46" i="5"/>
  <c r="GK46" i="5"/>
  <c r="GJ46" i="5"/>
  <c r="GI46" i="5"/>
  <c r="GW45" i="5"/>
  <c r="GV45" i="5"/>
  <c r="GU45" i="5"/>
  <c r="GT45" i="5"/>
  <c r="GS45" i="5"/>
  <c r="GR45" i="5"/>
  <c r="GQ45" i="5"/>
  <c r="GP45" i="5"/>
  <c r="GO45" i="5"/>
  <c r="GN45" i="5"/>
  <c r="GM45" i="5"/>
  <c r="GL45" i="5"/>
  <c r="GK45" i="5"/>
  <c r="GJ45" i="5"/>
  <c r="GI45" i="5"/>
  <c r="GW41" i="5"/>
  <c r="GV41" i="5"/>
  <c r="GU41" i="5"/>
  <c r="GT41" i="5"/>
  <c r="GS41" i="5"/>
  <c r="GR41" i="5"/>
  <c r="GQ41" i="5"/>
  <c r="GP41" i="5"/>
  <c r="GO41" i="5"/>
  <c r="GN41" i="5"/>
  <c r="GM41" i="5"/>
  <c r="GL41" i="5"/>
  <c r="GK41" i="5"/>
  <c r="GJ41" i="5"/>
  <c r="GI41" i="5"/>
  <c r="GW40" i="5"/>
  <c r="GV40" i="5"/>
  <c r="GU40" i="5"/>
  <c r="GT40" i="5"/>
  <c r="GS40" i="5"/>
  <c r="GR40" i="5"/>
  <c r="GQ40" i="5"/>
  <c r="GP40" i="5"/>
  <c r="GO40" i="5"/>
  <c r="GN40" i="5"/>
  <c r="GM40" i="5"/>
  <c r="GL40" i="5"/>
  <c r="GK40" i="5"/>
  <c r="GJ40" i="5"/>
  <c r="GI40" i="5"/>
  <c r="GW36" i="5"/>
  <c r="GV36" i="5"/>
  <c r="GU36" i="5"/>
  <c r="GT36" i="5"/>
  <c r="GS36" i="5"/>
  <c r="GR36" i="5"/>
  <c r="GQ36" i="5"/>
  <c r="GP36" i="5"/>
  <c r="GO36" i="5"/>
  <c r="GN36" i="5"/>
  <c r="GM36" i="5"/>
  <c r="GL36" i="5"/>
  <c r="GK36" i="5"/>
  <c r="GJ36" i="5"/>
  <c r="GI36" i="5"/>
  <c r="GW35" i="5"/>
  <c r="GV35" i="5"/>
  <c r="GU35" i="5"/>
  <c r="GT35" i="5"/>
  <c r="GS35" i="5"/>
  <c r="GR35" i="5"/>
  <c r="GQ35" i="5"/>
  <c r="GP35" i="5"/>
  <c r="GO35" i="5"/>
  <c r="GN35" i="5"/>
  <c r="GM35" i="5"/>
  <c r="GL35" i="5"/>
  <c r="GK35" i="5"/>
  <c r="GJ35" i="5"/>
  <c r="GI35" i="5"/>
  <c r="GW31" i="5"/>
  <c r="GV31" i="5"/>
  <c r="GU31" i="5"/>
  <c r="GT31" i="5"/>
  <c r="GS31" i="5"/>
  <c r="GR31" i="5"/>
  <c r="GQ31" i="5"/>
  <c r="GP31" i="5"/>
  <c r="GO31" i="5"/>
  <c r="GN31" i="5"/>
  <c r="GM31" i="5"/>
  <c r="GL31" i="5"/>
  <c r="GK31" i="5"/>
  <c r="GJ31" i="5"/>
  <c r="GI31" i="5"/>
  <c r="GW30" i="5"/>
  <c r="GV30" i="5"/>
  <c r="GU30" i="5"/>
  <c r="GT30" i="5"/>
  <c r="GS30" i="5"/>
  <c r="GR30" i="5"/>
  <c r="GQ30" i="5"/>
  <c r="GP30" i="5"/>
  <c r="GO30" i="5"/>
  <c r="GN30" i="5"/>
  <c r="GM30" i="5"/>
  <c r="GL30" i="5"/>
  <c r="GK30" i="5"/>
  <c r="GJ30" i="5"/>
  <c r="GI30" i="5"/>
  <c r="GW26" i="5"/>
  <c r="GV26" i="5"/>
  <c r="GU26" i="5"/>
  <c r="GT26" i="5"/>
  <c r="GS26" i="5"/>
  <c r="GR26" i="5"/>
  <c r="GQ26" i="5"/>
  <c r="GP26" i="5"/>
  <c r="GO26" i="5"/>
  <c r="GN26" i="5"/>
  <c r="GM26" i="5"/>
  <c r="GL26" i="5"/>
  <c r="GK26" i="5"/>
  <c r="GJ26" i="5"/>
  <c r="GI26" i="5"/>
  <c r="GW25" i="5"/>
  <c r="GV25" i="5"/>
  <c r="GU25" i="5"/>
  <c r="GT25" i="5"/>
  <c r="GS25" i="5"/>
  <c r="GR25" i="5"/>
  <c r="GQ25" i="5"/>
  <c r="GP25" i="5"/>
  <c r="GO25" i="5"/>
  <c r="GN25" i="5"/>
  <c r="GM25" i="5"/>
  <c r="GL25" i="5"/>
  <c r="GK25" i="5"/>
  <c r="GJ25" i="5"/>
  <c r="GI25" i="5"/>
  <c r="GW24" i="5"/>
  <c r="GV24" i="5"/>
  <c r="GU24" i="5"/>
  <c r="GT24" i="5"/>
  <c r="GS24" i="5"/>
  <c r="GR24" i="5"/>
  <c r="GQ24" i="5"/>
  <c r="GP24" i="5"/>
  <c r="GO24" i="5"/>
  <c r="GN24" i="5"/>
  <c r="GM24" i="5"/>
  <c r="GL24" i="5"/>
  <c r="GK24" i="5"/>
  <c r="GJ24" i="5"/>
  <c r="GI24" i="5"/>
  <c r="GW12" i="5"/>
  <c r="GV12" i="5"/>
  <c r="GU12" i="5"/>
  <c r="GT12" i="5"/>
  <c r="GS12" i="5"/>
  <c r="GR12" i="5"/>
  <c r="GQ12" i="5"/>
  <c r="GP12" i="5"/>
  <c r="GO12" i="5"/>
  <c r="GN12" i="5"/>
  <c r="GM12" i="5"/>
  <c r="GL12" i="5"/>
  <c r="GK12" i="5"/>
  <c r="GJ12" i="5"/>
  <c r="GI12" i="5"/>
  <c r="GW11" i="5"/>
  <c r="GV11" i="5"/>
  <c r="GU11" i="5"/>
  <c r="GT11" i="5"/>
  <c r="GS11" i="5"/>
  <c r="GR11" i="5"/>
  <c r="GQ11" i="5"/>
  <c r="GP11" i="5"/>
  <c r="GO11" i="5"/>
  <c r="GN11" i="5"/>
  <c r="GM11" i="5"/>
  <c r="GL11" i="5"/>
  <c r="GK11" i="5"/>
  <c r="GJ11" i="5"/>
  <c r="GI11" i="5"/>
  <c r="GW7" i="5"/>
  <c r="GV7" i="5"/>
  <c r="GU7" i="5"/>
  <c r="GT7" i="5"/>
  <c r="GS7" i="5"/>
  <c r="GR7" i="5"/>
  <c r="GQ7" i="5"/>
  <c r="GP7" i="5"/>
  <c r="GO7" i="5"/>
  <c r="GN7" i="5"/>
  <c r="GM7" i="5"/>
  <c r="GL7" i="5"/>
  <c r="GK7" i="5"/>
  <c r="GJ7" i="5"/>
  <c r="GI7" i="5"/>
  <c r="GW6" i="5"/>
  <c r="GV6" i="5"/>
  <c r="GU6" i="5"/>
  <c r="GT6" i="5"/>
  <c r="GS6" i="5"/>
  <c r="GR6" i="5"/>
  <c r="GQ6" i="5"/>
  <c r="GP6" i="5"/>
  <c r="GO6" i="5"/>
  <c r="GN6" i="5"/>
  <c r="GM6" i="5"/>
  <c r="GL6" i="5"/>
  <c r="GK6" i="5"/>
  <c r="GJ6" i="5"/>
  <c r="GI6" i="5"/>
  <c r="GW5" i="5"/>
  <c r="GV5" i="5"/>
  <c r="GU5" i="5"/>
  <c r="GT5" i="5"/>
  <c r="GS5" i="5"/>
  <c r="GR5" i="5"/>
  <c r="GQ5" i="5"/>
  <c r="GP5" i="5"/>
  <c r="GO5" i="5"/>
  <c r="GN5" i="5"/>
  <c r="GM5" i="5"/>
  <c r="GL5" i="5"/>
  <c r="GK5" i="5"/>
  <c r="GJ5" i="5"/>
  <c r="GI5" i="5"/>
  <c r="AA1829" i="7" a="1"/>
  <c r="AA1829" i="7" s="1"/>
  <c r="Z1829" i="7" a="1"/>
  <c r="Z1829" i="7" s="1"/>
  <c r="Y1829" i="7" a="1"/>
  <c r="Y1829" i="7" s="1"/>
  <c r="X1829" i="7" a="1"/>
  <c r="X1829" i="7" s="1"/>
  <c r="W1829" i="7" a="1"/>
  <c r="W1829" i="7" s="1"/>
  <c r="AA1828" i="7" a="1"/>
  <c r="AA1828" i="7" s="1"/>
  <c r="Z1828" i="7" a="1"/>
  <c r="Z1828" i="7" s="1"/>
  <c r="Y1828" i="7" a="1"/>
  <c r="Y1828" i="7" s="1"/>
  <c r="X1828" i="7" a="1"/>
  <c r="X1828" i="7" s="1"/>
  <c r="W1828" i="7" a="1"/>
  <c r="W1828" i="7" s="1"/>
  <c r="AA1827" i="7" a="1"/>
  <c r="AA1827" i="7" s="1"/>
  <c r="Z1827" i="7" a="1"/>
  <c r="Z1827" i="7" s="1"/>
  <c r="Y1827" i="7" a="1"/>
  <c r="Y1827" i="7" s="1"/>
  <c r="X1827" i="7" a="1"/>
  <c r="X1827" i="7" s="1"/>
  <c r="W1827" i="7" a="1"/>
  <c r="W1827" i="7" s="1"/>
  <c r="AA1826" i="7" a="1"/>
  <c r="AA1826" i="7" s="1"/>
  <c r="Z1826" i="7" a="1"/>
  <c r="Z1826" i="7" s="1"/>
  <c r="Y1826" i="7" a="1"/>
  <c r="Y1826" i="7" s="1"/>
  <c r="X1826" i="7" a="1"/>
  <c r="X1826" i="7" s="1"/>
  <c r="W1826" i="7" a="1"/>
  <c r="W1826" i="7" s="1"/>
  <c r="AA1825" i="7" a="1"/>
  <c r="AA1825" i="7" s="1"/>
  <c r="Z1825" i="7" a="1"/>
  <c r="Z1825" i="7" s="1"/>
  <c r="Y1825" i="7" a="1"/>
  <c r="Y1825" i="7" s="1"/>
  <c r="X1825" i="7" a="1"/>
  <c r="X1825" i="7" s="1"/>
  <c r="W1825" i="7" a="1"/>
  <c r="W1825" i="7" s="1"/>
  <c r="AA1824" i="7" a="1"/>
  <c r="AA1824" i="7" s="1"/>
  <c r="Z1824" i="7" a="1"/>
  <c r="Z1824" i="7" s="1"/>
  <c r="Y1824" i="7" a="1"/>
  <c r="Y1824" i="7" s="1"/>
  <c r="X1824" i="7" a="1"/>
  <c r="X1824" i="7" s="1"/>
  <c r="W1824" i="7" a="1"/>
  <c r="W1824" i="7" s="1"/>
  <c r="AA1823" i="7" a="1"/>
  <c r="AA1823" i="7" s="1"/>
  <c r="Z1823" i="7" a="1"/>
  <c r="Z1823" i="7" s="1"/>
  <c r="Y1823" i="7" a="1"/>
  <c r="Y1823" i="7" s="1"/>
  <c r="X1823" i="7" a="1"/>
  <c r="X1823" i="7" s="1"/>
  <c r="W1823" i="7" a="1"/>
  <c r="W1823" i="7" s="1"/>
  <c r="AA1822" i="7" a="1"/>
  <c r="AA1822" i="7" s="1"/>
  <c r="Z1822" i="7" a="1"/>
  <c r="Z1822" i="7" s="1"/>
  <c r="Y1822" i="7" a="1"/>
  <c r="Y1822" i="7" s="1"/>
  <c r="X1822" i="7" a="1"/>
  <c r="X1822" i="7" s="1"/>
  <c r="W1822" i="7" a="1"/>
  <c r="W1822" i="7" s="1"/>
  <c r="AA1821" i="7" a="1"/>
  <c r="AA1821" i="7" s="1"/>
  <c r="Z1821" i="7" a="1"/>
  <c r="Z1821" i="7" s="1"/>
  <c r="Y1821" i="7" a="1"/>
  <c r="Y1821" i="7" s="1"/>
  <c r="X1821" i="7" a="1"/>
  <c r="X1821" i="7" s="1"/>
  <c r="W1821" i="7" a="1"/>
  <c r="W1821" i="7" s="1"/>
  <c r="AA1820" i="7" a="1"/>
  <c r="AA1820" i="7" s="1"/>
  <c r="Z1820" i="7" a="1"/>
  <c r="Z1820" i="7" s="1"/>
  <c r="Y1820" i="7" a="1"/>
  <c r="Y1820" i="7" s="1"/>
  <c r="X1820" i="7" a="1"/>
  <c r="X1820" i="7" s="1"/>
  <c r="W1820" i="7" a="1"/>
  <c r="W1820" i="7" s="1"/>
  <c r="AA1819" i="7" a="1"/>
  <c r="AA1819" i="7" s="1"/>
  <c r="Z1819" i="7" a="1"/>
  <c r="Z1819" i="7" s="1"/>
  <c r="Y1819" i="7" a="1"/>
  <c r="Y1819" i="7" s="1"/>
  <c r="X1819" i="7" a="1"/>
  <c r="X1819" i="7" s="1"/>
  <c r="W1819" i="7" a="1"/>
  <c r="W1819" i="7" s="1"/>
  <c r="AA1818" i="7" a="1"/>
  <c r="AA1818" i="7" s="1"/>
  <c r="Z1818" i="7" a="1"/>
  <c r="Z1818" i="7" s="1"/>
  <c r="Y1818" i="7" a="1"/>
  <c r="Y1818" i="7" s="1"/>
  <c r="X1818" i="7" a="1"/>
  <c r="X1818" i="7" s="1"/>
  <c r="W1818" i="7" a="1"/>
  <c r="W1818" i="7" s="1"/>
  <c r="AA1817" i="7" a="1"/>
  <c r="AA1817" i="7" s="1"/>
  <c r="Z1817" i="7" a="1"/>
  <c r="Z1817" i="7" s="1"/>
  <c r="Y1817" i="7" a="1"/>
  <c r="Y1817" i="7" s="1"/>
  <c r="X1817" i="7" a="1"/>
  <c r="X1817" i="7" s="1"/>
  <c r="W1817" i="7" a="1"/>
  <c r="W1817" i="7" s="1"/>
  <c r="AA1816" i="7" a="1"/>
  <c r="AA1816" i="7" s="1"/>
  <c r="Z1816" i="7" a="1"/>
  <c r="Z1816" i="7" s="1"/>
  <c r="Y1816" i="7" a="1"/>
  <c r="Y1816" i="7" s="1"/>
  <c r="X1816" i="7" a="1"/>
  <c r="X1816" i="7" s="1"/>
  <c r="W1816" i="7" a="1"/>
  <c r="W1816" i="7" s="1"/>
  <c r="AA1815" i="7" a="1"/>
  <c r="AA1815" i="7" s="1"/>
  <c r="Z1815" i="7" a="1"/>
  <c r="Z1815" i="7" s="1"/>
  <c r="Y1815" i="7" a="1"/>
  <c r="Y1815" i="7" s="1"/>
  <c r="X1815" i="7" a="1"/>
  <c r="X1815" i="7" s="1"/>
  <c r="W1815" i="7" a="1"/>
  <c r="W1815" i="7" s="1"/>
  <c r="AA1814" i="7" a="1"/>
  <c r="AA1814" i="7" s="1"/>
  <c r="Z1814" i="7" a="1"/>
  <c r="Z1814" i="7" s="1"/>
  <c r="Y1814" i="7" a="1"/>
  <c r="Y1814" i="7" s="1"/>
  <c r="X1814" i="7" a="1"/>
  <c r="X1814" i="7" s="1"/>
  <c r="W1814" i="7" a="1"/>
  <c r="W1814" i="7" s="1"/>
  <c r="AA1813" i="7" a="1"/>
  <c r="AA1813" i="7" s="1"/>
  <c r="Z1813" i="7" a="1"/>
  <c r="Z1813" i="7" s="1"/>
  <c r="Y1813" i="7" a="1"/>
  <c r="Y1813" i="7" s="1"/>
  <c r="X1813" i="7" a="1"/>
  <c r="X1813" i="7" s="1"/>
  <c r="W1813" i="7" a="1"/>
  <c r="W1813" i="7" s="1"/>
  <c r="AA1812" i="7" a="1"/>
  <c r="AA1812" i="7" s="1"/>
  <c r="Z1812" i="7" a="1"/>
  <c r="Z1812" i="7" s="1"/>
  <c r="Y1812" i="7" a="1"/>
  <c r="Y1812" i="7" s="1"/>
  <c r="X1812" i="7" a="1"/>
  <c r="X1812" i="7" s="1"/>
  <c r="W1812" i="7" a="1"/>
  <c r="W1812" i="7" s="1"/>
  <c r="W1811" i="7" a="1"/>
  <c r="W1811" i="7" s="1"/>
  <c r="W1810" i="7" a="1"/>
  <c r="W1810" i="7" s="1"/>
  <c r="W1809" i="7" a="1"/>
  <c r="W1809" i="7" s="1"/>
  <c r="W1808" i="7" a="1"/>
  <c r="W1808" i="7" s="1"/>
  <c r="W1807" i="7" a="1"/>
  <c r="W1807" i="7" s="1"/>
  <c r="W1806" i="7" a="1"/>
  <c r="W1806" i="7" s="1"/>
  <c r="W1805" i="7" a="1"/>
  <c r="W1805" i="7" s="1"/>
  <c r="W1804" i="7" a="1"/>
  <c r="W1804" i="7" s="1"/>
  <c r="W1803" i="7" a="1"/>
  <c r="W1803" i="7" s="1"/>
  <c r="W1802" i="7" a="1"/>
  <c r="W1802" i="7" s="1"/>
  <c r="W1801" i="7" a="1"/>
  <c r="W1801" i="7" s="1"/>
  <c r="W1800" i="7" a="1"/>
  <c r="W1800" i="7" s="1"/>
  <c r="W1799" i="7" a="1"/>
  <c r="W1799" i="7" s="1"/>
  <c r="W1798" i="7" a="1"/>
  <c r="W1798" i="7" s="1"/>
  <c r="W1797" i="7" a="1"/>
  <c r="W1797" i="7" s="1"/>
  <c r="W1796" i="7" a="1"/>
  <c r="W1796" i="7" s="1"/>
  <c r="W1795" i="7" a="1"/>
  <c r="W1795" i="7" s="1"/>
  <c r="W1794" i="7" a="1"/>
  <c r="W1794" i="7" s="1"/>
  <c r="AA1650" i="7" a="1"/>
  <c r="AA1650" i="7" s="1"/>
  <c r="Z1650" i="7" a="1"/>
  <c r="Z1650" i="7" s="1"/>
  <c r="Y1650" i="7" a="1"/>
  <c r="Y1650" i="7" s="1"/>
  <c r="X1650" i="7" a="1"/>
  <c r="X1650" i="7" s="1"/>
  <c r="W1650" i="7" a="1"/>
  <c r="W1650" i="7" s="1"/>
  <c r="AA1649" i="7" a="1"/>
  <c r="AA1649" i="7" s="1"/>
  <c r="Z1649" i="7" a="1"/>
  <c r="Z1649" i="7" s="1"/>
  <c r="Y1649" i="7" a="1"/>
  <c r="Y1649" i="7" s="1"/>
  <c r="X1649" i="7" a="1"/>
  <c r="X1649" i="7" s="1"/>
  <c r="W1649" i="7" a="1"/>
  <c r="W1649" i="7" s="1"/>
  <c r="AA1648" i="7" a="1"/>
  <c r="AA1648" i="7" s="1"/>
  <c r="Z1648" i="7" a="1"/>
  <c r="Z1648" i="7" s="1"/>
  <c r="Y1648" i="7" a="1"/>
  <c r="Y1648" i="7" s="1"/>
  <c r="X1648" i="7" a="1"/>
  <c r="X1648" i="7" s="1"/>
  <c r="W1648" i="7" a="1"/>
  <c r="W1648" i="7" s="1"/>
  <c r="AA1647" i="7" a="1"/>
  <c r="AA1647" i="7" s="1"/>
  <c r="Z1647" i="7" a="1"/>
  <c r="Z1647" i="7" s="1"/>
  <c r="Y1647" i="7" a="1"/>
  <c r="Y1647" i="7" s="1"/>
  <c r="X1647" i="7" a="1"/>
  <c r="X1647" i="7" s="1"/>
  <c r="W1647" i="7" a="1"/>
  <c r="W1647" i="7" s="1"/>
  <c r="AA1646" i="7" a="1"/>
  <c r="AA1646" i="7" s="1"/>
  <c r="Z1646" i="7" a="1"/>
  <c r="Z1646" i="7" s="1"/>
  <c r="Y1646" i="7" a="1"/>
  <c r="Y1646" i="7" s="1"/>
  <c r="X1646" i="7" a="1"/>
  <c r="X1646" i="7" s="1"/>
  <c r="W1646" i="7" a="1"/>
  <c r="W1646" i="7" s="1"/>
  <c r="AA1645" i="7" a="1"/>
  <c r="AA1645" i="7" s="1"/>
  <c r="Z1645" i="7" a="1"/>
  <c r="Z1645" i="7" s="1"/>
  <c r="Y1645" i="7" a="1"/>
  <c r="Y1645" i="7" s="1"/>
  <c r="X1645" i="7" a="1"/>
  <c r="X1645" i="7" s="1"/>
  <c r="W1645" i="7" a="1"/>
  <c r="W1645" i="7" s="1"/>
  <c r="AA1644" i="7" a="1"/>
  <c r="AA1644" i="7" s="1"/>
  <c r="Z1644" i="7" a="1"/>
  <c r="Z1644" i="7" s="1"/>
  <c r="Y1644" i="7" a="1"/>
  <c r="Y1644" i="7" s="1"/>
  <c r="X1644" i="7" a="1"/>
  <c r="X1644" i="7" s="1"/>
  <c r="W1644" i="7" a="1"/>
  <c r="W1644" i="7" s="1"/>
  <c r="AA1643" i="7" a="1"/>
  <c r="AA1643" i="7" s="1"/>
  <c r="Z1643" i="7" a="1"/>
  <c r="Z1643" i="7" s="1"/>
  <c r="Y1643" i="7" a="1"/>
  <c r="Y1643" i="7" s="1"/>
  <c r="X1643" i="7" a="1"/>
  <c r="X1643" i="7" s="1"/>
  <c r="W1643" i="7" a="1"/>
  <c r="W1643" i="7" s="1"/>
  <c r="AA1642" i="7" a="1"/>
  <c r="AA1642" i="7" s="1"/>
  <c r="Z1642" i="7" a="1"/>
  <c r="Z1642" i="7" s="1"/>
  <c r="Y1642" i="7" a="1"/>
  <c r="Y1642" i="7" s="1"/>
  <c r="X1642" i="7" a="1"/>
  <c r="X1642" i="7" s="1"/>
  <c r="W1642" i="7" a="1"/>
  <c r="W1642" i="7" s="1"/>
  <c r="AA1641" i="7" a="1"/>
  <c r="AA1641" i="7" s="1"/>
  <c r="Z1641" i="7" a="1"/>
  <c r="Z1641" i="7" s="1"/>
  <c r="Y1641" i="7" a="1"/>
  <c r="Y1641" i="7" s="1"/>
  <c r="X1641" i="7" a="1"/>
  <c r="X1641" i="7" s="1"/>
  <c r="W1641" i="7" a="1"/>
  <c r="W1641" i="7" s="1"/>
  <c r="AA1640" i="7" a="1"/>
  <c r="AA1640" i="7" s="1"/>
  <c r="Z1640" i="7" a="1"/>
  <c r="Z1640" i="7" s="1"/>
  <c r="Y1640" i="7" a="1"/>
  <c r="Y1640" i="7" s="1"/>
  <c r="X1640" i="7" a="1"/>
  <c r="X1640" i="7" s="1"/>
  <c r="W1640" i="7" a="1"/>
  <c r="W1640" i="7" s="1"/>
  <c r="AA1639" i="7" a="1"/>
  <c r="AA1639" i="7" s="1"/>
  <c r="Z1639" i="7" a="1"/>
  <c r="Z1639" i="7" s="1"/>
  <c r="Y1639" i="7" a="1"/>
  <c r="Y1639" i="7" s="1"/>
  <c r="X1639" i="7" a="1"/>
  <c r="X1639" i="7" s="1"/>
  <c r="W1639" i="7" a="1"/>
  <c r="W1639" i="7" s="1"/>
  <c r="AA1638" i="7" a="1"/>
  <c r="AA1638" i="7" s="1"/>
  <c r="Z1638" i="7" a="1"/>
  <c r="Z1638" i="7" s="1"/>
  <c r="Y1638" i="7" a="1"/>
  <c r="Y1638" i="7" s="1"/>
  <c r="X1638" i="7" a="1"/>
  <c r="X1638" i="7" s="1"/>
  <c r="W1638" i="7" a="1"/>
  <c r="W1638" i="7" s="1"/>
  <c r="AA1637" i="7" a="1"/>
  <c r="AA1637" i="7" s="1"/>
  <c r="Z1637" i="7" a="1"/>
  <c r="Z1637" i="7" s="1"/>
  <c r="Y1637" i="7" a="1"/>
  <c r="Y1637" i="7" s="1"/>
  <c r="X1637" i="7" a="1"/>
  <c r="X1637" i="7" s="1"/>
  <c r="W1637" i="7" a="1"/>
  <c r="W1637" i="7" s="1"/>
  <c r="AA1636" i="7" a="1"/>
  <c r="AA1636" i="7" s="1"/>
  <c r="Z1636" i="7" a="1"/>
  <c r="Z1636" i="7" s="1"/>
  <c r="Y1636" i="7" a="1"/>
  <c r="Y1636" i="7" s="1"/>
  <c r="X1636" i="7" a="1"/>
  <c r="X1636" i="7" s="1"/>
  <c r="W1636" i="7" a="1"/>
  <c r="W1636" i="7" s="1"/>
  <c r="AA1635" i="7" a="1"/>
  <c r="AA1635" i="7" s="1"/>
  <c r="Z1635" i="7" a="1"/>
  <c r="Z1635" i="7" s="1"/>
  <c r="Y1635" i="7" a="1"/>
  <c r="Y1635" i="7" s="1"/>
  <c r="X1635" i="7" a="1"/>
  <c r="X1635" i="7" s="1"/>
  <c r="W1635" i="7" a="1"/>
  <c r="W1635" i="7" s="1"/>
  <c r="AA1634" i="7" a="1"/>
  <c r="AA1634" i="7" s="1"/>
  <c r="Z1634" i="7" a="1"/>
  <c r="Z1634" i="7" s="1"/>
  <c r="Y1634" i="7" a="1"/>
  <c r="Y1634" i="7" s="1"/>
  <c r="X1634" i="7" a="1"/>
  <c r="X1634" i="7" s="1"/>
  <c r="W1634" i="7" a="1"/>
  <c r="W1634" i="7" s="1"/>
  <c r="AA1633" i="7" a="1"/>
  <c r="AA1633" i="7" s="1"/>
  <c r="Z1633" i="7" a="1"/>
  <c r="Z1633" i="7" s="1"/>
  <c r="Y1633" i="7" a="1"/>
  <c r="Y1633" i="7" s="1"/>
  <c r="X1633" i="7" a="1"/>
  <c r="X1633" i="7" s="1"/>
  <c r="W1633" i="7" a="1"/>
  <c r="W1633" i="7" s="1"/>
  <c r="W1632" i="7" a="1"/>
  <c r="W1632" i="7" s="1"/>
  <c r="W1631" i="7" a="1"/>
  <c r="W1631" i="7" s="1"/>
  <c r="W1630" i="7" a="1"/>
  <c r="W1630" i="7" s="1"/>
  <c r="W1629" i="7" a="1"/>
  <c r="W1629" i="7" s="1"/>
  <c r="W1628" i="7" a="1"/>
  <c r="W1628" i="7" s="1"/>
  <c r="W1627" i="7" a="1"/>
  <c r="W1627" i="7" s="1"/>
  <c r="W1626" i="7" a="1"/>
  <c r="W1626" i="7" s="1"/>
  <c r="W1625" i="7" a="1"/>
  <c r="W1625" i="7" s="1"/>
  <c r="W1624" i="7" a="1"/>
  <c r="W1624" i="7" s="1"/>
  <c r="W1623" i="7" a="1"/>
  <c r="W1623" i="7" s="1"/>
  <c r="W1622" i="7" a="1"/>
  <c r="W1622" i="7" s="1"/>
  <c r="W1621" i="7" a="1"/>
  <c r="W1621" i="7" s="1"/>
  <c r="W1620" i="7" a="1"/>
  <c r="W1620" i="7" s="1"/>
  <c r="W1619" i="7" a="1"/>
  <c r="W1619" i="7" s="1"/>
  <c r="W1618" i="7" a="1"/>
  <c r="W1618" i="7" s="1"/>
  <c r="W1617" i="7" a="1"/>
  <c r="W1617" i="7" s="1"/>
  <c r="W1616" i="7" a="1"/>
  <c r="W1616" i="7" s="1"/>
  <c r="W1615" i="7" a="1"/>
  <c r="W1615" i="7" s="1"/>
  <c r="AA1471" i="7" a="1"/>
  <c r="AA1471" i="7" s="1"/>
  <c r="Z1471" i="7" a="1"/>
  <c r="Z1471" i="7" s="1"/>
  <c r="Y1471" i="7" a="1"/>
  <c r="Y1471" i="7" s="1"/>
  <c r="X1471" i="7" a="1"/>
  <c r="X1471" i="7" s="1"/>
  <c r="W1471" i="7" a="1"/>
  <c r="W1471" i="7" s="1"/>
  <c r="AA1470" i="7" a="1"/>
  <c r="AA1470" i="7" s="1"/>
  <c r="Z1470" i="7" a="1"/>
  <c r="Z1470" i="7" s="1"/>
  <c r="Y1470" i="7" a="1"/>
  <c r="Y1470" i="7" s="1"/>
  <c r="X1470" i="7" a="1"/>
  <c r="X1470" i="7" s="1"/>
  <c r="W1470" i="7" a="1"/>
  <c r="W1470" i="7" s="1"/>
  <c r="AA1469" i="7" a="1"/>
  <c r="AA1469" i="7" s="1"/>
  <c r="Z1469" i="7" a="1"/>
  <c r="Z1469" i="7" s="1"/>
  <c r="Y1469" i="7" a="1"/>
  <c r="Y1469" i="7" s="1"/>
  <c r="X1469" i="7" a="1"/>
  <c r="X1469" i="7" s="1"/>
  <c r="W1469" i="7" a="1"/>
  <c r="W1469" i="7" s="1"/>
  <c r="AA1468" i="7" a="1"/>
  <c r="AA1468" i="7" s="1"/>
  <c r="Z1468" i="7" a="1"/>
  <c r="Z1468" i="7" s="1"/>
  <c r="Y1468" i="7" a="1"/>
  <c r="Y1468" i="7" s="1"/>
  <c r="X1468" i="7" a="1"/>
  <c r="X1468" i="7" s="1"/>
  <c r="W1468" i="7" a="1"/>
  <c r="W1468" i="7" s="1"/>
  <c r="AA1467" i="7" a="1"/>
  <c r="AA1467" i="7" s="1"/>
  <c r="Z1467" i="7" a="1"/>
  <c r="Z1467" i="7" s="1"/>
  <c r="Y1467" i="7" a="1"/>
  <c r="Y1467" i="7" s="1"/>
  <c r="X1467" i="7" a="1"/>
  <c r="X1467" i="7" s="1"/>
  <c r="W1467" i="7" a="1"/>
  <c r="W1467" i="7" s="1"/>
  <c r="AA1466" i="7" a="1"/>
  <c r="AA1466" i="7" s="1"/>
  <c r="Z1466" i="7" a="1"/>
  <c r="Z1466" i="7" s="1"/>
  <c r="Y1466" i="7" a="1"/>
  <c r="Y1466" i="7" s="1"/>
  <c r="X1466" i="7" a="1"/>
  <c r="X1466" i="7" s="1"/>
  <c r="W1466" i="7" a="1"/>
  <c r="W1466" i="7" s="1"/>
  <c r="AA1465" i="7" a="1"/>
  <c r="AA1465" i="7" s="1"/>
  <c r="Z1465" i="7" a="1"/>
  <c r="Z1465" i="7" s="1"/>
  <c r="Y1465" i="7" a="1"/>
  <c r="Y1465" i="7" s="1"/>
  <c r="X1465" i="7" a="1"/>
  <c r="X1465" i="7" s="1"/>
  <c r="W1465" i="7" a="1"/>
  <c r="W1465" i="7" s="1"/>
  <c r="AA1464" i="7" a="1"/>
  <c r="AA1464" i="7" s="1"/>
  <c r="Z1464" i="7" a="1"/>
  <c r="Z1464" i="7" s="1"/>
  <c r="Y1464" i="7" a="1"/>
  <c r="Y1464" i="7" s="1"/>
  <c r="X1464" i="7" a="1"/>
  <c r="X1464" i="7" s="1"/>
  <c r="W1464" i="7" a="1"/>
  <c r="W1464" i="7" s="1"/>
  <c r="AA1463" i="7" a="1"/>
  <c r="AA1463" i="7" s="1"/>
  <c r="Z1463" i="7" a="1"/>
  <c r="Z1463" i="7" s="1"/>
  <c r="Y1463" i="7" a="1"/>
  <c r="Y1463" i="7" s="1"/>
  <c r="X1463" i="7" a="1"/>
  <c r="X1463" i="7" s="1"/>
  <c r="W1463" i="7" a="1"/>
  <c r="W1463" i="7" s="1"/>
  <c r="AA1462" i="7" a="1"/>
  <c r="AA1462" i="7" s="1"/>
  <c r="Z1462" i="7" a="1"/>
  <c r="Z1462" i="7" s="1"/>
  <c r="Y1462" i="7" a="1"/>
  <c r="Y1462" i="7" s="1"/>
  <c r="X1462" i="7" a="1"/>
  <c r="X1462" i="7" s="1"/>
  <c r="W1462" i="7" a="1"/>
  <c r="W1462" i="7" s="1"/>
  <c r="AA1461" i="7" a="1"/>
  <c r="AA1461" i="7" s="1"/>
  <c r="Z1461" i="7" a="1"/>
  <c r="Z1461" i="7" s="1"/>
  <c r="Y1461" i="7" a="1"/>
  <c r="Y1461" i="7" s="1"/>
  <c r="X1461" i="7" a="1"/>
  <c r="X1461" i="7" s="1"/>
  <c r="W1461" i="7" a="1"/>
  <c r="W1461" i="7" s="1"/>
  <c r="AA1460" i="7" a="1"/>
  <c r="AA1460" i="7" s="1"/>
  <c r="Z1460" i="7" a="1"/>
  <c r="Z1460" i="7" s="1"/>
  <c r="Y1460" i="7" a="1"/>
  <c r="Y1460" i="7" s="1"/>
  <c r="X1460" i="7" a="1"/>
  <c r="X1460" i="7" s="1"/>
  <c r="W1460" i="7" a="1"/>
  <c r="W1460" i="7" s="1"/>
  <c r="AA1459" i="7" a="1"/>
  <c r="AA1459" i="7" s="1"/>
  <c r="Z1459" i="7" a="1"/>
  <c r="Z1459" i="7" s="1"/>
  <c r="Y1459" i="7" a="1"/>
  <c r="Y1459" i="7" s="1"/>
  <c r="X1459" i="7" a="1"/>
  <c r="X1459" i="7" s="1"/>
  <c r="W1459" i="7" a="1"/>
  <c r="W1459" i="7" s="1"/>
  <c r="AA1458" i="7" a="1"/>
  <c r="AA1458" i="7" s="1"/>
  <c r="Z1458" i="7" a="1"/>
  <c r="Z1458" i="7" s="1"/>
  <c r="Y1458" i="7" a="1"/>
  <c r="Y1458" i="7" s="1"/>
  <c r="X1458" i="7" a="1"/>
  <c r="X1458" i="7" s="1"/>
  <c r="W1458" i="7" a="1"/>
  <c r="W1458" i="7" s="1"/>
  <c r="AA1457" i="7" a="1"/>
  <c r="AA1457" i="7" s="1"/>
  <c r="Z1457" i="7" a="1"/>
  <c r="Z1457" i="7" s="1"/>
  <c r="Y1457" i="7" a="1"/>
  <c r="Y1457" i="7" s="1"/>
  <c r="X1457" i="7" a="1"/>
  <c r="X1457" i="7" s="1"/>
  <c r="W1457" i="7" a="1"/>
  <c r="W1457" i="7" s="1"/>
  <c r="AA1456" i="7" a="1"/>
  <c r="AA1456" i="7" s="1"/>
  <c r="Z1456" i="7" a="1"/>
  <c r="Z1456" i="7" s="1"/>
  <c r="Y1456" i="7" a="1"/>
  <c r="Y1456" i="7" s="1"/>
  <c r="X1456" i="7" a="1"/>
  <c r="X1456" i="7" s="1"/>
  <c r="W1456" i="7" a="1"/>
  <c r="W1456" i="7" s="1"/>
  <c r="AA1455" i="7" a="1"/>
  <c r="AA1455" i="7" s="1"/>
  <c r="Z1455" i="7" a="1"/>
  <c r="Z1455" i="7" s="1"/>
  <c r="Y1455" i="7" a="1"/>
  <c r="Y1455" i="7" s="1"/>
  <c r="X1455" i="7" a="1"/>
  <c r="X1455" i="7" s="1"/>
  <c r="W1455" i="7" a="1"/>
  <c r="W1455" i="7" s="1"/>
  <c r="AA1454" i="7" a="1"/>
  <c r="AA1454" i="7" s="1"/>
  <c r="Z1454" i="7" a="1"/>
  <c r="Z1454" i="7" s="1"/>
  <c r="Y1454" i="7" a="1"/>
  <c r="Y1454" i="7" s="1"/>
  <c r="X1454" i="7" a="1"/>
  <c r="X1454" i="7" s="1"/>
  <c r="W1454" i="7" a="1"/>
  <c r="W1454" i="7" s="1"/>
  <c r="W1453" i="7" a="1"/>
  <c r="W1453" i="7" s="1"/>
  <c r="W1452" i="7" a="1"/>
  <c r="W1452" i="7" s="1"/>
  <c r="W1451" i="7" a="1"/>
  <c r="W1451" i="7" s="1"/>
  <c r="W1450" i="7" a="1"/>
  <c r="W1450" i="7" s="1"/>
  <c r="W1449" i="7" a="1"/>
  <c r="W1449" i="7" s="1"/>
  <c r="W1448" i="7" a="1"/>
  <c r="W1448" i="7" s="1"/>
  <c r="W1447" i="7" a="1"/>
  <c r="W1447" i="7" s="1"/>
  <c r="W1446" i="7" a="1"/>
  <c r="W1446" i="7" s="1"/>
  <c r="W1445" i="7" a="1"/>
  <c r="W1445" i="7" s="1"/>
  <c r="W1444" i="7" a="1"/>
  <c r="W1444" i="7" s="1"/>
  <c r="W1443" i="7" a="1"/>
  <c r="W1443" i="7" s="1"/>
  <c r="W1442" i="7" a="1"/>
  <c r="W1442" i="7" s="1"/>
  <c r="W1441" i="7" a="1"/>
  <c r="W1441" i="7" s="1"/>
  <c r="W1440" i="7" a="1"/>
  <c r="W1440" i="7" s="1"/>
  <c r="W1439" i="7" a="1"/>
  <c r="W1439" i="7" s="1"/>
  <c r="W1438" i="7" a="1"/>
  <c r="W1438" i="7" s="1"/>
  <c r="W1437" i="7" a="1"/>
  <c r="W1437" i="7" s="1"/>
  <c r="W1436" i="7" a="1"/>
  <c r="W1436" i="7" s="1"/>
  <c r="AA1292" i="7" a="1"/>
  <c r="AA1292" i="7" s="1"/>
  <c r="Z1292" i="7" a="1"/>
  <c r="Z1292" i="7" s="1"/>
  <c r="Y1292" i="7" a="1"/>
  <c r="Y1292" i="7" s="1"/>
  <c r="X1292" i="7" a="1"/>
  <c r="X1292" i="7" s="1"/>
  <c r="W1292" i="7" a="1"/>
  <c r="W1292" i="7" s="1"/>
  <c r="AA1291" i="7" a="1"/>
  <c r="AA1291" i="7" s="1"/>
  <c r="Z1291" i="7" a="1"/>
  <c r="Z1291" i="7" s="1"/>
  <c r="Y1291" i="7" a="1"/>
  <c r="Y1291" i="7" s="1"/>
  <c r="X1291" i="7" a="1"/>
  <c r="X1291" i="7" s="1"/>
  <c r="W1291" i="7" a="1"/>
  <c r="W1291" i="7" s="1"/>
  <c r="AA1290" i="7" a="1"/>
  <c r="AA1290" i="7" s="1"/>
  <c r="Z1290" i="7" a="1"/>
  <c r="Z1290" i="7" s="1"/>
  <c r="Y1290" i="7" a="1"/>
  <c r="Y1290" i="7" s="1"/>
  <c r="X1290" i="7" a="1"/>
  <c r="X1290" i="7" s="1"/>
  <c r="W1290" i="7" a="1"/>
  <c r="W1290" i="7" s="1"/>
  <c r="AA1289" i="7" a="1"/>
  <c r="AA1289" i="7" s="1"/>
  <c r="Z1289" i="7" a="1"/>
  <c r="Z1289" i="7" s="1"/>
  <c r="Y1289" i="7" a="1"/>
  <c r="Y1289" i="7" s="1"/>
  <c r="X1289" i="7" a="1"/>
  <c r="X1289" i="7" s="1"/>
  <c r="W1289" i="7" a="1"/>
  <c r="W1289" i="7" s="1"/>
  <c r="AA1288" i="7" a="1"/>
  <c r="AA1288" i="7" s="1"/>
  <c r="Z1288" i="7" a="1"/>
  <c r="Z1288" i="7" s="1"/>
  <c r="Y1288" i="7" a="1"/>
  <c r="Y1288" i="7" s="1"/>
  <c r="X1288" i="7" a="1"/>
  <c r="X1288" i="7" s="1"/>
  <c r="W1288" i="7" a="1"/>
  <c r="W1288" i="7" s="1"/>
  <c r="AA1287" i="7" a="1"/>
  <c r="AA1287" i="7" s="1"/>
  <c r="Z1287" i="7" a="1"/>
  <c r="Z1287" i="7" s="1"/>
  <c r="Y1287" i="7" a="1"/>
  <c r="Y1287" i="7" s="1"/>
  <c r="X1287" i="7" a="1"/>
  <c r="X1287" i="7" s="1"/>
  <c r="W1287" i="7" a="1"/>
  <c r="W1287" i="7" s="1"/>
  <c r="AA1286" i="7" a="1"/>
  <c r="AA1286" i="7" s="1"/>
  <c r="Z1286" i="7" a="1"/>
  <c r="Z1286" i="7" s="1"/>
  <c r="Y1286" i="7" a="1"/>
  <c r="Y1286" i="7" s="1"/>
  <c r="X1286" i="7" a="1"/>
  <c r="X1286" i="7" s="1"/>
  <c r="W1286" i="7" a="1"/>
  <c r="W1286" i="7" s="1"/>
  <c r="AA1285" i="7" a="1"/>
  <c r="AA1285" i="7" s="1"/>
  <c r="Z1285" i="7" a="1"/>
  <c r="Z1285" i="7" s="1"/>
  <c r="Y1285" i="7" a="1"/>
  <c r="Y1285" i="7" s="1"/>
  <c r="X1285" i="7" a="1"/>
  <c r="X1285" i="7" s="1"/>
  <c r="W1285" i="7" a="1"/>
  <c r="W1285" i="7" s="1"/>
  <c r="AA1284" i="7" a="1"/>
  <c r="AA1284" i="7" s="1"/>
  <c r="Z1284" i="7" a="1"/>
  <c r="Z1284" i="7" s="1"/>
  <c r="Y1284" i="7" a="1"/>
  <c r="Y1284" i="7" s="1"/>
  <c r="X1284" i="7" a="1"/>
  <c r="X1284" i="7" s="1"/>
  <c r="W1284" i="7" a="1"/>
  <c r="W1284" i="7" s="1"/>
  <c r="AA1283" i="7" a="1"/>
  <c r="AA1283" i="7" s="1"/>
  <c r="Z1283" i="7" a="1"/>
  <c r="Z1283" i="7" s="1"/>
  <c r="Y1283" i="7" a="1"/>
  <c r="Y1283" i="7" s="1"/>
  <c r="X1283" i="7" a="1"/>
  <c r="X1283" i="7" s="1"/>
  <c r="W1283" i="7" a="1"/>
  <c r="W1283" i="7" s="1"/>
  <c r="AA1282" i="7" a="1"/>
  <c r="AA1282" i="7" s="1"/>
  <c r="Z1282" i="7" a="1"/>
  <c r="Z1282" i="7" s="1"/>
  <c r="Y1282" i="7" a="1"/>
  <c r="Y1282" i="7" s="1"/>
  <c r="X1282" i="7" a="1"/>
  <c r="X1282" i="7" s="1"/>
  <c r="W1282" i="7" a="1"/>
  <c r="W1282" i="7" s="1"/>
  <c r="AA1281" i="7" a="1"/>
  <c r="AA1281" i="7" s="1"/>
  <c r="Z1281" i="7" a="1"/>
  <c r="Z1281" i="7" s="1"/>
  <c r="Y1281" i="7" a="1"/>
  <c r="Y1281" i="7" s="1"/>
  <c r="X1281" i="7" a="1"/>
  <c r="X1281" i="7" s="1"/>
  <c r="W1281" i="7" a="1"/>
  <c r="W1281" i="7" s="1"/>
  <c r="AA1280" i="7" a="1"/>
  <c r="AA1280" i="7" s="1"/>
  <c r="Z1280" i="7" a="1"/>
  <c r="Z1280" i="7" s="1"/>
  <c r="Y1280" i="7" a="1"/>
  <c r="Y1280" i="7" s="1"/>
  <c r="X1280" i="7" a="1"/>
  <c r="X1280" i="7" s="1"/>
  <c r="W1280" i="7" a="1"/>
  <c r="W1280" i="7" s="1"/>
  <c r="AA1279" i="7" a="1"/>
  <c r="AA1279" i="7" s="1"/>
  <c r="Z1279" i="7" a="1"/>
  <c r="Z1279" i="7" s="1"/>
  <c r="Y1279" i="7" a="1"/>
  <c r="Y1279" i="7" s="1"/>
  <c r="X1279" i="7" a="1"/>
  <c r="X1279" i="7" s="1"/>
  <c r="W1279" i="7" a="1"/>
  <c r="W1279" i="7" s="1"/>
  <c r="AA1278" i="7" a="1"/>
  <c r="AA1278" i="7" s="1"/>
  <c r="Z1278" i="7" a="1"/>
  <c r="Z1278" i="7" s="1"/>
  <c r="Y1278" i="7" a="1"/>
  <c r="Y1278" i="7" s="1"/>
  <c r="X1278" i="7" a="1"/>
  <c r="X1278" i="7" s="1"/>
  <c r="W1278" i="7" a="1"/>
  <c r="W1278" i="7" s="1"/>
  <c r="AA1277" i="7" a="1"/>
  <c r="AA1277" i="7" s="1"/>
  <c r="Z1277" i="7" a="1"/>
  <c r="Z1277" i="7" s="1"/>
  <c r="Y1277" i="7" a="1"/>
  <c r="Y1277" i="7" s="1"/>
  <c r="X1277" i="7" a="1"/>
  <c r="X1277" i="7" s="1"/>
  <c r="W1277" i="7" a="1"/>
  <c r="W1277" i="7" s="1"/>
  <c r="AA1276" i="7" a="1"/>
  <c r="AA1276" i="7" s="1"/>
  <c r="Z1276" i="7" a="1"/>
  <c r="Z1276" i="7" s="1"/>
  <c r="Y1276" i="7" a="1"/>
  <c r="Y1276" i="7" s="1"/>
  <c r="X1276" i="7" a="1"/>
  <c r="X1276" i="7" s="1"/>
  <c r="W1276" i="7" a="1"/>
  <c r="W1276" i="7" s="1"/>
  <c r="AA1275" i="7" a="1"/>
  <c r="AA1275" i="7" s="1"/>
  <c r="Z1275" i="7" a="1"/>
  <c r="Z1275" i="7" s="1"/>
  <c r="Y1275" i="7" a="1"/>
  <c r="Y1275" i="7" s="1"/>
  <c r="X1275" i="7" a="1"/>
  <c r="X1275" i="7" s="1"/>
  <c r="W1275" i="7" a="1"/>
  <c r="W1275" i="7" s="1"/>
  <c r="W1274" i="7" a="1"/>
  <c r="W1274" i="7" s="1"/>
  <c r="W1273" i="7" a="1"/>
  <c r="W1273" i="7" s="1"/>
  <c r="W1272" i="7" a="1"/>
  <c r="W1272" i="7" s="1"/>
  <c r="W1271" i="7" a="1"/>
  <c r="W1271" i="7" s="1"/>
  <c r="W1270" i="7" a="1"/>
  <c r="W1270" i="7" s="1"/>
  <c r="W1269" i="7" a="1"/>
  <c r="W1269" i="7" s="1"/>
  <c r="W1268" i="7" a="1"/>
  <c r="W1268" i="7" s="1"/>
  <c r="W1267" i="7" a="1"/>
  <c r="W1267" i="7" s="1"/>
  <c r="W1266" i="7" a="1"/>
  <c r="W1266" i="7" s="1"/>
  <c r="W1265" i="7" a="1"/>
  <c r="W1265" i="7" s="1"/>
  <c r="W1264" i="7" a="1"/>
  <c r="W1264" i="7" s="1"/>
  <c r="W4" i="7" a="1"/>
  <c r="W4" i="7" s="1"/>
  <c r="W5" i="7" a="1"/>
  <c r="W5" i="7" s="1"/>
  <c r="W6" i="7" a="1"/>
  <c r="W6" i="7" s="1"/>
  <c r="W7" i="7" a="1"/>
  <c r="W7" i="7" s="1"/>
  <c r="W8" i="7" a="1"/>
  <c r="W8" i="7" s="1"/>
  <c r="W9" i="7" a="1"/>
  <c r="W9" i="7" s="1"/>
  <c r="W10" i="7" a="1"/>
  <c r="W10" i="7" s="1"/>
  <c r="W11" i="7" a="1"/>
  <c r="W11" i="7" s="1"/>
  <c r="W12" i="7" a="1"/>
  <c r="W12" i="7" s="1"/>
  <c r="W13" i="7" a="1"/>
  <c r="W13" i="7" s="1"/>
  <c r="W14" i="7" a="1"/>
  <c r="W14" i="7" s="1"/>
  <c r="W15" i="7" a="1"/>
  <c r="W15" i="7" s="1"/>
  <c r="W16" i="7" a="1"/>
  <c r="W16" i="7" s="1"/>
  <c r="W17" i="7" a="1"/>
  <c r="W17" i="7" s="1"/>
  <c r="W18" i="7" a="1"/>
  <c r="W18" i="7" s="1"/>
  <c r="W19" i="7" a="1"/>
  <c r="W19" i="7" s="1"/>
  <c r="W20" i="7" a="1"/>
  <c r="W20" i="7" s="1"/>
  <c r="W21" i="7" a="1"/>
  <c r="W21" i="7" s="1"/>
  <c r="W22" i="7" a="1"/>
  <c r="W22" i="7" s="1"/>
  <c r="X22" i="7" a="1"/>
  <c r="X22" i="7" s="1"/>
  <c r="Y22" i="7" a="1"/>
  <c r="Y22" i="7" s="1"/>
  <c r="Z22" i="7" a="1"/>
  <c r="Z22" i="7" s="1"/>
  <c r="AA22" i="7" a="1"/>
  <c r="AA22" i="7" s="1"/>
  <c r="W23" i="7" a="1"/>
  <c r="W23" i="7" s="1"/>
  <c r="X23" i="7" a="1"/>
  <c r="X23" i="7" s="1"/>
  <c r="Y23" i="7" a="1"/>
  <c r="Y23" i="7" s="1"/>
  <c r="Z23" i="7" a="1"/>
  <c r="Z23" i="7" s="1"/>
  <c r="AA23" i="7" a="1"/>
  <c r="AA23" i="7" s="1"/>
  <c r="W24" i="7" a="1"/>
  <c r="W24" i="7" s="1"/>
  <c r="X24" i="7" a="1"/>
  <c r="X24" i="7" s="1"/>
  <c r="Y24" i="7" a="1"/>
  <c r="Y24" i="7" s="1"/>
  <c r="Z24" i="7" a="1"/>
  <c r="Z24" i="7" s="1"/>
  <c r="AA24" i="7" a="1"/>
  <c r="AA24" i="7" s="1"/>
  <c r="W25" i="7" a="1"/>
  <c r="W25" i="7" s="1"/>
  <c r="X25" i="7" a="1"/>
  <c r="X25" i="7" s="1"/>
  <c r="Y25" i="7" a="1"/>
  <c r="Y25" i="7" s="1"/>
  <c r="Z25" i="7" a="1"/>
  <c r="Z25" i="7" s="1"/>
  <c r="AA25" i="7" a="1"/>
  <c r="AA25" i="7" s="1"/>
  <c r="W26" i="7" a="1"/>
  <c r="W26" i="7" s="1"/>
  <c r="X26" i="7" a="1"/>
  <c r="X26" i="7" s="1"/>
  <c r="Y26" i="7" a="1"/>
  <c r="Y26" i="7" s="1"/>
  <c r="Z26" i="7" a="1"/>
  <c r="Z26" i="7" s="1"/>
  <c r="AA26" i="7" a="1"/>
  <c r="AA26" i="7" s="1"/>
  <c r="W27" i="7" a="1"/>
  <c r="W27" i="7" s="1"/>
  <c r="X27" i="7" a="1"/>
  <c r="X27" i="7" s="1"/>
  <c r="Y27" i="7" a="1"/>
  <c r="Y27" i="7" s="1"/>
  <c r="Z27" i="7" a="1"/>
  <c r="Z27" i="7" s="1"/>
  <c r="AA27" i="7" a="1"/>
  <c r="AA27" i="7" s="1"/>
  <c r="W28" i="7" a="1"/>
  <c r="W28" i="7" s="1"/>
  <c r="X28" i="7" a="1"/>
  <c r="X28" i="7" s="1"/>
  <c r="Y28" i="7" a="1"/>
  <c r="Y28" i="7" s="1"/>
  <c r="Z28" i="7" a="1"/>
  <c r="Z28" i="7" s="1"/>
  <c r="AA28" i="7" a="1"/>
  <c r="AA28" i="7" s="1"/>
  <c r="W29" i="7" a="1"/>
  <c r="W29" i="7" s="1"/>
  <c r="X29" i="7" a="1"/>
  <c r="X29" i="7" s="1"/>
  <c r="Y29" i="7" a="1"/>
  <c r="Y29" i="7" s="1"/>
  <c r="Z29" i="7" a="1"/>
  <c r="Z29" i="7" s="1"/>
  <c r="AA29" i="7" a="1"/>
  <c r="AA29" i="7" s="1"/>
  <c r="W30" i="7" a="1"/>
  <c r="W30" i="7" s="1"/>
  <c r="X30" i="7" a="1"/>
  <c r="X30" i="7" s="1"/>
  <c r="Y30" i="7" a="1"/>
  <c r="Y30" i="7" s="1"/>
  <c r="Z30" i="7" a="1"/>
  <c r="Z30" i="7" s="1"/>
  <c r="AA30" i="7" a="1"/>
  <c r="AA30" i="7" s="1"/>
  <c r="W31" i="7" a="1"/>
  <c r="W31" i="7" s="1"/>
  <c r="X31" i="7" a="1"/>
  <c r="X31" i="7" s="1"/>
  <c r="Y31" i="7" a="1"/>
  <c r="Y31" i="7" s="1"/>
  <c r="Z31" i="7" a="1"/>
  <c r="Z31" i="7" s="1"/>
  <c r="AA31" i="7" a="1"/>
  <c r="AA31" i="7" s="1"/>
  <c r="W32" i="7" a="1"/>
  <c r="W32" i="7" s="1"/>
  <c r="X32" i="7" a="1"/>
  <c r="X32" i="7" s="1"/>
  <c r="Y32" i="7" a="1"/>
  <c r="Y32" i="7" s="1"/>
  <c r="Z32" i="7" a="1"/>
  <c r="Z32" i="7" s="1"/>
  <c r="AA32" i="7" a="1"/>
  <c r="AA32" i="7" s="1"/>
  <c r="W33" i="7" a="1"/>
  <c r="W33" i="7" s="1"/>
  <c r="X33" i="7" a="1"/>
  <c r="X33" i="7" s="1"/>
  <c r="Y33" i="7" a="1"/>
  <c r="Y33" i="7" s="1"/>
  <c r="Z33" i="7" a="1"/>
  <c r="Z33" i="7" s="1"/>
  <c r="AA33" i="7" a="1"/>
  <c r="AA33" i="7" s="1"/>
  <c r="W34" i="7" a="1"/>
  <c r="W34" i="7" s="1"/>
  <c r="X34" i="7" a="1"/>
  <c r="X34" i="7" s="1"/>
  <c r="Y34" i="7" a="1"/>
  <c r="Y34" i="7" s="1"/>
  <c r="Z34" i="7" a="1"/>
  <c r="Z34" i="7" s="1"/>
  <c r="AA34" i="7" a="1"/>
  <c r="AA34" i="7" s="1"/>
  <c r="W35" i="7" a="1"/>
  <c r="W35" i="7" s="1"/>
  <c r="X35" i="7" a="1"/>
  <c r="X35" i="7" s="1"/>
  <c r="Y35" i="7" a="1"/>
  <c r="Y35" i="7" s="1"/>
  <c r="Z35" i="7" a="1"/>
  <c r="Z35" i="7" s="1"/>
  <c r="AA35" i="7" a="1"/>
  <c r="AA35" i="7" s="1"/>
  <c r="W36" i="7" a="1"/>
  <c r="W36" i="7" s="1"/>
  <c r="X36" i="7" a="1"/>
  <c r="X36" i="7" s="1"/>
  <c r="Y36" i="7" a="1"/>
  <c r="Y36" i="7" s="1"/>
  <c r="Z36" i="7" a="1"/>
  <c r="Z36" i="7" s="1"/>
  <c r="AA36" i="7" a="1"/>
  <c r="AA36" i="7" s="1"/>
  <c r="W37" i="7" a="1"/>
  <c r="W37" i="7" s="1"/>
  <c r="X37" i="7" a="1"/>
  <c r="X37" i="7" s="1"/>
  <c r="Y37" i="7" a="1"/>
  <c r="Y37" i="7" s="1"/>
  <c r="Z37" i="7" a="1"/>
  <c r="Z37" i="7" s="1"/>
  <c r="AA37" i="7" a="1"/>
  <c r="AA37" i="7" s="1"/>
  <c r="W38" i="7" a="1"/>
  <c r="W38" i="7" s="1"/>
  <c r="X38" i="7" a="1"/>
  <c r="X38" i="7" s="1"/>
  <c r="Y38" i="7" a="1"/>
  <c r="Y38" i="7" s="1"/>
  <c r="Z38" i="7" a="1"/>
  <c r="Z38" i="7" s="1"/>
  <c r="AA38" i="7" a="1"/>
  <c r="AA38" i="7" s="1"/>
  <c r="W39" i="7" a="1"/>
  <c r="W39" i="7" s="1"/>
  <c r="X39" i="7" a="1"/>
  <c r="X39" i="7" s="1"/>
  <c r="Y39" i="7" a="1"/>
  <c r="Y39" i="7" s="1"/>
  <c r="Z39" i="7" a="1"/>
  <c r="Z39" i="7" s="1"/>
  <c r="AA39" i="7" a="1"/>
  <c r="AA39" i="7" s="1"/>
  <c r="W1263" i="7" a="1"/>
  <c r="W1263" i="7" s="1"/>
  <c r="W1262" i="7" a="1"/>
  <c r="W1262" i="7" s="1"/>
  <c r="W1261" i="7" a="1"/>
  <c r="W1261" i="7" s="1"/>
  <c r="W1260" i="7" a="1"/>
  <c r="W1260" i="7" s="1"/>
  <c r="W1259" i="7" a="1"/>
  <c r="W1259" i="7" s="1"/>
  <c r="W1258" i="7" a="1"/>
  <c r="W1258" i="7" s="1"/>
  <c r="W1257" i="7" a="1"/>
  <c r="W1257" i="7" s="1"/>
  <c r="AA1113" i="7" a="1"/>
  <c r="AA1113" i="7" s="1"/>
  <c r="Z1113" i="7" a="1"/>
  <c r="Z1113" i="7" s="1"/>
  <c r="Y1113" i="7" a="1"/>
  <c r="Y1113" i="7" s="1"/>
  <c r="X1113" i="7" a="1"/>
  <c r="X1113" i="7" s="1"/>
  <c r="W1113" i="7" a="1"/>
  <c r="W1113" i="7" s="1"/>
  <c r="AA1112" i="7" a="1"/>
  <c r="AA1112" i="7" s="1"/>
  <c r="Z1112" i="7" a="1"/>
  <c r="Z1112" i="7" s="1"/>
  <c r="Y1112" i="7" a="1"/>
  <c r="Y1112" i="7" s="1"/>
  <c r="X1112" i="7" a="1"/>
  <c r="X1112" i="7" s="1"/>
  <c r="W1112" i="7" a="1"/>
  <c r="W1112" i="7" s="1"/>
  <c r="AA1111" i="7" a="1"/>
  <c r="AA1111" i="7" s="1"/>
  <c r="Z1111" i="7" a="1"/>
  <c r="Z1111" i="7" s="1"/>
  <c r="Y1111" i="7" a="1"/>
  <c r="Y1111" i="7" s="1"/>
  <c r="X1111" i="7" a="1"/>
  <c r="X1111" i="7" s="1"/>
  <c r="W1111" i="7" a="1"/>
  <c r="W1111" i="7" s="1"/>
  <c r="AA1110" i="7" a="1"/>
  <c r="AA1110" i="7" s="1"/>
  <c r="Z1110" i="7" a="1"/>
  <c r="Z1110" i="7" s="1"/>
  <c r="Y1110" i="7" a="1"/>
  <c r="Y1110" i="7" s="1"/>
  <c r="X1110" i="7" a="1"/>
  <c r="X1110" i="7" s="1"/>
  <c r="W1110" i="7" a="1"/>
  <c r="W1110" i="7" s="1"/>
  <c r="AA1109" i="7" a="1"/>
  <c r="AA1109" i="7" s="1"/>
  <c r="Z1109" i="7" a="1"/>
  <c r="Z1109" i="7" s="1"/>
  <c r="Y1109" i="7" a="1"/>
  <c r="Y1109" i="7" s="1"/>
  <c r="X1109" i="7" a="1"/>
  <c r="X1109" i="7" s="1"/>
  <c r="W1109" i="7" a="1"/>
  <c r="W1109" i="7" s="1"/>
  <c r="AA1108" i="7" a="1"/>
  <c r="AA1108" i="7" s="1"/>
  <c r="Z1108" i="7" a="1"/>
  <c r="Z1108" i="7" s="1"/>
  <c r="Y1108" i="7" a="1"/>
  <c r="Y1108" i="7" s="1"/>
  <c r="X1108" i="7" a="1"/>
  <c r="X1108" i="7" s="1"/>
  <c r="W1108" i="7" a="1"/>
  <c r="W1108" i="7" s="1"/>
  <c r="AA1107" i="7" a="1"/>
  <c r="AA1107" i="7" s="1"/>
  <c r="Z1107" i="7" a="1"/>
  <c r="Z1107" i="7" s="1"/>
  <c r="Y1107" i="7" a="1"/>
  <c r="Y1107" i="7" s="1"/>
  <c r="X1107" i="7" a="1"/>
  <c r="X1107" i="7" s="1"/>
  <c r="W1107" i="7" a="1"/>
  <c r="W1107" i="7" s="1"/>
  <c r="AA1106" i="7" a="1"/>
  <c r="AA1106" i="7" s="1"/>
  <c r="Z1106" i="7" a="1"/>
  <c r="Z1106" i="7" s="1"/>
  <c r="Y1106" i="7" a="1"/>
  <c r="Y1106" i="7" s="1"/>
  <c r="X1106" i="7" a="1"/>
  <c r="X1106" i="7" s="1"/>
  <c r="W1106" i="7" a="1"/>
  <c r="W1106" i="7" s="1"/>
  <c r="AA1105" i="7" a="1"/>
  <c r="AA1105" i="7" s="1"/>
  <c r="Z1105" i="7" a="1"/>
  <c r="Z1105" i="7" s="1"/>
  <c r="Y1105" i="7" a="1"/>
  <c r="Y1105" i="7" s="1"/>
  <c r="X1105" i="7" a="1"/>
  <c r="X1105" i="7" s="1"/>
  <c r="W1105" i="7" a="1"/>
  <c r="W1105" i="7" s="1"/>
  <c r="AA1104" i="7" a="1"/>
  <c r="AA1104" i="7" s="1"/>
  <c r="Z1104" i="7" a="1"/>
  <c r="Z1104" i="7" s="1"/>
  <c r="Y1104" i="7" a="1"/>
  <c r="Y1104" i="7" s="1"/>
  <c r="X1104" i="7" a="1"/>
  <c r="X1104" i="7" s="1"/>
  <c r="W1104" i="7" a="1"/>
  <c r="W1104" i="7" s="1"/>
  <c r="AA1103" i="7" a="1"/>
  <c r="AA1103" i="7" s="1"/>
  <c r="Z1103" i="7" a="1"/>
  <c r="Z1103" i="7" s="1"/>
  <c r="Y1103" i="7" a="1"/>
  <c r="Y1103" i="7" s="1"/>
  <c r="X1103" i="7" a="1"/>
  <c r="X1103" i="7" s="1"/>
  <c r="W1103" i="7" a="1"/>
  <c r="W1103" i="7" s="1"/>
  <c r="AA1102" i="7" a="1"/>
  <c r="AA1102" i="7" s="1"/>
  <c r="Z1102" i="7" a="1"/>
  <c r="Z1102" i="7" s="1"/>
  <c r="Y1102" i="7" a="1"/>
  <c r="Y1102" i="7" s="1"/>
  <c r="X1102" i="7" a="1"/>
  <c r="X1102" i="7" s="1"/>
  <c r="W1102" i="7" a="1"/>
  <c r="W1102" i="7" s="1"/>
  <c r="AA1101" i="7" a="1"/>
  <c r="AA1101" i="7" s="1"/>
  <c r="Z1101" i="7" a="1"/>
  <c r="Z1101" i="7" s="1"/>
  <c r="Y1101" i="7" a="1"/>
  <c r="Y1101" i="7" s="1"/>
  <c r="X1101" i="7" a="1"/>
  <c r="X1101" i="7" s="1"/>
  <c r="W1101" i="7" a="1"/>
  <c r="W1101" i="7" s="1"/>
  <c r="AA1100" i="7" a="1"/>
  <c r="AA1100" i="7" s="1"/>
  <c r="Z1100" i="7" a="1"/>
  <c r="Z1100" i="7" s="1"/>
  <c r="Y1100" i="7" a="1"/>
  <c r="Y1100" i="7" s="1"/>
  <c r="X1100" i="7" a="1"/>
  <c r="X1100" i="7" s="1"/>
  <c r="W1100" i="7" a="1"/>
  <c r="W1100" i="7" s="1"/>
  <c r="AA1099" i="7" a="1"/>
  <c r="AA1099" i="7" s="1"/>
  <c r="Z1099" i="7" a="1"/>
  <c r="Z1099" i="7" s="1"/>
  <c r="Y1099" i="7" a="1"/>
  <c r="Y1099" i="7" s="1"/>
  <c r="X1099" i="7" a="1"/>
  <c r="X1099" i="7" s="1"/>
  <c r="W1099" i="7" a="1"/>
  <c r="W1099" i="7" s="1"/>
  <c r="AA1098" i="7" a="1"/>
  <c r="AA1098" i="7" s="1"/>
  <c r="Z1098" i="7" a="1"/>
  <c r="Z1098" i="7" s="1"/>
  <c r="Y1098" i="7" a="1"/>
  <c r="Y1098" i="7" s="1"/>
  <c r="X1098" i="7" a="1"/>
  <c r="X1098" i="7" s="1"/>
  <c r="W1098" i="7" a="1"/>
  <c r="W1098" i="7" s="1"/>
  <c r="AA1097" i="7" a="1"/>
  <c r="AA1097" i="7" s="1"/>
  <c r="Z1097" i="7" a="1"/>
  <c r="Z1097" i="7" s="1"/>
  <c r="Y1097" i="7" a="1"/>
  <c r="Y1097" i="7" s="1"/>
  <c r="X1097" i="7" a="1"/>
  <c r="X1097" i="7" s="1"/>
  <c r="W1097" i="7" a="1"/>
  <c r="W1097" i="7" s="1"/>
  <c r="AA1096" i="7" a="1"/>
  <c r="AA1096" i="7" s="1"/>
  <c r="Z1096" i="7" a="1"/>
  <c r="Z1096" i="7" s="1"/>
  <c r="Y1096" i="7" a="1"/>
  <c r="Y1096" i="7" s="1"/>
  <c r="X1096" i="7" a="1"/>
  <c r="X1096" i="7" s="1"/>
  <c r="W1096" i="7" a="1"/>
  <c r="W1096" i="7" s="1"/>
  <c r="W1095" i="7" a="1"/>
  <c r="W1095" i="7" s="1"/>
  <c r="W1094" i="7" a="1"/>
  <c r="W1094" i="7" s="1"/>
  <c r="W1093" i="7" a="1"/>
  <c r="W1093" i="7" s="1"/>
  <c r="W1092" i="7" a="1"/>
  <c r="W1092" i="7" s="1"/>
  <c r="W1091" i="7" a="1"/>
  <c r="W1091" i="7" s="1"/>
  <c r="W1090" i="7" a="1"/>
  <c r="W1090" i="7" s="1"/>
  <c r="W1089" i="7" a="1"/>
  <c r="W1089" i="7" s="1"/>
  <c r="W1088" i="7" a="1"/>
  <c r="W1088" i="7" s="1"/>
  <c r="W1087" i="7" a="1"/>
  <c r="W1087" i="7" s="1"/>
  <c r="W1086" i="7" a="1"/>
  <c r="W1086" i="7" s="1"/>
  <c r="W1085" i="7" a="1"/>
  <c r="W1085" i="7" s="1"/>
  <c r="W1084" i="7" a="1"/>
  <c r="W1084" i="7" s="1"/>
  <c r="W1078" i="7" a="1"/>
  <c r="W1078" i="7" s="1"/>
  <c r="W1079" i="7" a="1"/>
  <c r="W1079" i="7" s="1"/>
  <c r="W1080" i="7" a="1"/>
  <c r="W1080" i="7" s="1"/>
  <c r="W1081" i="7" a="1"/>
  <c r="W1081" i="7" s="1"/>
  <c r="W1082" i="7" a="1"/>
  <c r="W1082" i="7" s="1"/>
  <c r="W1083" i="7" a="1"/>
  <c r="W1083" i="7" s="1"/>
  <c r="W899" i="7" a="1"/>
  <c r="W899" i="7" s="1"/>
  <c r="W900" i="7" a="1"/>
  <c r="W900" i="7" s="1"/>
  <c r="W901" i="7" a="1"/>
  <c r="W901" i="7" s="1"/>
  <c r="W902" i="7" a="1"/>
  <c r="W902" i="7" s="1"/>
  <c r="W903" i="7" a="1"/>
  <c r="W903" i="7" s="1"/>
  <c r="W904" i="7" a="1"/>
  <c r="W904" i="7" s="1"/>
  <c r="W905" i="7" a="1"/>
  <c r="W905" i="7" s="1"/>
  <c r="W906" i="7" a="1"/>
  <c r="W906" i="7" s="1"/>
  <c r="W907" i="7" a="1"/>
  <c r="W907" i="7" s="1"/>
  <c r="W908" i="7" a="1"/>
  <c r="W908" i="7" s="1"/>
  <c r="W909" i="7" a="1"/>
  <c r="W909" i="7" s="1"/>
  <c r="W910" i="7" a="1"/>
  <c r="W910" i="7" s="1"/>
  <c r="W911" i="7" a="1"/>
  <c r="W911" i="7" s="1"/>
  <c r="W912" i="7" a="1"/>
  <c r="W912" i="7" s="1"/>
  <c r="W913" i="7" a="1"/>
  <c r="W913" i="7" s="1"/>
  <c r="W914" i="7" a="1"/>
  <c r="W914" i="7" s="1"/>
  <c r="W915" i="7" a="1"/>
  <c r="W915" i="7" s="1"/>
  <c r="W916" i="7" a="1"/>
  <c r="W916" i="7" s="1"/>
  <c r="W917" i="7" a="1"/>
  <c r="W917" i="7" s="1"/>
  <c r="X917" i="7" a="1"/>
  <c r="X917" i="7" s="1"/>
  <c r="Y917" i="7" a="1"/>
  <c r="Y917" i="7" s="1"/>
  <c r="Z917" i="7" a="1"/>
  <c r="Z917" i="7" s="1"/>
  <c r="AA917" i="7" a="1"/>
  <c r="AA917" i="7" s="1"/>
  <c r="W918" i="7" a="1"/>
  <c r="W918" i="7" s="1"/>
  <c r="X918" i="7" a="1"/>
  <c r="X918" i="7" s="1"/>
  <c r="Y918" i="7" a="1"/>
  <c r="Y918" i="7" s="1"/>
  <c r="Z918" i="7" a="1"/>
  <c r="Z918" i="7" s="1"/>
  <c r="AA918" i="7" a="1"/>
  <c r="AA918" i="7" s="1"/>
  <c r="W919" i="7" a="1"/>
  <c r="W919" i="7" s="1"/>
  <c r="X919" i="7" a="1"/>
  <c r="X919" i="7" s="1"/>
  <c r="Y919" i="7" a="1"/>
  <c r="Y919" i="7" s="1"/>
  <c r="Z919" i="7" a="1"/>
  <c r="Z919" i="7" s="1"/>
  <c r="AA919" i="7" a="1"/>
  <c r="AA919" i="7" s="1"/>
  <c r="W920" i="7" a="1"/>
  <c r="W920" i="7" s="1"/>
  <c r="X920" i="7" a="1"/>
  <c r="X920" i="7" s="1"/>
  <c r="Y920" i="7" a="1"/>
  <c r="Y920" i="7" s="1"/>
  <c r="Z920" i="7" a="1"/>
  <c r="Z920" i="7" s="1"/>
  <c r="AA920" i="7" a="1"/>
  <c r="AA920" i="7" s="1"/>
  <c r="W921" i="7" a="1"/>
  <c r="W921" i="7" s="1"/>
  <c r="X921" i="7" a="1"/>
  <c r="X921" i="7" s="1"/>
  <c r="Y921" i="7" a="1"/>
  <c r="Y921" i="7" s="1"/>
  <c r="Z921" i="7" a="1"/>
  <c r="Z921" i="7" s="1"/>
  <c r="AA921" i="7" a="1"/>
  <c r="AA921" i="7" s="1"/>
  <c r="W922" i="7" a="1"/>
  <c r="W922" i="7" s="1"/>
  <c r="X922" i="7" a="1"/>
  <c r="X922" i="7" s="1"/>
  <c r="Y922" i="7" a="1"/>
  <c r="Y922" i="7" s="1"/>
  <c r="Z922" i="7" a="1"/>
  <c r="Z922" i="7" s="1"/>
  <c r="AA922" i="7" a="1"/>
  <c r="AA922" i="7" s="1"/>
  <c r="W923" i="7" a="1"/>
  <c r="W923" i="7" s="1"/>
  <c r="X923" i="7" a="1"/>
  <c r="X923" i="7" s="1"/>
  <c r="Y923" i="7" a="1"/>
  <c r="Y923" i="7" s="1"/>
  <c r="Z923" i="7" a="1"/>
  <c r="Z923" i="7" s="1"/>
  <c r="AA923" i="7" a="1"/>
  <c r="AA923" i="7" s="1"/>
  <c r="W924" i="7" a="1"/>
  <c r="W924" i="7" s="1"/>
  <c r="X924" i="7" a="1"/>
  <c r="X924" i="7" s="1"/>
  <c r="Y924" i="7" a="1"/>
  <c r="Y924" i="7" s="1"/>
  <c r="Z924" i="7" a="1"/>
  <c r="Z924" i="7" s="1"/>
  <c r="AA924" i="7" a="1"/>
  <c r="AA924" i="7" s="1"/>
  <c r="W925" i="7" a="1"/>
  <c r="W925" i="7" s="1"/>
  <c r="X925" i="7" a="1"/>
  <c r="X925" i="7" s="1"/>
  <c r="Y925" i="7" a="1"/>
  <c r="Y925" i="7" s="1"/>
  <c r="Z925" i="7" a="1"/>
  <c r="Z925" i="7" s="1"/>
  <c r="AA925" i="7" a="1"/>
  <c r="AA925" i="7" s="1"/>
  <c r="W926" i="7" a="1"/>
  <c r="W926" i="7" s="1"/>
  <c r="X926" i="7" a="1"/>
  <c r="X926" i="7" s="1"/>
  <c r="Y926" i="7" a="1"/>
  <c r="Y926" i="7" s="1"/>
  <c r="Z926" i="7" a="1"/>
  <c r="Z926" i="7" s="1"/>
  <c r="AA926" i="7" a="1"/>
  <c r="AA926" i="7" s="1"/>
  <c r="W927" i="7" a="1"/>
  <c r="W927" i="7" s="1"/>
  <c r="X927" i="7" a="1"/>
  <c r="X927" i="7" s="1"/>
  <c r="Y927" i="7" a="1"/>
  <c r="Y927" i="7" s="1"/>
  <c r="Z927" i="7" a="1"/>
  <c r="Z927" i="7" s="1"/>
  <c r="AA927" i="7" a="1"/>
  <c r="AA927" i="7" s="1"/>
  <c r="W928" i="7" a="1"/>
  <c r="W928" i="7" s="1"/>
  <c r="X928" i="7" a="1"/>
  <c r="X928" i="7" s="1"/>
  <c r="Y928" i="7" a="1"/>
  <c r="Y928" i="7" s="1"/>
  <c r="Z928" i="7" a="1"/>
  <c r="Z928" i="7" s="1"/>
  <c r="AA928" i="7" a="1"/>
  <c r="AA928" i="7" s="1"/>
  <c r="W929" i="7" a="1"/>
  <c r="W929" i="7" s="1"/>
  <c r="X929" i="7" a="1"/>
  <c r="X929" i="7" s="1"/>
  <c r="Y929" i="7" a="1"/>
  <c r="Y929" i="7" s="1"/>
  <c r="Z929" i="7" a="1"/>
  <c r="Z929" i="7" s="1"/>
  <c r="AA929" i="7" a="1"/>
  <c r="AA929" i="7" s="1"/>
  <c r="W930" i="7" a="1"/>
  <c r="W930" i="7" s="1"/>
  <c r="X930" i="7" a="1"/>
  <c r="X930" i="7" s="1"/>
  <c r="Y930" i="7" a="1"/>
  <c r="Y930" i="7" s="1"/>
  <c r="Z930" i="7" a="1"/>
  <c r="Z930" i="7" s="1"/>
  <c r="AA930" i="7" a="1"/>
  <c r="AA930" i="7" s="1"/>
  <c r="W931" i="7" a="1"/>
  <c r="W931" i="7" s="1"/>
  <c r="X931" i="7" a="1"/>
  <c r="X931" i="7" s="1"/>
  <c r="Y931" i="7" a="1"/>
  <c r="Y931" i="7" s="1"/>
  <c r="Z931" i="7" a="1"/>
  <c r="Z931" i="7" s="1"/>
  <c r="AA931" i="7" a="1"/>
  <c r="AA931" i="7" s="1"/>
  <c r="W932" i="7" a="1"/>
  <c r="W932" i="7" s="1"/>
  <c r="X932" i="7" a="1"/>
  <c r="X932" i="7" s="1"/>
  <c r="Y932" i="7" a="1"/>
  <c r="Y932" i="7" s="1"/>
  <c r="Z932" i="7" a="1"/>
  <c r="Z932" i="7" s="1"/>
  <c r="AA932" i="7" a="1"/>
  <c r="AA932" i="7" s="1"/>
  <c r="W933" i="7" a="1"/>
  <c r="W933" i="7" s="1"/>
  <c r="X933" i="7" a="1"/>
  <c r="X933" i="7" s="1"/>
  <c r="Y933" i="7" a="1"/>
  <c r="Y933" i="7" s="1"/>
  <c r="Z933" i="7" a="1"/>
  <c r="Z933" i="7" s="1"/>
  <c r="AA933" i="7" a="1"/>
  <c r="AA933" i="7" s="1"/>
  <c r="W934" i="7" a="1"/>
  <c r="W934" i="7" s="1"/>
  <c r="X934" i="7" a="1"/>
  <c r="X934" i="7" s="1"/>
  <c r="Y934" i="7" a="1"/>
  <c r="Y934" i="7" s="1"/>
  <c r="Z934" i="7" a="1"/>
  <c r="Z934" i="7" s="1"/>
  <c r="AA934" i="7" a="1"/>
  <c r="AA934" i="7" s="1"/>
  <c r="W720" i="7" a="1"/>
  <c r="W720" i="7" s="1"/>
  <c r="W721" i="7" a="1"/>
  <c r="W721" i="7" s="1"/>
  <c r="W722" i="7" a="1"/>
  <c r="W722" i="7" s="1"/>
  <c r="W723" i="7" a="1"/>
  <c r="W723" i="7" s="1"/>
  <c r="W724" i="7" a="1"/>
  <c r="W724" i="7" s="1"/>
  <c r="W725" i="7" a="1"/>
  <c r="W725" i="7" s="1"/>
  <c r="W726" i="7" a="1"/>
  <c r="W726" i="7" s="1"/>
  <c r="W727" i="7" a="1"/>
  <c r="W727" i="7" s="1"/>
  <c r="W728" i="7" a="1"/>
  <c r="W728" i="7" s="1"/>
  <c r="W729" i="7" a="1"/>
  <c r="W729" i="7" s="1"/>
  <c r="W730" i="7" a="1"/>
  <c r="W730" i="7" s="1"/>
  <c r="W731" i="7" a="1"/>
  <c r="W731" i="7" s="1"/>
  <c r="W732" i="7" a="1"/>
  <c r="W732" i="7" s="1"/>
  <c r="W733" i="7" a="1"/>
  <c r="W733" i="7" s="1"/>
  <c r="W734" i="7" a="1"/>
  <c r="W734" i="7" s="1"/>
  <c r="W735" i="7" a="1"/>
  <c r="W735" i="7" s="1"/>
  <c r="W736" i="7" a="1"/>
  <c r="W736" i="7" s="1"/>
  <c r="W737" i="7" a="1"/>
  <c r="W737" i="7" s="1"/>
  <c r="W738" i="7" a="1"/>
  <c r="W738" i="7" s="1"/>
  <c r="X738" i="7" a="1"/>
  <c r="X738" i="7" s="1"/>
  <c r="Y738" i="7" a="1"/>
  <c r="Y738" i="7" s="1"/>
  <c r="Z738" i="7" a="1"/>
  <c r="Z738" i="7" s="1"/>
  <c r="AA738" i="7" a="1"/>
  <c r="AA738" i="7" s="1"/>
  <c r="W739" i="7" a="1"/>
  <c r="W739" i="7" s="1"/>
  <c r="X739" i="7" a="1"/>
  <c r="X739" i="7" s="1"/>
  <c r="Y739" i="7" a="1"/>
  <c r="Y739" i="7" s="1"/>
  <c r="Z739" i="7" a="1"/>
  <c r="Z739" i="7" s="1"/>
  <c r="AA739" i="7" a="1"/>
  <c r="AA739" i="7" s="1"/>
  <c r="W740" i="7" a="1"/>
  <c r="W740" i="7" s="1"/>
  <c r="X740" i="7" a="1"/>
  <c r="X740" i="7" s="1"/>
  <c r="Y740" i="7" a="1"/>
  <c r="Y740" i="7" s="1"/>
  <c r="Z740" i="7" a="1"/>
  <c r="Z740" i="7" s="1"/>
  <c r="AA740" i="7" a="1"/>
  <c r="AA740" i="7" s="1"/>
  <c r="W741" i="7" a="1"/>
  <c r="W741" i="7" s="1"/>
  <c r="X741" i="7" a="1"/>
  <c r="X741" i="7" s="1"/>
  <c r="Y741" i="7" a="1"/>
  <c r="Y741" i="7" s="1"/>
  <c r="Z741" i="7" a="1"/>
  <c r="Z741" i="7" s="1"/>
  <c r="AA741" i="7" a="1"/>
  <c r="AA741" i="7" s="1"/>
  <c r="W742" i="7" a="1"/>
  <c r="W742" i="7" s="1"/>
  <c r="X742" i="7" a="1"/>
  <c r="X742" i="7" s="1"/>
  <c r="Y742" i="7" a="1"/>
  <c r="Y742" i="7" s="1"/>
  <c r="Z742" i="7" a="1"/>
  <c r="Z742" i="7" s="1"/>
  <c r="AA742" i="7" a="1"/>
  <c r="AA742" i="7" s="1"/>
  <c r="W743" i="7" a="1"/>
  <c r="W743" i="7" s="1"/>
  <c r="X743" i="7" a="1"/>
  <c r="X743" i="7" s="1"/>
  <c r="Y743" i="7" a="1"/>
  <c r="Y743" i="7" s="1"/>
  <c r="Z743" i="7" a="1"/>
  <c r="Z743" i="7" s="1"/>
  <c r="AA743" i="7" a="1"/>
  <c r="AA743" i="7" s="1"/>
  <c r="W744" i="7" a="1"/>
  <c r="W744" i="7" s="1"/>
  <c r="X744" i="7" a="1"/>
  <c r="X744" i="7" s="1"/>
  <c r="Y744" i="7" a="1"/>
  <c r="Y744" i="7" s="1"/>
  <c r="Z744" i="7" a="1"/>
  <c r="Z744" i="7" s="1"/>
  <c r="AA744" i="7" a="1"/>
  <c r="AA744" i="7" s="1"/>
  <c r="W745" i="7" a="1"/>
  <c r="W745" i="7" s="1"/>
  <c r="X745" i="7" a="1"/>
  <c r="X745" i="7" s="1"/>
  <c r="Y745" i="7" a="1"/>
  <c r="Y745" i="7" s="1"/>
  <c r="Z745" i="7" a="1"/>
  <c r="Z745" i="7" s="1"/>
  <c r="AA745" i="7" a="1"/>
  <c r="AA745" i="7" s="1"/>
  <c r="W746" i="7" a="1"/>
  <c r="W746" i="7" s="1"/>
  <c r="X746" i="7" a="1"/>
  <c r="X746" i="7" s="1"/>
  <c r="Y746" i="7" a="1"/>
  <c r="Y746" i="7" s="1"/>
  <c r="Z746" i="7" a="1"/>
  <c r="Z746" i="7" s="1"/>
  <c r="AA746" i="7" a="1"/>
  <c r="AA746" i="7" s="1"/>
  <c r="W747" i="7" a="1"/>
  <c r="W747" i="7" s="1"/>
  <c r="X747" i="7" a="1"/>
  <c r="X747" i="7" s="1"/>
  <c r="Y747" i="7" a="1"/>
  <c r="Y747" i="7" s="1"/>
  <c r="Z747" i="7" a="1"/>
  <c r="Z747" i="7" s="1"/>
  <c r="AA747" i="7" a="1"/>
  <c r="AA747" i="7" s="1"/>
  <c r="W748" i="7" a="1"/>
  <c r="W748" i="7" s="1"/>
  <c r="X748" i="7" a="1"/>
  <c r="X748" i="7" s="1"/>
  <c r="Y748" i="7" a="1"/>
  <c r="Y748" i="7" s="1"/>
  <c r="Z748" i="7" a="1"/>
  <c r="Z748" i="7" s="1"/>
  <c r="AA748" i="7" a="1"/>
  <c r="AA748" i="7" s="1"/>
  <c r="W749" i="7" a="1"/>
  <c r="W749" i="7" s="1"/>
  <c r="X749" i="7" a="1"/>
  <c r="X749" i="7" s="1"/>
  <c r="Y749" i="7" a="1"/>
  <c r="Y749" i="7" s="1"/>
  <c r="Z749" i="7" a="1"/>
  <c r="Z749" i="7" s="1"/>
  <c r="AA749" i="7" a="1"/>
  <c r="AA749" i="7" s="1"/>
  <c r="W750" i="7" a="1"/>
  <c r="W750" i="7" s="1"/>
  <c r="X750" i="7" a="1"/>
  <c r="X750" i="7" s="1"/>
  <c r="Y750" i="7" a="1"/>
  <c r="Y750" i="7" s="1"/>
  <c r="Z750" i="7" a="1"/>
  <c r="Z750" i="7" s="1"/>
  <c r="AA750" i="7" a="1"/>
  <c r="AA750" i="7" s="1"/>
  <c r="W751" i="7" a="1"/>
  <c r="W751" i="7" s="1"/>
  <c r="X751" i="7" a="1"/>
  <c r="X751" i="7" s="1"/>
  <c r="Y751" i="7" a="1"/>
  <c r="Y751" i="7" s="1"/>
  <c r="Z751" i="7" a="1"/>
  <c r="Z751" i="7" s="1"/>
  <c r="AA751" i="7" a="1"/>
  <c r="AA751" i="7" s="1"/>
  <c r="W752" i="7" a="1"/>
  <c r="W752" i="7" s="1"/>
  <c r="X752" i="7" a="1"/>
  <c r="X752" i="7" s="1"/>
  <c r="Y752" i="7" a="1"/>
  <c r="Y752" i="7" s="1"/>
  <c r="Z752" i="7" a="1"/>
  <c r="Z752" i="7" s="1"/>
  <c r="AA752" i="7" a="1"/>
  <c r="AA752" i="7" s="1"/>
  <c r="W753" i="7" a="1"/>
  <c r="W753" i="7" s="1"/>
  <c r="X753" i="7" a="1"/>
  <c r="X753" i="7" s="1"/>
  <c r="Y753" i="7" a="1"/>
  <c r="Y753" i="7" s="1"/>
  <c r="Z753" i="7" a="1"/>
  <c r="Z753" i="7" s="1"/>
  <c r="AA753" i="7" a="1"/>
  <c r="AA753" i="7" s="1"/>
  <c r="W754" i="7" a="1"/>
  <c r="W754" i="7" s="1"/>
  <c r="X754" i="7" a="1"/>
  <c r="X754" i="7" s="1"/>
  <c r="Y754" i="7" a="1"/>
  <c r="Y754" i="7" s="1"/>
  <c r="Z754" i="7" a="1"/>
  <c r="Z754" i="7" s="1"/>
  <c r="AA754" i="7" a="1"/>
  <c r="AA754" i="7" s="1"/>
  <c r="W755" i="7" a="1"/>
  <c r="W755" i="7" s="1"/>
  <c r="X755" i="7" a="1"/>
  <c r="X755" i="7" s="1"/>
  <c r="Y755" i="7" a="1"/>
  <c r="Y755" i="7" s="1"/>
  <c r="Z755" i="7" a="1"/>
  <c r="Z755" i="7" s="1"/>
  <c r="AA755" i="7" a="1"/>
  <c r="AA755" i="7" s="1"/>
  <c r="W541" i="7" a="1"/>
  <c r="W541" i="7" s="1"/>
  <c r="W542" i="7" a="1"/>
  <c r="W542" i="7" s="1"/>
  <c r="W543" i="7" a="1"/>
  <c r="W543" i="7" s="1"/>
  <c r="W544" i="7" a="1"/>
  <c r="W544" i="7" s="1"/>
  <c r="W545" i="7" a="1"/>
  <c r="W545" i="7" s="1"/>
  <c r="W546" i="7" a="1"/>
  <c r="W546" i="7" s="1"/>
  <c r="W547" i="7" a="1"/>
  <c r="W547" i="7" s="1"/>
  <c r="W548" i="7" a="1"/>
  <c r="W548" i="7" s="1"/>
  <c r="W549" i="7" a="1"/>
  <c r="W549" i="7" s="1"/>
  <c r="W550" i="7" a="1"/>
  <c r="W550" i="7" s="1"/>
  <c r="W551" i="7" a="1"/>
  <c r="W551" i="7" s="1"/>
  <c r="W552" i="7" a="1"/>
  <c r="W552" i="7" s="1"/>
  <c r="W553" i="7" a="1"/>
  <c r="W553" i="7" s="1"/>
  <c r="W554" i="7" a="1"/>
  <c r="W554" i="7" s="1"/>
  <c r="W555" i="7" a="1"/>
  <c r="W555" i="7" s="1"/>
  <c r="W556" i="7" a="1"/>
  <c r="W556" i="7" s="1"/>
  <c r="W557" i="7" a="1"/>
  <c r="W557" i="7" s="1"/>
  <c r="W558" i="7" a="1"/>
  <c r="W558" i="7" s="1"/>
  <c r="W559" i="7" a="1"/>
  <c r="W559" i="7" s="1"/>
  <c r="X559" i="7" a="1"/>
  <c r="X559" i="7" s="1"/>
  <c r="Y559" i="7" a="1"/>
  <c r="Y559" i="7" s="1"/>
  <c r="Z559" i="7" a="1"/>
  <c r="Z559" i="7" s="1"/>
  <c r="AA559" i="7" a="1"/>
  <c r="AA559" i="7" s="1"/>
  <c r="W560" i="7" a="1"/>
  <c r="W560" i="7" s="1"/>
  <c r="X560" i="7" a="1"/>
  <c r="X560" i="7" s="1"/>
  <c r="Y560" i="7" a="1"/>
  <c r="Y560" i="7" s="1"/>
  <c r="Z560" i="7" a="1"/>
  <c r="Z560" i="7" s="1"/>
  <c r="AA560" i="7" a="1"/>
  <c r="AA560" i="7" s="1"/>
  <c r="W561" i="7" a="1"/>
  <c r="W561" i="7" s="1"/>
  <c r="X561" i="7" a="1"/>
  <c r="X561" i="7" s="1"/>
  <c r="Y561" i="7" a="1"/>
  <c r="Y561" i="7" s="1"/>
  <c r="Z561" i="7" a="1"/>
  <c r="Z561" i="7" s="1"/>
  <c r="AA561" i="7" a="1"/>
  <c r="AA561" i="7" s="1"/>
  <c r="W562" i="7" a="1"/>
  <c r="W562" i="7" s="1"/>
  <c r="X562" i="7" a="1"/>
  <c r="X562" i="7" s="1"/>
  <c r="Y562" i="7" a="1"/>
  <c r="Y562" i="7" s="1"/>
  <c r="Z562" i="7" a="1"/>
  <c r="Z562" i="7" s="1"/>
  <c r="AA562" i="7" a="1"/>
  <c r="AA562" i="7" s="1"/>
  <c r="W563" i="7" a="1"/>
  <c r="W563" i="7" s="1"/>
  <c r="X563" i="7" a="1"/>
  <c r="X563" i="7" s="1"/>
  <c r="Y563" i="7" a="1"/>
  <c r="Y563" i="7" s="1"/>
  <c r="Z563" i="7" a="1"/>
  <c r="Z563" i="7" s="1"/>
  <c r="AA563" i="7" a="1"/>
  <c r="AA563" i="7" s="1"/>
  <c r="W564" i="7" a="1"/>
  <c r="W564" i="7" s="1"/>
  <c r="X564" i="7" a="1"/>
  <c r="X564" i="7" s="1"/>
  <c r="Y564" i="7" a="1"/>
  <c r="Y564" i="7" s="1"/>
  <c r="Z564" i="7" a="1"/>
  <c r="Z564" i="7" s="1"/>
  <c r="AA564" i="7" a="1"/>
  <c r="AA564" i="7" s="1"/>
  <c r="W565" i="7" a="1"/>
  <c r="W565" i="7" s="1"/>
  <c r="X565" i="7" a="1"/>
  <c r="X565" i="7" s="1"/>
  <c r="Y565" i="7" a="1"/>
  <c r="Y565" i="7" s="1"/>
  <c r="Z565" i="7" a="1"/>
  <c r="Z565" i="7" s="1"/>
  <c r="AA565" i="7" a="1"/>
  <c r="AA565" i="7" s="1"/>
  <c r="W566" i="7" a="1"/>
  <c r="W566" i="7" s="1"/>
  <c r="X566" i="7" a="1"/>
  <c r="X566" i="7" s="1"/>
  <c r="Y566" i="7" a="1"/>
  <c r="Y566" i="7" s="1"/>
  <c r="Z566" i="7" a="1"/>
  <c r="Z566" i="7" s="1"/>
  <c r="AA566" i="7" a="1"/>
  <c r="AA566" i="7" s="1"/>
  <c r="W567" i="7" a="1"/>
  <c r="W567" i="7" s="1"/>
  <c r="X567" i="7" a="1"/>
  <c r="X567" i="7" s="1"/>
  <c r="Y567" i="7" a="1"/>
  <c r="Y567" i="7" s="1"/>
  <c r="Z567" i="7" a="1"/>
  <c r="Z567" i="7" s="1"/>
  <c r="AA567" i="7" a="1"/>
  <c r="AA567" i="7" s="1"/>
  <c r="W568" i="7" a="1"/>
  <c r="W568" i="7" s="1"/>
  <c r="X568" i="7" a="1"/>
  <c r="X568" i="7" s="1"/>
  <c r="Y568" i="7" a="1"/>
  <c r="Y568" i="7" s="1"/>
  <c r="Z568" i="7" a="1"/>
  <c r="Z568" i="7" s="1"/>
  <c r="AA568" i="7" a="1"/>
  <c r="AA568" i="7" s="1"/>
  <c r="W569" i="7" a="1"/>
  <c r="W569" i="7" s="1"/>
  <c r="X569" i="7" a="1"/>
  <c r="X569" i="7" s="1"/>
  <c r="Y569" i="7" a="1"/>
  <c r="Y569" i="7" s="1"/>
  <c r="Z569" i="7" a="1"/>
  <c r="Z569" i="7" s="1"/>
  <c r="AA569" i="7" a="1"/>
  <c r="AA569" i="7" s="1"/>
  <c r="W570" i="7" a="1"/>
  <c r="W570" i="7" s="1"/>
  <c r="X570" i="7" a="1"/>
  <c r="X570" i="7" s="1"/>
  <c r="Y570" i="7" a="1"/>
  <c r="Y570" i="7" s="1"/>
  <c r="Z570" i="7" a="1"/>
  <c r="Z570" i="7" s="1"/>
  <c r="AA570" i="7" a="1"/>
  <c r="AA570" i="7" s="1"/>
  <c r="W571" i="7" a="1"/>
  <c r="W571" i="7" s="1"/>
  <c r="X571" i="7" a="1"/>
  <c r="X571" i="7" s="1"/>
  <c r="Y571" i="7" a="1"/>
  <c r="Y571" i="7" s="1"/>
  <c r="Z571" i="7" a="1"/>
  <c r="Z571" i="7" s="1"/>
  <c r="AA571" i="7" a="1"/>
  <c r="AA571" i="7" s="1"/>
  <c r="W572" i="7" a="1"/>
  <c r="W572" i="7" s="1"/>
  <c r="X572" i="7" a="1"/>
  <c r="X572" i="7" s="1"/>
  <c r="Y572" i="7" a="1"/>
  <c r="Y572" i="7" s="1"/>
  <c r="Z572" i="7" a="1"/>
  <c r="Z572" i="7" s="1"/>
  <c r="AA572" i="7" a="1"/>
  <c r="AA572" i="7" s="1"/>
  <c r="W573" i="7" a="1"/>
  <c r="W573" i="7" s="1"/>
  <c r="X573" i="7" a="1"/>
  <c r="X573" i="7" s="1"/>
  <c r="Y573" i="7" a="1"/>
  <c r="Y573" i="7" s="1"/>
  <c r="Z573" i="7" a="1"/>
  <c r="Z573" i="7" s="1"/>
  <c r="AA573" i="7" a="1"/>
  <c r="AA573" i="7" s="1"/>
  <c r="W574" i="7" a="1"/>
  <c r="W574" i="7" s="1"/>
  <c r="X574" i="7" a="1"/>
  <c r="X574" i="7" s="1"/>
  <c r="Y574" i="7" a="1"/>
  <c r="Y574" i="7" s="1"/>
  <c r="Z574" i="7" a="1"/>
  <c r="Z574" i="7" s="1"/>
  <c r="AA574" i="7" a="1"/>
  <c r="AA574" i="7" s="1"/>
  <c r="W575" i="7" a="1"/>
  <c r="W575" i="7" s="1"/>
  <c r="X575" i="7" a="1"/>
  <c r="X575" i="7" s="1"/>
  <c r="Y575" i="7" a="1"/>
  <c r="Y575" i="7" s="1"/>
  <c r="Z575" i="7" a="1"/>
  <c r="Z575" i="7" s="1"/>
  <c r="AA575" i="7" a="1"/>
  <c r="AA575" i="7" s="1"/>
  <c r="W576" i="7" a="1"/>
  <c r="W576" i="7" s="1"/>
  <c r="X576" i="7" a="1"/>
  <c r="X576" i="7" s="1"/>
  <c r="Y576" i="7" a="1"/>
  <c r="Y576" i="7" s="1"/>
  <c r="Z576" i="7" a="1"/>
  <c r="Z576" i="7" s="1"/>
  <c r="AA576" i="7" a="1"/>
  <c r="AA576" i="7" s="1"/>
  <c r="W362" i="7" a="1"/>
  <c r="W362" i="7" s="1"/>
  <c r="W363" i="7" a="1"/>
  <c r="W363" i="7" s="1"/>
  <c r="W364" i="7" a="1"/>
  <c r="W364" i="7" s="1"/>
  <c r="W365" i="7" a="1"/>
  <c r="W365" i="7" s="1"/>
  <c r="W366" i="7" a="1"/>
  <c r="W366" i="7" s="1"/>
  <c r="W367" i="7" a="1"/>
  <c r="W367" i="7" s="1"/>
  <c r="W368" i="7" a="1"/>
  <c r="W368" i="7" s="1"/>
  <c r="W369" i="7" a="1"/>
  <c r="W369" i="7" s="1"/>
  <c r="W370" i="7" a="1"/>
  <c r="W370" i="7" s="1"/>
  <c r="W371" i="7" a="1"/>
  <c r="W371" i="7" s="1"/>
  <c r="W372" i="7" a="1"/>
  <c r="W372" i="7" s="1"/>
  <c r="W373" i="7" a="1"/>
  <c r="W373" i="7" s="1"/>
  <c r="W374" i="7" a="1"/>
  <c r="W374" i="7" s="1"/>
  <c r="W375" i="7" a="1"/>
  <c r="W375" i="7" s="1"/>
  <c r="W376" i="7" a="1"/>
  <c r="W376" i="7" s="1"/>
  <c r="W377" i="7" a="1"/>
  <c r="W377" i="7" s="1"/>
  <c r="W378" i="7" a="1"/>
  <c r="W378" i="7" s="1"/>
  <c r="W379" i="7" a="1"/>
  <c r="W379" i="7" s="1"/>
  <c r="W380" i="7" a="1"/>
  <c r="W380" i="7" s="1"/>
  <c r="X380" i="7" a="1"/>
  <c r="X380" i="7" s="1"/>
  <c r="Y380" i="7" a="1"/>
  <c r="Y380" i="7" s="1"/>
  <c r="Z380" i="7" a="1"/>
  <c r="Z380" i="7" s="1"/>
  <c r="AA380" i="7" a="1"/>
  <c r="AA380" i="7" s="1"/>
  <c r="W381" i="7" a="1"/>
  <c r="W381" i="7" s="1"/>
  <c r="X381" i="7" a="1"/>
  <c r="X381" i="7" s="1"/>
  <c r="Y381" i="7" a="1"/>
  <c r="Y381" i="7" s="1"/>
  <c r="Z381" i="7" a="1"/>
  <c r="Z381" i="7" s="1"/>
  <c r="AA381" i="7" a="1"/>
  <c r="AA381" i="7" s="1"/>
  <c r="W382" i="7" a="1"/>
  <c r="W382" i="7" s="1"/>
  <c r="X382" i="7" a="1"/>
  <c r="X382" i="7" s="1"/>
  <c r="Y382" i="7" a="1"/>
  <c r="Y382" i="7" s="1"/>
  <c r="Z382" i="7" a="1"/>
  <c r="Z382" i="7" s="1"/>
  <c r="AA382" i="7" a="1"/>
  <c r="AA382" i="7" s="1"/>
  <c r="W383" i="7" a="1"/>
  <c r="W383" i="7" s="1"/>
  <c r="X383" i="7" a="1"/>
  <c r="X383" i="7" s="1"/>
  <c r="Y383" i="7" a="1"/>
  <c r="Y383" i="7" s="1"/>
  <c r="Z383" i="7" a="1"/>
  <c r="Z383" i="7" s="1"/>
  <c r="AA383" i="7" a="1"/>
  <c r="AA383" i="7" s="1"/>
  <c r="W384" i="7" a="1"/>
  <c r="W384" i="7" s="1"/>
  <c r="X384" i="7" a="1"/>
  <c r="X384" i="7" s="1"/>
  <c r="Y384" i="7" a="1"/>
  <c r="Y384" i="7" s="1"/>
  <c r="Z384" i="7" a="1"/>
  <c r="Z384" i="7" s="1"/>
  <c r="AA384" i="7" a="1"/>
  <c r="AA384" i="7" s="1"/>
  <c r="W385" i="7" a="1"/>
  <c r="W385" i="7" s="1"/>
  <c r="X385" i="7" a="1"/>
  <c r="X385" i="7" s="1"/>
  <c r="Y385" i="7" a="1"/>
  <c r="Y385" i="7" s="1"/>
  <c r="Z385" i="7" a="1"/>
  <c r="Z385" i="7" s="1"/>
  <c r="AA385" i="7" a="1"/>
  <c r="AA385" i="7" s="1"/>
  <c r="W386" i="7" a="1"/>
  <c r="W386" i="7" s="1"/>
  <c r="X386" i="7" a="1"/>
  <c r="X386" i="7" s="1"/>
  <c r="Y386" i="7" a="1"/>
  <c r="Y386" i="7" s="1"/>
  <c r="Z386" i="7" a="1"/>
  <c r="Z386" i="7" s="1"/>
  <c r="AA386" i="7" a="1"/>
  <c r="AA386" i="7" s="1"/>
  <c r="W387" i="7" a="1"/>
  <c r="W387" i="7" s="1"/>
  <c r="X387" i="7" a="1"/>
  <c r="X387" i="7" s="1"/>
  <c r="Y387" i="7" a="1"/>
  <c r="Y387" i="7" s="1"/>
  <c r="Z387" i="7" a="1"/>
  <c r="Z387" i="7" s="1"/>
  <c r="AA387" i="7" a="1"/>
  <c r="AA387" i="7" s="1"/>
  <c r="W388" i="7" a="1"/>
  <c r="W388" i="7" s="1"/>
  <c r="X388" i="7" a="1"/>
  <c r="X388" i="7" s="1"/>
  <c r="Y388" i="7" a="1"/>
  <c r="Y388" i="7" s="1"/>
  <c r="Z388" i="7" a="1"/>
  <c r="Z388" i="7" s="1"/>
  <c r="AA388" i="7" a="1"/>
  <c r="AA388" i="7" s="1"/>
  <c r="W389" i="7" a="1"/>
  <c r="W389" i="7" s="1"/>
  <c r="X389" i="7" a="1"/>
  <c r="X389" i="7" s="1"/>
  <c r="Y389" i="7" a="1"/>
  <c r="Y389" i="7" s="1"/>
  <c r="Z389" i="7" a="1"/>
  <c r="Z389" i="7" s="1"/>
  <c r="AA389" i="7" a="1"/>
  <c r="AA389" i="7" s="1"/>
  <c r="W390" i="7" a="1"/>
  <c r="W390" i="7" s="1"/>
  <c r="X390" i="7" a="1"/>
  <c r="X390" i="7" s="1"/>
  <c r="Y390" i="7" a="1"/>
  <c r="Y390" i="7" s="1"/>
  <c r="Z390" i="7" a="1"/>
  <c r="Z390" i="7" s="1"/>
  <c r="AA390" i="7" a="1"/>
  <c r="AA390" i="7" s="1"/>
  <c r="W391" i="7" a="1"/>
  <c r="W391" i="7" s="1"/>
  <c r="X391" i="7" a="1"/>
  <c r="X391" i="7" s="1"/>
  <c r="Y391" i="7" a="1"/>
  <c r="Y391" i="7" s="1"/>
  <c r="Z391" i="7" a="1"/>
  <c r="Z391" i="7" s="1"/>
  <c r="AA391" i="7" a="1"/>
  <c r="AA391" i="7" s="1"/>
  <c r="W392" i="7" a="1"/>
  <c r="W392" i="7" s="1"/>
  <c r="X392" i="7" a="1"/>
  <c r="X392" i="7" s="1"/>
  <c r="Y392" i="7" a="1"/>
  <c r="Y392" i="7" s="1"/>
  <c r="Z392" i="7" a="1"/>
  <c r="Z392" i="7" s="1"/>
  <c r="AA392" i="7" a="1"/>
  <c r="AA392" i="7" s="1"/>
  <c r="W393" i="7" a="1"/>
  <c r="W393" i="7" s="1"/>
  <c r="X393" i="7" a="1"/>
  <c r="X393" i="7" s="1"/>
  <c r="Y393" i="7" a="1"/>
  <c r="Y393" i="7" s="1"/>
  <c r="Z393" i="7" a="1"/>
  <c r="Z393" i="7" s="1"/>
  <c r="AA393" i="7" a="1"/>
  <c r="AA393" i="7" s="1"/>
  <c r="W394" i="7" a="1"/>
  <c r="W394" i="7" s="1"/>
  <c r="X394" i="7" a="1"/>
  <c r="X394" i="7" s="1"/>
  <c r="Y394" i="7" a="1"/>
  <c r="Y394" i="7" s="1"/>
  <c r="Z394" i="7" a="1"/>
  <c r="Z394" i="7" s="1"/>
  <c r="AA394" i="7" a="1"/>
  <c r="AA394" i="7" s="1"/>
  <c r="W395" i="7" a="1"/>
  <c r="W395" i="7" s="1"/>
  <c r="X395" i="7" a="1"/>
  <c r="X395" i="7" s="1"/>
  <c r="Y395" i="7" a="1"/>
  <c r="Y395" i="7" s="1"/>
  <c r="Z395" i="7" a="1"/>
  <c r="Z395" i="7" s="1"/>
  <c r="AA395" i="7" a="1"/>
  <c r="AA395" i="7" s="1"/>
  <c r="W396" i="7" a="1"/>
  <c r="W396" i="7" s="1"/>
  <c r="X396" i="7" a="1"/>
  <c r="X396" i="7" s="1"/>
  <c r="Y396" i="7" a="1"/>
  <c r="Y396" i="7" s="1"/>
  <c r="Z396" i="7" a="1"/>
  <c r="Z396" i="7" s="1"/>
  <c r="AA396" i="7" a="1"/>
  <c r="AA396" i="7" s="1"/>
  <c r="W397" i="7" a="1"/>
  <c r="W397" i="7" s="1"/>
  <c r="X397" i="7" a="1"/>
  <c r="X397" i="7" s="1"/>
  <c r="Y397" i="7" a="1"/>
  <c r="Y397" i="7" s="1"/>
  <c r="Z397" i="7" a="1"/>
  <c r="Z397" i="7" s="1"/>
  <c r="AA397" i="7" a="1"/>
  <c r="AA397" i="7" s="1"/>
  <c r="W183" i="7" a="1"/>
  <c r="W183" i="7" s="1"/>
  <c r="W184" i="7" a="1"/>
  <c r="W184" i="7" s="1"/>
  <c r="W185" i="7" a="1"/>
  <c r="W185" i="7" s="1"/>
  <c r="W186" i="7" a="1"/>
  <c r="W186" i="7" s="1"/>
  <c r="W187" i="7" a="1"/>
  <c r="W187" i="7" s="1"/>
  <c r="W188" i="7" a="1"/>
  <c r="W188" i="7" s="1"/>
  <c r="W189" i="7" a="1"/>
  <c r="W189" i="7" s="1"/>
  <c r="W190" i="7" a="1"/>
  <c r="W190" i="7" s="1"/>
  <c r="W191" i="7" a="1"/>
  <c r="W191" i="7" s="1"/>
  <c r="W192" i="7" a="1"/>
  <c r="W192" i="7" s="1"/>
  <c r="W193" i="7" a="1"/>
  <c r="W193" i="7" s="1"/>
  <c r="W194" i="7" a="1"/>
  <c r="W194" i="7" s="1"/>
  <c r="W195" i="7" a="1"/>
  <c r="W195" i="7" s="1"/>
  <c r="W196" i="7" a="1"/>
  <c r="W196" i="7" s="1"/>
  <c r="W197" i="7" a="1"/>
  <c r="W197" i="7" s="1"/>
  <c r="W198" i="7" a="1"/>
  <c r="W198" i="7" s="1"/>
  <c r="W199" i="7" a="1"/>
  <c r="W199" i="7" s="1"/>
  <c r="W200" i="7" a="1"/>
  <c r="W200" i="7" s="1"/>
  <c r="W201" i="7" a="1"/>
  <c r="W201" i="7" s="1"/>
  <c r="X201" i="7" a="1"/>
  <c r="X201" i="7" s="1"/>
  <c r="Y201" i="7" a="1"/>
  <c r="Y201" i="7" s="1"/>
  <c r="Z201" i="7" a="1"/>
  <c r="Z201" i="7" s="1"/>
  <c r="AA201" i="7" a="1"/>
  <c r="AA201" i="7" s="1"/>
  <c r="W202" i="7" a="1"/>
  <c r="W202" i="7" s="1"/>
  <c r="X202" i="7" a="1"/>
  <c r="X202" i="7" s="1"/>
  <c r="Y202" i="7" a="1"/>
  <c r="Y202" i="7" s="1"/>
  <c r="Z202" i="7" a="1"/>
  <c r="Z202" i="7" s="1"/>
  <c r="AA202" i="7" a="1"/>
  <c r="AA202" i="7" s="1"/>
  <c r="W203" i="7" a="1"/>
  <c r="W203" i="7" s="1"/>
  <c r="X203" i="7" a="1"/>
  <c r="X203" i="7" s="1"/>
  <c r="Y203" i="7" a="1"/>
  <c r="Y203" i="7" s="1"/>
  <c r="Z203" i="7" a="1"/>
  <c r="Z203" i="7" s="1"/>
  <c r="AA203" i="7" a="1"/>
  <c r="AA203" i="7" s="1"/>
  <c r="W204" i="7" a="1"/>
  <c r="W204" i="7" s="1"/>
  <c r="X204" i="7" a="1"/>
  <c r="X204" i="7" s="1"/>
  <c r="Y204" i="7" a="1"/>
  <c r="Y204" i="7" s="1"/>
  <c r="Z204" i="7" a="1"/>
  <c r="Z204" i="7" s="1"/>
  <c r="AA204" i="7" a="1"/>
  <c r="AA204" i="7" s="1"/>
  <c r="W205" i="7" a="1"/>
  <c r="W205" i="7" s="1"/>
  <c r="X205" i="7" a="1"/>
  <c r="X205" i="7" s="1"/>
  <c r="Y205" i="7" a="1"/>
  <c r="Y205" i="7" s="1"/>
  <c r="Z205" i="7" a="1"/>
  <c r="Z205" i="7" s="1"/>
  <c r="AA205" i="7" a="1"/>
  <c r="AA205" i="7" s="1"/>
  <c r="W206" i="7" a="1"/>
  <c r="W206" i="7" s="1"/>
  <c r="X206" i="7" a="1"/>
  <c r="X206" i="7" s="1"/>
  <c r="Y206" i="7" a="1"/>
  <c r="Y206" i="7" s="1"/>
  <c r="Z206" i="7" a="1"/>
  <c r="Z206" i="7" s="1"/>
  <c r="AA206" i="7" a="1"/>
  <c r="AA206" i="7" s="1"/>
  <c r="W207" i="7" a="1"/>
  <c r="W207" i="7" s="1"/>
  <c r="X207" i="7" a="1"/>
  <c r="X207" i="7" s="1"/>
  <c r="Y207" i="7" a="1"/>
  <c r="Y207" i="7" s="1"/>
  <c r="Z207" i="7" a="1"/>
  <c r="Z207" i="7" s="1"/>
  <c r="AA207" i="7" a="1"/>
  <c r="AA207" i="7" s="1"/>
  <c r="W208" i="7" a="1"/>
  <c r="W208" i="7" s="1"/>
  <c r="X208" i="7" a="1"/>
  <c r="X208" i="7" s="1"/>
  <c r="Y208" i="7" a="1"/>
  <c r="Y208" i="7" s="1"/>
  <c r="Z208" i="7" a="1"/>
  <c r="Z208" i="7" s="1"/>
  <c r="AA208" i="7" a="1"/>
  <c r="AA208" i="7" s="1"/>
  <c r="W209" i="7" a="1"/>
  <c r="W209" i="7" s="1"/>
  <c r="X209" i="7" a="1"/>
  <c r="X209" i="7" s="1"/>
  <c r="Y209" i="7" a="1"/>
  <c r="Y209" i="7" s="1"/>
  <c r="Z209" i="7" a="1"/>
  <c r="Z209" i="7" s="1"/>
  <c r="AA209" i="7" a="1"/>
  <c r="AA209" i="7" s="1"/>
  <c r="W210" i="7" a="1"/>
  <c r="W210" i="7" s="1"/>
  <c r="X210" i="7" a="1"/>
  <c r="X210" i="7" s="1"/>
  <c r="Y210" i="7" a="1"/>
  <c r="Y210" i="7" s="1"/>
  <c r="Z210" i="7" a="1"/>
  <c r="Z210" i="7" s="1"/>
  <c r="AA210" i="7" a="1"/>
  <c r="AA210" i="7" s="1"/>
  <c r="W211" i="7" a="1"/>
  <c r="W211" i="7" s="1"/>
  <c r="X211" i="7" a="1"/>
  <c r="X211" i="7" s="1"/>
  <c r="Y211" i="7" a="1"/>
  <c r="Y211" i="7" s="1"/>
  <c r="Z211" i="7" a="1"/>
  <c r="Z211" i="7" s="1"/>
  <c r="AA211" i="7" a="1"/>
  <c r="AA211" i="7" s="1"/>
  <c r="W212" i="7" a="1"/>
  <c r="W212" i="7" s="1"/>
  <c r="X212" i="7" a="1"/>
  <c r="X212" i="7" s="1"/>
  <c r="Y212" i="7" a="1"/>
  <c r="Y212" i="7" s="1"/>
  <c r="Z212" i="7" a="1"/>
  <c r="Z212" i="7" s="1"/>
  <c r="AA212" i="7" a="1"/>
  <c r="AA212" i="7" s="1"/>
  <c r="W213" i="7" a="1"/>
  <c r="W213" i="7" s="1"/>
  <c r="X213" i="7" a="1"/>
  <c r="X213" i="7" s="1"/>
  <c r="Y213" i="7" a="1"/>
  <c r="Y213" i="7" s="1"/>
  <c r="Z213" i="7" a="1"/>
  <c r="Z213" i="7" s="1"/>
  <c r="AA213" i="7" a="1"/>
  <c r="AA213" i="7" s="1"/>
  <c r="W214" i="7" a="1"/>
  <c r="W214" i="7" s="1"/>
  <c r="X214" i="7" a="1"/>
  <c r="X214" i="7" s="1"/>
  <c r="Y214" i="7" a="1"/>
  <c r="Y214" i="7" s="1"/>
  <c r="Z214" i="7" a="1"/>
  <c r="Z214" i="7" s="1"/>
  <c r="AA214" i="7" a="1"/>
  <c r="AA214" i="7" s="1"/>
  <c r="W215" i="7" a="1"/>
  <c r="W215" i="7" s="1"/>
  <c r="X215" i="7" a="1"/>
  <c r="X215" i="7" s="1"/>
  <c r="Y215" i="7" a="1"/>
  <c r="Y215" i="7" s="1"/>
  <c r="Z215" i="7" a="1"/>
  <c r="Z215" i="7" s="1"/>
  <c r="AA215" i="7" a="1"/>
  <c r="AA215" i="7" s="1"/>
  <c r="W216" i="7" a="1"/>
  <c r="W216" i="7" s="1"/>
  <c r="X216" i="7" a="1"/>
  <c r="X216" i="7" s="1"/>
  <c r="Y216" i="7" a="1"/>
  <c r="Y216" i="7" s="1"/>
  <c r="Z216" i="7" a="1"/>
  <c r="Z216" i="7" s="1"/>
  <c r="AA216" i="7" a="1"/>
  <c r="AA216" i="7" s="1"/>
  <c r="W217" i="7" a="1"/>
  <c r="W217" i="7" s="1"/>
  <c r="X217" i="7" a="1"/>
  <c r="X217" i="7" s="1"/>
  <c r="Y217" i="7" a="1"/>
  <c r="Y217" i="7" s="1"/>
  <c r="Z217" i="7" a="1"/>
  <c r="Z217" i="7" s="1"/>
  <c r="AA217" i="7" a="1"/>
  <c r="AA217" i="7" s="1"/>
  <c r="W218" i="7" a="1"/>
  <c r="W218" i="7" s="1"/>
  <c r="X218" i="7" a="1"/>
  <c r="X218" i="7" s="1"/>
  <c r="Y218" i="7" a="1"/>
  <c r="Y218" i="7" s="1"/>
  <c r="Z218" i="7" a="1"/>
  <c r="Z218" i="7" s="1"/>
  <c r="AA218" i="7" a="1"/>
  <c r="AA218" i="7" s="1"/>
  <c r="I50" i="17" a="1"/>
  <c r="I50" i="17" s="1"/>
  <c r="I49" i="17" a="1"/>
  <c r="I49" i="17" s="1"/>
  <c r="I48" i="17" a="1"/>
  <c r="I48" i="17" s="1"/>
  <c r="I47" i="17" a="1"/>
  <c r="I47" i="17" s="1"/>
  <c r="I46" i="17" a="1"/>
  <c r="I46" i="17" s="1"/>
  <c r="I45" i="17" a="1"/>
  <c r="I45" i="17" s="1"/>
  <c r="I44" i="17" a="1"/>
  <c r="I44" i="17" s="1"/>
  <c r="I43" i="17" a="1"/>
  <c r="I43" i="17" s="1"/>
  <c r="I42" i="17" a="1"/>
  <c r="I42" i="17" s="1"/>
  <c r="I41" i="17" a="1"/>
  <c r="I41" i="17" s="1"/>
  <c r="I40" i="17" a="1"/>
  <c r="I40" i="17" s="1"/>
  <c r="I39" i="17" a="1"/>
  <c r="I39" i="17" s="1"/>
  <c r="I38" i="17" a="1"/>
  <c r="I38" i="17" s="1"/>
  <c r="I37" i="17" a="1"/>
  <c r="I37" i="17" s="1"/>
  <c r="I36" i="17" a="1"/>
  <c r="I36" i="17" s="1"/>
  <c r="I35" i="17" a="1"/>
  <c r="I35" i="17" s="1"/>
  <c r="I34" i="17" a="1"/>
  <c r="I34" i="17" s="1"/>
  <c r="I33" i="17" a="1"/>
  <c r="I33" i="17" s="1"/>
  <c r="I32" i="17" a="1"/>
  <c r="I32" i="17" s="1"/>
  <c r="I31" i="17" a="1"/>
  <c r="I31" i="17" s="1"/>
  <c r="I30" i="17" a="1"/>
  <c r="I30" i="17" s="1"/>
  <c r="I29" i="17" a="1"/>
  <c r="I29" i="17" s="1"/>
  <c r="I28" i="17" a="1"/>
  <c r="I28" i="17" s="1"/>
  <c r="I27" i="17" a="1"/>
  <c r="I27" i="17" s="1"/>
  <c r="G46" i="4" l="1"/>
  <c r="H46" i="4"/>
  <c r="I46" i="4"/>
  <c r="J46" i="4"/>
  <c r="K46" i="4"/>
  <c r="L46" i="4"/>
  <c r="M46" i="4"/>
  <c r="N46" i="4"/>
  <c r="O46" i="4"/>
  <c r="P46" i="4"/>
  <c r="Q46" i="4"/>
  <c r="R46" i="4"/>
  <c r="S46" i="4"/>
  <c r="T46" i="4"/>
  <c r="U46" i="4"/>
  <c r="V46" i="4"/>
  <c r="W46" i="4"/>
  <c r="X46" i="4"/>
  <c r="Y46" i="4"/>
  <c r="Z46" i="4"/>
  <c r="AA46" i="4"/>
  <c r="AB46" i="4"/>
  <c r="AC46" i="4"/>
  <c r="AD46" i="4"/>
  <c r="AE46" i="4"/>
  <c r="AF46" i="4"/>
  <c r="AG46" i="4"/>
  <c r="AH46" i="4"/>
  <c r="AI46" i="4"/>
  <c r="AJ46" i="4"/>
  <c r="AK46" i="4"/>
  <c r="AL46" i="4"/>
  <c r="AM46" i="4"/>
  <c r="AN46" i="4"/>
  <c r="AO46" i="4"/>
  <c r="AP46" i="4"/>
  <c r="AQ46" i="4"/>
  <c r="AR46" i="4"/>
  <c r="AS46" i="4"/>
  <c r="AT46" i="4"/>
  <c r="AU46" i="4"/>
  <c r="AV46" i="4"/>
  <c r="AW46" i="4"/>
  <c r="AX46" i="4"/>
  <c r="AY46" i="4"/>
  <c r="AZ46" i="4"/>
  <c r="BA46" i="4"/>
  <c r="BB46" i="4"/>
  <c r="BC46" i="4"/>
  <c r="BD46" i="4"/>
  <c r="BE46" i="4"/>
  <c r="BF46" i="4"/>
  <c r="BG46" i="4"/>
  <c r="BH46" i="4"/>
  <c r="BI46" i="4"/>
  <c r="BJ46" i="4"/>
  <c r="BK46" i="4"/>
  <c r="BL46" i="4"/>
  <c r="BM46" i="4"/>
  <c r="BN46" i="4"/>
  <c r="BO46" i="4"/>
  <c r="BP46" i="4"/>
  <c r="BQ46" i="4"/>
  <c r="BR46" i="4"/>
  <c r="BS46" i="4"/>
  <c r="BT46" i="4"/>
  <c r="BU46" i="4"/>
  <c r="BV46" i="4"/>
  <c r="BW46" i="4"/>
  <c r="BX46" i="4"/>
  <c r="BY46" i="4"/>
  <c r="BZ46" i="4"/>
  <c r="CA46" i="4"/>
  <c r="CB46" i="4"/>
  <c r="CC46" i="4"/>
  <c r="CD46" i="4"/>
  <c r="CE46" i="4"/>
  <c r="CF46" i="4"/>
  <c r="CG46" i="4"/>
  <c r="CH46" i="4"/>
  <c r="CI46" i="4"/>
  <c r="CJ46" i="4"/>
  <c r="CK46" i="4"/>
  <c r="CL46" i="4"/>
  <c r="CM46" i="4"/>
  <c r="CN46" i="4"/>
  <c r="CO46" i="4"/>
  <c r="CP46" i="4"/>
  <c r="CQ46" i="4"/>
  <c r="CR46" i="4"/>
  <c r="CS46" i="4"/>
  <c r="CT46" i="4"/>
  <c r="CU46" i="4"/>
  <c r="CV46" i="4"/>
  <c r="CW46" i="4"/>
  <c r="CX46" i="4"/>
  <c r="CY46" i="4"/>
  <c r="CZ46" i="4"/>
  <c r="DA46" i="4"/>
  <c r="DB46" i="4"/>
  <c r="DC46" i="4"/>
  <c r="DD46" i="4"/>
  <c r="DE46" i="4"/>
  <c r="DF46" i="4"/>
  <c r="DG46" i="4"/>
  <c r="DH46" i="4"/>
  <c r="DI46" i="4"/>
  <c r="DJ46" i="4"/>
  <c r="DK46" i="4"/>
  <c r="DL46" i="4"/>
  <c r="DM46" i="4"/>
  <c r="DN46" i="4"/>
  <c r="DO46" i="4"/>
  <c r="DP46" i="4"/>
  <c r="DQ46" i="4"/>
  <c r="DR46" i="4"/>
  <c r="DS46" i="4"/>
  <c r="DT46" i="4"/>
  <c r="DU46" i="4"/>
  <c r="DV46" i="4"/>
  <c r="DW46" i="4"/>
  <c r="DX46" i="4"/>
  <c r="DY46" i="4"/>
  <c r="DZ46" i="4"/>
  <c r="EA46" i="4"/>
  <c r="EB46" i="4"/>
  <c r="EC46" i="4"/>
  <c r="ED46" i="4"/>
  <c r="EE46" i="4"/>
  <c r="EF46" i="4"/>
  <c r="EG46" i="4"/>
  <c r="EH46" i="4"/>
  <c r="EI46" i="4"/>
  <c r="EJ46" i="4"/>
  <c r="EK46" i="4"/>
  <c r="EL46" i="4"/>
  <c r="EM46" i="4"/>
  <c r="EN46" i="4"/>
  <c r="EO46" i="4"/>
  <c r="EP46" i="4"/>
  <c r="EQ46" i="4"/>
  <c r="ER46" i="4"/>
  <c r="ES46" i="4"/>
  <c r="ET46" i="4"/>
  <c r="EU46" i="4"/>
  <c r="EV46" i="4"/>
  <c r="EW46" i="4"/>
  <c r="EX46" i="4"/>
  <c r="EY46" i="4"/>
  <c r="EZ46" i="4"/>
  <c r="FA46" i="4"/>
  <c r="FB46" i="4"/>
  <c r="FC46" i="4"/>
  <c r="FD46" i="4"/>
  <c r="FE46" i="4"/>
  <c r="FF46" i="4"/>
  <c r="FG46" i="4"/>
  <c r="FH46" i="4"/>
  <c r="FI46" i="4"/>
  <c r="FJ46" i="4"/>
  <c r="FK46" i="4"/>
  <c r="FL46" i="4"/>
  <c r="FM46" i="4"/>
  <c r="FN46" i="4"/>
  <c r="FO46" i="4"/>
  <c r="FP46" i="4"/>
  <c r="FQ46" i="4"/>
  <c r="FR46" i="4"/>
  <c r="FS46" i="4"/>
  <c r="FT46" i="4"/>
  <c r="FU46" i="4"/>
  <c r="FV46" i="4"/>
  <c r="FW46" i="4"/>
  <c r="FX46" i="4"/>
  <c r="FY46" i="4"/>
  <c r="FZ46" i="4"/>
  <c r="GA46" i="4"/>
  <c r="GB46" i="4"/>
  <c r="GC46" i="4"/>
  <c r="F46" i="4"/>
  <c r="E45" i="4"/>
  <c r="H66" i="5"/>
  <c r="J66" i="5" s="1"/>
  <c r="G66" i="5"/>
  <c r="F66" i="5"/>
  <c r="E66" i="5"/>
  <c r="FT67" i="5" s="1"/>
  <c r="H21" i="6"/>
  <c r="J29" i="3"/>
  <c r="I23" i="17" s="1"/>
  <c r="I29" i="3"/>
  <c r="H29" i="3"/>
  <c r="G29" i="3"/>
  <c r="F29" i="3"/>
  <c r="Q1850" i="7" s="1"/>
  <c r="S1850" i="7" s="1"/>
  <c r="E29" i="3"/>
  <c r="N29" i="1"/>
  <c r="K29" i="3" s="1"/>
  <c r="H19" i="3"/>
  <c r="GR45" i="4" l="1"/>
  <c r="GR46" i="4" s="1"/>
  <c r="F1906" i="7"/>
  <c r="F1886" i="7"/>
  <c r="F1880" i="7"/>
  <c r="F1845" i="7"/>
  <c r="F1813" i="7"/>
  <c r="F1937" i="7"/>
  <c r="F1889" i="7"/>
  <c r="F1839" i="7"/>
  <c r="F1805" i="7"/>
  <c r="F1817" i="7"/>
  <c r="F1950" i="7"/>
  <c r="F1968" i="7"/>
  <c r="F1918" i="7"/>
  <c r="F1898" i="7"/>
  <c r="F1895" i="7"/>
  <c r="F1863" i="7"/>
  <c r="F1830" i="7"/>
  <c r="F1797" i="7"/>
  <c r="F1953" i="7"/>
  <c r="F1905" i="7"/>
  <c r="F1856" i="7"/>
  <c r="F1821" i="7"/>
  <c r="F1920" i="7"/>
  <c r="F1930" i="7"/>
  <c r="F1910" i="7"/>
  <c r="F1909" i="7"/>
  <c r="F1879" i="7"/>
  <c r="F1847" i="7"/>
  <c r="F1815" i="7"/>
  <c r="F1969" i="7"/>
  <c r="F1923" i="7"/>
  <c r="F1873" i="7"/>
  <c r="F1841" i="7"/>
  <c r="F1806" i="7"/>
  <c r="F1807" i="7"/>
  <c r="F1809" i="7"/>
  <c r="F1798" i="7"/>
  <c r="F1942" i="7"/>
  <c r="F1922" i="7"/>
  <c r="F1796" i="7"/>
  <c r="F1924" i="7"/>
  <c r="F1899" i="7"/>
  <c r="F1864" i="7"/>
  <c r="F1831" i="7"/>
  <c r="F1939" i="7"/>
  <c r="F1890" i="7"/>
  <c r="F1857" i="7"/>
  <c r="F1824" i="7"/>
  <c r="F1827" i="7"/>
  <c r="F1828" i="7"/>
  <c r="F1851" i="7"/>
  <c r="F1885" i="7"/>
  <c r="F1887" i="7"/>
  <c r="F1810" i="7"/>
  <c r="F1954" i="7"/>
  <c r="F1934" i="7"/>
  <c r="F1811" i="7"/>
  <c r="F1938" i="7"/>
  <c r="F1915" i="7"/>
  <c r="F1881" i="7"/>
  <c r="F1848" i="7"/>
  <c r="F1801" i="7"/>
  <c r="F1955" i="7"/>
  <c r="F1907" i="7"/>
  <c r="F1875" i="7"/>
  <c r="F1842" i="7"/>
  <c r="F1843" i="7"/>
  <c r="F1844" i="7"/>
  <c r="F1800" i="7"/>
  <c r="F1951" i="7"/>
  <c r="F1822" i="7"/>
  <c r="F1966" i="7"/>
  <c r="F1802" i="7"/>
  <c r="F1946" i="7"/>
  <c r="F1825" i="7"/>
  <c r="F1952" i="7"/>
  <c r="F1931" i="7"/>
  <c r="F1900" i="7"/>
  <c r="F1865" i="7"/>
  <c r="F1818" i="7"/>
  <c r="F1971" i="7"/>
  <c r="F1925" i="7"/>
  <c r="F1891" i="7"/>
  <c r="F1859" i="7"/>
  <c r="F1860" i="7"/>
  <c r="F1861" i="7"/>
  <c r="F1903" i="7"/>
  <c r="F1832" i="7"/>
  <c r="F1834" i="7"/>
  <c r="F1814" i="7"/>
  <c r="F1958" i="7"/>
  <c r="F1840" i="7"/>
  <c r="F1794" i="7"/>
  <c r="F1967" i="7"/>
  <c r="F1947" i="7"/>
  <c r="F1916" i="7"/>
  <c r="F1884" i="7"/>
  <c r="F1835" i="7"/>
  <c r="F1940" i="7"/>
  <c r="F1908" i="7"/>
  <c r="F1876" i="7"/>
  <c r="F1877" i="7"/>
  <c r="F1878" i="7"/>
  <c r="F1816" i="7"/>
  <c r="F1935" i="7"/>
  <c r="F1846" i="7"/>
  <c r="F1826" i="7"/>
  <c r="F1970" i="7"/>
  <c r="F1854" i="7"/>
  <c r="F1808" i="7"/>
  <c r="F1962" i="7"/>
  <c r="F1932" i="7"/>
  <c r="F1901" i="7"/>
  <c r="F1853" i="7"/>
  <c r="F1803" i="7"/>
  <c r="F1956" i="7"/>
  <c r="F1926" i="7"/>
  <c r="F1892" i="7"/>
  <c r="F1893" i="7"/>
  <c r="F1896" i="7"/>
  <c r="F1919" i="7"/>
  <c r="F1833" i="7"/>
  <c r="F1867" i="7"/>
  <c r="F1799" i="7"/>
  <c r="F1858" i="7"/>
  <c r="F1838" i="7"/>
  <c r="F1868" i="7"/>
  <c r="F1823" i="7"/>
  <c r="F1948" i="7"/>
  <c r="F1917" i="7"/>
  <c r="F1871" i="7"/>
  <c r="F1819" i="7"/>
  <c r="F1972" i="7"/>
  <c r="F1941" i="7"/>
  <c r="F1911" i="7"/>
  <c r="F1913" i="7"/>
  <c r="F1914" i="7"/>
  <c r="F1936" i="7"/>
  <c r="F1965" i="7"/>
  <c r="F1902" i="7"/>
  <c r="F1870" i="7"/>
  <c r="F1850" i="7"/>
  <c r="F1883" i="7"/>
  <c r="F1837" i="7"/>
  <c r="F1963" i="7"/>
  <c r="F1933" i="7"/>
  <c r="F1888" i="7"/>
  <c r="F1836" i="7"/>
  <c r="F1957" i="7"/>
  <c r="F1927" i="7"/>
  <c r="F1928" i="7"/>
  <c r="F1929" i="7"/>
  <c r="F1882" i="7"/>
  <c r="F1862" i="7"/>
  <c r="F1897" i="7"/>
  <c r="F1852" i="7"/>
  <c r="F1812" i="7"/>
  <c r="F1949" i="7"/>
  <c r="F1904" i="7"/>
  <c r="F1855" i="7"/>
  <c r="F1804" i="7"/>
  <c r="F1973" i="7"/>
  <c r="F1943" i="7"/>
  <c r="F1944" i="7"/>
  <c r="F1945" i="7"/>
  <c r="F1795" i="7"/>
  <c r="F1894" i="7"/>
  <c r="F1874" i="7"/>
  <c r="F1869" i="7"/>
  <c r="F1872" i="7"/>
  <c r="F1959" i="7"/>
  <c r="F1866" i="7"/>
  <c r="F1964" i="7"/>
  <c r="F1960" i="7"/>
  <c r="F1849" i="7"/>
  <c r="F1820" i="7"/>
  <c r="F1829" i="7"/>
  <c r="F1961" i="7"/>
  <c r="F1912" i="7"/>
  <c r="F1921" i="7"/>
  <c r="Y67" i="5"/>
  <c r="EX67" i="5"/>
  <c r="FU67" i="5"/>
  <c r="Q1803" i="7"/>
  <c r="S1803" i="7" s="1"/>
  <c r="Q1797" i="7"/>
  <c r="S1797" i="7" s="1"/>
  <c r="Q1804" i="7"/>
  <c r="S1804" i="7" s="1"/>
  <c r="Q1817" i="7"/>
  <c r="S1817" i="7" s="1"/>
  <c r="Q1819" i="7"/>
  <c r="S1819" i="7" s="1"/>
  <c r="Q1812" i="7"/>
  <c r="S1812" i="7" s="1"/>
  <c r="Q1795" i="7"/>
  <c r="S1795" i="7" s="1"/>
  <c r="Q1796" i="7"/>
  <c r="S1796" i="7" s="1"/>
  <c r="AS67" i="5"/>
  <c r="BP67" i="5"/>
  <c r="CJ67" i="5"/>
  <c r="Q1805" i="7"/>
  <c r="S1805" i="7" s="1"/>
  <c r="DF67" i="5"/>
  <c r="Q1809" i="7"/>
  <c r="S1809" i="7" s="1"/>
  <c r="EA67" i="5"/>
  <c r="Q1810" i="7"/>
  <c r="S1810" i="7" s="1"/>
  <c r="GG45" i="4"/>
  <c r="GG46" i="4" s="1"/>
  <c r="GH45" i="4"/>
  <c r="GH46" i="4" s="1"/>
  <c r="GI45" i="4"/>
  <c r="GI46" i="4" s="1"/>
  <c r="GJ45" i="4"/>
  <c r="GJ46" i="4" s="1"/>
  <c r="GK45" i="4"/>
  <c r="GK46" i="4" s="1"/>
  <c r="GL45" i="4"/>
  <c r="GL46" i="4" s="1"/>
  <c r="GM45" i="4"/>
  <c r="GM46" i="4" s="1"/>
  <c r="GN45" i="4"/>
  <c r="GN46" i="4" s="1"/>
  <c r="GO45" i="4"/>
  <c r="GO46" i="4" s="1"/>
  <c r="GD45" i="4"/>
  <c r="GD46" i="4" s="1"/>
  <c r="GP45" i="4"/>
  <c r="GP46" i="4" s="1"/>
  <c r="GE45" i="4"/>
  <c r="GE46" i="4" s="1"/>
  <c r="GQ45" i="4"/>
  <c r="GQ46" i="4" s="1"/>
  <c r="GF45" i="4"/>
  <c r="GF46" i="4" s="1"/>
  <c r="M67" i="5"/>
  <c r="AF67" i="5"/>
  <c r="BD67" i="5"/>
  <c r="BV67" i="5"/>
  <c r="CT67" i="5"/>
  <c r="DN67" i="5"/>
  <c r="EK67" i="5"/>
  <c r="FG67" i="5"/>
  <c r="GG67" i="5"/>
  <c r="EB67" i="5"/>
  <c r="AJ67" i="5"/>
  <c r="BE67" i="5"/>
  <c r="CB67" i="5"/>
  <c r="DR67" i="5"/>
  <c r="FK67" i="5"/>
  <c r="GH67" i="5"/>
  <c r="AB67" i="5"/>
  <c r="CK67" i="5"/>
  <c r="FV67" i="5"/>
  <c r="AC67" i="5"/>
  <c r="AZ67" i="5"/>
  <c r="BS67" i="5"/>
  <c r="CP67" i="5"/>
  <c r="EG67" i="5"/>
  <c r="FB67" i="5"/>
  <c r="AD67" i="5"/>
  <c r="BA67" i="5"/>
  <c r="CQ67" i="5"/>
  <c r="DK67" i="5"/>
  <c r="EH67" i="5"/>
  <c r="FC67" i="5"/>
  <c r="AE67" i="5"/>
  <c r="BB67" i="5"/>
  <c r="BU67" i="5"/>
  <c r="CR67" i="5"/>
  <c r="DM67" i="5"/>
  <c r="FE67" i="5"/>
  <c r="N67" i="5"/>
  <c r="EM67" i="5"/>
  <c r="P67" i="5"/>
  <c r="AL67" i="5"/>
  <c r="BF67" i="5"/>
  <c r="CC67" i="5"/>
  <c r="CW67" i="5"/>
  <c r="DT67" i="5"/>
  <c r="EN67" i="5"/>
  <c r="FL67" i="5"/>
  <c r="Q1799" i="7"/>
  <c r="S1799" i="7" s="1"/>
  <c r="Q67" i="5"/>
  <c r="AN67" i="5"/>
  <c r="BG67" i="5"/>
  <c r="CD67" i="5"/>
  <c r="CX67" i="5"/>
  <c r="DU67" i="5"/>
  <c r="EO67" i="5"/>
  <c r="FM67" i="5"/>
  <c r="Q1806" i="7"/>
  <c r="S1806" i="7" s="1"/>
  <c r="Q1821" i="7"/>
  <c r="S1821" i="7" s="1"/>
  <c r="BR67" i="5"/>
  <c r="FZ67" i="5"/>
  <c r="GC67" i="5"/>
  <c r="CV67" i="5"/>
  <c r="R67" i="5"/>
  <c r="AP67" i="5"/>
  <c r="BH67" i="5"/>
  <c r="CF67" i="5"/>
  <c r="CZ67" i="5"/>
  <c r="DW67" i="5"/>
  <c r="EP67" i="5"/>
  <c r="FP67" i="5"/>
  <c r="Q1794" i="7"/>
  <c r="S1794" i="7" s="1"/>
  <c r="Q1814" i="7"/>
  <c r="S1814" i="7" s="1"/>
  <c r="AT67" i="5"/>
  <c r="DI67" i="5"/>
  <c r="FA67" i="5"/>
  <c r="DJ67" i="5"/>
  <c r="BT67" i="5"/>
  <c r="GA67" i="5"/>
  <c r="EI67" i="5"/>
  <c r="V67" i="5"/>
  <c r="AQ67" i="5"/>
  <c r="BN67" i="5"/>
  <c r="CG67" i="5"/>
  <c r="DD67" i="5"/>
  <c r="DX67" i="5"/>
  <c r="EV67" i="5"/>
  <c r="FS67" i="5"/>
  <c r="W67" i="5"/>
  <c r="AR67" i="5"/>
  <c r="BO67" i="5"/>
  <c r="CH67" i="5"/>
  <c r="DE67" i="5"/>
  <c r="DZ67" i="5"/>
  <c r="EW67" i="5"/>
  <c r="Q1801" i="7"/>
  <c r="S1801" i="7" s="1"/>
  <c r="R1968" i="7"/>
  <c r="R1966" i="7"/>
  <c r="R1957" i="7"/>
  <c r="R1948" i="7"/>
  <c r="R1939" i="7"/>
  <c r="R1930" i="7"/>
  <c r="R1921" i="7"/>
  <c r="R1962" i="7"/>
  <c r="R1961" i="7"/>
  <c r="R1954" i="7"/>
  <c r="R1946" i="7"/>
  <c r="R1931" i="7"/>
  <c r="R1906" i="7"/>
  <c r="R1972" i="7"/>
  <c r="R1938" i="7"/>
  <c r="R1923" i="7"/>
  <c r="R1953" i="7"/>
  <c r="R1952" i="7"/>
  <c r="R1945" i="7"/>
  <c r="R1937" i="7"/>
  <c r="R1922" i="7"/>
  <c r="R1910" i="7"/>
  <c r="R1901" i="7"/>
  <c r="R1973" i="7"/>
  <c r="R1960" i="7"/>
  <c r="R1929" i="7"/>
  <c r="R1958" i="7"/>
  <c r="R1935" i="7"/>
  <c r="R1934" i="7"/>
  <c r="R1927" i="7"/>
  <c r="R1919" i="7"/>
  <c r="R1913" i="7"/>
  <c r="R1904" i="7"/>
  <c r="R1965" i="7"/>
  <c r="R1967" i="7"/>
  <c r="R1964" i="7"/>
  <c r="R1949" i="7"/>
  <c r="R1926" i="7"/>
  <c r="R1925" i="7"/>
  <c r="R1918" i="7"/>
  <c r="R1912" i="7"/>
  <c r="R1970" i="7"/>
  <c r="R1956" i="7"/>
  <c r="R1941" i="7"/>
  <c r="R1933" i="7"/>
  <c r="R1969" i="7"/>
  <c r="R1963" i="7"/>
  <c r="R1955" i="7"/>
  <c r="R1940" i="7"/>
  <c r="R1971" i="7"/>
  <c r="R1947" i="7"/>
  <c r="R1959" i="7"/>
  <c r="R1944" i="7"/>
  <c r="R1942" i="7"/>
  <c r="R1950" i="7"/>
  <c r="R1936" i="7"/>
  <c r="R1915" i="7"/>
  <c r="R1920" i="7"/>
  <c r="R1916" i="7"/>
  <c r="R1896" i="7"/>
  <c r="R1951" i="7"/>
  <c r="R1928" i="7"/>
  <c r="R1917" i="7"/>
  <c r="R1895" i="7"/>
  <c r="R1911" i="7"/>
  <c r="R1943" i="7"/>
  <c r="R1907" i="7"/>
  <c r="R1892" i="7"/>
  <c r="R1887" i="7"/>
  <c r="R1878" i="7"/>
  <c r="R1869" i="7"/>
  <c r="R1860" i="7"/>
  <c r="R1851" i="7"/>
  <c r="R1842" i="7"/>
  <c r="R1833" i="7"/>
  <c r="R1824" i="7"/>
  <c r="R1815" i="7"/>
  <c r="R1806" i="7"/>
  <c r="R1797" i="7"/>
  <c r="R1914" i="7"/>
  <c r="R1932" i="7"/>
  <c r="R1924" i="7"/>
  <c r="R1903" i="7"/>
  <c r="R1889" i="7"/>
  <c r="R1897" i="7"/>
  <c r="R1874" i="7"/>
  <c r="R1873" i="7"/>
  <c r="R1866" i="7"/>
  <c r="R1908" i="7"/>
  <c r="R1891" i="7"/>
  <c r="R1865" i="7"/>
  <c r="R1864" i="7"/>
  <c r="R1905" i="7"/>
  <c r="R1890" i="7"/>
  <c r="R1888" i="7"/>
  <c r="R1880" i="7"/>
  <c r="R1872" i="7"/>
  <c r="R1898" i="7"/>
  <c r="R1879" i="7"/>
  <c r="R1856" i="7"/>
  <c r="R1855" i="7"/>
  <c r="R1848" i="7"/>
  <c r="R1840" i="7"/>
  <c r="R1825" i="7"/>
  <c r="R1894" i="7"/>
  <c r="R1893" i="7"/>
  <c r="R1886" i="7"/>
  <c r="R1899" i="7"/>
  <c r="R1885" i="7"/>
  <c r="R1870" i="7"/>
  <c r="R1847" i="7"/>
  <c r="R1846" i="7"/>
  <c r="R1877" i="7"/>
  <c r="R1909" i="7"/>
  <c r="R1884" i="7"/>
  <c r="R1876" i="7"/>
  <c r="R1861" i="7"/>
  <c r="R1838" i="7"/>
  <c r="R1837" i="7"/>
  <c r="R1902" i="7"/>
  <c r="R1900" i="7"/>
  <c r="R1868" i="7"/>
  <c r="R1853" i="7"/>
  <c r="R1883" i="7"/>
  <c r="R1882" i="7"/>
  <c r="R1875" i="7"/>
  <c r="R1867" i="7"/>
  <c r="R1852" i="7"/>
  <c r="R1859" i="7"/>
  <c r="R1858" i="7"/>
  <c r="R1836" i="7"/>
  <c r="R1835" i="7"/>
  <c r="R1834" i="7"/>
  <c r="R1832" i="7"/>
  <c r="R1831" i="7"/>
  <c r="R1802" i="7"/>
  <c r="R1801" i="7"/>
  <c r="R1863" i="7"/>
  <c r="R1849" i="7"/>
  <c r="R1839" i="7"/>
  <c r="R1817" i="7"/>
  <c r="R1881" i="7"/>
  <c r="R1871" i="7"/>
  <c r="R1830" i="7"/>
  <c r="R1828" i="7"/>
  <c r="R1841" i="7"/>
  <c r="R1829" i="7"/>
  <c r="R1808" i="7"/>
  <c r="R1850" i="7"/>
  <c r="R1843" i="7"/>
  <c r="R1827" i="7"/>
  <c r="R1807" i="7"/>
  <c r="R1844" i="7"/>
  <c r="R1826" i="7"/>
  <c r="R1814" i="7"/>
  <c r="R1845" i="7"/>
  <c r="R1823" i="7"/>
  <c r="R1822" i="7"/>
  <c r="R1862" i="7"/>
  <c r="R1854" i="7"/>
  <c r="R1821" i="7"/>
  <c r="R1805" i="7"/>
  <c r="R1857" i="7"/>
  <c r="R1811" i="7"/>
  <c r="R1810" i="7"/>
  <c r="R1812" i="7"/>
  <c r="R1804" i="7"/>
  <c r="R1819" i="7"/>
  <c r="R1798" i="7"/>
  <c r="R1813" i="7"/>
  <c r="R1799" i="7"/>
  <c r="R1800" i="7"/>
  <c r="R1820" i="7"/>
  <c r="R1818" i="7"/>
  <c r="R1816" i="7"/>
  <c r="R1809" i="7"/>
  <c r="R1803" i="7"/>
  <c r="R1794" i="7"/>
  <c r="N1973" i="7"/>
  <c r="N1968" i="7"/>
  <c r="N1972" i="7"/>
  <c r="N1963" i="7"/>
  <c r="N1954" i="7"/>
  <c r="N1945" i="7"/>
  <c r="N1936" i="7"/>
  <c r="N1927" i="7"/>
  <c r="N1918" i="7"/>
  <c r="N1964" i="7"/>
  <c r="N1956" i="7"/>
  <c r="N1941" i="7"/>
  <c r="N1925" i="7"/>
  <c r="N1917" i="7"/>
  <c r="N1912" i="7"/>
  <c r="N1903" i="7"/>
  <c r="N1971" i="7"/>
  <c r="N1970" i="7"/>
  <c r="N1969" i="7"/>
  <c r="N1948" i="7"/>
  <c r="N1940" i="7"/>
  <c r="N1933" i="7"/>
  <c r="N1962" i="7"/>
  <c r="N1955" i="7"/>
  <c r="N1947" i="7"/>
  <c r="N1932" i="7"/>
  <c r="N1916" i="7"/>
  <c r="N1939" i="7"/>
  <c r="N1931" i="7"/>
  <c r="N1924" i="7"/>
  <c r="N1961" i="7"/>
  <c r="N1953" i="7"/>
  <c r="N1952" i="7"/>
  <c r="N1944" i="7"/>
  <c r="N1937" i="7"/>
  <c r="N1929" i="7"/>
  <c r="N1960" i="7"/>
  <c r="N1959" i="7"/>
  <c r="N1943" i="7"/>
  <c r="N1935" i="7"/>
  <c r="N1928" i="7"/>
  <c r="N1920" i="7"/>
  <c r="N1909" i="7"/>
  <c r="N1958" i="7"/>
  <c r="N1951" i="7"/>
  <c r="N1967" i="7"/>
  <c r="N1966" i="7"/>
  <c r="N1965" i="7"/>
  <c r="N1950" i="7"/>
  <c r="N1957" i="7"/>
  <c r="N1949" i="7"/>
  <c r="N1942" i="7"/>
  <c r="N1905" i="7"/>
  <c r="N1904" i="7"/>
  <c r="N1900" i="7"/>
  <c r="N1922" i="7"/>
  <c r="N1914" i="7"/>
  <c r="N1908" i="7"/>
  <c r="N1938" i="7"/>
  <c r="N1934" i="7"/>
  <c r="N1930" i="7"/>
  <c r="N1915" i="7"/>
  <c r="N1923" i="7"/>
  <c r="N1902" i="7"/>
  <c r="N1901" i="7"/>
  <c r="N1921" i="7"/>
  <c r="N1919" i="7"/>
  <c r="N1897" i="7"/>
  <c r="N1896" i="7"/>
  <c r="N1895" i="7"/>
  <c r="N1884" i="7"/>
  <c r="N1875" i="7"/>
  <c r="N1866" i="7"/>
  <c r="N1857" i="7"/>
  <c r="N1848" i="7"/>
  <c r="N1839" i="7"/>
  <c r="N1830" i="7"/>
  <c r="N1821" i="7"/>
  <c r="N1812" i="7"/>
  <c r="N1803" i="7"/>
  <c r="N1794" i="7"/>
  <c r="N1946" i="7"/>
  <c r="N1926" i="7"/>
  <c r="N1906" i="7"/>
  <c r="N1883" i="7"/>
  <c r="N1876" i="7"/>
  <c r="N1868" i="7"/>
  <c r="N1911" i="7"/>
  <c r="N1882" i="7"/>
  <c r="N1874" i="7"/>
  <c r="N1867" i="7"/>
  <c r="N1873" i="7"/>
  <c r="N1865" i="7"/>
  <c r="N1858" i="7"/>
  <c r="N1850" i="7"/>
  <c r="N1835" i="7"/>
  <c r="N1913" i="7"/>
  <c r="N1892" i="7"/>
  <c r="N1891" i="7"/>
  <c r="N1881" i="7"/>
  <c r="N1910" i="7"/>
  <c r="N1907" i="7"/>
  <c r="N1898" i="7"/>
  <c r="N1890" i="7"/>
  <c r="N1889" i="7"/>
  <c r="N1888" i="7"/>
  <c r="N1880" i="7"/>
  <c r="N1864" i="7"/>
  <c r="N1856" i="7"/>
  <c r="N1849" i="7"/>
  <c r="N1893" i="7"/>
  <c r="N1887" i="7"/>
  <c r="N1879" i="7"/>
  <c r="N1872" i="7"/>
  <c r="N1899" i="7"/>
  <c r="N1894" i="7"/>
  <c r="N1886" i="7"/>
  <c r="N1871" i="7"/>
  <c r="N1855" i="7"/>
  <c r="N1847" i="7"/>
  <c r="N1840" i="7"/>
  <c r="N1878" i="7"/>
  <c r="N1870" i="7"/>
  <c r="N1863" i="7"/>
  <c r="N1885" i="7"/>
  <c r="N1877" i="7"/>
  <c r="N1862" i="7"/>
  <c r="N1869" i="7"/>
  <c r="N1861" i="7"/>
  <c r="N1852" i="7"/>
  <c r="N1819" i="7"/>
  <c r="N1811" i="7"/>
  <c r="N1804" i="7"/>
  <c r="N1834" i="7"/>
  <c r="N1838" i="7"/>
  <c r="N1837" i="7"/>
  <c r="N1833" i="7"/>
  <c r="N1832" i="7"/>
  <c r="N1818" i="7"/>
  <c r="N1853" i="7"/>
  <c r="N1836" i="7"/>
  <c r="N1831" i="7"/>
  <c r="N1817" i="7"/>
  <c r="N1801" i="7"/>
  <c r="N1841" i="7"/>
  <c r="N1829" i="7"/>
  <c r="N1816" i="7"/>
  <c r="N1809" i="7"/>
  <c r="N1859" i="7"/>
  <c r="N1842" i="7"/>
  <c r="N1828" i="7"/>
  <c r="N1843" i="7"/>
  <c r="N1827" i="7"/>
  <c r="N1826" i="7"/>
  <c r="N1825" i="7"/>
  <c r="N1815" i="7"/>
  <c r="N1807" i="7"/>
  <c r="N1800" i="7"/>
  <c r="N1854" i="7"/>
  <c r="N1844" i="7"/>
  <c r="N1860" i="7"/>
  <c r="N1851" i="7"/>
  <c r="N1846" i="7"/>
  <c r="N1845" i="7"/>
  <c r="N1822" i="7"/>
  <c r="N1820" i="7"/>
  <c r="N1813" i="7"/>
  <c r="N1824" i="7"/>
  <c r="N1810" i="7"/>
  <c r="N1808" i="7"/>
  <c r="N1798" i="7"/>
  <c r="N1796" i="7"/>
  <c r="N1805" i="7"/>
  <c r="N1799" i="7"/>
  <c r="N1797" i="7"/>
  <c r="N1795" i="7"/>
  <c r="N1814" i="7"/>
  <c r="N1823" i="7"/>
  <c r="N1806" i="7"/>
  <c r="N1802" i="7"/>
  <c r="R1795" i="7"/>
  <c r="I66" i="5"/>
  <c r="P1971" i="7"/>
  <c r="P1968" i="7"/>
  <c r="P1965" i="7"/>
  <c r="P1962" i="7"/>
  <c r="P1959" i="7"/>
  <c r="P1956" i="7"/>
  <c r="P1953" i="7"/>
  <c r="P1950" i="7"/>
  <c r="P1947" i="7"/>
  <c r="P1944" i="7"/>
  <c r="P1941" i="7"/>
  <c r="P1938" i="7"/>
  <c r="P1935" i="7"/>
  <c r="P1932" i="7"/>
  <c r="P1929" i="7"/>
  <c r="P1926" i="7"/>
  <c r="P1923" i="7"/>
  <c r="P1920" i="7"/>
  <c r="P1917" i="7"/>
  <c r="P1973" i="7"/>
  <c r="P1972" i="7"/>
  <c r="P1969" i="7"/>
  <c r="P1963" i="7"/>
  <c r="P1955" i="7"/>
  <c r="P1940" i="7"/>
  <c r="P1916" i="7"/>
  <c r="P1939" i="7"/>
  <c r="P1924" i="7"/>
  <c r="P1961" i="7"/>
  <c r="P1954" i="7"/>
  <c r="P1946" i="7"/>
  <c r="P1931" i="7"/>
  <c r="P1906" i="7"/>
  <c r="P1930" i="7"/>
  <c r="P1952" i="7"/>
  <c r="P1943" i="7"/>
  <c r="P1936" i="7"/>
  <c r="P1928" i="7"/>
  <c r="P1909" i="7"/>
  <c r="P1966" i="7"/>
  <c r="P1958" i="7"/>
  <c r="P1934" i="7"/>
  <c r="P1927" i="7"/>
  <c r="P1919" i="7"/>
  <c r="P1967" i="7"/>
  <c r="P1957" i="7"/>
  <c r="P1942" i="7"/>
  <c r="P1964" i="7"/>
  <c r="P1949" i="7"/>
  <c r="P1970" i="7"/>
  <c r="P1948" i="7"/>
  <c r="P1921" i="7"/>
  <c r="P1912" i="7"/>
  <c r="P1945" i="7"/>
  <c r="P1910" i="7"/>
  <c r="P1925" i="7"/>
  <c r="P1960" i="7"/>
  <c r="P1951" i="7"/>
  <c r="P1911" i="7"/>
  <c r="P1904" i="7"/>
  <c r="P1903" i="7"/>
  <c r="P1900" i="7"/>
  <c r="P1892" i="7"/>
  <c r="P1889" i="7"/>
  <c r="P1886" i="7"/>
  <c r="P1883" i="7"/>
  <c r="P1880" i="7"/>
  <c r="P1877" i="7"/>
  <c r="P1874" i="7"/>
  <c r="P1871" i="7"/>
  <c r="P1868" i="7"/>
  <c r="P1865" i="7"/>
  <c r="P1862" i="7"/>
  <c r="P1859" i="7"/>
  <c r="P1856" i="7"/>
  <c r="P1853" i="7"/>
  <c r="P1850" i="7"/>
  <c r="P1847" i="7"/>
  <c r="P1844" i="7"/>
  <c r="P1841" i="7"/>
  <c r="P1838" i="7"/>
  <c r="P1835" i="7"/>
  <c r="P1832" i="7"/>
  <c r="P1829" i="7"/>
  <c r="P1826" i="7"/>
  <c r="P1823" i="7"/>
  <c r="P1820" i="7"/>
  <c r="P1817" i="7"/>
  <c r="P1814" i="7"/>
  <c r="P1811" i="7"/>
  <c r="P1808" i="7"/>
  <c r="P1805" i="7"/>
  <c r="P1802" i="7"/>
  <c r="P1799" i="7"/>
  <c r="P1796" i="7"/>
  <c r="P1913" i="7"/>
  <c r="P1918" i="7"/>
  <c r="P1933" i="7"/>
  <c r="P1937" i="7"/>
  <c r="P1915" i="7"/>
  <c r="P1882" i="7"/>
  <c r="P1875" i="7"/>
  <c r="P1867" i="7"/>
  <c r="P1922" i="7"/>
  <c r="P1914" i="7"/>
  <c r="P1908" i="7"/>
  <c r="P1901" i="7"/>
  <c r="P1897" i="7"/>
  <c r="P1873" i="7"/>
  <c r="P1866" i="7"/>
  <c r="P1891" i="7"/>
  <c r="P1881" i="7"/>
  <c r="P1905" i="7"/>
  <c r="P1864" i="7"/>
  <c r="P1857" i="7"/>
  <c r="P1849" i="7"/>
  <c r="P1834" i="7"/>
  <c r="P1907" i="7"/>
  <c r="P1898" i="7"/>
  <c r="P1890" i="7"/>
  <c r="P1888" i="7"/>
  <c r="P1887" i="7"/>
  <c r="P1893" i="7"/>
  <c r="P1879" i="7"/>
  <c r="P1855" i="7"/>
  <c r="P1848" i="7"/>
  <c r="P1899" i="7"/>
  <c r="P1894" i="7"/>
  <c r="P1878" i="7"/>
  <c r="P1895" i="7"/>
  <c r="P1885" i="7"/>
  <c r="P1870" i="7"/>
  <c r="P1846" i="7"/>
  <c r="P1839" i="7"/>
  <c r="P1869" i="7"/>
  <c r="P1854" i="7"/>
  <c r="P1902" i="7"/>
  <c r="P1884" i="7"/>
  <c r="P1876" i="7"/>
  <c r="P1861" i="7"/>
  <c r="P1896" i="7"/>
  <c r="P1860" i="7"/>
  <c r="P1852" i="7"/>
  <c r="P1872" i="7"/>
  <c r="P1810" i="7"/>
  <c r="P1803" i="7"/>
  <c r="P1858" i="7"/>
  <c r="P1837" i="7"/>
  <c r="P1833" i="7"/>
  <c r="P1818" i="7"/>
  <c r="P1863" i="7"/>
  <c r="P1836" i="7"/>
  <c r="P1831" i="7"/>
  <c r="P1840" i="7"/>
  <c r="P1809" i="7"/>
  <c r="P1830" i="7"/>
  <c r="P1828" i="7"/>
  <c r="P1816" i="7"/>
  <c r="P1842" i="7"/>
  <c r="P1815" i="7"/>
  <c r="P1843" i="7"/>
  <c r="P1827" i="7"/>
  <c r="P1825" i="7"/>
  <c r="P1824" i="7"/>
  <c r="P1806" i="7"/>
  <c r="P1851" i="7"/>
  <c r="P1845" i="7"/>
  <c r="P1819" i="7"/>
  <c r="P1812" i="7"/>
  <c r="P1822" i="7"/>
  <c r="P1807" i="7"/>
  <c r="P1804" i="7"/>
  <c r="P1798" i="7"/>
  <c r="P1797" i="7"/>
  <c r="P1795" i="7"/>
  <c r="P1794" i="7"/>
  <c r="P1821" i="7"/>
  <c r="P1813" i="7"/>
  <c r="P1800" i="7"/>
  <c r="P1801" i="7"/>
  <c r="M1973" i="7"/>
  <c r="M1914" i="7"/>
  <c r="M1911" i="7"/>
  <c r="M1908" i="7"/>
  <c r="M1905" i="7"/>
  <c r="M1902" i="7"/>
  <c r="M1968" i="7"/>
  <c r="M1957" i="7"/>
  <c r="M1949" i="7"/>
  <c r="M1942" i="7"/>
  <c r="M1918" i="7"/>
  <c r="M1964" i="7"/>
  <c r="M1956" i="7"/>
  <c r="M1941" i="7"/>
  <c r="M1925" i="7"/>
  <c r="M1971" i="7"/>
  <c r="M1970" i="7"/>
  <c r="M1969" i="7"/>
  <c r="M1963" i="7"/>
  <c r="M1948" i="7"/>
  <c r="M1940" i="7"/>
  <c r="M1933" i="7"/>
  <c r="M1907" i="7"/>
  <c r="M1899" i="7"/>
  <c r="M1896" i="7"/>
  <c r="M1972" i="7"/>
  <c r="M1962" i="7"/>
  <c r="M1955" i="7"/>
  <c r="M1947" i="7"/>
  <c r="M1932" i="7"/>
  <c r="M1954" i="7"/>
  <c r="M1945" i="7"/>
  <c r="M1930" i="7"/>
  <c r="M1922" i="7"/>
  <c r="M1915" i="7"/>
  <c r="M1910" i="7"/>
  <c r="M1960" i="7"/>
  <c r="M1936" i="7"/>
  <c r="M1921" i="7"/>
  <c r="M1959" i="7"/>
  <c r="M1943" i="7"/>
  <c r="M1935" i="7"/>
  <c r="M1958" i="7"/>
  <c r="M1951" i="7"/>
  <c r="M1967" i="7"/>
  <c r="M1966" i="7"/>
  <c r="M1965" i="7"/>
  <c r="M1950" i="7"/>
  <c r="M1917" i="7"/>
  <c r="M1903" i="7"/>
  <c r="M1961" i="7"/>
  <c r="M1927" i="7"/>
  <c r="M1919" i="7"/>
  <c r="M1909" i="7"/>
  <c r="M1938" i="7"/>
  <c r="M1934" i="7"/>
  <c r="M1916" i="7"/>
  <c r="M1944" i="7"/>
  <c r="M1937" i="7"/>
  <c r="M1931" i="7"/>
  <c r="M1926" i="7"/>
  <c r="M1953" i="7"/>
  <c r="M1928" i="7"/>
  <c r="M1923" i="7"/>
  <c r="M1939" i="7"/>
  <c r="M1952" i="7"/>
  <c r="M1946" i="7"/>
  <c r="M1929" i="7"/>
  <c r="M1924" i="7"/>
  <c r="M1884" i="7"/>
  <c r="M1869" i="7"/>
  <c r="M1875" i="7"/>
  <c r="M1897" i="7"/>
  <c r="M1882" i="7"/>
  <c r="M1874" i="7"/>
  <c r="M1901" i="7"/>
  <c r="M1866" i="7"/>
  <c r="M1851" i="7"/>
  <c r="M1843" i="7"/>
  <c r="M1836" i="7"/>
  <c r="M1913" i="7"/>
  <c r="M1892" i="7"/>
  <c r="M1891" i="7"/>
  <c r="M1881" i="7"/>
  <c r="M1857" i="7"/>
  <c r="M1920" i="7"/>
  <c r="M1898" i="7"/>
  <c r="M1890" i="7"/>
  <c r="M1889" i="7"/>
  <c r="M1888" i="7"/>
  <c r="M1880" i="7"/>
  <c r="M1893" i="7"/>
  <c r="M1887" i="7"/>
  <c r="M1879" i="7"/>
  <c r="M1872" i="7"/>
  <c r="M1848" i="7"/>
  <c r="M1904" i="7"/>
  <c r="M1894" i="7"/>
  <c r="M1886" i="7"/>
  <c r="M1871" i="7"/>
  <c r="M1855" i="7"/>
  <c r="M1912" i="7"/>
  <c r="M1906" i="7"/>
  <c r="M1895" i="7"/>
  <c r="M1878" i="7"/>
  <c r="M1870" i="7"/>
  <c r="M1863" i="7"/>
  <c r="M1900" i="7"/>
  <c r="M1885" i="7"/>
  <c r="M1877" i="7"/>
  <c r="M1862" i="7"/>
  <c r="M1860" i="7"/>
  <c r="M1847" i="7"/>
  <c r="M1846" i="7"/>
  <c r="M1845" i="7"/>
  <c r="M1876" i="7"/>
  <c r="M1812" i="7"/>
  <c r="M1868" i="7"/>
  <c r="M1852" i="7"/>
  <c r="M1819" i="7"/>
  <c r="M1861" i="7"/>
  <c r="M1858" i="7"/>
  <c r="M1835" i="7"/>
  <c r="M1834" i="7"/>
  <c r="M1810" i="7"/>
  <c r="M1865" i="7"/>
  <c r="M1849" i="7"/>
  <c r="M1839" i="7"/>
  <c r="M1838" i="7"/>
  <c r="M1837" i="7"/>
  <c r="M1833" i="7"/>
  <c r="M1832" i="7"/>
  <c r="M1818" i="7"/>
  <c r="M1794" i="7"/>
  <c r="M1856" i="7"/>
  <c r="M1853" i="7"/>
  <c r="M1840" i="7"/>
  <c r="M1831" i="7"/>
  <c r="M1817" i="7"/>
  <c r="M1867" i="7"/>
  <c r="M1841" i="7"/>
  <c r="M1830" i="7"/>
  <c r="M1829" i="7"/>
  <c r="M1859" i="7"/>
  <c r="M1850" i="7"/>
  <c r="M1842" i="7"/>
  <c r="M1828" i="7"/>
  <c r="M1808" i="7"/>
  <c r="M1883" i="7"/>
  <c r="M1873" i="7"/>
  <c r="M1854" i="7"/>
  <c r="M1844" i="7"/>
  <c r="M1864" i="7"/>
  <c r="M1823" i="7"/>
  <c r="M1825" i="7"/>
  <c r="M1820" i="7"/>
  <c r="M1802" i="7"/>
  <c r="M1807" i="7"/>
  <c r="M1822" i="7"/>
  <c r="M1803" i="7"/>
  <c r="M1827" i="7"/>
  <c r="M1824" i="7"/>
  <c r="M1815" i="7"/>
  <c r="M1804" i="7"/>
  <c r="M1821" i="7"/>
  <c r="M1798" i="7"/>
  <c r="M1796" i="7"/>
  <c r="M1813" i="7"/>
  <c r="M1805" i="7"/>
  <c r="M1799" i="7"/>
  <c r="M1797" i="7"/>
  <c r="M1795" i="7"/>
  <c r="M1826" i="7"/>
  <c r="M1816" i="7"/>
  <c r="M1806" i="7"/>
  <c r="M1801" i="7"/>
  <c r="M1811" i="7"/>
  <c r="M1800" i="7"/>
  <c r="M1814" i="7"/>
  <c r="M1809" i="7"/>
  <c r="R1796" i="7"/>
  <c r="O1969" i="7"/>
  <c r="O1967" i="7"/>
  <c r="O1958" i="7"/>
  <c r="O1949" i="7"/>
  <c r="O1940" i="7"/>
  <c r="O1931" i="7"/>
  <c r="O1922" i="7"/>
  <c r="O1971" i="7"/>
  <c r="O1970" i="7"/>
  <c r="O1948" i="7"/>
  <c r="O1933" i="7"/>
  <c r="O1907" i="7"/>
  <c r="O1963" i="7"/>
  <c r="O1962" i="7"/>
  <c r="O1955" i="7"/>
  <c r="O1947" i="7"/>
  <c r="O1932" i="7"/>
  <c r="O1972" i="7"/>
  <c r="O1939" i="7"/>
  <c r="O1924" i="7"/>
  <c r="O1911" i="7"/>
  <c r="O1902" i="7"/>
  <c r="O1961" i="7"/>
  <c r="O1954" i="7"/>
  <c r="O1953" i="7"/>
  <c r="O1946" i="7"/>
  <c r="O1938" i="7"/>
  <c r="O1923" i="7"/>
  <c r="O1973" i="7"/>
  <c r="O1960" i="7"/>
  <c r="O1921" i="7"/>
  <c r="O1914" i="7"/>
  <c r="O1905" i="7"/>
  <c r="O1959" i="7"/>
  <c r="O1951" i="7"/>
  <c r="O1913" i="7"/>
  <c r="O1966" i="7"/>
  <c r="O1965" i="7"/>
  <c r="O1950" i="7"/>
  <c r="O1934" i="7"/>
  <c r="O1957" i="7"/>
  <c r="O1942" i="7"/>
  <c r="O1968" i="7"/>
  <c r="O1964" i="7"/>
  <c r="O1956" i="7"/>
  <c r="O1944" i="7"/>
  <c r="O1937" i="7"/>
  <c r="O1926" i="7"/>
  <c r="O1906" i="7"/>
  <c r="O1952" i="7"/>
  <c r="O1919" i="7"/>
  <c r="O1936" i="7"/>
  <c r="O1915" i="7"/>
  <c r="O1897" i="7"/>
  <c r="O1893" i="7"/>
  <c r="O1945" i="7"/>
  <c r="O1920" i="7"/>
  <c r="O1928" i="7"/>
  <c r="O1896" i="7"/>
  <c r="O1904" i="7"/>
  <c r="O1900" i="7"/>
  <c r="O1899" i="7"/>
  <c r="O1898" i="7"/>
  <c r="O1894" i="7"/>
  <c r="O1888" i="7"/>
  <c r="O1879" i="7"/>
  <c r="O1870" i="7"/>
  <c r="O1861" i="7"/>
  <c r="O1852" i="7"/>
  <c r="O1843" i="7"/>
  <c r="O1834" i="7"/>
  <c r="O1825" i="7"/>
  <c r="O1816" i="7"/>
  <c r="O1807" i="7"/>
  <c r="O1798" i="7"/>
  <c r="O1943" i="7"/>
  <c r="O1930" i="7"/>
  <c r="O1918" i="7"/>
  <c r="O1925" i="7"/>
  <c r="O1935" i="7"/>
  <c r="O1927" i="7"/>
  <c r="O1929" i="7"/>
  <c r="O1908" i="7"/>
  <c r="O1941" i="7"/>
  <c r="O1917" i="7"/>
  <c r="O1890" i="7"/>
  <c r="O1903" i="7"/>
  <c r="O1901" i="7"/>
  <c r="O1873" i="7"/>
  <c r="O1892" i="7"/>
  <c r="O1891" i="7"/>
  <c r="O1881" i="7"/>
  <c r="O1842" i="7"/>
  <c r="O1827" i="7"/>
  <c r="O1910" i="7"/>
  <c r="O1889" i="7"/>
  <c r="O1880" i="7"/>
  <c r="O1887" i="7"/>
  <c r="O1872" i="7"/>
  <c r="O1916" i="7"/>
  <c r="O1886" i="7"/>
  <c r="O1871" i="7"/>
  <c r="O1878" i="7"/>
  <c r="O1863" i="7"/>
  <c r="O1912" i="7"/>
  <c r="O1909" i="7"/>
  <c r="O1895" i="7"/>
  <c r="O1885" i="7"/>
  <c r="O1877" i="7"/>
  <c r="O1862" i="7"/>
  <c r="O1869" i="7"/>
  <c r="O1854" i="7"/>
  <c r="O1884" i="7"/>
  <c r="O1883" i="7"/>
  <c r="O1876" i="7"/>
  <c r="O1868" i="7"/>
  <c r="O1882" i="7"/>
  <c r="O1855" i="7"/>
  <c r="O1848" i="7"/>
  <c r="O1875" i="7"/>
  <c r="O1858" i="7"/>
  <c r="O1838" i="7"/>
  <c r="O1837" i="7"/>
  <c r="O1835" i="7"/>
  <c r="O1833" i="7"/>
  <c r="O1832" i="7"/>
  <c r="O1865" i="7"/>
  <c r="O1853" i="7"/>
  <c r="O1849" i="7"/>
  <c r="O1839" i="7"/>
  <c r="O1836" i="7"/>
  <c r="O1831" i="7"/>
  <c r="O1817" i="7"/>
  <c r="O1856" i="7"/>
  <c r="O1841" i="7"/>
  <c r="O1840" i="7"/>
  <c r="O1829" i="7"/>
  <c r="O1809" i="7"/>
  <c r="O1874" i="7"/>
  <c r="O1867" i="7"/>
  <c r="O1859" i="7"/>
  <c r="O1830" i="7"/>
  <c r="O1828" i="7"/>
  <c r="O1808" i="7"/>
  <c r="O1850" i="7"/>
  <c r="O1826" i="7"/>
  <c r="O1844" i="7"/>
  <c r="O1824" i="7"/>
  <c r="O1814" i="7"/>
  <c r="O1799" i="7"/>
  <c r="O1864" i="7"/>
  <c r="O1860" i="7"/>
  <c r="O1851" i="7"/>
  <c r="O1846" i="7"/>
  <c r="O1845" i="7"/>
  <c r="O1866" i="7"/>
  <c r="O1857" i="7"/>
  <c r="O1847" i="7"/>
  <c r="O1821" i="7"/>
  <c r="O1822" i="7"/>
  <c r="O1803" i="7"/>
  <c r="O1812" i="7"/>
  <c r="O1810" i="7"/>
  <c r="O1815" i="7"/>
  <c r="O1804" i="7"/>
  <c r="O1796" i="7"/>
  <c r="O1819" i="7"/>
  <c r="O1805" i="7"/>
  <c r="O1797" i="7"/>
  <c r="O1795" i="7"/>
  <c r="O1794" i="7"/>
  <c r="O1813" i="7"/>
  <c r="O1823" i="7"/>
  <c r="O1811" i="7"/>
  <c r="O1806" i="7"/>
  <c r="O1800" i="7"/>
  <c r="O1802" i="7"/>
  <c r="O1801" i="7"/>
  <c r="O1820" i="7"/>
  <c r="O1818" i="7"/>
  <c r="GD67" i="5"/>
  <c r="FR67" i="5"/>
  <c r="FF67" i="5"/>
  <c r="ET67" i="5"/>
  <c r="GE67" i="5"/>
  <c r="FQ67" i="5"/>
  <c r="FD67" i="5"/>
  <c r="EQ67" i="5"/>
  <c r="EE67" i="5"/>
  <c r="DS67" i="5"/>
  <c r="DG67" i="5"/>
  <c r="CU67" i="5"/>
  <c r="CI67" i="5"/>
  <c r="BW67" i="5"/>
  <c r="BK67" i="5"/>
  <c r="AY67" i="5"/>
  <c r="AM67" i="5"/>
  <c r="AA67" i="5"/>
  <c r="O67" i="5"/>
  <c r="GB67" i="5"/>
  <c r="FN67" i="5"/>
  <c r="EZ67" i="5"/>
  <c r="EL67" i="5"/>
  <c r="DY67" i="5"/>
  <c r="DL67" i="5"/>
  <c r="CY67" i="5"/>
  <c r="CL67" i="5"/>
  <c r="BY67" i="5"/>
  <c r="BL67" i="5"/>
  <c r="AX67" i="5"/>
  <c r="AK67" i="5"/>
  <c r="X67" i="5"/>
  <c r="K67" i="5"/>
  <c r="S67" i="5"/>
  <c r="AG67" i="5"/>
  <c r="AU67" i="5"/>
  <c r="BI67" i="5"/>
  <c r="BX67" i="5"/>
  <c r="CM67" i="5"/>
  <c r="DA67" i="5"/>
  <c r="DO67" i="5"/>
  <c r="EC67" i="5"/>
  <c r="ER67" i="5"/>
  <c r="FH67" i="5"/>
  <c r="FW67" i="5"/>
  <c r="T67" i="5"/>
  <c r="AH67" i="5"/>
  <c r="AV67" i="5"/>
  <c r="BJ67" i="5"/>
  <c r="BZ67" i="5"/>
  <c r="CN67" i="5"/>
  <c r="DB67" i="5"/>
  <c r="DP67" i="5"/>
  <c r="ED67" i="5"/>
  <c r="ES67" i="5"/>
  <c r="FI67" i="5"/>
  <c r="FX67" i="5"/>
  <c r="U67" i="5"/>
  <c r="AI67" i="5"/>
  <c r="AW67" i="5"/>
  <c r="BM67" i="5"/>
  <c r="CA67" i="5"/>
  <c r="CO67" i="5"/>
  <c r="DC67" i="5"/>
  <c r="DQ67" i="5"/>
  <c r="EF67" i="5"/>
  <c r="EU67" i="5"/>
  <c r="FJ67" i="5"/>
  <c r="FY67" i="5"/>
  <c r="L67" i="5"/>
  <c r="Z67" i="5"/>
  <c r="AO67" i="5"/>
  <c r="BC67" i="5"/>
  <c r="BQ67" i="5"/>
  <c r="CE67" i="5"/>
  <c r="CS67" i="5"/>
  <c r="DH67" i="5"/>
  <c r="DV67" i="5"/>
  <c r="EJ67" i="5"/>
  <c r="EY67" i="5"/>
  <c r="FO67" i="5"/>
  <c r="GF67" i="5"/>
  <c r="Q1852" i="7"/>
  <c r="S1852" i="7" s="1"/>
  <c r="Q1857" i="7"/>
  <c r="S1857" i="7" s="1"/>
  <c r="Q1866" i="7"/>
  <c r="S1866" i="7" s="1"/>
  <c r="Q1846" i="7"/>
  <c r="S1846" i="7" s="1"/>
  <c r="Q1864" i="7"/>
  <c r="S1864" i="7" s="1"/>
  <c r="Q1873" i="7"/>
  <c r="S1873" i="7" s="1"/>
  <c r="Q1798" i="7"/>
  <c r="S1798" i="7" s="1"/>
  <c r="Q1813" i="7"/>
  <c r="S1813" i="7" s="1"/>
  <c r="Q1822" i="7"/>
  <c r="S1822" i="7" s="1"/>
  <c r="Q1823" i="7"/>
  <c r="S1823" i="7" s="1"/>
  <c r="Q1845" i="7"/>
  <c r="S1845" i="7" s="1"/>
  <c r="Q1851" i="7"/>
  <c r="S1851" i="7" s="1"/>
  <c r="Q1844" i="7"/>
  <c r="S1844" i="7" s="1"/>
  <c r="Q1807" i="7"/>
  <c r="S1807" i="7" s="1"/>
  <c r="Q1824" i="7"/>
  <c r="S1824" i="7" s="1"/>
  <c r="Q1825" i="7"/>
  <c r="S1825" i="7" s="1"/>
  <c r="Q1827" i="7"/>
  <c r="S1827" i="7" s="1"/>
  <c r="Q1843" i="7"/>
  <c r="S1843" i="7" s="1"/>
  <c r="Q1972" i="7"/>
  <c r="S1972" i="7" s="1"/>
  <c r="Q1967" i="7"/>
  <c r="S1967" i="7" s="1"/>
  <c r="Q1971" i="7"/>
  <c r="S1971" i="7" s="1"/>
  <c r="Q1962" i="7"/>
  <c r="S1962" i="7" s="1"/>
  <c r="Q1953" i="7"/>
  <c r="S1953" i="7" s="1"/>
  <c r="Q1944" i="7"/>
  <c r="S1944" i="7" s="1"/>
  <c r="Q1935" i="7"/>
  <c r="S1935" i="7" s="1"/>
  <c r="Q1926" i="7"/>
  <c r="S1926" i="7" s="1"/>
  <c r="Q1917" i="7"/>
  <c r="S1917" i="7" s="1"/>
  <c r="Q1913" i="7"/>
  <c r="S1913" i="7" s="1"/>
  <c r="Q1910" i="7"/>
  <c r="S1910" i="7" s="1"/>
  <c r="Q1907" i="7"/>
  <c r="S1907" i="7" s="1"/>
  <c r="Q1904" i="7"/>
  <c r="S1904" i="7" s="1"/>
  <c r="Q1901" i="7"/>
  <c r="S1901" i="7" s="1"/>
  <c r="Q1947" i="7"/>
  <c r="S1947" i="7" s="1"/>
  <c r="Q1939" i="7"/>
  <c r="S1939" i="7" s="1"/>
  <c r="Q1932" i="7"/>
  <c r="S1932" i="7" s="1"/>
  <c r="Q1924" i="7"/>
  <c r="S1924" i="7" s="1"/>
  <c r="Q1911" i="7"/>
  <c r="S1911" i="7" s="1"/>
  <c r="Q1902" i="7"/>
  <c r="S1902" i="7" s="1"/>
  <c r="Q1961" i="7"/>
  <c r="S1961" i="7" s="1"/>
  <c r="Q1954" i="7"/>
  <c r="S1954" i="7" s="1"/>
  <c r="Q1946" i="7"/>
  <c r="S1946" i="7" s="1"/>
  <c r="Q1931" i="7"/>
  <c r="S1931" i="7" s="1"/>
  <c r="Q1938" i="7"/>
  <c r="S1938" i="7" s="1"/>
  <c r="Q1930" i="7"/>
  <c r="S1930" i="7" s="1"/>
  <c r="Q1923" i="7"/>
  <c r="S1923" i="7" s="1"/>
  <c r="Q1915" i="7"/>
  <c r="S1915" i="7" s="1"/>
  <c r="Q1898" i="7"/>
  <c r="S1898" i="7" s="1"/>
  <c r="Q1895" i="7"/>
  <c r="S1895" i="7" s="1"/>
  <c r="Q1952" i="7"/>
  <c r="S1952" i="7" s="1"/>
  <c r="Q1945" i="7"/>
  <c r="S1945" i="7" s="1"/>
  <c r="Q1937" i="7"/>
  <c r="S1937" i="7" s="1"/>
  <c r="Q1922" i="7"/>
  <c r="S1922" i="7" s="1"/>
  <c r="Q1973" i="7"/>
  <c r="S1973" i="7" s="1"/>
  <c r="Q1960" i="7"/>
  <c r="S1960" i="7" s="1"/>
  <c r="Q1959" i="7"/>
  <c r="S1959" i="7" s="1"/>
  <c r="Q1951" i="7"/>
  <c r="S1951" i="7" s="1"/>
  <c r="Q1920" i="7"/>
  <c r="S1920" i="7" s="1"/>
  <c r="Q1966" i="7"/>
  <c r="S1966" i="7" s="1"/>
  <c r="Q1958" i="7"/>
  <c r="S1958" i="7" s="1"/>
  <c r="Q1965" i="7"/>
  <c r="S1965" i="7" s="1"/>
  <c r="Q1957" i="7"/>
  <c r="S1957" i="7" s="1"/>
  <c r="Q1950" i="7"/>
  <c r="S1950" i="7" s="1"/>
  <c r="Q1942" i="7"/>
  <c r="S1942" i="7" s="1"/>
  <c r="Q1908" i="7"/>
  <c r="S1908" i="7" s="1"/>
  <c r="Q1964" i="7"/>
  <c r="S1964" i="7" s="1"/>
  <c r="Q1949" i="7"/>
  <c r="S1949" i="7" s="1"/>
  <c r="Q1970" i="7"/>
  <c r="S1970" i="7" s="1"/>
  <c r="Q1968" i="7"/>
  <c r="S1968" i="7" s="1"/>
  <c r="Q1956" i="7"/>
  <c r="S1956" i="7" s="1"/>
  <c r="Q1948" i="7"/>
  <c r="S1948" i="7" s="1"/>
  <c r="Q1941" i="7"/>
  <c r="S1941" i="7" s="1"/>
  <c r="Q1969" i="7"/>
  <c r="S1969" i="7" s="1"/>
  <c r="Q1963" i="7"/>
  <c r="S1963" i="7" s="1"/>
  <c r="Q1955" i="7"/>
  <c r="S1955" i="7" s="1"/>
  <c r="Q1933" i="7"/>
  <c r="S1933" i="7" s="1"/>
  <c r="Q1918" i="7"/>
  <c r="S1918" i="7" s="1"/>
  <c r="Q1899" i="7"/>
  <c r="S1899" i="7" s="1"/>
  <c r="Q1943" i="7"/>
  <c r="S1943" i="7" s="1"/>
  <c r="Q1927" i="7"/>
  <c r="S1927" i="7" s="1"/>
  <c r="Q1909" i="7"/>
  <c r="S1909" i="7" s="1"/>
  <c r="Q1925" i="7"/>
  <c r="S1925" i="7" s="1"/>
  <c r="Q1940" i="7"/>
  <c r="S1940" i="7" s="1"/>
  <c r="Q1916" i="7"/>
  <c r="S1916" i="7" s="1"/>
  <c r="Q1905" i="7"/>
  <c r="S1905" i="7" s="1"/>
  <c r="Q1934" i="7"/>
  <c r="S1934" i="7" s="1"/>
  <c r="Q1893" i="7"/>
  <c r="S1893" i="7" s="1"/>
  <c r="Q1883" i="7"/>
  <c r="S1883" i="7" s="1"/>
  <c r="Q1874" i="7"/>
  <c r="S1874" i="7" s="1"/>
  <c r="Q1865" i="7"/>
  <c r="S1865" i="7" s="1"/>
  <c r="Q1856" i="7"/>
  <c r="S1856" i="7" s="1"/>
  <c r="Q1847" i="7"/>
  <c r="S1847" i="7" s="1"/>
  <c r="Q1838" i="7"/>
  <c r="S1838" i="7" s="1"/>
  <c r="Q1829" i="7"/>
  <c r="S1829" i="7" s="1"/>
  <c r="Q1820" i="7"/>
  <c r="S1820" i="7" s="1"/>
  <c r="Q1811" i="7"/>
  <c r="S1811" i="7" s="1"/>
  <c r="Q1802" i="7"/>
  <c r="S1802" i="7" s="1"/>
  <c r="Q1936" i="7"/>
  <c r="S1936" i="7" s="1"/>
  <c r="Q1929" i="7"/>
  <c r="S1929" i="7" s="1"/>
  <c r="Q1906" i="7"/>
  <c r="S1906" i="7" s="1"/>
  <c r="Q1921" i="7"/>
  <c r="S1921" i="7" s="1"/>
  <c r="Q1919" i="7"/>
  <c r="S1919" i="7" s="1"/>
  <c r="Q1903" i="7"/>
  <c r="S1903" i="7" s="1"/>
  <c r="Q1928" i="7"/>
  <c r="S1928" i="7" s="1"/>
  <c r="Q1914" i="7"/>
  <c r="S1914" i="7" s="1"/>
  <c r="Q1897" i="7"/>
  <c r="S1897" i="7" s="1"/>
  <c r="Q1891" i="7"/>
  <c r="S1891" i="7" s="1"/>
  <c r="Q1881" i="7"/>
  <c r="S1881" i="7" s="1"/>
  <c r="Q1892" i="7"/>
  <c r="S1892" i="7" s="1"/>
  <c r="Q1890" i="7"/>
  <c r="S1890" i="7" s="1"/>
  <c r="Q1889" i="7"/>
  <c r="S1889" i="7" s="1"/>
  <c r="Q1888" i="7"/>
  <c r="S1888" i="7" s="1"/>
  <c r="Q1887" i="7"/>
  <c r="S1887" i="7" s="1"/>
  <c r="Q1880" i="7"/>
  <c r="S1880" i="7" s="1"/>
  <c r="Q1872" i="7"/>
  <c r="S1872" i="7" s="1"/>
  <c r="Q1841" i="7"/>
  <c r="S1841" i="7" s="1"/>
  <c r="Q1833" i="7"/>
  <c r="S1833" i="7" s="1"/>
  <c r="Q1826" i="7"/>
  <c r="S1826" i="7" s="1"/>
  <c r="Q1879" i="7"/>
  <c r="S1879" i="7" s="1"/>
  <c r="Q1894" i="7"/>
  <c r="S1894" i="7" s="1"/>
  <c r="Q1886" i="7"/>
  <c r="S1886" i="7" s="1"/>
  <c r="Q1878" i="7"/>
  <c r="S1878" i="7" s="1"/>
  <c r="Q1871" i="7"/>
  <c r="S1871" i="7" s="1"/>
  <c r="Q1863" i="7"/>
  <c r="S1863" i="7" s="1"/>
  <c r="Q1885" i="7"/>
  <c r="S1885" i="7" s="1"/>
  <c r="Q1870" i="7"/>
  <c r="S1870" i="7" s="1"/>
  <c r="Q1912" i="7"/>
  <c r="S1912" i="7" s="1"/>
  <c r="Q1877" i="7"/>
  <c r="S1877" i="7" s="1"/>
  <c r="Q1869" i="7"/>
  <c r="S1869" i="7" s="1"/>
  <c r="Q1862" i="7"/>
  <c r="S1862" i="7" s="1"/>
  <c r="Q1854" i="7"/>
  <c r="S1854" i="7" s="1"/>
  <c r="Q1884" i="7"/>
  <c r="S1884" i="7" s="1"/>
  <c r="Q1876" i="7"/>
  <c r="S1876" i="7" s="1"/>
  <c r="Q1861" i="7"/>
  <c r="S1861" i="7" s="1"/>
  <c r="Q1900" i="7"/>
  <c r="S1900" i="7" s="1"/>
  <c r="Q1896" i="7"/>
  <c r="S1896" i="7" s="1"/>
  <c r="Q1868" i="7"/>
  <c r="S1868" i="7" s="1"/>
  <c r="Q1860" i="7"/>
  <c r="S1860" i="7" s="1"/>
  <c r="Q1853" i="7"/>
  <c r="S1853" i="7" s="1"/>
  <c r="Q1882" i="7"/>
  <c r="S1882" i="7" s="1"/>
  <c r="Q1875" i="7"/>
  <c r="S1875" i="7" s="1"/>
  <c r="Q1867" i="7"/>
  <c r="S1867" i="7" s="1"/>
  <c r="Q1800" i="7"/>
  <c r="S1800" i="7" s="1"/>
  <c r="Q1808" i="7"/>
  <c r="S1808" i="7" s="1"/>
  <c r="Q1815" i="7"/>
  <c r="S1815" i="7" s="1"/>
  <c r="Q1842" i="7"/>
  <c r="S1842" i="7" s="1"/>
  <c r="Q1859" i="7"/>
  <c r="S1859" i="7" s="1"/>
  <c r="Q1816" i="7"/>
  <c r="S1816" i="7" s="1"/>
  <c r="Q1828" i="7"/>
  <c r="S1828" i="7" s="1"/>
  <c r="Q1830" i="7"/>
  <c r="S1830" i="7" s="1"/>
  <c r="Q1839" i="7"/>
  <c r="S1839" i="7" s="1"/>
  <c r="Q1840" i="7"/>
  <c r="S1840" i="7" s="1"/>
  <c r="Q1849" i="7"/>
  <c r="S1849" i="7" s="1"/>
  <c r="Q1831" i="7"/>
  <c r="S1831" i="7" s="1"/>
  <c r="Q1832" i="7"/>
  <c r="S1832" i="7" s="1"/>
  <c r="Q1834" i="7"/>
  <c r="S1834" i="7" s="1"/>
  <c r="Q1835" i="7"/>
  <c r="S1835" i="7" s="1"/>
  <c r="Q1836" i="7"/>
  <c r="S1836" i="7" s="1"/>
  <c r="Q1818" i="7"/>
  <c r="S1818" i="7" s="1"/>
  <c r="Q1837" i="7"/>
  <c r="S1837" i="7" s="1"/>
  <c r="Q1848" i="7"/>
  <c r="S1848" i="7" s="1"/>
  <c r="Q1858" i="7"/>
  <c r="S1858" i="7" s="1"/>
  <c r="Q1855" i="7"/>
  <c r="S1855" i="7" s="1"/>
  <c r="G24" i="3"/>
  <c r="G25" i="3"/>
  <c r="G26" i="3"/>
  <c r="G27" i="3"/>
  <c r="G28" i="3"/>
  <c r="AB1805" i="7" l="1"/>
  <c r="AB1817" i="7"/>
  <c r="AB1829" i="7"/>
  <c r="AB1841" i="7"/>
  <c r="AB1853" i="7"/>
  <c r="AB1865" i="7"/>
  <c r="AB1877" i="7"/>
  <c r="AB1889" i="7"/>
  <c r="AB1901" i="7"/>
  <c r="AB1913" i="7"/>
  <c r="AB1925" i="7"/>
  <c r="AB1937" i="7"/>
  <c r="AB1949" i="7"/>
  <c r="AB1961" i="7"/>
  <c r="AB1973" i="7"/>
  <c r="AB1794" i="7"/>
  <c r="AB1806" i="7"/>
  <c r="AB1818" i="7"/>
  <c r="AB1830" i="7"/>
  <c r="AB1842" i="7"/>
  <c r="AB1854" i="7"/>
  <c r="AB1866" i="7"/>
  <c r="AB1878" i="7"/>
  <c r="AB1890" i="7"/>
  <c r="AB1902" i="7"/>
  <c r="AB1914" i="7"/>
  <c r="AB1926" i="7"/>
  <c r="AB1938" i="7"/>
  <c r="AB1950" i="7"/>
  <c r="AB1962" i="7"/>
  <c r="AB1795" i="7"/>
  <c r="AB1807" i="7"/>
  <c r="AB1819" i="7"/>
  <c r="AB1831" i="7"/>
  <c r="AB1843" i="7"/>
  <c r="AB1855" i="7"/>
  <c r="AB1867" i="7"/>
  <c r="AB1879" i="7"/>
  <c r="AB1891" i="7"/>
  <c r="AB1903" i="7"/>
  <c r="AB1915" i="7"/>
  <c r="AB1927" i="7"/>
  <c r="AB1939" i="7"/>
  <c r="AB1951" i="7"/>
  <c r="AB1963" i="7"/>
  <c r="AB1796" i="7"/>
  <c r="AB1808" i="7"/>
  <c r="AB1820" i="7"/>
  <c r="AB1832" i="7"/>
  <c r="AB1844" i="7"/>
  <c r="AB1856" i="7"/>
  <c r="AB1868" i="7"/>
  <c r="AB1880" i="7"/>
  <c r="AB1892" i="7"/>
  <c r="AB1904" i="7"/>
  <c r="AB1916" i="7"/>
  <c r="AB1928" i="7"/>
  <c r="AB1940" i="7"/>
  <c r="AB1952" i="7"/>
  <c r="AB1964" i="7"/>
  <c r="AB1797" i="7"/>
  <c r="AB1809" i="7"/>
  <c r="AB1821" i="7"/>
  <c r="AB1833" i="7"/>
  <c r="AB1845" i="7"/>
  <c r="AB1857" i="7"/>
  <c r="AB1869" i="7"/>
  <c r="AB1881" i="7"/>
  <c r="AB1893" i="7"/>
  <c r="AB1905" i="7"/>
  <c r="AB1917" i="7"/>
  <c r="AB1929" i="7"/>
  <c r="AB1941" i="7"/>
  <c r="AB1953" i="7"/>
  <c r="AB1965" i="7"/>
  <c r="AB1798" i="7"/>
  <c r="AB1810" i="7"/>
  <c r="AB1822" i="7"/>
  <c r="AB1834" i="7"/>
  <c r="AB1846" i="7"/>
  <c r="AB1858" i="7"/>
  <c r="AB1870" i="7"/>
  <c r="AB1882" i="7"/>
  <c r="AB1894" i="7"/>
  <c r="AB1906" i="7"/>
  <c r="AB1918" i="7"/>
  <c r="AB1930" i="7"/>
  <c r="AB1942" i="7"/>
  <c r="AB1954" i="7"/>
  <c r="AB1966" i="7"/>
  <c r="AB1799" i="7"/>
  <c r="AB1811" i="7"/>
  <c r="AB1823" i="7"/>
  <c r="AB1835" i="7"/>
  <c r="AB1847" i="7"/>
  <c r="AB1859" i="7"/>
  <c r="AB1871" i="7"/>
  <c r="AB1883" i="7"/>
  <c r="AB1895" i="7"/>
  <c r="AB1907" i="7"/>
  <c r="AB1919" i="7"/>
  <c r="AB1931" i="7"/>
  <c r="AB1943" i="7"/>
  <c r="AB1955" i="7"/>
  <c r="AB1967" i="7"/>
  <c r="AB1800" i="7"/>
  <c r="AB1812" i="7"/>
  <c r="AB1824" i="7"/>
  <c r="AB1836" i="7"/>
  <c r="AB1848" i="7"/>
  <c r="AB1860" i="7"/>
  <c r="AB1872" i="7"/>
  <c r="AB1884" i="7"/>
  <c r="AB1896" i="7"/>
  <c r="AB1908" i="7"/>
  <c r="AB1920" i="7"/>
  <c r="AB1932" i="7"/>
  <c r="AB1944" i="7"/>
  <c r="AB1956" i="7"/>
  <c r="AB1968" i="7"/>
  <c r="AB1801" i="7"/>
  <c r="AB1813" i="7"/>
  <c r="AB1825" i="7"/>
  <c r="AB1837" i="7"/>
  <c r="AB1849" i="7"/>
  <c r="AB1861" i="7"/>
  <c r="AB1873" i="7"/>
  <c r="AB1885" i="7"/>
  <c r="AB1897" i="7"/>
  <c r="AB1909" i="7"/>
  <c r="AB1921" i="7"/>
  <c r="AB1933" i="7"/>
  <c r="AB1945" i="7"/>
  <c r="AB1957" i="7"/>
  <c r="AB1969" i="7"/>
  <c r="AB1802" i="7"/>
  <c r="AB1814" i="7"/>
  <c r="AB1826" i="7"/>
  <c r="AB1838" i="7"/>
  <c r="AB1850" i="7"/>
  <c r="AB1862" i="7"/>
  <c r="AB1874" i="7"/>
  <c r="AB1886" i="7"/>
  <c r="AB1898" i="7"/>
  <c r="AB1910" i="7"/>
  <c r="AB1922" i="7"/>
  <c r="AB1934" i="7"/>
  <c r="AB1946" i="7"/>
  <c r="AB1958" i="7"/>
  <c r="AB1970" i="7"/>
  <c r="AB1803" i="7"/>
  <c r="AB1815" i="7"/>
  <c r="AB1827" i="7"/>
  <c r="AB1839" i="7"/>
  <c r="AB1851" i="7"/>
  <c r="AB1863" i="7"/>
  <c r="AB1875" i="7"/>
  <c r="AB1887" i="7"/>
  <c r="AB1899" i="7"/>
  <c r="AB1911" i="7"/>
  <c r="AB1923" i="7"/>
  <c r="AB1935" i="7"/>
  <c r="AB1947" i="7"/>
  <c r="AB1959" i="7"/>
  <c r="AB1971" i="7"/>
  <c r="AB1936" i="7"/>
  <c r="AB1804" i="7"/>
  <c r="AB1948" i="7"/>
  <c r="AB1816" i="7"/>
  <c r="AB1960" i="7"/>
  <c r="AB1828" i="7"/>
  <c r="AB1972" i="7"/>
  <c r="AB1840" i="7"/>
  <c r="AB1852" i="7"/>
  <c r="AB1864" i="7"/>
  <c r="AB1876" i="7"/>
  <c r="AB1888" i="7"/>
  <c r="AB1900" i="7"/>
  <c r="AB1912" i="7"/>
  <c r="AB1924" i="7"/>
  <c r="H100" i="13"/>
  <c r="M100" i="13" s="1" a="1"/>
  <c r="M100" i="13" s="1"/>
  <c r="N100" i="13" s="1"/>
  <c r="I100" i="13"/>
  <c r="H101" i="13"/>
  <c r="M101" i="13" s="1" a="1"/>
  <c r="M101" i="13" s="1"/>
  <c r="N101" i="13" s="1"/>
  <c r="I101" i="13"/>
  <c r="H102" i="13"/>
  <c r="M102" i="13" s="1" a="1"/>
  <c r="M102" i="13" s="1"/>
  <c r="N102" i="13" s="1"/>
  <c r="I102" i="13"/>
  <c r="H103" i="13"/>
  <c r="M103" i="13" s="1" a="1"/>
  <c r="M103" i="13" s="1"/>
  <c r="N103" i="13" s="1"/>
  <c r="I103" i="13"/>
  <c r="H104" i="13"/>
  <c r="M104" i="13" s="1" a="1"/>
  <c r="M104" i="13" s="1"/>
  <c r="N104" i="13" s="1"/>
  <c r="I104" i="13"/>
  <c r="H105" i="13"/>
  <c r="M105" i="13" s="1" a="1"/>
  <c r="M105" i="13" s="1"/>
  <c r="N105" i="13" s="1"/>
  <c r="I105" i="13"/>
  <c r="H106" i="13"/>
  <c r="M106" i="13" s="1" a="1"/>
  <c r="M106" i="13" s="1"/>
  <c r="N106" i="13" s="1"/>
  <c r="I106" i="13"/>
  <c r="H107" i="13"/>
  <c r="M107" i="13" s="1" a="1"/>
  <c r="M107" i="13" s="1"/>
  <c r="N107" i="13" s="1"/>
  <c r="I107" i="13"/>
  <c r="H108" i="13"/>
  <c r="M108" i="13" s="1" a="1"/>
  <c r="M108" i="13" s="1"/>
  <c r="N108" i="13" s="1"/>
  <c r="I108" i="13"/>
  <c r="H109" i="13"/>
  <c r="M109" i="13" s="1" a="1"/>
  <c r="M109" i="13" s="1"/>
  <c r="N109" i="13" s="1"/>
  <c r="I109" i="13"/>
  <c r="H110" i="13"/>
  <c r="M110" i="13" s="1" a="1"/>
  <c r="M110" i="13" s="1"/>
  <c r="N110" i="13" s="1"/>
  <c r="I110" i="13"/>
  <c r="H111" i="13"/>
  <c r="M111" i="13" s="1" a="1"/>
  <c r="M111" i="13" s="1"/>
  <c r="N111" i="13" s="1"/>
  <c r="I111" i="13"/>
  <c r="H112" i="13"/>
  <c r="M112" i="13" s="1" a="1"/>
  <c r="M112" i="13" s="1"/>
  <c r="N112" i="13" s="1"/>
  <c r="I112" i="13"/>
  <c r="H113" i="13"/>
  <c r="M113" i="13" s="1" a="1"/>
  <c r="M113" i="13" s="1"/>
  <c r="N113" i="13" s="1"/>
  <c r="I113" i="13"/>
  <c r="H114" i="13"/>
  <c r="M114" i="13" s="1" a="1"/>
  <c r="M114" i="13" s="1"/>
  <c r="N114" i="13" s="1"/>
  <c r="I114" i="13"/>
  <c r="H115" i="13"/>
  <c r="M115" i="13" s="1" a="1"/>
  <c r="M115" i="13" s="1"/>
  <c r="N115" i="13" s="1"/>
  <c r="I115" i="13"/>
  <c r="H116" i="13"/>
  <c r="M116" i="13" s="1" a="1"/>
  <c r="M116" i="13" s="1"/>
  <c r="N116" i="13" s="1"/>
  <c r="I116" i="13"/>
  <c r="H117" i="13"/>
  <c r="M117" i="13" s="1" a="1"/>
  <c r="M117" i="13" s="1"/>
  <c r="N117" i="13" s="1"/>
  <c r="I117" i="13"/>
  <c r="H118" i="13"/>
  <c r="M118" i="13" s="1" a="1"/>
  <c r="M118" i="13" s="1"/>
  <c r="N118" i="13" s="1"/>
  <c r="I118" i="13"/>
  <c r="H119" i="13"/>
  <c r="M119" i="13" s="1" a="1"/>
  <c r="M119" i="13" s="1"/>
  <c r="N119" i="13" s="1"/>
  <c r="I119" i="13"/>
  <c r="H120" i="13"/>
  <c r="M120" i="13" s="1" a="1"/>
  <c r="M120" i="13" s="1"/>
  <c r="N120" i="13" s="1"/>
  <c r="I120" i="13"/>
  <c r="H121" i="13"/>
  <c r="M121" i="13" s="1" a="1"/>
  <c r="M121" i="13" s="1"/>
  <c r="N121" i="13" s="1"/>
  <c r="I121" i="13"/>
  <c r="H122" i="13"/>
  <c r="M122" i="13" s="1" a="1"/>
  <c r="M122" i="13" s="1"/>
  <c r="N122" i="13" s="1"/>
  <c r="I122" i="13"/>
  <c r="H123" i="13"/>
  <c r="M123" i="13" s="1" a="1"/>
  <c r="M123" i="13" s="1"/>
  <c r="N123" i="13" s="1"/>
  <c r="I123" i="13"/>
  <c r="H124" i="13"/>
  <c r="M124" i="13" s="1" a="1"/>
  <c r="M124" i="13" s="1"/>
  <c r="N124" i="13" s="1"/>
  <c r="I124" i="13"/>
  <c r="H125" i="13"/>
  <c r="M125" i="13" s="1" a="1"/>
  <c r="M125" i="13" s="1"/>
  <c r="N125" i="13" s="1"/>
  <c r="I125" i="13"/>
  <c r="H126" i="13"/>
  <c r="M126" i="13" s="1" a="1"/>
  <c r="M126" i="13" s="1"/>
  <c r="N126" i="13" s="1"/>
  <c r="I126" i="13"/>
  <c r="H127" i="13"/>
  <c r="M127" i="13" s="1" a="1"/>
  <c r="M127" i="13" s="1"/>
  <c r="N127" i="13" s="1"/>
  <c r="I127" i="13"/>
  <c r="H128" i="13"/>
  <c r="M128" i="13" s="1" a="1"/>
  <c r="M128" i="13" s="1"/>
  <c r="N128" i="13" s="1"/>
  <c r="I128" i="13"/>
  <c r="H129" i="13"/>
  <c r="M129" i="13" s="1" a="1"/>
  <c r="M129" i="13" s="1"/>
  <c r="N129" i="13" s="1"/>
  <c r="I129" i="13"/>
  <c r="H130" i="13"/>
  <c r="M130" i="13" s="1" a="1"/>
  <c r="M130" i="13" s="1"/>
  <c r="N130" i="13" s="1"/>
  <c r="I130" i="13"/>
  <c r="H131" i="13"/>
  <c r="M131" i="13" s="1" a="1"/>
  <c r="M131" i="13" s="1"/>
  <c r="N131" i="13" s="1"/>
  <c r="I131" i="13"/>
  <c r="H45" i="13"/>
  <c r="M45" i="13" s="1" a="1"/>
  <c r="M45" i="13" s="1"/>
  <c r="N45" i="13" s="1"/>
  <c r="I45" i="13"/>
  <c r="H46" i="13"/>
  <c r="M46" i="13" s="1" a="1"/>
  <c r="M46" i="13" s="1"/>
  <c r="N46" i="13" s="1"/>
  <c r="I46" i="13"/>
  <c r="H47" i="13"/>
  <c r="M47" i="13" s="1" a="1"/>
  <c r="M47" i="13" s="1"/>
  <c r="N47" i="13" s="1"/>
  <c r="I47" i="13"/>
  <c r="H48" i="13"/>
  <c r="M48" i="13" s="1" a="1"/>
  <c r="M48" i="13" s="1"/>
  <c r="N48" i="13" s="1"/>
  <c r="I48" i="13"/>
  <c r="H49" i="13"/>
  <c r="M49" i="13" s="1" a="1"/>
  <c r="M49" i="13" s="1"/>
  <c r="N49" i="13" s="1"/>
  <c r="I49" i="13"/>
  <c r="H50" i="13"/>
  <c r="M50" i="13" s="1" a="1"/>
  <c r="M50" i="13" s="1"/>
  <c r="N50" i="13" s="1"/>
  <c r="I50" i="13"/>
  <c r="H51" i="13"/>
  <c r="M51" i="13" s="1" a="1"/>
  <c r="M51" i="13" s="1"/>
  <c r="N51" i="13" s="1"/>
  <c r="I51" i="13"/>
  <c r="H52" i="13"/>
  <c r="M52" i="13" s="1" a="1"/>
  <c r="M52" i="13" s="1"/>
  <c r="N52" i="13" s="1"/>
  <c r="I52" i="13"/>
  <c r="H53" i="13"/>
  <c r="M53" i="13" s="1" a="1"/>
  <c r="M53" i="13" s="1"/>
  <c r="N53" i="13" s="1"/>
  <c r="I53" i="13"/>
  <c r="H54" i="13"/>
  <c r="M54" i="13" s="1" a="1"/>
  <c r="M54" i="13" s="1"/>
  <c r="N54" i="13" s="1"/>
  <c r="I54" i="13"/>
  <c r="H55" i="13"/>
  <c r="M55" i="13" s="1" a="1"/>
  <c r="M55" i="13" s="1"/>
  <c r="N55" i="13" s="1"/>
  <c r="I55" i="13"/>
  <c r="H56" i="13"/>
  <c r="M56" i="13" s="1" a="1"/>
  <c r="M56" i="13" s="1"/>
  <c r="N56" i="13" s="1"/>
  <c r="I56" i="13"/>
  <c r="H57" i="13"/>
  <c r="M57" i="13" s="1" a="1"/>
  <c r="M57" i="13" s="1"/>
  <c r="N57" i="13" s="1"/>
  <c r="I57" i="13"/>
  <c r="H58" i="13"/>
  <c r="M58" i="13" s="1" a="1"/>
  <c r="M58" i="13" s="1"/>
  <c r="N58" i="13" s="1"/>
  <c r="I58" i="13"/>
  <c r="H59" i="13"/>
  <c r="M59" i="13" s="1" a="1"/>
  <c r="M59" i="13" s="1"/>
  <c r="N59" i="13" s="1"/>
  <c r="I59" i="13"/>
  <c r="H60" i="13"/>
  <c r="M60" i="13" s="1" a="1"/>
  <c r="M60" i="13" s="1"/>
  <c r="N60" i="13" s="1"/>
  <c r="I60" i="13"/>
  <c r="H61" i="13"/>
  <c r="M61" i="13" s="1" a="1"/>
  <c r="M61" i="13" s="1"/>
  <c r="N61" i="13" s="1"/>
  <c r="I61" i="13"/>
  <c r="H62" i="13"/>
  <c r="M62" i="13" s="1" a="1"/>
  <c r="M62" i="13" s="1"/>
  <c r="N62" i="13" s="1"/>
  <c r="I62" i="13"/>
  <c r="H63" i="13"/>
  <c r="M63" i="13" s="1" a="1"/>
  <c r="M63" i="13" s="1"/>
  <c r="N63" i="13" s="1"/>
  <c r="I63" i="13"/>
  <c r="H64" i="13"/>
  <c r="M64" i="13" s="1" a="1"/>
  <c r="M64" i="13" s="1"/>
  <c r="N64" i="13" s="1"/>
  <c r="I64" i="13"/>
  <c r="H65" i="13"/>
  <c r="M65" i="13" s="1" a="1"/>
  <c r="M65" i="13" s="1"/>
  <c r="N65" i="13" s="1"/>
  <c r="I65" i="13"/>
  <c r="H66" i="13"/>
  <c r="M66" i="13" s="1" a="1"/>
  <c r="M66" i="13" s="1"/>
  <c r="N66" i="13" s="1"/>
  <c r="I66" i="13"/>
  <c r="H67" i="13"/>
  <c r="M67" i="13" s="1" a="1"/>
  <c r="M67" i="13" s="1"/>
  <c r="N67" i="13" s="1"/>
  <c r="I67" i="13"/>
  <c r="H68" i="13"/>
  <c r="M68" i="13" s="1" a="1"/>
  <c r="M68" i="13" s="1"/>
  <c r="N68" i="13" s="1"/>
  <c r="I68" i="13"/>
  <c r="H69" i="13"/>
  <c r="M69" i="13" s="1" a="1"/>
  <c r="M69" i="13" s="1"/>
  <c r="N69" i="13" s="1"/>
  <c r="I69" i="13"/>
  <c r="H70" i="13"/>
  <c r="M70" i="13" s="1" a="1"/>
  <c r="M70" i="13" s="1"/>
  <c r="N70" i="13" s="1"/>
  <c r="I70" i="13"/>
  <c r="H71" i="13"/>
  <c r="M71" i="13" s="1" a="1"/>
  <c r="M71" i="13" s="1"/>
  <c r="N71" i="13" s="1"/>
  <c r="I71" i="13"/>
  <c r="H72" i="13"/>
  <c r="M72" i="13" s="1" a="1"/>
  <c r="M72" i="13" s="1"/>
  <c r="N72" i="13" s="1"/>
  <c r="I72" i="13"/>
  <c r="H73" i="13"/>
  <c r="M73" i="13" s="1" a="1"/>
  <c r="M73" i="13" s="1"/>
  <c r="N73" i="13" s="1"/>
  <c r="I73" i="13"/>
  <c r="H74" i="13"/>
  <c r="M74" i="13" s="1" a="1"/>
  <c r="M74" i="13" s="1"/>
  <c r="N74" i="13" s="1"/>
  <c r="I74" i="13"/>
  <c r="H75" i="13"/>
  <c r="M75" i="13" s="1" a="1"/>
  <c r="M75" i="13" s="1"/>
  <c r="N75" i="13" s="1"/>
  <c r="I75" i="13"/>
  <c r="H76" i="13"/>
  <c r="M76" i="13" s="1" a="1"/>
  <c r="M76" i="13" s="1"/>
  <c r="N76" i="13" s="1"/>
  <c r="I76" i="13"/>
  <c r="H77" i="13"/>
  <c r="M77" i="13" s="1" a="1"/>
  <c r="M77" i="13" s="1"/>
  <c r="N77" i="13" s="1"/>
  <c r="I77" i="13"/>
  <c r="H78" i="13"/>
  <c r="M78" i="13" s="1" a="1"/>
  <c r="M78" i="13" s="1"/>
  <c r="N78" i="13" s="1"/>
  <c r="I78" i="13"/>
  <c r="H79" i="13"/>
  <c r="M79" i="13" s="1" a="1"/>
  <c r="M79" i="13" s="1"/>
  <c r="N79" i="13" s="1"/>
  <c r="I79" i="13"/>
  <c r="H80" i="13"/>
  <c r="M80" i="13" s="1" a="1"/>
  <c r="M80" i="13" s="1"/>
  <c r="N80" i="13" s="1"/>
  <c r="I80" i="13"/>
  <c r="H81" i="13"/>
  <c r="M81" i="13" s="1" a="1"/>
  <c r="M81" i="13" s="1"/>
  <c r="N81" i="13" s="1"/>
  <c r="I81" i="13"/>
  <c r="H82" i="13"/>
  <c r="M82" i="13" s="1" a="1"/>
  <c r="M82" i="13" s="1"/>
  <c r="N82" i="13" s="1"/>
  <c r="I82" i="13"/>
  <c r="H83" i="13"/>
  <c r="M83" i="13" s="1" a="1"/>
  <c r="M83" i="13" s="1"/>
  <c r="N83" i="13" s="1"/>
  <c r="I83" i="13"/>
  <c r="H84" i="13"/>
  <c r="M84" i="13" s="1" a="1"/>
  <c r="M84" i="13" s="1"/>
  <c r="N84" i="13" s="1"/>
  <c r="I84" i="13"/>
  <c r="H85" i="13"/>
  <c r="M85" i="13" s="1" a="1"/>
  <c r="M85" i="13" s="1"/>
  <c r="N85" i="13" s="1"/>
  <c r="I85" i="13"/>
  <c r="H86" i="13"/>
  <c r="M86" i="13" s="1" a="1"/>
  <c r="M86" i="13" s="1"/>
  <c r="N86" i="13" s="1"/>
  <c r="I86" i="13"/>
  <c r="H87" i="13"/>
  <c r="M87" i="13" s="1" a="1"/>
  <c r="M87" i="13" s="1"/>
  <c r="N87" i="13" s="1"/>
  <c r="I87" i="13"/>
  <c r="H88" i="13"/>
  <c r="M88" i="13" s="1" a="1"/>
  <c r="M88" i="13" s="1"/>
  <c r="N88" i="13" s="1"/>
  <c r="I88" i="13"/>
  <c r="H89" i="13"/>
  <c r="M89" i="13" s="1" a="1"/>
  <c r="M89" i="13" s="1"/>
  <c r="N89" i="13" s="1"/>
  <c r="I89" i="13"/>
  <c r="H90" i="13"/>
  <c r="M90" i="13" s="1" a="1"/>
  <c r="M90" i="13" s="1"/>
  <c r="N90" i="13" s="1"/>
  <c r="I90" i="13"/>
  <c r="H91" i="13"/>
  <c r="M91" i="13" s="1" a="1"/>
  <c r="M91" i="13" s="1"/>
  <c r="N91" i="13" s="1"/>
  <c r="I91" i="13"/>
  <c r="H92" i="13"/>
  <c r="M92" i="13" s="1" a="1"/>
  <c r="M92" i="13" s="1"/>
  <c r="N92" i="13" s="1"/>
  <c r="I92" i="13"/>
  <c r="H93" i="13"/>
  <c r="M93" i="13" s="1" a="1"/>
  <c r="M93" i="13" s="1"/>
  <c r="N93" i="13" s="1"/>
  <c r="I93" i="13"/>
  <c r="H94" i="13"/>
  <c r="M94" i="13" s="1" a="1"/>
  <c r="M94" i="13" s="1"/>
  <c r="N94" i="13" s="1"/>
  <c r="I94" i="13"/>
  <c r="H95" i="13"/>
  <c r="M95" i="13" s="1" a="1"/>
  <c r="M95" i="13" s="1"/>
  <c r="N95" i="13" s="1"/>
  <c r="I95" i="13"/>
  <c r="H96" i="13"/>
  <c r="M96" i="13" s="1" a="1"/>
  <c r="M96" i="13" s="1"/>
  <c r="N96" i="13" s="1"/>
  <c r="I96" i="13"/>
  <c r="H97" i="13"/>
  <c r="M97" i="13" s="1" a="1"/>
  <c r="M97" i="13" s="1"/>
  <c r="N97" i="13" s="1"/>
  <c r="I97" i="13"/>
  <c r="H98" i="13"/>
  <c r="M98" i="13" s="1" a="1"/>
  <c r="M98" i="13" s="1"/>
  <c r="N98" i="13" s="1"/>
  <c r="I98" i="13"/>
  <c r="H99" i="13"/>
  <c r="M99" i="13" s="1" a="1"/>
  <c r="M99" i="13" s="1"/>
  <c r="N99" i="13" s="1"/>
  <c r="I99" i="13"/>
  <c r="C6" i="15" l="1"/>
  <c r="B6" i="15"/>
  <c r="C7" i="15"/>
  <c r="B7" i="15"/>
  <c r="N25" i="8"/>
  <c r="N30" i="8"/>
  <c r="N31" i="8"/>
  <c r="N32" i="8"/>
  <c r="D33" i="8"/>
  <c r="E33" i="8"/>
  <c r="F33" i="8"/>
  <c r="G33" i="8"/>
  <c r="H33" i="8"/>
  <c r="I33" i="8"/>
  <c r="J33" i="8"/>
  <c r="K33" i="8"/>
  <c r="L33" i="8"/>
  <c r="M33" i="8"/>
  <c r="C33" i="8"/>
  <c r="D29" i="8"/>
  <c r="E29" i="8"/>
  <c r="F29" i="8"/>
  <c r="G29" i="8"/>
  <c r="H29" i="8"/>
  <c r="I29" i="8"/>
  <c r="J29" i="8"/>
  <c r="K29" i="8"/>
  <c r="L29" i="8"/>
  <c r="M29" i="8"/>
  <c r="C29" i="8"/>
  <c r="D28" i="8"/>
  <c r="E28" i="8"/>
  <c r="F28" i="8"/>
  <c r="G28" i="8"/>
  <c r="H28" i="8"/>
  <c r="I28" i="8"/>
  <c r="J28" i="8"/>
  <c r="K28" i="8"/>
  <c r="L28" i="8"/>
  <c r="M28" i="8"/>
  <c r="C28" i="8"/>
  <c r="E27" i="8"/>
  <c r="F27" i="8"/>
  <c r="G27" i="8"/>
  <c r="H27" i="8"/>
  <c r="I27" i="8"/>
  <c r="J27" i="8"/>
  <c r="K27" i="8"/>
  <c r="L27" i="8"/>
  <c r="M27" i="8"/>
  <c r="D27" i="8"/>
  <c r="C27" i="8"/>
  <c r="D24" i="8"/>
  <c r="E24" i="8"/>
  <c r="F24" i="8"/>
  <c r="G24" i="8"/>
  <c r="H24" i="8"/>
  <c r="I24" i="8"/>
  <c r="J24" i="8"/>
  <c r="K24" i="8"/>
  <c r="L24" i="8"/>
  <c r="M24" i="8"/>
  <c r="C24" i="8"/>
  <c r="D26" i="8"/>
  <c r="E26" i="8"/>
  <c r="F26" i="8"/>
  <c r="G26" i="8"/>
  <c r="H26" i="8"/>
  <c r="I26" i="8"/>
  <c r="J26" i="8"/>
  <c r="K26" i="8"/>
  <c r="L26" i="8"/>
  <c r="M26" i="8"/>
  <c r="C26" i="8"/>
  <c r="D23" i="8"/>
  <c r="E23" i="8"/>
  <c r="F23" i="8"/>
  <c r="G23" i="8"/>
  <c r="H23" i="8"/>
  <c r="I23" i="8"/>
  <c r="J23" i="8"/>
  <c r="K23" i="8"/>
  <c r="L23" i="8"/>
  <c r="M23" i="8"/>
  <c r="C23" i="8"/>
  <c r="D22" i="8"/>
  <c r="E22" i="8"/>
  <c r="F22" i="8"/>
  <c r="G22" i="8"/>
  <c r="H22" i="8"/>
  <c r="I22" i="8"/>
  <c r="J22" i="8"/>
  <c r="K22" i="8"/>
  <c r="L22" i="8"/>
  <c r="M22" i="8"/>
  <c r="C22" i="8"/>
  <c r="E27" i="4"/>
  <c r="E28" i="4"/>
  <c r="E29" i="4"/>
  <c r="E30" i="4"/>
  <c r="E31" i="4"/>
  <c r="E32" i="4"/>
  <c r="E33" i="4"/>
  <c r="E34" i="4"/>
  <c r="E35" i="4"/>
  <c r="E36" i="4"/>
  <c r="E37" i="4"/>
  <c r="E38" i="4"/>
  <c r="E39" i="4"/>
  <c r="E40" i="4"/>
  <c r="E41" i="4"/>
  <c r="E26" i="4"/>
  <c r="E6" i="4"/>
  <c r="E7" i="4"/>
  <c r="E8" i="4"/>
  <c r="E9" i="4"/>
  <c r="E10" i="4"/>
  <c r="E11" i="4"/>
  <c r="E12" i="4"/>
  <c r="E13" i="4"/>
  <c r="E14" i="4"/>
  <c r="E15" i="4"/>
  <c r="E16" i="4"/>
  <c r="E17" i="4"/>
  <c r="E18" i="4"/>
  <c r="E19" i="4"/>
  <c r="E20" i="4"/>
  <c r="E21" i="4"/>
  <c r="E22" i="4"/>
  <c r="E5" i="4"/>
  <c r="G19" i="3"/>
  <c r="E25" i="3"/>
  <c r="E26" i="3"/>
  <c r="E27" i="3"/>
  <c r="Q21" i="14"/>
  <c r="Q22" i="14"/>
  <c r="Q23" i="14"/>
  <c r="Q24" i="14"/>
  <c r="Q25" i="14"/>
  <c r="Q26" i="14"/>
  <c r="Q27" i="14"/>
  <c r="Q28" i="14"/>
  <c r="Q29" i="14"/>
  <c r="Q30" i="14"/>
  <c r="Q31" i="14"/>
  <c r="Q32" i="14"/>
  <c r="Q33" i="14"/>
  <c r="Q34" i="14"/>
  <c r="Q35" i="14"/>
  <c r="Q36" i="14"/>
  <c r="Q37" i="14"/>
  <c r="Q38" i="14"/>
  <c r="Q39" i="14"/>
  <c r="Q40" i="14"/>
  <c r="Q41" i="14"/>
  <c r="Q42" i="14"/>
  <c r="Q43" i="14"/>
  <c r="Q44" i="14"/>
  <c r="Q45" i="14"/>
  <c r="Q46" i="14"/>
  <c r="Q47" i="14"/>
  <c r="Q48" i="14"/>
  <c r="Q49" i="14"/>
  <c r="Q50" i="14"/>
  <c r="Q51" i="14"/>
  <c r="Q52" i="14"/>
  <c r="Q53" i="14"/>
  <c r="Q54" i="14"/>
  <c r="Q55" i="14"/>
  <c r="Q56" i="14"/>
  <c r="Q57" i="14"/>
  <c r="Q58" i="14"/>
  <c r="Q59" i="14"/>
  <c r="Q60" i="14"/>
  <c r="Q61" i="14"/>
  <c r="Q62" i="14"/>
  <c r="Q63" i="14"/>
  <c r="Q64" i="14"/>
  <c r="Q65" i="14"/>
  <c r="Q66" i="14"/>
  <c r="Q67" i="14"/>
  <c r="Q68" i="14"/>
  <c r="Q69" i="14"/>
  <c r="Q70" i="14"/>
  <c r="Q71" i="14"/>
  <c r="Q72" i="14"/>
  <c r="Q73" i="14"/>
  <c r="Q74" i="14"/>
  <c r="Q75" i="14"/>
  <c r="Q76" i="14"/>
  <c r="Q77" i="14"/>
  <c r="Q78" i="14"/>
  <c r="Q79" i="14"/>
  <c r="Q80" i="14"/>
  <c r="Q81" i="14"/>
  <c r="Q82" i="14"/>
  <c r="Q83" i="14"/>
  <c r="Q84" i="14"/>
  <c r="Q85" i="14"/>
  <c r="Q86" i="14"/>
  <c r="Q87" i="14"/>
  <c r="Q88" i="14"/>
  <c r="Q89" i="14"/>
  <c r="Q90" i="14"/>
  <c r="Q91" i="14"/>
  <c r="Q92" i="14"/>
  <c r="Q93" i="14"/>
  <c r="Q94" i="14"/>
  <c r="Q95" i="14"/>
  <c r="Q96" i="14"/>
  <c r="Q97" i="14"/>
  <c r="Q98" i="14"/>
  <c r="Q99" i="14"/>
  <c r="Q100" i="14"/>
  <c r="Q101" i="14"/>
  <c r="Q102" i="14"/>
  <c r="Q103" i="14"/>
  <c r="Q104" i="14"/>
  <c r="Q105" i="14"/>
  <c r="Q106" i="14"/>
  <c r="Q107" i="14"/>
  <c r="Q108" i="14"/>
  <c r="Q109" i="14"/>
  <c r="Q110" i="14"/>
  <c r="Q111" i="14"/>
  <c r="Q112" i="14"/>
  <c r="Q113" i="14"/>
  <c r="Q114" i="14"/>
  <c r="Q115" i="14"/>
  <c r="Q116" i="14"/>
  <c r="Q117" i="14"/>
  <c r="Q118" i="14"/>
  <c r="Q119" i="14"/>
  <c r="Q120" i="14"/>
  <c r="Q121" i="14"/>
  <c r="Q122" i="14"/>
  <c r="Q123" i="14"/>
  <c r="Q124" i="14"/>
  <c r="Q125" i="14"/>
  <c r="Q126" i="14"/>
  <c r="Q127" i="14"/>
  <c r="Q128" i="14"/>
  <c r="Q129" i="14"/>
  <c r="Q130" i="14"/>
  <c r="Q131" i="14"/>
  <c r="Q132" i="14"/>
  <c r="Q133" i="14"/>
  <c r="Q134" i="14"/>
  <c r="Q135" i="14"/>
  <c r="Q136" i="14"/>
  <c r="Q137" i="14"/>
  <c r="Q138" i="14"/>
  <c r="Q139" i="14"/>
  <c r="Q140" i="14"/>
  <c r="Q141" i="14"/>
  <c r="Q142" i="14"/>
  <c r="Q143" i="14"/>
  <c r="Q144" i="14"/>
  <c r="Q145" i="14"/>
  <c r="Q146" i="14"/>
  <c r="Q147" i="14"/>
  <c r="Q148" i="14"/>
  <c r="Q149" i="14"/>
  <c r="Q150" i="14"/>
  <c r="Q151" i="14"/>
  <c r="Q152" i="14"/>
  <c r="Q153" i="14"/>
  <c r="Q154" i="14"/>
  <c r="Q155" i="14"/>
  <c r="Q156" i="14"/>
  <c r="Q157" i="14"/>
  <c r="Q158" i="14"/>
  <c r="Q159" i="14"/>
  <c r="Q160" i="14"/>
  <c r="Q161" i="14"/>
  <c r="Q162" i="14"/>
  <c r="Q163" i="14"/>
  <c r="Q164" i="14"/>
  <c r="Q165" i="14"/>
  <c r="Q166" i="14"/>
  <c r="Q167" i="14"/>
  <c r="Q168" i="14"/>
  <c r="Q169" i="14"/>
  <c r="Q170" i="14"/>
  <c r="Q171" i="14"/>
  <c r="Q172" i="14"/>
  <c r="Q173" i="14"/>
  <c r="Q174" i="14"/>
  <c r="Q175" i="14"/>
  <c r="Q176" i="14"/>
  <c r="Q177" i="14"/>
  <c r="Q178" i="14"/>
  <c r="Q179" i="14"/>
  <c r="Q180" i="14"/>
  <c r="Q181" i="14"/>
  <c r="Q182" i="14"/>
  <c r="Q183" i="14"/>
  <c r="Q184" i="14"/>
  <c r="Q185" i="14"/>
  <c r="Q186" i="14"/>
  <c r="Q187" i="14"/>
  <c r="Q188" i="14"/>
  <c r="Q189" i="14"/>
  <c r="Q190" i="14"/>
  <c r="Q191" i="14"/>
  <c r="Q192" i="14"/>
  <c r="Q193" i="14"/>
  <c r="Q194" i="14"/>
  <c r="Q195" i="14"/>
  <c r="Q196" i="14"/>
  <c r="Q197" i="14"/>
  <c r="Q198" i="14"/>
  <c r="Q199" i="14"/>
  <c r="Q200" i="14"/>
  <c r="Q201" i="14"/>
  <c r="Q202" i="14"/>
  <c r="Q203" i="14"/>
  <c r="Q204" i="14"/>
  <c r="Q205" i="14"/>
  <c r="Q206" i="14"/>
  <c r="D5" i="10"/>
  <c r="D6" i="10"/>
  <c r="D7" i="10"/>
  <c r="D8" i="10"/>
  <c r="D9" i="10"/>
  <c r="D10" i="10"/>
  <c r="D11" i="10"/>
  <c r="D12" i="10"/>
  <c r="D13" i="10"/>
  <c r="D14" i="10"/>
  <c r="D15" i="10"/>
  <c r="D16" i="10"/>
  <c r="D17" i="10"/>
  <c r="D18" i="10"/>
  <c r="D19" i="10"/>
  <c r="D20" i="10"/>
  <c r="D21" i="10"/>
  <c r="D22" i="10"/>
  <c r="D23" i="10"/>
  <c r="D24" i="10"/>
  <c r="D25" i="10"/>
  <c r="D26" i="10"/>
  <c r="D27" i="10"/>
  <c r="D28" i="10"/>
  <c r="D29" i="10"/>
  <c r="D30" i="10"/>
  <c r="D31" i="10"/>
  <c r="D32" i="10"/>
  <c r="D33" i="10"/>
  <c r="D34" i="10"/>
  <c r="D35" i="10"/>
  <c r="D36" i="10"/>
  <c r="D37" i="10"/>
  <c r="D38" i="10"/>
  <c r="D39" i="10"/>
  <c r="D40" i="10"/>
  <c r="D41" i="10"/>
  <c r="D42" i="10"/>
  <c r="D43" i="10"/>
  <c r="D44" i="10"/>
  <c r="D45" i="10"/>
  <c r="D46" i="10"/>
  <c r="D47" i="10"/>
  <c r="D48" i="10"/>
  <c r="D49" i="10"/>
  <c r="D50" i="10"/>
  <c r="D51" i="10"/>
  <c r="D52" i="10"/>
  <c r="D53" i="10"/>
  <c r="D54" i="10"/>
  <c r="D55" i="10"/>
  <c r="D56" i="10"/>
  <c r="D57" i="10"/>
  <c r="D58" i="10"/>
  <c r="D59" i="10"/>
  <c r="D60" i="10"/>
  <c r="D61" i="10"/>
  <c r="D62" i="10"/>
  <c r="D63" i="10"/>
  <c r="D64" i="10"/>
  <c r="D65" i="10"/>
  <c r="D66" i="10"/>
  <c r="D67" i="10"/>
  <c r="D68" i="10"/>
  <c r="D69" i="10"/>
  <c r="D70" i="10"/>
  <c r="D71" i="10"/>
  <c r="D72" i="10"/>
  <c r="D73" i="10"/>
  <c r="D74" i="10"/>
  <c r="D75" i="10"/>
  <c r="D76" i="10"/>
  <c r="D77" i="10"/>
  <c r="D78" i="10"/>
  <c r="D79" i="10"/>
  <c r="D80" i="10"/>
  <c r="D81" i="10"/>
  <c r="D82" i="10"/>
  <c r="D83" i="10"/>
  <c r="D84" i="10"/>
  <c r="D85" i="10"/>
  <c r="D86" i="10"/>
  <c r="D87" i="10"/>
  <c r="D88" i="10"/>
  <c r="D89" i="10"/>
  <c r="D90" i="10"/>
  <c r="D91" i="10"/>
  <c r="D92" i="10"/>
  <c r="D93" i="10"/>
  <c r="D94" i="10"/>
  <c r="D95" i="10"/>
  <c r="D96" i="10"/>
  <c r="D97" i="10"/>
  <c r="D98" i="10"/>
  <c r="D99" i="10"/>
  <c r="D100" i="10"/>
  <c r="D101" i="10"/>
  <c r="D102" i="10"/>
  <c r="D103" i="10"/>
  <c r="D104" i="10"/>
  <c r="D105" i="10"/>
  <c r="D106" i="10"/>
  <c r="D107" i="10"/>
  <c r="D108" i="10"/>
  <c r="D109" i="10"/>
  <c r="D110" i="10"/>
  <c r="D111" i="10"/>
  <c r="D112" i="10"/>
  <c r="D113" i="10"/>
  <c r="D114" i="10"/>
  <c r="D115" i="10"/>
  <c r="D116" i="10"/>
  <c r="D117" i="10"/>
  <c r="D118" i="10"/>
  <c r="D119" i="10"/>
  <c r="D120" i="10"/>
  <c r="D121" i="10"/>
  <c r="D122" i="10"/>
  <c r="D123" i="10"/>
  <c r="D124" i="10"/>
  <c r="D125" i="10"/>
  <c r="D126" i="10"/>
  <c r="D127" i="10"/>
  <c r="D128" i="10"/>
  <c r="D129" i="10"/>
  <c r="D130" i="10"/>
  <c r="D131" i="10"/>
  <c r="D132" i="10"/>
  <c r="D133" i="10"/>
  <c r="D134" i="10"/>
  <c r="D135" i="10"/>
  <c r="D136" i="10"/>
  <c r="D137" i="10"/>
  <c r="D138" i="10"/>
  <c r="D139" i="10"/>
  <c r="D140" i="10"/>
  <c r="D141" i="10"/>
  <c r="D142" i="10"/>
  <c r="D143" i="10"/>
  <c r="D144" i="10"/>
  <c r="D145" i="10"/>
  <c r="D146" i="10"/>
  <c r="D147" i="10"/>
  <c r="D148" i="10"/>
  <c r="D149" i="10"/>
  <c r="D150" i="10"/>
  <c r="D151" i="10"/>
  <c r="D152" i="10"/>
  <c r="D153" i="10"/>
  <c r="D154" i="10"/>
  <c r="D155" i="10"/>
  <c r="D156" i="10"/>
  <c r="D157" i="10"/>
  <c r="D158" i="10"/>
  <c r="D159" i="10"/>
  <c r="D160" i="10"/>
  <c r="D161" i="10"/>
  <c r="D162" i="10"/>
  <c r="D163" i="10"/>
  <c r="D164" i="10"/>
  <c r="D165" i="10"/>
  <c r="D166" i="10"/>
  <c r="D167" i="10"/>
  <c r="D168" i="10"/>
  <c r="D169" i="10"/>
  <c r="D170" i="10"/>
  <c r="D171" i="10"/>
  <c r="D172" i="10"/>
  <c r="D173" i="10"/>
  <c r="D174" i="10"/>
  <c r="D175" i="10"/>
  <c r="D176" i="10"/>
  <c r="D177" i="10"/>
  <c r="D178" i="10"/>
  <c r="D179" i="10"/>
  <c r="D180" i="10"/>
  <c r="D181" i="10"/>
  <c r="D182" i="10"/>
  <c r="D183" i="10"/>
  <c r="D184" i="10"/>
  <c r="D185" i="10"/>
  <c r="D186" i="10"/>
  <c r="D187" i="10"/>
  <c r="D188" i="10"/>
  <c r="D189" i="10"/>
  <c r="D190" i="10"/>
  <c r="D191" i="10"/>
  <c r="D192" i="10"/>
  <c r="D193" i="10"/>
  <c r="D194" i="10"/>
  <c r="D195" i="10"/>
  <c r="D196" i="10"/>
  <c r="D197" i="10"/>
  <c r="D198" i="10"/>
  <c r="D199" i="10"/>
  <c r="D200" i="10"/>
  <c r="D201" i="10"/>
  <c r="D202" i="10"/>
  <c r="D203" i="10"/>
  <c r="D204" i="10"/>
  <c r="D205" i="10"/>
  <c r="D206" i="10"/>
  <c r="D207" i="10"/>
  <c r="D208" i="10"/>
  <c r="D209" i="10"/>
  <c r="D210" i="10"/>
  <c r="D211" i="10"/>
  <c r="D212" i="10"/>
  <c r="D213" i="10"/>
  <c r="D214" i="10"/>
  <c r="D215" i="10"/>
  <c r="D216" i="10"/>
  <c r="D217" i="10"/>
  <c r="D218" i="10"/>
  <c r="D219" i="10"/>
  <c r="D220" i="10"/>
  <c r="D221" i="10"/>
  <c r="D222" i="10"/>
  <c r="D223" i="10"/>
  <c r="D224" i="10"/>
  <c r="D225" i="10"/>
  <c r="D226" i="10"/>
  <c r="D227" i="10"/>
  <c r="D228" i="10"/>
  <c r="D229" i="10"/>
  <c r="D230" i="10"/>
  <c r="D231" i="10"/>
  <c r="D232" i="10"/>
  <c r="D233" i="10"/>
  <c r="D234" i="10"/>
  <c r="D235" i="10"/>
  <c r="D236" i="10"/>
  <c r="D237" i="10"/>
  <c r="D238" i="10"/>
  <c r="D239" i="10"/>
  <c r="D240" i="10"/>
  <c r="D241" i="10"/>
  <c r="D242" i="10"/>
  <c r="D243" i="10"/>
  <c r="D244" i="10"/>
  <c r="D245" i="10"/>
  <c r="D246" i="10"/>
  <c r="D247" i="10"/>
  <c r="D248" i="10"/>
  <c r="D249" i="10"/>
  <c r="D250" i="10"/>
  <c r="D251" i="10"/>
  <c r="D252" i="10"/>
  <c r="D253" i="10"/>
  <c r="D254" i="10"/>
  <c r="D255" i="10"/>
  <c r="D256" i="10"/>
  <c r="D257" i="10"/>
  <c r="D258" i="10"/>
  <c r="D259" i="10"/>
  <c r="D260" i="10"/>
  <c r="D261" i="10"/>
  <c r="D262" i="10"/>
  <c r="D263" i="10"/>
  <c r="D264" i="10"/>
  <c r="D265" i="10"/>
  <c r="D266" i="10"/>
  <c r="D267" i="10"/>
  <c r="D268" i="10"/>
  <c r="D269" i="10"/>
  <c r="D270" i="10"/>
  <c r="D271" i="10"/>
  <c r="D272" i="10"/>
  <c r="D273" i="10"/>
  <c r="D274" i="10"/>
  <c r="D275" i="10"/>
  <c r="D276" i="10"/>
  <c r="D277" i="10"/>
  <c r="D278" i="10"/>
  <c r="D279" i="10"/>
  <c r="D280" i="10"/>
  <c r="D281" i="10"/>
  <c r="D282" i="10"/>
  <c r="D283" i="10"/>
  <c r="D284" i="10"/>
  <c r="D285" i="10"/>
  <c r="D286" i="10"/>
  <c r="D287" i="10"/>
  <c r="D288" i="10"/>
  <c r="D289" i="10"/>
  <c r="D290" i="10"/>
  <c r="D291" i="10"/>
  <c r="D292" i="10"/>
  <c r="D293" i="10"/>
  <c r="D294" i="10"/>
  <c r="D295" i="10"/>
  <c r="D296" i="10"/>
  <c r="D297" i="10"/>
  <c r="D298" i="10"/>
  <c r="D299" i="10"/>
  <c r="D300" i="10"/>
  <c r="D301" i="10"/>
  <c r="D302" i="10"/>
  <c r="D303" i="10"/>
  <c r="D304" i="10"/>
  <c r="D305" i="10"/>
  <c r="D306" i="10"/>
  <c r="D307" i="10"/>
  <c r="D308" i="10"/>
  <c r="D309" i="10"/>
  <c r="D310" i="10"/>
  <c r="D311" i="10"/>
  <c r="D312" i="10"/>
  <c r="D313" i="10"/>
  <c r="D314" i="10"/>
  <c r="D315" i="10"/>
  <c r="D316" i="10"/>
  <c r="D317" i="10"/>
  <c r="D318" i="10"/>
  <c r="D319" i="10"/>
  <c r="D320" i="10"/>
  <c r="D321" i="10"/>
  <c r="D322" i="10"/>
  <c r="D323" i="10"/>
  <c r="D324" i="10"/>
  <c r="D325" i="10"/>
  <c r="D326" i="10"/>
  <c r="D327" i="10"/>
  <c r="D328" i="10"/>
  <c r="D329" i="10"/>
  <c r="D330" i="10"/>
  <c r="D331" i="10"/>
  <c r="D332" i="10"/>
  <c r="D333" i="10"/>
  <c r="D334" i="10"/>
  <c r="D335" i="10"/>
  <c r="D336" i="10"/>
  <c r="D337" i="10"/>
  <c r="D338" i="10"/>
  <c r="D339" i="10"/>
  <c r="D340" i="10"/>
  <c r="D341" i="10"/>
  <c r="D342" i="10"/>
  <c r="D343" i="10"/>
  <c r="D344" i="10"/>
  <c r="D345" i="10"/>
  <c r="D346" i="10"/>
  <c r="D347" i="10"/>
  <c r="D348" i="10"/>
  <c r="D349" i="10"/>
  <c r="D350" i="10"/>
  <c r="D351" i="10"/>
  <c r="D352" i="10"/>
  <c r="D353" i="10"/>
  <c r="D354" i="10"/>
  <c r="D355" i="10"/>
  <c r="D356" i="10"/>
  <c r="D357" i="10"/>
  <c r="D358" i="10"/>
  <c r="D359" i="10"/>
  <c r="D360" i="10"/>
  <c r="D361" i="10"/>
  <c r="D362" i="10"/>
  <c r="D363" i="10"/>
  <c r="D364" i="10"/>
  <c r="D365" i="10"/>
  <c r="D366" i="10"/>
  <c r="D367" i="10"/>
  <c r="D368" i="10"/>
  <c r="D369" i="10"/>
  <c r="D370" i="10"/>
  <c r="D371" i="10"/>
  <c r="D372" i="10"/>
  <c r="D373" i="10"/>
  <c r="D374" i="10"/>
  <c r="D375" i="10"/>
  <c r="D376" i="10"/>
  <c r="D377" i="10"/>
  <c r="D378" i="10"/>
  <c r="D379" i="10"/>
  <c r="D380" i="10"/>
  <c r="D381" i="10"/>
  <c r="D382" i="10"/>
  <c r="D383" i="10"/>
  <c r="D384" i="10"/>
  <c r="D385" i="10"/>
  <c r="D386" i="10"/>
  <c r="D387" i="10"/>
  <c r="D388" i="10"/>
  <c r="D389" i="10"/>
  <c r="D390" i="10"/>
  <c r="D391" i="10"/>
  <c r="D392" i="10"/>
  <c r="D393" i="10"/>
  <c r="D394" i="10"/>
  <c r="D395" i="10"/>
  <c r="D396" i="10"/>
  <c r="D397" i="10"/>
  <c r="D398" i="10"/>
  <c r="D399" i="10"/>
  <c r="D400" i="10"/>
  <c r="D401" i="10"/>
  <c r="D402" i="10"/>
  <c r="D403" i="10"/>
  <c r="D404" i="10"/>
  <c r="D405" i="10"/>
  <c r="D406" i="10"/>
  <c r="D407" i="10"/>
  <c r="D408" i="10"/>
  <c r="D409" i="10"/>
  <c r="D410" i="10"/>
  <c r="D411" i="10"/>
  <c r="D412" i="10"/>
  <c r="D413" i="10"/>
  <c r="D414" i="10"/>
  <c r="D415" i="10"/>
  <c r="D416" i="10"/>
  <c r="D417" i="10"/>
  <c r="D418" i="10"/>
  <c r="D419" i="10"/>
  <c r="D420" i="10"/>
  <c r="D421" i="10"/>
  <c r="D422" i="10"/>
  <c r="D423" i="10"/>
  <c r="D424" i="10"/>
  <c r="D425" i="10"/>
  <c r="D426" i="10"/>
  <c r="D427" i="10"/>
  <c r="D428" i="10"/>
  <c r="D429" i="10"/>
  <c r="D430" i="10"/>
  <c r="D431" i="10"/>
  <c r="D432" i="10"/>
  <c r="D433" i="10"/>
  <c r="D434" i="10"/>
  <c r="D435" i="10"/>
  <c r="D436" i="10"/>
  <c r="D437" i="10"/>
  <c r="D438" i="10"/>
  <c r="D439" i="10"/>
  <c r="D440" i="10"/>
  <c r="D441" i="10"/>
  <c r="D442" i="10"/>
  <c r="D443" i="10"/>
  <c r="D444" i="10"/>
  <c r="D445" i="10"/>
  <c r="D446" i="10"/>
  <c r="D447" i="10"/>
  <c r="D448" i="10"/>
  <c r="D449" i="10"/>
  <c r="D450" i="10"/>
  <c r="D451" i="10"/>
  <c r="D452" i="10"/>
  <c r="D453" i="10"/>
  <c r="D454" i="10"/>
  <c r="D455" i="10"/>
  <c r="D456" i="10"/>
  <c r="D457" i="10"/>
  <c r="D458" i="10"/>
  <c r="D459" i="10"/>
  <c r="D460" i="10"/>
  <c r="D461" i="10"/>
  <c r="D462" i="10"/>
  <c r="D463" i="10"/>
  <c r="D464" i="10"/>
  <c r="D465" i="10"/>
  <c r="D466" i="10"/>
  <c r="D467" i="10"/>
  <c r="D468" i="10"/>
  <c r="D469" i="10"/>
  <c r="D470" i="10"/>
  <c r="D471" i="10"/>
  <c r="D472" i="10"/>
  <c r="D473" i="10"/>
  <c r="D474" i="10"/>
  <c r="D475" i="10"/>
  <c r="D476" i="10"/>
  <c r="D477" i="10"/>
  <c r="D478" i="10"/>
  <c r="D479" i="10"/>
  <c r="D480" i="10"/>
  <c r="D481" i="10"/>
  <c r="D482" i="10"/>
  <c r="D483" i="10"/>
  <c r="D484" i="10"/>
  <c r="D485" i="10"/>
  <c r="D486" i="10"/>
  <c r="D487" i="10"/>
  <c r="D488" i="10"/>
  <c r="D489" i="10"/>
  <c r="D490" i="10"/>
  <c r="D491" i="10"/>
  <c r="D492" i="10"/>
  <c r="D493" i="10"/>
  <c r="D494" i="10"/>
  <c r="D495" i="10"/>
  <c r="D496" i="10"/>
  <c r="D497" i="10"/>
  <c r="D498" i="10"/>
  <c r="D499" i="10"/>
  <c r="D500" i="10"/>
  <c r="D501" i="10"/>
  <c r="D502" i="10"/>
  <c r="D503" i="10"/>
  <c r="D504" i="10"/>
  <c r="D505" i="10"/>
  <c r="D506" i="10"/>
  <c r="D507" i="10"/>
  <c r="D508" i="10"/>
  <c r="D509" i="10"/>
  <c r="D510" i="10"/>
  <c r="D511" i="10"/>
  <c r="D512" i="10"/>
  <c r="D513" i="10"/>
  <c r="D514" i="10"/>
  <c r="D515" i="10"/>
  <c r="D516" i="10"/>
  <c r="D517" i="10"/>
  <c r="D518" i="10"/>
  <c r="D519" i="10"/>
  <c r="D520" i="10"/>
  <c r="D521" i="10"/>
  <c r="D522" i="10"/>
  <c r="D523" i="10"/>
  <c r="D524" i="10"/>
  <c r="D525" i="10"/>
  <c r="D526" i="10"/>
  <c r="D527" i="10"/>
  <c r="D528" i="10"/>
  <c r="D529" i="10"/>
  <c r="D530" i="10"/>
  <c r="D531" i="10"/>
  <c r="D532" i="10"/>
  <c r="D533" i="10"/>
  <c r="D534" i="10"/>
  <c r="D535" i="10"/>
  <c r="D536" i="10"/>
  <c r="D537" i="10"/>
  <c r="D538" i="10"/>
  <c r="D539" i="10"/>
  <c r="D540" i="10"/>
  <c r="D541" i="10"/>
  <c r="D542" i="10"/>
  <c r="D543" i="10"/>
  <c r="D544" i="10"/>
  <c r="D545" i="10"/>
  <c r="D546" i="10"/>
  <c r="D547" i="10"/>
  <c r="D548" i="10"/>
  <c r="D549" i="10"/>
  <c r="D550" i="10"/>
  <c r="D551" i="10"/>
  <c r="D552" i="10"/>
  <c r="D553" i="10"/>
  <c r="D554" i="10"/>
  <c r="D555" i="10"/>
  <c r="D556" i="10"/>
  <c r="D557" i="10"/>
  <c r="D558" i="10"/>
  <c r="D559" i="10"/>
  <c r="D560" i="10"/>
  <c r="D561" i="10"/>
  <c r="D562" i="10"/>
  <c r="D563" i="10"/>
  <c r="D564" i="10"/>
  <c r="D565" i="10"/>
  <c r="D566" i="10"/>
  <c r="D567" i="10"/>
  <c r="D568" i="10"/>
  <c r="D569" i="10"/>
  <c r="D570" i="10"/>
  <c r="D571" i="10"/>
  <c r="D572" i="10"/>
  <c r="D573" i="10"/>
  <c r="D574" i="10"/>
  <c r="D575" i="10"/>
  <c r="D576" i="10"/>
  <c r="D577" i="10"/>
  <c r="D578" i="10"/>
  <c r="D579" i="10"/>
  <c r="D580" i="10"/>
  <c r="D581" i="10"/>
  <c r="D582" i="10"/>
  <c r="D583" i="10"/>
  <c r="D584" i="10"/>
  <c r="D585" i="10"/>
  <c r="D586" i="10"/>
  <c r="D587" i="10"/>
  <c r="D588" i="10"/>
  <c r="D589" i="10"/>
  <c r="D590" i="10"/>
  <c r="D591" i="10"/>
  <c r="D592" i="10"/>
  <c r="D593" i="10"/>
  <c r="D594" i="10"/>
  <c r="D595" i="10"/>
  <c r="D596" i="10"/>
  <c r="D597" i="10"/>
  <c r="D598" i="10"/>
  <c r="D599" i="10"/>
  <c r="D600" i="10"/>
  <c r="D601" i="10"/>
  <c r="D602" i="10"/>
  <c r="D603" i="10"/>
  <c r="D604" i="10"/>
  <c r="D605" i="10"/>
  <c r="D606" i="10"/>
  <c r="D607" i="10"/>
  <c r="D608" i="10"/>
  <c r="D609" i="10"/>
  <c r="D610" i="10"/>
  <c r="D611" i="10"/>
  <c r="D612" i="10"/>
  <c r="D613" i="10"/>
  <c r="D614" i="10"/>
  <c r="D615" i="10"/>
  <c r="D616" i="10"/>
  <c r="D617" i="10"/>
  <c r="D618" i="10"/>
  <c r="D619" i="10"/>
  <c r="D620" i="10"/>
  <c r="D621" i="10"/>
  <c r="D622" i="10"/>
  <c r="D623" i="10"/>
  <c r="D624" i="10"/>
  <c r="D625" i="10"/>
  <c r="D626" i="10"/>
  <c r="D627" i="10"/>
  <c r="D628" i="10"/>
  <c r="D629" i="10"/>
  <c r="D630" i="10"/>
  <c r="D631" i="10"/>
  <c r="D632" i="10"/>
  <c r="D633" i="10"/>
  <c r="D634" i="10"/>
  <c r="D635" i="10"/>
  <c r="D636" i="10"/>
  <c r="D637" i="10"/>
  <c r="D638" i="10"/>
  <c r="D639" i="10"/>
  <c r="D640" i="10"/>
  <c r="D641" i="10"/>
  <c r="D642" i="10"/>
  <c r="D643" i="10"/>
  <c r="D644" i="10"/>
  <c r="D645" i="10"/>
  <c r="D646" i="10"/>
  <c r="D647" i="10"/>
  <c r="D648" i="10"/>
  <c r="D649" i="10"/>
  <c r="D650" i="10"/>
  <c r="D651" i="10"/>
  <c r="D652" i="10"/>
  <c r="D653" i="10"/>
  <c r="D654" i="10"/>
  <c r="D655" i="10"/>
  <c r="D656" i="10"/>
  <c r="D657" i="10"/>
  <c r="D658" i="10"/>
  <c r="D659" i="10"/>
  <c r="D660" i="10"/>
  <c r="D661" i="10"/>
  <c r="D662" i="10"/>
  <c r="D663" i="10"/>
  <c r="D664" i="10"/>
  <c r="D665" i="10"/>
  <c r="D666" i="10"/>
  <c r="D667" i="10"/>
  <c r="D668" i="10"/>
  <c r="D669" i="10"/>
  <c r="D670" i="10"/>
  <c r="D671" i="10"/>
  <c r="D672" i="10"/>
  <c r="D673" i="10"/>
  <c r="D674" i="10"/>
  <c r="D675" i="10"/>
  <c r="D676" i="10"/>
  <c r="D677" i="10"/>
  <c r="D678" i="10"/>
  <c r="D679" i="10"/>
  <c r="D680" i="10"/>
  <c r="D681" i="10"/>
  <c r="D682" i="10"/>
  <c r="D683" i="10"/>
  <c r="D684" i="10"/>
  <c r="D685" i="10"/>
  <c r="D686" i="10"/>
  <c r="D687" i="10"/>
  <c r="D688" i="10"/>
  <c r="D689" i="10"/>
  <c r="D690" i="10"/>
  <c r="D691" i="10"/>
  <c r="D692" i="10"/>
  <c r="D693" i="10"/>
  <c r="D694" i="10"/>
  <c r="D695" i="10"/>
  <c r="D696" i="10"/>
  <c r="D697" i="10"/>
  <c r="D698" i="10"/>
  <c r="D699" i="10"/>
  <c r="D700" i="10"/>
  <c r="D701" i="10"/>
  <c r="D702" i="10"/>
  <c r="D703" i="10"/>
  <c r="D704" i="10"/>
  <c r="D705" i="10"/>
  <c r="D706" i="10"/>
  <c r="D707" i="10"/>
  <c r="D708" i="10"/>
  <c r="D709" i="10"/>
  <c r="D710" i="10"/>
  <c r="D711" i="10"/>
  <c r="D712" i="10"/>
  <c r="D713" i="10"/>
  <c r="D714" i="10"/>
  <c r="D715" i="10"/>
  <c r="D716" i="10"/>
  <c r="D717" i="10"/>
  <c r="D718" i="10"/>
  <c r="D719" i="10"/>
  <c r="D4" i="10"/>
  <c r="C5" i="10"/>
  <c r="C6" i="10"/>
  <c r="C7" i="10"/>
  <c r="C8" i="10"/>
  <c r="C9" i="10"/>
  <c r="C10" i="10"/>
  <c r="C11" i="10"/>
  <c r="C12" i="10"/>
  <c r="C13" i="10"/>
  <c r="C14" i="10"/>
  <c r="C15" i="10"/>
  <c r="C16" i="10"/>
  <c r="C17" i="10"/>
  <c r="C18" i="10"/>
  <c r="C19" i="10"/>
  <c r="C20" i="10"/>
  <c r="C21" i="10"/>
  <c r="C22" i="10"/>
  <c r="C23" i="10"/>
  <c r="C24" i="10"/>
  <c r="C25" i="10"/>
  <c r="C26" i="10"/>
  <c r="C27" i="10"/>
  <c r="C28" i="10"/>
  <c r="C29" i="10"/>
  <c r="C30" i="10"/>
  <c r="C31" i="10"/>
  <c r="C32" i="10"/>
  <c r="C33" i="10"/>
  <c r="C34" i="10"/>
  <c r="C35" i="10"/>
  <c r="C36" i="10"/>
  <c r="C37" i="10"/>
  <c r="C38" i="10"/>
  <c r="C39" i="10"/>
  <c r="C40" i="10"/>
  <c r="C41" i="10"/>
  <c r="C42" i="10"/>
  <c r="C43" i="10"/>
  <c r="C44" i="10"/>
  <c r="C45" i="10"/>
  <c r="C46" i="10"/>
  <c r="C47" i="10"/>
  <c r="C48" i="10"/>
  <c r="C49" i="10"/>
  <c r="C50" i="10"/>
  <c r="C51" i="10"/>
  <c r="C52" i="10"/>
  <c r="C53" i="10"/>
  <c r="C54" i="10"/>
  <c r="C55" i="10"/>
  <c r="C56" i="10"/>
  <c r="C57" i="10"/>
  <c r="C58" i="10"/>
  <c r="C59" i="10"/>
  <c r="C60" i="10"/>
  <c r="C61" i="10"/>
  <c r="C62" i="10"/>
  <c r="C63" i="10"/>
  <c r="C64" i="10"/>
  <c r="C65" i="10"/>
  <c r="C66" i="10"/>
  <c r="C67" i="10"/>
  <c r="C68" i="10"/>
  <c r="C69" i="10"/>
  <c r="C70" i="10"/>
  <c r="C71" i="10"/>
  <c r="C72" i="10"/>
  <c r="C73" i="10"/>
  <c r="C74" i="10"/>
  <c r="C75" i="10"/>
  <c r="C76" i="10"/>
  <c r="C77" i="10"/>
  <c r="C78" i="10"/>
  <c r="C79" i="10"/>
  <c r="C80" i="10"/>
  <c r="C81" i="10"/>
  <c r="C82" i="10"/>
  <c r="C83" i="10"/>
  <c r="C84" i="10"/>
  <c r="C85" i="10"/>
  <c r="C86" i="10"/>
  <c r="C87" i="10"/>
  <c r="C88" i="10"/>
  <c r="C89" i="10"/>
  <c r="C90" i="10"/>
  <c r="C91" i="10"/>
  <c r="C92" i="10"/>
  <c r="C93" i="10"/>
  <c r="C94" i="10"/>
  <c r="C95" i="10"/>
  <c r="C96" i="10"/>
  <c r="C97" i="10"/>
  <c r="C98" i="10"/>
  <c r="C99" i="10"/>
  <c r="C100" i="10"/>
  <c r="C101" i="10"/>
  <c r="C102" i="10"/>
  <c r="C103" i="10"/>
  <c r="C104" i="10"/>
  <c r="C105" i="10"/>
  <c r="C106" i="10"/>
  <c r="C107" i="10"/>
  <c r="C108" i="10"/>
  <c r="C109" i="10"/>
  <c r="C110" i="10"/>
  <c r="C111" i="10"/>
  <c r="C112" i="10"/>
  <c r="C113" i="10"/>
  <c r="C114" i="10"/>
  <c r="C115" i="10"/>
  <c r="C116" i="10"/>
  <c r="C117" i="10"/>
  <c r="C118" i="10"/>
  <c r="C119" i="10"/>
  <c r="C120" i="10"/>
  <c r="C121" i="10"/>
  <c r="C122" i="10"/>
  <c r="C123" i="10"/>
  <c r="C124" i="10"/>
  <c r="C125" i="10"/>
  <c r="C126" i="10"/>
  <c r="C127" i="10"/>
  <c r="C128" i="10"/>
  <c r="C129" i="10"/>
  <c r="C130" i="10"/>
  <c r="C131" i="10"/>
  <c r="C132" i="10"/>
  <c r="C133" i="10"/>
  <c r="C134" i="10"/>
  <c r="C135" i="10"/>
  <c r="C136" i="10"/>
  <c r="C137" i="10"/>
  <c r="C138" i="10"/>
  <c r="C139" i="10"/>
  <c r="C140" i="10"/>
  <c r="C141" i="10"/>
  <c r="C142" i="10"/>
  <c r="C143" i="10"/>
  <c r="C144" i="10"/>
  <c r="C145" i="10"/>
  <c r="C146" i="10"/>
  <c r="C147" i="10"/>
  <c r="C148" i="10"/>
  <c r="C149" i="10"/>
  <c r="C150" i="10"/>
  <c r="C151" i="10"/>
  <c r="C152" i="10"/>
  <c r="C153" i="10"/>
  <c r="C154" i="10"/>
  <c r="C155" i="10"/>
  <c r="C156" i="10"/>
  <c r="C157" i="10"/>
  <c r="C158" i="10"/>
  <c r="C159" i="10"/>
  <c r="C160" i="10"/>
  <c r="C161" i="10"/>
  <c r="C162" i="10"/>
  <c r="C163" i="10"/>
  <c r="C164" i="10"/>
  <c r="C165" i="10"/>
  <c r="C166" i="10"/>
  <c r="C167" i="10"/>
  <c r="C168" i="10"/>
  <c r="C169" i="10"/>
  <c r="C170" i="10"/>
  <c r="C171" i="10"/>
  <c r="C172" i="10"/>
  <c r="C173" i="10"/>
  <c r="C174" i="10"/>
  <c r="C175" i="10"/>
  <c r="C176" i="10"/>
  <c r="C177" i="10"/>
  <c r="C178" i="10"/>
  <c r="C179" i="10"/>
  <c r="C180" i="10"/>
  <c r="C181" i="10"/>
  <c r="C182" i="10"/>
  <c r="C183" i="10"/>
  <c r="C184" i="10"/>
  <c r="C185" i="10"/>
  <c r="C186" i="10"/>
  <c r="C187" i="10"/>
  <c r="C188" i="10"/>
  <c r="C189" i="10"/>
  <c r="C190" i="10"/>
  <c r="C191" i="10"/>
  <c r="C192" i="10"/>
  <c r="C193" i="10"/>
  <c r="C194" i="10"/>
  <c r="C195" i="10"/>
  <c r="C196" i="10"/>
  <c r="C197" i="10"/>
  <c r="C198" i="10"/>
  <c r="C199" i="10"/>
  <c r="C200" i="10"/>
  <c r="C201" i="10"/>
  <c r="C202" i="10"/>
  <c r="C203" i="10"/>
  <c r="C204" i="10"/>
  <c r="C205" i="10"/>
  <c r="C206" i="10"/>
  <c r="C207" i="10"/>
  <c r="C208" i="10"/>
  <c r="C209" i="10"/>
  <c r="C210" i="10"/>
  <c r="C211" i="10"/>
  <c r="C212" i="10"/>
  <c r="C213" i="10"/>
  <c r="C214" i="10"/>
  <c r="C215" i="10"/>
  <c r="C216" i="10"/>
  <c r="C217" i="10"/>
  <c r="C218" i="10"/>
  <c r="C219" i="10"/>
  <c r="C220" i="10"/>
  <c r="C221" i="10"/>
  <c r="C222" i="10"/>
  <c r="C223" i="10"/>
  <c r="C224" i="10"/>
  <c r="C225" i="10"/>
  <c r="C226" i="10"/>
  <c r="C227" i="10"/>
  <c r="C228" i="10"/>
  <c r="C229" i="10"/>
  <c r="C230" i="10"/>
  <c r="C231" i="10"/>
  <c r="C232" i="10"/>
  <c r="C233" i="10"/>
  <c r="C234" i="10"/>
  <c r="C235" i="10"/>
  <c r="C236" i="10"/>
  <c r="C237" i="10"/>
  <c r="C238" i="10"/>
  <c r="C239" i="10"/>
  <c r="C240" i="10"/>
  <c r="C241" i="10"/>
  <c r="C242" i="10"/>
  <c r="C243" i="10"/>
  <c r="C244" i="10"/>
  <c r="C245" i="10"/>
  <c r="C246" i="10"/>
  <c r="C247" i="10"/>
  <c r="C248" i="10"/>
  <c r="C249" i="10"/>
  <c r="C250" i="10"/>
  <c r="C251" i="10"/>
  <c r="C252" i="10"/>
  <c r="C253" i="10"/>
  <c r="C254" i="10"/>
  <c r="C255" i="10"/>
  <c r="C256" i="10"/>
  <c r="C257" i="10"/>
  <c r="C258" i="10"/>
  <c r="C259" i="10"/>
  <c r="C260" i="10"/>
  <c r="C261" i="10"/>
  <c r="C262" i="10"/>
  <c r="C263" i="10"/>
  <c r="C264" i="10"/>
  <c r="C265" i="10"/>
  <c r="C266" i="10"/>
  <c r="C267" i="10"/>
  <c r="C268" i="10"/>
  <c r="C269" i="10"/>
  <c r="C270" i="10"/>
  <c r="C271" i="10"/>
  <c r="C272" i="10"/>
  <c r="C273" i="10"/>
  <c r="C274" i="10"/>
  <c r="C275" i="10"/>
  <c r="C276" i="10"/>
  <c r="C277" i="10"/>
  <c r="C278" i="10"/>
  <c r="C279" i="10"/>
  <c r="C280" i="10"/>
  <c r="C281" i="10"/>
  <c r="C282" i="10"/>
  <c r="C283" i="10"/>
  <c r="C284" i="10"/>
  <c r="C285" i="10"/>
  <c r="C286" i="10"/>
  <c r="C287" i="10"/>
  <c r="C288" i="10"/>
  <c r="C289" i="10"/>
  <c r="C290" i="10"/>
  <c r="C291" i="10"/>
  <c r="C292" i="10"/>
  <c r="C293" i="10"/>
  <c r="C294" i="10"/>
  <c r="C295" i="10"/>
  <c r="C296" i="10"/>
  <c r="C297" i="10"/>
  <c r="C298" i="10"/>
  <c r="C299" i="10"/>
  <c r="C300" i="10"/>
  <c r="C301" i="10"/>
  <c r="C302" i="10"/>
  <c r="C303" i="10"/>
  <c r="C304" i="10"/>
  <c r="C305" i="10"/>
  <c r="C306" i="10"/>
  <c r="C307" i="10"/>
  <c r="C308" i="10"/>
  <c r="C309" i="10"/>
  <c r="C310" i="10"/>
  <c r="C311" i="10"/>
  <c r="C312" i="10"/>
  <c r="C313" i="10"/>
  <c r="C314" i="10"/>
  <c r="C315" i="10"/>
  <c r="C316" i="10"/>
  <c r="C317" i="10"/>
  <c r="C318" i="10"/>
  <c r="C319" i="10"/>
  <c r="C320" i="10"/>
  <c r="C321" i="10"/>
  <c r="C322" i="10"/>
  <c r="C323" i="10"/>
  <c r="C324" i="10"/>
  <c r="C325" i="10"/>
  <c r="C326" i="10"/>
  <c r="C327" i="10"/>
  <c r="C328" i="10"/>
  <c r="C329" i="10"/>
  <c r="C330" i="10"/>
  <c r="C331" i="10"/>
  <c r="C332" i="10"/>
  <c r="C333" i="10"/>
  <c r="C334" i="10"/>
  <c r="C335" i="10"/>
  <c r="C336" i="10"/>
  <c r="C337" i="10"/>
  <c r="C338" i="10"/>
  <c r="C339" i="10"/>
  <c r="C340" i="10"/>
  <c r="C341" i="10"/>
  <c r="C342" i="10"/>
  <c r="C343" i="10"/>
  <c r="C344" i="10"/>
  <c r="C345" i="10"/>
  <c r="C346" i="10"/>
  <c r="C347" i="10"/>
  <c r="C348" i="10"/>
  <c r="C349" i="10"/>
  <c r="C350" i="10"/>
  <c r="C351" i="10"/>
  <c r="C352" i="10"/>
  <c r="C353" i="10"/>
  <c r="C354" i="10"/>
  <c r="C355" i="10"/>
  <c r="C356" i="10"/>
  <c r="C357" i="10"/>
  <c r="C358" i="10"/>
  <c r="C359" i="10"/>
  <c r="C360" i="10"/>
  <c r="C361" i="10"/>
  <c r="C362" i="10"/>
  <c r="C363" i="10"/>
  <c r="C364" i="10"/>
  <c r="C365" i="10"/>
  <c r="C366" i="10"/>
  <c r="C367" i="10"/>
  <c r="C368" i="10"/>
  <c r="C369" i="10"/>
  <c r="C370" i="10"/>
  <c r="C371" i="10"/>
  <c r="C372" i="10"/>
  <c r="C373" i="10"/>
  <c r="C374" i="10"/>
  <c r="C375" i="10"/>
  <c r="C376" i="10"/>
  <c r="C377" i="10"/>
  <c r="C378" i="10"/>
  <c r="C379" i="10"/>
  <c r="C380" i="10"/>
  <c r="C381" i="10"/>
  <c r="C382" i="10"/>
  <c r="C383" i="10"/>
  <c r="C384" i="10"/>
  <c r="C385" i="10"/>
  <c r="C386" i="10"/>
  <c r="C387" i="10"/>
  <c r="C388" i="10"/>
  <c r="C389" i="10"/>
  <c r="C390" i="10"/>
  <c r="C391" i="10"/>
  <c r="C392" i="10"/>
  <c r="C393" i="10"/>
  <c r="C394" i="10"/>
  <c r="C395" i="10"/>
  <c r="C396" i="10"/>
  <c r="C397" i="10"/>
  <c r="C398" i="10"/>
  <c r="C399" i="10"/>
  <c r="C400" i="10"/>
  <c r="C401" i="10"/>
  <c r="C402" i="10"/>
  <c r="C403" i="10"/>
  <c r="C404" i="10"/>
  <c r="C405" i="10"/>
  <c r="C406" i="10"/>
  <c r="C407" i="10"/>
  <c r="C408" i="10"/>
  <c r="C409" i="10"/>
  <c r="C410" i="10"/>
  <c r="C411" i="10"/>
  <c r="C412" i="10"/>
  <c r="C413" i="10"/>
  <c r="C414" i="10"/>
  <c r="C415" i="10"/>
  <c r="C416" i="10"/>
  <c r="C417" i="10"/>
  <c r="C418" i="10"/>
  <c r="C419" i="10"/>
  <c r="C420" i="10"/>
  <c r="C421" i="10"/>
  <c r="C422" i="10"/>
  <c r="C423" i="10"/>
  <c r="C424" i="10"/>
  <c r="C425" i="10"/>
  <c r="C426" i="10"/>
  <c r="C427" i="10"/>
  <c r="C428" i="10"/>
  <c r="C429" i="10"/>
  <c r="C430" i="10"/>
  <c r="C431" i="10"/>
  <c r="C432" i="10"/>
  <c r="C433" i="10"/>
  <c r="C434" i="10"/>
  <c r="C435" i="10"/>
  <c r="C436" i="10"/>
  <c r="C437" i="10"/>
  <c r="C438" i="10"/>
  <c r="C439" i="10"/>
  <c r="C440" i="10"/>
  <c r="C441" i="10"/>
  <c r="C442" i="10"/>
  <c r="C443" i="10"/>
  <c r="C444" i="10"/>
  <c r="C445" i="10"/>
  <c r="C446" i="10"/>
  <c r="C447" i="10"/>
  <c r="C448" i="10"/>
  <c r="C449" i="10"/>
  <c r="C450" i="10"/>
  <c r="C451" i="10"/>
  <c r="C452" i="10"/>
  <c r="C453" i="10"/>
  <c r="C454" i="10"/>
  <c r="C455" i="10"/>
  <c r="C456" i="10"/>
  <c r="C457" i="10"/>
  <c r="C458" i="10"/>
  <c r="C459" i="10"/>
  <c r="C460" i="10"/>
  <c r="C461" i="10"/>
  <c r="C462" i="10"/>
  <c r="C463" i="10"/>
  <c r="C464" i="10"/>
  <c r="C465" i="10"/>
  <c r="C466" i="10"/>
  <c r="C467" i="10"/>
  <c r="C468" i="10"/>
  <c r="C469" i="10"/>
  <c r="C470" i="10"/>
  <c r="C471" i="10"/>
  <c r="C472" i="10"/>
  <c r="C473" i="10"/>
  <c r="C474" i="10"/>
  <c r="C475" i="10"/>
  <c r="C476" i="10"/>
  <c r="C477" i="10"/>
  <c r="C478" i="10"/>
  <c r="C479" i="10"/>
  <c r="C480" i="10"/>
  <c r="C481" i="10"/>
  <c r="C482" i="10"/>
  <c r="C483" i="10"/>
  <c r="C484" i="10"/>
  <c r="C485" i="10"/>
  <c r="C486" i="10"/>
  <c r="C487" i="10"/>
  <c r="C488" i="10"/>
  <c r="C489" i="10"/>
  <c r="C490" i="10"/>
  <c r="C491" i="10"/>
  <c r="C492" i="10"/>
  <c r="C493" i="10"/>
  <c r="C494" i="10"/>
  <c r="C495" i="10"/>
  <c r="C496" i="10"/>
  <c r="C497" i="10"/>
  <c r="C498" i="10"/>
  <c r="C499" i="10"/>
  <c r="C500" i="10"/>
  <c r="C501" i="10"/>
  <c r="C502" i="10"/>
  <c r="C503" i="10"/>
  <c r="C504" i="10"/>
  <c r="C505" i="10"/>
  <c r="C506" i="10"/>
  <c r="C507" i="10"/>
  <c r="C508" i="10"/>
  <c r="C509" i="10"/>
  <c r="C510" i="10"/>
  <c r="C511" i="10"/>
  <c r="C512" i="10"/>
  <c r="C513" i="10"/>
  <c r="C514" i="10"/>
  <c r="C515" i="10"/>
  <c r="C516" i="10"/>
  <c r="C517" i="10"/>
  <c r="C518" i="10"/>
  <c r="C519" i="10"/>
  <c r="C520" i="10"/>
  <c r="C521" i="10"/>
  <c r="C522" i="10"/>
  <c r="C523" i="10"/>
  <c r="C524" i="10"/>
  <c r="C525" i="10"/>
  <c r="C526" i="10"/>
  <c r="C527" i="10"/>
  <c r="C528" i="10"/>
  <c r="C529" i="10"/>
  <c r="C530" i="10"/>
  <c r="C531" i="10"/>
  <c r="C532" i="10"/>
  <c r="C533" i="10"/>
  <c r="C534" i="10"/>
  <c r="C535" i="10"/>
  <c r="C536" i="10"/>
  <c r="C537" i="10"/>
  <c r="C538" i="10"/>
  <c r="C539" i="10"/>
  <c r="C540" i="10"/>
  <c r="C541" i="10"/>
  <c r="C542" i="10"/>
  <c r="C543" i="10"/>
  <c r="C544" i="10"/>
  <c r="C545" i="10"/>
  <c r="C546" i="10"/>
  <c r="C547" i="10"/>
  <c r="C548" i="10"/>
  <c r="C549" i="10"/>
  <c r="C550" i="10"/>
  <c r="C551" i="10"/>
  <c r="C552" i="10"/>
  <c r="C553" i="10"/>
  <c r="C554" i="10"/>
  <c r="C555" i="10"/>
  <c r="C556" i="10"/>
  <c r="C557" i="10"/>
  <c r="C558" i="10"/>
  <c r="C559" i="10"/>
  <c r="C560" i="10"/>
  <c r="C561" i="10"/>
  <c r="C562" i="10"/>
  <c r="C563" i="10"/>
  <c r="C564" i="10"/>
  <c r="C565" i="10"/>
  <c r="C566" i="10"/>
  <c r="C567" i="10"/>
  <c r="C568" i="10"/>
  <c r="C569" i="10"/>
  <c r="C570" i="10"/>
  <c r="C571" i="10"/>
  <c r="C572" i="10"/>
  <c r="C573" i="10"/>
  <c r="C574" i="10"/>
  <c r="C575" i="10"/>
  <c r="C576" i="10"/>
  <c r="C577" i="10"/>
  <c r="C578" i="10"/>
  <c r="C579" i="10"/>
  <c r="C580" i="10"/>
  <c r="C581" i="10"/>
  <c r="C582" i="10"/>
  <c r="C583" i="10"/>
  <c r="C584" i="10"/>
  <c r="C585" i="10"/>
  <c r="C586" i="10"/>
  <c r="C587" i="10"/>
  <c r="C588" i="10"/>
  <c r="C589" i="10"/>
  <c r="C590" i="10"/>
  <c r="C591" i="10"/>
  <c r="C592" i="10"/>
  <c r="C593" i="10"/>
  <c r="C594" i="10"/>
  <c r="C595" i="10"/>
  <c r="C596" i="10"/>
  <c r="C597" i="10"/>
  <c r="C598" i="10"/>
  <c r="C599" i="10"/>
  <c r="C600" i="10"/>
  <c r="C601" i="10"/>
  <c r="C602" i="10"/>
  <c r="C603" i="10"/>
  <c r="C604" i="10"/>
  <c r="C605" i="10"/>
  <c r="C606" i="10"/>
  <c r="C607" i="10"/>
  <c r="C608" i="10"/>
  <c r="C609" i="10"/>
  <c r="C610" i="10"/>
  <c r="C611" i="10"/>
  <c r="C612" i="10"/>
  <c r="C613" i="10"/>
  <c r="C614" i="10"/>
  <c r="C615" i="10"/>
  <c r="C616" i="10"/>
  <c r="C617" i="10"/>
  <c r="C618" i="10"/>
  <c r="C619" i="10"/>
  <c r="C620" i="10"/>
  <c r="C621" i="10"/>
  <c r="C622" i="10"/>
  <c r="C623" i="10"/>
  <c r="C624" i="10"/>
  <c r="C625" i="10"/>
  <c r="C626" i="10"/>
  <c r="C627" i="10"/>
  <c r="C628" i="10"/>
  <c r="C629" i="10"/>
  <c r="C630" i="10"/>
  <c r="C631" i="10"/>
  <c r="C632" i="10"/>
  <c r="C633" i="10"/>
  <c r="C634" i="10"/>
  <c r="C635" i="10"/>
  <c r="C636" i="10"/>
  <c r="C637" i="10"/>
  <c r="C638" i="10"/>
  <c r="C639" i="10"/>
  <c r="C640" i="10"/>
  <c r="C641" i="10"/>
  <c r="C642" i="10"/>
  <c r="C643" i="10"/>
  <c r="C644" i="10"/>
  <c r="C645" i="10"/>
  <c r="C646" i="10"/>
  <c r="C647" i="10"/>
  <c r="C648" i="10"/>
  <c r="C649" i="10"/>
  <c r="C650" i="10"/>
  <c r="C651" i="10"/>
  <c r="C652" i="10"/>
  <c r="C653" i="10"/>
  <c r="C654" i="10"/>
  <c r="C655" i="10"/>
  <c r="C656" i="10"/>
  <c r="C657" i="10"/>
  <c r="C658" i="10"/>
  <c r="C659" i="10"/>
  <c r="C660" i="10"/>
  <c r="C661" i="10"/>
  <c r="C662" i="10"/>
  <c r="C663" i="10"/>
  <c r="C664" i="10"/>
  <c r="C665" i="10"/>
  <c r="C666" i="10"/>
  <c r="C667" i="10"/>
  <c r="C668" i="10"/>
  <c r="C669" i="10"/>
  <c r="C670" i="10"/>
  <c r="C671" i="10"/>
  <c r="C672" i="10"/>
  <c r="C673" i="10"/>
  <c r="C674" i="10"/>
  <c r="C675" i="10"/>
  <c r="C676" i="10"/>
  <c r="C677" i="10"/>
  <c r="C678" i="10"/>
  <c r="C679" i="10"/>
  <c r="C680" i="10"/>
  <c r="C681" i="10"/>
  <c r="C682" i="10"/>
  <c r="C683" i="10"/>
  <c r="C684" i="10"/>
  <c r="C685" i="10"/>
  <c r="C686" i="10"/>
  <c r="C687" i="10"/>
  <c r="C688" i="10"/>
  <c r="C689" i="10"/>
  <c r="C690" i="10"/>
  <c r="C691" i="10"/>
  <c r="C692" i="10"/>
  <c r="C693" i="10"/>
  <c r="C694" i="10"/>
  <c r="C695" i="10"/>
  <c r="C696" i="10"/>
  <c r="C697" i="10"/>
  <c r="C698" i="10"/>
  <c r="C699" i="10"/>
  <c r="C700" i="10"/>
  <c r="C701" i="10"/>
  <c r="C702" i="10"/>
  <c r="C703" i="10"/>
  <c r="C704" i="10"/>
  <c r="C705" i="10"/>
  <c r="C706" i="10"/>
  <c r="C707" i="10"/>
  <c r="C708" i="10"/>
  <c r="C709" i="10"/>
  <c r="C710" i="10"/>
  <c r="C711" i="10"/>
  <c r="C712" i="10"/>
  <c r="C713" i="10"/>
  <c r="C714" i="10"/>
  <c r="C715" i="10"/>
  <c r="C716" i="10"/>
  <c r="C717" i="10"/>
  <c r="C718" i="10"/>
  <c r="C719" i="10"/>
  <c r="C4" i="10"/>
  <c r="F8" i="7" l="1"/>
  <c r="F20" i="7"/>
  <c r="F32" i="7"/>
  <c r="F44" i="7"/>
  <c r="F56" i="7"/>
  <c r="F68" i="7"/>
  <c r="F80" i="7"/>
  <c r="F92" i="7"/>
  <c r="F104" i="7"/>
  <c r="F116" i="7"/>
  <c r="F128" i="7"/>
  <c r="F140" i="7"/>
  <c r="F152" i="7"/>
  <c r="F164" i="7"/>
  <c r="F176" i="7"/>
  <c r="F11" i="7"/>
  <c r="F23" i="7"/>
  <c r="F35" i="7"/>
  <c r="F47" i="7"/>
  <c r="F59" i="7"/>
  <c r="F71" i="7"/>
  <c r="F83" i="7"/>
  <c r="F95" i="7"/>
  <c r="F107" i="7"/>
  <c r="F119" i="7"/>
  <c r="F131" i="7"/>
  <c r="F143" i="7"/>
  <c r="F155" i="7"/>
  <c r="F167" i="7"/>
  <c r="F179" i="7"/>
  <c r="F10" i="7"/>
  <c r="F25" i="7"/>
  <c r="F39" i="7"/>
  <c r="F53" i="7"/>
  <c r="F67" i="7"/>
  <c r="F82" i="7"/>
  <c r="F97" i="7"/>
  <c r="F111" i="7"/>
  <c r="F125" i="7"/>
  <c r="F139" i="7"/>
  <c r="F154" i="7"/>
  <c r="F169" i="7"/>
  <c r="F12" i="7"/>
  <c r="F26" i="7"/>
  <c r="F40" i="7"/>
  <c r="F54" i="7"/>
  <c r="F69" i="7"/>
  <c r="F84" i="7"/>
  <c r="F98" i="7"/>
  <c r="F112" i="7"/>
  <c r="F126" i="7"/>
  <c r="F141" i="7"/>
  <c r="F156" i="7"/>
  <c r="F170" i="7"/>
  <c r="F6" i="7"/>
  <c r="F22" i="7"/>
  <c r="F41" i="7"/>
  <c r="F58" i="7"/>
  <c r="F75" i="7"/>
  <c r="F91" i="7"/>
  <c r="F109" i="7"/>
  <c r="F127" i="7"/>
  <c r="F145" i="7"/>
  <c r="F161" i="7"/>
  <c r="F178" i="7"/>
  <c r="F24" i="7"/>
  <c r="F42" i="7"/>
  <c r="F60" i="7"/>
  <c r="F76" i="7"/>
  <c r="F93" i="7"/>
  <c r="F110" i="7"/>
  <c r="F129" i="7"/>
  <c r="F146" i="7"/>
  <c r="F162" i="7"/>
  <c r="F180" i="7"/>
  <c r="F17" i="7"/>
  <c r="F34" i="7"/>
  <c r="F51" i="7"/>
  <c r="F70" i="7"/>
  <c r="F87" i="7"/>
  <c r="F103" i="7"/>
  <c r="F121" i="7"/>
  <c r="F137" i="7"/>
  <c r="F157" i="7"/>
  <c r="F173" i="7"/>
  <c r="F4" i="7"/>
  <c r="F18" i="7"/>
  <c r="F36" i="7"/>
  <c r="F52" i="7"/>
  <c r="F72" i="7"/>
  <c r="F88" i="7"/>
  <c r="F105" i="7"/>
  <c r="F122" i="7"/>
  <c r="F138" i="7"/>
  <c r="F158" i="7"/>
  <c r="F174" i="7"/>
  <c r="F29" i="7"/>
  <c r="F55" i="7"/>
  <c r="F79" i="7"/>
  <c r="F106" i="7"/>
  <c r="F133" i="7"/>
  <c r="F159" i="7"/>
  <c r="F30" i="7"/>
  <c r="F57" i="7"/>
  <c r="F81" i="7"/>
  <c r="F108" i="7"/>
  <c r="F134" i="7"/>
  <c r="F160" i="7"/>
  <c r="F7" i="7"/>
  <c r="F31" i="7"/>
  <c r="F61" i="7"/>
  <c r="F85" i="7"/>
  <c r="F113" i="7"/>
  <c r="F135" i="7"/>
  <c r="F163" i="7"/>
  <c r="F9" i="7"/>
  <c r="F33" i="7"/>
  <c r="F62" i="7"/>
  <c r="F86" i="7"/>
  <c r="F114" i="7"/>
  <c r="F136" i="7"/>
  <c r="F165" i="7"/>
  <c r="F13" i="7"/>
  <c r="F37" i="7"/>
  <c r="F63" i="7"/>
  <c r="F89" i="7"/>
  <c r="F115" i="7"/>
  <c r="F142" i="7"/>
  <c r="F166" i="7"/>
  <c r="F14" i="7"/>
  <c r="F38" i="7"/>
  <c r="F64" i="7"/>
  <c r="F90" i="7"/>
  <c r="F117" i="7"/>
  <c r="F144" i="7"/>
  <c r="F168" i="7"/>
  <c r="F15" i="7"/>
  <c r="F43" i="7"/>
  <c r="F65" i="7"/>
  <c r="F94" i="7"/>
  <c r="F118" i="7"/>
  <c r="F147" i="7"/>
  <c r="F171" i="7"/>
  <c r="F16" i="7"/>
  <c r="F45" i="7"/>
  <c r="F66" i="7"/>
  <c r="F96" i="7"/>
  <c r="F120" i="7"/>
  <c r="F148" i="7"/>
  <c r="F172" i="7"/>
  <c r="F19" i="7"/>
  <c r="F46" i="7"/>
  <c r="F73" i="7"/>
  <c r="F99" i="7"/>
  <c r="F123" i="7"/>
  <c r="F149" i="7"/>
  <c r="F175" i="7"/>
  <c r="F21" i="7"/>
  <c r="F48" i="7"/>
  <c r="F74" i="7"/>
  <c r="F100" i="7"/>
  <c r="F124" i="7"/>
  <c r="F150" i="7"/>
  <c r="F177" i="7"/>
  <c r="F27" i="7"/>
  <c r="F49" i="7"/>
  <c r="F77" i="7"/>
  <c r="F101" i="7"/>
  <c r="F130" i="7"/>
  <c r="F151" i="7"/>
  <c r="F181" i="7"/>
  <c r="F5" i="7"/>
  <c r="F28" i="7"/>
  <c r="F50" i="7"/>
  <c r="F78" i="7"/>
  <c r="F102" i="7"/>
  <c r="F132" i="7"/>
  <c r="F153" i="7"/>
  <c r="F182" i="7"/>
  <c r="F189" i="7"/>
  <c r="F195" i="7"/>
  <c r="F235" i="7"/>
  <c r="F234" i="7"/>
  <c r="F206" i="7"/>
  <c r="F242" i="7"/>
  <c r="F192" i="7"/>
  <c r="F214" i="7"/>
  <c r="F213" i="7"/>
  <c r="F263" i="7"/>
  <c r="F207" i="7"/>
  <c r="F210" i="7"/>
  <c r="F324" i="7"/>
  <c r="F322" i="7"/>
  <c r="F319" i="7"/>
  <c r="F317" i="7"/>
  <c r="F320" i="7"/>
  <c r="F350" i="7"/>
  <c r="F280" i="7"/>
  <c r="F188" i="7"/>
  <c r="F261" i="7"/>
  <c r="F347" i="7"/>
  <c r="F230" i="7"/>
  <c r="F250" i="7"/>
  <c r="F216" i="7"/>
  <c r="F211" i="7"/>
  <c r="F185" i="7"/>
  <c r="F222" i="7"/>
  <c r="F191" i="7"/>
  <c r="F307" i="7"/>
  <c r="F303" i="7"/>
  <c r="F300" i="7"/>
  <c r="F329" i="7"/>
  <c r="F332" i="7"/>
  <c r="F292" i="7"/>
  <c r="F351" i="7"/>
  <c r="F348" i="7"/>
  <c r="F330" i="7"/>
  <c r="F202" i="7"/>
  <c r="F226" i="7"/>
  <c r="F190" i="7"/>
  <c r="F228" i="7"/>
  <c r="F237" i="7"/>
  <c r="F288" i="7"/>
  <c r="F286" i="7"/>
  <c r="F283" i="7"/>
  <c r="F341" i="7"/>
  <c r="F344" i="7"/>
  <c r="F304" i="7"/>
  <c r="F334" i="7"/>
  <c r="F331" i="7"/>
  <c r="F311" i="7"/>
  <c r="F253" i="7"/>
  <c r="F199" i="7"/>
  <c r="F186" i="7"/>
  <c r="F244" i="7"/>
  <c r="F251" i="7"/>
  <c r="F271" i="7"/>
  <c r="F267" i="7"/>
  <c r="F264" i="7"/>
  <c r="F353" i="7"/>
  <c r="F356" i="7"/>
  <c r="F316" i="7"/>
  <c r="F315" i="7"/>
  <c r="F312" i="7"/>
  <c r="F294" i="7"/>
  <c r="F229" i="7"/>
  <c r="F249" i="7"/>
  <c r="F241" i="7"/>
  <c r="F203" i="7"/>
  <c r="F183" i="7"/>
  <c r="F361" i="7"/>
  <c r="F359" i="7"/>
  <c r="F357" i="7"/>
  <c r="F354" i="7"/>
  <c r="F254" i="7"/>
  <c r="F328" i="7"/>
  <c r="F298" i="7"/>
  <c r="F295" i="7"/>
  <c r="F275" i="7"/>
  <c r="F201" i="7"/>
  <c r="F225" i="7"/>
  <c r="F215" i="7"/>
  <c r="F219" i="7"/>
  <c r="F194" i="7"/>
  <c r="F345" i="7"/>
  <c r="F342" i="7"/>
  <c r="F337" i="7"/>
  <c r="F335" i="7"/>
  <c r="F266" i="7"/>
  <c r="F340" i="7"/>
  <c r="F279" i="7"/>
  <c r="F276" i="7"/>
  <c r="F258" i="7"/>
  <c r="F198" i="7"/>
  <c r="F247" i="7"/>
  <c r="F239" i="7"/>
  <c r="F208" i="7"/>
  <c r="F325" i="7"/>
  <c r="F323" i="7"/>
  <c r="F321" i="7"/>
  <c r="F318" i="7"/>
  <c r="F278" i="7"/>
  <c r="F352" i="7"/>
  <c r="F262" i="7"/>
  <c r="F259" i="7"/>
  <c r="F346" i="7"/>
  <c r="F218" i="7"/>
  <c r="F187" i="7"/>
  <c r="F231" i="7"/>
  <c r="F223" i="7"/>
  <c r="F309" i="7"/>
  <c r="F306" i="7"/>
  <c r="F301" i="7"/>
  <c r="F299" i="7"/>
  <c r="F257" i="7"/>
  <c r="F260" i="7"/>
  <c r="F290" i="7"/>
  <c r="F248" i="7"/>
  <c r="F349" i="7"/>
  <c r="F245" i="7"/>
  <c r="F327" i="7"/>
  <c r="F196" i="7"/>
  <c r="F204" i="7"/>
  <c r="F205" i="7"/>
  <c r="F238" i="7"/>
  <c r="F289" i="7"/>
  <c r="F287" i="7"/>
  <c r="F285" i="7"/>
  <c r="F282" i="7"/>
  <c r="F269" i="7"/>
  <c r="F272" i="7"/>
  <c r="F302" i="7"/>
  <c r="F236" i="7"/>
  <c r="F333" i="7"/>
  <c r="F233" i="7"/>
  <c r="F310" i="7"/>
  <c r="F246" i="7"/>
  <c r="F220" i="7"/>
  <c r="F184" i="7"/>
  <c r="F252" i="7"/>
  <c r="F273" i="7"/>
  <c r="F270" i="7"/>
  <c r="F265" i="7"/>
  <c r="F281" i="7"/>
  <c r="F284" i="7"/>
  <c r="F314" i="7"/>
  <c r="F224" i="7"/>
  <c r="F313" i="7"/>
  <c r="F221" i="7"/>
  <c r="F291" i="7"/>
  <c r="F217" i="7"/>
  <c r="F240" i="7"/>
  <c r="F232" i="7"/>
  <c r="F243" i="7"/>
  <c r="F360" i="7"/>
  <c r="F358" i="7"/>
  <c r="F355" i="7"/>
  <c r="F293" i="7"/>
  <c r="F296" i="7"/>
  <c r="F326" i="7"/>
  <c r="F256" i="7"/>
  <c r="F212" i="7"/>
  <c r="F297" i="7"/>
  <c r="F209" i="7"/>
  <c r="F274" i="7"/>
  <c r="F268" i="7"/>
  <c r="F193" i="7"/>
  <c r="F308" i="7"/>
  <c r="F200" i="7"/>
  <c r="F227" i="7"/>
  <c r="F277" i="7"/>
  <c r="F305" i="7"/>
  <c r="F197" i="7"/>
  <c r="F255" i="7"/>
  <c r="F343" i="7"/>
  <c r="F338" i="7"/>
  <c r="F339" i="7"/>
  <c r="F336" i="7"/>
  <c r="I49" i="4"/>
  <c r="U49" i="4"/>
  <c r="U23" i="4" s="1"/>
  <c r="AG49" i="4"/>
  <c r="AS49" i="4"/>
  <c r="AS23" i="4" s="1"/>
  <c r="BE49" i="4"/>
  <c r="BE23" i="4" s="1"/>
  <c r="BQ49" i="4"/>
  <c r="BQ23" i="4" s="1"/>
  <c r="CC49" i="4"/>
  <c r="CO49" i="4"/>
  <c r="CO23" i="4" s="1"/>
  <c r="DA49" i="4"/>
  <c r="DM49" i="4"/>
  <c r="DY49" i="4"/>
  <c r="EK49" i="4"/>
  <c r="EW49" i="4"/>
  <c r="EW23" i="4" s="1"/>
  <c r="FI49" i="4"/>
  <c r="FI23" i="4" s="1"/>
  <c r="FU49" i="4"/>
  <c r="F49" i="4"/>
  <c r="N49" i="4"/>
  <c r="N23" i="4" s="1"/>
  <c r="Z49" i="4"/>
  <c r="Z23" i="4" s="1"/>
  <c r="AL49" i="4"/>
  <c r="AX49" i="4"/>
  <c r="BJ49" i="4"/>
  <c r="BV49" i="4"/>
  <c r="CH49" i="4"/>
  <c r="CT49" i="4"/>
  <c r="DF49" i="4"/>
  <c r="DR49" i="4"/>
  <c r="DR23" i="4" s="1"/>
  <c r="ED49" i="4"/>
  <c r="ED23" i="4" s="1"/>
  <c r="EP49" i="4"/>
  <c r="FB49" i="4"/>
  <c r="FN49" i="4"/>
  <c r="FN23" i="4" s="1"/>
  <c r="FZ49" i="4"/>
  <c r="K49" i="4"/>
  <c r="Y49" i="4"/>
  <c r="Y23" i="4" s="1"/>
  <c r="AN49" i="4"/>
  <c r="AN23" i="4" s="1"/>
  <c r="BB49" i="4"/>
  <c r="BP49" i="4"/>
  <c r="CE49" i="4"/>
  <c r="CE23" i="4" s="1"/>
  <c r="CS49" i="4"/>
  <c r="CS23" i="4" s="1"/>
  <c r="DH49" i="4"/>
  <c r="DV49" i="4"/>
  <c r="EJ49" i="4"/>
  <c r="EJ23" i="4" s="1"/>
  <c r="EY49" i="4"/>
  <c r="EY23" i="4" s="1"/>
  <c r="FM49" i="4"/>
  <c r="FM23" i="4" s="1"/>
  <c r="GB49" i="4"/>
  <c r="O49" i="4"/>
  <c r="AC49" i="4"/>
  <c r="AQ49" i="4"/>
  <c r="BF49" i="4"/>
  <c r="BF23" i="4" s="1"/>
  <c r="BT49" i="4"/>
  <c r="BT23" i="4" s="1"/>
  <c r="CI49" i="4"/>
  <c r="CI23" i="4" s="1"/>
  <c r="CW49" i="4"/>
  <c r="DK49" i="4"/>
  <c r="DZ49" i="4"/>
  <c r="DZ23" i="4" s="1"/>
  <c r="EN49" i="4"/>
  <c r="FC49" i="4"/>
  <c r="FQ49" i="4"/>
  <c r="FQ23" i="4" s="1"/>
  <c r="P49" i="4"/>
  <c r="P23" i="4" s="1"/>
  <c r="AR49" i="4"/>
  <c r="BG49" i="4"/>
  <c r="BG23" i="4" s="1"/>
  <c r="BU49" i="4"/>
  <c r="CJ49" i="4"/>
  <c r="CX49" i="4"/>
  <c r="CX23" i="4" s="1"/>
  <c r="DL49" i="4"/>
  <c r="EA49" i="4"/>
  <c r="EO49" i="4"/>
  <c r="EO23" i="4" s="1"/>
  <c r="FD49" i="4"/>
  <c r="FD23" i="4" s="1"/>
  <c r="FR49" i="4"/>
  <c r="AD49" i="4"/>
  <c r="G49" i="4"/>
  <c r="AA49" i="4"/>
  <c r="AA23" i="4" s="1"/>
  <c r="AU49" i="4"/>
  <c r="AU23" i="4" s="1"/>
  <c r="BM49" i="4"/>
  <c r="CF49" i="4"/>
  <c r="CZ49" i="4"/>
  <c r="CZ23" i="4" s="1"/>
  <c r="DS49" i="4"/>
  <c r="EL49" i="4"/>
  <c r="FF49" i="4"/>
  <c r="FX49" i="4"/>
  <c r="FX23" i="4" s="1"/>
  <c r="J49" i="4"/>
  <c r="AE49" i="4"/>
  <c r="AE23" i="4" s="1"/>
  <c r="AW49" i="4"/>
  <c r="AW23" i="4" s="1"/>
  <c r="BO49" i="4"/>
  <c r="BO23" i="4" s="1"/>
  <c r="CK49" i="4"/>
  <c r="DC49" i="4"/>
  <c r="DC23" i="4" s="1"/>
  <c r="DU49" i="4"/>
  <c r="EQ49" i="4"/>
  <c r="EQ23" i="4" s="1"/>
  <c r="FH49" i="4"/>
  <c r="GA49" i="4"/>
  <c r="L49" i="4"/>
  <c r="L23" i="4" s="1"/>
  <c r="AF49" i="4"/>
  <c r="AF23" i="4" s="1"/>
  <c r="AY49" i="4"/>
  <c r="BR49" i="4"/>
  <c r="CL49" i="4"/>
  <c r="DD49" i="4"/>
  <c r="DD23" i="4" s="1"/>
  <c r="DW49" i="4"/>
  <c r="ER49" i="4"/>
  <c r="FJ49" i="4"/>
  <c r="GC49" i="4"/>
  <c r="GC23" i="4" s="1"/>
  <c r="Q49" i="4"/>
  <c r="AI49" i="4"/>
  <c r="BA49" i="4"/>
  <c r="BA23" i="4" s="1"/>
  <c r="BW49" i="4"/>
  <c r="BW23" i="4" s="1"/>
  <c r="CN49" i="4"/>
  <c r="CN23" i="4" s="1"/>
  <c r="DG49" i="4"/>
  <c r="EB49" i="4"/>
  <c r="EB23" i="4" s="1"/>
  <c r="ET49" i="4"/>
  <c r="ET23" i="4" s="1"/>
  <c r="FL49" i="4"/>
  <c r="FL23" i="4" s="1"/>
  <c r="M49" i="4"/>
  <c r="AH49" i="4"/>
  <c r="AZ49" i="4"/>
  <c r="AZ23" i="4" s="1"/>
  <c r="BS49" i="4"/>
  <c r="CM49" i="4"/>
  <c r="DE49" i="4"/>
  <c r="DE23" i="4" s="1"/>
  <c r="DX49" i="4"/>
  <c r="ES49" i="4"/>
  <c r="ES23" i="4" s="1"/>
  <c r="FK49" i="4"/>
  <c r="FK23" i="4" s="1"/>
  <c r="R49" i="4"/>
  <c r="AJ49" i="4"/>
  <c r="BC49" i="4"/>
  <c r="BC23" i="4" s="1"/>
  <c r="BX49" i="4"/>
  <c r="CP49" i="4"/>
  <c r="DI49" i="4"/>
  <c r="EC49" i="4"/>
  <c r="EC23" i="4" s="1"/>
  <c r="EU49" i="4"/>
  <c r="EU23" i="4" s="1"/>
  <c r="FO49" i="4"/>
  <c r="T49" i="4"/>
  <c r="T23" i="4" s="1"/>
  <c r="AM49" i="4"/>
  <c r="AM23" i="4" s="1"/>
  <c r="BH49" i="4"/>
  <c r="BH23" i="4" s="1"/>
  <c r="BZ49" i="4"/>
  <c r="CR49" i="4"/>
  <c r="DN49" i="4"/>
  <c r="EF49" i="4"/>
  <c r="EF23" i="4" s="1"/>
  <c r="EX49" i="4"/>
  <c r="FS49" i="4"/>
  <c r="FS23" i="4" s="1"/>
  <c r="H49" i="4"/>
  <c r="AV49" i="4"/>
  <c r="CG49" i="4"/>
  <c r="CG23" i="4" s="1"/>
  <c r="DT49" i="4"/>
  <c r="DT23" i="4" s="1"/>
  <c r="FG49" i="4"/>
  <c r="S49" i="4"/>
  <c r="S23" i="4" s="1"/>
  <c r="AK49" i="4"/>
  <c r="BD49" i="4"/>
  <c r="BY49" i="4"/>
  <c r="BY23" i="4" s="1"/>
  <c r="CQ49" i="4"/>
  <c r="DJ49" i="4"/>
  <c r="EE49" i="4"/>
  <c r="EE23" i="4" s="1"/>
  <c r="EV49" i="4"/>
  <c r="FP49" i="4"/>
  <c r="FP23" i="4" s="1"/>
  <c r="AB49" i="4"/>
  <c r="AB23" i="4" s="1"/>
  <c r="BN49" i="4"/>
  <c r="BN23" i="4" s="1"/>
  <c r="DB49" i="4"/>
  <c r="DB23" i="4" s="1"/>
  <c r="EM49" i="4"/>
  <c r="EM23" i="4" s="1"/>
  <c r="FY49" i="4"/>
  <c r="V49" i="4"/>
  <c r="AO49" i="4"/>
  <c r="AO23" i="4" s="1"/>
  <c r="BI49" i="4"/>
  <c r="BI23" i="4" s="1"/>
  <c r="CA49" i="4"/>
  <c r="CU49" i="4"/>
  <c r="CU23" i="4" s="1"/>
  <c r="DO49" i="4"/>
  <c r="EG49" i="4"/>
  <c r="EZ49" i="4"/>
  <c r="EZ23" i="4" s="1"/>
  <c r="FT49" i="4"/>
  <c r="FT23" i="4" s="1"/>
  <c r="W49" i="4"/>
  <c r="W23" i="4" s="1"/>
  <c r="AP49" i="4"/>
  <c r="BK49" i="4"/>
  <c r="CB49" i="4"/>
  <c r="CB23" i="4" s="1"/>
  <c r="CV49" i="4"/>
  <c r="CV23" i="4" s="1"/>
  <c r="DP49" i="4"/>
  <c r="EH49" i="4"/>
  <c r="FA49" i="4"/>
  <c r="FA23" i="4" s="1"/>
  <c r="FV49" i="4"/>
  <c r="FV23" i="4" s="1"/>
  <c r="X49" i="4"/>
  <c r="AT49" i="4"/>
  <c r="AT23" i="4" s="1"/>
  <c r="BL49" i="4"/>
  <c r="CD49" i="4"/>
  <c r="CD23" i="4" s="1"/>
  <c r="CY49" i="4"/>
  <c r="DQ49" i="4"/>
  <c r="EI49" i="4"/>
  <c r="FE49" i="4"/>
  <c r="FW49" i="4"/>
  <c r="FW23" i="4" s="1"/>
  <c r="FE23" i="4"/>
  <c r="EG23" i="4"/>
  <c r="DU23" i="4"/>
  <c r="DI23" i="4"/>
  <c r="CW23" i="4"/>
  <c r="CK23" i="4"/>
  <c r="BM23" i="4"/>
  <c r="AC23" i="4"/>
  <c r="Q23" i="4"/>
  <c r="FJ23" i="4"/>
  <c r="DW23" i="4"/>
  <c r="DJ23" i="4"/>
  <c r="BV23" i="4"/>
  <c r="AV23" i="4"/>
  <c r="AI23" i="4"/>
  <c r="V23" i="4"/>
  <c r="I23" i="4"/>
  <c r="CP23" i="4"/>
  <c r="AY23" i="4"/>
  <c r="AK23" i="4"/>
  <c r="H23" i="4"/>
  <c r="FH23" i="4"/>
  <c r="DQ23" i="4"/>
  <c r="CA23" i="4"/>
  <c r="BL23" i="4"/>
  <c r="AX23" i="4"/>
  <c r="AJ23" i="4"/>
  <c r="G23" i="4"/>
  <c r="FU23" i="4"/>
  <c r="FG23" i="4"/>
  <c r="ER23" i="4"/>
  <c r="DP23" i="4"/>
  <c r="BZ23" i="4"/>
  <c r="BK23" i="4"/>
  <c r="AH23" i="4"/>
  <c r="F23" i="4"/>
  <c r="EP23" i="4"/>
  <c r="DN23" i="4"/>
  <c r="CL23" i="4"/>
  <c r="R23" i="4"/>
  <c r="FR23" i="4"/>
  <c r="FC23" i="4"/>
  <c r="EA23" i="4"/>
  <c r="DM23" i="4"/>
  <c r="CY23" i="4"/>
  <c r="CJ23" i="4"/>
  <c r="BU23" i="4"/>
  <c r="FB23" i="4"/>
  <c r="EN23" i="4"/>
  <c r="DL23" i="4"/>
  <c r="CH23" i="4"/>
  <c r="AR23" i="4"/>
  <c r="AD23" i="4"/>
  <c r="O23" i="4"/>
  <c r="FO23" i="4"/>
  <c r="DY23" i="4"/>
  <c r="DK23" i="4"/>
  <c r="BS23" i="4"/>
  <c r="AQ23" i="4"/>
  <c r="GB23" i="4"/>
  <c r="EL23" i="4"/>
  <c r="DX23" i="4"/>
  <c r="DH23" i="4"/>
  <c r="CT23" i="4"/>
  <c r="CF23" i="4"/>
  <c r="BR23" i="4"/>
  <c r="BD23" i="4"/>
  <c r="AP23" i="4"/>
  <c r="M23" i="4"/>
  <c r="GA23" i="4"/>
  <c r="EK23" i="4"/>
  <c r="DV23" i="4"/>
  <c r="DG23" i="4"/>
  <c r="FY23" i="4"/>
  <c r="EV23" i="4"/>
  <c r="EH23" i="4"/>
  <c r="DS23" i="4"/>
  <c r="CQ23" i="4"/>
  <c r="CC23" i="4"/>
  <c r="AL23" i="4"/>
  <c r="X23" i="4"/>
  <c r="J23" i="4"/>
  <c r="BJ23" i="4"/>
  <c r="EI23" i="4"/>
  <c r="BB23" i="4"/>
  <c r="DO23" i="4"/>
  <c r="AG23" i="4"/>
  <c r="DF23" i="4"/>
  <c r="DA23" i="4"/>
  <c r="FZ23" i="4"/>
  <c r="CR23" i="4"/>
  <c r="K23" i="4"/>
  <c r="CM23" i="4"/>
  <c r="FF23" i="4"/>
  <c r="BX23" i="4"/>
  <c r="EX23" i="4"/>
  <c r="BP23" i="4"/>
  <c r="FZ42" i="4"/>
  <c r="BL42" i="4"/>
  <c r="AL42" i="4"/>
  <c r="ET42" i="4"/>
  <c r="GA42" i="4"/>
  <c r="FY42" i="4"/>
  <c r="ED42" i="4"/>
  <c r="BS42" i="4"/>
  <c r="FE42" i="4"/>
  <c r="BA42" i="4"/>
  <c r="V42" i="4"/>
  <c r="BO42" i="4"/>
  <c r="FC42" i="4"/>
  <c r="BN42" i="4"/>
  <c r="AW42" i="4"/>
  <c r="F42" i="4"/>
  <c r="CC42" i="4"/>
  <c r="FA42" i="4"/>
  <c r="FO42" i="4"/>
  <c r="EY42" i="4"/>
  <c r="BV42" i="4"/>
  <c r="DC42" i="4"/>
  <c r="CM42" i="4"/>
  <c r="BB42" i="4"/>
  <c r="L52" i="4"/>
  <c r="L42" i="4" s="1"/>
  <c r="X52" i="4"/>
  <c r="X42" i="4" s="1"/>
  <c r="AJ52" i="4"/>
  <c r="AJ42" i="4" s="1"/>
  <c r="AV52" i="4"/>
  <c r="AV42" i="4" s="1"/>
  <c r="BH52" i="4"/>
  <c r="BH42" i="4" s="1"/>
  <c r="BT52" i="4"/>
  <c r="BT42" i="4" s="1"/>
  <c r="CF52" i="4"/>
  <c r="CF42" i="4" s="1"/>
  <c r="CR52" i="4"/>
  <c r="CR42" i="4" s="1"/>
  <c r="DD52" i="4"/>
  <c r="DD42" i="4" s="1"/>
  <c r="DP52" i="4"/>
  <c r="DP42" i="4" s="1"/>
  <c r="EB52" i="4"/>
  <c r="EB42" i="4" s="1"/>
  <c r="EN52" i="4"/>
  <c r="EN42" i="4" s="1"/>
  <c r="EZ52" i="4"/>
  <c r="EZ42" i="4" s="1"/>
  <c r="FL52" i="4"/>
  <c r="FL42" i="4" s="1"/>
  <c r="FX52" i="4"/>
  <c r="FX42" i="4" s="1"/>
  <c r="Q52" i="4"/>
  <c r="Q42" i="4" s="1"/>
  <c r="AC52" i="4"/>
  <c r="AC42" i="4" s="1"/>
  <c r="AO52" i="4"/>
  <c r="AO42" i="4" s="1"/>
  <c r="BA52" i="4"/>
  <c r="BM52" i="4"/>
  <c r="BM42" i="4" s="1"/>
  <c r="BY52" i="4"/>
  <c r="BY42" i="4" s="1"/>
  <c r="CK52" i="4"/>
  <c r="CK42" i="4" s="1"/>
  <c r="CW52" i="4"/>
  <c r="CW42" i="4" s="1"/>
  <c r="DI52" i="4"/>
  <c r="DI42" i="4" s="1"/>
  <c r="DU52" i="4"/>
  <c r="DU42" i="4" s="1"/>
  <c r="EG52" i="4"/>
  <c r="EG42" i="4" s="1"/>
  <c r="ES52" i="4"/>
  <c r="ES42" i="4" s="1"/>
  <c r="FE52" i="4"/>
  <c r="FQ52" i="4"/>
  <c r="FQ42" i="4" s="1"/>
  <c r="GC52" i="4"/>
  <c r="GC42" i="4" s="1"/>
  <c r="S52" i="4"/>
  <c r="S42" i="4" s="1"/>
  <c r="AG52" i="4"/>
  <c r="AG42" i="4" s="1"/>
  <c r="AU52" i="4"/>
  <c r="AU42" i="4" s="1"/>
  <c r="BJ52" i="4"/>
  <c r="BJ42" i="4" s="1"/>
  <c r="BX52" i="4"/>
  <c r="BX42" i="4" s="1"/>
  <c r="CM52" i="4"/>
  <c r="DA52" i="4"/>
  <c r="DA42" i="4" s="1"/>
  <c r="DO52" i="4"/>
  <c r="DO42" i="4" s="1"/>
  <c r="ED52" i="4"/>
  <c r="ER52" i="4"/>
  <c r="ER42" i="4" s="1"/>
  <c r="FG52" i="4"/>
  <c r="FG42" i="4" s="1"/>
  <c r="FU52" i="4"/>
  <c r="FU42" i="4" s="1"/>
  <c r="H52" i="4"/>
  <c r="H42" i="4" s="1"/>
  <c r="V52" i="4"/>
  <c r="AK52" i="4"/>
  <c r="AK42" i="4" s="1"/>
  <c r="AY52" i="4"/>
  <c r="AY42" i="4" s="1"/>
  <c r="BN52" i="4"/>
  <c r="CB52" i="4"/>
  <c r="CB42" i="4" s="1"/>
  <c r="CP52" i="4"/>
  <c r="CP42" i="4" s="1"/>
  <c r="DE52" i="4"/>
  <c r="DE42" i="4" s="1"/>
  <c r="DS52" i="4"/>
  <c r="DS42" i="4" s="1"/>
  <c r="EH52" i="4"/>
  <c r="EH42" i="4" s="1"/>
  <c r="EV52" i="4"/>
  <c r="EV42" i="4" s="1"/>
  <c r="FJ52" i="4"/>
  <c r="FJ42" i="4" s="1"/>
  <c r="FY52" i="4"/>
  <c r="I52" i="4"/>
  <c r="I42" i="4" s="1"/>
  <c r="W52" i="4"/>
  <c r="W42" i="4" s="1"/>
  <c r="AL52" i="4"/>
  <c r="BO52" i="4"/>
  <c r="CC52" i="4"/>
  <c r="CQ52" i="4"/>
  <c r="CQ42" i="4" s="1"/>
  <c r="DF52" i="4"/>
  <c r="DF42" i="4" s="1"/>
  <c r="DT52" i="4"/>
  <c r="DT42" i="4" s="1"/>
  <c r="EI52" i="4"/>
  <c r="EI42" i="4" s="1"/>
  <c r="EW52" i="4"/>
  <c r="EW42" i="4" s="1"/>
  <c r="FK52" i="4"/>
  <c r="FK42" i="4" s="1"/>
  <c r="FZ52" i="4"/>
  <c r="J52" i="4"/>
  <c r="J42" i="4" s="1"/>
  <c r="BB52" i="4"/>
  <c r="CD52" i="4"/>
  <c r="CD42" i="4" s="1"/>
  <c r="DG52" i="4"/>
  <c r="DG42" i="4" s="1"/>
  <c r="EJ52" i="4"/>
  <c r="EJ42" i="4" s="1"/>
  <c r="FM52" i="4"/>
  <c r="FM42" i="4" s="1"/>
  <c r="AZ52" i="4"/>
  <c r="AZ42" i="4" s="1"/>
  <c r="Y52" i="4"/>
  <c r="Y42" i="4" s="1"/>
  <c r="AM52" i="4"/>
  <c r="AM42" i="4" s="1"/>
  <c r="BP52" i="4"/>
  <c r="BP42" i="4" s="1"/>
  <c r="CS52" i="4"/>
  <c r="CS42" i="4" s="1"/>
  <c r="DV52" i="4"/>
  <c r="DV42" i="4" s="1"/>
  <c r="N52" i="4"/>
  <c r="N42" i="4" s="1"/>
  <c r="AH52" i="4"/>
  <c r="AH42" i="4" s="1"/>
  <c r="BE52" i="4"/>
  <c r="BE42" i="4" s="1"/>
  <c r="BZ52" i="4"/>
  <c r="BZ42" i="4" s="1"/>
  <c r="CV52" i="4"/>
  <c r="CV42" i="4" s="1"/>
  <c r="DQ52" i="4"/>
  <c r="DQ42" i="4" s="1"/>
  <c r="EM52" i="4"/>
  <c r="EM42" i="4" s="1"/>
  <c r="FF52" i="4"/>
  <c r="FF42" i="4" s="1"/>
  <c r="GB52" i="4"/>
  <c r="GB42" i="4" s="1"/>
  <c r="P52" i="4"/>
  <c r="P42" i="4" s="1"/>
  <c r="AN52" i="4"/>
  <c r="AN42" i="4" s="1"/>
  <c r="BG52" i="4"/>
  <c r="BG42" i="4" s="1"/>
  <c r="CE52" i="4"/>
  <c r="CE42" i="4" s="1"/>
  <c r="CY52" i="4"/>
  <c r="CY42" i="4" s="1"/>
  <c r="DW52" i="4"/>
  <c r="DW42" i="4" s="1"/>
  <c r="EP52" i="4"/>
  <c r="EP42" i="4" s="1"/>
  <c r="FI52" i="4"/>
  <c r="FI42" i="4" s="1"/>
  <c r="R52" i="4"/>
  <c r="R42" i="4" s="1"/>
  <c r="AP52" i="4"/>
  <c r="AP42" i="4" s="1"/>
  <c r="BI52" i="4"/>
  <c r="BI42" i="4" s="1"/>
  <c r="CG52" i="4"/>
  <c r="CG42" i="4" s="1"/>
  <c r="CZ52" i="4"/>
  <c r="CZ42" i="4" s="1"/>
  <c r="DX52" i="4"/>
  <c r="DX42" i="4" s="1"/>
  <c r="EQ52" i="4"/>
  <c r="EQ42" i="4" s="1"/>
  <c r="FN52" i="4"/>
  <c r="FN42" i="4" s="1"/>
  <c r="U52" i="4"/>
  <c r="U42" i="4" s="1"/>
  <c r="AR52" i="4"/>
  <c r="AR42" i="4" s="1"/>
  <c r="BL52" i="4"/>
  <c r="CI52" i="4"/>
  <c r="CI42" i="4" s="1"/>
  <c r="DC52" i="4"/>
  <c r="DZ52" i="4"/>
  <c r="DZ42" i="4" s="1"/>
  <c r="EU52" i="4"/>
  <c r="EU42" i="4" s="1"/>
  <c r="FP52" i="4"/>
  <c r="FP42" i="4" s="1"/>
  <c r="T52" i="4"/>
  <c r="T42" i="4" s="1"/>
  <c r="AQ52" i="4"/>
  <c r="AQ42" i="4" s="1"/>
  <c r="BK52" i="4"/>
  <c r="BK42" i="4" s="1"/>
  <c r="CH52" i="4"/>
  <c r="CH42" i="4" s="1"/>
  <c r="DB52" i="4"/>
  <c r="DB42" i="4" s="1"/>
  <c r="DY52" i="4"/>
  <c r="DY42" i="4" s="1"/>
  <c r="ET52" i="4"/>
  <c r="FO52" i="4"/>
  <c r="Z52" i="4"/>
  <c r="Z42" i="4" s="1"/>
  <c r="AS52" i="4"/>
  <c r="AS42" i="4" s="1"/>
  <c r="BQ52" i="4"/>
  <c r="BQ42" i="4" s="1"/>
  <c r="CJ52" i="4"/>
  <c r="CJ42" i="4" s="1"/>
  <c r="DH52" i="4"/>
  <c r="DH42" i="4" s="1"/>
  <c r="EA52" i="4"/>
  <c r="EA42" i="4" s="1"/>
  <c r="EX52" i="4"/>
  <c r="EX42" i="4" s="1"/>
  <c r="FR52" i="4"/>
  <c r="FR42" i="4" s="1"/>
  <c r="AB52" i="4"/>
  <c r="AB42" i="4" s="1"/>
  <c r="AW52" i="4"/>
  <c r="BS52" i="4"/>
  <c r="CN52" i="4"/>
  <c r="CN42" i="4" s="1"/>
  <c r="DK52" i="4"/>
  <c r="DK42" i="4" s="1"/>
  <c r="EE52" i="4"/>
  <c r="EE42" i="4" s="1"/>
  <c r="FA52" i="4"/>
  <c r="FT52" i="4"/>
  <c r="FT42" i="4" s="1"/>
  <c r="O52" i="4"/>
  <c r="O42" i="4" s="1"/>
  <c r="CA52" i="4"/>
  <c r="CA42" i="4" s="1"/>
  <c r="DR52" i="4"/>
  <c r="DR42" i="4" s="1"/>
  <c r="FH52" i="4"/>
  <c r="FH42" i="4" s="1"/>
  <c r="AA52" i="4"/>
  <c r="AA42" i="4" s="1"/>
  <c r="AT52" i="4"/>
  <c r="AT42" i="4" s="1"/>
  <c r="BR52" i="4"/>
  <c r="BR42" i="4" s="1"/>
  <c r="CL52" i="4"/>
  <c r="CL42" i="4" s="1"/>
  <c r="DJ52" i="4"/>
  <c r="DJ42" i="4" s="1"/>
  <c r="EC52" i="4"/>
  <c r="EC42" i="4" s="1"/>
  <c r="EY52" i="4"/>
  <c r="FS52" i="4"/>
  <c r="FS42" i="4" s="1"/>
  <c r="AI52" i="4"/>
  <c r="AI42" i="4" s="1"/>
  <c r="BF52" i="4"/>
  <c r="BF42" i="4" s="1"/>
  <c r="CX52" i="4"/>
  <c r="CX42" i="4" s="1"/>
  <c r="EO52" i="4"/>
  <c r="EO42" i="4" s="1"/>
  <c r="G52" i="4"/>
  <c r="G42" i="4" s="1"/>
  <c r="AD52" i="4"/>
  <c r="AD42" i="4" s="1"/>
  <c r="AX52" i="4"/>
  <c r="AX42" i="4" s="1"/>
  <c r="BU52" i="4"/>
  <c r="BU42" i="4" s="1"/>
  <c r="CO52" i="4"/>
  <c r="CO42" i="4" s="1"/>
  <c r="DL52" i="4"/>
  <c r="DL42" i="4" s="1"/>
  <c r="EF52" i="4"/>
  <c r="EF42" i="4" s="1"/>
  <c r="FB52" i="4"/>
  <c r="FB42" i="4" s="1"/>
  <c r="FV52" i="4"/>
  <c r="FV42" i="4" s="1"/>
  <c r="K52" i="4"/>
  <c r="K42" i="4" s="1"/>
  <c r="AE52" i="4"/>
  <c r="AE42" i="4" s="1"/>
  <c r="BC52" i="4"/>
  <c r="BC42" i="4" s="1"/>
  <c r="BV52" i="4"/>
  <c r="CT52" i="4"/>
  <c r="CT42" i="4" s="1"/>
  <c r="DM52" i="4"/>
  <c r="DM42" i="4" s="1"/>
  <c r="EK52" i="4"/>
  <c r="EK42" i="4" s="1"/>
  <c r="FC52" i="4"/>
  <c r="FW52" i="4"/>
  <c r="FW42" i="4" s="1"/>
  <c r="M52" i="4"/>
  <c r="M42" i="4" s="1"/>
  <c r="AF52" i="4"/>
  <c r="AF42" i="4" s="1"/>
  <c r="BD52" i="4"/>
  <c r="BD42" i="4" s="1"/>
  <c r="BW52" i="4"/>
  <c r="BW42" i="4" s="1"/>
  <c r="CU52" i="4"/>
  <c r="CU42" i="4" s="1"/>
  <c r="DN52" i="4"/>
  <c r="DN42" i="4" s="1"/>
  <c r="EL52" i="4"/>
  <c r="EL42" i="4" s="1"/>
  <c r="FD52" i="4"/>
  <c r="FD42" i="4" s="1"/>
  <c r="GA52" i="4"/>
  <c r="F52" i="4"/>
  <c r="N27" i="8"/>
  <c r="N24" i="8"/>
  <c r="GD34" i="4"/>
  <c r="GP34" i="4"/>
  <c r="GE34" i="4"/>
  <c r="GQ34" i="4"/>
  <c r="GF34" i="4"/>
  <c r="GR34" i="4"/>
  <c r="GG34" i="4"/>
  <c r="GH34" i="4"/>
  <c r="GK34" i="4"/>
  <c r="GM34" i="4"/>
  <c r="GI34" i="4"/>
  <c r="GJ34" i="4"/>
  <c r="GL34" i="4"/>
  <c r="GN34" i="4"/>
  <c r="GO34" i="4"/>
  <c r="GD30" i="4"/>
  <c r="GP30" i="4"/>
  <c r="GQ30" i="4"/>
  <c r="GF30" i="4"/>
  <c r="GR30" i="4"/>
  <c r="GG30" i="4"/>
  <c r="GE30" i="4"/>
  <c r="GH30" i="4"/>
  <c r="GJ30" i="4"/>
  <c r="GL30" i="4"/>
  <c r="GM30" i="4"/>
  <c r="GN30" i="4"/>
  <c r="GO30" i="4"/>
  <c r="GI30" i="4"/>
  <c r="GK30" i="4"/>
  <c r="GD20" i="4"/>
  <c r="GP20" i="4"/>
  <c r="GE20" i="4"/>
  <c r="GQ20" i="4"/>
  <c r="GF20" i="4"/>
  <c r="GR20" i="4"/>
  <c r="GH20" i="4"/>
  <c r="GK20" i="4"/>
  <c r="GL20" i="4"/>
  <c r="GN20" i="4"/>
  <c r="GO20" i="4"/>
  <c r="GG20" i="4"/>
  <c r="GI20" i="4"/>
  <c r="GJ20" i="4"/>
  <c r="GM20" i="4"/>
  <c r="GG33" i="4"/>
  <c r="GH33" i="4"/>
  <c r="GI33" i="4"/>
  <c r="GJ33" i="4"/>
  <c r="GL33" i="4"/>
  <c r="GO33" i="4"/>
  <c r="GD33" i="4"/>
  <c r="GE33" i="4"/>
  <c r="GF33" i="4"/>
  <c r="GK33" i="4"/>
  <c r="GM33" i="4"/>
  <c r="GN33" i="4"/>
  <c r="GP33" i="4"/>
  <c r="GQ33" i="4"/>
  <c r="GR33" i="4"/>
  <c r="GG19" i="4"/>
  <c r="GH19" i="4"/>
  <c r="GJ19" i="4"/>
  <c r="GK19" i="4"/>
  <c r="GL19" i="4"/>
  <c r="GP19" i="4"/>
  <c r="GE19" i="4"/>
  <c r="GF19" i="4"/>
  <c r="GI19" i="4"/>
  <c r="GM19" i="4"/>
  <c r="GN19" i="4"/>
  <c r="GO19" i="4"/>
  <c r="GD19" i="4"/>
  <c r="GQ19" i="4"/>
  <c r="GR19" i="4"/>
  <c r="GJ32" i="4"/>
  <c r="GK32" i="4"/>
  <c r="GL32" i="4"/>
  <c r="GM32" i="4"/>
  <c r="GN32" i="4"/>
  <c r="GO32" i="4"/>
  <c r="GQ32" i="4"/>
  <c r="GF32" i="4"/>
  <c r="GD32" i="4"/>
  <c r="GP32" i="4"/>
  <c r="GE32" i="4"/>
  <c r="GR32" i="4"/>
  <c r="GG32" i="4"/>
  <c r="GH32" i="4"/>
  <c r="GI32" i="4"/>
  <c r="GM35" i="4"/>
  <c r="GN35" i="4"/>
  <c r="GO35" i="4"/>
  <c r="GD35" i="4"/>
  <c r="GP35" i="4"/>
  <c r="GQ35" i="4"/>
  <c r="GF35" i="4"/>
  <c r="GR35" i="4"/>
  <c r="GI35" i="4"/>
  <c r="GK35" i="4"/>
  <c r="GL35" i="4"/>
  <c r="GE35" i="4"/>
  <c r="GG35" i="4"/>
  <c r="GH35" i="4"/>
  <c r="GJ35" i="4"/>
  <c r="GJ18" i="4"/>
  <c r="GK18" i="4"/>
  <c r="GL18" i="4"/>
  <c r="GM18" i="4"/>
  <c r="GE18" i="4"/>
  <c r="GR18" i="4"/>
  <c r="GG18" i="4"/>
  <c r="GN18" i="4"/>
  <c r="GO18" i="4"/>
  <c r="GD18" i="4"/>
  <c r="GP18" i="4"/>
  <c r="GQ18" i="4"/>
  <c r="GF18" i="4"/>
  <c r="GH18" i="4"/>
  <c r="GI18" i="4"/>
  <c r="GM31" i="4"/>
  <c r="GN31" i="4"/>
  <c r="GO31" i="4"/>
  <c r="GP31" i="4"/>
  <c r="GE31" i="4"/>
  <c r="GF31" i="4"/>
  <c r="GI31" i="4"/>
  <c r="GJ31" i="4"/>
  <c r="GK31" i="4"/>
  <c r="GL31" i="4"/>
  <c r="GD31" i="4"/>
  <c r="GQ31" i="4"/>
  <c r="GR31" i="4"/>
  <c r="GG31" i="4"/>
  <c r="GH31" i="4"/>
  <c r="N26" i="8"/>
  <c r="N23" i="8"/>
  <c r="N22" i="8"/>
  <c r="N33" i="8"/>
  <c r="N29" i="8"/>
  <c r="N28" i="8"/>
  <c r="N6" i="1"/>
  <c r="N7" i="1"/>
  <c r="N8" i="1"/>
  <c r="N12" i="1"/>
  <c r="N13" i="1"/>
  <c r="N14" i="1"/>
  <c r="N15" i="1"/>
  <c r="N16" i="1"/>
  <c r="N17" i="1"/>
  <c r="N18" i="1"/>
  <c r="N19" i="1"/>
  <c r="N20" i="1"/>
  <c r="N21" i="1"/>
  <c r="N22" i="1"/>
  <c r="N23" i="1"/>
  <c r="N24" i="1"/>
  <c r="N25" i="1"/>
  <c r="N26" i="1"/>
  <c r="N27" i="1"/>
  <c r="N28" i="1"/>
  <c r="N5" i="1"/>
  <c r="AB190" i="7" l="1"/>
  <c r="AB202" i="7"/>
  <c r="AB214" i="7"/>
  <c r="AB226" i="7"/>
  <c r="AB238" i="7"/>
  <c r="AB250" i="7"/>
  <c r="AB262" i="7"/>
  <c r="AB274" i="7"/>
  <c r="AB286" i="7"/>
  <c r="AB298" i="7"/>
  <c r="AB310" i="7"/>
  <c r="AB322" i="7"/>
  <c r="AB334" i="7"/>
  <c r="AB346" i="7"/>
  <c r="AB358" i="7"/>
  <c r="AB191" i="7"/>
  <c r="AB203" i="7"/>
  <c r="AB215" i="7"/>
  <c r="AB227" i="7"/>
  <c r="AB239" i="7"/>
  <c r="AB251" i="7"/>
  <c r="AB263" i="7"/>
  <c r="AB275" i="7"/>
  <c r="AB287" i="7"/>
  <c r="AB299" i="7"/>
  <c r="AB311" i="7"/>
  <c r="AB323" i="7"/>
  <c r="AB335" i="7"/>
  <c r="AB347" i="7"/>
  <c r="AB359" i="7"/>
  <c r="AB193" i="7"/>
  <c r="AB205" i="7"/>
  <c r="AB217" i="7"/>
  <c r="AB229" i="7"/>
  <c r="AB241" i="7"/>
  <c r="AB253" i="7"/>
  <c r="AB265" i="7"/>
  <c r="AB277" i="7"/>
  <c r="AB289" i="7"/>
  <c r="AB301" i="7"/>
  <c r="AB313" i="7"/>
  <c r="AB325" i="7"/>
  <c r="AB337" i="7"/>
  <c r="AB349" i="7"/>
  <c r="AB361" i="7"/>
  <c r="AB194" i="7"/>
  <c r="AB206" i="7"/>
  <c r="AB218" i="7"/>
  <c r="AB230" i="7"/>
  <c r="AB242" i="7"/>
  <c r="AB254" i="7"/>
  <c r="AB266" i="7"/>
  <c r="AB278" i="7"/>
  <c r="AB290" i="7"/>
  <c r="AB302" i="7"/>
  <c r="AB314" i="7"/>
  <c r="AB326" i="7"/>
  <c r="AB338" i="7"/>
  <c r="AB350" i="7"/>
  <c r="AB183" i="7"/>
  <c r="AB195" i="7"/>
  <c r="AB207" i="7"/>
  <c r="AB219" i="7"/>
  <c r="AB231" i="7"/>
  <c r="AB243" i="7"/>
  <c r="AB255" i="7"/>
  <c r="AB267" i="7"/>
  <c r="AB279" i="7"/>
  <c r="AB291" i="7"/>
  <c r="AB303" i="7"/>
  <c r="AB315" i="7"/>
  <c r="AB327" i="7"/>
  <c r="AB339" i="7"/>
  <c r="AB351" i="7"/>
  <c r="AB184" i="7"/>
  <c r="AB196" i="7"/>
  <c r="AB208" i="7"/>
  <c r="AB220" i="7"/>
  <c r="AB232" i="7"/>
  <c r="AB244" i="7"/>
  <c r="AB256" i="7"/>
  <c r="AB268" i="7"/>
  <c r="AB280" i="7"/>
  <c r="AB292" i="7"/>
  <c r="AB304" i="7"/>
  <c r="AB316" i="7"/>
  <c r="AB328" i="7"/>
  <c r="AB340" i="7"/>
  <c r="AB352" i="7"/>
  <c r="AB185" i="7"/>
  <c r="AB197" i="7"/>
  <c r="AB209" i="7"/>
  <c r="AB221" i="7"/>
  <c r="AB233" i="7"/>
  <c r="AB245" i="7"/>
  <c r="AB257" i="7"/>
  <c r="AB269" i="7"/>
  <c r="AB281" i="7"/>
  <c r="AB293" i="7"/>
  <c r="AB305" i="7"/>
  <c r="AB317" i="7"/>
  <c r="AB329" i="7"/>
  <c r="AB341" i="7"/>
  <c r="AB353" i="7"/>
  <c r="AB187" i="7"/>
  <c r="AB199" i="7"/>
  <c r="AB211" i="7"/>
  <c r="AB223" i="7"/>
  <c r="AB235" i="7"/>
  <c r="AB247" i="7"/>
  <c r="AB259" i="7"/>
  <c r="AB271" i="7"/>
  <c r="AB283" i="7"/>
  <c r="AB295" i="7"/>
  <c r="AB307" i="7"/>
  <c r="AB319" i="7"/>
  <c r="AB331" i="7"/>
  <c r="AB343" i="7"/>
  <c r="AB355" i="7"/>
  <c r="AB188" i="7"/>
  <c r="AB200" i="7"/>
  <c r="AB212" i="7"/>
  <c r="AB224" i="7"/>
  <c r="AB236" i="7"/>
  <c r="AB248" i="7"/>
  <c r="AB260" i="7"/>
  <c r="AB272" i="7"/>
  <c r="AB284" i="7"/>
  <c r="AB296" i="7"/>
  <c r="AB308" i="7"/>
  <c r="AB320" i="7"/>
  <c r="AB332" i="7"/>
  <c r="AB344" i="7"/>
  <c r="AB356" i="7"/>
  <c r="AB186" i="7"/>
  <c r="AB234" i="7"/>
  <c r="AB282" i="7"/>
  <c r="AB330" i="7"/>
  <c r="AB189" i="7"/>
  <c r="AB237" i="7"/>
  <c r="AB285" i="7"/>
  <c r="AB333" i="7"/>
  <c r="AB198" i="7"/>
  <c r="AB246" i="7"/>
  <c r="AB294" i="7"/>
  <c r="AB342" i="7"/>
  <c r="AB201" i="7"/>
  <c r="AB249" i="7"/>
  <c r="AB297" i="7"/>
  <c r="AB345" i="7"/>
  <c r="AB204" i="7"/>
  <c r="AB252" i="7"/>
  <c r="AB300" i="7"/>
  <c r="AB348" i="7"/>
  <c r="AB210" i="7"/>
  <c r="AB258" i="7"/>
  <c r="AB306" i="7"/>
  <c r="AB354" i="7"/>
  <c r="AB213" i="7"/>
  <c r="AB261" i="7"/>
  <c r="AB309" i="7"/>
  <c r="AB357" i="7"/>
  <c r="AB216" i="7"/>
  <c r="AB264" i="7"/>
  <c r="AB312" i="7"/>
  <c r="AB360" i="7"/>
  <c r="AB222" i="7"/>
  <c r="AB270" i="7"/>
  <c r="AB318" i="7"/>
  <c r="AB225" i="7"/>
  <c r="AB273" i="7"/>
  <c r="AB321" i="7"/>
  <c r="AB336" i="7"/>
  <c r="AB192" i="7"/>
  <c r="AB228" i="7"/>
  <c r="AB240" i="7"/>
  <c r="AB276" i="7"/>
  <c r="AB288" i="7"/>
  <c r="AB324" i="7"/>
  <c r="AB16" i="7"/>
  <c r="AB28" i="7"/>
  <c r="AB40" i="7"/>
  <c r="AB52" i="7"/>
  <c r="AB64" i="7"/>
  <c r="AB76" i="7"/>
  <c r="AB5" i="7"/>
  <c r="AB17" i="7"/>
  <c r="AB29" i="7"/>
  <c r="AB41" i="7"/>
  <c r="AB53" i="7"/>
  <c r="AB65" i="7"/>
  <c r="AB77" i="7"/>
  <c r="AB89" i="7"/>
  <c r="AB101" i="7"/>
  <c r="AB113" i="7"/>
  <c r="AB125" i="7"/>
  <c r="AB137" i="7"/>
  <c r="AB149" i="7"/>
  <c r="AB161" i="7"/>
  <c r="AB173" i="7"/>
  <c r="AB6" i="7"/>
  <c r="AB18" i="7"/>
  <c r="AB30" i="7"/>
  <c r="AB42" i="7"/>
  <c r="AB54" i="7"/>
  <c r="AB66" i="7"/>
  <c r="AB78" i="7"/>
  <c r="AB90" i="7"/>
  <c r="AB102" i="7"/>
  <c r="AB114" i="7"/>
  <c r="AB126" i="7"/>
  <c r="AB7" i="7"/>
  <c r="AB19" i="7"/>
  <c r="AB31" i="7"/>
  <c r="AB43" i="7"/>
  <c r="AB55" i="7"/>
  <c r="AB67" i="7"/>
  <c r="AB79" i="7"/>
  <c r="AB8" i="7"/>
  <c r="AB9" i="7"/>
  <c r="AB21" i="7"/>
  <c r="AB33" i="7"/>
  <c r="AB45" i="7"/>
  <c r="AB57" i="7"/>
  <c r="AB69" i="7"/>
  <c r="AB81" i="7"/>
  <c r="AB93" i="7"/>
  <c r="AB105" i="7"/>
  <c r="AB117" i="7"/>
  <c r="AB10" i="7"/>
  <c r="AB22" i="7"/>
  <c r="AB34" i="7"/>
  <c r="AB11" i="7"/>
  <c r="AB23" i="7"/>
  <c r="AB35" i="7"/>
  <c r="AB47" i="7"/>
  <c r="AB12" i="7"/>
  <c r="AB24" i="7"/>
  <c r="AB36" i="7"/>
  <c r="AB48" i="7"/>
  <c r="AB13" i="7"/>
  <c r="AB25" i="7"/>
  <c r="AB37" i="7"/>
  <c r="AB49" i="7"/>
  <c r="AB61" i="7"/>
  <c r="AB73" i="7"/>
  <c r="AB85" i="7"/>
  <c r="AB97" i="7"/>
  <c r="AB109" i="7"/>
  <c r="AB121" i="7"/>
  <c r="AB14" i="7"/>
  <c r="AB26" i="7"/>
  <c r="AB38" i="7"/>
  <c r="AB50" i="7"/>
  <c r="AB62" i="7"/>
  <c r="AB74" i="7"/>
  <c r="AB86" i="7"/>
  <c r="AB98" i="7"/>
  <c r="AB110" i="7"/>
  <c r="AB122" i="7"/>
  <c r="AB56" i="7"/>
  <c r="AB83" i="7"/>
  <c r="AB104" i="7"/>
  <c r="AB124" i="7"/>
  <c r="AB139" i="7"/>
  <c r="AB152" i="7"/>
  <c r="AB165" i="7"/>
  <c r="AB178" i="7"/>
  <c r="AB58" i="7"/>
  <c r="AB84" i="7"/>
  <c r="AB106" i="7"/>
  <c r="AB127" i="7"/>
  <c r="AB140" i="7"/>
  <c r="AB153" i="7"/>
  <c r="AB166" i="7"/>
  <c r="AB179" i="7"/>
  <c r="AB59" i="7"/>
  <c r="AB87" i="7"/>
  <c r="AB107" i="7"/>
  <c r="AB128" i="7"/>
  <c r="AB141" i="7"/>
  <c r="AB60" i="7"/>
  <c r="AB88" i="7"/>
  <c r="AB108" i="7"/>
  <c r="AB129" i="7"/>
  <c r="AB142" i="7"/>
  <c r="AB155" i="7"/>
  <c r="AB168" i="7"/>
  <c r="AB181" i="7"/>
  <c r="AB15" i="7"/>
  <c r="AB63" i="7"/>
  <c r="AB91" i="7"/>
  <c r="AB111" i="7"/>
  <c r="AB130" i="7"/>
  <c r="AB143" i="7"/>
  <c r="AB156" i="7"/>
  <c r="AB169" i="7"/>
  <c r="AB182" i="7"/>
  <c r="AB20" i="7"/>
  <c r="AB68" i="7"/>
  <c r="AB92" i="7"/>
  <c r="AB112" i="7"/>
  <c r="AB131" i="7"/>
  <c r="AB144" i="7"/>
  <c r="AB157" i="7"/>
  <c r="AB170" i="7"/>
  <c r="AB27" i="7"/>
  <c r="AB70" i="7"/>
  <c r="AB94" i="7"/>
  <c r="AB115" i="7"/>
  <c r="AB132" i="7"/>
  <c r="AB145" i="7"/>
  <c r="AB158" i="7"/>
  <c r="AB171" i="7"/>
  <c r="AB32" i="7"/>
  <c r="AB71" i="7"/>
  <c r="AB95" i="7"/>
  <c r="AB116" i="7"/>
  <c r="AB133" i="7"/>
  <c r="AB146" i="7"/>
  <c r="AB159" i="7"/>
  <c r="AB172" i="7"/>
  <c r="AB39" i="7"/>
  <c r="AB44" i="7"/>
  <c r="AB75" i="7"/>
  <c r="AB99" i="7"/>
  <c r="AB119" i="7"/>
  <c r="AB135" i="7"/>
  <c r="AB148" i="7"/>
  <c r="AB162" i="7"/>
  <c r="AB175" i="7"/>
  <c r="AB46" i="7"/>
  <c r="AB80" i="7"/>
  <c r="AB100" i="7"/>
  <c r="AB120" i="7"/>
  <c r="AB136" i="7"/>
  <c r="AB150" i="7"/>
  <c r="AB163" i="7"/>
  <c r="AB176" i="7"/>
  <c r="AB123" i="7"/>
  <c r="AB134" i="7"/>
  <c r="AB147" i="7"/>
  <c r="AB151" i="7"/>
  <c r="AB154" i="7"/>
  <c r="AB51" i="7"/>
  <c r="AB160" i="7"/>
  <c r="AB72" i="7"/>
  <c r="AB164" i="7"/>
  <c r="AB82" i="7"/>
  <c r="AB167" i="7"/>
  <c r="AB96" i="7"/>
  <c r="AB174" i="7"/>
  <c r="AB103" i="7"/>
  <c r="AB177" i="7"/>
  <c r="AB118" i="7"/>
  <c r="AB138" i="7"/>
  <c r="AB180" i="7"/>
  <c r="AB4" i="7"/>
  <c r="X1982" i="7" a="1"/>
  <c r="X1982" i="7" s="1"/>
  <c r="F730" i="10"/>
  <c r="F1013" i="10"/>
  <c r="X2158" i="7" a="1"/>
  <c r="X2158" i="7" s="1"/>
  <c r="F906" i="10"/>
  <c r="F955" i="10"/>
  <c r="F941" i="10"/>
  <c r="F1036" i="10"/>
  <c r="F870" i="10"/>
  <c r="F914" i="10"/>
  <c r="X2166" i="7" a="1"/>
  <c r="X2166" i="7" s="1"/>
  <c r="F882" i="10"/>
  <c r="F856" i="10"/>
  <c r="F721" i="10"/>
  <c r="F1065" i="10"/>
  <c r="F937" i="10"/>
  <c r="F1057" i="10"/>
  <c r="F808" i="10"/>
  <c r="F985" i="10"/>
  <c r="F951" i="10"/>
  <c r="F745" i="10"/>
  <c r="F724" i="10"/>
  <c r="X1976" i="7" a="1"/>
  <c r="X1976" i="7" s="1"/>
  <c r="F811" i="10"/>
  <c r="F1047" i="10"/>
  <c r="X1989" i="7" a="1"/>
  <c r="X1989" i="7" s="1"/>
  <c r="F737" i="10"/>
  <c r="I2205" i="7"/>
  <c r="I2136" i="7"/>
  <c r="I2319" i="7"/>
  <c r="I2311" i="7"/>
  <c r="F874" i="10"/>
  <c r="F876" i="10"/>
  <c r="F921" i="10"/>
  <c r="I2175" i="7"/>
  <c r="I1999" i="7"/>
  <c r="I2262" i="7"/>
  <c r="I2195" i="7"/>
  <c r="F756" i="10"/>
  <c r="F891" i="10"/>
  <c r="I2145" i="7"/>
  <c r="I2267" i="7"/>
  <c r="F757" i="10"/>
  <c r="I2023" i="7"/>
  <c r="I2010" i="7"/>
  <c r="F1008" i="10"/>
  <c r="F769" i="10"/>
  <c r="I2170" i="7"/>
  <c r="AA2168" i="7" s="1" a="1"/>
  <c r="AA2168" i="7" s="1"/>
  <c r="I1991" i="7"/>
  <c r="AA1989" i="7" s="1" a="1"/>
  <c r="AA1989" i="7" s="1"/>
  <c r="F916" i="10"/>
  <c r="X2168" i="7" a="1"/>
  <c r="X2168" i="7" s="1"/>
  <c r="F869" i="10"/>
  <c r="F830" i="10"/>
  <c r="I2098" i="7"/>
  <c r="F1012" i="10"/>
  <c r="X1805" i="7" a="1"/>
  <c r="X1805" i="7" s="1"/>
  <c r="F782" i="10"/>
  <c r="F824" i="10"/>
  <c r="F1016" i="10"/>
  <c r="F826" i="10"/>
  <c r="F1023" i="10"/>
  <c r="F928" i="10"/>
  <c r="F900" i="10"/>
  <c r="I2036" i="7"/>
  <c r="F807" i="10"/>
  <c r="F1005" i="10"/>
  <c r="F749" i="10"/>
  <c r="F777" i="10"/>
  <c r="F1009" i="10"/>
  <c r="I2263" i="7"/>
  <c r="F1062" i="10"/>
  <c r="F875" i="10"/>
  <c r="F866" i="10"/>
  <c r="F948" i="10"/>
  <c r="I2202" i="7"/>
  <c r="F742" i="10"/>
  <c r="F844" i="10"/>
  <c r="I2301" i="7"/>
  <c r="I2084" i="7"/>
  <c r="X1800" i="7" a="1"/>
  <c r="X1800" i="7" s="1"/>
  <c r="I2154" i="7"/>
  <c r="I2259" i="7"/>
  <c r="X1801" i="7" a="1"/>
  <c r="X1801" i="7" s="1"/>
  <c r="I2129" i="7"/>
  <c r="X1809" i="7" a="1"/>
  <c r="X1809" i="7" s="1"/>
  <c r="X1810" i="7" a="1"/>
  <c r="X1810" i="7" s="1"/>
  <c r="X1806" i="7" a="1"/>
  <c r="X1806" i="7" s="1"/>
  <c r="I1973" i="7"/>
  <c r="X1803" i="7" a="1"/>
  <c r="X1803" i="7" s="1"/>
  <c r="X1807" i="7" a="1"/>
  <c r="X1807" i="7" s="1"/>
  <c r="X1808" i="7" a="1"/>
  <c r="X1808" i="7" s="1"/>
  <c r="X1811" i="7" a="1"/>
  <c r="X1811" i="7" s="1"/>
  <c r="X1804" i="7" a="1"/>
  <c r="X1804" i="7" s="1"/>
  <c r="X1802" i="7" a="1"/>
  <c r="X1802" i="7" s="1"/>
  <c r="N34" i="8"/>
  <c r="S20" i="27"/>
  <c r="R20" i="27"/>
  <c r="Q20" i="27"/>
  <c r="P20" i="27"/>
  <c r="O20" i="27"/>
  <c r="N20" i="27"/>
  <c r="M20" i="27"/>
  <c r="L20" i="27"/>
  <c r="K20" i="27"/>
  <c r="J20" i="27"/>
  <c r="I20" i="27"/>
  <c r="H20" i="27"/>
  <c r="G20" i="27"/>
  <c r="F20" i="27"/>
  <c r="E20" i="27"/>
  <c r="D20" i="27"/>
  <c r="C20" i="27"/>
  <c r="B20" i="27"/>
  <c r="S13" i="27"/>
  <c r="R13" i="27"/>
  <c r="Q13" i="27"/>
  <c r="P13" i="27"/>
  <c r="O13" i="27"/>
  <c r="N13" i="27"/>
  <c r="M13" i="27"/>
  <c r="L13" i="27"/>
  <c r="K13" i="27"/>
  <c r="J13" i="27"/>
  <c r="I13" i="27"/>
  <c r="H13" i="27"/>
  <c r="G13" i="27"/>
  <c r="F13" i="27"/>
  <c r="E13" i="27"/>
  <c r="D13" i="27"/>
  <c r="C13" i="27"/>
  <c r="B13" i="27"/>
  <c r="S20" i="26"/>
  <c r="R20" i="26"/>
  <c r="Q20" i="26"/>
  <c r="P20" i="26"/>
  <c r="O20" i="26"/>
  <c r="N20" i="26"/>
  <c r="M20" i="26"/>
  <c r="L20" i="26"/>
  <c r="K20" i="26"/>
  <c r="J20" i="26"/>
  <c r="I20" i="26"/>
  <c r="H20" i="26"/>
  <c r="G20" i="26"/>
  <c r="F20" i="26"/>
  <c r="E20" i="26"/>
  <c r="D20" i="26"/>
  <c r="C20" i="26"/>
  <c r="B20" i="26"/>
  <c r="S13" i="26"/>
  <c r="R13" i="26"/>
  <c r="Q13" i="26"/>
  <c r="P13" i="26"/>
  <c r="O13" i="26"/>
  <c r="N13" i="26"/>
  <c r="M13" i="26"/>
  <c r="L13" i="26"/>
  <c r="K13" i="26"/>
  <c r="J13" i="26"/>
  <c r="I13" i="26"/>
  <c r="H13" i="26"/>
  <c r="G13" i="26"/>
  <c r="F13" i="26"/>
  <c r="E13" i="26"/>
  <c r="D13" i="26"/>
  <c r="C13" i="26"/>
  <c r="B13" i="26"/>
  <c r="S20" i="25"/>
  <c r="R20" i="25"/>
  <c r="Q20" i="25"/>
  <c r="P20" i="25"/>
  <c r="O20" i="25"/>
  <c r="N20" i="25"/>
  <c r="M20" i="25"/>
  <c r="L20" i="25"/>
  <c r="K20" i="25"/>
  <c r="J20" i="25"/>
  <c r="I20" i="25"/>
  <c r="H20" i="25"/>
  <c r="G20" i="25"/>
  <c r="F20" i="25"/>
  <c r="E20" i="25"/>
  <c r="D20" i="25"/>
  <c r="C20" i="25"/>
  <c r="B20" i="25"/>
  <c r="S13" i="25"/>
  <c r="R13" i="25"/>
  <c r="Q13" i="25"/>
  <c r="P13" i="25"/>
  <c r="O13" i="25"/>
  <c r="N13" i="25"/>
  <c r="M13" i="25"/>
  <c r="L13" i="25"/>
  <c r="K13" i="25"/>
  <c r="J13" i="25"/>
  <c r="I13" i="25"/>
  <c r="H13" i="25"/>
  <c r="G13" i="25"/>
  <c r="F13" i="25"/>
  <c r="E13" i="25"/>
  <c r="D13" i="25"/>
  <c r="C13" i="25"/>
  <c r="B13" i="25"/>
  <c r="S20" i="24"/>
  <c r="R20" i="24"/>
  <c r="Q20" i="24"/>
  <c r="P20" i="24"/>
  <c r="O20" i="24"/>
  <c r="N20" i="24"/>
  <c r="M20" i="24"/>
  <c r="L20" i="24"/>
  <c r="K20" i="24"/>
  <c r="J20" i="24"/>
  <c r="I20" i="24"/>
  <c r="H20" i="24"/>
  <c r="G20" i="24"/>
  <c r="F20" i="24"/>
  <c r="E20" i="24"/>
  <c r="D20" i="24"/>
  <c r="C20" i="24"/>
  <c r="B20" i="24"/>
  <c r="S13" i="24"/>
  <c r="R13" i="24"/>
  <c r="Q13" i="24"/>
  <c r="P13" i="24"/>
  <c r="O13" i="24"/>
  <c r="N13" i="24"/>
  <c r="M13" i="24"/>
  <c r="L13" i="24"/>
  <c r="K13" i="24"/>
  <c r="J13" i="24"/>
  <c r="I13" i="24"/>
  <c r="H13" i="24"/>
  <c r="G13" i="24"/>
  <c r="F13" i="24"/>
  <c r="E13" i="24"/>
  <c r="D13" i="24"/>
  <c r="C13" i="24"/>
  <c r="B13" i="24"/>
  <c r="S20" i="23"/>
  <c r="R20" i="23"/>
  <c r="Q20" i="23"/>
  <c r="P20" i="23"/>
  <c r="O20" i="23"/>
  <c r="N20" i="23"/>
  <c r="M20" i="23"/>
  <c r="L20" i="23"/>
  <c r="K20" i="23"/>
  <c r="J20" i="23"/>
  <c r="I20" i="23"/>
  <c r="H20" i="23"/>
  <c r="G20" i="23"/>
  <c r="F20" i="23"/>
  <c r="E20" i="23"/>
  <c r="D20" i="23"/>
  <c r="C20" i="23"/>
  <c r="B20" i="23"/>
  <c r="S13" i="23"/>
  <c r="R13" i="23"/>
  <c r="Q13" i="23"/>
  <c r="P13" i="23"/>
  <c r="O13" i="23"/>
  <c r="N13" i="23"/>
  <c r="M13" i="23"/>
  <c r="L13" i="23"/>
  <c r="K13" i="23"/>
  <c r="J13" i="23"/>
  <c r="I13" i="23"/>
  <c r="H13" i="23"/>
  <c r="G13" i="23"/>
  <c r="F13" i="23"/>
  <c r="E13" i="23"/>
  <c r="D13" i="23"/>
  <c r="C13" i="23"/>
  <c r="B13" i="23"/>
  <c r="S20" i="22"/>
  <c r="R20" i="22"/>
  <c r="Q20" i="22"/>
  <c r="P20" i="22"/>
  <c r="O20" i="22"/>
  <c r="N20" i="22"/>
  <c r="M20" i="22"/>
  <c r="L20" i="22"/>
  <c r="K20" i="22"/>
  <c r="J20" i="22"/>
  <c r="I20" i="22"/>
  <c r="H20" i="22"/>
  <c r="G20" i="22"/>
  <c r="F20" i="22"/>
  <c r="E20" i="22"/>
  <c r="D20" i="22"/>
  <c r="C20" i="22"/>
  <c r="B20" i="22"/>
  <c r="S13" i="22"/>
  <c r="R13" i="22"/>
  <c r="Q13" i="22"/>
  <c r="P13" i="22"/>
  <c r="O13" i="22"/>
  <c r="N13" i="22"/>
  <c r="M13" i="22"/>
  <c r="L13" i="22"/>
  <c r="K13" i="22"/>
  <c r="J13" i="22"/>
  <c r="I13" i="22"/>
  <c r="H13" i="22"/>
  <c r="G13" i="22"/>
  <c r="F13" i="22"/>
  <c r="E13" i="22"/>
  <c r="D13" i="22"/>
  <c r="C13" i="22"/>
  <c r="B13" i="22"/>
  <c r="S20" i="21"/>
  <c r="R20" i="21"/>
  <c r="Q20" i="21"/>
  <c r="P20" i="21"/>
  <c r="O20" i="21"/>
  <c r="N20" i="21"/>
  <c r="M20" i="21"/>
  <c r="L20" i="21"/>
  <c r="K20" i="21"/>
  <c r="J20" i="21"/>
  <c r="I20" i="21"/>
  <c r="H20" i="21"/>
  <c r="G20" i="21"/>
  <c r="F20" i="21"/>
  <c r="E20" i="21"/>
  <c r="D20" i="21"/>
  <c r="C20" i="21"/>
  <c r="B20" i="21"/>
  <c r="S13" i="21"/>
  <c r="R13" i="21"/>
  <c r="Q13" i="21"/>
  <c r="P13" i="21"/>
  <c r="O13" i="21"/>
  <c r="N13" i="21"/>
  <c r="M13" i="21"/>
  <c r="L13" i="21"/>
  <c r="K13" i="21"/>
  <c r="J13" i="21"/>
  <c r="I13" i="21"/>
  <c r="H13" i="21"/>
  <c r="G13" i="21"/>
  <c r="F13" i="21"/>
  <c r="E13" i="21"/>
  <c r="D13" i="21"/>
  <c r="C13" i="21"/>
  <c r="B13" i="21"/>
  <c r="S20" i="20"/>
  <c r="R20" i="20"/>
  <c r="Q20" i="20"/>
  <c r="P20" i="20"/>
  <c r="O20" i="20"/>
  <c r="N20" i="20"/>
  <c r="M20" i="20"/>
  <c r="L20" i="20"/>
  <c r="K20" i="20"/>
  <c r="J20" i="20"/>
  <c r="I20" i="20"/>
  <c r="H20" i="20"/>
  <c r="G20" i="20"/>
  <c r="F20" i="20"/>
  <c r="E20" i="20"/>
  <c r="D20" i="20"/>
  <c r="C20" i="20"/>
  <c r="B20" i="20"/>
  <c r="S13" i="20"/>
  <c r="R13" i="20"/>
  <c r="Q13" i="20"/>
  <c r="P13" i="20"/>
  <c r="O13" i="20"/>
  <c r="N13" i="20"/>
  <c r="M13" i="20"/>
  <c r="L13" i="20"/>
  <c r="K13" i="20"/>
  <c r="J13" i="20"/>
  <c r="I13" i="20"/>
  <c r="H13" i="20"/>
  <c r="G13" i="20"/>
  <c r="F13" i="20"/>
  <c r="E13" i="20"/>
  <c r="D13" i="20"/>
  <c r="C13" i="20"/>
  <c r="B13" i="20"/>
  <c r="S20" i="19"/>
  <c r="R20" i="19"/>
  <c r="Q20" i="19"/>
  <c r="P20" i="19"/>
  <c r="O20" i="19"/>
  <c r="N20" i="19"/>
  <c r="M20" i="19"/>
  <c r="L20" i="19"/>
  <c r="K20" i="19"/>
  <c r="J20" i="19"/>
  <c r="I20" i="19"/>
  <c r="H20" i="19"/>
  <c r="G20" i="19"/>
  <c r="F20" i="19"/>
  <c r="E20" i="19"/>
  <c r="D20" i="19"/>
  <c r="C20" i="19"/>
  <c r="B20" i="19"/>
  <c r="S13" i="19"/>
  <c r="R13" i="19"/>
  <c r="Q13" i="19"/>
  <c r="P13" i="19"/>
  <c r="O13" i="19"/>
  <c r="N13" i="19"/>
  <c r="M13" i="19"/>
  <c r="L13" i="19"/>
  <c r="K13" i="19"/>
  <c r="J13" i="19"/>
  <c r="I13" i="19"/>
  <c r="H13" i="19"/>
  <c r="G13" i="19"/>
  <c r="F13" i="19"/>
  <c r="E13" i="19"/>
  <c r="D13" i="19"/>
  <c r="C13" i="19"/>
  <c r="B13" i="19"/>
  <c r="A50" i="17"/>
  <c r="A49" i="17"/>
  <c r="A48" i="17"/>
  <c r="A47" i="17"/>
  <c r="A46" i="17"/>
  <c r="A45" i="17"/>
  <c r="A44" i="17"/>
  <c r="A43" i="17"/>
  <c r="A42" i="17"/>
  <c r="A41" i="17"/>
  <c r="A40" i="17"/>
  <c r="A39" i="17"/>
  <c r="A38" i="17"/>
  <c r="A37" i="17"/>
  <c r="A36" i="17"/>
  <c r="A35" i="17"/>
  <c r="A34" i="17"/>
  <c r="A33" i="17"/>
  <c r="A32" i="17"/>
  <c r="A31" i="17"/>
  <c r="A30" i="17"/>
  <c r="A29" i="17"/>
  <c r="A28" i="17"/>
  <c r="A27" i="17"/>
  <c r="G7" i="17"/>
  <c r="M4" i="17"/>
  <c r="D4" i="17"/>
  <c r="A4" i="17"/>
  <c r="C10" i="15"/>
  <c r="B10" i="15"/>
  <c r="B9" i="15"/>
  <c r="B8" i="15"/>
  <c r="B5" i="15"/>
  <c r="K4" i="15"/>
  <c r="B4" i="15"/>
  <c r="O206" i="14"/>
  <c r="O205" i="14"/>
  <c r="O204" i="14"/>
  <c r="O203" i="14"/>
  <c r="O202" i="14"/>
  <c r="O201" i="14"/>
  <c r="O200" i="14"/>
  <c r="O199" i="14"/>
  <c r="O198" i="14"/>
  <c r="O197" i="14"/>
  <c r="O196" i="14"/>
  <c r="O195" i="14"/>
  <c r="O194" i="14"/>
  <c r="O193" i="14"/>
  <c r="O192" i="14"/>
  <c r="O191" i="14"/>
  <c r="O190" i="14"/>
  <c r="O189" i="14"/>
  <c r="O188" i="14"/>
  <c r="O187" i="14"/>
  <c r="O186" i="14"/>
  <c r="I44" i="13"/>
  <c r="H44" i="13"/>
  <c r="M44" i="13" s="1" a="1"/>
  <c r="M44" i="13" s="1"/>
  <c r="N44" i="13" s="1"/>
  <c r="I43" i="13"/>
  <c r="H43" i="13"/>
  <c r="M43" i="13" s="1" a="1"/>
  <c r="M43" i="13" s="1"/>
  <c r="N43" i="13" s="1"/>
  <c r="I42" i="13"/>
  <c r="H42" i="13"/>
  <c r="M42" i="13" s="1" a="1"/>
  <c r="M42" i="13" s="1"/>
  <c r="N42" i="13" s="1"/>
  <c r="I41" i="13"/>
  <c r="H41" i="13"/>
  <c r="M41" i="13" s="1" a="1"/>
  <c r="M41" i="13" s="1"/>
  <c r="N41" i="13" s="1"/>
  <c r="I40" i="13"/>
  <c r="H40" i="13"/>
  <c r="M40" i="13" s="1" a="1"/>
  <c r="M40" i="13" s="1"/>
  <c r="N40" i="13" s="1"/>
  <c r="I39" i="13"/>
  <c r="H39" i="13"/>
  <c r="M39" i="13" s="1" a="1"/>
  <c r="M39" i="13" s="1"/>
  <c r="N39" i="13" s="1"/>
  <c r="I38" i="13"/>
  <c r="H38" i="13"/>
  <c r="M38" i="13" s="1" a="1"/>
  <c r="M38" i="13" s="1"/>
  <c r="N38" i="13" s="1"/>
  <c r="I37" i="13"/>
  <c r="H37" i="13"/>
  <c r="M37" i="13" s="1" a="1"/>
  <c r="M37" i="13" s="1"/>
  <c r="N37" i="13" s="1"/>
  <c r="I36" i="13"/>
  <c r="H36" i="13"/>
  <c r="M36" i="13" s="1" a="1"/>
  <c r="M36" i="13" s="1"/>
  <c r="N36" i="13" s="1"/>
  <c r="I35" i="13"/>
  <c r="H35" i="13"/>
  <c r="M35" i="13" s="1" a="1"/>
  <c r="M35" i="13" s="1"/>
  <c r="N35" i="13" s="1"/>
  <c r="I34" i="13"/>
  <c r="H34" i="13"/>
  <c r="M34" i="13" s="1" a="1"/>
  <c r="M34" i="13" s="1"/>
  <c r="N34" i="13" s="1"/>
  <c r="I33" i="13"/>
  <c r="H33" i="13"/>
  <c r="I24" i="13"/>
  <c r="H24" i="13"/>
  <c r="M24" i="13" s="1" a="1"/>
  <c r="M24" i="13" s="1"/>
  <c r="N24" i="13" s="1"/>
  <c r="I23" i="13"/>
  <c r="H23" i="13"/>
  <c r="M23" i="13" s="1" a="1"/>
  <c r="M23" i="13" s="1"/>
  <c r="N23" i="13" s="1"/>
  <c r="I22" i="13"/>
  <c r="H22" i="13"/>
  <c r="M22" i="13" s="1" a="1"/>
  <c r="M22" i="13" s="1"/>
  <c r="N22" i="13" s="1"/>
  <c r="I21" i="13"/>
  <c r="H21" i="13"/>
  <c r="M21" i="13" s="1" a="1"/>
  <c r="M21" i="13" s="1"/>
  <c r="N21" i="13" s="1"/>
  <c r="I20" i="13"/>
  <c r="H20" i="13"/>
  <c r="M20" i="13" s="1" a="1"/>
  <c r="M20" i="13" s="1"/>
  <c r="N20" i="13" s="1"/>
  <c r="I19" i="13"/>
  <c r="H19" i="13"/>
  <c r="M19" i="13" s="1" a="1"/>
  <c r="M19" i="13" s="1"/>
  <c r="N19" i="13" s="1"/>
  <c r="I18" i="13"/>
  <c r="H18" i="13"/>
  <c r="M18" i="13" s="1" a="1"/>
  <c r="M18" i="13" s="1"/>
  <c r="N18" i="13" s="1"/>
  <c r="I17" i="13"/>
  <c r="H17" i="13"/>
  <c r="M17" i="13" s="1" a="1"/>
  <c r="M17" i="13" s="1"/>
  <c r="N17" i="13" s="1"/>
  <c r="I16" i="13"/>
  <c r="H16" i="13"/>
  <c r="M16" i="13" s="1" a="1"/>
  <c r="M16" i="13" s="1"/>
  <c r="N16" i="13" s="1"/>
  <c r="I15" i="13"/>
  <c r="H15" i="13"/>
  <c r="M15" i="13" s="1" a="1"/>
  <c r="M15" i="13" s="1"/>
  <c r="N15" i="13" s="1"/>
  <c r="I14" i="13"/>
  <c r="H14" i="13"/>
  <c r="M14" i="13" s="1" a="1"/>
  <c r="M14" i="13" s="1"/>
  <c r="N14" i="13" s="1"/>
  <c r="I13" i="13"/>
  <c r="H13" i="13"/>
  <c r="M13" i="13" s="1" a="1"/>
  <c r="M13" i="13" s="1"/>
  <c r="N13" i="13" s="1"/>
  <c r="I12" i="13"/>
  <c r="H12" i="13"/>
  <c r="M12" i="13" s="1" a="1"/>
  <c r="M12" i="13" s="1"/>
  <c r="N12" i="13" s="1"/>
  <c r="I11" i="13"/>
  <c r="H11" i="13"/>
  <c r="M11" i="13" s="1" a="1"/>
  <c r="M11" i="13" s="1"/>
  <c r="N11" i="13" s="1"/>
  <c r="I10" i="13"/>
  <c r="H10" i="13"/>
  <c r="M10" i="13" s="1" a="1"/>
  <c r="M10" i="13" s="1"/>
  <c r="N10" i="13" s="1"/>
  <c r="I9" i="13"/>
  <c r="H9" i="13"/>
  <c r="M9" i="13" s="1" a="1"/>
  <c r="M9" i="13" s="1"/>
  <c r="N9" i="13" s="1"/>
  <c r="I8" i="13"/>
  <c r="H8" i="13"/>
  <c r="M8" i="13" s="1" a="1"/>
  <c r="M8" i="13" s="1"/>
  <c r="N8" i="13" s="1"/>
  <c r="I7" i="13"/>
  <c r="H7" i="13"/>
  <c r="M7" i="13" s="1" a="1"/>
  <c r="M7" i="13" s="1"/>
  <c r="N7" i="13" s="1"/>
  <c r="I6" i="13"/>
  <c r="H6" i="13"/>
  <c r="M6" i="13" s="1" a="1"/>
  <c r="M6" i="13" s="1"/>
  <c r="N6" i="13" s="1"/>
  <c r="I5" i="13"/>
  <c r="H5" i="13"/>
  <c r="S26" i="9"/>
  <c r="T26" i="9" s="1"/>
  <c r="P26" i="9"/>
  <c r="Q26" i="9" s="1"/>
  <c r="M26" i="9"/>
  <c r="N26" i="9" s="1"/>
  <c r="J26" i="9"/>
  <c r="K26" i="9" s="1"/>
  <c r="G26" i="9"/>
  <c r="H26" i="9" s="1"/>
  <c r="D26" i="9"/>
  <c r="E26" i="9" s="1"/>
  <c r="S25" i="9"/>
  <c r="P25" i="9"/>
  <c r="M25" i="9"/>
  <c r="J25" i="9"/>
  <c r="G25" i="9"/>
  <c r="D25" i="9"/>
  <c r="S24" i="9"/>
  <c r="P24" i="9"/>
  <c r="M24" i="9"/>
  <c r="J24" i="9"/>
  <c r="G24" i="9"/>
  <c r="D24" i="9"/>
  <c r="S23" i="9"/>
  <c r="P23" i="9"/>
  <c r="M23" i="9"/>
  <c r="J23" i="9"/>
  <c r="G23" i="9"/>
  <c r="D23" i="9"/>
  <c r="S22" i="9"/>
  <c r="P22" i="9"/>
  <c r="M22" i="9"/>
  <c r="J22" i="9"/>
  <c r="G22" i="9"/>
  <c r="D22" i="9"/>
  <c r="S21" i="9"/>
  <c r="P21" i="9"/>
  <c r="M21" i="9"/>
  <c r="J21" i="9"/>
  <c r="G21" i="9"/>
  <c r="D21" i="9"/>
  <c r="S20" i="9"/>
  <c r="P20" i="9"/>
  <c r="M20" i="9"/>
  <c r="J20" i="9"/>
  <c r="G20" i="9"/>
  <c r="D20" i="9"/>
  <c r="S19" i="9"/>
  <c r="P19" i="9"/>
  <c r="M19" i="9"/>
  <c r="J19" i="9"/>
  <c r="G19" i="9"/>
  <c r="D19" i="9"/>
  <c r="S18" i="9"/>
  <c r="P18" i="9"/>
  <c r="M18" i="9"/>
  <c r="J18" i="9"/>
  <c r="G18" i="9"/>
  <c r="D18" i="9"/>
  <c r="N13" i="9"/>
  <c r="N12" i="9"/>
  <c r="N11" i="9"/>
  <c r="N10" i="9"/>
  <c r="N9" i="9"/>
  <c r="N8" i="9"/>
  <c r="N7" i="9"/>
  <c r="N6" i="9"/>
  <c r="N5" i="9"/>
  <c r="H80" i="8"/>
  <c r="G80" i="8"/>
  <c r="F80" i="8"/>
  <c r="E80" i="8"/>
  <c r="D80" i="8"/>
  <c r="C80" i="8"/>
  <c r="B80" i="8"/>
  <c r="H79" i="8"/>
  <c r="G79" i="8"/>
  <c r="F79" i="8"/>
  <c r="E79" i="8"/>
  <c r="D79" i="8"/>
  <c r="C79" i="8"/>
  <c r="B79" i="8"/>
  <c r="H78" i="8"/>
  <c r="G78" i="8"/>
  <c r="F78" i="8"/>
  <c r="E78" i="8"/>
  <c r="D78" i="8"/>
  <c r="C78" i="8"/>
  <c r="B78" i="8"/>
  <c r="H77" i="8"/>
  <c r="G77" i="8"/>
  <c r="F77" i="8"/>
  <c r="E77" i="8"/>
  <c r="D77" i="8"/>
  <c r="C77" i="8"/>
  <c r="B77" i="8"/>
  <c r="H76" i="8"/>
  <c r="G76" i="8"/>
  <c r="F76" i="8"/>
  <c r="E76" i="8"/>
  <c r="D76" i="8"/>
  <c r="C76" i="8"/>
  <c r="B76" i="8"/>
  <c r="H75" i="8"/>
  <c r="G75" i="8"/>
  <c r="F75" i="8"/>
  <c r="E75" i="8"/>
  <c r="D75" i="8"/>
  <c r="C75" i="8"/>
  <c r="B75" i="8"/>
  <c r="H74" i="8"/>
  <c r="G74" i="8"/>
  <c r="F74" i="8"/>
  <c r="E74" i="8"/>
  <c r="D74" i="8"/>
  <c r="C74" i="8"/>
  <c r="B74" i="8"/>
  <c r="H73" i="8"/>
  <c r="G73" i="8"/>
  <c r="F73" i="8"/>
  <c r="E73" i="8"/>
  <c r="D73" i="8"/>
  <c r="C73" i="8"/>
  <c r="B73" i="8"/>
  <c r="H72" i="8"/>
  <c r="G72" i="8"/>
  <c r="F72" i="8"/>
  <c r="E72" i="8"/>
  <c r="D72" i="8"/>
  <c r="C72" i="8"/>
  <c r="B72" i="8"/>
  <c r="H71" i="8"/>
  <c r="G71" i="8"/>
  <c r="F71" i="8"/>
  <c r="E71" i="8"/>
  <c r="D71" i="8"/>
  <c r="C71" i="8"/>
  <c r="B71" i="8"/>
  <c r="M65" i="8"/>
  <c r="L65" i="8"/>
  <c r="K65" i="8"/>
  <c r="J65" i="8"/>
  <c r="I65" i="8"/>
  <c r="H65" i="8"/>
  <c r="G65" i="8"/>
  <c r="F65" i="8"/>
  <c r="E65" i="8"/>
  <c r="D65" i="8"/>
  <c r="C65" i="8"/>
  <c r="B65" i="8"/>
  <c r="M64" i="8"/>
  <c r="L64" i="8"/>
  <c r="K64" i="8"/>
  <c r="J64" i="8"/>
  <c r="I64" i="8"/>
  <c r="H64" i="8"/>
  <c r="G64" i="8"/>
  <c r="F64" i="8"/>
  <c r="E64" i="8"/>
  <c r="D64" i="8"/>
  <c r="C64" i="8"/>
  <c r="B64" i="8"/>
  <c r="M63" i="8"/>
  <c r="L63" i="8"/>
  <c r="K63" i="8"/>
  <c r="J63" i="8"/>
  <c r="I63" i="8"/>
  <c r="H63" i="8"/>
  <c r="G63" i="8"/>
  <c r="F63" i="8"/>
  <c r="E63" i="8"/>
  <c r="D63" i="8"/>
  <c r="C63" i="8"/>
  <c r="B63" i="8"/>
  <c r="M62" i="8"/>
  <c r="L62" i="8"/>
  <c r="K62" i="8"/>
  <c r="J62" i="8"/>
  <c r="I62" i="8"/>
  <c r="H62" i="8"/>
  <c r="G62" i="8"/>
  <c r="F62" i="8"/>
  <c r="E62" i="8"/>
  <c r="D62" i="8"/>
  <c r="C62" i="8"/>
  <c r="B62" i="8"/>
  <c r="M61" i="8"/>
  <c r="L61" i="8"/>
  <c r="K61" i="8"/>
  <c r="J61" i="8"/>
  <c r="I61" i="8"/>
  <c r="H61" i="8"/>
  <c r="G61" i="8"/>
  <c r="F61" i="8"/>
  <c r="E61" i="8"/>
  <c r="D61" i="8"/>
  <c r="C61" i="8"/>
  <c r="B61" i="8"/>
  <c r="M60" i="8"/>
  <c r="L60" i="8"/>
  <c r="K60" i="8"/>
  <c r="J60" i="8"/>
  <c r="I60" i="8"/>
  <c r="H60" i="8"/>
  <c r="G60" i="8"/>
  <c r="F60" i="8"/>
  <c r="E60" i="8"/>
  <c r="D60" i="8"/>
  <c r="C60" i="8"/>
  <c r="B60" i="8"/>
  <c r="M59" i="8"/>
  <c r="L59" i="8"/>
  <c r="K59" i="8"/>
  <c r="J59" i="8"/>
  <c r="I59" i="8"/>
  <c r="H59" i="8"/>
  <c r="G59" i="8"/>
  <c r="F59" i="8"/>
  <c r="E59" i="8"/>
  <c r="D59" i="8"/>
  <c r="C59" i="8"/>
  <c r="B59" i="8"/>
  <c r="M58" i="8"/>
  <c r="L58" i="8"/>
  <c r="K58" i="8"/>
  <c r="J58" i="8"/>
  <c r="I58" i="8"/>
  <c r="H58" i="8"/>
  <c r="G58" i="8"/>
  <c r="F58" i="8"/>
  <c r="E58" i="8"/>
  <c r="D58" i="8"/>
  <c r="C58" i="8"/>
  <c r="B58" i="8"/>
  <c r="M57" i="8"/>
  <c r="L57" i="8"/>
  <c r="K57" i="8"/>
  <c r="J57" i="8"/>
  <c r="I57" i="8"/>
  <c r="H57" i="8"/>
  <c r="G57" i="8"/>
  <c r="F57" i="8"/>
  <c r="E57" i="8"/>
  <c r="D57" i="8"/>
  <c r="C57" i="8"/>
  <c r="B57" i="8"/>
  <c r="M56" i="8"/>
  <c r="L56" i="8"/>
  <c r="K56" i="8"/>
  <c r="J56" i="8"/>
  <c r="I56" i="8"/>
  <c r="H56" i="8"/>
  <c r="G56" i="8"/>
  <c r="F56" i="8"/>
  <c r="E56" i="8"/>
  <c r="D56" i="8"/>
  <c r="C56" i="8"/>
  <c r="B56" i="8"/>
  <c r="M55" i="8"/>
  <c r="L55" i="8"/>
  <c r="K55" i="8"/>
  <c r="J55" i="8"/>
  <c r="I55" i="8"/>
  <c r="H55" i="8"/>
  <c r="G55" i="8"/>
  <c r="F55" i="8"/>
  <c r="E55" i="8"/>
  <c r="D55" i="8"/>
  <c r="C55" i="8"/>
  <c r="B55" i="8"/>
  <c r="M54" i="8"/>
  <c r="M66" i="8" s="1"/>
  <c r="L54" i="8"/>
  <c r="K54" i="8"/>
  <c r="J54" i="8"/>
  <c r="I54" i="8"/>
  <c r="H54" i="8"/>
  <c r="G54" i="8"/>
  <c r="F54" i="8"/>
  <c r="E54" i="8"/>
  <c r="E66" i="8" s="1"/>
  <c r="D54" i="8"/>
  <c r="C54" i="8"/>
  <c r="C66" i="8" s="1"/>
  <c r="B54" i="8"/>
  <c r="B66" i="8" s="1"/>
  <c r="M50" i="8"/>
  <c r="L50" i="8"/>
  <c r="K50" i="8"/>
  <c r="J50" i="8"/>
  <c r="I50" i="8"/>
  <c r="H50" i="8"/>
  <c r="G50" i="8"/>
  <c r="F50" i="8"/>
  <c r="E50" i="8"/>
  <c r="D50" i="8"/>
  <c r="C50" i="8"/>
  <c r="B50" i="8"/>
  <c r="M34" i="8"/>
  <c r="L34" i="8"/>
  <c r="K34" i="8"/>
  <c r="J34" i="8"/>
  <c r="I34" i="8"/>
  <c r="H34" i="8"/>
  <c r="G34" i="8"/>
  <c r="F34" i="8"/>
  <c r="E34" i="8"/>
  <c r="D34" i="8"/>
  <c r="C34" i="8"/>
  <c r="B34" i="8"/>
  <c r="E899" i="11"/>
  <c r="E720" i="11"/>
  <c r="E541" i="11"/>
  <c r="E362" i="11"/>
  <c r="E183" i="11"/>
  <c r="E4" i="11"/>
  <c r="E541" i="10"/>
  <c r="E362" i="10"/>
  <c r="E183" i="10"/>
  <c r="E4" i="10"/>
  <c r="H20" i="6"/>
  <c r="H19" i="6"/>
  <c r="H18" i="6"/>
  <c r="H17" i="6"/>
  <c r="H16" i="6"/>
  <c r="H15" i="6"/>
  <c r="H14" i="6"/>
  <c r="H13" i="6"/>
  <c r="H12" i="6"/>
  <c r="H11" i="6"/>
  <c r="H10" i="6"/>
  <c r="H9" i="6"/>
  <c r="H8" i="6"/>
  <c r="H7" i="6"/>
  <c r="H6" i="6"/>
  <c r="H5" i="6"/>
  <c r="H4" i="6"/>
  <c r="H61" i="5"/>
  <c r="G61" i="5"/>
  <c r="F61" i="5"/>
  <c r="H60" i="5"/>
  <c r="I60" i="5" s="1"/>
  <c r="J60" i="5" s="1"/>
  <c r="G60" i="5"/>
  <c r="F60" i="5"/>
  <c r="H56" i="5"/>
  <c r="I56" i="5" s="1"/>
  <c r="G56" i="5"/>
  <c r="F56" i="5"/>
  <c r="H55" i="5"/>
  <c r="G55" i="5"/>
  <c r="F55" i="5"/>
  <c r="H51" i="5"/>
  <c r="I51" i="5" s="1"/>
  <c r="J51" i="5" s="1"/>
  <c r="G51" i="5"/>
  <c r="F51" i="5"/>
  <c r="H50" i="5"/>
  <c r="I50" i="5" s="1"/>
  <c r="G50" i="5"/>
  <c r="F50" i="5"/>
  <c r="H46" i="5"/>
  <c r="I46" i="5" s="1"/>
  <c r="J46" i="5" s="1"/>
  <c r="G46" i="5"/>
  <c r="F46" i="5"/>
  <c r="H45" i="5"/>
  <c r="I45" i="5" s="1"/>
  <c r="J45" i="5" s="1"/>
  <c r="G45" i="5"/>
  <c r="F45" i="5"/>
  <c r="H41" i="5"/>
  <c r="I41" i="5" s="1"/>
  <c r="G41" i="5"/>
  <c r="F41" i="5"/>
  <c r="H40" i="5"/>
  <c r="I40" i="5" s="1"/>
  <c r="G40" i="5"/>
  <c r="F40" i="5"/>
  <c r="H36" i="5"/>
  <c r="I36" i="5" s="1"/>
  <c r="J36" i="5" s="1"/>
  <c r="G36" i="5"/>
  <c r="F36" i="5"/>
  <c r="H35" i="5"/>
  <c r="I35" i="5" s="1"/>
  <c r="J35" i="5" s="1"/>
  <c r="G35" i="5"/>
  <c r="F35" i="5"/>
  <c r="H31" i="5"/>
  <c r="I31" i="5" s="1"/>
  <c r="J31" i="5" s="1"/>
  <c r="G31" i="5"/>
  <c r="H30" i="5"/>
  <c r="I30" i="5" s="1"/>
  <c r="J30" i="5" s="1"/>
  <c r="G30" i="5"/>
  <c r="F30" i="5"/>
  <c r="H26" i="5"/>
  <c r="I26" i="5" s="1"/>
  <c r="J26" i="5" s="1"/>
  <c r="G26" i="5"/>
  <c r="F26" i="5"/>
  <c r="H25" i="5"/>
  <c r="I25" i="5" s="1"/>
  <c r="J25" i="5" s="1"/>
  <c r="G25" i="5"/>
  <c r="F25" i="5"/>
  <c r="H24" i="5"/>
  <c r="I24" i="5" s="1"/>
  <c r="G24" i="5"/>
  <c r="F24" i="5"/>
  <c r="H12" i="5"/>
  <c r="I12" i="5" s="1"/>
  <c r="G12" i="5"/>
  <c r="F12" i="5"/>
  <c r="H11" i="5"/>
  <c r="G11" i="5"/>
  <c r="F11" i="5"/>
  <c r="H7" i="5"/>
  <c r="I7" i="5" s="1"/>
  <c r="J7" i="5" s="1"/>
  <c r="G7" i="5"/>
  <c r="F7" i="5"/>
  <c r="H6" i="5"/>
  <c r="I6" i="5" s="1"/>
  <c r="G6" i="5"/>
  <c r="F6" i="5"/>
  <c r="H5" i="5"/>
  <c r="G5" i="5"/>
  <c r="F5" i="5"/>
  <c r="GE40" i="4"/>
  <c r="GP39" i="4"/>
  <c r="GI38" i="4"/>
  <c r="GH37" i="4"/>
  <c r="GP36" i="4"/>
  <c r="GO29" i="4"/>
  <c r="GE28" i="4"/>
  <c r="GR27" i="4"/>
  <c r="GQ27" i="4"/>
  <c r="GN27" i="4"/>
  <c r="GM27" i="4"/>
  <c r="GL27" i="4"/>
  <c r="GK27" i="4"/>
  <c r="GJ27" i="4"/>
  <c r="GI27" i="4"/>
  <c r="GH27" i="4"/>
  <c r="GG27" i="4"/>
  <c r="GF27" i="4"/>
  <c r="GE27" i="4"/>
  <c r="GP27" i="4"/>
  <c r="GQ26" i="4"/>
  <c r="GP26" i="4"/>
  <c r="GO26" i="4"/>
  <c r="GN26" i="4"/>
  <c r="GM26" i="4"/>
  <c r="GL26" i="4"/>
  <c r="GI22" i="4"/>
  <c r="GI21" i="4"/>
  <c r="GP17" i="4"/>
  <c r="GI16" i="4"/>
  <c r="GI15" i="4"/>
  <c r="GQ14" i="4"/>
  <c r="GI13" i="4"/>
  <c r="GI12" i="4"/>
  <c r="GN11" i="4"/>
  <c r="GI10" i="4"/>
  <c r="GI9" i="4"/>
  <c r="GO8" i="4"/>
  <c r="GI7" i="4"/>
  <c r="GI6" i="4"/>
  <c r="J28" i="3"/>
  <c r="I28" i="3"/>
  <c r="H28" i="3"/>
  <c r="F28" i="3"/>
  <c r="E28" i="3"/>
  <c r="J27" i="3"/>
  <c r="I27" i="3"/>
  <c r="H27" i="3"/>
  <c r="F27" i="3"/>
  <c r="J26" i="3"/>
  <c r="I26" i="3"/>
  <c r="H26" i="3"/>
  <c r="F26" i="3"/>
  <c r="J25" i="3"/>
  <c r="I25" i="3"/>
  <c r="H25" i="3"/>
  <c r="F25" i="3"/>
  <c r="J24" i="3"/>
  <c r="I24" i="3"/>
  <c r="H24" i="3"/>
  <c r="F24" i="3"/>
  <c r="E24" i="3"/>
  <c r="J23" i="3"/>
  <c r="I23" i="3"/>
  <c r="H23" i="3"/>
  <c r="G23" i="3"/>
  <c r="F23" i="3"/>
  <c r="E23" i="3"/>
  <c r="J22" i="3"/>
  <c r="I22" i="3"/>
  <c r="H22" i="3"/>
  <c r="G22" i="3"/>
  <c r="F22" i="3"/>
  <c r="E22" i="3"/>
  <c r="J21" i="3"/>
  <c r="I21" i="3"/>
  <c r="H21" i="3"/>
  <c r="G21" i="3"/>
  <c r="F21" i="3"/>
  <c r="E21" i="3"/>
  <c r="J20" i="3"/>
  <c r="I20" i="3"/>
  <c r="H20" i="3"/>
  <c r="G20" i="3"/>
  <c r="F20" i="3"/>
  <c r="E20" i="3"/>
  <c r="J19" i="3"/>
  <c r="R182" i="7" s="1"/>
  <c r="I19" i="3"/>
  <c r="O169" i="7" s="1"/>
  <c r="N169" i="7"/>
  <c r="M87" i="7"/>
  <c r="F19" i="3"/>
  <c r="Q55" i="7" s="1"/>
  <c r="S55" i="7" s="1"/>
  <c r="M55" i="10" s="1"/>
  <c r="E19" i="3"/>
  <c r="P55" i="7" s="1"/>
  <c r="E61" i="5"/>
  <c r="E60" i="5"/>
  <c r="E56" i="5"/>
  <c r="E55" i="5"/>
  <c r="E51" i="5"/>
  <c r="E50" i="5"/>
  <c r="E46" i="5"/>
  <c r="E45" i="5"/>
  <c r="E41" i="5"/>
  <c r="E36" i="5"/>
  <c r="E35" i="5"/>
  <c r="E31" i="5"/>
  <c r="E26" i="5"/>
  <c r="E25" i="5"/>
  <c r="E24" i="5"/>
  <c r="E11" i="5"/>
  <c r="E7" i="5"/>
  <c r="E6" i="5"/>
  <c r="E5" i="5"/>
  <c r="M5" i="13" l="1" a="1"/>
  <c r="M5" i="13" s="1"/>
  <c r="N5" i="13" s="1"/>
  <c r="B174" i="14" a="1"/>
  <c r="B174" i="14" s="1"/>
  <c r="B146" i="14" a="1"/>
  <c r="B146" i="14" s="1"/>
  <c r="B124" i="14" a="1"/>
  <c r="B124" i="14" s="1"/>
  <c r="B86" i="14" a="1"/>
  <c r="B86" i="14" s="1"/>
  <c r="B58" i="14" a="1"/>
  <c r="B58" i="14" s="1"/>
  <c r="B46" i="14" a="1"/>
  <c r="B46" i="14" s="1"/>
  <c r="B34" i="14" a="1"/>
  <c r="B34" i="14" s="1"/>
  <c r="B23" i="14" a="1"/>
  <c r="B23" i="14" s="1"/>
  <c r="B11" i="14" a="1"/>
  <c r="B11" i="14" s="1"/>
  <c r="B71" i="14" a="1"/>
  <c r="B71" i="14" s="1"/>
  <c r="B103" i="14" a="1"/>
  <c r="B103" i="14" s="1"/>
  <c r="B198" i="14" a="1"/>
  <c r="B198" i="14" s="1"/>
  <c r="B13" i="14" a="1"/>
  <c r="B13" i="14" s="1"/>
  <c r="B26" i="14" a="1"/>
  <c r="B26" i="14" s="1"/>
  <c r="B38" i="14" a="1"/>
  <c r="B38" i="14" s="1"/>
  <c r="B51" i="14" a="1"/>
  <c r="B51" i="14" s="1"/>
  <c r="B78" i="14" a="1"/>
  <c r="B78" i="14" s="1"/>
  <c r="B97" i="14" a="1"/>
  <c r="B97" i="14" s="1"/>
  <c r="B98" i="14" a="1"/>
  <c r="B98" i="14" s="1"/>
  <c r="B99" i="14" a="1"/>
  <c r="B99" i="14" s="1"/>
  <c r="B157" i="14" a="1"/>
  <c r="B157" i="14" s="1"/>
  <c r="B108" i="14" a="1"/>
  <c r="B108" i="14" s="1"/>
  <c r="B142" i="14" a="1"/>
  <c r="B142" i="14" s="1"/>
  <c r="B69" i="14" a="1"/>
  <c r="B69" i="14" s="1"/>
  <c r="B20" i="14" a="1"/>
  <c r="B20" i="14" s="1"/>
  <c r="B21" i="14" a="1"/>
  <c r="B21" i="14" s="1"/>
  <c r="B33" i="14" a="1"/>
  <c r="B33" i="14" s="1"/>
  <c r="B188" i="14" a="1"/>
  <c r="B188" i="14" s="1"/>
  <c r="B12" i="14" a="1"/>
  <c r="B12" i="14" s="1"/>
  <c r="B25" i="14" a="1"/>
  <c r="B25" i="14" s="1"/>
  <c r="B37" i="14" a="1"/>
  <c r="B37" i="14" s="1"/>
  <c r="B50" i="14" a="1"/>
  <c r="B50" i="14" s="1"/>
  <c r="B63" i="14" a="1"/>
  <c r="B63" i="14" s="1"/>
  <c r="B95" i="14" a="1"/>
  <c r="B95" i="14" s="1"/>
  <c r="B114" i="14" a="1"/>
  <c r="B114" i="14" s="1"/>
  <c r="B115" i="14" a="1"/>
  <c r="B115" i="14" s="1"/>
  <c r="B87" i="14" a="1"/>
  <c r="B87" i="14" s="1"/>
  <c r="B145" i="14" a="1"/>
  <c r="B145" i="14" s="1"/>
  <c r="B96" i="14" a="1"/>
  <c r="B96" i="14" s="1"/>
  <c r="B201" i="14" a="1"/>
  <c r="B201" i="14" s="1"/>
  <c r="B200" i="14" a="1"/>
  <c r="B200" i="14" s="1"/>
  <c r="B31" i="14" a="1"/>
  <c r="B31" i="14" s="1"/>
  <c r="B32" i="14" a="1"/>
  <c r="B32" i="14" s="1"/>
  <c r="B45" i="14" a="1"/>
  <c r="B45" i="14" s="1"/>
  <c r="B189" i="14" a="1"/>
  <c r="B189" i="14" s="1"/>
  <c r="B44" i="14" a="1"/>
  <c r="B44" i="14" s="1"/>
  <c r="B24" i="14" a="1"/>
  <c r="B24" i="14" s="1"/>
  <c r="B36" i="14" a="1"/>
  <c r="B36" i="14" s="1"/>
  <c r="B49" i="14" a="1"/>
  <c r="B49" i="14" s="1"/>
  <c r="B62" i="14" a="1"/>
  <c r="B62" i="14" s="1"/>
  <c r="B77" i="14" a="1"/>
  <c r="B77" i="14" s="1"/>
  <c r="B113" i="14" a="1"/>
  <c r="B113" i="14" s="1"/>
  <c r="B136" i="14" a="1"/>
  <c r="B136" i="14" s="1"/>
  <c r="B137" i="14" a="1"/>
  <c r="B137" i="14" s="1"/>
  <c r="B75" i="14" a="1"/>
  <c r="B75" i="14" s="1"/>
  <c r="B133" i="14" a="1"/>
  <c r="B133" i="14" s="1"/>
  <c r="B84" i="14" a="1"/>
  <c r="B84" i="14" s="1"/>
  <c r="B43" i="14" a="1"/>
  <c r="B43" i="14" s="1"/>
  <c r="B35" i="14" a="1"/>
  <c r="B35" i="14" s="1"/>
  <c r="B48" i="14" a="1"/>
  <c r="B48" i="14" s="1"/>
  <c r="B61" i="14" a="1"/>
  <c r="B61" i="14" s="1"/>
  <c r="B76" i="14" a="1"/>
  <c r="B76" i="14" s="1"/>
  <c r="B94" i="14" a="1"/>
  <c r="B94" i="14" s="1"/>
  <c r="B134" i="14" a="1"/>
  <c r="B134" i="14" s="1"/>
  <c r="B161" i="14" a="1"/>
  <c r="B161" i="14" s="1"/>
  <c r="B162" i="14" a="1"/>
  <c r="B162" i="14" s="1"/>
  <c r="B206" i="14" a="1"/>
  <c r="B206" i="14" s="1"/>
  <c r="B121" i="14" a="1"/>
  <c r="B121" i="14" s="1"/>
  <c r="B203" i="14" a="1"/>
  <c r="B203" i="14" s="1"/>
  <c r="B177" i="14" a="1"/>
  <c r="B177" i="14" s="1"/>
  <c r="B176" i="14" a="1"/>
  <c r="B176" i="14" s="1"/>
  <c r="B55" i="14" a="1"/>
  <c r="B55" i="14" s="1"/>
  <c r="B56" i="14" a="1"/>
  <c r="B56" i="14" s="1"/>
  <c r="B70" i="14" a="1"/>
  <c r="B70" i="14" s="1"/>
  <c r="B47" i="14" a="1"/>
  <c r="B47" i="14" s="1"/>
  <c r="B60" i="14" a="1"/>
  <c r="B60" i="14" s="1"/>
  <c r="B74" i="14" a="1"/>
  <c r="B74" i="14" s="1"/>
  <c r="B91" i="14" a="1"/>
  <c r="B91" i="14" s="1"/>
  <c r="B112" i="14" a="1"/>
  <c r="B112" i="14" s="1"/>
  <c r="B160" i="14" a="1"/>
  <c r="B160" i="14" s="1"/>
  <c r="B197" i="14" a="1"/>
  <c r="B197" i="14" s="1"/>
  <c r="B195" i="14" a="1"/>
  <c r="B195" i="14" s="1"/>
  <c r="B194" i="14" a="1"/>
  <c r="B194" i="14" s="1"/>
  <c r="B204" i="14" a="1"/>
  <c r="B204" i="14" s="1"/>
  <c r="B191" i="14" a="1"/>
  <c r="B191" i="14" s="1"/>
  <c r="B165" i="14" a="1"/>
  <c r="B165" i="14" s="1"/>
  <c r="B164" i="14" a="1"/>
  <c r="B164" i="14" s="1"/>
  <c r="B67" i="14" a="1"/>
  <c r="B67" i="14" s="1"/>
  <c r="B59" i="14" a="1"/>
  <c r="B59" i="14" s="1"/>
  <c r="B73" i="14" a="1"/>
  <c r="B73" i="14" s="1"/>
  <c r="B90" i="14" a="1"/>
  <c r="B90" i="14" s="1"/>
  <c r="B110" i="14" a="1"/>
  <c r="B110" i="14" s="1"/>
  <c r="B131" i="14" a="1"/>
  <c r="B131" i="14" s="1"/>
  <c r="B196" i="14" a="1"/>
  <c r="B196" i="14" s="1"/>
  <c r="B7" i="14" a="1"/>
  <c r="B7" i="14" s="1"/>
  <c r="B183" i="14" a="1"/>
  <c r="B183" i="14" s="1"/>
  <c r="B182" i="14" a="1"/>
  <c r="B182" i="14" s="1"/>
  <c r="B192" i="14" a="1"/>
  <c r="B192" i="14" s="1"/>
  <c r="B179" i="14" a="1"/>
  <c r="B179" i="14" s="1"/>
  <c r="B153" i="14" a="1"/>
  <c r="B153" i="14" s="1"/>
  <c r="B152" i="14" a="1"/>
  <c r="B152" i="14" s="1"/>
  <c r="B82" i="14" a="1"/>
  <c r="B82" i="14" s="1"/>
  <c r="B83" i="14" a="1"/>
  <c r="B83" i="14" s="1"/>
  <c r="B102" i="14" a="1"/>
  <c r="B102" i="14" s="1"/>
  <c r="B72" i="14" a="1"/>
  <c r="B72" i="14" s="1"/>
  <c r="B89" i="14" a="1"/>
  <c r="B89" i="14" s="1"/>
  <c r="B109" i="14" a="1"/>
  <c r="B109" i="14" s="1"/>
  <c r="B130" i="14" a="1"/>
  <c r="B130" i="14" s="1"/>
  <c r="B155" i="14" a="1"/>
  <c r="B155" i="14" s="1"/>
  <c r="B18" i="14" a="1"/>
  <c r="B18" i="14" s="1"/>
  <c r="B19" i="14" a="1"/>
  <c r="B19" i="14" s="1"/>
  <c r="B171" i="14" a="1"/>
  <c r="B171" i="14" s="1"/>
  <c r="B170" i="14" a="1"/>
  <c r="B170" i="14" s="1"/>
  <c r="B180" i="14" a="1"/>
  <c r="B180" i="14" s="1"/>
  <c r="B167" i="14" a="1"/>
  <c r="B167" i="14" s="1"/>
  <c r="B141" i="14" a="1"/>
  <c r="B141" i="14" s="1"/>
  <c r="B140" i="14" a="1"/>
  <c r="B140" i="14" s="1"/>
  <c r="B100" i="14" a="1"/>
  <c r="B100" i="14" s="1"/>
  <c r="B101" i="14" a="1"/>
  <c r="B101" i="14" s="1"/>
  <c r="B122" i="14" a="1"/>
  <c r="B122" i="14" s="1"/>
  <c r="B88" i="14" a="1"/>
  <c r="B88" i="14" s="1"/>
  <c r="B107" i="14" a="1"/>
  <c r="B107" i="14" s="1"/>
  <c r="B127" i="14" a="1"/>
  <c r="B127" i="14" s="1"/>
  <c r="B151" i="14" a="1"/>
  <c r="B151" i="14" s="1"/>
  <c r="B187" i="14" a="1"/>
  <c r="B187" i="14" s="1"/>
  <c r="B29" i="14" a="1"/>
  <c r="B29" i="14" s="1"/>
  <c r="B30" i="14" a="1"/>
  <c r="B30" i="14" s="1"/>
  <c r="B159" i="14" a="1"/>
  <c r="B159" i="14" s="1"/>
  <c r="B158" i="14" a="1"/>
  <c r="B158" i="14" s="1"/>
  <c r="B168" i="14" a="1"/>
  <c r="B168" i="14" s="1"/>
  <c r="B202" i="14" a="1"/>
  <c r="B202" i="14" s="1"/>
  <c r="B129" i="14" a="1"/>
  <c r="B129" i="14" s="1"/>
  <c r="B128" i="14" a="1"/>
  <c r="B128" i="14" s="1"/>
  <c r="B118" i="14" a="1"/>
  <c r="B118" i="14" s="1"/>
  <c r="B119" i="14" a="1"/>
  <c r="B119" i="14" s="1"/>
  <c r="B143" i="14" a="1"/>
  <c r="B143" i="14" s="1"/>
  <c r="B106" i="14" a="1"/>
  <c r="B106" i="14" s="1"/>
  <c r="B126" i="14" a="1"/>
  <c r="B126" i="14" s="1"/>
  <c r="B150" i="14" a="1"/>
  <c r="B150" i="14" s="1"/>
  <c r="B186" i="14" a="1"/>
  <c r="B186" i="14" s="1"/>
  <c r="B17" i="14" a="1"/>
  <c r="B17" i="14" s="1"/>
  <c r="B41" i="14" a="1"/>
  <c r="B41" i="14" s="1"/>
  <c r="B42" i="14" a="1"/>
  <c r="B42" i="14" s="1"/>
  <c r="B147" i="14" a="1"/>
  <c r="B147" i="14" s="1"/>
  <c r="B205" i="14" a="1"/>
  <c r="B205" i="14" s="1"/>
  <c r="B156" i="14" a="1"/>
  <c r="B156" i="14" s="1"/>
  <c r="B190" i="14" a="1"/>
  <c r="B190" i="14" s="1"/>
  <c r="B117" i="14" a="1"/>
  <c r="B117" i="14" s="1"/>
  <c r="B116" i="14" a="1"/>
  <c r="B116" i="14" s="1"/>
  <c r="B138" i="14" a="1"/>
  <c r="B138" i="14" s="1"/>
  <c r="B139" i="14" a="1"/>
  <c r="B139" i="14" s="1"/>
  <c r="B125" i="14" a="1"/>
  <c r="B125" i="14" s="1"/>
  <c r="B149" i="14" a="1"/>
  <c r="B149" i="14" s="1"/>
  <c r="B185" i="14" a="1"/>
  <c r="B185" i="14" s="1"/>
  <c r="B16" i="14" a="1"/>
  <c r="B16" i="14" s="1"/>
  <c r="B40" i="14" a="1"/>
  <c r="B40" i="14" s="1"/>
  <c r="B53" i="14" a="1"/>
  <c r="B53" i="14" s="1"/>
  <c r="B54" i="14" a="1"/>
  <c r="B54" i="14" s="1"/>
  <c r="B135" i="14" a="1"/>
  <c r="B135" i="14" s="1"/>
  <c r="B193" i="14" a="1"/>
  <c r="B193" i="14" s="1"/>
  <c r="B144" i="14" a="1"/>
  <c r="B144" i="14" s="1"/>
  <c r="B178" i="14" a="1"/>
  <c r="B178" i="14" s="1"/>
  <c r="B105" i="14" a="1"/>
  <c r="B105" i="14" s="1"/>
  <c r="B104" i="14" a="1"/>
  <c r="B104" i="14" s="1"/>
  <c r="B163" i="14" a="1"/>
  <c r="B163" i="14" s="1"/>
  <c r="B172" i="14" a="1"/>
  <c r="B172" i="14" s="1"/>
  <c r="B148" i="14" a="1"/>
  <c r="B148" i="14" s="1"/>
  <c r="B184" i="14" a="1"/>
  <c r="B184" i="14" s="1"/>
  <c r="B15" i="14" a="1"/>
  <c r="B15" i="14" s="1"/>
  <c r="B28" i="14" a="1"/>
  <c r="B28" i="14" s="1"/>
  <c r="B52" i="14" a="1"/>
  <c r="B52" i="14" s="1"/>
  <c r="B65" i="14" a="1"/>
  <c r="B65" i="14" s="1"/>
  <c r="B66" i="14" a="1"/>
  <c r="B66" i="14" s="1"/>
  <c r="B92" i="14" a="1"/>
  <c r="B92" i="14" s="1"/>
  <c r="B80" i="14" a="1"/>
  <c r="B80" i="14" s="1"/>
  <c r="B8" i="14" a="1"/>
  <c r="B8" i="14" s="1"/>
  <c r="B85" i="14" a="1"/>
  <c r="B85" i="14" s="1"/>
  <c r="B123" i="14" a="1"/>
  <c r="B123" i="14" s="1"/>
  <c r="B199" i="14" a="1"/>
  <c r="B199" i="14" s="1"/>
  <c r="B166" i="14" a="1"/>
  <c r="B166" i="14" s="1"/>
  <c r="B111" i="14" a="1"/>
  <c r="B111" i="14" s="1"/>
  <c r="B9" i="14" a="1"/>
  <c r="B9" i="14" s="1"/>
  <c r="B181" i="14" a="1"/>
  <c r="B181" i="14" s="1"/>
  <c r="B68" i="14" a="1"/>
  <c r="B68" i="14" s="1"/>
  <c r="B169" i="14" a="1"/>
  <c r="B169" i="14" s="1"/>
  <c r="B10" i="14" a="1"/>
  <c r="B10" i="14" s="1"/>
  <c r="B175" i="14" a="1"/>
  <c r="B175" i="14" s="1"/>
  <c r="B132" i="14" a="1"/>
  <c r="B132" i="14" s="1"/>
  <c r="B22" i="14" a="1"/>
  <c r="B22" i="14" s="1"/>
  <c r="B14" i="14" a="1"/>
  <c r="B14" i="14" s="1"/>
  <c r="B120" i="14" a="1"/>
  <c r="B120" i="14" s="1"/>
  <c r="B57" i="14" a="1"/>
  <c r="B57" i="14" s="1"/>
  <c r="B27" i="14" a="1"/>
  <c r="B27" i="14" s="1"/>
  <c r="B39" i="14" a="1"/>
  <c r="B39" i="14" s="1"/>
  <c r="B154" i="14" a="1"/>
  <c r="B154" i="14" s="1"/>
  <c r="B173" i="14" a="1"/>
  <c r="B173" i="14" s="1"/>
  <c r="B64" i="14" a="1"/>
  <c r="B64" i="14" s="1"/>
  <c r="B93" i="14" a="1"/>
  <c r="B93" i="14" s="1"/>
  <c r="B79" i="14" a="1"/>
  <c r="B79" i="14" s="1"/>
  <c r="B81" i="14" a="1"/>
  <c r="B81" i="14" s="1"/>
  <c r="I2001" i="7"/>
  <c r="F747" i="10"/>
  <c r="F1031" i="10"/>
  <c r="I2285" i="7"/>
  <c r="I2046" i="7"/>
  <c r="F792" i="10"/>
  <c r="F764" i="10"/>
  <c r="I2018" i="7"/>
  <c r="F973" i="10"/>
  <c r="I2227" i="7"/>
  <c r="F788" i="10"/>
  <c r="I2042" i="7"/>
  <c r="F1049" i="10"/>
  <c r="I2303" i="7"/>
  <c r="F990" i="10"/>
  <c r="I2244" i="7"/>
  <c r="F984" i="10"/>
  <c r="I2238" i="7"/>
  <c r="F934" i="10"/>
  <c r="I2188" i="7"/>
  <c r="F924" i="10"/>
  <c r="I2178" i="7"/>
  <c r="F796" i="10"/>
  <c r="I2050" i="7"/>
  <c r="F865" i="10"/>
  <c r="I2119" i="7"/>
  <c r="F925" i="10"/>
  <c r="I2179" i="7"/>
  <c r="F720" i="10"/>
  <c r="I1974" i="7"/>
  <c r="I2242" i="7"/>
  <c r="F988" i="10"/>
  <c r="F949" i="10"/>
  <c r="I2203" i="7"/>
  <c r="F894" i="10"/>
  <c r="I2148" i="7"/>
  <c r="F762" i="10"/>
  <c r="I2016" i="7"/>
  <c r="F997" i="10"/>
  <c r="I2251" i="7"/>
  <c r="F963" i="10"/>
  <c r="I2217" i="7"/>
  <c r="F983" i="10"/>
  <c r="I2237" i="7"/>
  <c r="F863" i="10"/>
  <c r="I2117" i="7"/>
  <c r="I2128" i="7"/>
  <c r="F887" i="10"/>
  <c r="I2141" i="7"/>
  <c r="F1030" i="10"/>
  <c r="I2284" i="7"/>
  <c r="F994" i="10"/>
  <c r="I2248" i="7"/>
  <c r="X1975" i="7" a="1"/>
  <c r="X1975" i="7" s="1"/>
  <c r="I1977" i="7"/>
  <c r="AA1975" i="7" s="1" a="1"/>
  <c r="AA1975" i="7" s="1"/>
  <c r="F723" i="10"/>
  <c r="F956" i="10"/>
  <c r="I2210" i="7"/>
  <c r="I2197" i="7"/>
  <c r="F943" i="10"/>
  <c r="F970" i="10"/>
  <c r="I2224" i="7"/>
  <c r="F1029" i="10"/>
  <c r="I2283" i="7"/>
  <c r="F967" i="10"/>
  <c r="I2221" i="7"/>
  <c r="F1035" i="10"/>
  <c r="I2289" i="7"/>
  <c r="X2159" i="7" a="1"/>
  <c r="X2159" i="7" s="1"/>
  <c r="I2161" i="7"/>
  <c r="AA2159" i="7" s="1" a="1"/>
  <c r="AA2159" i="7" s="1"/>
  <c r="F907" i="10"/>
  <c r="F755" i="10"/>
  <c r="I2009" i="7"/>
  <c r="I2182" i="7"/>
  <c r="F726" i="10"/>
  <c r="X1978" i="7" a="1"/>
  <c r="X1978" i="7" s="1"/>
  <c r="I1980" i="7"/>
  <c r="AA1978" i="7" s="1" a="1"/>
  <c r="AA1978" i="7" s="1"/>
  <c r="F938" i="10"/>
  <c r="I2192" i="7"/>
  <c r="F728" i="10"/>
  <c r="X1980" i="7" a="1"/>
  <c r="X1980" i="7" s="1"/>
  <c r="I1982" i="7"/>
  <c r="AA1980" i="7" s="1" a="1"/>
  <c r="AA1980" i="7" s="1"/>
  <c r="I2073" i="7"/>
  <c r="F819" i="10"/>
  <c r="F960" i="10"/>
  <c r="I2214" i="7"/>
  <c r="F834" i="10"/>
  <c r="I2088" i="7"/>
  <c r="F1011" i="10"/>
  <c r="I2265" i="7"/>
  <c r="F809" i="10"/>
  <c r="I2063" i="7"/>
  <c r="F766" i="10"/>
  <c r="I2020" i="7"/>
  <c r="F825" i="10"/>
  <c r="I2079" i="7"/>
  <c r="F1052" i="10"/>
  <c r="I2306" i="7"/>
  <c r="F804" i="10"/>
  <c r="I2058" i="7"/>
  <c r="F763" i="10"/>
  <c r="I2017" i="7"/>
  <c r="F881" i="10"/>
  <c r="I2135" i="7"/>
  <c r="F744" i="10"/>
  <c r="I1998" i="7"/>
  <c r="F841" i="10"/>
  <c r="I2095" i="7"/>
  <c r="I2069" i="7"/>
  <c r="F815" i="10"/>
  <c r="F858" i="10"/>
  <c r="I2112" i="7"/>
  <c r="F779" i="10"/>
  <c r="I2033" i="7"/>
  <c r="F1018" i="10"/>
  <c r="I2272" i="7"/>
  <c r="F915" i="10"/>
  <c r="X2167" i="7" a="1"/>
  <c r="X2167" i="7" s="1"/>
  <c r="I2169" i="7"/>
  <c r="AA2167" i="7" s="1" a="1"/>
  <c r="AA2167" i="7" s="1"/>
  <c r="F750" i="10"/>
  <c r="I2004" i="7"/>
  <c r="F1072" i="10"/>
  <c r="I2326" i="7"/>
  <c r="F861" i="10"/>
  <c r="I2115" i="7"/>
  <c r="F850" i="10"/>
  <c r="I2104" i="7"/>
  <c r="F1021" i="10"/>
  <c r="I2275" i="7"/>
  <c r="F805" i="10"/>
  <c r="I2059" i="7"/>
  <c r="F814" i="10"/>
  <c r="I2068" i="7"/>
  <c r="X2157" i="7" a="1"/>
  <c r="X2157" i="7" s="1"/>
  <c r="F905" i="10"/>
  <c r="I2159" i="7"/>
  <c r="AA2157" i="7" s="1" a="1"/>
  <c r="AA2157" i="7" s="1"/>
  <c r="F774" i="10"/>
  <c r="I2028" i="7"/>
  <c r="F922" i="10"/>
  <c r="I2176" i="7"/>
  <c r="F1050" i="10"/>
  <c r="I2304" i="7"/>
  <c r="F998" i="10"/>
  <c r="I2252" i="7"/>
  <c r="F1044" i="10"/>
  <c r="I2298" i="7"/>
  <c r="F888" i="10"/>
  <c r="I2142" i="7"/>
  <c r="F945" i="10"/>
  <c r="I2199" i="7"/>
  <c r="F1041" i="10"/>
  <c r="I2295" i="7"/>
  <c r="F1077" i="10"/>
  <c r="I2331" i="7"/>
  <c r="F1076" i="10"/>
  <c r="I2330" i="7"/>
  <c r="F827" i="10"/>
  <c r="I2081" i="7"/>
  <c r="F821" i="10"/>
  <c r="I2075" i="7"/>
  <c r="F1058" i="10"/>
  <c r="I2312" i="7"/>
  <c r="I2314" i="7"/>
  <c r="F1060" i="10"/>
  <c r="F901" i="10"/>
  <c r="X2153" i="7" a="1"/>
  <c r="X2153" i="7" s="1"/>
  <c r="I2155" i="7"/>
  <c r="AA2153" i="7" s="1" a="1"/>
  <c r="AA2153" i="7" s="1"/>
  <c r="I2246" i="7"/>
  <c r="F992" i="10"/>
  <c r="I2191" i="7"/>
  <c r="I2291" i="7"/>
  <c r="F1037" i="10"/>
  <c r="K10" i="15"/>
  <c r="F1054" i="10"/>
  <c r="I2308" i="7"/>
  <c r="F986" i="10"/>
  <c r="I2240" i="7"/>
  <c r="F927" i="10"/>
  <c r="I2181" i="7"/>
  <c r="F1064" i="10"/>
  <c r="I2318" i="7"/>
  <c r="F833" i="10"/>
  <c r="I2087" i="7"/>
  <c r="F1074" i="10"/>
  <c r="I2328" i="7"/>
  <c r="I2173" i="7"/>
  <c r="F919" i="10"/>
  <c r="F993" i="10"/>
  <c r="I2247" i="7"/>
  <c r="F1070" i="10"/>
  <c r="I2324" i="7"/>
  <c r="F987" i="10"/>
  <c r="I2241" i="7"/>
  <c r="I2270" i="7"/>
  <c r="F848" i="10"/>
  <c r="I2102" i="7"/>
  <c r="I2266" i="7"/>
  <c r="F991" i="10"/>
  <c r="I2245" i="7"/>
  <c r="F1067" i="10"/>
  <c r="I2321" i="7"/>
  <c r="I2035" i="7"/>
  <c r="F781" i="10"/>
  <c r="F893" i="10"/>
  <c r="I2147" i="7"/>
  <c r="F729" i="10"/>
  <c r="X1981" i="7" a="1"/>
  <c r="X1981" i="7" s="1"/>
  <c r="I1983" i="7"/>
  <c r="AA1981" i="7" s="1" a="1"/>
  <c r="AA1981" i="7" s="1"/>
  <c r="I2152" i="7"/>
  <c r="F898" i="10"/>
  <c r="F897" i="10"/>
  <c r="I2151" i="7"/>
  <c r="F859" i="10"/>
  <c r="I2113" i="7"/>
  <c r="F846" i="10"/>
  <c r="I2100" i="7"/>
  <c r="I2130" i="7"/>
  <c r="F727" i="10"/>
  <c r="X1979" i="7" a="1"/>
  <c r="X1979" i="7" s="1"/>
  <c r="I1981" i="7"/>
  <c r="AA1979" i="7" s="1" a="1"/>
  <c r="AA1979" i="7" s="1"/>
  <c r="F879" i="10"/>
  <c r="I2133" i="7"/>
  <c r="F722" i="10"/>
  <c r="X1974" i="7" a="1"/>
  <c r="X1974" i="7" s="1"/>
  <c r="I1976" i="7"/>
  <c r="AA1974" i="7" s="1" a="1"/>
  <c r="AA1974" i="7" s="1"/>
  <c r="F931" i="10"/>
  <c r="I2185" i="7"/>
  <c r="F1020" i="10"/>
  <c r="I2274" i="7"/>
  <c r="F996" i="10"/>
  <c r="I2250" i="7"/>
  <c r="F999" i="10"/>
  <c r="I2253" i="7"/>
  <c r="I2234" i="7"/>
  <c r="F980" i="10"/>
  <c r="F765" i="10"/>
  <c r="I2019" i="7"/>
  <c r="F860" i="10"/>
  <c r="I2114" i="7"/>
  <c r="F731" i="10"/>
  <c r="X1983" i="7" a="1"/>
  <c r="X1983" i="7" s="1"/>
  <c r="I1985" i="7"/>
  <c r="AA1983" i="7" s="1" a="1"/>
  <c r="AA1983" i="7" s="1"/>
  <c r="F832" i="10"/>
  <c r="I2086" i="7"/>
  <c r="F1051" i="10"/>
  <c r="I2305" i="7"/>
  <c r="F867" i="10"/>
  <c r="I2121" i="7"/>
  <c r="F791" i="10"/>
  <c r="I2045" i="7"/>
  <c r="F929" i="10"/>
  <c r="I2183" i="7"/>
  <c r="I2120" i="7"/>
  <c r="I2144" i="7"/>
  <c r="F890" i="10"/>
  <c r="F740" i="10"/>
  <c r="I1994" i="7"/>
  <c r="I2003" i="7"/>
  <c r="F954" i="10"/>
  <c r="I2208" i="7"/>
  <c r="F1027" i="10"/>
  <c r="I2281" i="7"/>
  <c r="I1989" i="7"/>
  <c r="AA1987" i="7" s="1" a="1"/>
  <c r="AA1987" i="7" s="1"/>
  <c r="F735" i="10"/>
  <c r="X1987" i="7" a="1"/>
  <c r="X1987" i="7" s="1"/>
  <c r="F871" i="10"/>
  <c r="I2125" i="7"/>
  <c r="F873" i="10"/>
  <c r="I2127" i="7"/>
  <c r="F1038" i="10"/>
  <c r="I2292" i="7"/>
  <c r="F1025" i="10"/>
  <c r="I2279" i="7"/>
  <c r="F746" i="10"/>
  <c r="I2000" i="7"/>
  <c r="I2258" i="7"/>
  <c r="F1004" i="10"/>
  <c r="F754" i="10"/>
  <c r="I2008" i="7"/>
  <c r="I2071" i="7"/>
  <c r="F817" i="10"/>
  <c r="I2206" i="7"/>
  <c r="F952" i="10"/>
  <c r="F743" i="10"/>
  <c r="I1997" i="7"/>
  <c r="F801" i="10"/>
  <c r="I2055" i="7"/>
  <c r="F1024" i="10"/>
  <c r="I2278" i="7"/>
  <c r="F798" i="10"/>
  <c r="I2052" i="7"/>
  <c r="I2257" i="7"/>
  <c r="F1003" i="10"/>
  <c r="F733" i="10"/>
  <c r="X1985" i="7" a="1"/>
  <c r="X1985" i="7" s="1"/>
  <c r="I1987" i="7"/>
  <c r="AA1985" i="7" s="1" a="1"/>
  <c r="AA1985" i="7" s="1"/>
  <c r="F806" i="10"/>
  <c r="I2060" i="7"/>
  <c r="F958" i="10"/>
  <c r="I2212" i="7"/>
  <c r="F989" i="10"/>
  <c r="I2243" i="7"/>
  <c r="F847" i="10"/>
  <c r="I2101" i="7"/>
  <c r="F823" i="10"/>
  <c r="I2077" i="7"/>
  <c r="I2047" i="7"/>
  <c r="F793" i="10"/>
  <c r="F908" i="10"/>
  <c r="X2160" i="7" a="1"/>
  <c r="X2160" i="7" s="1"/>
  <c r="I2162" i="7"/>
  <c r="AA2160" i="7" s="1" a="1"/>
  <c r="AA2160" i="7" s="1"/>
  <c r="F1040" i="10"/>
  <c r="I2294" i="7"/>
  <c r="F800" i="10"/>
  <c r="I2054" i="7"/>
  <c r="F974" i="10"/>
  <c r="I2228" i="7"/>
  <c r="F855" i="10"/>
  <c r="I2109" i="7"/>
  <c r="X1977" i="7" a="1"/>
  <c r="X1977" i="7" s="1"/>
  <c r="F725" i="10"/>
  <c r="I1979" i="7"/>
  <c r="AA1977" i="7" s="1" a="1"/>
  <c r="AA1977" i="7" s="1"/>
  <c r="I2317" i="7"/>
  <c r="F1063" i="10"/>
  <c r="F752" i="10"/>
  <c r="I2006" i="7"/>
  <c r="F773" i="10"/>
  <c r="I2027" i="7"/>
  <c r="I2239" i="7"/>
  <c r="I2124" i="7"/>
  <c r="I2209" i="7"/>
  <c r="I2160" i="7"/>
  <c r="AA2158" i="7" s="1" a="1"/>
  <c r="AA2158" i="7" s="1"/>
  <c r="F912" i="10"/>
  <c r="I2166" i="7"/>
  <c r="AA2164" i="7" s="1" a="1"/>
  <c r="AA2164" i="7" s="1"/>
  <c r="X2164" i="7" a="1"/>
  <c r="X2164" i="7" s="1"/>
  <c r="F1033" i="10"/>
  <c r="I2287" i="7"/>
  <c r="F812" i="10"/>
  <c r="I2066" i="7"/>
  <c r="F1048" i="10"/>
  <c r="I2302" i="7"/>
  <c r="F1046" i="10"/>
  <c r="I2300" i="7"/>
  <c r="F776" i="10"/>
  <c r="I2030" i="7"/>
  <c r="F1069" i="10"/>
  <c r="I2323" i="7"/>
  <c r="F976" i="10"/>
  <c r="I2230" i="7"/>
  <c r="F775" i="10"/>
  <c r="I2029" i="7"/>
  <c r="F1053" i="10"/>
  <c r="I2307" i="7"/>
  <c r="F768" i="10"/>
  <c r="I2022" i="7"/>
  <c r="F810" i="10"/>
  <c r="I2064" i="7"/>
  <c r="F1026" i="10"/>
  <c r="I2280" i="7"/>
  <c r="F736" i="10"/>
  <c r="X1988" i="7" a="1"/>
  <c r="X1988" i="7" s="1"/>
  <c r="I1990" i="7"/>
  <c r="AA1988" i="7" s="1" a="1"/>
  <c r="AA1988" i="7" s="1"/>
  <c r="F1059" i="10"/>
  <c r="I2313" i="7"/>
  <c r="I2140" i="7"/>
  <c r="F886" i="10"/>
  <c r="F849" i="10"/>
  <c r="I2103" i="7"/>
  <c r="F816" i="10"/>
  <c r="I2070" i="7"/>
  <c r="F1017" i="10"/>
  <c r="I2271" i="7"/>
  <c r="F828" i="10"/>
  <c r="I2082" i="7"/>
  <c r="F968" i="10"/>
  <c r="I2222" i="7"/>
  <c r="F939" i="10"/>
  <c r="I2193" i="7"/>
  <c r="F1034" i="10"/>
  <c r="I2288" i="7"/>
  <c r="F877" i="10"/>
  <c r="I2131" i="7"/>
  <c r="F933" i="10"/>
  <c r="I2187" i="7"/>
  <c r="I2065" i="7"/>
  <c r="F820" i="10"/>
  <c r="I2074" i="7"/>
  <c r="I1975" i="7"/>
  <c r="F842" i="10"/>
  <c r="I2096" i="7"/>
  <c r="I1988" i="7"/>
  <c r="AA1986" i="7" s="1" a="1"/>
  <c r="AA1986" i="7" s="1"/>
  <c r="F734" i="10"/>
  <c r="X1986" i="7" a="1"/>
  <c r="X1986" i="7" s="1"/>
  <c r="F910" i="10"/>
  <c r="X2162" i="7" a="1"/>
  <c r="X2162" i="7" s="1"/>
  <c r="I2164" i="7"/>
  <c r="AA2162" i="7" s="1" a="1"/>
  <c r="AA2162" i="7" s="1"/>
  <c r="F961" i="10"/>
  <c r="I2215" i="7"/>
  <c r="F982" i="10"/>
  <c r="I2236" i="7"/>
  <c r="F926" i="10"/>
  <c r="I2180" i="7"/>
  <c r="I2106" i="7"/>
  <c r="F852" i="10"/>
  <c r="I2061" i="7"/>
  <c r="I2277" i="7"/>
  <c r="I2078" i="7"/>
  <c r="F1068" i="10"/>
  <c r="I2322" i="7"/>
  <c r="F1002" i="10"/>
  <c r="I2256" i="7"/>
  <c r="F972" i="10"/>
  <c r="I2226" i="7"/>
  <c r="F892" i="10"/>
  <c r="I2146" i="7"/>
  <c r="F995" i="10"/>
  <c r="I2249" i="7"/>
  <c r="F962" i="10"/>
  <c r="I2216" i="7"/>
  <c r="F838" i="10"/>
  <c r="I2092" i="7"/>
  <c r="F799" i="10"/>
  <c r="I2053" i="7"/>
  <c r="F789" i="10"/>
  <c r="I2043" i="7"/>
  <c r="F896" i="10"/>
  <c r="I2150" i="7"/>
  <c r="F883" i="10"/>
  <c r="I2137" i="7"/>
  <c r="F1056" i="10"/>
  <c r="I2310" i="7"/>
  <c r="F950" i="10"/>
  <c r="I2204" i="7"/>
  <c r="I2062" i="7"/>
  <c r="X2161" i="7" a="1"/>
  <c r="X2161" i="7" s="1"/>
  <c r="F909" i="10"/>
  <c r="I2163" i="7"/>
  <c r="AA2161" i="7" s="1" a="1"/>
  <c r="AA2161" i="7" s="1"/>
  <c r="F936" i="10"/>
  <c r="I2190" i="7"/>
  <c r="F944" i="10"/>
  <c r="I2198" i="7"/>
  <c r="F813" i="10"/>
  <c r="I2067" i="7"/>
  <c r="F803" i="10"/>
  <c r="I2057" i="7"/>
  <c r="F787" i="10"/>
  <c r="I2041" i="7"/>
  <c r="I2031" i="7"/>
  <c r="F853" i="10"/>
  <c r="I2107" i="7"/>
  <c r="F797" i="10"/>
  <c r="I2051" i="7"/>
  <c r="F1015" i="10"/>
  <c r="I2269" i="7"/>
  <c r="I2143" i="7"/>
  <c r="F889" i="10"/>
  <c r="I2072" i="7"/>
  <c r="F818" i="10"/>
  <c r="F913" i="10"/>
  <c r="I2167" i="7"/>
  <c r="AA2165" i="7" s="1" a="1"/>
  <c r="AA2165" i="7" s="1"/>
  <c r="X2165" i="7" a="1"/>
  <c r="X2165" i="7" s="1"/>
  <c r="F829" i="10"/>
  <c r="I2083" i="7"/>
  <c r="F778" i="10"/>
  <c r="I2032" i="7"/>
  <c r="F767" i="10"/>
  <c r="I2021" i="7"/>
  <c r="F1071" i="10"/>
  <c r="I2325" i="7"/>
  <c r="F857" i="10"/>
  <c r="I2111" i="7"/>
  <c r="F790" i="10"/>
  <c r="I2044" i="7"/>
  <c r="F978" i="10"/>
  <c r="I2232" i="7"/>
  <c r="F1007" i="10"/>
  <c r="I2261" i="7"/>
  <c r="X1984" i="7" a="1"/>
  <c r="X1984" i="7" s="1"/>
  <c r="F732" i="10"/>
  <c r="I1986" i="7"/>
  <c r="AA1984" i="7" s="1" a="1"/>
  <c r="AA1984" i="7" s="1"/>
  <c r="F1014" i="10"/>
  <c r="I2268" i="7"/>
  <c r="F979" i="10"/>
  <c r="I2233" i="7"/>
  <c r="F1010" i="10"/>
  <c r="I2264" i="7"/>
  <c r="F940" i="10"/>
  <c r="I2194" i="7"/>
  <c r="F964" i="10"/>
  <c r="I2218" i="7"/>
  <c r="F953" i="10"/>
  <c r="I2207" i="7"/>
  <c r="F903" i="10"/>
  <c r="X2155" i="7" a="1"/>
  <c r="X2155" i="7" s="1"/>
  <c r="I2157" i="7"/>
  <c r="AA2155" i="7" s="1" a="1"/>
  <c r="AA2155" i="7" s="1"/>
  <c r="I1978" i="7"/>
  <c r="AA1976" i="7" s="1" a="1"/>
  <c r="AA1976" i="7" s="1"/>
  <c r="F771" i="10"/>
  <c r="I2025" i="7"/>
  <c r="I2110" i="7"/>
  <c r="F1001" i="10"/>
  <c r="I2255" i="7"/>
  <c r="F795" i="10"/>
  <c r="I2049" i="7"/>
  <c r="F1006" i="10"/>
  <c r="I2260" i="7"/>
  <c r="F1045" i="10"/>
  <c r="I2299" i="7"/>
  <c r="F748" i="10"/>
  <c r="I2002" i="7"/>
  <c r="F902" i="10"/>
  <c r="X2154" i="7" a="1"/>
  <c r="X2154" i="7" s="1"/>
  <c r="I2156" i="7"/>
  <c r="AA2154" i="7" s="1" a="1"/>
  <c r="AA2154" i="7" s="1"/>
  <c r="F969" i="10"/>
  <c r="I2223" i="7"/>
  <c r="F854" i="10"/>
  <c r="I2108" i="7"/>
  <c r="F772" i="10"/>
  <c r="I2026" i="7"/>
  <c r="F966" i="10"/>
  <c r="I2220" i="7"/>
  <c r="F1032" i="10"/>
  <c r="I2286" i="7"/>
  <c r="F947" i="10"/>
  <c r="I2201" i="7"/>
  <c r="F885" i="10"/>
  <c r="I2139" i="7"/>
  <c r="F1061" i="10"/>
  <c r="I2315" i="7"/>
  <c r="I2254" i="7"/>
  <c r="F1000" i="10"/>
  <c r="F837" i="10"/>
  <c r="I2091" i="7"/>
  <c r="F957" i="10"/>
  <c r="I2211" i="7"/>
  <c r="F946" i="10"/>
  <c r="I2200" i="7"/>
  <c r="F1028" i="10"/>
  <c r="I2282" i="7"/>
  <c r="F758" i="10"/>
  <c r="I2012" i="7"/>
  <c r="F911" i="10"/>
  <c r="X2163" i="7" a="1"/>
  <c r="X2163" i="7" s="1"/>
  <c r="I2165" i="7"/>
  <c r="AA2163" i="7" s="1" a="1"/>
  <c r="AA2163" i="7" s="1"/>
  <c r="F835" i="10"/>
  <c r="I2089" i="7"/>
  <c r="F1022" i="10"/>
  <c r="I2276" i="7"/>
  <c r="F918" i="10"/>
  <c r="X2170" i="7" a="1"/>
  <c r="X2170" i="7" s="1"/>
  <c r="I2172" i="7"/>
  <c r="AA2170" i="7" s="1" a="1"/>
  <c r="AA2170" i="7" s="1"/>
  <c r="F741" i="10"/>
  <c r="I1995" i="7"/>
  <c r="F840" i="10"/>
  <c r="I2094" i="7"/>
  <c r="F845" i="10"/>
  <c r="I2099" i="7"/>
  <c r="I2186" i="7"/>
  <c r="F932" i="10"/>
  <c r="F1043" i="10"/>
  <c r="I2297" i="7"/>
  <c r="F1075" i="10"/>
  <c r="I2329" i="7"/>
  <c r="F930" i="10"/>
  <c r="I2184" i="7"/>
  <c r="F822" i="10"/>
  <c r="I2076" i="7"/>
  <c r="F784" i="10"/>
  <c r="I2038" i="7"/>
  <c r="I1984" i="7"/>
  <c r="AA1982" i="7" s="1" a="1"/>
  <c r="AA1982" i="7" s="1"/>
  <c r="F878" i="10"/>
  <c r="I2132" i="7"/>
  <c r="F872" i="10"/>
  <c r="I2126" i="7"/>
  <c r="F868" i="10"/>
  <c r="I2122" i="7"/>
  <c r="F1055" i="10"/>
  <c r="I2309" i="7"/>
  <c r="I2293" i="7"/>
  <c r="F1039" i="10"/>
  <c r="F977" i="10"/>
  <c r="I2231" i="7"/>
  <c r="I1996" i="7"/>
  <c r="I2316" i="7"/>
  <c r="I2219" i="7"/>
  <c r="F965" i="10"/>
  <c r="F959" i="10"/>
  <c r="I2213" i="7"/>
  <c r="F836" i="10"/>
  <c r="I2090" i="7"/>
  <c r="F760" i="10"/>
  <c r="I2014" i="7"/>
  <c r="I2080" i="7"/>
  <c r="F1073" i="10"/>
  <c r="I2327" i="7"/>
  <c r="F880" i="10"/>
  <c r="I2134" i="7"/>
  <c r="I2123" i="7"/>
  <c r="I1992" i="7"/>
  <c r="AA1990" i="7" s="1" a="1"/>
  <c r="AA1990" i="7" s="1"/>
  <c r="F738" i="10"/>
  <c r="X1990" i="7" a="1"/>
  <c r="X1990" i="7" s="1"/>
  <c r="F895" i="10"/>
  <c r="I2149" i="7"/>
  <c r="F899" i="10"/>
  <c r="I2153" i="7"/>
  <c r="F770" i="10"/>
  <c r="I2024" i="7"/>
  <c r="F785" i="10"/>
  <c r="I2039" i="7"/>
  <c r="F739" i="10"/>
  <c r="X1991" i="7" a="1"/>
  <c r="X1991" i="7" s="1"/>
  <c r="I1993" i="7"/>
  <c r="AA1991" i="7" s="1" a="1"/>
  <c r="AA1991" i="7" s="1"/>
  <c r="I2174" i="7"/>
  <c r="F920" i="10"/>
  <c r="F761" i="10"/>
  <c r="I2015" i="7"/>
  <c r="F1066" i="10"/>
  <c r="I2320" i="7"/>
  <c r="F923" i="10"/>
  <c r="I2177" i="7"/>
  <c r="F753" i="10"/>
  <c r="I2007" i="7"/>
  <c r="F864" i="10"/>
  <c r="I2118" i="7"/>
  <c r="F884" i="10"/>
  <c r="I2138" i="7"/>
  <c r="F862" i="10"/>
  <c r="I2116" i="7"/>
  <c r="F751" i="10"/>
  <c r="I2005" i="7"/>
  <c r="F935" i="10"/>
  <c r="I2189" i="7"/>
  <c r="I2085" i="7"/>
  <c r="F831" i="10"/>
  <c r="F839" i="10"/>
  <c r="I2093" i="7"/>
  <c r="I2048" i="7"/>
  <c r="F794" i="10"/>
  <c r="F786" i="10"/>
  <c r="I2040" i="7"/>
  <c r="F783" i="10"/>
  <c r="I2037" i="7"/>
  <c r="F971" i="10"/>
  <c r="I2225" i="7"/>
  <c r="F780" i="10"/>
  <c r="I2034" i="7"/>
  <c r="I2013" i="7"/>
  <c r="F759" i="10"/>
  <c r="F802" i="10"/>
  <c r="I2056" i="7"/>
  <c r="F975" i="10"/>
  <c r="I2229" i="7"/>
  <c r="I2171" i="7"/>
  <c r="AA2169" i="7" s="1" a="1"/>
  <c r="AA2169" i="7" s="1"/>
  <c r="F917" i="10"/>
  <c r="X2169" i="7" a="1"/>
  <c r="X2169" i="7" s="1"/>
  <c r="F1019" i="10"/>
  <c r="I2273" i="7"/>
  <c r="I2011" i="7"/>
  <c r="F981" i="10"/>
  <c r="I2235" i="7"/>
  <c r="I2097" i="7"/>
  <c r="F843" i="10"/>
  <c r="F942" i="10"/>
  <c r="I2196" i="7"/>
  <c r="F1042" i="10"/>
  <c r="I2296" i="7"/>
  <c r="F904" i="10"/>
  <c r="I2158" i="7"/>
  <c r="AA2156" i="7" s="1" a="1"/>
  <c r="AA2156" i="7" s="1"/>
  <c r="X2156" i="7" a="1"/>
  <c r="X2156" i="7" s="1"/>
  <c r="I2105" i="7"/>
  <c r="F851" i="10"/>
  <c r="I2168" i="7"/>
  <c r="AA2166" i="7" s="1" a="1"/>
  <c r="AA2166" i="7" s="1"/>
  <c r="I2290" i="7"/>
  <c r="K9" i="15"/>
  <c r="K7" i="15"/>
  <c r="D7" i="15" a="1"/>
  <c r="D7" i="15" s="1"/>
  <c r="F6" i="15" a="1"/>
  <c r="F6" i="15" s="1"/>
  <c r="E6" i="15" a="1"/>
  <c r="E6" i="15" s="1"/>
  <c r="D6" i="15" a="1"/>
  <c r="D6" i="15" s="1"/>
  <c r="F7" i="15" a="1"/>
  <c r="F7" i="15" s="1"/>
  <c r="E7" i="15" a="1"/>
  <c r="E7" i="15" s="1"/>
  <c r="K8" i="15"/>
  <c r="K6" i="15"/>
  <c r="I1972" i="7"/>
  <c r="I1968" i="7"/>
  <c r="K47" i="5"/>
  <c r="K57" i="5"/>
  <c r="I1833" i="7"/>
  <c r="G66" i="8"/>
  <c r="I1930" i="7"/>
  <c r="I1848" i="7"/>
  <c r="I1834" i="7"/>
  <c r="I1914" i="7"/>
  <c r="I1857" i="7"/>
  <c r="I1970" i="7"/>
  <c r="I1941" i="7"/>
  <c r="I1837" i="7"/>
  <c r="I1951" i="7"/>
  <c r="I1868" i="7"/>
  <c r="I1847" i="7"/>
  <c r="I1949" i="7"/>
  <c r="I1880" i="7"/>
  <c r="I1807" i="7"/>
  <c r="AA1804" i="7" s="1" a="1"/>
  <c r="AA1804" i="7" s="1"/>
  <c r="I1932" i="7"/>
  <c r="I1892" i="7"/>
  <c r="I1928" i="7"/>
  <c r="I1818" i="7"/>
  <c r="I1889" i="7"/>
  <c r="I1805" i="7"/>
  <c r="AA1802" i="7" s="1" a="1"/>
  <c r="AA1802" i="7" s="1"/>
  <c r="I1827" i="7"/>
  <c r="I1903" i="7"/>
  <c r="I1867" i="7"/>
  <c r="I1933" i="7"/>
  <c r="I1875" i="7"/>
  <c r="I1967" i="7"/>
  <c r="I1820" i="7"/>
  <c r="I1879" i="7"/>
  <c r="I1939" i="7"/>
  <c r="I1855" i="7"/>
  <c r="X1798" i="7" a="1"/>
  <c r="X1798" i="7" s="1"/>
  <c r="I1801" i="7"/>
  <c r="AA1798" i="7" s="1" a="1"/>
  <c r="AA1798" i="7" s="1"/>
  <c r="I1872" i="7"/>
  <c r="I1893" i="7"/>
  <c r="I1853" i="7"/>
  <c r="X1797" i="7" a="1"/>
  <c r="X1797" i="7" s="1"/>
  <c r="I1800" i="7"/>
  <c r="AA1797" i="7" s="1" a="1"/>
  <c r="AA1797" i="7" s="1"/>
  <c r="I1907" i="7"/>
  <c r="I1846" i="7"/>
  <c r="I1894" i="7"/>
  <c r="I1964" i="7"/>
  <c r="I1829" i="7"/>
  <c r="I1845" i="7"/>
  <c r="I1897" i="7"/>
  <c r="I1956" i="7"/>
  <c r="I1946" i="7"/>
  <c r="I1822" i="7"/>
  <c r="I1843" i="7"/>
  <c r="I1963" i="7"/>
  <c r="I1874" i="7"/>
  <c r="I1965" i="7"/>
  <c r="I1952" i="7"/>
  <c r="I1895" i="7"/>
  <c r="I1831" i="7"/>
  <c r="I1953" i="7"/>
  <c r="I1806" i="7"/>
  <c r="AA1803" i="7" s="1" a="1"/>
  <c r="AA1803" i="7" s="1"/>
  <c r="I1936" i="7"/>
  <c r="I1918" i="7"/>
  <c r="I1823" i="7"/>
  <c r="I1911" i="7"/>
  <c r="I1825" i="7"/>
  <c r="I1873" i="7"/>
  <c r="I1898" i="7"/>
  <c r="I1885" i="7"/>
  <c r="I1916" i="7"/>
  <c r="I1841" i="7"/>
  <c r="I1890" i="7"/>
  <c r="I1950" i="7"/>
  <c r="I1948" i="7"/>
  <c r="I1826" i="7"/>
  <c r="I1813" i="7"/>
  <c r="AA1810" i="7" s="1" a="1"/>
  <c r="AA1810" i="7" s="1"/>
  <c r="I1797" i="7"/>
  <c r="AA1794" i="7" s="1" a="1"/>
  <c r="AA1794" i="7" s="1"/>
  <c r="X1794" i="7" a="1"/>
  <c r="X1794" i="7" s="1"/>
  <c r="I1909" i="7"/>
  <c r="I1836" i="7"/>
  <c r="I1840" i="7"/>
  <c r="I1864" i="7"/>
  <c r="I1794" i="7"/>
  <c r="I1856" i="7"/>
  <c r="I1904" i="7"/>
  <c r="I1934" i="7"/>
  <c r="I1839" i="7"/>
  <c r="I1886" i="7"/>
  <c r="I1908" i="7"/>
  <c r="I1971" i="7"/>
  <c r="I1958" i="7"/>
  <c r="I1923" i="7"/>
  <c r="I1878" i="7"/>
  <c r="I1865" i="7"/>
  <c r="I1899" i="7"/>
  <c r="I1891" i="7"/>
  <c r="I1905" i="7"/>
  <c r="I1842" i="7"/>
  <c r="I1804" i="7"/>
  <c r="AA1801" i="7" s="1" a="1"/>
  <c r="AA1801" i="7" s="1"/>
  <c r="I1816" i="7"/>
  <c r="I1817" i="7"/>
  <c r="I1883" i="7"/>
  <c r="I1866" i="7"/>
  <c r="I1961" i="7"/>
  <c r="I1962" i="7"/>
  <c r="I1859" i="7"/>
  <c r="I1919" i="7"/>
  <c r="I1896" i="7"/>
  <c r="I1957" i="7"/>
  <c r="I1851" i="7"/>
  <c r="I1900" i="7"/>
  <c r="I1960" i="7"/>
  <c r="I1912" i="7"/>
  <c r="I1812" i="7"/>
  <c r="AA1809" i="7" s="1" a="1"/>
  <c r="AA1809" i="7" s="1"/>
  <c r="I1819" i="7"/>
  <c r="I1850" i="7"/>
  <c r="I1966" i="7"/>
  <c r="I1924" i="7"/>
  <c r="I1858" i="7"/>
  <c r="I1838" i="7"/>
  <c r="X1795" i="7" a="1"/>
  <c r="X1795" i="7" s="1"/>
  <c r="I1798" i="7"/>
  <c r="AA1795" i="7" s="1" a="1"/>
  <c r="AA1795" i="7" s="1"/>
  <c r="I1902" i="7"/>
  <c r="I1877" i="7"/>
  <c r="I1925" i="7"/>
  <c r="I1955" i="7"/>
  <c r="I1849" i="7"/>
  <c r="I1969" i="7"/>
  <c r="I1931" i="7"/>
  <c r="X1799" i="7" a="1"/>
  <c r="X1799" i="7" s="1"/>
  <c r="I1802" i="7"/>
  <c r="AA1799" i="7" s="1" a="1"/>
  <c r="AA1799" i="7" s="1"/>
  <c r="I1901" i="7"/>
  <c r="I1815" i="7"/>
  <c r="I1863" i="7"/>
  <c r="I1828" i="7"/>
  <c r="I1944" i="7"/>
  <c r="I1942" i="7"/>
  <c r="I1920" i="7"/>
  <c r="I1922" i="7"/>
  <c r="I1915" i="7"/>
  <c r="I1852" i="7"/>
  <c r="I1927" i="7"/>
  <c r="I1881" i="7"/>
  <c r="I1870" i="7"/>
  <c r="I1803" i="7"/>
  <c r="AA1800" i="7" s="1" a="1"/>
  <c r="AA1800" i="7" s="1"/>
  <c r="I1937" i="7"/>
  <c r="I1830" i="7"/>
  <c r="I1959" i="7"/>
  <c r="I1854" i="7"/>
  <c r="I1814" i="7"/>
  <c r="AA1811" i="7" s="1" a="1"/>
  <c r="AA1811" i="7" s="1"/>
  <c r="I1884" i="7"/>
  <c r="I1810" i="7"/>
  <c r="AA1807" i="7" s="1" a="1"/>
  <c r="AA1807" i="7" s="1"/>
  <c r="I1869" i="7"/>
  <c r="I1929" i="7"/>
  <c r="I1947" i="7"/>
  <c r="I1876" i="7"/>
  <c r="I1861" i="7"/>
  <c r="I1910" i="7"/>
  <c r="I1809" i="7"/>
  <c r="AA1806" i="7" s="1" a="1"/>
  <c r="AA1806" i="7" s="1"/>
  <c r="I1835" i="7"/>
  <c r="I1913" i="7"/>
  <c r="I1844" i="7"/>
  <c r="I1921" i="7"/>
  <c r="I1938" i="7"/>
  <c r="I1954" i="7"/>
  <c r="I1808" i="7"/>
  <c r="AA1805" i="7" s="1" a="1"/>
  <c r="AA1805" i="7" s="1"/>
  <c r="I1943" i="7"/>
  <c r="I1887" i="7"/>
  <c r="I1935" i="7"/>
  <c r="I1945" i="7"/>
  <c r="I1860" i="7"/>
  <c r="I1882" i="7"/>
  <c r="I1795" i="7"/>
  <c r="I1832" i="7"/>
  <c r="I1888" i="7"/>
  <c r="I1917" i="7"/>
  <c r="I1811" i="7"/>
  <c r="AA1808" i="7" s="1" a="1"/>
  <c r="AA1808" i="7" s="1"/>
  <c r="I1821" i="7"/>
  <c r="I1871" i="7"/>
  <c r="I1940" i="7"/>
  <c r="I1796" i="7"/>
  <c r="I1926" i="7"/>
  <c r="I1862" i="7"/>
  <c r="X1796" i="7" a="1"/>
  <c r="X1796" i="7" s="1"/>
  <c r="I1799" i="7"/>
  <c r="AA1796" i="7" s="1" a="1"/>
  <c r="AA1796" i="7" s="1"/>
  <c r="I1906" i="7"/>
  <c r="I1824" i="7"/>
  <c r="D66" i="8"/>
  <c r="K52" i="5"/>
  <c r="K8" i="5"/>
  <c r="K27" i="5"/>
  <c r="K62" i="5"/>
  <c r="C8" i="15"/>
  <c r="K37" i="5"/>
  <c r="C9" i="15"/>
  <c r="N56" i="7"/>
  <c r="F66" i="8"/>
  <c r="L66" i="8"/>
  <c r="J66" i="8"/>
  <c r="K66" i="8"/>
  <c r="H66" i="8"/>
  <c r="I66" i="8"/>
  <c r="C25" i="9"/>
  <c r="E25" i="9" s="1"/>
  <c r="GE37" i="5"/>
  <c r="FS37" i="5"/>
  <c r="FG37" i="5"/>
  <c r="EU37" i="5"/>
  <c r="EI37" i="5"/>
  <c r="DW37" i="5"/>
  <c r="DK37" i="5"/>
  <c r="CY37" i="5"/>
  <c r="CM37" i="5"/>
  <c r="CA37" i="5"/>
  <c r="BO37" i="5"/>
  <c r="GD37" i="5"/>
  <c r="FR37" i="5"/>
  <c r="FF37" i="5"/>
  <c r="ET37" i="5"/>
  <c r="EH37" i="5"/>
  <c r="DV37" i="5"/>
  <c r="DJ37" i="5"/>
  <c r="CX37" i="5"/>
  <c r="CL37" i="5"/>
  <c r="BZ37" i="5"/>
  <c r="BN37" i="5"/>
  <c r="FY37" i="5"/>
  <c r="FK37" i="5"/>
  <c r="EW37" i="5"/>
  <c r="EG37" i="5"/>
  <c r="DS37" i="5"/>
  <c r="DE37" i="5"/>
  <c r="CQ37" i="5"/>
  <c r="CC37" i="5"/>
  <c r="BM37" i="5"/>
  <c r="BA37" i="5"/>
  <c r="AO37" i="5"/>
  <c r="AC37" i="5"/>
  <c r="Q37" i="5"/>
  <c r="GC37" i="5"/>
  <c r="FN37" i="5"/>
  <c r="EY37" i="5"/>
  <c r="EJ37" i="5"/>
  <c r="DR37" i="5"/>
  <c r="DC37" i="5"/>
  <c r="CN37" i="5"/>
  <c r="BW37" i="5"/>
  <c r="BH37" i="5"/>
  <c r="AU37" i="5"/>
  <c r="AH37" i="5"/>
  <c r="U37" i="5"/>
  <c r="FM37" i="5"/>
  <c r="EX37" i="5"/>
  <c r="EF37" i="5"/>
  <c r="DB37" i="5"/>
  <c r="CK37" i="5"/>
  <c r="BV37" i="5"/>
  <c r="BG37" i="5"/>
  <c r="AT37" i="5"/>
  <c r="AG37" i="5"/>
  <c r="T37" i="5"/>
  <c r="GB37" i="5"/>
  <c r="DQ37" i="5"/>
  <c r="FZ37" i="5"/>
  <c r="FJ37" i="5"/>
  <c r="ES37" i="5"/>
  <c r="ED37" i="5"/>
  <c r="DO37" i="5"/>
  <c r="CZ37" i="5"/>
  <c r="CI37" i="5"/>
  <c r="BT37" i="5"/>
  <c r="BE37" i="5"/>
  <c r="AR37" i="5"/>
  <c r="AE37" i="5"/>
  <c r="R37" i="5"/>
  <c r="FV37" i="5"/>
  <c r="FE37" i="5"/>
  <c r="EP37" i="5"/>
  <c r="EA37" i="5"/>
  <c r="DL37" i="5"/>
  <c r="FT37" i="5"/>
  <c r="FC37" i="5"/>
  <c r="EN37" i="5"/>
  <c r="DY37" i="5"/>
  <c r="DH37" i="5"/>
  <c r="CS37" i="5"/>
  <c r="CD37" i="5"/>
  <c r="BL37" i="5"/>
  <c r="AY37" i="5"/>
  <c r="AL37" i="5"/>
  <c r="Y37" i="5"/>
  <c r="L37" i="5"/>
  <c r="GG37" i="5"/>
  <c r="FD37" i="5"/>
  <c r="EC37" i="5"/>
  <c r="DD37" i="5"/>
  <c r="CF37" i="5"/>
  <c r="BI37" i="5"/>
  <c r="AN37" i="5"/>
  <c r="V37" i="5"/>
  <c r="GF37" i="5"/>
  <c r="FB37" i="5"/>
  <c r="EB37" i="5"/>
  <c r="DA37" i="5"/>
  <c r="CE37" i="5"/>
  <c r="BF37" i="5"/>
  <c r="AM37" i="5"/>
  <c r="S37" i="5"/>
  <c r="GA37" i="5"/>
  <c r="FA37" i="5"/>
  <c r="DZ37" i="5"/>
  <c r="CW37" i="5"/>
  <c r="CB37" i="5"/>
  <c r="BD37" i="5"/>
  <c r="AK37" i="5"/>
  <c r="P37" i="5"/>
  <c r="FQ37" i="5"/>
  <c r="EL37" i="5"/>
  <c r="CV37" i="5"/>
  <c r="BS37" i="5"/>
  <c r="AS37" i="5"/>
  <c r="O37" i="5"/>
  <c r="FP37" i="5"/>
  <c r="EK37" i="5"/>
  <c r="CU37" i="5"/>
  <c r="BR37" i="5"/>
  <c r="AQ37" i="5"/>
  <c r="N37" i="5"/>
  <c r="FO37" i="5"/>
  <c r="EE37" i="5"/>
  <c r="CT37" i="5"/>
  <c r="BQ37" i="5"/>
  <c r="AP37" i="5"/>
  <c r="M37" i="5"/>
  <c r="CP37" i="5"/>
  <c r="CO37" i="5"/>
  <c r="AF37" i="5"/>
  <c r="FW37" i="5"/>
  <c r="BX37" i="5"/>
  <c r="X37" i="5"/>
  <c r="FU37" i="5"/>
  <c r="DF37" i="5"/>
  <c r="AV37" i="5"/>
  <c r="FL37" i="5"/>
  <c r="DX37" i="5"/>
  <c r="CR37" i="5"/>
  <c r="BP37" i="5"/>
  <c r="AJ37" i="5"/>
  <c r="FI37" i="5"/>
  <c r="DU37" i="5"/>
  <c r="BK37" i="5"/>
  <c r="AI37" i="5"/>
  <c r="FH37" i="5"/>
  <c r="DT37" i="5"/>
  <c r="BJ37" i="5"/>
  <c r="DG37" i="5"/>
  <c r="AW37" i="5"/>
  <c r="EM37" i="5"/>
  <c r="W37" i="5"/>
  <c r="EO37" i="5"/>
  <c r="EZ37" i="5"/>
  <c r="DP37" i="5"/>
  <c r="CJ37" i="5"/>
  <c r="BC37" i="5"/>
  <c r="AD37" i="5"/>
  <c r="EV37" i="5"/>
  <c r="DN37" i="5"/>
  <c r="CH37" i="5"/>
  <c r="BB37" i="5"/>
  <c r="AB37" i="5"/>
  <c r="GH37" i="5"/>
  <c r="ER37" i="5"/>
  <c r="DM37" i="5"/>
  <c r="CG37" i="5"/>
  <c r="AZ37" i="5"/>
  <c r="AA37" i="5"/>
  <c r="FX37" i="5"/>
  <c r="EQ37" i="5"/>
  <c r="DI37" i="5"/>
  <c r="BY37" i="5"/>
  <c r="AX37" i="5"/>
  <c r="Z37" i="5"/>
  <c r="BU37" i="5"/>
  <c r="GC27" i="5"/>
  <c r="FQ27" i="5"/>
  <c r="FE27" i="5"/>
  <c r="ES27" i="5"/>
  <c r="EG27" i="5"/>
  <c r="DU27" i="5"/>
  <c r="DI27" i="5"/>
  <c r="CW27" i="5"/>
  <c r="CK27" i="5"/>
  <c r="BY27" i="5"/>
  <c r="BM27" i="5"/>
  <c r="BA27" i="5"/>
  <c r="AO27" i="5"/>
  <c r="AC27" i="5"/>
  <c r="Q27" i="5"/>
  <c r="GF27" i="5"/>
  <c r="FS27" i="5"/>
  <c r="FF27" i="5"/>
  <c r="ER27" i="5"/>
  <c r="EE27" i="5"/>
  <c r="DR27" i="5"/>
  <c r="DE27" i="5"/>
  <c r="CR27" i="5"/>
  <c r="CE27" i="5"/>
  <c r="BR27" i="5"/>
  <c r="BE27" i="5"/>
  <c r="AR27" i="5"/>
  <c r="AE27" i="5"/>
  <c r="R27" i="5"/>
  <c r="FR27" i="5"/>
  <c r="FD27" i="5"/>
  <c r="EQ27" i="5"/>
  <c r="ED27" i="5"/>
  <c r="DQ27" i="5"/>
  <c r="DD27" i="5"/>
  <c r="CQ27" i="5"/>
  <c r="CD27" i="5"/>
  <c r="BD27" i="5"/>
  <c r="AQ27" i="5"/>
  <c r="AD27" i="5"/>
  <c r="P27" i="5"/>
  <c r="GE27" i="5"/>
  <c r="BQ27" i="5"/>
  <c r="GB27" i="5"/>
  <c r="FO27" i="5"/>
  <c r="FB27" i="5"/>
  <c r="EO27" i="5"/>
  <c r="EB27" i="5"/>
  <c r="DO27" i="5"/>
  <c r="DB27" i="5"/>
  <c r="CO27" i="5"/>
  <c r="CB27" i="5"/>
  <c r="BO27" i="5"/>
  <c r="BB27" i="5"/>
  <c r="AN27" i="5"/>
  <c r="AA27" i="5"/>
  <c r="N27" i="5"/>
  <c r="FY27" i="5"/>
  <c r="FI27" i="5"/>
  <c r="EP27" i="5"/>
  <c r="DY27" i="5"/>
  <c r="DH27" i="5"/>
  <c r="CP27" i="5"/>
  <c r="BX27" i="5"/>
  <c r="BH27" i="5"/>
  <c r="AP27" i="5"/>
  <c r="X27" i="5"/>
  <c r="FX27" i="5"/>
  <c r="FH27" i="5"/>
  <c r="EN27" i="5"/>
  <c r="DX27" i="5"/>
  <c r="DG27" i="5"/>
  <c r="CN27" i="5"/>
  <c r="BW27" i="5"/>
  <c r="BG27" i="5"/>
  <c r="AM27" i="5"/>
  <c r="W27" i="5"/>
  <c r="FW27" i="5"/>
  <c r="FG27" i="5"/>
  <c r="EM27" i="5"/>
  <c r="DW27" i="5"/>
  <c r="DF27" i="5"/>
  <c r="CM27" i="5"/>
  <c r="BV27" i="5"/>
  <c r="BF27" i="5"/>
  <c r="AL27" i="5"/>
  <c r="FP27" i="5"/>
  <c r="EV27" i="5"/>
  <c r="DV27" i="5"/>
  <c r="CY27" i="5"/>
  <c r="CC27" i="5"/>
  <c r="BC27" i="5"/>
  <c r="AH27" i="5"/>
  <c r="L27" i="5"/>
  <c r="FN27" i="5"/>
  <c r="EU27" i="5"/>
  <c r="DT27" i="5"/>
  <c r="CX27" i="5"/>
  <c r="CA27" i="5"/>
  <c r="AZ27" i="5"/>
  <c r="AG27" i="5"/>
  <c r="FM27" i="5"/>
  <c r="ET27" i="5"/>
  <c r="DS27" i="5"/>
  <c r="CV27" i="5"/>
  <c r="BZ27" i="5"/>
  <c r="AY27" i="5"/>
  <c r="AF27" i="5"/>
  <c r="EJ27" i="5"/>
  <c r="CS27" i="5"/>
  <c r="AV27" i="5"/>
  <c r="Y27" i="5"/>
  <c r="EA27" i="5"/>
  <c r="CG27" i="5"/>
  <c r="FT27" i="5"/>
  <c r="DZ27" i="5"/>
  <c r="CF27" i="5"/>
  <c r="DM27" i="5"/>
  <c r="O27" i="5"/>
  <c r="FL27" i="5"/>
  <c r="EL27" i="5"/>
  <c r="DP27" i="5"/>
  <c r="CU27" i="5"/>
  <c r="BU27" i="5"/>
  <c r="AX27" i="5"/>
  <c r="AB27" i="5"/>
  <c r="FU27" i="5"/>
  <c r="GH27" i="5"/>
  <c r="FK27" i="5"/>
  <c r="EK27" i="5"/>
  <c r="DN27" i="5"/>
  <c r="CT27" i="5"/>
  <c r="BT27" i="5"/>
  <c r="AW27" i="5"/>
  <c r="Z27" i="5"/>
  <c r="FJ27" i="5"/>
  <c r="BS27" i="5"/>
  <c r="EX27" i="5"/>
  <c r="DA27" i="5"/>
  <c r="AJ27" i="5"/>
  <c r="EW27" i="5"/>
  <c r="BI27" i="5"/>
  <c r="GG27" i="5"/>
  <c r="BJ27" i="5"/>
  <c r="GD27" i="5"/>
  <c r="FC27" i="5"/>
  <c r="EI27" i="5"/>
  <c r="DL27" i="5"/>
  <c r="CL27" i="5"/>
  <c r="BP27" i="5"/>
  <c r="AU27" i="5"/>
  <c r="V27" i="5"/>
  <c r="GA27" i="5"/>
  <c r="FA27" i="5"/>
  <c r="EH27" i="5"/>
  <c r="DK27" i="5"/>
  <c r="CJ27" i="5"/>
  <c r="BN27" i="5"/>
  <c r="AT27" i="5"/>
  <c r="U27" i="5"/>
  <c r="FZ27" i="5"/>
  <c r="EZ27" i="5"/>
  <c r="EF27" i="5"/>
  <c r="DJ27" i="5"/>
  <c r="CI27" i="5"/>
  <c r="BL27" i="5"/>
  <c r="AS27" i="5"/>
  <c r="T27" i="5"/>
  <c r="FV27" i="5"/>
  <c r="EY27" i="5"/>
  <c r="EC27" i="5"/>
  <c r="DC27" i="5"/>
  <c r="CH27" i="5"/>
  <c r="BK27" i="5"/>
  <c r="AK27" i="5"/>
  <c r="S27" i="5"/>
  <c r="CZ27" i="5"/>
  <c r="AI27" i="5"/>
  <c r="M27" i="5"/>
  <c r="F22" i="9"/>
  <c r="H22" i="9" s="1"/>
  <c r="V8" i="5"/>
  <c r="AH8" i="5"/>
  <c r="AT8" i="5"/>
  <c r="BF8" i="5"/>
  <c r="BR8" i="5"/>
  <c r="CD8" i="5"/>
  <c r="CP8" i="5"/>
  <c r="DB8" i="5"/>
  <c r="DN8" i="5"/>
  <c r="DZ8" i="5"/>
  <c r="EL8" i="5"/>
  <c r="EX8" i="5"/>
  <c r="FJ8" i="5"/>
  <c r="FV8" i="5"/>
  <c r="GH8" i="5"/>
  <c r="Y8" i="5"/>
  <c r="AL8" i="5"/>
  <c r="AY8" i="5"/>
  <c r="BL8" i="5"/>
  <c r="BY8" i="5"/>
  <c r="CL8" i="5"/>
  <c r="CY8" i="5"/>
  <c r="DL8" i="5"/>
  <c r="DY8" i="5"/>
  <c r="EM8" i="5"/>
  <c r="EZ8" i="5"/>
  <c r="FM8" i="5"/>
  <c r="FZ8" i="5"/>
  <c r="Z8" i="5"/>
  <c r="AM8" i="5"/>
  <c r="AZ8" i="5"/>
  <c r="BM8" i="5"/>
  <c r="BZ8" i="5"/>
  <c r="CM8" i="5"/>
  <c r="CZ8" i="5"/>
  <c r="DM8" i="5"/>
  <c r="EA8" i="5"/>
  <c r="EN8" i="5"/>
  <c r="FA8" i="5"/>
  <c r="FN8" i="5"/>
  <c r="GA8" i="5"/>
  <c r="W8" i="5"/>
  <c r="AN8" i="5"/>
  <c r="BC8" i="5"/>
  <c r="BS8" i="5"/>
  <c r="CH8" i="5"/>
  <c r="CW8" i="5"/>
  <c r="DO8" i="5"/>
  <c r="ED8" i="5"/>
  <c r="ES8" i="5"/>
  <c r="FH8" i="5"/>
  <c r="FX8" i="5"/>
  <c r="X8" i="5"/>
  <c r="AO8" i="5"/>
  <c r="BD8" i="5"/>
  <c r="BT8" i="5"/>
  <c r="CI8" i="5"/>
  <c r="CX8" i="5"/>
  <c r="DP8" i="5"/>
  <c r="EE8" i="5"/>
  <c r="ET8" i="5"/>
  <c r="FI8" i="5"/>
  <c r="FY8" i="5"/>
  <c r="AA8" i="5"/>
  <c r="AP8" i="5"/>
  <c r="BE8" i="5"/>
  <c r="BU8" i="5"/>
  <c r="CJ8" i="5"/>
  <c r="DA8" i="5"/>
  <c r="DQ8" i="5"/>
  <c r="EF8" i="5"/>
  <c r="EU8" i="5"/>
  <c r="FK8" i="5"/>
  <c r="GB8" i="5"/>
  <c r="DC8" i="5"/>
  <c r="EG8" i="5"/>
  <c r="FL8" i="5"/>
  <c r="GC8" i="5"/>
  <c r="AC8" i="5"/>
  <c r="AR8" i="5"/>
  <c r="BW8" i="5"/>
  <c r="DD8" i="5"/>
  <c r="EH8" i="5"/>
  <c r="FO8" i="5"/>
  <c r="O8" i="5"/>
  <c r="AS8" i="5"/>
  <c r="CO8" i="5"/>
  <c r="DT8" i="5"/>
  <c r="EY8" i="5"/>
  <c r="FP8" i="5"/>
  <c r="T8" i="5"/>
  <c r="BA8" i="5"/>
  <c r="CF8" i="5"/>
  <c r="EB8" i="5"/>
  <c r="FF8" i="5"/>
  <c r="DJ8" i="5"/>
  <c r="AB8" i="5"/>
  <c r="AQ8" i="5"/>
  <c r="BG8" i="5"/>
  <c r="BV8" i="5"/>
  <c r="CK8" i="5"/>
  <c r="DR8" i="5"/>
  <c r="EV8" i="5"/>
  <c r="N8" i="5"/>
  <c r="BH8" i="5"/>
  <c r="CN8" i="5"/>
  <c r="DS8" i="5"/>
  <c r="EW8" i="5"/>
  <c r="GD8" i="5"/>
  <c r="AD8" i="5"/>
  <c r="BX8" i="5"/>
  <c r="DE8" i="5"/>
  <c r="EI8" i="5"/>
  <c r="GE8" i="5"/>
  <c r="AJ8" i="5"/>
  <c r="BP8" i="5"/>
  <c r="CU8" i="5"/>
  <c r="EQ8" i="5"/>
  <c r="FU8" i="5"/>
  <c r="BI8" i="5"/>
  <c r="P8" i="5"/>
  <c r="AE8" i="5"/>
  <c r="AU8" i="5"/>
  <c r="BJ8" i="5"/>
  <c r="CA8" i="5"/>
  <c r="CQ8" i="5"/>
  <c r="DF8" i="5"/>
  <c r="DU8" i="5"/>
  <c r="EJ8" i="5"/>
  <c r="FB8" i="5"/>
  <c r="FQ8" i="5"/>
  <c r="GF8" i="5"/>
  <c r="Q8" i="5"/>
  <c r="AF8" i="5"/>
  <c r="AV8" i="5"/>
  <c r="BK8" i="5"/>
  <c r="CB8" i="5"/>
  <c r="CR8" i="5"/>
  <c r="DG8" i="5"/>
  <c r="DV8" i="5"/>
  <c r="EK8" i="5"/>
  <c r="FC8" i="5"/>
  <c r="FR8" i="5"/>
  <c r="GG8" i="5"/>
  <c r="R8" i="5"/>
  <c r="AG8" i="5"/>
  <c r="AW8" i="5"/>
  <c r="BN8" i="5"/>
  <c r="CC8" i="5"/>
  <c r="CS8" i="5"/>
  <c r="DH8" i="5"/>
  <c r="DW8" i="5"/>
  <c r="EO8" i="5"/>
  <c r="FD8" i="5"/>
  <c r="FS8" i="5"/>
  <c r="L8" i="5"/>
  <c r="S8" i="5"/>
  <c r="AI8" i="5"/>
  <c r="AX8" i="5"/>
  <c r="BO8" i="5"/>
  <c r="CE8" i="5"/>
  <c r="CT8" i="5"/>
  <c r="DI8" i="5"/>
  <c r="DX8" i="5"/>
  <c r="EP8" i="5"/>
  <c r="FE8" i="5"/>
  <c r="FT8" i="5"/>
  <c r="M8" i="5"/>
  <c r="U8" i="5"/>
  <c r="AK8" i="5"/>
  <c r="BB8" i="5"/>
  <c r="BQ8" i="5"/>
  <c r="CG8" i="5"/>
  <c r="CV8" i="5"/>
  <c r="DK8" i="5"/>
  <c r="EC8" i="5"/>
  <c r="ER8" i="5"/>
  <c r="FG8" i="5"/>
  <c r="FW8" i="5"/>
  <c r="FY52" i="5"/>
  <c r="FM52" i="5"/>
  <c r="FA52" i="5"/>
  <c r="EO52" i="5"/>
  <c r="FX52" i="5"/>
  <c r="FL52" i="5"/>
  <c r="EZ52" i="5"/>
  <c r="EN52" i="5"/>
  <c r="EB52" i="5"/>
  <c r="DP52" i="5"/>
  <c r="DD52" i="5"/>
  <c r="CR52" i="5"/>
  <c r="CF52" i="5"/>
  <c r="BT52" i="5"/>
  <c r="BH52" i="5"/>
  <c r="AV52" i="5"/>
  <c r="AJ52" i="5"/>
  <c r="X52" i="5"/>
  <c r="L52" i="5"/>
  <c r="GH52" i="5"/>
  <c r="FV52" i="5"/>
  <c r="FJ52" i="5"/>
  <c r="EX52" i="5"/>
  <c r="EL52" i="5"/>
  <c r="DZ52" i="5"/>
  <c r="DN52" i="5"/>
  <c r="DB52" i="5"/>
  <c r="CP52" i="5"/>
  <c r="CD52" i="5"/>
  <c r="BR52" i="5"/>
  <c r="BF52" i="5"/>
  <c r="AT52" i="5"/>
  <c r="AH52" i="5"/>
  <c r="V52" i="5"/>
  <c r="GG52" i="5"/>
  <c r="FU52" i="5"/>
  <c r="FI52" i="5"/>
  <c r="EW52" i="5"/>
  <c r="EK52" i="5"/>
  <c r="DY52" i="5"/>
  <c r="DM52" i="5"/>
  <c r="DA52" i="5"/>
  <c r="CO52" i="5"/>
  <c r="CC52" i="5"/>
  <c r="BQ52" i="5"/>
  <c r="BE52" i="5"/>
  <c r="AS52" i="5"/>
  <c r="AG52" i="5"/>
  <c r="U52" i="5"/>
  <c r="GD52" i="5"/>
  <c r="FN52" i="5"/>
  <c r="ET52" i="5"/>
  <c r="ED52" i="5"/>
  <c r="DL52" i="5"/>
  <c r="CW52" i="5"/>
  <c r="CH52" i="5"/>
  <c r="BP52" i="5"/>
  <c r="BA52" i="5"/>
  <c r="AL52" i="5"/>
  <c r="T52" i="5"/>
  <c r="FQ52" i="5"/>
  <c r="EV52" i="5"/>
  <c r="EE52" i="5"/>
  <c r="DK52" i="5"/>
  <c r="CU52" i="5"/>
  <c r="CB52" i="5"/>
  <c r="BL52" i="5"/>
  <c r="AU52" i="5"/>
  <c r="AC52" i="5"/>
  <c r="M52" i="5"/>
  <c r="CT52" i="5"/>
  <c r="FP52" i="5"/>
  <c r="EU52" i="5"/>
  <c r="EC52" i="5"/>
  <c r="DJ52" i="5"/>
  <c r="CA52" i="5"/>
  <c r="BK52" i="5"/>
  <c r="AR52" i="5"/>
  <c r="AB52" i="5"/>
  <c r="GE52" i="5"/>
  <c r="FK52" i="5"/>
  <c r="ER52" i="5"/>
  <c r="DX52" i="5"/>
  <c r="DH52" i="5"/>
  <c r="CQ52" i="5"/>
  <c r="BY52" i="5"/>
  <c r="BI52" i="5"/>
  <c r="AP52" i="5"/>
  <c r="Z52" i="5"/>
  <c r="GA52" i="5"/>
  <c r="FF52" i="5"/>
  <c r="EM52" i="5"/>
  <c r="DU52" i="5"/>
  <c r="DE52" i="5"/>
  <c r="CL52" i="5"/>
  <c r="BV52" i="5"/>
  <c r="BC52" i="5"/>
  <c r="AM52" i="5"/>
  <c r="S52" i="5"/>
  <c r="FZ52" i="5"/>
  <c r="FE52" i="5"/>
  <c r="EJ52" i="5"/>
  <c r="DT52" i="5"/>
  <c r="DC52" i="5"/>
  <c r="CK52" i="5"/>
  <c r="BU52" i="5"/>
  <c r="BB52" i="5"/>
  <c r="AK52" i="5"/>
  <c r="R52" i="5"/>
  <c r="FW52" i="5"/>
  <c r="FD52" i="5"/>
  <c r="EI52" i="5"/>
  <c r="DS52" i="5"/>
  <c r="CZ52" i="5"/>
  <c r="CJ52" i="5"/>
  <c r="BS52" i="5"/>
  <c r="AZ52" i="5"/>
  <c r="AI52" i="5"/>
  <c r="Q52" i="5"/>
  <c r="FT52" i="5"/>
  <c r="FC52" i="5"/>
  <c r="EH52" i="5"/>
  <c r="DR52" i="5"/>
  <c r="CY52" i="5"/>
  <c r="CI52" i="5"/>
  <c r="BO52" i="5"/>
  <c r="AY52" i="5"/>
  <c r="AF52" i="5"/>
  <c r="P52" i="5"/>
  <c r="ES52" i="5"/>
  <c r="DF52" i="5"/>
  <c r="BM52" i="5"/>
  <c r="Y52" i="5"/>
  <c r="EQ52" i="5"/>
  <c r="CX52" i="5"/>
  <c r="BJ52" i="5"/>
  <c r="W52" i="5"/>
  <c r="GF52" i="5"/>
  <c r="EP52" i="5"/>
  <c r="CV52" i="5"/>
  <c r="BG52" i="5"/>
  <c r="O52" i="5"/>
  <c r="FR52" i="5"/>
  <c r="DO52" i="5"/>
  <c r="BD52" i="5"/>
  <c r="FO52" i="5"/>
  <c r="DI52" i="5"/>
  <c r="AX52" i="5"/>
  <c r="FH52" i="5"/>
  <c r="DG52" i="5"/>
  <c r="AW52" i="5"/>
  <c r="DV52" i="5"/>
  <c r="GB52" i="5"/>
  <c r="BN52" i="5"/>
  <c r="FG52" i="5"/>
  <c r="CS52" i="5"/>
  <c r="AQ52" i="5"/>
  <c r="EY52" i="5"/>
  <c r="FB52" i="5"/>
  <c r="CN52" i="5"/>
  <c r="AO52" i="5"/>
  <c r="CM52" i="5"/>
  <c r="AN52" i="5"/>
  <c r="FS52" i="5"/>
  <c r="EG52" i="5"/>
  <c r="CG52" i="5"/>
  <c r="AE52" i="5"/>
  <c r="DQ52" i="5"/>
  <c r="EF52" i="5"/>
  <c r="CE52" i="5"/>
  <c r="AD52" i="5"/>
  <c r="BW52" i="5"/>
  <c r="EA52" i="5"/>
  <c r="BZ52" i="5"/>
  <c r="AA52" i="5"/>
  <c r="GC52" i="5"/>
  <c r="DW52" i="5"/>
  <c r="BX52" i="5"/>
  <c r="N52" i="5"/>
  <c r="FW47" i="5"/>
  <c r="GG47" i="5"/>
  <c r="FU47" i="5"/>
  <c r="FI47" i="5"/>
  <c r="EW47" i="5"/>
  <c r="EK47" i="5"/>
  <c r="DY47" i="5"/>
  <c r="DM47" i="5"/>
  <c r="DA47" i="5"/>
  <c r="CO47" i="5"/>
  <c r="CC47" i="5"/>
  <c r="BQ47" i="5"/>
  <c r="BE47" i="5"/>
  <c r="AS47" i="5"/>
  <c r="AG47" i="5"/>
  <c r="U47" i="5"/>
  <c r="GF47" i="5"/>
  <c r="FT47" i="5"/>
  <c r="FH47" i="5"/>
  <c r="EV47" i="5"/>
  <c r="EJ47" i="5"/>
  <c r="DX47" i="5"/>
  <c r="DL47" i="5"/>
  <c r="CZ47" i="5"/>
  <c r="CN47" i="5"/>
  <c r="CB47" i="5"/>
  <c r="BP47" i="5"/>
  <c r="BD47" i="5"/>
  <c r="AR47" i="5"/>
  <c r="AF47" i="5"/>
  <c r="T47" i="5"/>
  <c r="GB47" i="5"/>
  <c r="FM47" i="5"/>
  <c r="EY47" i="5"/>
  <c r="EI47" i="5"/>
  <c r="DU47" i="5"/>
  <c r="DG47" i="5"/>
  <c r="CS47" i="5"/>
  <c r="CE47" i="5"/>
  <c r="BO47" i="5"/>
  <c r="BA47" i="5"/>
  <c r="AM47" i="5"/>
  <c r="Y47" i="5"/>
  <c r="FQ47" i="5"/>
  <c r="FB47" i="5"/>
  <c r="EM47" i="5"/>
  <c r="DV47" i="5"/>
  <c r="DF47" i="5"/>
  <c r="CQ47" i="5"/>
  <c r="BZ47" i="5"/>
  <c r="BK47" i="5"/>
  <c r="AV47" i="5"/>
  <c r="AE47" i="5"/>
  <c r="P47" i="5"/>
  <c r="AD47" i="5"/>
  <c r="GH47" i="5"/>
  <c r="FP47" i="5"/>
  <c r="FA47" i="5"/>
  <c r="EL47" i="5"/>
  <c r="DT47" i="5"/>
  <c r="DE47" i="5"/>
  <c r="CP47" i="5"/>
  <c r="BY47" i="5"/>
  <c r="BJ47" i="5"/>
  <c r="AU47" i="5"/>
  <c r="O47" i="5"/>
  <c r="GD47" i="5"/>
  <c r="FN47" i="5"/>
  <c r="EX47" i="5"/>
  <c r="EG47" i="5"/>
  <c r="DR47" i="5"/>
  <c r="DC47" i="5"/>
  <c r="CL47" i="5"/>
  <c r="BW47" i="5"/>
  <c r="BH47" i="5"/>
  <c r="AQ47" i="5"/>
  <c r="AB47" i="5"/>
  <c r="M47" i="5"/>
  <c r="FZ47" i="5"/>
  <c r="FJ47" i="5"/>
  <c r="ES47" i="5"/>
  <c r="ED47" i="5"/>
  <c r="DO47" i="5"/>
  <c r="CX47" i="5"/>
  <c r="CI47" i="5"/>
  <c r="BT47" i="5"/>
  <c r="BC47" i="5"/>
  <c r="AN47" i="5"/>
  <c r="X47" i="5"/>
  <c r="FY47" i="5"/>
  <c r="FG47" i="5"/>
  <c r="ER47" i="5"/>
  <c r="EC47" i="5"/>
  <c r="DN47" i="5"/>
  <c r="CW47" i="5"/>
  <c r="CH47" i="5"/>
  <c r="BS47" i="5"/>
  <c r="BB47" i="5"/>
  <c r="AL47" i="5"/>
  <c r="W47" i="5"/>
  <c r="FX47" i="5"/>
  <c r="FF47" i="5"/>
  <c r="EQ47" i="5"/>
  <c r="EB47" i="5"/>
  <c r="DK47" i="5"/>
  <c r="CV47" i="5"/>
  <c r="CG47" i="5"/>
  <c r="BR47" i="5"/>
  <c r="AZ47" i="5"/>
  <c r="AK47" i="5"/>
  <c r="V47" i="5"/>
  <c r="FV47" i="5"/>
  <c r="FE47" i="5"/>
  <c r="EA47" i="5"/>
  <c r="CU47" i="5"/>
  <c r="BN47" i="5"/>
  <c r="AJ47" i="5"/>
  <c r="FD47" i="5"/>
  <c r="DZ47" i="5"/>
  <c r="CT47" i="5"/>
  <c r="BM47" i="5"/>
  <c r="AI47" i="5"/>
  <c r="FC47" i="5"/>
  <c r="DW47" i="5"/>
  <c r="CR47" i="5"/>
  <c r="BL47" i="5"/>
  <c r="AH47" i="5"/>
  <c r="GA47" i="5"/>
  <c r="EH47" i="5"/>
  <c r="CM47" i="5"/>
  <c r="AY47" i="5"/>
  <c r="N47" i="5"/>
  <c r="FS47" i="5"/>
  <c r="EF47" i="5"/>
  <c r="CK47" i="5"/>
  <c r="AX47" i="5"/>
  <c r="L47" i="5"/>
  <c r="FR47" i="5"/>
  <c r="EE47" i="5"/>
  <c r="CJ47" i="5"/>
  <c r="AW47" i="5"/>
  <c r="GE47" i="5"/>
  <c r="EN47" i="5"/>
  <c r="BF47" i="5"/>
  <c r="BG47" i="5"/>
  <c r="FO47" i="5"/>
  <c r="DS47" i="5"/>
  <c r="CF47" i="5"/>
  <c r="AT47" i="5"/>
  <c r="FL47" i="5"/>
  <c r="DQ47" i="5"/>
  <c r="CD47" i="5"/>
  <c r="AP47" i="5"/>
  <c r="AO47" i="5"/>
  <c r="EO47" i="5"/>
  <c r="CY47" i="5"/>
  <c r="FK47" i="5"/>
  <c r="DP47" i="5"/>
  <c r="CA47" i="5"/>
  <c r="R47" i="5"/>
  <c r="EZ47" i="5"/>
  <c r="DJ47" i="5"/>
  <c r="BX47" i="5"/>
  <c r="AC47" i="5"/>
  <c r="EU47" i="5"/>
  <c r="DI47" i="5"/>
  <c r="BV47" i="5"/>
  <c r="AA47" i="5"/>
  <c r="ET47" i="5"/>
  <c r="DH47" i="5"/>
  <c r="BU47" i="5"/>
  <c r="Z47" i="5"/>
  <c r="GC47" i="5"/>
  <c r="EP47" i="5"/>
  <c r="DD47" i="5"/>
  <c r="BI47" i="5"/>
  <c r="S47" i="5"/>
  <c r="DB47" i="5"/>
  <c r="Q47" i="5"/>
  <c r="GB62" i="5"/>
  <c r="GA62" i="5"/>
  <c r="FO62" i="5"/>
  <c r="FC62" i="5"/>
  <c r="EQ62" i="5"/>
  <c r="EE62" i="5"/>
  <c r="DS62" i="5"/>
  <c r="DG62" i="5"/>
  <c r="CU62" i="5"/>
  <c r="CI62" i="5"/>
  <c r="BW62" i="5"/>
  <c r="BK62" i="5"/>
  <c r="AY62" i="5"/>
  <c r="AM62" i="5"/>
  <c r="AA62" i="5"/>
  <c r="O62" i="5"/>
  <c r="FZ62" i="5"/>
  <c r="FN62" i="5"/>
  <c r="FB62" i="5"/>
  <c r="EP62" i="5"/>
  <c r="ED62" i="5"/>
  <c r="DR62" i="5"/>
  <c r="DF62" i="5"/>
  <c r="CT62" i="5"/>
  <c r="CH62" i="5"/>
  <c r="BV62" i="5"/>
  <c r="BJ62" i="5"/>
  <c r="AX62" i="5"/>
  <c r="AL62" i="5"/>
  <c r="Z62" i="5"/>
  <c r="N62" i="5"/>
  <c r="FY62" i="5"/>
  <c r="FX62" i="5"/>
  <c r="FL62" i="5"/>
  <c r="EZ62" i="5"/>
  <c r="EN62" i="5"/>
  <c r="EB62" i="5"/>
  <c r="DP62" i="5"/>
  <c r="DD62" i="5"/>
  <c r="CR62" i="5"/>
  <c r="CF62" i="5"/>
  <c r="BT62" i="5"/>
  <c r="BH62" i="5"/>
  <c r="AV62" i="5"/>
  <c r="AJ62" i="5"/>
  <c r="X62" i="5"/>
  <c r="L62" i="5"/>
  <c r="FW62" i="5"/>
  <c r="FK62" i="5"/>
  <c r="EY62" i="5"/>
  <c r="EM62" i="5"/>
  <c r="EA62" i="5"/>
  <c r="DO62" i="5"/>
  <c r="DC62" i="5"/>
  <c r="CQ62" i="5"/>
  <c r="CE62" i="5"/>
  <c r="BS62" i="5"/>
  <c r="BG62" i="5"/>
  <c r="AU62" i="5"/>
  <c r="AI62" i="5"/>
  <c r="W62" i="5"/>
  <c r="GH62" i="5"/>
  <c r="FP62" i="5"/>
  <c r="EV62" i="5"/>
  <c r="EF62" i="5"/>
  <c r="DL62" i="5"/>
  <c r="CV62" i="5"/>
  <c r="CB62" i="5"/>
  <c r="BL62" i="5"/>
  <c r="AR62" i="5"/>
  <c r="AB62" i="5"/>
  <c r="GG62" i="5"/>
  <c r="FJ62" i="5"/>
  <c r="ES62" i="5"/>
  <c r="DX62" i="5"/>
  <c r="DE62" i="5"/>
  <c r="CL62" i="5"/>
  <c r="BQ62" i="5"/>
  <c r="AZ62" i="5"/>
  <c r="AE62" i="5"/>
  <c r="GF62" i="5"/>
  <c r="FI62" i="5"/>
  <c r="ER62" i="5"/>
  <c r="DW62" i="5"/>
  <c r="DB62" i="5"/>
  <c r="CK62" i="5"/>
  <c r="BP62" i="5"/>
  <c r="AW62" i="5"/>
  <c r="AD62" i="5"/>
  <c r="GE62" i="5"/>
  <c r="FH62" i="5"/>
  <c r="EO62" i="5"/>
  <c r="DV62" i="5"/>
  <c r="DA62" i="5"/>
  <c r="CJ62" i="5"/>
  <c r="BO62" i="5"/>
  <c r="AT62" i="5"/>
  <c r="AC62" i="5"/>
  <c r="GD62" i="5"/>
  <c r="FG62" i="5"/>
  <c r="EL62" i="5"/>
  <c r="DU62" i="5"/>
  <c r="CZ62" i="5"/>
  <c r="CG62" i="5"/>
  <c r="BN62" i="5"/>
  <c r="AS62" i="5"/>
  <c r="Y62" i="5"/>
  <c r="GC62" i="5"/>
  <c r="FF62" i="5"/>
  <c r="EK62" i="5"/>
  <c r="DT62" i="5"/>
  <c r="CY62" i="5"/>
  <c r="CD62" i="5"/>
  <c r="BM62" i="5"/>
  <c r="AQ62" i="5"/>
  <c r="V62" i="5"/>
  <c r="FV62" i="5"/>
  <c r="FU62" i="5"/>
  <c r="FD62" i="5"/>
  <c r="EI62" i="5"/>
  <c r="DN62" i="5"/>
  <c r="CW62" i="5"/>
  <c r="CA62" i="5"/>
  <c r="BF62" i="5"/>
  <c r="AO62" i="5"/>
  <c r="T62" i="5"/>
  <c r="FT62" i="5"/>
  <c r="FA62" i="5"/>
  <c r="EH62" i="5"/>
  <c r="DM62" i="5"/>
  <c r="CS62" i="5"/>
  <c r="BZ62" i="5"/>
  <c r="BE62" i="5"/>
  <c r="AN62" i="5"/>
  <c r="S62" i="5"/>
  <c r="FS62" i="5"/>
  <c r="EX62" i="5"/>
  <c r="EG62" i="5"/>
  <c r="DK62" i="5"/>
  <c r="CP62" i="5"/>
  <c r="BY62" i="5"/>
  <c r="BD62" i="5"/>
  <c r="AK62" i="5"/>
  <c r="R62" i="5"/>
  <c r="FR62" i="5"/>
  <c r="EW62" i="5"/>
  <c r="EC62" i="5"/>
  <c r="DJ62" i="5"/>
  <c r="CO62" i="5"/>
  <c r="BX62" i="5"/>
  <c r="BC62" i="5"/>
  <c r="AH62" i="5"/>
  <c r="Q62" i="5"/>
  <c r="FQ62" i="5"/>
  <c r="CN62" i="5"/>
  <c r="P62" i="5"/>
  <c r="FM62" i="5"/>
  <c r="CM62" i="5"/>
  <c r="M62" i="5"/>
  <c r="FE62" i="5"/>
  <c r="CC62" i="5"/>
  <c r="EU62" i="5"/>
  <c r="BB62" i="5"/>
  <c r="ET62" i="5"/>
  <c r="BA62" i="5"/>
  <c r="EJ62" i="5"/>
  <c r="AP62" i="5"/>
  <c r="U62" i="5"/>
  <c r="DZ62" i="5"/>
  <c r="AG62" i="5"/>
  <c r="DY62" i="5"/>
  <c r="AF62" i="5"/>
  <c r="BI62" i="5"/>
  <c r="DQ62" i="5"/>
  <c r="DI62" i="5"/>
  <c r="BR62" i="5"/>
  <c r="DH62" i="5"/>
  <c r="CX62" i="5"/>
  <c r="BU62" i="5"/>
  <c r="FZ57" i="5"/>
  <c r="FN57" i="5"/>
  <c r="FB57" i="5"/>
  <c r="EP57" i="5"/>
  <c r="ED57" i="5"/>
  <c r="DR57" i="5"/>
  <c r="DF57" i="5"/>
  <c r="CT57" i="5"/>
  <c r="CH57" i="5"/>
  <c r="BV57" i="5"/>
  <c r="BJ57" i="5"/>
  <c r="AX57" i="5"/>
  <c r="AL57" i="5"/>
  <c r="Z57" i="5"/>
  <c r="N57" i="5"/>
  <c r="FY57" i="5"/>
  <c r="FM57" i="5"/>
  <c r="FA57" i="5"/>
  <c r="EO57" i="5"/>
  <c r="EC57" i="5"/>
  <c r="DQ57" i="5"/>
  <c r="DE57" i="5"/>
  <c r="CS57" i="5"/>
  <c r="CG57" i="5"/>
  <c r="BU57" i="5"/>
  <c r="BI57" i="5"/>
  <c r="AW57" i="5"/>
  <c r="AK57" i="5"/>
  <c r="Y57" i="5"/>
  <c r="M57" i="5"/>
  <c r="FW57" i="5"/>
  <c r="FK57" i="5"/>
  <c r="EY57" i="5"/>
  <c r="EM57" i="5"/>
  <c r="EA57" i="5"/>
  <c r="DO57" i="5"/>
  <c r="DC57" i="5"/>
  <c r="CQ57" i="5"/>
  <c r="CE57" i="5"/>
  <c r="BS57" i="5"/>
  <c r="BG57" i="5"/>
  <c r="AU57" i="5"/>
  <c r="AI57" i="5"/>
  <c r="W57" i="5"/>
  <c r="GH57" i="5"/>
  <c r="FV57" i="5"/>
  <c r="FJ57" i="5"/>
  <c r="EX57" i="5"/>
  <c r="EL57" i="5"/>
  <c r="DZ57" i="5"/>
  <c r="DN57" i="5"/>
  <c r="DB57" i="5"/>
  <c r="CP57" i="5"/>
  <c r="CD57" i="5"/>
  <c r="BR57" i="5"/>
  <c r="BF57" i="5"/>
  <c r="AT57" i="5"/>
  <c r="AH57" i="5"/>
  <c r="V57" i="5"/>
  <c r="GE57" i="5"/>
  <c r="FO57" i="5"/>
  <c r="EU57" i="5"/>
  <c r="EE57" i="5"/>
  <c r="DK57" i="5"/>
  <c r="CU57" i="5"/>
  <c r="CA57" i="5"/>
  <c r="BK57" i="5"/>
  <c r="AQ57" i="5"/>
  <c r="AA57" i="5"/>
  <c r="GG57" i="5"/>
  <c r="FP57" i="5"/>
  <c r="ET57" i="5"/>
  <c r="DY57" i="5"/>
  <c r="DH57" i="5"/>
  <c r="CM57" i="5"/>
  <c r="BT57" i="5"/>
  <c r="BA57" i="5"/>
  <c r="AF57" i="5"/>
  <c r="O57" i="5"/>
  <c r="GF57" i="5"/>
  <c r="FL57" i="5"/>
  <c r="ES57" i="5"/>
  <c r="DX57" i="5"/>
  <c r="DG57" i="5"/>
  <c r="CL57" i="5"/>
  <c r="BQ57" i="5"/>
  <c r="AZ57" i="5"/>
  <c r="AE57" i="5"/>
  <c r="L57" i="5"/>
  <c r="GD57" i="5"/>
  <c r="GC57" i="5"/>
  <c r="FH57" i="5"/>
  <c r="EQ57" i="5"/>
  <c r="DV57" i="5"/>
  <c r="DA57" i="5"/>
  <c r="CJ57" i="5"/>
  <c r="BO57" i="5"/>
  <c r="AV57" i="5"/>
  <c r="AC57" i="5"/>
  <c r="GB57" i="5"/>
  <c r="FG57" i="5"/>
  <c r="EN57" i="5"/>
  <c r="DU57" i="5"/>
  <c r="CZ57" i="5"/>
  <c r="CI57" i="5"/>
  <c r="BN57" i="5"/>
  <c r="AS57" i="5"/>
  <c r="FX57" i="5"/>
  <c r="FE57" i="5"/>
  <c r="EJ57" i="5"/>
  <c r="DS57" i="5"/>
  <c r="CX57" i="5"/>
  <c r="CC57" i="5"/>
  <c r="BL57" i="5"/>
  <c r="AP57" i="5"/>
  <c r="U57" i="5"/>
  <c r="FU57" i="5"/>
  <c r="FD57" i="5"/>
  <c r="EI57" i="5"/>
  <c r="DP57" i="5"/>
  <c r="CW57" i="5"/>
  <c r="CB57" i="5"/>
  <c r="BH57" i="5"/>
  <c r="AO57" i="5"/>
  <c r="T57" i="5"/>
  <c r="FT57" i="5"/>
  <c r="FC57" i="5"/>
  <c r="EH57" i="5"/>
  <c r="DM57" i="5"/>
  <c r="CV57" i="5"/>
  <c r="BZ57" i="5"/>
  <c r="BE57" i="5"/>
  <c r="AN57" i="5"/>
  <c r="S57" i="5"/>
  <c r="FS57" i="5"/>
  <c r="EZ57" i="5"/>
  <c r="EG57" i="5"/>
  <c r="DL57" i="5"/>
  <c r="CR57" i="5"/>
  <c r="BY57" i="5"/>
  <c r="BD57" i="5"/>
  <c r="AM57" i="5"/>
  <c r="R57" i="5"/>
  <c r="EB57" i="5"/>
  <c r="BW57" i="5"/>
  <c r="Q57" i="5"/>
  <c r="DW57" i="5"/>
  <c r="BP57" i="5"/>
  <c r="P57" i="5"/>
  <c r="GA57" i="5"/>
  <c r="DT57" i="5"/>
  <c r="BM57" i="5"/>
  <c r="ER57" i="5"/>
  <c r="BC57" i="5"/>
  <c r="EK57" i="5"/>
  <c r="BB57" i="5"/>
  <c r="EF57" i="5"/>
  <c r="AY57" i="5"/>
  <c r="EV57" i="5"/>
  <c r="DJ57" i="5"/>
  <c r="AR57" i="5"/>
  <c r="BX57" i="5"/>
  <c r="DI57" i="5"/>
  <c r="AJ57" i="5"/>
  <c r="DD57" i="5"/>
  <c r="CF57" i="5"/>
  <c r="AG57" i="5"/>
  <c r="EW57" i="5"/>
  <c r="FR57" i="5"/>
  <c r="CY57" i="5"/>
  <c r="AD57" i="5"/>
  <c r="FQ57" i="5"/>
  <c r="CO57" i="5"/>
  <c r="AB57" i="5"/>
  <c r="FI57" i="5"/>
  <c r="CN57" i="5"/>
  <c r="X57" i="5"/>
  <c r="FF57" i="5"/>
  <c r="CK57" i="5"/>
  <c r="N45" i="7"/>
  <c r="N54" i="7"/>
  <c r="N68" i="7"/>
  <c r="N79" i="7"/>
  <c r="N6" i="7"/>
  <c r="N5" i="7"/>
  <c r="N17" i="7"/>
  <c r="R29" i="7"/>
  <c r="N11" i="7"/>
  <c r="N26" i="7"/>
  <c r="N28" i="7"/>
  <c r="C24" i="9"/>
  <c r="E24" i="9" s="1"/>
  <c r="M22" i="7"/>
  <c r="N22" i="7"/>
  <c r="N29" i="7"/>
  <c r="O33" i="7"/>
  <c r="R47" i="7"/>
  <c r="R101" i="7"/>
  <c r="O9" i="7"/>
  <c r="O21" i="7"/>
  <c r="O47" i="7"/>
  <c r="O66" i="7"/>
  <c r="O100" i="7"/>
  <c r="O35" i="7"/>
  <c r="O68" i="7"/>
  <c r="R114" i="7"/>
  <c r="O17" i="7"/>
  <c r="O27" i="7"/>
  <c r="O42" i="7"/>
  <c r="O59" i="7"/>
  <c r="O6" i="7"/>
  <c r="O26" i="7"/>
  <c r="R40" i="7"/>
  <c r="R56" i="7"/>
  <c r="O78" i="7"/>
  <c r="R17" i="7"/>
  <c r="O44" i="7"/>
  <c r="R59" i="7"/>
  <c r="O79" i="7"/>
  <c r="R18" i="7"/>
  <c r="R64" i="7"/>
  <c r="O97" i="7"/>
  <c r="O5" i="7"/>
  <c r="O11" i="7"/>
  <c r="O22" i="7"/>
  <c r="R35" i="7"/>
  <c r="O54" i="7"/>
  <c r="R68" i="7"/>
  <c r="O122" i="7"/>
  <c r="O15" i="7"/>
  <c r="O23" i="7"/>
  <c r="O36" i="7"/>
  <c r="O71" i="7"/>
  <c r="R15" i="7"/>
  <c r="R36" i="7"/>
  <c r="O56" i="7"/>
  <c r="R71" i="7"/>
  <c r="O8" i="7"/>
  <c r="O18" i="7"/>
  <c r="O28" i="7"/>
  <c r="R44" i="7"/>
  <c r="R61" i="7"/>
  <c r="O81" i="7"/>
  <c r="N9" i="7"/>
  <c r="N21" i="7"/>
  <c r="O29" i="7"/>
  <c r="O45" i="7"/>
  <c r="O65" i="7"/>
  <c r="R99" i="7"/>
  <c r="F21" i="9"/>
  <c r="H21" i="9" s="1"/>
  <c r="N24" i="7"/>
  <c r="N37" i="7"/>
  <c r="O7" i="7"/>
  <c r="R12" i="7"/>
  <c r="N19" i="7"/>
  <c r="R24" i="7"/>
  <c r="O30" i="7"/>
  <c r="O39" i="7"/>
  <c r="M49" i="7"/>
  <c r="O62" i="7"/>
  <c r="R73" i="7"/>
  <c r="R103" i="7"/>
  <c r="N7" i="7"/>
  <c r="O12" i="7"/>
  <c r="M19" i="7"/>
  <c r="O24" i="7"/>
  <c r="O38" i="7"/>
  <c r="O48" i="7"/>
  <c r="O72" i="7"/>
  <c r="N4" i="7"/>
  <c r="O13" i="7"/>
  <c r="O19" i="7"/>
  <c r="O25" i="7"/>
  <c r="R31" i="7"/>
  <c r="N40" i="7"/>
  <c r="N50" i="7"/>
  <c r="O63" i="7"/>
  <c r="O75" i="7"/>
  <c r="R104" i="7"/>
  <c r="F19" i="9"/>
  <c r="H19" i="9" s="1"/>
  <c r="M37" i="7"/>
  <c r="O4" i="7"/>
  <c r="M8" i="7"/>
  <c r="N14" i="7"/>
  <c r="O20" i="7"/>
  <c r="Q25" i="7"/>
  <c r="S25" i="7" s="1"/>
  <c r="M25" i="10" s="1"/>
  <c r="O32" i="7"/>
  <c r="O50" i="7"/>
  <c r="N77" i="7"/>
  <c r="N8" i="7"/>
  <c r="O14" i="7"/>
  <c r="R20" i="7"/>
  <c r="R25" i="7"/>
  <c r="R32" i="7"/>
  <c r="N42" i="7"/>
  <c r="O53" i="7"/>
  <c r="N65" i="7"/>
  <c r="O77" i="7"/>
  <c r="R117" i="7"/>
  <c r="F20" i="9"/>
  <c r="H20" i="9" s="1"/>
  <c r="U26" i="9"/>
  <c r="P7" i="7"/>
  <c r="P9" i="7"/>
  <c r="M32" i="7"/>
  <c r="M36" i="7"/>
  <c r="P39" i="7"/>
  <c r="M48" i="7"/>
  <c r="GQ40" i="4"/>
  <c r="R5" i="7"/>
  <c r="Q7" i="7"/>
  <c r="S7" i="7" s="1"/>
  <c r="M7" i="10" s="1"/>
  <c r="Q9" i="7"/>
  <c r="S9" i="7" s="1"/>
  <c r="M9" i="10" s="1"/>
  <c r="R11" i="7"/>
  <c r="R14" i="7"/>
  <c r="N18" i="7"/>
  <c r="N25" i="7"/>
  <c r="R28" i="7"/>
  <c r="N32" i="7"/>
  <c r="N36" i="7"/>
  <c r="Q39" i="7"/>
  <c r="S39" i="7" s="1"/>
  <c r="M39" i="10" s="1"/>
  <c r="R43" i="7"/>
  <c r="N48" i="7"/>
  <c r="R55" i="7"/>
  <c r="R70" i="7"/>
  <c r="N78" i="7"/>
  <c r="R118" i="7"/>
  <c r="C19" i="9"/>
  <c r="E19" i="9" s="1"/>
  <c r="R7" i="7"/>
  <c r="R9" i="7"/>
  <c r="N12" i="7"/>
  <c r="N15" i="7"/>
  <c r="R21" i="7"/>
  <c r="M29" i="7"/>
  <c r="R39" i="7"/>
  <c r="M56" i="7"/>
  <c r="R62" i="7"/>
  <c r="R100" i="7"/>
  <c r="Q12" i="7"/>
  <c r="S12" i="7" s="1"/>
  <c r="M12" i="10" s="1"/>
  <c r="Q32" i="7"/>
  <c r="S32" i="7" s="1"/>
  <c r="M32" i="10" s="1"/>
  <c r="P40" i="7"/>
  <c r="C21" i="9"/>
  <c r="E21" i="9" s="1"/>
  <c r="P32" i="7"/>
  <c r="P44" i="7"/>
  <c r="P4" i="7"/>
  <c r="P6" i="7"/>
  <c r="M10" i="7"/>
  <c r="M16" i="7"/>
  <c r="GL38" i="4"/>
  <c r="Q4" i="7"/>
  <c r="S4" i="7" s="1"/>
  <c r="Q6" i="7"/>
  <c r="S6" i="7" s="1"/>
  <c r="M6" i="10" s="1"/>
  <c r="N10" i="7"/>
  <c r="M13" i="7"/>
  <c r="N16" i="7"/>
  <c r="R22" i="7"/>
  <c r="M33" i="7"/>
  <c r="Q37" i="7"/>
  <c r="S37" i="7" s="1"/>
  <c r="M37" i="10" s="1"/>
  <c r="N41" i="7"/>
  <c r="R50" i="7"/>
  <c r="N57" i="7"/>
  <c r="N74" i="7"/>
  <c r="N82" i="7"/>
  <c r="R105" i="7"/>
  <c r="GM38" i="4"/>
  <c r="R4" i="7"/>
  <c r="R6" i="7"/>
  <c r="R8" i="7"/>
  <c r="O10" i="7"/>
  <c r="N13" i="7"/>
  <c r="O16" i="7"/>
  <c r="R19" i="7"/>
  <c r="N23" i="7"/>
  <c r="R26" i="7"/>
  <c r="R30" i="7"/>
  <c r="N33" i="7"/>
  <c r="R37" i="7"/>
  <c r="O41" i="7"/>
  <c r="Q45" i="7"/>
  <c r="S45" i="7" s="1"/>
  <c r="M45" i="10" s="1"/>
  <c r="R52" i="7"/>
  <c r="O57" i="7"/>
  <c r="R65" i="7"/>
  <c r="O74" i="7"/>
  <c r="O82" i="7"/>
  <c r="R108" i="7"/>
  <c r="Q10" i="7"/>
  <c r="S10" i="7" s="1"/>
  <c r="M10" i="10" s="1"/>
  <c r="R16" i="7"/>
  <c r="M20" i="7"/>
  <c r="M31" i="7"/>
  <c r="N38" i="7"/>
  <c r="P41" i="7"/>
  <c r="R46" i="7"/>
  <c r="M59" i="7"/>
  <c r="N66" i="7"/>
  <c r="R74" i="7"/>
  <c r="R87" i="7"/>
  <c r="R109" i="7"/>
  <c r="GP38" i="4"/>
  <c r="M7" i="7"/>
  <c r="R10" i="7"/>
  <c r="R13" i="7"/>
  <c r="M17" i="7"/>
  <c r="N20" i="7"/>
  <c r="R23" i="7"/>
  <c r="R27" i="7"/>
  <c r="N31" i="7"/>
  <c r="R34" i="7"/>
  <c r="Q41" i="7"/>
  <c r="S41" i="7" s="1"/>
  <c r="M41" i="10" s="1"/>
  <c r="N47" i="7"/>
  <c r="Q53" i="7"/>
  <c r="S53" i="7" s="1"/>
  <c r="M53" i="10" s="1"/>
  <c r="N59" i="7"/>
  <c r="N75" i="7"/>
  <c r="R90" i="7"/>
  <c r="R112" i="7"/>
  <c r="C22" i="9"/>
  <c r="E22" i="9" s="1"/>
  <c r="F18" i="9"/>
  <c r="H18" i="9" s="1"/>
  <c r="GO38" i="4"/>
  <c r="GQ38" i="4"/>
  <c r="M5" i="7"/>
  <c r="M11" i="7"/>
  <c r="M14" i="7"/>
  <c r="M28" i="7"/>
  <c r="Q31" i="7"/>
  <c r="S31" i="7" s="1"/>
  <c r="M31" i="10" s="1"/>
  <c r="R38" i="7"/>
  <c r="R41" i="7"/>
  <c r="R53" i="7"/>
  <c r="R96" i="7"/>
  <c r="R113" i="7"/>
  <c r="F24" i="9"/>
  <c r="H24" i="9" s="1"/>
  <c r="GP37" i="4"/>
  <c r="GP52" i="4" s="1"/>
  <c r="GP42" i="4" s="1"/>
  <c r="GF37" i="4"/>
  <c r="GG37" i="4"/>
  <c r="GI37" i="4"/>
  <c r="GM37" i="4"/>
  <c r="GM39" i="4"/>
  <c r="GQ11" i="4"/>
  <c r="GN37" i="4"/>
  <c r="GN39" i="4"/>
  <c r="GO37" i="4"/>
  <c r="GQ37" i="4"/>
  <c r="GG36" i="4"/>
  <c r="GN38" i="4"/>
  <c r="GQ39" i="4"/>
  <c r="GH36" i="4"/>
  <c r="GN14" i="4"/>
  <c r="GI36" i="4"/>
  <c r="GF40" i="4"/>
  <c r="GP8" i="4"/>
  <c r="GO14" i="4"/>
  <c r="GJ36" i="4"/>
  <c r="GG40" i="4"/>
  <c r="GQ8" i="4"/>
  <c r="GP14" i="4"/>
  <c r="GK36" i="4"/>
  <c r="GH40" i="4"/>
  <c r="GL36" i="4"/>
  <c r="GH39" i="4"/>
  <c r="GI40" i="4"/>
  <c r="GM36" i="4"/>
  <c r="GI39" i="4"/>
  <c r="GM40" i="4"/>
  <c r="GN36" i="4"/>
  <c r="GJ39" i="4"/>
  <c r="GN40" i="4"/>
  <c r="GO11" i="4"/>
  <c r="GQ28" i="4"/>
  <c r="GQ36" i="4"/>
  <c r="GJ38" i="4"/>
  <c r="GK39" i="4"/>
  <c r="GO40" i="4"/>
  <c r="GP11" i="4"/>
  <c r="GK38" i="4"/>
  <c r="GL39" i="4"/>
  <c r="GP40" i="4"/>
  <c r="GQ5" i="4"/>
  <c r="GQ22" i="4"/>
  <c r="GF36" i="4"/>
  <c r="GO6" i="4"/>
  <c r="GN9" i="4"/>
  <c r="GM12" i="4"/>
  <c r="GQ17" i="4"/>
  <c r="GL29" i="4"/>
  <c r="GO7" i="4"/>
  <c r="GO12" i="4"/>
  <c r="GN15" i="4"/>
  <c r="GM21" i="4"/>
  <c r="GH28" i="4"/>
  <c r="GN29" i="4"/>
  <c r="GQ7" i="4"/>
  <c r="GP10" i="4"/>
  <c r="GO13" i="4"/>
  <c r="GO21" i="4"/>
  <c r="GM28" i="4"/>
  <c r="GP29" i="4"/>
  <c r="GR39" i="4"/>
  <c r="GN5" i="4"/>
  <c r="GQ10" i="4"/>
  <c r="GP13" i="4"/>
  <c r="GO16" i="4"/>
  <c r="GN28" i="4"/>
  <c r="GQ29" i="4"/>
  <c r="GE39" i="4"/>
  <c r="GN17" i="4"/>
  <c r="GM6" i="4"/>
  <c r="GO17" i="4"/>
  <c r="GJ29" i="4"/>
  <c r="GN6" i="4"/>
  <c r="GM9" i="4"/>
  <c r="GK29" i="4"/>
  <c r="GO9" i="4"/>
  <c r="GN12" i="4"/>
  <c r="GM15" i="4"/>
  <c r="GM29" i="4"/>
  <c r="GP7" i="4"/>
  <c r="GO10" i="4"/>
  <c r="GO15" i="4"/>
  <c r="GN21" i="4"/>
  <c r="GI28" i="4"/>
  <c r="GO5" i="4"/>
  <c r="GN8" i="4"/>
  <c r="GQ13" i="4"/>
  <c r="GP16" i="4"/>
  <c r="GO22" i="4"/>
  <c r="GO28" i="4"/>
  <c r="GR36" i="4"/>
  <c r="GE38" i="4"/>
  <c r="GF39" i="4"/>
  <c r="GD40" i="4"/>
  <c r="GP5" i="4"/>
  <c r="GQ16" i="4"/>
  <c r="GP22" i="4"/>
  <c r="GP28" i="4"/>
  <c r="GE36" i="4"/>
  <c r="GG39" i="4"/>
  <c r="K22" i="3"/>
  <c r="K28" i="3"/>
  <c r="GK8" i="5"/>
  <c r="K23" i="3"/>
  <c r="K26" i="3"/>
  <c r="GJ47" i="5"/>
  <c r="GO47" i="5"/>
  <c r="GN47" i="5"/>
  <c r="K19" i="3"/>
  <c r="K25" i="3"/>
  <c r="K20" i="3"/>
  <c r="GO37" i="5"/>
  <c r="GP37" i="5"/>
  <c r="J24" i="5"/>
  <c r="J50" i="5"/>
  <c r="GL52" i="5" s="1"/>
  <c r="J40" i="5"/>
  <c r="GM52" i="5"/>
  <c r="GW52" i="5"/>
  <c r="GK52" i="5"/>
  <c r="GU52" i="5"/>
  <c r="GT52" i="5"/>
  <c r="GQ52" i="5"/>
  <c r="GJ52" i="5"/>
  <c r="GS52" i="5"/>
  <c r="GP52" i="5"/>
  <c r="GO52" i="5"/>
  <c r="GI52" i="5"/>
  <c r="GR52" i="5"/>
  <c r="GV52" i="5"/>
  <c r="GN52" i="5"/>
  <c r="GT57" i="5"/>
  <c r="GS57" i="5"/>
  <c r="GN57" i="5"/>
  <c r="GR57" i="5"/>
  <c r="GU62" i="5"/>
  <c r="GI62" i="5"/>
  <c r="GT62" i="5"/>
  <c r="GS62" i="5"/>
  <c r="GW62" i="5"/>
  <c r="GV62" i="5"/>
  <c r="GP62" i="5"/>
  <c r="GR62" i="5"/>
  <c r="GO62" i="5"/>
  <c r="GN62" i="5"/>
  <c r="GK62" i="5"/>
  <c r="GQ62" i="5"/>
  <c r="GM62" i="5"/>
  <c r="GJ62" i="5"/>
  <c r="GQ27" i="5"/>
  <c r="GP27" i="5"/>
  <c r="GO27" i="5"/>
  <c r="GK27" i="5"/>
  <c r="GJ27" i="5"/>
  <c r="GV27" i="5"/>
  <c r="GR27" i="5"/>
  <c r="GI27" i="5"/>
  <c r="GU27" i="5"/>
  <c r="GT27" i="5"/>
  <c r="GN27" i="5"/>
  <c r="GW27" i="5"/>
  <c r="GS27" i="5"/>
  <c r="GM27" i="5"/>
  <c r="Q54" i="7"/>
  <c r="S54" i="7" s="1"/>
  <c r="M54" i="10" s="1"/>
  <c r="M57" i="7"/>
  <c r="P65" i="7"/>
  <c r="P75" i="7"/>
  <c r="M38" i="7"/>
  <c r="Q40" i="7"/>
  <c r="S40" i="7" s="1"/>
  <c r="M40" i="10" s="1"/>
  <c r="P45" i="7"/>
  <c r="P49" i="7"/>
  <c r="P53" i="7"/>
  <c r="Q65" i="7"/>
  <c r="S65" i="7" s="1"/>
  <c r="M65" i="10" s="1"/>
  <c r="M67" i="7"/>
  <c r="M74" i="7"/>
  <c r="M83" i="7"/>
  <c r="P67" i="7"/>
  <c r="P72" i="7"/>
  <c r="P57" i="7"/>
  <c r="Q62" i="7"/>
  <c r="S62" i="7" s="1"/>
  <c r="M62" i="10" s="1"/>
  <c r="M64" i="7"/>
  <c r="Q72" i="7"/>
  <c r="S72" i="7" s="1"/>
  <c r="M72" i="10" s="1"/>
  <c r="O1793" i="7"/>
  <c r="O1787" i="7"/>
  <c r="O1778" i="7"/>
  <c r="O1769" i="7"/>
  <c r="O1760" i="7"/>
  <c r="O1751" i="7"/>
  <c r="O1742" i="7"/>
  <c r="O1733" i="7"/>
  <c r="O1724" i="7"/>
  <c r="O1792" i="7"/>
  <c r="O1782" i="7"/>
  <c r="O1773" i="7"/>
  <c r="O1764" i="7"/>
  <c r="O1755" i="7"/>
  <c r="O1746" i="7"/>
  <c r="O1737" i="7"/>
  <c r="O1728" i="7"/>
  <c r="O1719" i="7"/>
  <c r="O1710" i="7"/>
  <c r="O1701" i="7"/>
  <c r="O1692" i="7"/>
  <c r="O1683" i="7"/>
  <c r="O1674" i="7"/>
  <c r="O1665" i="7"/>
  <c r="O1656" i="7"/>
  <c r="O1647" i="7"/>
  <c r="O1638" i="7"/>
  <c r="O1629" i="7"/>
  <c r="O1620" i="7"/>
  <c r="O1791" i="7"/>
  <c r="O1786" i="7"/>
  <c r="O1777" i="7"/>
  <c r="O1768" i="7"/>
  <c r="O1759" i="7"/>
  <c r="O1750" i="7"/>
  <c r="O1741" i="7"/>
  <c r="O1732" i="7"/>
  <c r="O1723" i="7"/>
  <c r="O1714" i="7"/>
  <c r="O1705" i="7"/>
  <c r="O1696" i="7"/>
  <c r="O1687" i="7"/>
  <c r="O1678" i="7"/>
  <c r="O1669" i="7"/>
  <c r="O1660" i="7"/>
  <c r="O1651" i="7"/>
  <c r="O1642" i="7"/>
  <c r="O1633" i="7"/>
  <c r="O1624" i="7"/>
  <c r="O1790" i="7"/>
  <c r="O1781" i="7"/>
  <c r="O1772" i="7"/>
  <c r="O1763" i="7"/>
  <c r="O1754" i="7"/>
  <c r="O1745" i="7"/>
  <c r="O1736" i="7"/>
  <c r="O1727" i="7"/>
  <c r="O1718" i="7"/>
  <c r="O1709" i="7"/>
  <c r="O1785" i="7"/>
  <c r="O1776" i="7"/>
  <c r="O1767" i="7"/>
  <c r="O1758" i="7"/>
  <c r="O1749" i="7"/>
  <c r="O1740" i="7"/>
  <c r="O1731" i="7"/>
  <c r="O1722" i="7"/>
  <c r="O1713" i="7"/>
  <c r="O1704" i="7"/>
  <c r="O1695" i="7"/>
  <c r="O1789" i="7"/>
  <c r="O1780" i="7"/>
  <c r="O1771" i="7"/>
  <c r="O1762" i="7"/>
  <c r="O1753" i="7"/>
  <c r="O1744" i="7"/>
  <c r="O1735" i="7"/>
  <c r="O1726" i="7"/>
  <c r="O1717" i="7"/>
  <c r="O1708" i="7"/>
  <c r="O1699" i="7"/>
  <c r="O1784" i="7"/>
  <c r="O1775" i="7"/>
  <c r="O1766" i="7"/>
  <c r="O1757" i="7"/>
  <c r="O1748" i="7"/>
  <c r="O1788" i="7"/>
  <c r="O1779" i="7"/>
  <c r="O1770" i="7"/>
  <c r="O1761" i="7"/>
  <c r="O1752" i="7"/>
  <c r="O1743" i="7"/>
  <c r="O1734" i="7"/>
  <c r="O1725" i="7"/>
  <c r="O1716" i="7"/>
  <c r="O1783" i="7"/>
  <c r="O1774" i="7"/>
  <c r="O1765" i="7"/>
  <c r="O1756" i="7"/>
  <c r="O1747" i="7"/>
  <c r="O1738" i="7"/>
  <c r="O1729" i="7"/>
  <c r="O1720" i="7"/>
  <c r="O1711" i="7"/>
  <c r="O1702" i="7"/>
  <c r="O1644" i="7"/>
  <c r="O1641" i="7"/>
  <c r="O1616" i="7"/>
  <c r="O1739" i="7"/>
  <c r="O1715" i="7"/>
  <c r="O1706" i="7"/>
  <c r="O1643" i="7"/>
  <c r="O1640" i="7"/>
  <c r="O1639" i="7"/>
  <c r="O1637" i="7"/>
  <c r="O1636" i="7"/>
  <c r="O1686" i="7"/>
  <c r="O1635" i="7"/>
  <c r="O1632" i="7"/>
  <c r="O1712" i="7"/>
  <c r="O1690" i="7"/>
  <c r="O1689" i="7"/>
  <c r="O1688" i="7"/>
  <c r="O1685" i="7"/>
  <c r="O1684" i="7"/>
  <c r="O1682" i="7"/>
  <c r="O1681" i="7"/>
  <c r="O1634" i="7"/>
  <c r="O1631" i="7"/>
  <c r="O1630" i="7"/>
  <c r="O1628" i="7"/>
  <c r="O1627" i="7"/>
  <c r="O1615" i="7"/>
  <c r="O1680" i="7"/>
  <c r="O1677" i="7"/>
  <c r="O1626" i="7"/>
  <c r="O1623" i="7"/>
  <c r="O1691" i="7"/>
  <c r="O1679" i="7"/>
  <c r="O1676" i="7"/>
  <c r="O1675" i="7"/>
  <c r="O1673" i="7"/>
  <c r="O1672" i="7"/>
  <c r="O1625" i="7"/>
  <c r="O1622" i="7"/>
  <c r="O1621" i="7"/>
  <c r="O1619" i="7"/>
  <c r="O1707" i="7"/>
  <c r="O1703" i="7"/>
  <c r="O1700" i="7"/>
  <c r="O1671" i="7"/>
  <c r="O1668" i="7"/>
  <c r="O1721" i="7"/>
  <c r="O1670" i="7"/>
  <c r="O1667" i="7"/>
  <c r="O1666" i="7"/>
  <c r="O1664" i="7"/>
  <c r="O1663" i="7"/>
  <c r="O1618" i="7"/>
  <c r="O1697" i="7"/>
  <c r="O1693" i="7"/>
  <c r="O1662" i="7"/>
  <c r="O1659" i="7"/>
  <c r="O1661" i="7"/>
  <c r="O1658" i="7"/>
  <c r="O1657" i="7"/>
  <c r="O1655" i="7"/>
  <c r="O1654" i="7"/>
  <c r="O1730" i="7"/>
  <c r="O1694" i="7"/>
  <c r="O1653" i="7"/>
  <c r="O1650" i="7"/>
  <c r="O1698" i="7"/>
  <c r="O1652" i="7"/>
  <c r="O1649" i="7"/>
  <c r="O1648" i="7"/>
  <c r="O1646" i="7"/>
  <c r="O1645" i="7"/>
  <c r="O1617" i="7"/>
  <c r="GD41" i="4"/>
  <c r="J6" i="5"/>
  <c r="GW8" i="5"/>
  <c r="J12" i="5"/>
  <c r="J56" i="5"/>
  <c r="P31" i="7"/>
  <c r="P37" i="7"/>
  <c r="Q44" i="7"/>
  <c r="S44" i="7" s="1"/>
  <c r="M44" i="10" s="1"/>
  <c r="M47" i="7"/>
  <c r="Q52" i="7"/>
  <c r="S52" i="7" s="1"/>
  <c r="M52" i="10" s="1"/>
  <c r="P64" i="7"/>
  <c r="P74" i="7"/>
  <c r="M78" i="7"/>
  <c r="M86" i="7"/>
  <c r="M895" i="7"/>
  <c r="M886" i="7"/>
  <c r="M877" i="7"/>
  <c r="M890" i="7"/>
  <c r="M881" i="7"/>
  <c r="M872" i="7"/>
  <c r="M863" i="7"/>
  <c r="M854" i="7"/>
  <c r="M845" i="7"/>
  <c r="M836" i="7"/>
  <c r="M827" i="7"/>
  <c r="M818" i="7"/>
  <c r="M809" i="7"/>
  <c r="M800" i="7"/>
  <c r="M791" i="7"/>
  <c r="M782" i="7"/>
  <c r="M773" i="7"/>
  <c r="M764" i="7"/>
  <c r="M755" i="7"/>
  <c r="M746" i="7"/>
  <c r="M737" i="7"/>
  <c r="M728" i="7"/>
  <c r="M894" i="7"/>
  <c r="M885" i="7"/>
  <c r="M893" i="7"/>
  <c r="M884" i="7"/>
  <c r="M875" i="7"/>
  <c r="M866" i="7"/>
  <c r="M889" i="7"/>
  <c r="M878" i="7"/>
  <c r="M837" i="7"/>
  <c r="M834" i="7"/>
  <c r="M831" i="7"/>
  <c r="M783" i="7"/>
  <c r="M780" i="7"/>
  <c r="M777" i="7"/>
  <c r="M748" i="7"/>
  <c r="M740" i="7"/>
  <c r="M723" i="7"/>
  <c r="M874" i="7"/>
  <c r="M873" i="7"/>
  <c r="M833" i="7"/>
  <c r="M832" i="7"/>
  <c r="M830" i="7"/>
  <c r="M829" i="7"/>
  <c r="M826" i="7"/>
  <c r="M779" i="7"/>
  <c r="M778" i="7"/>
  <c r="M776" i="7"/>
  <c r="M775" i="7"/>
  <c r="M772" i="7"/>
  <c r="M739" i="7"/>
  <c r="M731" i="7"/>
  <c r="M896" i="7"/>
  <c r="M882" i="7"/>
  <c r="M879" i="7"/>
  <c r="M828" i="7"/>
  <c r="M825" i="7"/>
  <c r="M822" i="7"/>
  <c r="M774" i="7"/>
  <c r="M771" i="7"/>
  <c r="M768" i="7"/>
  <c r="M747" i="7"/>
  <c r="M730" i="7"/>
  <c r="M722" i="7"/>
  <c r="M824" i="7"/>
  <c r="M823" i="7"/>
  <c r="M821" i="7"/>
  <c r="M820" i="7"/>
  <c r="M817" i="7"/>
  <c r="M770" i="7"/>
  <c r="M769" i="7"/>
  <c r="M767" i="7"/>
  <c r="M766" i="7"/>
  <c r="M763" i="7"/>
  <c r="M738" i="7"/>
  <c r="M721" i="7"/>
  <c r="M897" i="7"/>
  <c r="M883" i="7"/>
  <c r="M819" i="7"/>
  <c r="M816" i="7"/>
  <c r="M813" i="7"/>
  <c r="M765" i="7"/>
  <c r="M762" i="7"/>
  <c r="M759" i="7"/>
  <c r="M745" i="7"/>
  <c r="M729" i="7"/>
  <c r="M880" i="7"/>
  <c r="M876" i="7"/>
  <c r="M865" i="7"/>
  <c r="M862" i="7"/>
  <c r="M815" i="7"/>
  <c r="M814" i="7"/>
  <c r="M812" i="7"/>
  <c r="M811" i="7"/>
  <c r="M808" i="7"/>
  <c r="M761" i="7"/>
  <c r="M760" i="7"/>
  <c r="M758" i="7"/>
  <c r="M757" i="7"/>
  <c r="M754" i="7"/>
  <c r="M736" i="7"/>
  <c r="M867" i="7"/>
  <c r="M864" i="7"/>
  <c r="M861" i="7"/>
  <c r="M858" i="7"/>
  <c r="M810" i="7"/>
  <c r="M807" i="7"/>
  <c r="M804" i="7"/>
  <c r="M756" i="7"/>
  <c r="M753" i="7"/>
  <c r="M744" i="7"/>
  <c r="M727" i="7"/>
  <c r="M720" i="7"/>
  <c r="M898" i="7"/>
  <c r="M887" i="7"/>
  <c r="M860" i="7"/>
  <c r="M859" i="7"/>
  <c r="M857" i="7"/>
  <c r="M856" i="7"/>
  <c r="M853" i="7"/>
  <c r="M806" i="7"/>
  <c r="M805" i="7"/>
  <c r="M803" i="7"/>
  <c r="M802" i="7"/>
  <c r="M799" i="7"/>
  <c r="M752" i="7"/>
  <c r="M735" i="7"/>
  <c r="M868" i="7"/>
  <c r="M855" i="7"/>
  <c r="M852" i="7"/>
  <c r="M849" i="7"/>
  <c r="M801" i="7"/>
  <c r="M798" i="7"/>
  <c r="M795" i="7"/>
  <c r="M751" i="7"/>
  <c r="M743" i="7"/>
  <c r="M726" i="7"/>
  <c r="M891" i="7"/>
  <c r="M888" i="7"/>
  <c r="M870" i="7"/>
  <c r="M869" i="7"/>
  <c r="M851" i="7"/>
  <c r="M850" i="7"/>
  <c r="M848" i="7"/>
  <c r="M847" i="7"/>
  <c r="M844" i="7"/>
  <c r="M797" i="7"/>
  <c r="M796" i="7"/>
  <c r="M794" i="7"/>
  <c r="M793" i="7"/>
  <c r="M790" i="7"/>
  <c r="M750" i="7"/>
  <c r="M742" i="7"/>
  <c r="M734" i="7"/>
  <c r="M871" i="7"/>
  <c r="M846" i="7"/>
  <c r="M843" i="7"/>
  <c r="M840" i="7"/>
  <c r="M792" i="7"/>
  <c r="M789" i="7"/>
  <c r="M786" i="7"/>
  <c r="M741" i="7"/>
  <c r="M733" i="7"/>
  <c r="M725" i="7"/>
  <c r="M892" i="7"/>
  <c r="M842" i="7"/>
  <c r="M841" i="7"/>
  <c r="M839" i="7"/>
  <c r="M838" i="7"/>
  <c r="M835" i="7"/>
  <c r="M788" i="7"/>
  <c r="M787" i="7"/>
  <c r="M785" i="7"/>
  <c r="M784" i="7"/>
  <c r="M781" i="7"/>
  <c r="M749" i="7"/>
  <c r="M732" i="7"/>
  <c r="M724" i="7"/>
  <c r="Q1251" i="7"/>
  <c r="S1251" i="7" s="1"/>
  <c r="M535" i="11" s="1"/>
  <c r="Q1242" i="7"/>
  <c r="S1242" i="7" s="1"/>
  <c r="M526" i="11" s="1"/>
  <c r="Q1233" i="7"/>
  <c r="S1233" i="7" s="1"/>
  <c r="M517" i="11" s="1"/>
  <c r="Q1224" i="7"/>
  <c r="S1224" i="7" s="1"/>
  <c r="M508" i="11" s="1"/>
  <c r="Q1255" i="7"/>
  <c r="S1255" i="7" s="1"/>
  <c r="M539" i="11" s="1"/>
  <c r="Q1246" i="7"/>
  <c r="S1246" i="7" s="1"/>
  <c r="M530" i="11" s="1"/>
  <c r="Q1238" i="7"/>
  <c r="S1238" i="7" s="1"/>
  <c r="M522" i="11" s="1"/>
  <c r="Q1230" i="7"/>
  <c r="S1230" i="7" s="1"/>
  <c r="M514" i="11" s="1"/>
  <c r="Q1211" i="7"/>
  <c r="S1211" i="7" s="1"/>
  <c r="M495" i="11" s="1"/>
  <c r="Q1202" i="7"/>
  <c r="S1202" i="7" s="1"/>
  <c r="M486" i="11" s="1"/>
  <c r="Q1193" i="7"/>
  <c r="S1193" i="7" s="1"/>
  <c r="M477" i="11" s="1"/>
  <c r="Q1184" i="7"/>
  <c r="S1184" i="7" s="1"/>
  <c r="M468" i="11" s="1"/>
  <c r="Q1175" i="7"/>
  <c r="S1175" i="7" s="1"/>
  <c r="M459" i="11" s="1"/>
  <c r="Q1166" i="7"/>
  <c r="S1166" i="7" s="1"/>
  <c r="M450" i="11" s="1"/>
  <c r="Q1157" i="7"/>
  <c r="S1157" i="7" s="1"/>
  <c r="M441" i="11" s="1"/>
  <c r="Q1256" i="7"/>
  <c r="S1256" i="7" s="1"/>
  <c r="M540" i="11" s="1"/>
  <c r="Q1254" i="7"/>
  <c r="S1254" i="7" s="1"/>
  <c r="M538" i="11" s="1"/>
  <c r="Q1253" i="7"/>
  <c r="S1253" i="7" s="1"/>
  <c r="M537" i="11" s="1"/>
  <c r="Q1250" i="7"/>
  <c r="S1250" i="7" s="1"/>
  <c r="M534" i="11" s="1"/>
  <c r="Q1237" i="7"/>
  <c r="S1237" i="7" s="1"/>
  <c r="M521" i="11" s="1"/>
  <c r="Q1229" i="7"/>
  <c r="S1229" i="7" s="1"/>
  <c r="M513" i="11" s="1"/>
  <c r="Q1221" i="7"/>
  <c r="S1221" i="7" s="1"/>
  <c r="M505" i="11" s="1"/>
  <c r="Q1252" i="7"/>
  <c r="S1252" i="7" s="1"/>
  <c r="M536" i="11" s="1"/>
  <c r="Q1249" i="7"/>
  <c r="S1249" i="7" s="1"/>
  <c r="M533" i="11" s="1"/>
  <c r="Q1228" i="7"/>
  <c r="S1228" i="7" s="1"/>
  <c r="M512" i="11" s="1"/>
  <c r="Q1220" i="7"/>
  <c r="S1220" i="7" s="1"/>
  <c r="M504" i="11" s="1"/>
  <c r="Q1215" i="7"/>
  <c r="S1215" i="7" s="1"/>
  <c r="M499" i="11" s="1"/>
  <c r="Q1206" i="7"/>
  <c r="S1206" i="7" s="1"/>
  <c r="M490" i="11" s="1"/>
  <c r="Q1197" i="7"/>
  <c r="S1197" i="7" s="1"/>
  <c r="M481" i="11" s="1"/>
  <c r="Q1188" i="7"/>
  <c r="S1188" i="7" s="1"/>
  <c r="M472" i="11" s="1"/>
  <c r="Q1179" i="7"/>
  <c r="S1179" i="7" s="1"/>
  <c r="M463" i="11" s="1"/>
  <c r="Q1170" i="7"/>
  <c r="S1170" i="7" s="1"/>
  <c r="M454" i="11" s="1"/>
  <c r="Q1161" i="7"/>
  <c r="S1161" i="7" s="1"/>
  <c r="M445" i="11" s="1"/>
  <c r="Q1152" i="7"/>
  <c r="S1152" i="7" s="1"/>
  <c r="M436" i="11" s="1"/>
  <c r="Q1143" i="7"/>
  <c r="S1143" i="7" s="1"/>
  <c r="M427" i="11" s="1"/>
  <c r="Q1134" i="7"/>
  <c r="S1134" i="7" s="1"/>
  <c r="M418" i="11" s="1"/>
  <c r="Q1125" i="7"/>
  <c r="S1125" i="7" s="1"/>
  <c r="M409" i="11" s="1"/>
  <c r="Q1116" i="7"/>
  <c r="S1116" i="7" s="1"/>
  <c r="M400" i="11" s="1"/>
  <c r="Q1107" i="7"/>
  <c r="S1107" i="7" s="1"/>
  <c r="M391" i="11" s="1"/>
  <c r="Q1098" i="7"/>
  <c r="S1098" i="7" s="1"/>
  <c r="M382" i="11" s="1"/>
  <c r="Q1089" i="7"/>
  <c r="S1089" i="7" s="1"/>
  <c r="M373" i="11" s="1"/>
  <c r="Q1080" i="7"/>
  <c r="S1080" i="7" s="1"/>
  <c r="M364" i="11" s="1"/>
  <c r="Q1248" i="7"/>
  <c r="S1248" i="7" s="1"/>
  <c r="M532" i="11" s="1"/>
  <c r="Q1247" i="7"/>
  <c r="S1247" i="7" s="1"/>
  <c r="M531" i="11" s="1"/>
  <c r="Q1245" i="7"/>
  <c r="S1245" i="7" s="1"/>
  <c r="M529" i="11" s="1"/>
  <c r="Q1244" i="7"/>
  <c r="S1244" i="7" s="1"/>
  <c r="M528" i="11" s="1"/>
  <c r="Q1236" i="7"/>
  <c r="S1236" i="7" s="1"/>
  <c r="M520" i="11" s="1"/>
  <c r="Q1219" i="7"/>
  <c r="S1219" i="7" s="1"/>
  <c r="M503" i="11" s="1"/>
  <c r="Q1210" i="7"/>
  <c r="S1210" i="7" s="1"/>
  <c r="M494" i="11" s="1"/>
  <c r="Q1201" i="7"/>
  <c r="S1201" i="7" s="1"/>
  <c r="M485" i="11" s="1"/>
  <c r="Q1192" i="7"/>
  <c r="S1192" i="7" s="1"/>
  <c r="M476" i="11" s="1"/>
  <c r="Q1183" i="7"/>
  <c r="S1183" i="7" s="1"/>
  <c r="M467" i="11" s="1"/>
  <c r="Q1174" i="7"/>
  <c r="S1174" i="7" s="1"/>
  <c r="M458" i="11" s="1"/>
  <c r="Q1165" i="7"/>
  <c r="S1165" i="7" s="1"/>
  <c r="M449" i="11" s="1"/>
  <c r="Q1156" i="7"/>
  <c r="S1156" i="7" s="1"/>
  <c r="M440" i="11" s="1"/>
  <c r="Q1147" i="7"/>
  <c r="S1147" i="7" s="1"/>
  <c r="M431" i="11" s="1"/>
  <c r="Q1138" i="7"/>
  <c r="S1138" i="7" s="1"/>
  <c r="M422" i="11" s="1"/>
  <c r="Q1129" i="7"/>
  <c r="S1129" i="7" s="1"/>
  <c r="M413" i="11" s="1"/>
  <c r="Q1120" i="7"/>
  <c r="S1120" i="7" s="1"/>
  <c r="M404" i="11" s="1"/>
  <c r="Q1111" i="7"/>
  <c r="S1111" i="7" s="1"/>
  <c r="M395" i="11" s="1"/>
  <c r="Q1102" i="7"/>
  <c r="S1102" i="7" s="1"/>
  <c r="M386" i="11" s="1"/>
  <c r="Q1093" i="7"/>
  <c r="S1093" i="7" s="1"/>
  <c r="M377" i="11" s="1"/>
  <c r="Q1235" i="7"/>
  <c r="S1235" i="7" s="1"/>
  <c r="M519" i="11" s="1"/>
  <c r="Q1227" i="7"/>
  <c r="S1227" i="7" s="1"/>
  <c r="M511" i="11" s="1"/>
  <c r="Q1214" i="7"/>
  <c r="S1214" i="7" s="1"/>
  <c r="M498" i="11" s="1"/>
  <c r="Q1205" i="7"/>
  <c r="S1205" i="7" s="1"/>
  <c r="M489" i="11" s="1"/>
  <c r="Q1196" i="7"/>
  <c r="S1196" i="7" s="1"/>
  <c r="M480" i="11" s="1"/>
  <c r="Q1187" i="7"/>
  <c r="S1187" i="7" s="1"/>
  <c r="M471" i="11" s="1"/>
  <c r="Q1178" i="7"/>
  <c r="S1178" i="7" s="1"/>
  <c r="M462" i="11" s="1"/>
  <c r="Q1169" i="7"/>
  <c r="S1169" i="7" s="1"/>
  <c r="M453" i="11" s="1"/>
  <c r="Q1160" i="7"/>
  <c r="S1160" i="7" s="1"/>
  <c r="M444" i="11" s="1"/>
  <c r="Q1151" i="7"/>
  <c r="S1151" i="7" s="1"/>
  <c r="M435" i="11" s="1"/>
  <c r="Q1243" i="7"/>
  <c r="S1243" i="7" s="1"/>
  <c r="M527" i="11" s="1"/>
  <c r="Q1226" i="7"/>
  <c r="S1226" i="7" s="1"/>
  <c r="M510" i="11" s="1"/>
  <c r="Q1234" i="7"/>
  <c r="S1234" i="7" s="1"/>
  <c r="M518" i="11" s="1"/>
  <c r="Q1218" i="7"/>
  <c r="S1218" i="7" s="1"/>
  <c r="M502" i="11" s="1"/>
  <c r="Q1209" i="7"/>
  <c r="S1209" i="7" s="1"/>
  <c r="M493" i="11" s="1"/>
  <c r="Q1200" i="7"/>
  <c r="S1200" i="7" s="1"/>
  <c r="M484" i="11" s="1"/>
  <c r="Q1191" i="7"/>
  <c r="S1191" i="7" s="1"/>
  <c r="M475" i="11" s="1"/>
  <c r="Q1182" i="7"/>
  <c r="S1182" i="7" s="1"/>
  <c r="M466" i="11" s="1"/>
  <c r="Q1173" i="7"/>
  <c r="S1173" i="7" s="1"/>
  <c r="M457" i="11" s="1"/>
  <c r="Q1164" i="7"/>
  <c r="S1164" i="7" s="1"/>
  <c r="M448" i="11" s="1"/>
  <c r="Q1155" i="7"/>
  <c r="S1155" i="7" s="1"/>
  <c r="M439" i="11" s="1"/>
  <c r="Q1146" i="7"/>
  <c r="S1146" i="7" s="1"/>
  <c r="M430" i="11" s="1"/>
  <c r="Q1137" i="7"/>
  <c r="S1137" i="7" s="1"/>
  <c r="M421" i="11" s="1"/>
  <c r="Q1241" i="7"/>
  <c r="S1241" i="7" s="1"/>
  <c r="M525" i="11" s="1"/>
  <c r="Q1225" i="7"/>
  <c r="S1225" i="7" s="1"/>
  <c r="M509" i="11" s="1"/>
  <c r="Q1213" i="7"/>
  <c r="S1213" i="7" s="1"/>
  <c r="M497" i="11" s="1"/>
  <c r="Q1204" i="7"/>
  <c r="S1204" i="7" s="1"/>
  <c r="M488" i="11" s="1"/>
  <c r="Q1195" i="7"/>
  <c r="S1195" i="7" s="1"/>
  <c r="M479" i="11" s="1"/>
  <c r="Q1186" i="7"/>
  <c r="S1186" i="7" s="1"/>
  <c r="M470" i="11" s="1"/>
  <c r="Q1177" i="7"/>
  <c r="S1177" i="7" s="1"/>
  <c r="M461" i="11" s="1"/>
  <c r="Q1168" i="7"/>
  <c r="S1168" i="7" s="1"/>
  <c r="M452" i="11" s="1"/>
  <c r="Q1159" i="7"/>
  <c r="S1159" i="7" s="1"/>
  <c r="M443" i="11" s="1"/>
  <c r="Q1150" i="7"/>
  <c r="S1150" i="7" s="1"/>
  <c r="M434" i="11" s="1"/>
  <c r="Q1141" i="7"/>
  <c r="S1141" i="7" s="1"/>
  <c r="M425" i="11" s="1"/>
  <c r="Q1132" i="7"/>
  <c r="S1132" i="7" s="1"/>
  <c r="M416" i="11" s="1"/>
  <c r="Q1232" i="7"/>
  <c r="S1232" i="7" s="1"/>
  <c r="M516" i="11" s="1"/>
  <c r="Q1217" i="7"/>
  <c r="S1217" i="7" s="1"/>
  <c r="M501" i="11" s="1"/>
  <c r="Q1208" i="7"/>
  <c r="S1208" i="7" s="1"/>
  <c r="M492" i="11" s="1"/>
  <c r="Q1199" i="7"/>
  <c r="S1199" i="7" s="1"/>
  <c r="M483" i="11" s="1"/>
  <c r="Q1190" i="7"/>
  <c r="S1190" i="7" s="1"/>
  <c r="M474" i="11" s="1"/>
  <c r="Q1240" i="7"/>
  <c r="S1240" i="7" s="1"/>
  <c r="M524" i="11" s="1"/>
  <c r="Q1223" i="7"/>
  <c r="S1223" i="7" s="1"/>
  <c r="M507" i="11" s="1"/>
  <c r="Q1231" i="7"/>
  <c r="S1231" i="7" s="1"/>
  <c r="M515" i="11" s="1"/>
  <c r="Q1212" i="7"/>
  <c r="S1212" i="7" s="1"/>
  <c r="M496" i="11" s="1"/>
  <c r="Q1203" i="7"/>
  <c r="S1203" i="7" s="1"/>
  <c r="M487" i="11" s="1"/>
  <c r="Q1194" i="7"/>
  <c r="S1194" i="7" s="1"/>
  <c r="M478" i="11" s="1"/>
  <c r="Q1185" i="7"/>
  <c r="S1185" i="7" s="1"/>
  <c r="M469" i="11" s="1"/>
  <c r="Q1176" i="7"/>
  <c r="S1176" i="7" s="1"/>
  <c r="M460" i="11" s="1"/>
  <c r="Q1167" i="7"/>
  <c r="S1167" i="7" s="1"/>
  <c r="M451" i="11" s="1"/>
  <c r="Q1158" i="7"/>
  <c r="S1158" i="7" s="1"/>
  <c r="M442" i="11" s="1"/>
  <c r="Q1149" i="7"/>
  <c r="S1149" i="7" s="1"/>
  <c r="M433" i="11" s="1"/>
  <c r="Q1239" i="7"/>
  <c r="S1239" i="7" s="1"/>
  <c r="M523" i="11" s="1"/>
  <c r="Q1222" i="7"/>
  <c r="S1222" i="7" s="1"/>
  <c r="M506" i="11" s="1"/>
  <c r="Q1216" i="7"/>
  <c r="S1216" i="7" s="1"/>
  <c r="M500" i="11" s="1"/>
  <c r="Q1207" i="7"/>
  <c r="S1207" i="7" s="1"/>
  <c r="M491" i="11" s="1"/>
  <c r="Q1198" i="7"/>
  <c r="S1198" i="7" s="1"/>
  <c r="M482" i="11" s="1"/>
  <c r="Q1189" i="7"/>
  <c r="S1189" i="7" s="1"/>
  <c r="M473" i="11" s="1"/>
  <c r="Q1180" i="7"/>
  <c r="S1180" i="7" s="1"/>
  <c r="M464" i="11" s="1"/>
  <c r="Q1171" i="7"/>
  <c r="S1171" i="7" s="1"/>
  <c r="M455" i="11" s="1"/>
  <c r="Q1162" i="7"/>
  <c r="S1162" i="7" s="1"/>
  <c r="M446" i="11" s="1"/>
  <c r="Q1090" i="7"/>
  <c r="S1090" i="7" s="1"/>
  <c r="M374" i="11" s="1"/>
  <c r="Q1148" i="7"/>
  <c r="S1148" i="7" s="1"/>
  <c r="M432" i="11" s="1"/>
  <c r="Q1081" i="7"/>
  <c r="S1081" i="7" s="1"/>
  <c r="M365" i="11" s="1"/>
  <c r="Q1163" i="7"/>
  <c r="S1163" i="7" s="1"/>
  <c r="M447" i="11" s="1"/>
  <c r="Q1153" i="7"/>
  <c r="S1153" i="7" s="1"/>
  <c r="M437" i="11" s="1"/>
  <c r="Q1130" i="7"/>
  <c r="S1130" i="7" s="1"/>
  <c r="M414" i="11" s="1"/>
  <c r="Q1128" i="7"/>
  <c r="S1128" i="7" s="1"/>
  <c r="M412" i="11" s="1"/>
  <c r="Q1127" i="7"/>
  <c r="S1127" i="7" s="1"/>
  <c r="M411" i="11" s="1"/>
  <c r="Q1124" i="7"/>
  <c r="S1124" i="7" s="1"/>
  <c r="M408" i="11" s="1"/>
  <c r="Q1088" i="7"/>
  <c r="S1088" i="7" s="1"/>
  <c r="M372" i="11" s="1"/>
  <c r="Q1144" i="7"/>
  <c r="S1144" i="7" s="1"/>
  <c r="M428" i="11" s="1"/>
  <c r="Q1131" i="7"/>
  <c r="S1131" i="7" s="1"/>
  <c r="M415" i="11" s="1"/>
  <c r="Q1126" i="7"/>
  <c r="S1126" i="7" s="1"/>
  <c r="M410" i="11" s="1"/>
  <c r="Q1123" i="7"/>
  <c r="S1123" i="7" s="1"/>
  <c r="M407" i="11" s="1"/>
  <c r="Q1079" i="7"/>
  <c r="S1079" i="7" s="1"/>
  <c r="M363" i="11" s="1"/>
  <c r="Q1145" i="7"/>
  <c r="S1145" i="7" s="1"/>
  <c r="M429" i="11" s="1"/>
  <c r="Q1139" i="7"/>
  <c r="S1139" i="7" s="1"/>
  <c r="M423" i="11" s="1"/>
  <c r="Q1133" i="7"/>
  <c r="S1133" i="7" s="1"/>
  <c r="M417" i="11" s="1"/>
  <c r="Q1122" i="7"/>
  <c r="S1122" i="7" s="1"/>
  <c r="M406" i="11" s="1"/>
  <c r="Q1121" i="7"/>
  <c r="S1121" i="7" s="1"/>
  <c r="M405" i="11" s="1"/>
  <c r="Q1119" i="7"/>
  <c r="S1119" i="7" s="1"/>
  <c r="M403" i="11" s="1"/>
  <c r="Q1118" i="7"/>
  <c r="S1118" i="7" s="1"/>
  <c r="M402" i="11" s="1"/>
  <c r="Q1115" i="7"/>
  <c r="S1115" i="7" s="1"/>
  <c r="M399" i="11" s="1"/>
  <c r="Q1087" i="7"/>
  <c r="S1087" i="7" s="1"/>
  <c r="M371" i="11" s="1"/>
  <c r="Q1172" i="7"/>
  <c r="S1172" i="7" s="1"/>
  <c r="M456" i="11" s="1"/>
  <c r="Q1117" i="7"/>
  <c r="S1117" i="7" s="1"/>
  <c r="M401" i="11" s="1"/>
  <c r="Q1114" i="7"/>
  <c r="S1114" i="7" s="1"/>
  <c r="M398" i="11" s="1"/>
  <c r="Q1140" i="7"/>
  <c r="S1140" i="7" s="1"/>
  <c r="M424" i="11" s="1"/>
  <c r="Q1113" i="7"/>
  <c r="S1113" i="7" s="1"/>
  <c r="M397" i="11" s="1"/>
  <c r="Q1112" i="7"/>
  <c r="S1112" i="7" s="1"/>
  <c r="M396" i="11" s="1"/>
  <c r="Q1110" i="7"/>
  <c r="S1110" i="7" s="1"/>
  <c r="M394" i="11" s="1"/>
  <c r="Q1109" i="7"/>
  <c r="S1109" i="7" s="1"/>
  <c r="M393" i="11" s="1"/>
  <c r="Q1106" i="7"/>
  <c r="S1106" i="7" s="1"/>
  <c r="M390" i="11" s="1"/>
  <c r="Q1086" i="7"/>
  <c r="S1086" i="7" s="1"/>
  <c r="M370" i="11" s="1"/>
  <c r="Q1078" i="7"/>
  <c r="S1078" i="7" s="1"/>
  <c r="M362" i="11" s="1"/>
  <c r="Q1154" i="7"/>
  <c r="S1154" i="7" s="1"/>
  <c r="M438" i="11" s="1"/>
  <c r="Q1135" i="7"/>
  <c r="S1135" i="7" s="1"/>
  <c r="M419" i="11" s="1"/>
  <c r="Q1108" i="7"/>
  <c r="S1108" i="7" s="1"/>
  <c r="M392" i="11" s="1"/>
  <c r="Q1105" i="7"/>
  <c r="S1105" i="7" s="1"/>
  <c r="M389" i="11" s="1"/>
  <c r="Q1085" i="7"/>
  <c r="S1085" i="7" s="1"/>
  <c r="M369" i="11" s="1"/>
  <c r="Q1181" i="7"/>
  <c r="S1181" i="7" s="1"/>
  <c r="M465" i="11" s="1"/>
  <c r="Q1136" i="7"/>
  <c r="S1136" i="7" s="1"/>
  <c r="M420" i="11" s="1"/>
  <c r="Q1104" i="7"/>
  <c r="S1104" i="7" s="1"/>
  <c r="M388" i="11" s="1"/>
  <c r="Q1103" i="7"/>
  <c r="S1103" i="7" s="1"/>
  <c r="M387" i="11" s="1"/>
  <c r="Q1101" i="7"/>
  <c r="S1101" i="7" s="1"/>
  <c r="M385" i="11" s="1"/>
  <c r="Q1100" i="7"/>
  <c r="S1100" i="7" s="1"/>
  <c r="M384" i="11" s="1"/>
  <c r="Q1097" i="7"/>
  <c r="S1097" i="7" s="1"/>
  <c r="M381" i="11" s="1"/>
  <c r="Q1084" i="7"/>
  <c r="S1084" i="7" s="1"/>
  <c r="M368" i="11" s="1"/>
  <c r="Q1099" i="7"/>
  <c r="S1099" i="7" s="1"/>
  <c r="M383" i="11" s="1"/>
  <c r="Q1096" i="7"/>
  <c r="S1096" i="7" s="1"/>
  <c r="M380" i="11" s="1"/>
  <c r="Q1142" i="7"/>
  <c r="S1142" i="7" s="1"/>
  <c r="M426" i="11" s="1"/>
  <c r="Q1095" i="7"/>
  <c r="S1095" i="7" s="1"/>
  <c r="M379" i="11" s="1"/>
  <c r="Q1094" i="7"/>
  <c r="S1094" i="7" s="1"/>
  <c r="M378" i="11" s="1"/>
  <c r="Q1092" i="7"/>
  <c r="S1092" i="7" s="1"/>
  <c r="M376" i="11" s="1"/>
  <c r="Q1091" i="7"/>
  <c r="S1091" i="7" s="1"/>
  <c r="M375" i="11" s="1"/>
  <c r="Q1083" i="7"/>
  <c r="S1083" i="7" s="1"/>
  <c r="M367" i="11" s="1"/>
  <c r="Q1082" i="7"/>
  <c r="S1082" i="7" s="1"/>
  <c r="M366" i="11" s="1"/>
  <c r="GQ57" i="5"/>
  <c r="GP57" i="5"/>
  <c r="GO57" i="5"/>
  <c r="Q353" i="7"/>
  <c r="S353" i="7" s="1"/>
  <c r="M353" i="10" s="1"/>
  <c r="Q344" i="7"/>
  <c r="S344" i="7" s="1"/>
  <c r="M344" i="10" s="1"/>
  <c r="Q335" i="7"/>
  <c r="S335" i="7" s="1"/>
  <c r="M335" i="10" s="1"/>
  <c r="Q326" i="7"/>
  <c r="S326" i="7" s="1"/>
  <c r="M326" i="10" s="1"/>
  <c r="Q317" i="7"/>
  <c r="S317" i="7" s="1"/>
  <c r="M317" i="10" s="1"/>
  <c r="Q308" i="7"/>
  <c r="S308" i="7" s="1"/>
  <c r="M308" i="10" s="1"/>
  <c r="Q299" i="7"/>
  <c r="S299" i="7" s="1"/>
  <c r="M299" i="10" s="1"/>
  <c r="Q361" i="7"/>
  <c r="S361" i="7" s="1"/>
  <c r="M361" i="10" s="1"/>
  <c r="Q345" i="7"/>
  <c r="S345" i="7" s="1"/>
  <c r="M345" i="10" s="1"/>
  <c r="Q337" i="7"/>
  <c r="S337" i="7" s="1"/>
  <c r="M337" i="10" s="1"/>
  <c r="Q320" i="7"/>
  <c r="S320" i="7" s="1"/>
  <c r="M320" i="10" s="1"/>
  <c r="Q304" i="7"/>
  <c r="S304" i="7" s="1"/>
  <c r="M304" i="10" s="1"/>
  <c r="Q303" i="7"/>
  <c r="S303" i="7" s="1"/>
  <c r="M303" i="10" s="1"/>
  <c r="Q292" i="7"/>
  <c r="S292" i="7" s="1"/>
  <c r="M292" i="10" s="1"/>
  <c r="Q283" i="7"/>
  <c r="S283" i="7" s="1"/>
  <c r="M283" i="10" s="1"/>
  <c r="Q274" i="7"/>
  <c r="S274" i="7" s="1"/>
  <c r="M274" i="10" s="1"/>
  <c r="Q265" i="7"/>
  <c r="S265" i="7" s="1"/>
  <c r="M265" i="10" s="1"/>
  <c r="Q256" i="7"/>
  <c r="S256" i="7" s="1"/>
  <c r="M256" i="10" s="1"/>
  <c r="Q247" i="7"/>
  <c r="S247" i="7" s="1"/>
  <c r="M247" i="10" s="1"/>
  <c r="Q238" i="7"/>
  <c r="S238" i="7" s="1"/>
  <c r="M238" i="10" s="1"/>
  <c r="Q229" i="7"/>
  <c r="S229" i="7" s="1"/>
  <c r="M229" i="10" s="1"/>
  <c r="Q336" i="7"/>
  <c r="S336" i="7" s="1"/>
  <c r="M336" i="10" s="1"/>
  <c r="Q328" i="7"/>
  <c r="S328" i="7" s="1"/>
  <c r="M328" i="10" s="1"/>
  <c r="Q311" i="7"/>
  <c r="S311" i="7" s="1"/>
  <c r="M311" i="10" s="1"/>
  <c r="Q352" i="7"/>
  <c r="S352" i="7" s="1"/>
  <c r="M352" i="10" s="1"/>
  <c r="Q327" i="7"/>
  <c r="S327" i="7" s="1"/>
  <c r="M327" i="10" s="1"/>
  <c r="Q319" i="7"/>
  <c r="S319" i="7" s="1"/>
  <c r="M319" i="10" s="1"/>
  <c r="Q302" i="7"/>
  <c r="S302" i="7" s="1"/>
  <c r="M302" i="10" s="1"/>
  <c r="Q296" i="7"/>
  <c r="S296" i="7" s="1"/>
  <c r="M296" i="10" s="1"/>
  <c r="Q287" i="7"/>
  <c r="S287" i="7" s="1"/>
  <c r="M287" i="10" s="1"/>
  <c r="Q278" i="7"/>
  <c r="S278" i="7" s="1"/>
  <c r="M278" i="10" s="1"/>
  <c r="Q269" i="7"/>
  <c r="S269" i="7" s="1"/>
  <c r="M269" i="10" s="1"/>
  <c r="Q260" i="7"/>
  <c r="S260" i="7" s="1"/>
  <c r="M260" i="10" s="1"/>
  <c r="Q251" i="7"/>
  <c r="S251" i="7" s="1"/>
  <c r="M251" i="10" s="1"/>
  <c r="Q242" i="7"/>
  <c r="S242" i="7" s="1"/>
  <c r="M242" i="10" s="1"/>
  <c r="Q233" i="7"/>
  <c r="S233" i="7" s="1"/>
  <c r="M233" i="10" s="1"/>
  <c r="Q224" i="7"/>
  <c r="S224" i="7" s="1"/>
  <c r="M224" i="10" s="1"/>
  <c r="Q215" i="7"/>
  <c r="S215" i="7" s="1"/>
  <c r="M215" i="10" s="1"/>
  <c r="Q206" i="7"/>
  <c r="S206" i="7" s="1"/>
  <c r="M206" i="10" s="1"/>
  <c r="Q197" i="7"/>
  <c r="S197" i="7" s="1"/>
  <c r="M197" i="10" s="1"/>
  <c r="Q188" i="7"/>
  <c r="S188" i="7" s="1"/>
  <c r="M188" i="10" s="1"/>
  <c r="Q360" i="7"/>
  <c r="S360" i="7" s="1"/>
  <c r="M360" i="10" s="1"/>
  <c r="Q351" i="7"/>
  <c r="S351" i="7" s="1"/>
  <c r="M351" i="10" s="1"/>
  <c r="Q343" i="7"/>
  <c r="S343" i="7" s="1"/>
  <c r="M343" i="10" s="1"/>
  <c r="Q318" i="7"/>
  <c r="S318" i="7" s="1"/>
  <c r="M318" i="10" s="1"/>
  <c r="Q310" i="7"/>
  <c r="S310" i="7" s="1"/>
  <c r="M310" i="10" s="1"/>
  <c r="Q291" i="7"/>
  <c r="S291" i="7" s="1"/>
  <c r="M291" i="10" s="1"/>
  <c r="Q282" i="7"/>
  <c r="S282" i="7" s="1"/>
  <c r="M282" i="10" s="1"/>
  <c r="Q273" i="7"/>
  <c r="S273" i="7" s="1"/>
  <c r="M273" i="10" s="1"/>
  <c r="Q264" i="7"/>
  <c r="S264" i="7" s="1"/>
  <c r="M264" i="10" s="1"/>
  <c r="Q255" i="7"/>
  <c r="S255" i="7" s="1"/>
  <c r="M255" i="10" s="1"/>
  <c r="Q246" i="7"/>
  <c r="S246" i="7" s="1"/>
  <c r="M246" i="10" s="1"/>
  <c r="Q237" i="7"/>
  <c r="S237" i="7" s="1"/>
  <c r="M237" i="10" s="1"/>
  <c r="Q228" i="7"/>
  <c r="S228" i="7" s="1"/>
  <c r="M228" i="10" s="1"/>
  <c r="Q219" i="7"/>
  <c r="S219" i="7" s="1"/>
  <c r="M219" i="10" s="1"/>
  <c r="Q210" i="7"/>
  <c r="S210" i="7" s="1"/>
  <c r="M210" i="10" s="1"/>
  <c r="Q201" i="7"/>
  <c r="S201" i="7" s="1"/>
  <c r="M201" i="10" s="1"/>
  <c r="Q192" i="7"/>
  <c r="S192" i="7" s="1"/>
  <c r="M192" i="10" s="1"/>
  <c r="Q183" i="7"/>
  <c r="S183" i="7" s="1"/>
  <c r="M183" i="10" s="1"/>
  <c r="Q359" i="7"/>
  <c r="S359" i="7" s="1"/>
  <c r="M359" i="10" s="1"/>
  <c r="Q342" i="7"/>
  <c r="S342" i="7" s="1"/>
  <c r="M342" i="10" s="1"/>
  <c r="Q334" i="7"/>
  <c r="S334" i="7" s="1"/>
  <c r="M334" i="10" s="1"/>
  <c r="Q309" i="7"/>
  <c r="S309" i="7" s="1"/>
  <c r="M309" i="10" s="1"/>
  <c r="Q301" i="7"/>
  <c r="S301" i="7" s="1"/>
  <c r="M301" i="10" s="1"/>
  <c r="Q295" i="7"/>
  <c r="S295" i="7" s="1"/>
  <c r="M295" i="10" s="1"/>
  <c r="Q286" i="7"/>
  <c r="S286" i="7" s="1"/>
  <c r="M286" i="10" s="1"/>
  <c r="Q277" i="7"/>
  <c r="S277" i="7" s="1"/>
  <c r="M277" i="10" s="1"/>
  <c r="Q268" i="7"/>
  <c r="S268" i="7" s="1"/>
  <c r="M268" i="10" s="1"/>
  <c r="Q259" i="7"/>
  <c r="S259" i="7" s="1"/>
  <c r="M259" i="10" s="1"/>
  <c r="Q250" i="7"/>
  <c r="S250" i="7" s="1"/>
  <c r="M250" i="10" s="1"/>
  <c r="Q241" i="7"/>
  <c r="S241" i="7" s="1"/>
  <c r="M241" i="10" s="1"/>
  <c r="Q232" i="7"/>
  <c r="S232" i="7" s="1"/>
  <c r="M232" i="10" s="1"/>
  <c r="Q223" i="7"/>
  <c r="S223" i="7" s="1"/>
  <c r="M223" i="10" s="1"/>
  <c r="Q214" i="7"/>
  <c r="S214" i="7" s="1"/>
  <c r="M214" i="10" s="1"/>
  <c r="Q205" i="7"/>
  <c r="S205" i="7" s="1"/>
  <c r="M205" i="10" s="1"/>
  <c r="Q196" i="7"/>
  <c r="S196" i="7" s="1"/>
  <c r="M196" i="10" s="1"/>
  <c r="Q187" i="7"/>
  <c r="S187" i="7" s="1"/>
  <c r="M187" i="10" s="1"/>
  <c r="Q350" i="7"/>
  <c r="S350" i="7" s="1"/>
  <c r="M350" i="10" s="1"/>
  <c r="Q333" i="7"/>
  <c r="S333" i="7" s="1"/>
  <c r="M333" i="10" s="1"/>
  <c r="Q325" i="7"/>
  <c r="S325" i="7" s="1"/>
  <c r="M325" i="10" s="1"/>
  <c r="Q300" i="7"/>
  <c r="S300" i="7" s="1"/>
  <c r="M300" i="10" s="1"/>
  <c r="Q358" i="7"/>
  <c r="S358" i="7" s="1"/>
  <c r="M358" i="10" s="1"/>
  <c r="Q357" i="7"/>
  <c r="S357" i="7" s="1"/>
  <c r="M357" i="10" s="1"/>
  <c r="Q341" i="7"/>
  <c r="S341" i="7" s="1"/>
  <c r="M341" i="10" s="1"/>
  <c r="Q324" i="7"/>
  <c r="S324" i="7" s="1"/>
  <c r="M324" i="10" s="1"/>
  <c r="Q316" i="7"/>
  <c r="S316" i="7" s="1"/>
  <c r="M316" i="10" s="1"/>
  <c r="Q290" i="7"/>
  <c r="S290" i="7" s="1"/>
  <c r="M290" i="10" s="1"/>
  <c r="Q281" i="7"/>
  <c r="S281" i="7" s="1"/>
  <c r="M281" i="10" s="1"/>
  <c r="Q272" i="7"/>
  <c r="S272" i="7" s="1"/>
  <c r="M272" i="10" s="1"/>
  <c r="Q263" i="7"/>
  <c r="S263" i="7" s="1"/>
  <c r="M263" i="10" s="1"/>
  <c r="Q254" i="7"/>
  <c r="S254" i="7" s="1"/>
  <c r="M254" i="10" s="1"/>
  <c r="Q245" i="7"/>
  <c r="S245" i="7" s="1"/>
  <c r="M245" i="10" s="1"/>
  <c r="Q236" i="7"/>
  <c r="S236" i="7" s="1"/>
  <c r="M236" i="10" s="1"/>
  <c r="Q227" i="7"/>
  <c r="S227" i="7" s="1"/>
  <c r="M227" i="10" s="1"/>
  <c r="Q218" i="7"/>
  <c r="S218" i="7" s="1"/>
  <c r="M218" i="10" s="1"/>
  <c r="Q209" i="7"/>
  <c r="S209" i="7" s="1"/>
  <c r="M209" i="10" s="1"/>
  <c r="Q200" i="7"/>
  <c r="S200" i="7" s="1"/>
  <c r="M200" i="10" s="1"/>
  <c r="Q191" i="7"/>
  <c r="S191" i="7" s="1"/>
  <c r="M191" i="10" s="1"/>
  <c r="Q349" i="7"/>
  <c r="S349" i="7" s="1"/>
  <c r="M349" i="10" s="1"/>
  <c r="Q348" i="7"/>
  <c r="S348" i="7" s="1"/>
  <c r="M348" i="10" s="1"/>
  <c r="Q332" i="7"/>
  <c r="S332" i="7" s="1"/>
  <c r="M332" i="10" s="1"/>
  <c r="Q315" i="7"/>
  <c r="S315" i="7" s="1"/>
  <c r="M315" i="10" s="1"/>
  <c r="Q307" i="7"/>
  <c r="S307" i="7" s="1"/>
  <c r="M307" i="10" s="1"/>
  <c r="Q294" i="7"/>
  <c r="S294" i="7" s="1"/>
  <c r="M294" i="10" s="1"/>
  <c r="Q285" i="7"/>
  <c r="S285" i="7" s="1"/>
  <c r="M285" i="10" s="1"/>
  <c r="Q276" i="7"/>
  <c r="S276" i="7" s="1"/>
  <c r="M276" i="10" s="1"/>
  <c r="Q267" i="7"/>
  <c r="S267" i="7" s="1"/>
  <c r="M267" i="10" s="1"/>
  <c r="Q258" i="7"/>
  <c r="S258" i="7" s="1"/>
  <c r="M258" i="10" s="1"/>
  <c r="Q249" i="7"/>
  <c r="S249" i="7" s="1"/>
  <c r="M249" i="10" s="1"/>
  <c r="Q240" i="7"/>
  <c r="S240" i="7" s="1"/>
  <c r="M240" i="10" s="1"/>
  <c r="Q231" i="7"/>
  <c r="S231" i="7" s="1"/>
  <c r="M231" i="10" s="1"/>
  <c r="Q222" i="7"/>
  <c r="S222" i="7" s="1"/>
  <c r="M222" i="10" s="1"/>
  <c r="Q213" i="7"/>
  <c r="S213" i="7" s="1"/>
  <c r="M213" i="10" s="1"/>
  <c r="Q204" i="7"/>
  <c r="S204" i="7" s="1"/>
  <c r="M204" i="10" s="1"/>
  <c r="Q195" i="7"/>
  <c r="S195" i="7" s="1"/>
  <c r="M195" i="10" s="1"/>
  <c r="Q356" i="7"/>
  <c r="S356" i="7" s="1"/>
  <c r="M356" i="10" s="1"/>
  <c r="Q340" i="7"/>
  <c r="S340" i="7" s="1"/>
  <c r="M340" i="10" s="1"/>
  <c r="Q339" i="7"/>
  <c r="S339" i="7" s="1"/>
  <c r="M339" i="10" s="1"/>
  <c r="Q323" i="7"/>
  <c r="S323" i="7" s="1"/>
  <c r="M323" i="10" s="1"/>
  <c r="Q306" i="7"/>
  <c r="S306" i="7" s="1"/>
  <c r="M306" i="10" s="1"/>
  <c r="Q298" i="7"/>
  <c r="S298" i="7" s="1"/>
  <c r="M298" i="10" s="1"/>
  <c r="Q289" i="7"/>
  <c r="S289" i="7" s="1"/>
  <c r="M289" i="10" s="1"/>
  <c r="Q280" i="7"/>
  <c r="S280" i="7" s="1"/>
  <c r="M280" i="10" s="1"/>
  <c r="Q271" i="7"/>
  <c r="S271" i="7" s="1"/>
  <c r="M271" i="10" s="1"/>
  <c r="Q262" i="7"/>
  <c r="S262" i="7" s="1"/>
  <c r="M262" i="10" s="1"/>
  <c r="Q253" i="7"/>
  <c r="S253" i="7" s="1"/>
  <c r="M253" i="10" s="1"/>
  <c r="Q244" i="7"/>
  <c r="S244" i="7" s="1"/>
  <c r="M244" i="10" s="1"/>
  <c r="Q347" i="7"/>
  <c r="S347" i="7" s="1"/>
  <c r="M347" i="10" s="1"/>
  <c r="Q331" i="7"/>
  <c r="S331" i="7" s="1"/>
  <c r="M331" i="10" s="1"/>
  <c r="Q330" i="7"/>
  <c r="S330" i="7" s="1"/>
  <c r="M330" i="10" s="1"/>
  <c r="Q314" i="7"/>
  <c r="S314" i="7" s="1"/>
  <c r="M314" i="10" s="1"/>
  <c r="Q355" i="7"/>
  <c r="S355" i="7" s="1"/>
  <c r="M355" i="10" s="1"/>
  <c r="Q338" i="7"/>
  <c r="S338" i="7" s="1"/>
  <c r="M338" i="10" s="1"/>
  <c r="Q322" i="7"/>
  <c r="S322" i="7" s="1"/>
  <c r="M322" i="10" s="1"/>
  <c r="Q321" i="7"/>
  <c r="S321" i="7" s="1"/>
  <c r="M321" i="10" s="1"/>
  <c r="Q305" i="7"/>
  <c r="S305" i="7" s="1"/>
  <c r="M305" i="10" s="1"/>
  <c r="Q293" i="7"/>
  <c r="S293" i="7" s="1"/>
  <c r="M293" i="10" s="1"/>
  <c r="Q284" i="7"/>
  <c r="S284" i="7" s="1"/>
  <c r="M284" i="10" s="1"/>
  <c r="Q275" i="7"/>
  <c r="S275" i="7" s="1"/>
  <c r="M275" i="10" s="1"/>
  <c r="Q266" i="7"/>
  <c r="S266" i="7" s="1"/>
  <c r="M266" i="10" s="1"/>
  <c r="Q257" i="7"/>
  <c r="S257" i="7" s="1"/>
  <c r="M257" i="10" s="1"/>
  <c r="Q248" i="7"/>
  <c r="S248" i="7" s="1"/>
  <c r="M248" i="10" s="1"/>
  <c r="Q239" i="7"/>
  <c r="S239" i="7" s="1"/>
  <c r="M239" i="10" s="1"/>
  <c r="Q230" i="7"/>
  <c r="S230" i="7" s="1"/>
  <c r="M230" i="10" s="1"/>
  <c r="Q221" i="7"/>
  <c r="S221" i="7" s="1"/>
  <c r="M221" i="10" s="1"/>
  <c r="Q212" i="7"/>
  <c r="S212" i="7" s="1"/>
  <c r="M212" i="10" s="1"/>
  <c r="Q203" i="7"/>
  <c r="S203" i="7" s="1"/>
  <c r="M203" i="10" s="1"/>
  <c r="Q194" i="7"/>
  <c r="S194" i="7" s="1"/>
  <c r="M194" i="10" s="1"/>
  <c r="Q185" i="7"/>
  <c r="S185" i="7" s="1"/>
  <c r="M185" i="10" s="1"/>
  <c r="Q354" i="7"/>
  <c r="S354" i="7" s="1"/>
  <c r="M354" i="10" s="1"/>
  <c r="Q346" i="7"/>
  <c r="S346" i="7" s="1"/>
  <c r="M346" i="10" s="1"/>
  <c r="Q329" i="7"/>
  <c r="S329" i="7" s="1"/>
  <c r="M329" i="10" s="1"/>
  <c r="Q313" i="7"/>
  <c r="S313" i="7" s="1"/>
  <c r="M313" i="10" s="1"/>
  <c r="Q312" i="7"/>
  <c r="S312" i="7" s="1"/>
  <c r="M312" i="10" s="1"/>
  <c r="Q297" i="7"/>
  <c r="S297" i="7" s="1"/>
  <c r="M297" i="10" s="1"/>
  <c r="Q288" i="7"/>
  <c r="S288" i="7" s="1"/>
  <c r="M288" i="10" s="1"/>
  <c r="Q279" i="7"/>
  <c r="S279" i="7" s="1"/>
  <c r="M279" i="10" s="1"/>
  <c r="Q270" i="7"/>
  <c r="S270" i="7" s="1"/>
  <c r="M270" i="10" s="1"/>
  <c r="Q261" i="7"/>
  <c r="S261" i="7" s="1"/>
  <c r="M261" i="10" s="1"/>
  <c r="Q252" i="7"/>
  <c r="S252" i="7" s="1"/>
  <c r="M252" i="10" s="1"/>
  <c r="Q243" i="7"/>
  <c r="S243" i="7" s="1"/>
  <c r="M243" i="10" s="1"/>
  <c r="Q234" i="7"/>
  <c r="S234" i="7" s="1"/>
  <c r="M234" i="10" s="1"/>
  <c r="Q225" i="7"/>
  <c r="S225" i="7" s="1"/>
  <c r="M225" i="10" s="1"/>
  <c r="Q216" i="7"/>
  <c r="S216" i="7" s="1"/>
  <c r="M216" i="10" s="1"/>
  <c r="Q207" i="7"/>
  <c r="S207" i="7" s="1"/>
  <c r="M207" i="10" s="1"/>
  <c r="Q198" i="7"/>
  <c r="S198" i="7" s="1"/>
  <c r="M198" i="10" s="1"/>
  <c r="Q189" i="7"/>
  <c r="S189" i="7" s="1"/>
  <c r="M189" i="10" s="1"/>
  <c r="Q202" i="7"/>
  <c r="S202" i="7" s="1"/>
  <c r="M202" i="10" s="1"/>
  <c r="Q184" i="7"/>
  <c r="S184" i="7" s="1"/>
  <c r="M184" i="10" s="1"/>
  <c r="Q199" i="7"/>
  <c r="S199" i="7" s="1"/>
  <c r="M199" i="10" s="1"/>
  <c r="Q190" i="7"/>
  <c r="S190" i="7" s="1"/>
  <c r="M190" i="10" s="1"/>
  <c r="Q211" i="7"/>
  <c r="S211" i="7" s="1"/>
  <c r="M211" i="10" s="1"/>
  <c r="Q226" i="7"/>
  <c r="S226" i="7" s="1"/>
  <c r="M226" i="10" s="1"/>
  <c r="Q208" i="7"/>
  <c r="S208" i="7" s="1"/>
  <c r="M208" i="10" s="1"/>
  <c r="Q220" i="7"/>
  <c r="S220" i="7" s="1"/>
  <c r="M220" i="10" s="1"/>
  <c r="Q193" i="7"/>
  <c r="S193" i="7" s="1"/>
  <c r="M193" i="10" s="1"/>
  <c r="Q186" i="7"/>
  <c r="S186" i="7" s="1"/>
  <c r="M186" i="10" s="1"/>
  <c r="Q235" i="7"/>
  <c r="S235" i="7" s="1"/>
  <c r="M235" i="10" s="1"/>
  <c r="Q217" i="7"/>
  <c r="S217" i="7" s="1"/>
  <c r="M217" i="10" s="1"/>
  <c r="K21" i="3"/>
  <c r="I17" i="17"/>
  <c r="R898" i="7"/>
  <c r="R889" i="7"/>
  <c r="R880" i="7"/>
  <c r="R893" i="7"/>
  <c r="R884" i="7"/>
  <c r="R875" i="7"/>
  <c r="R866" i="7"/>
  <c r="R857" i="7"/>
  <c r="R848" i="7"/>
  <c r="R839" i="7"/>
  <c r="R830" i="7"/>
  <c r="R821" i="7"/>
  <c r="R812" i="7"/>
  <c r="R803" i="7"/>
  <c r="R794" i="7"/>
  <c r="R785" i="7"/>
  <c r="R776" i="7"/>
  <c r="R767" i="7"/>
  <c r="R758" i="7"/>
  <c r="R897" i="7"/>
  <c r="R888" i="7"/>
  <c r="R879" i="7"/>
  <c r="R870" i="7"/>
  <c r="R861" i="7"/>
  <c r="R852" i="7"/>
  <c r="R843" i="7"/>
  <c r="R834" i="7"/>
  <c r="R825" i="7"/>
  <c r="R816" i="7"/>
  <c r="R807" i="7"/>
  <c r="R798" i="7"/>
  <c r="R789" i="7"/>
  <c r="R780" i="7"/>
  <c r="R771" i="7"/>
  <c r="R762" i="7"/>
  <c r="R753" i="7"/>
  <c r="R744" i="7"/>
  <c r="R735" i="7"/>
  <c r="R726" i="7"/>
  <c r="R891" i="7"/>
  <c r="R882" i="7"/>
  <c r="R873" i="7"/>
  <c r="R886" i="7"/>
  <c r="R818" i="7"/>
  <c r="R815" i="7"/>
  <c r="R764" i="7"/>
  <c r="R761" i="7"/>
  <c r="R737" i="7"/>
  <c r="R883" i="7"/>
  <c r="R865" i="7"/>
  <c r="R864" i="7"/>
  <c r="R817" i="7"/>
  <c r="R814" i="7"/>
  <c r="R813" i="7"/>
  <c r="R811" i="7"/>
  <c r="R810" i="7"/>
  <c r="R763" i="7"/>
  <c r="R760" i="7"/>
  <c r="R759" i="7"/>
  <c r="R757" i="7"/>
  <c r="R756" i="7"/>
  <c r="R745" i="7"/>
  <c r="R728" i="7"/>
  <c r="R720" i="7"/>
  <c r="R890" i="7"/>
  <c r="R863" i="7"/>
  <c r="R860" i="7"/>
  <c r="R809" i="7"/>
  <c r="R806" i="7"/>
  <c r="R755" i="7"/>
  <c r="R752" i="7"/>
  <c r="R736" i="7"/>
  <c r="R887" i="7"/>
  <c r="R876" i="7"/>
  <c r="R867" i="7"/>
  <c r="R862" i="7"/>
  <c r="R859" i="7"/>
  <c r="R858" i="7"/>
  <c r="R856" i="7"/>
  <c r="R855" i="7"/>
  <c r="R808" i="7"/>
  <c r="R805" i="7"/>
  <c r="R804" i="7"/>
  <c r="R802" i="7"/>
  <c r="R801" i="7"/>
  <c r="R754" i="7"/>
  <c r="R743" i="7"/>
  <c r="R727" i="7"/>
  <c r="R894" i="7"/>
  <c r="R868" i="7"/>
  <c r="R854" i="7"/>
  <c r="R851" i="7"/>
  <c r="R800" i="7"/>
  <c r="R797" i="7"/>
  <c r="R751" i="7"/>
  <c r="R734" i="7"/>
  <c r="R877" i="7"/>
  <c r="R869" i="7"/>
  <c r="R853" i="7"/>
  <c r="R850" i="7"/>
  <c r="R849" i="7"/>
  <c r="R847" i="7"/>
  <c r="R846" i="7"/>
  <c r="R799" i="7"/>
  <c r="R796" i="7"/>
  <c r="R795" i="7"/>
  <c r="R793" i="7"/>
  <c r="R792" i="7"/>
  <c r="R750" i="7"/>
  <c r="R742" i="7"/>
  <c r="R725" i="7"/>
  <c r="R845" i="7"/>
  <c r="R842" i="7"/>
  <c r="R791" i="7"/>
  <c r="R788" i="7"/>
  <c r="R741" i="7"/>
  <c r="R733" i="7"/>
  <c r="R895" i="7"/>
  <c r="R881" i="7"/>
  <c r="R844" i="7"/>
  <c r="R841" i="7"/>
  <c r="R840" i="7"/>
  <c r="R838" i="7"/>
  <c r="R837" i="7"/>
  <c r="R790" i="7"/>
  <c r="R787" i="7"/>
  <c r="R786" i="7"/>
  <c r="R784" i="7"/>
  <c r="R783" i="7"/>
  <c r="R749" i="7"/>
  <c r="R732" i="7"/>
  <c r="R724" i="7"/>
  <c r="R892" i="7"/>
  <c r="R878" i="7"/>
  <c r="R872" i="7"/>
  <c r="R871" i="7"/>
  <c r="R836" i="7"/>
  <c r="R833" i="7"/>
  <c r="R782" i="7"/>
  <c r="R779" i="7"/>
  <c r="R748" i="7"/>
  <c r="R740" i="7"/>
  <c r="R723" i="7"/>
  <c r="R885" i="7"/>
  <c r="R835" i="7"/>
  <c r="R832" i="7"/>
  <c r="R831" i="7"/>
  <c r="R829" i="7"/>
  <c r="R828" i="7"/>
  <c r="R781" i="7"/>
  <c r="R778" i="7"/>
  <c r="R777" i="7"/>
  <c r="R775" i="7"/>
  <c r="R774" i="7"/>
  <c r="R747" i="7"/>
  <c r="R739" i="7"/>
  <c r="R731" i="7"/>
  <c r="R896" i="7"/>
  <c r="R874" i="7"/>
  <c r="R827" i="7"/>
  <c r="R824" i="7"/>
  <c r="R773" i="7"/>
  <c r="R770" i="7"/>
  <c r="R738" i="7"/>
  <c r="R730" i="7"/>
  <c r="R722" i="7"/>
  <c r="R826" i="7"/>
  <c r="R823" i="7"/>
  <c r="R822" i="7"/>
  <c r="R820" i="7"/>
  <c r="R819" i="7"/>
  <c r="R772" i="7"/>
  <c r="R769" i="7"/>
  <c r="R768" i="7"/>
  <c r="R766" i="7"/>
  <c r="R765" i="7"/>
  <c r="R746" i="7"/>
  <c r="R729" i="7"/>
  <c r="R721" i="7"/>
  <c r="O1256" i="7"/>
  <c r="O1247" i="7"/>
  <c r="O1238" i="7"/>
  <c r="O1229" i="7"/>
  <c r="O1220" i="7"/>
  <c r="O1251" i="7"/>
  <c r="O1239" i="7"/>
  <c r="O1231" i="7"/>
  <c r="O1230" i="7"/>
  <c r="O1222" i="7"/>
  <c r="O1216" i="7"/>
  <c r="O1207" i="7"/>
  <c r="O1198" i="7"/>
  <c r="O1189" i="7"/>
  <c r="O1180" i="7"/>
  <c r="O1171" i="7"/>
  <c r="O1162" i="7"/>
  <c r="O1255" i="7"/>
  <c r="O1254" i="7"/>
  <c r="O1221" i="7"/>
  <c r="O1211" i="7"/>
  <c r="O1202" i="7"/>
  <c r="O1193" i="7"/>
  <c r="O1184" i="7"/>
  <c r="O1175" i="7"/>
  <c r="O1166" i="7"/>
  <c r="O1157" i="7"/>
  <c r="O1148" i="7"/>
  <c r="O1139" i="7"/>
  <c r="O1130" i="7"/>
  <c r="O1121" i="7"/>
  <c r="O1112" i="7"/>
  <c r="O1103" i="7"/>
  <c r="O1094" i="7"/>
  <c r="O1085" i="7"/>
  <c r="O1253" i="7"/>
  <c r="O1250" i="7"/>
  <c r="O1237" i="7"/>
  <c r="O1215" i="7"/>
  <c r="O1206" i="7"/>
  <c r="O1197" i="7"/>
  <c r="O1188" i="7"/>
  <c r="O1179" i="7"/>
  <c r="O1170" i="7"/>
  <c r="O1161" i="7"/>
  <c r="O1152" i="7"/>
  <c r="O1143" i="7"/>
  <c r="O1134" i="7"/>
  <c r="O1125" i="7"/>
  <c r="O1116" i="7"/>
  <c r="O1107" i="7"/>
  <c r="O1098" i="7"/>
  <c r="O1252" i="7"/>
  <c r="O1249" i="7"/>
  <c r="O1248" i="7"/>
  <c r="O1246" i="7"/>
  <c r="O1245" i="7"/>
  <c r="O1236" i="7"/>
  <c r="O1228" i="7"/>
  <c r="O1244" i="7"/>
  <c r="O1227" i="7"/>
  <c r="O1219" i="7"/>
  <c r="O1210" i="7"/>
  <c r="O1201" i="7"/>
  <c r="O1192" i="7"/>
  <c r="O1235" i="7"/>
  <c r="O1214" i="7"/>
  <c r="O1205" i="7"/>
  <c r="O1196" i="7"/>
  <c r="O1187" i="7"/>
  <c r="O1178" i="7"/>
  <c r="O1169" i="7"/>
  <c r="O1160" i="7"/>
  <c r="O1151" i="7"/>
  <c r="O1142" i="7"/>
  <c r="O1243" i="7"/>
  <c r="O1242" i="7"/>
  <c r="O1226" i="7"/>
  <c r="O1218" i="7"/>
  <c r="O1209" i="7"/>
  <c r="O1200" i="7"/>
  <c r="O1191" i="7"/>
  <c r="O1182" i="7"/>
  <c r="O1173" i="7"/>
  <c r="O1164" i="7"/>
  <c r="O1155" i="7"/>
  <c r="O1146" i="7"/>
  <c r="O1137" i="7"/>
  <c r="O1234" i="7"/>
  <c r="O1233" i="7"/>
  <c r="O1241" i="7"/>
  <c r="O1225" i="7"/>
  <c r="O1224" i="7"/>
  <c r="O1213" i="7"/>
  <c r="O1204" i="7"/>
  <c r="O1195" i="7"/>
  <c r="O1232" i="7"/>
  <c r="O1217" i="7"/>
  <c r="O1208" i="7"/>
  <c r="O1199" i="7"/>
  <c r="O1190" i="7"/>
  <c r="O1181" i="7"/>
  <c r="O1172" i="7"/>
  <c r="O1163" i="7"/>
  <c r="O1154" i="7"/>
  <c r="O1240" i="7"/>
  <c r="O1223" i="7"/>
  <c r="O1212" i="7"/>
  <c r="O1203" i="7"/>
  <c r="O1194" i="7"/>
  <c r="O1185" i="7"/>
  <c r="O1176" i="7"/>
  <c r="O1167" i="7"/>
  <c r="O1177" i="7"/>
  <c r="O1158" i="7"/>
  <c r="O1091" i="7"/>
  <c r="O1183" i="7"/>
  <c r="O1082" i="7"/>
  <c r="O1090" i="7"/>
  <c r="O1089" i="7"/>
  <c r="O1153" i="7"/>
  <c r="O1138" i="7"/>
  <c r="O1129" i="7"/>
  <c r="O1128" i="7"/>
  <c r="O1081" i="7"/>
  <c r="O1080" i="7"/>
  <c r="O1186" i="7"/>
  <c r="O1131" i="7"/>
  <c r="O1127" i="7"/>
  <c r="O1124" i="7"/>
  <c r="O1088" i="7"/>
  <c r="O1149" i="7"/>
  <c r="O1144" i="7"/>
  <c r="O1132" i="7"/>
  <c r="O1126" i="7"/>
  <c r="O1123" i="7"/>
  <c r="O1122" i="7"/>
  <c r="O1120" i="7"/>
  <c r="O1119" i="7"/>
  <c r="O1079" i="7"/>
  <c r="O1145" i="7"/>
  <c r="O1133" i="7"/>
  <c r="O1118" i="7"/>
  <c r="O1115" i="7"/>
  <c r="O1087" i="7"/>
  <c r="O1165" i="7"/>
  <c r="O1159" i="7"/>
  <c r="O1140" i="7"/>
  <c r="O1117" i="7"/>
  <c r="O1114" i="7"/>
  <c r="O1113" i="7"/>
  <c r="O1111" i="7"/>
  <c r="O1110" i="7"/>
  <c r="O1086" i="7"/>
  <c r="O1109" i="7"/>
  <c r="O1106" i="7"/>
  <c r="O1078" i="7"/>
  <c r="O1168" i="7"/>
  <c r="O1156" i="7"/>
  <c r="O1141" i="7"/>
  <c r="O1135" i="7"/>
  <c r="O1108" i="7"/>
  <c r="O1105" i="7"/>
  <c r="O1104" i="7"/>
  <c r="O1102" i="7"/>
  <c r="O1101" i="7"/>
  <c r="O1174" i="7"/>
  <c r="O1150" i="7"/>
  <c r="O1136" i="7"/>
  <c r="O1100" i="7"/>
  <c r="O1097" i="7"/>
  <c r="O1084" i="7"/>
  <c r="O1147" i="7"/>
  <c r="O1099" i="7"/>
  <c r="O1096" i="7"/>
  <c r="O1095" i="7"/>
  <c r="O1093" i="7"/>
  <c r="O1092" i="7"/>
  <c r="O1083" i="7"/>
  <c r="M1614" i="7"/>
  <c r="M1611" i="7"/>
  <c r="M1608" i="7"/>
  <c r="M1605" i="7"/>
  <c r="M1602" i="7"/>
  <c r="M1599" i="7"/>
  <c r="M1596" i="7"/>
  <c r="M1593" i="7"/>
  <c r="M1590" i="7"/>
  <c r="M1587" i="7"/>
  <c r="M1584" i="7"/>
  <c r="M1581" i="7"/>
  <c r="M1578" i="7"/>
  <c r="M1575" i="7"/>
  <c r="M1572" i="7"/>
  <c r="M1569" i="7"/>
  <c r="M1566" i="7"/>
  <c r="M1563" i="7"/>
  <c r="M1560" i="7"/>
  <c r="M1557" i="7"/>
  <c r="M1554" i="7"/>
  <c r="M1551" i="7"/>
  <c r="M1548" i="7"/>
  <c r="M1545" i="7"/>
  <c r="M1542" i="7"/>
  <c r="M1539" i="7"/>
  <c r="M1536" i="7"/>
  <c r="M1533" i="7"/>
  <c r="M1530" i="7"/>
  <c r="M1527" i="7"/>
  <c r="M1612" i="7"/>
  <c r="M1603" i="7"/>
  <c r="M1594" i="7"/>
  <c r="M1585" i="7"/>
  <c r="M1607" i="7"/>
  <c r="M1598" i="7"/>
  <c r="M1522" i="7"/>
  <c r="M1519" i="7"/>
  <c r="M1516" i="7"/>
  <c r="M1513" i="7"/>
  <c r="M1510" i="7"/>
  <c r="M1507" i="7"/>
  <c r="M1504" i="7"/>
  <c r="M1501" i="7"/>
  <c r="M1498" i="7"/>
  <c r="M1495" i="7"/>
  <c r="M1492" i="7"/>
  <c r="M1489" i="7"/>
  <c r="M1486" i="7"/>
  <c r="M1483" i="7"/>
  <c r="M1480" i="7"/>
  <c r="M1477" i="7"/>
  <c r="M1474" i="7"/>
  <c r="M1471" i="7"/>
  <c r="M1468" i="7"/>
  <c r="M1465" i="7"/>
  <c r="M1462" i="7"/>
  <c r="M1459" i="7"/>
  <c r="M1456" i="7"/>
  <c r="M1453" i="7"/>
  <c r="M1450" i="7"/>
  <c r="M1447" i="7"/>
  <c r="M1444" i="7"/>
  <c r="M1441" i="7"/>
  <c r="M1438" i="7"/>
  <c r="M1606" i="7"/>
  <c r="M1597" i="7"/>
  <c r="M1610" i="7"/>
  <c r="M1601" i="7"/>
  <c r="M1579" i="7"/>
  <c r="M1558" i="7"/>
  <c r="M1541" i="7"/>
  <c r="M1520" i="7"/>
  <c r="M1511" i="7"/>
  <c r="M1502" i="7"/>
  <c r="M1604" i="7"/>
  <c r="M1595" i="7"/>
  <c r="M1549" i="7"/>
  <c r="M1532" i="7"/>
  <c r="M1524" i="7"/>
  <c r="M1515" i="7"/>
  <c r="M1506" i="7"/>
  <c r="M1497" i="7"/>
  <c r="M1488" i="7"/>
  <c r="M1574" i="7"/>
  <c r="M1573" i="7"/>
  <c r="M1570" i="7"/>
  <c r="M1556" i="7"/>
  <c r="M1540" i="7"/>
  <c r="M1600" i="7"/>
  <c r="M1591" i="7"/>
  <c r="M1588" i="7"/>
  <c r="M1580" i="7"/>
  <c r="M1571" i="7"/>
  <c r="M1568" i="7"/>
  <c r="M1565" i="7"/>
  <c r="M1547" i="7"/>
  <c r="M1531" i="7"/>
  <c r="M1613" i="7"/>
  <c r="M1567" i="7"/>
  <c r="M1564" i="7"/>
  <c r="M1555" i="7"/>
  <c r="M1538" i="7"/>
  <c r="M1523" i="7"/>
  <c r="M1514" i="7"/>
  <c r="M1505" i="7"/>
  <c r="M1496" i="7"/>
  <c r="M1546" i="7"/>
  <c r="M1529" i="7"/>
  <c r="M1518" i="7"/>
  <c r="M1609" i="7"/>
  <c r="M1576" i="7"/>
  <c r="M1562" i="7"/>
  <c r="M1537" i="7"/>
  <c r="M1592" i="7"/>
  <c r="M1589" i="7"/>
  <c r="M1582" i="7"/>
  <c r="M1561" i="7"/>
  <c r="M1553" i="7"/>
  <c r="M1577" i="7"/>
  <c r="M1586" i="7"/>
  <c r="M1583" i="7"/>
  <c r="M1559" i="7"/>
  <c r="M1534" i="7"/>
  <c r="M1526" i="7"/>
  <c r="M1550" i="7"/>
  <c r="M1525" i="7"/>
  <c r="M1528" i="7"/>
  <c r="M1503" i="7"/>
  <c r="M1499" i="7"/>
  <c r="M1466" i="7"/>
  <c r="M1463" i="7"/>
  <c r="M1460" i="7"/>
  <c r="M1543" i="7"/>
  <c r="M1485" i="7"/>
  <c r="M1484" i="7"/>
  <c r="M1461" i="7"/>
  <c r="M1458" i="7"/>
  <c r="M1455" i="7"/>
  <c r="M1521" i="7"/>
  <c r="M1487" i="7"/>
  <c r="M1457" i="7"/>
  <c r="M1454" i="7"/>
  <c r="M1451" i="7"/>
  <c r="M1512" i="7"/>
  <c r="M1452" i="7"/>
  <c r="M1449" i="7"/>
  <c r="M1446" i="7"/>
  <c r="M1517" i="7"/>
  <c r="M1509" i="7"/>
  <c r="M1448" i="7"/>
  <c r="M1445" i="7"/>
  <c r="M1442" i="7"/>
  <c r="M1500" i="7"/>
  <c r="M1493" i="7"/>
  <c r="M1443" i="7"/>
  <c r="M1440" i="7"/>
  <c r="M1535" i="7"/>
  <c r="M1494" i="7"/>
  <c r="M1439" i="7"/>
  <c r="M1490" i="7"/>
  <c r="M1478" i="7"/>
  <c r="M1491" i="7"/>
  <c r="M1482" i="7"/>
  <c r="M1481" i="7"/>
  <c r="M1479" i="7"/>
  <c r="M1476" i="7"/>
  <c r="M1473" i="7"/>
  <c r="M1437" i="7"/>
  <c r="M1544" i="7"/>
  <c r="M1508" i="7"/>
  <c r="M1475" i="7"/>
  <c r="M1472" i="7"/>
  <c r="M1469" i="7"/>
  <c r="M1552" i="7"/>
  <c r="M1470" i="7"/>
  <c r="M1467" i="7"/>
  <c r="M1464" i="7"/>
  <c r="M1436" i="7"/>
  <c r="GJ5" i="4"/>
  <c r="GI5" i="4"/>
  <c r="GH5" i="4"/>
  <c r="GR5" i="4"/>
  <c r="GD7" i="4"/>
  <c r="GJ8" i="4"/>
  <c r="GI8" i="4"/>
  <c r="GH8" i="4"/>
  <c r="GR8" i="4"/>
  <c r="GD10" i="4"/>
  <c r="GJ11" i="4"/>
  <c r="GI11" i="4"/>
  <c r="GH11" i="4"/>
  <c r="GR11" i="4"/>
  <c r="GD13" i="4"/>
  <c r="GJ14" i="4"/>
  <c r="GI14" i="4"/>
  <c r="GH14" i="4"/>
  <c r="GR14" i="4"/>
  <c r="GD16" i="4"/>
  <c r="GJ17" i="4"/>
  <c r="GI17" i="4"/>
  <c r="GH17" i="4"/>
  <c r="GR17" i="4"/>
  <c r="GD22" i="4"/>
  <c r="GJ41" i="4"/>
  <c r="I5" i="5"/>
  <c r="J5" i="5" s="1"/>
  <c r="GS37" i="5"/>
  <c r="GR47" i="5"/>
  <c r="I55" i="5"/>
  <c r="J55" i="5" s="1"/>
  <c r="GU57" i="5"/>
  <c r="P10" i="7"/>
  <c r="P12" i="7"/>
  <c r="P48" i="7"/>
  <c r="P56" i="7"/>
  <c r="Q64" i="7"/>
  <c r="S64" i="7" s="1"/>
  <c r="M64" i="10" s="1"/>
  <c r="M66" i="7"/>
  <c r="Q74" i="7"/>
  <c r="S74" i="7" s="1"/>
  <c r="M74" i="10" s="1"/>
  <c r="M76" i="7"/>
  <c r="P1254" i="7"/>
  <c r="P1251" i="7"/>
  <c r="P1248" i="7"/>
  <c r="P1245" i="7"/>
  <c r="P1242" i="7"/>
  <c r="P1239" i="7"/>
  <c r="P1236" i="7"/>
  <c r="P1233" i="7"/>
  <c r="P1230" i="7"/>
  <c r="P1227" i="7"/>
  <c r="P1224" i="7"/>
  <c r="P1221" i="7"/>
  <c r="P1218" i="7"/>
  <c r="P1215" i="7"/>
  <c r="P1212" i="7"/>
  <c r="P1209" i="7"/>
  <c r="P1206" i="7"/>
  <c r="P1203" i="7"/>
  <c r="P1200" i="7"/>
  <c r="P1197" i="7"/>
  <c r="P1194" i="7"/>
  <c r="P1191" i="7"/>
  <c r="P1188" i="7"/>
  <c r="P1185" i="7"/>
  <c r="P1182" i="7"/>
  <c r="P1179" i="7"/>
  <c r="P1176" i="7"/>
  <c r="P1173" i="7"/>
  <c r="P1170" i="7"/>
  <c r="P1167" i="7"/>
  <c r="P1164" i="7"/>
  <c r="P1161" i="7"/>
  <c r="P1158" i="7"/>
  <c r="P1155" i="7"/>
  <c r="P1152" i="7"/>
  <c r="P1149" i="7"/>
  <c r="P1146" i="7"/>
  <c r="P1143" i="7"/>
  <c r="P1140" i="7"/>
  <c r="P1137" i="7"/>
  <c r="P1134" i="7"/>
  <c r="P1131" i="7"/>
  <c r="P1128" i="7"/>
  <c r="P1125" i="7"/>
  <c r="P1122" i="7"/>
  <c r="P1119" i="7"/>
  <c r="P1116" i="7"/>
  <c r="P1113" i="7"/>
  <c r="P1110" i="7"/>
  <c r="P1107" i="7"/>
  <c r="P1104" i="7"/>
  <c r="P1101" i="7"/>
  <c r="P1098" i="7"/>
  <c r="P1095" i="7"/>
  <c r="P1092" i="7"/>
  <c r="P1089" i="7"/>
  <c r="P1086" i="7"/>
  <c r="P1083" i="7"/>
  <c r="P1080" i="7"/>
  <c r="P1222" i="7"/>
  <c r="P1216" i="7"/>
  <c r="P1207" i="7"/>
  <c r="P1198" i="7"/>
  <c r="P1189" i="7"/>
  <c r="P1180" i="7"/>
  <c r="P1171" i="7"/>
  <c r="P1162" i="7"/>
  <c r="P1153" i="7"/>
  <c r="P1255" i="7"/>
  <c r="P1238" i="7"/>
  <c r="P1211" i="7"/>
  <c r="P1202" i="7"/>
  <c r="P1193" i="7"/>
  <c r="P1184" i="7"/>
  <c r="P1175" i="7"/>
  <c r="P1166" i="7"/>
  <c r="P1157" i="7"/>
  <c r="P1256" i="7"/>
  <c r="P1253" i="7"/>
  <c r="P1250" i="7"/>
  <c r="P1237" i="7"/>
  <c r="P1229" i="7"/>
  <c r="P1252" i="7"/>
  <c r="P1249" i="7"/>
  <c r="P1246" i="7"/>
  <c r="P1228" i="7"/>
  <c r="P1220" i="7"/>
  <c r="P1247" i="7"/>
  <c r="P1244" i="7"/>
  <c r="P1219" i="7"/>
  <c r="P1210" i="7"/>
  <c r="P1201" i="7"/>
  <c r="P1192" i="7"/>
  <c r="P1183" i="7"/>
  <c r="P1174" i="7"/>
  <c r="P1165" i="7"/>
  <c r="P1156" i="7"/>
  <c r="P1235" i="7"/>
  <c r="P1214" i="7"/>
  <c r="P1205" i="7"/>
  <c r="P1196" i="7"/>
  <c r="P1187" i="7"/>
  <c r="P1243" i="7"/>
  <c r="P1226" i="7"/>
  <c r="P1234" i="7"/>
  <c r="P1241" i="7"/>
  <c r="P1225" i="7"/>
  <c r="P1213" i="7"/>
  <c r="P1204" i="7"/>
  <c r="P1195" i="7"/>
  <c r="P1232" i="7"/>
  <c r="P1217" i="7"/>
  <c r="P1208" i="7"/>
  <c r="P1199" i="7"/>
  <c r="P1240" i="7"/>
  <c r="P1223" i="7"/>
  <c r="P1231" i="7"/>
  <c r="P1082" i="7"/>
  <c r="P1160" i="7"/>
  <c r="P1090" i="7"/>
  <c r="P1151" i="7"/>
  <c r="P1148" i="7"/>
  <c r="P1138" i="7"/>
  <c r="P1129" i="7"/>
  <c r="P1081" i="7"/>
  <c r="P1186" i="7"/>
  <c r="P1163" i="7"/>
  <c r="P1130" i="7"/>
  <c r="P1127" i="7"/>
  <c r="P1124" i="7"/>
  <c r="P1088" i="7"/>
  <c r="P1169" i="7"/>
  <c r="P1144" i="7"/>
  <c r="P1132" i="7"/>
  <c r="P1126" i="7"/>
  <c r="P1123" i="7"/>
  <c r="P1120" i="7"/>
  <c r="P1079" i="7"/>
  <c r="P1145" i="7"/>
  <c r="P1139" i="7"/>
  <c r="P1133" i="7"/>
  <c r="P1121" i="7"/>
  <c r="P1118" i="7"/>
  <c r="P1115" i="7"/>
  <c r="P1087" i="7"/>
  <c r="P1172" i="7"/>
  <c r="P1159" i="7"/>
  <c r="P1117" i="7"/>
  <c r="P1114" i="7"/>
  <c r="P1111" i="7"/>
  <c r="P1178" i="7"/>
  <c r="P1112" i="7"/>
  <c r="P1109" i="7"/>
  <c r="P1106" i="7"/>
  <c r="P1078" i="7"/>
  <c r="P1190" i="7"/>
  <c r="P1168" i="7"/>
  <c r="P1154" i="7"/>
  <c r="P1141" i="7"/>
  <c r="P1135" i="7"/>
  <c r="P1108" i="7"/>
  <c r="P1105" i="7"/>
  <c r="P1102" i="7"/>
  <c r="P1085" i="7"/>
  <c r="P1181" i="7"/>
  <c r="P1150" i="7"/>
  <c r="P1136" i="7"/>
  <c r="P1103" i="7"/>
  <c r="P1100" i="7"/>
  <c r="P1097" i="7"/>
  <c r="P1084" i="7"/>
  <c r="P1147" i="7"/>
  <c r="P1099" i="7"/>
  <c r="P1096" i="7"/>
  <c r="P1093" i="7"/>
  <c r="P1177" i="7"/>
  <c r="P1142" i="7"/>
  <c r="P1094" i="7"/>
  <c r="P1091" i="7"/>
  <c r="I19" i="17"/>
  <c r="R1432" i="7"/>
  <c r="R1433" i="7"/>
  <c r="R1426" i="7"/>
  <c r="R1417" i="7"/>
  <c r="R1408" i="7"/>
  <c r="R1399" i="7"/>
  <c r="R1390" i="7"/>
  <c r="R1381" i="7"/>
  <c r="R1372" i="7"/>
  <c r="R1363" i="7"/>
  <c r="R1354" i="7"/>
  <c r="R1345" i="7"/>
  <c r="R1336" i="7"/>
  <c r="R1327" i="7"/>
  <c r="R1318" i="7"/>
  <c r="R1309" i="7"/>
  <c r="R1300" i="7"/>
  <c r="R1291" i="7"/>
  <c r="R1282" i="7"/>
  <c r="R1273" i="7"/>
  <c r="R1264" i="7"/>
  <c r="R1421" i="7"/>
  <c r="R1412" i="7"/>
  <c r="R1403" i="7"/>
  <c r="R1394" i="7"/>
  <c r="R1385" i="7"/>
  <c r="R1376" i="7"/>
  <c r="R1367" i="7"/>
  <c r="R1358" i="7"/>
  <c r="R1349" i="7"/>
  <c r="R1340" i="7"/>
  <c r="R1331" i="7"/>
  <c r="R1322" i="7"/>
  <c r="R1313" i="7"/>
  <c r="R1304" i="7"/>
  <c r="R1295" i="7"/>
  <c r="R1286" i="7"/>
  <c r="R1277" i="7"/>
  <c r="R1268" i="7"/>
  <c r="R1259" i="7"/>
  <c r="R1431" i="7"/>
  <c r="R1425" i="7"/>
  <c r="R1416" i="7"/>
  <c r="R1407" i="7"/>
  <c r="R1398" i="7"/>
  <c r="R1389" i="7"/>
  <c r="R1430" i="7"/>
  <c r="R1420" i="7"/>
  <c r="R1411" i="7"/>
  <c r="R1402" i="7"/>
  <c r="R1393" i="7"/>
  <c r="R1384" i="7"/>
  <c r="R1375" i="7"/>
  <c r="R1366" i="7"/>
  <c r="R1424" i="7"/>
  <c r="R1415" i="7"/>
  <c r="R1406" i="7"/>
  <c r="R1397" i="7"/>
  <c r="R1388" i="7"/>
  <c r="R1379" i="7"/>
  <c r="R1370" i="7"/>
  <c r="R1361" i="7"/>
  <c r="R1352" i="7"/>
  <c r="R1429" i="7"/>
  <c r="R1419" i="7"/>
  <c r="R1410" i="7"/>
  <c r="R1401" i="7"/>
  <c r="R1428" i="7"/>
  <c r="R1423" i="7"/>
  <c r="R1414" i="7"/>
  <c r="R1405" i="7"/>
  <c r="R1396" i="7"/>
  <c r="R1387" i="7"/>
  <c r="R1435" i="7"/>
  <c r="R1427" i="7"/>
  <c r="R1418" i="7"/>
  <c r="R1409" i="7"/>
  <c r="R1400" i="7"/>
  <c r="R1391" i="7"/>
  <c r="R1382" i="7"/>
  <c r="R1373" i="7"/>
  <c r="R1364" i="7"/>
  <c r="R1434" i="7"/>
  <c r="R1422" i="7"/>
  <c r="R1413" i="7"/>
  <c r="R1404" i="7"/>
  <c r="R1395" i="7"/>
  <c r="R1386" i="7"/>
  <c r="R1377" i="7"/>
  <c r="R1368" i="7"/>
  <c r="R1380" i="7"/>
  <c r="R1306" i="7"/>
  <c r="R1303" i="7"/>
  <c r="R1260" i="7"/>
  <c r="R1257" i="7"/>
  <c r="R1383" i="7"/>
  <c r="R1305" i="7"/>
  <c r="R1302" i="7"/>
  <c r="R1301" i="7"/>
  <c r="R1299" i="7"/>
  <c r="R1298" i="7"/>
  <c r="R1297" i="7"/>
  <c r="R1294" i="7"/>
  <c r="R1362" i="7"/>
  <c r="R1359" i="7"/>
  <c r="R1346" i="7"/>
  <c r="R1344" i="7"/>
  <c r="R1343" i="7"/>
  <c r="R1296" i="7"/>
  <c r="R1293" i="7"/>
  <c r="R1292" i="7"/>
  <c r="R1290" i="7"/>
  <c r="R1289" i="7"/>
  <c r="R1355" i="7"/>
  <c r="R1347" i="7"/>
  <c r="R1342" i="7"/>
  <c r="R1339" i="7"/>
  <c r="R1288" i="7"/>
  <c r="R1285" i="7"/>
  <c r="R1348" i="7"/>
  <c r="R1341" i="7"/>
  <c r="R1338" i="7"/>
  <c r="R1337" i="7"/>
  <c r="R1335" i="7"/>
  <c r="R1334" i="7"/>
  <c r="R1287" i="7"/>
  <c r="R1284" i="7"/>
  <c r="R1283" i="7"/>
  <c r="R1281" i="7"/>
  <c r="R1280" i="7"/>
  <c r="R1374" i="7"/>
  <c r="R1360" i="7"/>
  <c r="R1356" i="7"/>
  <c r="R1333" i="7"/>
  <c r="R1330" i="7"/>
  <c r="R1279" i="7"/>
  <c r="R1276" i="7"/>
  <c r="R1332" i="7"/>
  <c r="R1329" i="7"/>
  <c r="R1328" i="7"/>
  <c r="R1326" i="7"/>
  <c r="R1325" i="7"/>
  <c r="R1278" i="7"/>
  <c r="R1275" i="7"/>
  <c r="R1274" i="7"/>
  <c r="R1272" i="7"/>
  <c r="R1271" i="7"/>
  <c r="R1371" i="7"/>
  <c r="R1357" i="7"/>
  <c r="R1351" i="7"/>
  <c r="R1350" i="7"/>
  <c r="R1324" i="7"/>
  <c r="R1321" i="7"/>
  <c r="R1270" i="7"/>
  <c r="R1267" i="7"/>
  <c r="R1369" i="7"/>
  <c r="R1365" i="7"/>
  <c r="R1323" i="7"/>
  <c r="R1320" i="7"/>
  <c r="R1319" i="7"/>
  <c r="R1317" i="7"/>
  <c r="R1316" i="7"/>
  <c r="R1269" i="7"/>
  <c r="R1266" i="7"/>
  <c r="R1265" i="7"/>
  <c r="R1263" i="7"/>
  <c r="R1392" i="7"/>
  <c r="R1315" i="7"/>
  <c r="R1312" i="7"/>
  <c r="R1262" i="7"/>
  <c r="R1378" i="7"/>
  <c r="R1353" i="7"/>
  <c r="R1314" i="7"/>
  <c r="R1311" i="7"/>
  <c r="R1310" i="7"/>
  <c r="R1308" i="7"/>
  <c r="R1307" i="7"/>
  <c r="R1261" i="7"/>
  <c r="R1258" i="7"/>
  <c r="N1792" i="7"/>
  <c r="N1793" i="7"/>
  <c r="N1787" i="7"/>
  <c r="N1778" i="7"/>
  <c r="N1769" i="7"/>
  <c r="N1760" i="7"/>
  <c r="N1751" i="7"/>
  <c r="N1742" i="7"/>
  <c r="N1733" i="7"/>
  <c r="N1724" i="7"/>
  <c r="N1715" i="7"/>
  <c r="N1706" i="7"/>
  <c r="N1697" i="7"/>
  <c r="N1688" i="7"/>
  <c r="N1679" i="7"/>
  <c r="N1670" i="7"/>
  <c r="N1661" i="7"/>
  <c r="N1652" i="7"/>
  <c r="N1643" i="7"/>
  <c r="N1634" i="7"/>
  <c r="N1625" i="7"/>
  <c r="N1782" i="7"/>
  <c r="N1773" i="7"/>
  <c r="N1764" i="7"/>
  <c r="N1755" i="7"/>
  <c r="N1746" i="7"/>
  <c r="N1737" i="7"/>
  <c r="N1728" i="7"/>
  <c r="N1719" i="7"/>
  <c r="N1710" i="7"/>
  <c r="N1701" i="7"/>
  <c r="N1692" i="7"/>
  <c r="N1683" i="7"/>
  <c r="N1674" i="7"/>
  <c r="N1665" i="7"/>
  <c r="N1656" i="7"/>
  <c r="N1647" i="7"/>
  <c r="N1638" i="7"/>
  <c r="N1629" i="7"/>
  <c r="N1620" i="7"/>
  <c r="N1791" i="7"/>
  <c r="N1786" i="7"/>
  <c r="N1777" i="7"/>
  <c r="N1768" i="7"/>
  <c r="N1759" i="7"/>
  <c r="N1750" i="7"/>
  <c r="N1741" i="7"/>
  <c r="N1732" i="7"/>
  <c r="N1723" i="7"/>
  <c r="N1714" i="7"/>
  <c r="N1705" i="7"/>
  <c r="N1790" i="7"/>
  <c r="N1781" i="7"/>
  <c r="N1772" i="7"/>
  <c r="N1763" i="7"/>
  <c r="N1754" i="7"/>
  <c r="N1745" i="7"/>
  <c r="N1736" i="7"/>
  <c r="N1727" i="7"/>
  <c r="N1718" i="7"/>
  <c r="N1709" i="7"/>
  <c r="N1700" i="7"/>
  <c r="N1691" i="7"/>
  <c r="N1785" i="7"/>
  <c r="N1776" i="7"/>
  <c r="N1767" i="7"/>
  <c r="N1758" i="7"/>
  <c r="N1749" i="7"/>
  <c r="N1740" i="7"/>
  <c r="N1731" i="7"/>
  <c r="N1722" i="7"/>
  <c r="N1713" i="7"/>
  <c r="N1704" i="7"/>
  <c r="N1695" i="7"/>
  <c r="N1789" i="7"/>
  <c r="N1780" i="7"/>
  <c r="N1771" i="7"/>
  <c r="N1762" i="7"/>
  <c r="N1753" i="7"/>
  <c r="N1744" i="7"/>
  <c r="N1784" i="7"/>
  <c r="N1775" i="7"/>
  <c r="N1766" i="7"/>
  <c r="N1757" i="7"/>
  <c r="N1748" i="7"/>
  <c r="N1739" i="7"/>
  <c r="N1730" i="7"/>
  <c r="N1721" i="7"/>
  <c r="N1712" i="7"/>
  <c r="N1788" i="7"/>
  <c r="N1779" i="7"/>
  <c r="N1770" i="7"/>
  <c r="N1761" i="7"/>
  <c r="N1752" i="7"/>
  <c r="N1743" i="7"/>
  <c r="N1734" i="7"/>
  <c r="N1725" i="7"/>
  <c r="N1716" i="7"/>
  <c r="N1707" i="7"/>
  <c r="N1698" i="7"/>
  <c r="N1783" i="7"/>
  <c r="N1774" i="7"/>
  <c r="N1765" i="7"/>
  <c r="N1756" i="7"/>
  <c r="N1747" i="7"/>
  <c r="N1726" i="7"/>
  <c r="N1720" i="7"/>
  <c r="N1649" i="7"/>
  <c r="N1648" i="7"/>
  <c r="N1646" i="7"/>
  <c r="N1645" i="7"/>
  <c r="N1642" i="7"/>
  <c r="N1702" i="7"/>
  <c r="N1644" i="7"/>
  <c r="N1641" i="7"/>
  <c r="N1616" i="7"/>
  <c r="N1729" i="7"/>
  <c r="N1717" i="7"/>
  <c r="N1699" i="7"/>
  <c r="N1687" i="7"/>
  <c r="N1640" i="7"/>
  <c r="N1639" i="7"/>
  <c r="N1637" i="7"/>
  <c r="N1636" i="7"/>
  <c r="N1633" i="7"/>
  <c r="N1735" i="7"/>
  <c r="N1686" i="7"/>
  <c r="N1635" i="7"/>
  <c r="N1632" i="7"/>
  <c r="N1696" i="7"/>
  <c r="N1690" i="7"/>
  <c r="N1689" i="7"/>
  <c r="N1685" i="7"/>
  <c r="N1684" i="7"/>
  <c r="N1682" i="7"/>
  <c r="N1681" i="7"/>
  <c r="N1678" i="7"/>
  <c r="N1631" i="7"/>
  <c r="N1630" i="7"/>
  <c r="N1628" i="7"/>
  <c r="N1627" i="7"/>
  <c r="N1624" i="7"/>
  <c r="N1615" i="7"/>
  <c r="N1738" i="7"/>
  <c r="N1680" i="7"/>
  <c r="N1677" i="7"/>
  <c r="N1626" i="7"/>
  <c r="N1623" i="7"/>
  <c r="N1676" i="7"/>
  <c r="N1675" i="7"/>
  <c r="N1673" i="7"/>
  <c r="N1672" i="7"/>
  <c r="N1669" i="7"/>
  <c r="N1622" i="7"/>
  <c r="N1621" i="7"/>
  <c r="N1619" i="7"/>
  <c r="N1703" i="7"/>
  <c r="N1671" i="7"/>
  <c r="N1668" i="7"/>
  <c r="N1711" i="7"/>
  <c r="N1667" i="7"/>
  <c r="N1666" i="7"/>
  <c r="N1664" i="7"/>
  <c r="N1663" i="7"/>
  <c r="N1660" i="7"/>
  <c r="N1618" i="7"/>
  <c r="N1693" i="7"/>
  <c r="N1662" i="7"/>
  <c r="N1659" i="7"/>
  <c r="N1658" i="7"/>
  <c r="N1657" i="7"/>
  <c r="N1655" i="7"/>
  <c r="N1654" i="7"/>
  <c r="N1651" i="7"/>
  <c r="N1708" i="7"/>
  <c r="N1694" i="7"/>
  <c r="N1653" i="7"/>
  <c r="N1650" i="7"/>
  <c r="N1617" i="7"/>
  <c r="GH41" i="4"/>
  <c r="GG41" i="4"/>
  <c r="GR41" i="4"/>
  <c r="GF41" i="4"/>
  <c r="GR8" i="5"/>
  <c r="GQ8" i="5"/>
  <c r="GP8" i="5"/>
  <c r="GV8" i="5"/>
  <c r="P13" i="7"/>
  <c r="P15" i="7"/>
  <c r="P30" i="7"/>
  <c r="P36" i="7"/>
  <c r="M55" i="7"/>
  <c r="Q56" i="7"/>
  <c r="S56" i="7" s="1"/>
  <c r="M56" i="10" s="1"/>
  <c r="P76" i="7"/>
  <c r="M82" i="7"/>
  <c r="M84" i="7"/>
  <c r="M359" i="7"/>
  <c r="M350" i="7"/>
  <c r="M341" i="7"/>
  <c r="M332" i="7"/>
  <c r="M323" i="7"/>
  <c r="M314" i="7"/>
  <c r="M305" i="7"/>
  <c r="M356" i="7"/>
  <c r="M339" i="7"/>
  <c r="M322" i="7"/>
  <c r="M306" i="7"/>
  <c r="M298" i="7"/>
  <c r="M289" i="7"/>
  <c r="M280" i="7"/>
  <c r="M271" i="7"/>
  <c r="M262" i="7"/>
  <c r="M253" i="7"/>
  <c r="M244" i="7"/>
  <c r="M235" i="7"/>
  <c r="M226" i="7"/>
  <c r="M355" i="7"/>
  <c r="M347" i="7"/>
  <c r="M330" i="7"/>
  <c r="M313" i="7"/>
  <c r="M293" i="7"/>
  <c r="M284" i="7"/>
  <c r="M275" i="7"/>
  <c r="M266" i="7"/>
  <c r="M257" i="7"/>
  <c r="M248" i="7"/>
  <c r="M239" i="7"/>
  <c r="M230" i="7"/>
  <c r="M221" i="7"/>
  <c r="M212" i="7"/>
  <c r="M203" i="7"/>
  <c r="M194" i="7"/>
  <c r="M185" i="7"/>
  <c r="M354" i="7"/>
  <c r="M346" i="7"/>
  <c r="M338" i="7"/>
  <c r="M321" i="7"/>
  <c r="M304" i="7"/>
  <c r="M345" i="7"/>
  <c r="M337" i="7"/>
  <c r="M329" i="7"/>
  <c r="M312" i="7"/>
  <c r="M297" i="7"/>
  <c r="M288" i="7"/>
  <c r="M279" i="7"/>
  <c r="M270" i="7"/>
  <c r="M261" i="7"/>
  <c r="M252" i="7"/>
  <c r="M243" i="7"/>
  <c r="M234" i="7"/>
  <c r="M225" i="7"/>
  <c r="M216" i="7"/>
  <c r="M207" i="7"/>
  <c r="M198" i="7"/>
  <c r="M189" i="7"/>
  <c r="M353" i="7"/>
  <c r="M336" i="7"/>
  <c r="M328" i="7"/>
  <c r="M320" i="7"/>
  <c r="M303" i="7"/>
  <c r="M292" i="7"/>
  <c r="M283" i="7"/>
  <c r="M274" i="7"/>
  <c r="M265" i="7"/>
  <c r="M256" i="7"/>
  <c r="M247" i="7"/>
  <c r="M238" i="7"/>
  <c r="M229" i="7"/>
  <c r="M220" i="7"/>
  <c r="M211" i="7"/>
  <c r="M202" i="7"/>
  <c r="M193" i="7"/>
  <c r="M184" i="7"/>
  <c r="M352" i="7"/>
  <c r="M344" i="7"/>
  <c r="M327" i="7"/>
  <c r="M319" i="7"/>
  <c r="M311" i="7"/>
  <c r="M296" i="7"/>
  <c r="M287" i="7"/>
  <c r="M278" i="7"/>
  <c r="M269" i="7"/>
  <c r="M260" i="7"/>
  <c r="M251" i="7"/>
  <c r="M361" i="7"/>
  <c r="M343" i="7"/>
  <c r="M335" i="7"/>
  <c r="M318" i="7"/>
  <c r="M310" i="7"/>
  <c r="M302" i="7"/>
  <c r="M360" i="7"/>
  <c r="M351" i="7"/>
  <c r="M334" i="7"/>
  <c r="M326" i="7"/>
  <c r="M309" i="7"/>
  <c r="M301" i="7"/>
  <c r="M291" i="7"/>
  <c r="M282" i="7"/>
  <c r="M273" i="7"/>
  <c r="M264" i="7"/>
  <c r="M255" i="7"/>
  <c r="M246" i="7"/>
  <c r="M237" i="7"/>
  <c r="M228" i="7"/>
  <c r="M219" i="7"/>
  <c r="M210" i="7"/>
  <c r="M201" i="7"/>
  <c r="M358" i="7"/>
  <c r="M342" i="7"/>
  <c r="M325" i="7"/>
  <c r="M317" i="7"/>
  <c r="M300" i="7"/>
  <c r="M295" i="7"/>
  <c r="M286" i="7"/>
  <c r="M277" i="7"/>
  <c r="M268" i="7"/>
  <c r="M259" i="7"/>
  <c r="M250" i="7"/>
  <c r="M241" i="7"/>
  <c r="M349" i="7"/>
  <c r="M333" i="7"/>
  <c r="M316" i="7"/>
  <c r="M308" i="7"/>
  <c r="M290" i="7"/>
  <c r="M281" i="7"/>
  <c r="M272" i="7"/>
  <c r="M263" i="7"/>
  <c r="M254" i="7"/>
  <c r="M357" i="7"/>
  <c r="M340" i="7"/>
  <c r="M324" i="7"/>
  <c r="M307" i="7"/>
  <c r="M299" i="7"/>
  <c r="M348" i="7"/>
  <c r="M331" i="7"/>
  <c r="M315" i="7"/>
  <c r="M294" i="7"/>
  <c r="M285" i="7"/>
  <c r="M276" i="7"/>
  <c r="M267" i="7"/>
  <c r="M258" i="7"/>
  <c r="M249" i="7"/>
  <c r="M240" i="7"/>
  <c r="M231" i="7"/>
  <c r="M222" i="7"/>
  <c r="M213" i="7"/>
  <c r="M204" i="7"/>
  <c r="M195" i="7"/>
  <c r="M186" i="7"/>
  <c r="M217" i="7"/>
  <c r="M242" i="7"/>
  <c r="M197" i="7"/>
  <c r="M224" i="7"/>
  <c r="M214" i="7"/>
  <c r="M187" i="7"/>
  <c r="M209" i="7"/>
  <c r="M192" i="7"/>
  <c r="M227" i="7"/>
  <c r="M199" i="7"/>
  <c r="M190" i="7"/>
  <c r="M188" i="7"/>
  <c r="M233" i="7"/>
  <c r="M206" i="7"/>
  <c r="M245" i="7"/>
  <c r="M223" i="7"/>
  <c r="M196" i="7"/>
  <c r="M236" i="7"/>
  <c r="M218" i="7"/>
  <c r="M208" i="7"/>
  <c r="M232" i="7"/>
  <c r="M215" i="7"/>
  <c r="M205" i="7"/>
  <c r="M191" i="7"/>
  <c r="M183" i="7"/>
  <c r="M200" i="7"/>
  <c r="P718" i="7"/>
  <c r="P715" i="7"/>
  <c r="P712" i="7"/>
  <c r="P709" i="7"/>
  <c r="P706" i="7"/>
  <c r="P703" i="7"/>
  <c r="P700" i="7"/>
  <c r="P697" i="7"/>
  <c r="P694" i="7"/>
  <c r="P691" i="7"/>
  <c r="P688" i="7"/>
  <c r="P685" i="7"/>
  <c r="P682" i="7"/>
  <c r="P679" i="7"/>
  <c r="P676" i="7"/>
  <c r="P673" i="7"/>
  <c r="P670" i="7"/>
  <c r="P667" i="7"/>
  <c r="P664" i="7"/>
  <c r="P661" i="7"/>
  <c r="P658" i="7"/>
  <c r="P655" i="7"/>
  <c r="P652" i="7"/>
  <c r="P649" i="7"/>
  <c r="P646" i="7"/>
  <c r="P643" i="7"/>
  <c r="P640" i="7"/>
  <c r="P637" i="7"/>
  <c r="P634" i="7"/>
  <c r="P631" i="7"/>
  <c r="P628" i="7"/>
  <c r="P625" i="7"/>
  <c r="P622" i="7"/>
  <c r="P619" i="7"/>
  <c r="P616" i="7"/>
  <c r="P613" i="7"/>
  <c r="P610" i="7"/>
  <c r="P607" i="7"/>
  <c r="P604" i="7"/>
  <c r="P601" i="7"/>
  <c r="P598" i="7"/>
  <c r="P595" i="7"/>
  <c r="P592" i="7"/>
  <c r="P589" i="7"/>
  <c r="P586" i="7"/>
  <c r="P583" i="7"/>
  <c r="P580" i="7"/>
  <c r="P577" i="7"/>
  <c r="P574" i="7"/>
  <c r="P571" i="7"/>
  <c r="P568" i="7"/>
  <c r="P565" i="7"/>
  <c r="P562" i="7"/>
  <c r="P559" i="7"/>
  <c r="P556" i="7"/>
  <c r="P553" i="7"/>
  <c r="P550" i="7"/>
  <c r="P547" i="7"/>
  <c r="P544" i="7"/>
  <c r="P541" i="7"/>
  <c r="P714" i="7"/>
  <c r="P695" i="7"/>
  <c r="P686" i="7"/>
  <c r="P677" i="7"/>
  <c r="P668" i="7"/>
  <c r="P659" i="7"/>
  <c r="P650" i="7"/>
  <c r="P641" i="7"/>
  <c r="P632" i="7"/>
  <c r="P623" i="7"/>
  <c r="P614" i="7"/>
  <c r="P713" i="7"/>
  <c r="P705" i="7"/>
  <c r="P699" i="7"/>
  <c r="P690" i="7"/>
  <c r="P681" i="7"/>
  <c r="P672" i="7"/>
  <c r="P663" i="7"/>
  <c r="P654" i="7"/>
  <c r="P645" i="7"/>
  <c r="P636" i="7"/>
  <c r="P627" i="7"/>
  <c r="P618" i="7"/>
  <c r="P609" i="7"/>
  <c r="P704" i="7"/>
  <c r="P711" i="7"/>
  <c r="P698" i="7"/>
  <c r="P689" i="7"/>
  <c r="P680" i="7"/>
  <c r="P671" i="7"/>
  <c r="P662" i="7"/>
  <c r="P653" i="7"/>
  <c r="P644" i="7"/>
  <c r="P635" i="7"/>
  <c r="P626" i="7"/>
  <c r="P617" i="7"/>
  <c r="P608" i="7"/>
  <c r="P599" i="7"/>
  <c r="P719" i="7"/>
  <c r="P702" i="7"/>
  <c r="P693" i="7"/>
  <c r="P684" i="7"/>
  <c r="P675" i="7"/>
  <c r="P666" i="7"/>
  <c r="P710" i="7"/>
  <c r="P717" i="7"/>
  <c r="P708" i="7"/>
  <c r="P701" i="7"/>
  <c r="P692" i="7"/>
  <c r="P683" i="7"/>
  <c r="P674" i="7"/>
  <c r="P665" i="7"/>
  <c r="P656" i="7"/>
  <c r="P716" i="7"/>
  <c r="P696" i="7"/>
  <c r="P687" i="7"/>
  <c r="P678" i="7"/>
  <c r="P669" i="7"/>
  <c r="P707" i="7"/>
  <c r="P657" i="7"/>
  <c r="P633" i="7"/>
  <c r="P611" i="7"/>
  <c r="P569" i="7"/>
  <c r="P566" i="7"/>
  <c r="P563" i="7"/>
  <c r="P615" i="7"/>
  <c r="P612" i="7"/>
  <c r="P564" i="7"/>
  <c r="P561" i="7"/>
  <c r="P558" i="7"/>
  <c r="P606" i="7"/>
  <c r="P605" i="7"/>
  <c r="P560" i="7"/>
  <c r="P557" i="7"/>
  <c r="P554" i="7"/>
  <c r="P639" i="7"/>
  <c r="P621" i="7"/>
  <c r="P555" i="7"/>
  <c r="P552" i="7"/>
  <c r="P549" i="7"/>
  <c r="P551" i="7"/>
  <c r="P548" i="7"/>
  <c r="P545" i="7"/>
  <c r="P647" i="7"/>
  <c r="P629" i="7"/>
  <c r="P597" i="7"/>
  <c r="P594" i="7"/>
  <c r="P546" i="7"/>
  <c r="P651" i="7"/>
  <c r="P642" i="7"/>
  <c r="P624" i="7"/>
  <c r="P596" i="7"/>
  <c r="P593" i="7"/>
  <c r="P590" i="7"/>
  <c r="P543" i="7"/>
  <c r="P591" i="7"/>
  <c r="P588" i="7"/>
  <c r="P585" i="7"/>
  <c r="P542" i="7"/>
  <c r="P587" i="7"/>
  <c r="P584" i="7"/>
  <c r="P581" i="7"/>
  <c r="P648" i="7"/>
  <c r="P630" i="7"/>
  <c r="P600" i="7"/>
  <c r="P582" i="7"/>
  <c r="P579" i="7"/>
  <c r="P576" i="7"/>
  <c r="P603" i="7"/>
  <c r="P602" i="7"/>
  <c r="P578" i="7"/>
  <c r="P575" i="7"/>
  <c r="P572" i="7"/>
  <c r="P660" i="7"/>
  <c r="P638" i="7"/>
  <c r="P620" i="7"/>
  <c r="P573" i="7"/>
  <c r="P570" i="7"/>
  <c r="P567" i="7"/>
  <c r="Q13" i="7"/>
  <c r="S13" i="7" s="1"/>
  <c r="M13" i="10" s="1"/>
  <c r="Q15" i="7"/>
  <c r="S15" i="7" s="1"/>
  <c r="M15" i="10" s="1"/>
  <c r="P16" i="7"/>
  <c r="P18" i="7"/>
  <c r="M23" i="7"/>
  <c r="M25" i="7"/>
  <c r="M26" i="7"/>
  <c r="Q30" i="7"/>
  <c r="S30" i="7" s="1"/>
  <c r="M30" i="10" s="1"/>
  <c r="P35" i="7"/>
  <c r="Q36" i="7"/>
  <c r="S36" i="7" s="1"/>
  <c r="M36" i="10" s="1"/>
  <c r="M42" i="7"/>
  <c r="P47" i="7"/>
  <c r="M68" i="7"/>
  <c r="Q71" i="7"/>
  <c r="S71" i="7" s="1"/>
  <c r="M71" i="10" s="1"/>
  <c r="M73" i="7"/>
  <c r="M80" i="7"/>
  <c r="P182" i="7"/>
  <c r="P179" i="7"/>
  <c r="P176" i="7"/>
  <c r="P173" i="7"/>
  <c r="P170" i="7"/>
  <c r="P167" i="7"/>
  <c r="P164" i="7"/>
  <c r="P161" i="7"/>
  <c r="P158" i="7"/>
  <c r="P155" i="7"/>
  <c r="P152" i="7"/>
  <c r="P149" i="7"/>
  <c r="P146" i="7"/>
  <c r="P143" i="7"/>
  <c r="P140" i="7"/>
  <c r="P137" i="7"/>
  <c r="P134" i="7"/>
  <c r="P131" i="7"/>
  <c r="P128" i="7"/>
  <c r="P125" i="7"/>
  <c r="P122" i="7"/>
  <c r="P119" i="7"/>
  <c r="P116" i="7"/>
  <c r="P113" i="7"/>
  <c r="P110" i="7"/>
  <c r="P107" i="7"/>
  <c r="P104" i="7"/>
  <c r="P101" i="7"/>
  <c r="P98" i="7"/>
  <c r="P95" i="7"/>
  <c r="P92" i="7"/>
  <c r="P89" i="7"/>
  <c r="P86" i="7"/>
  <c r="P83" i="7"/>
  <c r="P80" i="7"/>
  <c r="P77" i="7"/>
  <c r="P175" i="7"/>
  <c r="P166" i="7"/>
  <c r="P157" i="7"/>
  <c r="P148" i="7"/>
  <c r="P139" i="7"/>
  <c r="P130" i="7"/>
  <c r="P121" i="7"/>
  <c r="P112" i="7"/>
  <c r="P174" i="7"/>
  <c r="P165" i="7"/>
  <c r="P156" i="7"/>
  <c r="P147" i="7"/>
  <c r="P138" i="7"/>
  <c r="P129" i="7"/>
  <c r="P120" i="7"/>
  <c r="P151" i="7"/>
  <c r="P145" i="7"/>
  <c r="P124" i="7"/>
  <c r="P118" i="7"/>
  <c r="P117" i="7"/>
  <c r="P103" i="7"/>
  <c r="P100" i="7"/>
  <c r="P97" i="7"/>
  <c r="P71" i="7"/>
  <c r="P62" i="7"/>
  <c r="P168" i="7"/>
  <c r="P99" i="7"/>
  <c r="P96" i="7"/>
  <c r="P93" i="7"/>
  <c r="P181" i="7"/>
  <c r="P163" i="7"/>
  <c r="P94" i="7"/>
  <c r="P91" i="7"/>
  <c r="P88" i="7"/>
  <c r="P70" i="7"/>
  <c r="P69" i="7"/>
  <c r="P61" i="7"/>
  <c r="P60" i="7"/>
  <c r="P52" i="7"/>
  <c r="P51" i="7"/>
  <c r="P171" i="7"/>
  <c r="P141" i="7"/>
  <c r="P135" i="7"/>
  <c r="P109" i="7"/>
  <c r="P108" i="7"/>
  <c r="P90" i="7"/>
  <c r="P87" i="7"/>
  <c r="P84" i="7"/>
  <c r="P43" i="7"/>
  <c r="P34" i="7"/>
  <c r="P33" i="7"/>
  <c r="P169" i="7"/>
  <c r="P142" i="7"/>
  <c r="P136" i="7"/>
  <c r="P111" i="7"/>
  <c r="P85" i="7"/>
  <c r="P82" i="7"/>
  <c r="P79" i="7"/>
  <c r="P68" i="7"/>
  <c r="P59" i="7"/>
  <c r="P50" i="7"/>
  <c r="P38" i="7"/>
  <c r="P29" i="7"/>
  <c r="P26" i="7"/>
  <c r="P23" i="7"/>
  <c r="P20" i="7"/>
  <c r="P17" i="7"/>
  <c r="P14" i="7"/>
  <c r="P11" i="7"/>
  <c r="P8" i="7"/>
  <c r="P5" i="7"/>
  <c r="P81" i="7"/>
  <c r="P78" i="7"/>
  <c r="P42" i="7"/>
  <c r="P177" i="7"/>
  <c r="P159" i="7"/>
  <c r="P153" i="7"/>
  <c r="P132" i="7"/>
  <c r="P126" i="7"/>
  <c r="P172" i="7"/>
  <c r="P133" i="7"/>
  <c r="P127" i="7"/>
  <c r="P115" i="7"/>
  <c r="P114" i="7"/>
  <c r="P180" i="7"/>
  <c r="P162" i="7"/>
  <c r="P178" i="7"/>
  <c r="P160" i="7"/>
  <c r="P154" i="7"/>
  <c r="P150" i="7"/>
  <c r="P144" i="7"/>
  <c r="P123" i="7"/>
  <c r="P106" i="7"/>
  <c r="P105" i="7"/>
  <c r="P102" i="7"/>
  <c r="I12" i="17"/>
  <c r="R357" i="7"/>
  <c r="R348" i="7"/>
  <c r="R339" i="7"/>
  <c r="R330" i="7"/>
  <c r="R321" i="7"/>
  <c r="R312" i="7"/>
  <c r="R303" i="7"/>
  <c r="R353" i="7"/>
  <c r="R336" i="7"/>
  <c r="R328" i="7"/>
  <c r="R311" i="7"/>
  <c r="R352" i="7"/>
  <c r="R344" i="7"/>
  <c r="R327" i="7"/>
  <c r="R319" i="7"/>
  <c r="R302" i="7"/>
  <c r="R296" i="7"/>
  <c r="R287" i="7"/>
  <c r="R278" i="7"/>
  <c r="R269" i="7"/>
  <c r="R260" i="7"/>
  <c r="R251" i="7"/>
  <c r="R242" i="7"/>
  <c r="R233" i="7"/>
  <c r="R224" i="7"/>
  <c r="R215" i="7"/>
  <c r="R206" i="7"/>
  <c r="R197" i="7"/>
  <c r="R188" i="7"/>
  <c r="R360" i="7"/>
  <c r="R351" i="7"/>
  <c r="R343" i="7"/>
  <c r="R335" i="7"/>
  <c r="R318" i="7"/>
  <c r="R310" i="7"/>
  <c r="R291" i="7"/>
  <c r="R282" i="7"/>
  <c r="R273" i="7"/>
  <c r="R264" i="7"/>
  <c r="R255" i="7"/>
  <c r="R246" i="7"/>
  <c r="R237" i="7"/>
  <c r="R228" i="7"/>
  <c r="R219" i="7"/>
  <c r="R210" i="7"/>
  <c r="R201" i="7"/>
  <c r="R192" i="7"/>
  <c r="R183" i="7"/>
  <c r="R361" i="7"/>
  <c r="R359" i="7"/>
  <c r="R342" i="7"/>
  <c r="R334" i="7"/>
  <c r="R326" i="7"/>
  <c r="R309" i="7"/>
  <c r="R301" i="7"/>
  <c r="R295" i="7"/>
  <c r="R286" i="7"/>
  <c r="R277" i="7"/>
  <c r="R268" i="7"/>
  <c r="R259" i="7"/>
  <c r="R250" i="7"/>
  <c r="R241" i="7"/>
  <c r="R232" i="7"/>
  <c r="R223" i="7"/>
  <c r="R214" i="7"/>
  <c r="R205" i="7"/>
  <c r="R196" i="7"/>
  <c r="R187" i="7"/>
  <c r="R350" i="7"/>
  <c r="R333" i="7"/>
  <c r="R325" i="7"/>
  <c r="R317" i="7"/>
  <c r="R300" i="7"/>
  <c r="R358" i="7"/>
  <c r="R341" i="7"/>
  <c r="R324" i="7"/>
  <c r="R316" i="7"/>
  <c r="R308" i="7"/>
  <c r="R290" i="7"/>
  <c r="R281" i="7"/>
  <c r="R272" i="7"/>
  <c r="R263" i="7"/>
  <c r="R254" i="7"/>
  <c r="R349" i="7"/>
  <c r="R332" i="7"/>
  <c r="R315" i="7"/>
  <c r="R307" i="7"/>
  <c r="R299" i="7"/>
  <c r="R294" i="7"/>
  <c r="R285" i="7"/>
  <c r="R276" i="7"/>
  <c r="R267" i="7"/>
  <c r="R258" i="7"/>
  <c r="R249" i="7"/>
  <c r="R240" i="7"/>
  <c r="R231" i="7"/>
  <c r="R222" i="7"/>
  <c r="R213" i="7"/>
  <c r="R204" i="7"/>
  <c r="R195" i="7"/>
  <c r="R356" i="7"/>
  <c r="R340" i="7"/>
  <c r="R323" i="7"/>
  <c r="R306" i="7"/>
  <c r="R298" i="7"/>
  <c r="R289" i="7"/>
  <c r="R280" i="7"/>
  <c r="R271" i="7"/>
  <c r="R262" i="7"/>
  <c r="R253" i="7"/>
  <c r="R244" i="7"/>
  <c r="R235" i="7"/>
  <c r="R226" i="7"/>
  <c r="R217" i="7"/>
  <c r="R208" i="7"/>
  <c r="R199" i="7"/>
  <c r="R347" i="7"/>
  <c r="R331" i="7"/>
  <c r="R314" i="7"/>
  <c r="R355" i="7"/>
  <c r="R338" i="7"/>
  <c r="R322" i="7"/>
  <c r="R305" i="7"/>
  <c r="R293" i="7"/>
  <c r="R284" i="7"/>
  <c r="R275" i="7"/>
  <c r="R266" i="7"/>
  <c r="R257" i="7"/>
  <c r="R248" i="7"/>
  <c r="R354" i="7"/>
  <c r="R346" i="7"/>
  <c r="R329" i="7"/>
  <c r="R313" i="7"/>
  <c r="R297" i="7"/>
  <c r="R288" i="7"/>
  <c r="R279" i="7"/>
  <c r="R270" i="7"/>
  <c r="R261" i="7"/>
  <c r="R252" i="7"/>
  <c r="R243" i="7"/>
  <c r="R234" i="7"/>
  <c r="R225" i="7"/>
  <c r="R216" i="7"/>
  <c r="R207" i="7"/>
  <c r="R198" i="7"/>
  <c r="R189" i="7"/>
  <c r="R345" i="7"/>
  <c r="R337" i="7"/>
  <c r="R320" i="7"/>
  <c r="R304" i="7"/>
  <c r="R292" i="7"/>
  <c r="R283" i="7"/>
  <c r="R274" i="7"/>
  <c r="R265" i="7"/>
  <c r="R256" i="7"/>
  <c r="R247" i="7"/>
  <c r="R238" i="7"/>
  <c r="R229" i="7"/>
  <c r="R220" i="7"/>
  <c r="R211" i="7"/>
  <c r="R202" i="7"/>
  <c r="R193" i="7"/>
  <c r="R184" i="7"/>
  <c r="R209" i="7"/>
  <c r="R190" i="7"/>
  <c r="R227" i="7"/>
  <c r="R221" i="7"/>
  <c r="R194" i="7"/>
  <c r="R230" i="7"/>
  <c r="R245" i="7"/>
  <c r="R236" i="7"/>
  <c r="R218" i="7"/>
  <c r="R185" i="7"/>
  <c r="R203" i="7"/>
  <c r="R191" i="7"/>
  <c r="R186" i="7"/>
  <c r="R239" i="7"/>
  <c r="R200" i="7"/>
  <c r="R212" i="7"/>
  <c r="N714" i="7"/>
  <c r="N705" i="7"/>
  <c r="N715" i="7"/>
  <c r="N707" i="7"/>
  <c r="N700" i="7"/>
  <c r="N691" i="7"/>
  <c r="N682" i="7"/>
  <c r="N673" i="7"/>
  <c r="N664" i="7"/>
  <c r="N655" i="7"/>
  <c r="N646" i="7"/>
  <c r="N637" i="7"/>
  <c r="N628" i="7"/>
  <c r="N619" i="7"/>
  <c r="N706" i="7"/>
  <c r="N695" i="7"/>
  <c r="N686" i="7"/>
  <c r="N677" i="7"/>
  <c r="N668" i="7"/>
  <c r="N659" i="7"/>
  <c r="N650" i="7"/>
  <c r="N641" i="7"/>
  <c r="N632" i="7"/>
  <c r="N623" i="7"/>
  <c r="N614" i="7"/>
  <c r="N605" i="7"/>
  <c r="N596" i="7"/>
  <c r="N587" i="7"/>
  <c r="N578" i="7"/>
  <c r="N569" i="7"/>
  <c r="N560" i="7"/>
  <c r="N551" i="7"/>
  <c r="N542" i="7"/>
  <c r="N713" i="7"/>
  <c r="N699" i="7"/>
  <c r="N690" i="7"/>
  <c r="N681" i="7"/>
  <c r="N672" i="7"/>
  <c r="N663" i="7"/>
  <c r="N654" i="7"/>
  <c r="N645" i="7"/>
  <c r="N636" i="7"/>
  <c r="N627" i="7"/>
  <c r="N618" i="7"/>
  <c r="N609" i="7"/>
  <c r="N600" i="7"/>
  <c r="N591" i="7"/>
  <c r="N582" i="7"/>
  <c r="N573" i="7"/>
  <c r="N564" i="7"/>
  <c r="N555" i="7"/>
  <c r="N546" i="7"/>
  <c r="N712" i="7"/>
  <c r="N704" i="7"/>
  <c r="N694" i="7"/>
  <c r="N685" i="7"/>
  <c r="N676" i="7"/>
  <c r="N667" i="7"/>
  <c r="N658" i="7"/>
  <c r="N649" i="7"/>
  <c r="N640" i="7"/>
  <c r="N631" i="7"/>
  <c r="N622" i="7"/>
  <c r="N613" i="7"/>
  <c r="N604" i="7"/>
  <c r="N703" i="7"/>
  <c r="N711" i="7"/>
  <c r="N698" i="7"/>
  <c r="N689" i="7"/>
  <c r="N680" i="7"/>
  <c r="N671" i="7"/>
  <c r="N662" i="7"/>
  <c r="N653" i="7"/>
  <c r="N644" i="7"/>
  <c r="N635" i="7"/>
  <c r="N626" i="7"/>
  <c r="N617" i="7"/>
  <c r="N719" i="7"/>
  <c r="N718" i="7"/>
  <c r="N702" i="7"/>
  <c r="N693" i="7"/>
  <c r="N684" i="7"/>
  <c r="N675" i="7"/>
  <c r="N666" i="7"/>
  <c r="N710" i="7"/>
  <c r="N709" i="7"/>
  <c r="N697" i="7"/>
  <c r="N688" i="7"/>
  <c r="N679" i="7"/>
  <c r="N670" i="7"/>
  <c r="N661" i="7"/>
  <c r="N652" i="7"/>
  <c r="N717" i="7"/>
  <c r="N708" i="7"/>
  <c r="N701" i="7"/>
  <c r="N692" i="7"/>
  <c r="N683" i="7"/>
  <c r="N674" i="7"/>
  <c r="N665" i="7"/>
  <c r="N716" i="7"/>
  <c r="N696" i="7"/>
  <c r="N687" i="7"/>
  <c r="N678" i="7"/>
  <c r="N669" i="7"/>
  <c r="N660" i="7"/>
  <c r="N651" i="7"/>
  <c r="N610" i="7"/>
  <c r="N603" i="7"/>
  <c r="N602" i="7"/>
  <c r="N575" i="7"/>
  <c r="N574" i="7"/>
  <c r="N572" i="7"/>
  <c r="N571" i="7"/>
  <c r="N568" i="7"/>
  <c r="N657" i="7"/>
  <c r="N638" i="7"/>
  <c r="N620" i="7"/>
  <c r="N570" i="7"/>
  <c r="N567" i="7"/>
  <c r="N633" i="7"/>
  <c r="N611" i="7"/>
  <c r="N566" i="7"/>
  <c r="N565" i="7"/>
  <c r="N563" i="7"/>
  <c r="N562" i="7"/>
  <c r="N559" i="7"/>
  <c r="N615" i="7"/>
  <c r="N612" i="7"/>
  <c r="N561" i="7"/>
  <c r="N558" i="7"/>
  <c r="N639" i="7"/>
  <c r="N621" i="7"/>
  <c r="N607" i="7"/>
  <c r="N606" i="7"/>
  <c r="N557" i="7"/>
  <c r="N556" i="7"/>
  <c r="N554" i="7"/>
  <c r="N553" i="7"/>
  <c r="N550" i="7"/>
  <c r="N634" i="7"/>
  <c r="N616" i="7"/>
  <c r="N552" i="7"/>
  <c r="N549" i="7"/>
  <c r="N608" i="7"/>
  <c r="N595" i="7"/>
  <c r="N548" i="7"/>
  <c r="N547" i="7"/>
  <c r="N545" i="7"/>
  <c r="N544" i="7"/>
  <c r="N656" i="7"/>
  <c r="N647" i="7"/>
  <c r="N629" i="7"/>
  <c r="N598" i="7"/>
  <c r="N597" i="7"/>
  <c r="N594" i="7"/>
  <c r="N541" i="7"/>
  <c r="N642" i="7"/>
  <c r="N624" i="7"/>
  <c r="N599" i="7"/>
  <c r="N593" i="7"/>
  <c r="N592" i="7"/>
  <c r="N590" i="7"/>
  <c r="N589" i="7"/>
  <c r="N586" i="7"/>
  <c r="N543" i="7"/>
  <c r="N588" i="7"/>
  <c r="N585" i="7"/>
  <c r="N648" i="7"/>
  <c r="N630" i="7"/>
  <c r="N584" i="7"/>
  <c r="N583" i="7"/>
  <c r="N581" i="7"/>
  <c r="N580" i="7"/>
  <c r="N577" i="7"/>
  <c r="N643" i="7"/>
  <c r="N625" i="7"/>
  <c r="N601" i="7"/>
  <c r="N579" i="7"/>
  <c r="N576" i="7"/>
  <c r="M1076" i="7"/>
  <c r="M1068" i="7"/>
  <c r="M1062" i="7"/>
  <c r="M1053" i="7"/>
  <c r="M1044" i="7"/>
  <c r="M1035" i="7"/>
  <c r="M1026" i="7"/>
  <c r="M1017" i="7"/>
  <c r="M1008" i="7"/>
  <c r="M999" i="7"/>
  <c r="M990" i="7"/>
  <c r="M1067" i="7"/>
  <c r="M1057" i="7"/>
  <c r="M1048" i="7"/>
  <c r="M1039" i="7"/>
  <c r="M1030" i="7"/>
  <c r="M1021" i="7"/>
  <c r="M1012" i="7"/>
  <c r="M1003" i="7"/>
  <c r="M994" i="7"/>
  <c r="M985" i="7"/>
  <c r="M976" i="7"/>
  <c r="M967" i="7"/>
  <c r="M958" i="7"/>
  <c r="M949" i="7"/>
  <c r="M940" i="7"/>
  <c r="M931" i="7"/>
  <c r="M922" i="7"/>
  <c r="M913" i="7"/>
  <c r="M904" i="7"/>
  <c r="M1075" i="7"/>
  <c r="M1074" i="7"/>
  <c r="M1066" i="7"/>
  <c r="M1061" i="7"/>
  <c r="M1052" i="7"/>
  <c r="M1043" i="7"/>
  <c r="M1034" i="7"/>
  <c r="M1025" i="7"/>
  <c r="M1016" i="7"/>
  <c r="M1007" i="7"/>
  <c r="M998" i="7"/>
  <c r="M989" i="7"/>
  <c r="M980" i="7"/>
  <c r="M971" i="7"/>
  <c r="M962" i="7"/>
  <c r="M953" i="7"/>
  <c r="M944" i="7"/>
  <c r="M935" i="7"/>
  <c r="M926" i="7"/>
  <c r="M917" i="7"/>
  <c r="M908" i="7"/>
  <c r="M899" i="7"/>
  <c r="M1065" i="7"/>
  <c r="M1056" i="7"/>
  <c r="M1047" i="7"/>
  <c r="M1038" i="7"/>
  <c r="M1029" i="7"/>
  <c r="M1020" i="7"/>
  <c r="M1011" i="7"/>
  <c r="M1002" i="7"/>
  <c r="M993" i="7"/>
  <c r="M984" i="7"/>
  <c r="M975" i="7"/>
  <c r="M966" i="7"/>
  <c r="M957" i="7"/>
  <c r="M948" i="7"/>
  <c r="M939" i="7"/>
  <c r="M930" i="7"/>
  <c r="M921" i="7"/>
  <c r="M912" i="7"/>
  <c r="M903" i="7"/>
  <c r="M1073" i="7"/>
  <c r="M1060" i="7"/>
  <c r="M1051" i="7"/>
  <c r="M1042" i="7"/>
  <c r="M1033" i="7"/>
  <c r="M1024" i="7"/>
  <c r="M1015" i="7"/>
  <c r="M1006" i="7"/>
  <c r="M997" i="7"/>
  <c r="M988" i="7"/>
  <c r="M1072" i="7"/>
  <c r="M1071" i="7"/>
  <c r="M1064" i="7"/>
  <c r="M1055" i="7"/>
  <c r="M1046" i="7"/>
  <c r="M1037" i="7"/>
  <c r="M1028" i="7"/>
  <c r="M1019" i="7"/>
  <c r="M1010" i="7"/>
  <c r="M1001" i="7"/>
  <c r="M992" i="7"/>
  <c r="M983" i="7"/>
  <c r="M974" i="7"/>
  <c r="M965" i="7"/>
  <c r="M956" i="7"/>
  <c r="M947" i="7"/>
  <c r="M938" i="7"/>
  <c r="M929" i="7"/>
  <c r="M920" i="7"/>
  <c r="M911" i="7"/>
  <c r="M902" i="7"/>
  <c r="M1059" i="7"/>
  <c r="M1050" i="7"/>
  <c r="M1041" i="7"/>
  <c r="M1032" i="7"/>
  <c r="M1023" i="7"/>
  <c r="M1014" i="7"/>
  <c r="M1005" i="7"/>
  <c r="M996" i="7"/>
  <c r="M987" i="7"/>
  <c r="M978" i="7"/>
  <c r="M969" i="7"/>
  <c r="M1070" i="7"/>
  <c r="M1063" i="7"/>
  <c r="M1054" i="7"/>
  <c r="M1045" i="7"/>
  <c r="M1036" i="7"/>
  <c r="M1027" i="7"/>
  <c r="M1018" i="7"/>
  <c r="M1009" i="7"/>
  <c r="M1000" i="7"/>
  <c r="M991" i="7"/>
  <c r="M1077" i="7"/>
  <c r="M1069" i="7"/>
  <c r="M1058" i="7"/>
  <c r="M1049" i="7"/>
  <c r="M1040" i="7"/>
  <c r="M1031" i="7"/>
  <c r="M1022" i="7"/>
  <c r="M1013" i="7"/>
  <c r="M1004" i="7"/>
  <c r="M995" i="7"/>
  <c r="M986" i="7"/>
  <c r="M977" i="7"/>
  <c r="M968" i="7"/>
  <c r="M959" i="7"/>
  <c r="M950" i="7"/>
  <c r="M941" i="7"/>
  <c r="M932" i="7"/>
  <c r="M923" i="7"/>
  <c r="M970" i="7"/>
  <c r="M936" i="7"/>
  <c r="M910" i="7"/>
  <c r="M973" i="7"/>
  <c r="M943" i="7"/>
  <c r="M963" i="7"/>
  <c r="M960" i="7"/>
  <c r="M933" i="7"/>
  <c r="M979" i="7"/>
  <c r="M955" i="7"/>
  <c r="M982" i="7"/>
  <c r="M945" i="7"/>
  <c r="M928" i="7"/>
  <c r="M924" i="7"/>
  <c r="M900" i="7"/>
  <c r="M972" i="7"/>
  <c r="M952" i="7"/>
  <c r="M916" i="7"/>
  <c r="M901" i="7"/>
  <c r="M942" i="7"/>
  <c r="M918" i="7"/>
  <c r="M905" i="7"/>
  <c r="M937" i="7"/>
  <c r="M981" i="7"/>
  <c r="M954" i="7"/>
  <c r="M914" i="7"/>
  <c r="M906" i="7"/>
  <c r="M961" i="7"/>
  <c r="M934" i="7"/>
  <c r="M909" i="7"/>
  <c r="M964" i="7"/>
  <c r="M951" i="7"/>
  <c r="M925" i="7"/>
  <c r="M946" i="7"/>
  <c r="M927" i="7"/>
  <c r="M919" i="7"/>
  <c r="M915" i="7"/>
  <c r="M907" i="7"/>
  <c r="Q1434" i="7"/>
  <c r="S1434" i="7" s="1"/>
  <c r="M718" i="11" s="1"/>
  <c r="Q1431" i="7"/>
  <c r="S1431" i="7" s="1"/>
  <c r="M715" i="11" s="1"/>
  <c r="Q1428" i="7"/>
  <c r="S1428" i="7" s="1"/>
  <c r="M712" i="11" s="1"/>
  <c r="Q1422" i="7"/>
  <c r="S1422" i="7" s="1"/>
  <c r="M706" i="11" s="1"/>
  <c r="Q1413" i="7"/>
  <c r="S1413" i="7" s="1"/>
  <c r="M697" i="11" s="1"/>
  <c r="Q1404" i="7"/>
  <c r="S1404" i="7" s="1"/>
  <c r="M688" i="11" s="1"/>
  <c r="Q1395" i="7"/>
  <c r="S1395" i="7" s="1"/>
  <c r="M679" i="11" s="1"/>
  <c r="Q1386" i="7"/>
  <c r="S1386" i="7" s="1"/>
  <c r="M670" i="11" s="1"/>
  <c r="Q1377" i="7"/>
  <c r="S1377" i="7" s="1"/>
  <c r="M661" i="11" s="1"/>
  <c r="Q1368" i="7"/>
  <c r="S1368" i="7" s="1"/>
  <c r="M652" i="11" s="1"/>
  <c r="Q1359" i="7"/>
  <c r="S1359" i="7" s="1"/>
  <c r="M643" i="11" s="1"/>
  <c r="Q1350" i="7"/>
  <c r="S1350" i="7" s="1"/>
  <c r="M634" i="11" s="1"/>
  <c r="Q1341" i="7"/>
  <c r="S1341" i="7" s="1"/>
  <c r="M625" i="11" s="1"/>
  <c r="Q1332" i="7"/>
  <c r="S1332" i="7" s="1"/>
  <c r="M616" i="11" s="1"/>
  <c r="Q1323" i="7"/>
  <c r="S1323" i="7" s="1"/>
  <c r="M607" i="11" s="1"/>
  <c r="Q1314" i="7"/>
  <c r="S1314" i="7" s="1"/>
  <c r="M598" i="11" s="1"/>
  <c r="Q1305" i="7"/>
  <c r="S1305" i="7" s="1"/>
  <c r="M589" i="11" s="1"/>
  <c r="Q1296" i="7"/>
  <c r="S1296" i="7" s="1"/>
  <c r="M580" i="11" s="1"/>
  <c r="Q1287" i="7"/>
  <c r="S1287" i="7" s="1"/>
  <c r="M571" i="11" s="1"/>
  <c r="Q1278" i="7"/>
  <c r="S1278" i="7" s="1"/>
  <c r="M562" i="11" s="1"/>
  <c r="Q1269" i="7"/>
  <c r="S1269" i="7" s="1"/>
  <c r="M553" i="11" s="1"/>
  <c r="Q1260" i="7"/>
  <c r="S1260" i="7" s="1"/>
  <c r="M544" i="11" s="1"/>
  <c r="Q1433" i="7"/>
  <c r="S1433" i="7" s="1"/>
  <c r="M717" i="11" s="1"/>
  <c r="Q1426" i="7"/>
  <c r="S1426" i="7" s="1"/>
  <c r="M710" i="11" s="1"/>
  <c r="Q1417" i="7"/>
  <c r="S1417" i="7" s="1"/>
  <c r="M701" i="11" s="1"/>
  <c r="Q1408" i="7"/>
  <c r="S1408" i="7" s="1"/>
  <c r="M692" i="11" s="1"/>
  <c r="Q1399" i="7"/>
  <c r="S1399" i="7" s="1"/>
  <c r="M683" i="11" s="1"/>
  <c r="Q1390" i="7"/>
  <c r="S1390" i="7" s="1"/>
  <c r="M674" i="11" s="1"/>
  <c r="Q1381" i="7"/>
  <c r="S1381" i="7" s="1"/>
  <c r="M665" i="11" s="1"/>
  <c r="Q1372" i="7"/>
  <c r="S1372" i="7" s="1"/>
  <c r="M656" i="11" s="1"/>
  <c r="Q1363" i="7"/>
  <c r="S1363" i="7" s="1"/>
  <c r="M647" i="11" s="1"/>
  <c r="Q1354" i="7"/>
  <c r="S1354" i="7" s="1"/>
  <c r="M638" i="11" s="1"/>
  <c r="Q1345" i="7"/>
  <c r="S1345" i="7" s="1"/>
  <c r="M629" i="11" s="1"/>
  <c r="Q1336" i="7"/>
  <c r="S1336" i="7" s="1"/>
  <c r="M620" i="11" s="1"/>
  <c r="Q1327" i="7"/>
  <c r="S1327" i="7" s="1"/>
  <c r="M611" i="11" s="1"/>
  <c r="Q1318" i="7"/>
  <c r="S1318" i="7" s="1"/>
  <c r="M602" i="11" s="1"/>
  <c r="Q1309" i="7"/>
  <c r="S1309" i="7" s="1"/>
  <c r="M593" i="11" s="1"/>
  <c r="Q1300" i="7"/>
  <c r="S1300" i="7" s="1"/>
  <c r="M584" i="11" s="1"/>
  <c r="Q1291" i="7"/>
  <c r="S1291" i="7" s="1"/>
  <c r="M575" i="11" s="1"/>
  <c r="Q1282" i="7"/>
  <c r="S1282" i="7" s="1"/>
  <c r="M566" i="11" s="1"/>
  <c r="Q1273" i="7"/>
  <c r="S1273" i="7" s="1"/>
  <c r="M557" i="11" s="1"/>
  <c r="Q1264" i="7"/>
  <c r="S1264" i="7" s="1"/>
  <c r="M548" i="11" s="1"/>
  <c r="Q1432" i="7"/>
  <c r="S1432" i="7" s="1"/>
  <c r="M716" i="11" s="1"/>
  <c r="Q1421" i="7"/>
  <c r="S1421" i="7" s="1"/>
  <c r="M705" i="11" s="1"/>
  <c r="Q1412" i="7"/>
  <c r="S1412" i="7" s="1"/>
  <c r="M696" i="11" s="1"/>
  <c r="Q1403" i="7"/>
  <c r="S1403" i="7" s="1"/>
  <c r="M687" i="11" s="1"/>
  <c r="Q1394" i="7"/>
  <c r="S1394" i="7" s="1"/>
  <c r="M678" i="11" s="1"/>
  <c r="Q1385" i="7"/>
  <c r="S1385" i="7" s="1"/>
  <c r="M669" i="11" s="1"/>
  <c r="Q1376" i="7"/>
  <c r="S1376" i="7" s="1"/>
  <c r="M660" i="11" s="1"/>
  <c r="Q1367" i="7"/>
  <c r="S1367" i="7" s="1"/>
  <c r="M651" i="11" s="1"/>
  <c r="Q1358" i="7"/>
  <c r="S1358" i="7" s="1"/>
  <c r="M642" i="11" s="1"/>
  <c r="Q1425" i="7"/>
  <c r="S1425" i="7" s="1"/>
  <c r="M709" i="11" s="1"/>
  <c r="Q1416" i="7"/>
  <c r="S1416" i="7" s="1"/>
  <c r="M700" i="11" s="1"/>
  <c r="Q1407" i="7"/>
  <c r="S1407" i="7" s="1"/>
  <c r="M691" i="11" s="1"/>
  <c r="Q1398" i="7"/>
  <c r="S1398" i="7" s="1"/>
  <c r="M682" i="11" s="1"/>
  <c r="Q1389" i="7"/>
  <c r="S1389" i="7" s="1"/>
  <c r="M673" i="11" s="1"/>
  <c r="Q1380" i="7"/>
  <c r="S1380" i="7" s="1"/>
  <c r="M664" i="11" s="1"/>
  <c r="Q1371" i="7"/>
  <c r="S1371" i="7" s="1"/>
  <c r="M655" i="11" s="1"/>
  <c r="Q1362" i="7"/>
  <c r="S1362" i="7" s="1"/>
  <c r="M646" i="11" s="1"/>
  <c r="Q1430" i="7"/>
  <c r="S1430" i="7" s="1"/>
  <c r="M714" i="11" s="1"/>
  <c r="Q1420" i="7"/>
  <c r="S1420" i="7" s="1"/>
  <c r="M704" i="11" s="1"/>
  <c r="Q1411" i="7"/>
  <c r="S1411" i="7" s="1"/>
  <c r="M695" i="11" s="1"/>
  <c r="Q1402" i="7"/>
  <c r="S1402" i="7" s="1"/>
  <c r="M686" i="11" s="1"/>
  <c r="Q1393" i="7"/>
  <c r="S1393" i="7" s="1"/>
  <c r="M677" i="11" s="1"/>
  <c r="Q1384" i="7"/>
  <c r="S1384" i="7" s="1"/>
  <c r="M668" i="11" s="1"/>
  <c r="Q1375" i="7"/>
  <c r="S1375" i="7" s="1"/>
  <c r="M659" i="11" s="1"/>
  <c r="Q1366" i="7"/>
  <c r="S1366" i="7" s="1"/>
  <c r="M650" i="11" s="1"/>
  <c r="Q1357" i="7"/>
  <c r="S1357" i="7" s="1"/>
  <c r="M641" i="11" s="1"/>
  <c r="Q1348" i="7"/>
  <c r="S1348" i="7" s="1"/>
  <c r="M632" i="11" s="1"/>
  <c r="Q1424" i="7"/>
  <c r="S1424" i="7" s="1"/>
  <c r="M708" i="11" s="1"/>
  <c r="Q1415" i="7"/>
  <c r="S1415" i="7" s="1"/>
  <c r="M699" i="11" s="1"/>
  <c r="Q1406" i="7"/>
  <c r="S1406" i="7" s="1"/>
  <c r="M690" i="11" s="1"/>
  <c r="Q1397" i="7"/>
  <c r="S1397" i="7" s="1"/>
  <c r="M681" i="11" s="1"/>
  <c r="Q1388" i="7"/>
  <c r="S1388" i="7" s="1"/>
  <c r="M672" i="11" s="1"/>
  <c r="Q1429" i="7"/>
  <c r="S1429" i="7" s="1"/>
  <c r="M713" i="11" s="1"/>
  <c r="Q1419" i="7"/>
  <c r="S1419" i="7" s="1"/>
  <c r="M703" i="11" s="1"/>
  <c r="Q1410" i="7"/>
  <c r="S1410" i="7" s="1"/>
  <c r="M694" i="11" s="1"/>
  <c r="Q1401" i="7"/>
  <c r="S1401" i="7" s="1"/>
  <c r="M685" i="11" s="1"/>
  <c r="Q1392" i="7"/>
  <c r="S1392" i="7" s="1"/>
  <c r="M676" i="11" s="1"/>
  <c r="Q1383" i="7"/>
  <c r="S1383" i="7" s="1"/>
  <c r="M667" i="11" s="1"/>
  <c r="Q1423" i="7"/>
  <c r="S1423" i="7" s="1"/>
  <c r="M707" i="11" s="1"/>
  <c r="Q1414" i="7"/>
  <c r="S1414" i="7" s="1"/>
  <c r="M698" i="11" s="1"/>
  <c r="Q1405" i="7"/>
  <c r="S1405" i="7" s="1"/>
  <c r="M689" i="11" s="1"/>
  <c r="Q1396" i="7"/>
  <c r="S1396" i="7" s="1"/>
  <c r="M680" i="11" s="1"/>
  <c r="Q1387" i="7"/>
  <c r="S1387" i="7" s="1"/>
  <c r="M671" i="11" s="1"/>
  <c r="Q1378" i="7"/>
  <c r="S1378" i="7" s="1"/>
  <c r="M662" i="11" s="1"/>
  <c r="Q1369" i="7"/>
  <c r="S1369" i="7" s="1"/>
  <c r="M653" i="11" s="1"/>
  <c r="Q1360" i="7"/>
  <c r="S1360" i="7" s="1"/>
  <c r="M644" i="11" s="1"/>
  <c r="Q1435" i="7"/>
  <c r="S1435" i="7" s="1"/>
  <c r="M719" i="11" s="1"/>
  <c r="Q1427" i="7"/>
  <c r="S1427" i="7" s="1"/>
  <c r="M711" i="11" s="1"/>
  <c r="Q1418" i="7"/>
  <c r="S1418" i="7" s="1"/>
  <c r="M702" i="11" s="1"/>
  <c r="Q1409" i="7"/>
  <c r="S1409" i="7" s="1"/>
  <c r="M693" i="11" s="1"/>
  <c r="Q1400" i="7"/>
  <c r="S1400" i="7" s="1"/>
  <c r="M684" i="11" s="1"/>
  <c r="Q1391" i="7"/>
  <c r="S1391" i="7" s="1"/>
  <c r="M675" i="11" s="1"/>
  <c r="Q1382" i="7"/>
  <c r="S1382" i="7" s="1"/>
  <c r="M666" i="11" s="1"/>
  <c r="Q1373" i="7"/>
  <c r="S1373" i="7" s="1"/>
  <c r="M657" i="11" s="1"/>
  <c r="Q1353" i="7"/>
  <c r="S1353" i="7" s="1"/>
  <c r="M637" i="11" s="1"/>
  <c r="Q1311" i="7"/>
  <c r="S1311" i="7" s="1"/>
  <c r="M595" i="11" s="1"/>
  <c r="Q1310" i="7"/>
  <c r="S1310" i="7" s="1"/>
  <c r="M594" i="11" s="1"/>
  <c r="Q1308" i="7"/>
  <c r="S1308" i="7" s="1"/>
  <c r="M592" i="11" s="1"/>
  <c r="Q1307" i="7"/>
  <c r="S1307" i="7" s="1"/>
  <c r="M591" i="11" s="1"/>
  <c r="Q1304" i="7"/>
  <c r="S1304" i="7" s="1"/>
  <c r="M588" i="11" s="1"/>
  <c r="Q1261" i="7"/>
  <c r="S1261" i="7" s="1"/>
  <c r="M545" i="11" s="1"/>
  <c r="Q1258" i="7"/>
  <c r="S1258" i="7" s="1"/>
  <c r="M542" i="11" s="1"/>
  <c r="Q1306" i="7"/>
  <c r="S1306" i="7" s="1"/>
  <c r="M590" i="11" s="1"/>
  <c r="Q1303" i="7"/>
  <c r="S1303" i="7" s="1"/>
  <c r="M587" i="11" s="1"/>
  <c r="Q1257" i="7"/>
  <c r="S1257" i="7" s="1"/>
  <c r="M541" i="11" s="1"/>
  <c r="Q1370" i="7"/>
  <c r="S1370" i="7" s="1"/>
  <c r="M654" i="11" s="1"/>
  <c r="Q1302" i="7"/>
  <c r="S1302" i="7" s="1"/>
  <c r="M586" i="11" s="1"/>
  <c r="Q1301" i="7"/>
  <c r="S1301" i="7" s="1"/>
  <c r="M585" i="11" s="1"/>
  <c r="Q1299" i="7"/>
  <c r="S1299" i="7" s="1"/>
  <c r="M583" i="11" s="1"/>
  <c r="Q1298" i="7"/>
  <c r="S1298" i="7" s="1"/>
  <c r="M582" i="11" s="1"/>
  <c r="Q1295" i="7"/>
  <c r="S1295" i="7" s="1"/>
  <c r="M579" i="11" s="1"/>
  <c r="Q1297" i="7"/>
  <c r="S1297" i="7" s="1"/>
  <c r="M581" i="11" s="1"/>
  <c r="Q1294" i="7"/>
  <c r="S1294" i="7" s="1"/>
  <c r="M578" i="11" s="1"/>
  <c r="Q1364" i="7"/>
  <c r="S1364" i="7" s="1"/>
  <c r="M648" i="11" s="1"/>
  <c r="Q1346" i="7"/>
  <c r="S1346" i="7" s="1"/>
  <c r="M630" i="11" s="1"/>
  <c r="Q1344" i="7"/>
  <c r="S1344" i="7" s="1"/>
  <c r="M628" i="11" s="1"/>
  <c r="Q1343" i="7"/>
  <c r="S1343" i="7" s="1"/>
  <c r="M627" i="11" s="1"/>
  <c r="Q1340" i="7"/>
  <c r="S1340" i="7" s="1"/>
  <c r="M624" i="11" s="1"/>
  <c r="Q1293" i="7"/>
  <c r="S1293" i="7" s="1"/>
  <c r="M577" i="11" s="1"/>
  <c r="Q1292" i="7"/>
  <c r="S1292" i="7" s="1"/>
  <c r="M576" i="11" s="1"/>
  <c r="Q1290" i="7"/>
  <c r="S1290" i="7" s="1"/>
  <c r="M574" i="11" s="1"/>
  <c r="Q1289" i="7"/>
  <c r="S1289" i="7" s="1"/>
  <c r="M573" i="11" s="1"/>
  <c r="Q1286" i="7"/>
  <c r="S1286" i="7" s="1"/>
  <c r="M570" i="11" s="1"/>
  <c r="Q1379" i="7"/>
  <c r="S1379" i="7" s="1"/>
  <c r="M663" i="11" s="1"/>
  <c r="Q1355" i="7"/>
  <c r="S1355" i="7" s="1"/>
  <c r="M639" i="11" s="1"/>
  <c r="Q1347" i="7"/>
  <c r="S1347" i="7" s="1"/>
  <c r="M631" i="11" s="1"/>
  <c r="Q1342" i="7"/>
  <c r="S1342" i="7" s="1"/>
  <c r="M626" i="11" s="1"/>
  <c r="Q1339" i="7"/>
  <c r="S1339" i="7" s="1"/>
  <c r="M623" i="11" s="1"/>
  <c r="Q1288" i="7"/>
  <c r="S1288" i="7" s="1"/>
  <c r="M572" i="11" s="1"/>
  <c r="Q1285" i="7"/>
  <c r="S1285" i="7" s="1"/>
  <c r="M569" i="11" s="1"/>
  <c r="Q1349" i="7"/>
  <c r="S1349" i="7" s="1"/>
  <c r="M633" i="11" s="1"/>
  <c r="Q1338" i="7"/>
  <c r="S1338" i="7" s="1"/>
  <c r="M622" i="11" s="1"/>
  <c r="Q1337" i="7"/>
  <c r="S1337" i="7" s="1"/>
  <c r="M621" i="11" s="1"/>
  <c r="Q1335" i="7"/>
  <c r="S1335" i="7" s="1"/>
  <c r="M619" i="11" s="1"/>
  <c r="Q1334" i="7"/>
  <c r="S1334" i="7" s="1"/>
  <c r="M618" i="11" s="1"/>
  <c r="Q1331" i="7"/>
  <c r="S1331" i="7" s="1"/>
  <c r="M615" i="11" s="1"/>
  <c r="Q1284" i="7"/>
  <c r="S1284" i="7" s="1"/>
  <c r="M568" i="11" s="1"/>
  <c r="Q1283" i="7"/>
  <c r="S1283" i="7" s="1"/>
  <c r="M567" i="11" s="1"/>
  <c r="Q1281" i="7"/>
  <c r="S1281" i="7" s="1"/>
  <c r="M565" i="11" s="1"/>
  <c r="Q1280" i="7"/>
  <c r="S1280" i="7" s="1"/>
  <c r="M564" i="11" s="1"/>
  <c r="Q1277" i="7"/>
  <c r="S1277" i="7" s="1"/>
  <c r="M561" i="11" s="1"/>
  <c r="Q1374" i="7"/>
  <c r="S1374" i="7" s="1"/>
  <c r="M658" i="11" s="1"/>
  <c r="Q1356" i="7"/>
  <c r="S1356" i="7" s="1"/>
  <c r="M640" i="11" s="1"/>
  <c r="Q1333" i="7"/>
  <c r="S1333" i="7" s="1"/>
  <c r="M617" i="11" s="1"/>
  <c r="Q1330" i="7"/>
  <c r="S1330" i="7" s="1"/>
  <c r="M614" i="11" s="1"/>
  <c r="Q1279" i="7"/>
  <c r="S1279" i="7" s="1"/>
  <c r="M563" i="11" s="1"/>
  <c r="Q1276" i="7"/>
  <c r="S1276" i="7" s="1"/>
  <c r="M560" i="11" s="1"/>
  <c r="Q1329" i="7"/>
  <c r="S1329" i="7" s="1"/>
  <c r="M613" i="11" s="1"/>
  <c r="Q1328" i="7"/>
  <c r="S1328" i="7" s="1"/>
  <c r="M612" i="11" s="1"/>
  <c r="Q1326" i="7"/>
  <c r="S1326" i="7" s="1"/>
  <c r="M610" i="11" s="1"/>
  <c r="Q1325" i="7"/>
  <c r="S1325" i="7" s="1"/>
  <c r="M609" i="11" s="1"/>
  <c r="Q1322" i="7"/>
  <c r="S1322" i="7" s="1"/>
  <c r="M606" i="11" s="1"/>
  <c r="Q1275" i="7"/>
  <c r="S1275" i="7" s="1"/>
  <c r="M559" i="11" s="1"/>
  <c r="Q1274" i="7"/>
  <c r="S1274" i="7" s="1"/>
  <c r="M558" i="11" s="1"/>
  <c r="Q1272" i="7"/>
  <c r="S1272" i="7" s="1"/>
  <c r="M556" i="11" s="1"/>
  <c r="Q1271" i="7"/>
  <c r="S1271" i="7" s="1"/>
  <c r="M555" i="11" s="1"/>
  <c r="Q1268" i="7"/>
  <c r="S1268" i="7" s="1"/>
  <c r="M552" i="11" s="1"/>
  <c r="Q1352" i="7"/>
  <c r="S1352" i="7" s="1"/>
  <c r="M636" i="11" s="1"/>
  <c r="Q1351" i="7"/>
  <c r="S1351" i="7" s="1"/>
  <c r="M635" i="11" s="1"/>
  <c r="Q1324" i="7"/>
  <c r="S1324" i="7" s="1"/>
  <c r="M608" i="11" s="1"/>
  <c r="Q1321" i="7"/>
  <c r="S1321" i="7" s="1"/>
  <c r="M605" i="11" s="1"/>
  <c r="Q1270" i="7"/>
  <c r="S1270" i="7" s="1"/>
  <c r="M554" i="11" s="1"/>
  <c r="Q1267" i="7"/>
  <c r="S1267" i="7" s="1"/>
  <c r="M551" i="11" s="1"/>
  <c r="Q1365" i="7"/>
  <c r="S1365" i="7" s="1"/>
  <c r="M649" i="11" s="1"/>
  <c r="Q1361" i="7"/>
  <c r="S1361" i="7" s="1"/>
  <c r="M645" i="11" s="1"/>
  <c r="Q1320" i="7"/>
  <c r="S1320" i="7" s="1"/>
  <c r="M604" i="11" s="1"/>
  <c r="Q1319" i="7"/>
  <c r="S1319" i="7" s="1"/>
  <c r="M603" i="11" s="1"/>
  <c r="Q1317" i="7"/>
  <c r="S1317" i="7" s="1"/>
  <c r="M601" i="11" s="1"/>
  <c r="Q1316" i="7"/>
  <c r="S1316" i="7" s="1"/>
  <c r="M600" i="11" s="1"/>
  <c r="Q1313" i="7"/>
  <c r="S1313" i="7" s="1"/>
  <c r="M597" i="11" s="1"/>
  <c r="Q1266" i="7"/>
  <c r="S1266" i="7" s="1"/>
  <c r="M550" i="11" s="1"/>
  <c r="Q1265" i="7"/>
  <c r="S1265" i="7" s="1"/>
  <c r="M549" i="11" s="1"/>
  <c r="Q1263" i="7"/>
  <c r="S1263" i="7" s="1"/>
  <c r="M547" i="11" s="1"/>
  <c r="Q1315" i="7"/>
  <c r="S1315" i="7" s="1"/>
  <c r="M599" i="11" s="1"/>
  <c r="Q1312" i="7"/>
  <c r="S1312" i="7" s="1"/>
  <c r="M596" i="11" s="1"/>
  <c r="Q1262" i="7"/>
  <c r="S1262" i="7" s="1"/>
  <c r="M546" i="11" s="1"/>
  <c r="Q1259" i="7"/>
  <c r="S1259" i="7" s="1"/>
  <c r="M543" i="11" s="1"/>
  <c r="K27" i="3"/>
  <c r="GG5" i="4"/>
  <c r="GH7" i="4"/>
  <c r="GG8" i="4"/>
  <c r="GH10" i="4"/>
  <c r="GG11" i="4"/>
  <c r="GH13" i="4"/>
  <c r="GG14" i="4"/>
  <c r="GH16" i="4"/>
  <c r="GG17" i="4"/>
  <c r="GH22" i="4"/>
  <c r="GE26" i="4"/>
  <c r="GD28" i="4"/>
  <c r="GH29" i="4"/>
  <c r="GG29" i="4"/>
  <c r="GR29" i="4"/>
  <c r="GF29" i="4"/>
  <c r="GN41" i="4"/>
  <c r="GO8" i="5"/>
  <c r="E12" i="5"/>
  <c r="S13" i="5" s="1"/>
  <c r="GL37" i="5"/>
  <c r="J41" i="5"/>
  <c r="GJ57" i="5"/>
  <c r="Q16" i="7"/>
  <c r="S16" i="7" s="1"/>
  <c r="M16" i="10" s="1"/>
  <c r="Q18" i="7"/>
  <c r="S18" i="7" s="1"/>
  <c r="M18" i="10" s="1"/>
  <c r="P19" i="7"/>
  <c r="P21" i="7"/>
  <c r="P27" i="7"/>
  <c r="P28" i="7"/>
  <c r="Q35" i="7"/>
  <c r="S35" i="7" s="1"/>
  <c r="M35" i="10" s="1"/>
  <c r="M41" i="7"/>
  <c r="M46" i="7"/>
  <c r="Q47" i="7"/>
  <c r="S47" i="7" s="1"/>
  <c r="M47" i="10" s="1"/>
  <c r="M50" i="7"/>
  <c r="Q51" i="7"/>
  <c r="S51" i="7" s="1"/>
  <c r="M51" i="10" s="1"/>
  <c r="M54" i="7"/>
  <c r="P66" i="7"/>
  <c r="P73" i="7"/>
  <c r="O537" i="7"/>
  <c r="O528" i="7"/>
  <c r="O519" i="7"/>
  <c r="O532" i="7"/>
  <c r="O523" i="7"/>
  <c r="O514" i="7"/>
  <c r="O505" i="7"/>
  <c r="O496" i="7"/>
  <c r="O487" i="7"/>
  <c r="O524" i="7"/>
  <c r="O521" i="7"/>
  <c r="O520" i="7"/>
  <c r="O518" i="7"/>
  <c r="O517" i="7"/>
  <c r="O497" i="7"/>
  <c r="O480" i="7"/>
  <c r="O471" i="7"/>
  <c r="O462" i="7"/>
  <c r="O453" i="7"/>
  <c r="O444" i="7"/>
  <c r="O435" i="7"/>
  <c r="O426" i="7"/>
  <c r="O417" i="7"/>
  <c r="O516" i="7"/>
  <c r="O513" i="7"/>
  <c r="O504" i="7"/>
  <c r="O488" i="7"/>
  <c r="O475" i="7"/>
  <c r="O466" i="7"/>
  <c r="O457" i="7"/>
  <c r="O448" i="7"/>
  <c r="O439" i="7"/>
  <c r="O430" i="7"/>
  <c r="O421" i="7"/>
  <c r="O412" i="7"/>
  <c r="O403" i="7"/>
  <c r="O394" i="7"/>
  <c r="O385" i="7"/>
  <c r="O376" i="7"/>
  <c r="O367" i="7"/>
  <c r="O515" i="7"/>
  <c r="O512" i="7"/>
  <c r="O495" i="7"/>
  <c r="O511" i="7"/>
  <c r="O503" i="7"/>
  <c r="O486" i="7"/>
  <c r="O479" i="7"/>
  <c r="O470" i="7"/>
  <c r="O461" i="7"/>
  <c r="O452" i="7"/>
  <c r="O443" i="7"/>
  <c r="O434" i="7"/>
  <c r="O502" i="7"/>
  <c r="O494" i="7"/>
  <c r="O474" i="7"/>
  <c r="O465" i="7"/>
  <c r="O456" i="7"/>
  <c r="O447" i="7"/>
  <c r="O438" i="7"/>
  <c r="O429" i="7"/>
  <c r="O420" i="7"/>
  <c r="O411" i="7"/>
  <c r="O402" i="7"/>
  <c r="O393" i="7"/>
  <c r="O384" i="7"/>
  <c r="O375" i="7"/>
  <c r="O366" i="7"/>
  <c r="O510" i="7"/>
  <c r="O509" i="7"/>
  <c r="O540" i="7"/>
  <c r="O508" i="7"/>
  <c r="O500" i="7"/>
  <c r="O492" i="7"/>
  <c r="O539" i="7"/>
  <c r="O538" i="7"/>
  <c r="O536" i="7"/>
  <c r="O535" i="7"/>
  <c r="O499" i="7"/>
  <c r="O491" i="7"/>
  <c r="O483" i="7"/>
  <c r="O534" i="7"/>
  <c r="O531" i="7"/>
  <c r="O507" i="7"/>
  <c r="O490" i="7"/>
  <c r="O482" i="7"/>
  <c r="O472" i="7"/>
  <c r="O463" i="7"/>
  <c r="O454" i="7"/>
  <c r="O445" i="7"/>
  <c r="O533" i="7"/>
  <c r="O530" i="7"/>
  <c r="O529" i="7"/>
  <c r="O527" i="7"/>
  <c r="O526" i="7"/>
  <c r="O498" i="7"/>
  <c r="O481" i="7"/>
  <c r="O525" i="7"/>
  <c r="O522" i="7"/>
  <c r="O506" i="7"/>
  <c r="O489" i="7"/>
  <c r="O476" i="7"/>
  <c r="O467" i="7"/>
  <c r="O458" i="7"/>
  <c r="O469" i="7"/>
  <c r="O450" i="7"/>
  <c r="O422" i="7"/>
  <c r="O416" i="7"/>
  <c r="O386" i="7"/>
  <c r="O383" i="7"/>
  <c r="O382" i="7"/>
  <c r="O379" i="7"/>
  <c r="O446" i="7"/>
  <c r="O431" i="7"/>
  <c r="O428" i="7"/>
  <c r="O423" i="7"/>
  <c r="O381" i="7"/>
  <c r="O380" i="7"/>
  <c r="O378" i="7"/>
  <c r="O464" i="7"/>
  <c r="O441" i="7"/>
  <c r="O424" i="7"/>
  <c r="O418" i="7"/>
  <c r="O377" i="7"/>
  <c r="O374" i="7"/>
  <c r="O373" i="7"/>
  <c r="O370" i="7"/>
  <c r="O485" i="7"/>
  <c r="O459" i="7"/>
  <c r="O432" i="7"/>
  <c r="O372" i="7"/>
  <c r="O371" i="7"/>
  <c r="O369" i="7"/>
  <c r="O478" i="7"/>
  <c r="O451" i="7"/>
  <c r="O419" i="7"/>
  <c r="O368" i="7"/>
  <c r="O365" i="7"/>
  <c r="O364" i="7"/>
  <c r="O442" i="7"/>
  <c r="O436" i="7"/>
  <c r="O433" i="7"/>
  <c r="O425" i="7"/>
  <c r="O363" i="7"/>
  <c r="O362" i="7"/>
  <c r="O501" i="7"/>
  <c r="O473" i="7"/>
  <c r="O449" i="7"/>
  <c r="O410" i="7"/>
  <c r="O409" i="7"/>
  <c r="O406" i="7"/>
  <c r="O493" i="7"/>
  <c r="O484" i="7"/>
  <c r="O468" i="7"/>
  <c r="O408" i="7"/>
  <c r="O407" i="7"/>
  <c r="O405" i="7"/>
  <c r="O460" i="7"/>
  <c r="O437" i="7"/>
  <c r="O404" i="7"/>
  <c r="O401" i="7"/>
  <c r="O400" i="7"/>
  <c r="O397" i="7"/>
  <c r="O399" i="7"/>
  <c r="O398" i="7"/>
  <c r="O396" i="7"/>
  <c r="O455" i="7"/>
  <c r="O440" i="7"/>
  <c r="O427" i="7"/>
  <c r="O415" i="7"/>
  <c r="O414" i="7"/>
  <c r="O413" i="7"/>
  <c r="O395" i="7"/>
  <c r="O392" i="7"/>
  <c r="O391" i="7"/>
  <c r="O388" i="7"/>
  <c r="O477" i="7"/>
  <c r="O390" i="7"/>
  <c r="O389" i="7"/>
  <c r="O387" i="7"/>
  <c r="N890" i="7"/>
  <c r="N881" i="7"/>
  <c r="N872" i="7"/>
  <c r="N863" i="7"/>
  <c r="N854" i="7"/>
  <c r="N845" i="7"/>
  <c r="N836" i="7"/>
  <c r="N827" i="7"/>
  <c r="N818" i="7"/>
  <c r="N809" i="7"/>
  <c r="N800" i="7"/>
  <c r="N791" i="7"/>
  <c r="N782" i="7"/>
  <c r="N773" i="7"/>
  <c r="N764" i="7"/>
  <c r="N755" i="7"/>
  <c r="N894" i="7"/>
  <c r="N885" i="7"/>
  <c r="N876" i="7"/>
  <c r="N867" i="7"/>
  <c r="N858" i="7"/>
  <c r="N849" i="7"/>
  <c r="N840" i="7"/>
  <c r="N831" i="7"/>
  <c r="N822" i="7"/>
  <c r="N813" i="7"/>
  <c r="N804" i="7"/>
  <c r="N795" i="7"/>
  <c r="N786" i="7"/>
  <c r="N777" i="7"/>
  <c r="N768" i="7"/>
  <c r="N759" i="7"/>
  <c r="N750" i="7"/>
  <c r="N741" i="7"/>
  <c r="N732" i="7"/>
  <c r="N723" i="7"/>
  <c r="N898" i="7"/>
  <c r="N889" i="7"/>
  <c r="N880" i="7"/>
  <c r="N897" i="7"/>
  <c r="N888" i="7"/>
  <c r="N879" i="7"/>
  <c r="N870" i="7"/>
  <c r="N874" i="7"/>
  <c r="N873" i="7"/>
  <c r="N833" i="7"/>
  <c r="N832" i="7"/>
  <c r="N830" i="7"/>
  <c r="N829" i="7"/>
  <c r="N826" i="7"/>
  <c r="N779" i="7"/>
  <c r="N778" i="7"/>
  <c r="N776" i="7"/>
  <c r="N775" i="7"/>
  <c r="N772" i="7"/>
  <c r="N739" i="7"/>
  <c r="N731" i="7"/>
  <c r="N896" i="7"/>
  <c r="N882" i="7"/>
  <c r="N828" i="7"/>
  <c r="N825" i="7"/>
  <c r="N774" i="7"/>
  <c r="N771" i="7"/>
  <c r="N747" i="7"/>
  <c r="N730" i="7"/>
  <c r="N722" i="7"/>
  <c r="N893" i="7"/>
  <c r="N824" i="7"/>
  <c r="N823" i="7"/>
  <c r="N821" i="7"/>
  <c r="N820" i="7"/>
  <c r="N817" i="7"/>
  <c r="N770" i="7"/>
  <c r="N769" i="7"/>
  <c r="N767" i="7"/>
  <c r="N766" i="7"/>
  <c r="N763" i="7"/>
  <c r="N738" i="7"/>
  <c r="N721" i="7"/>
  <c r="N886" i="7"/>
  <c r="N883" i="7"/>
  <c r="N875" i="7"/>
  <c r="N819" i="7"/>
  <c r="N816" i="7"/>
  <c r="N765" i="7"/>
  <c r="N762" i="7"/>
  <c r="N746" i="7"/>
  <c r="N745" i="7"/>
  <c r="N729" i="7"/>
  <c r="N865" i="7"/>
  <c r="N862" i="7"/>
  <c r="N815" i="7"/>
  <c r="N814" i="7"/>
  <c r="N812" i="7"/>
  <c r="N811" i="7"/>
  <c r="N808" i="7"/>
  <c r="N761" i="7"/>
  <c r="N760" i="7"/>
  <c r="N758" i="7"/>
  <c r="N757" i="7"/>
  <c r="N754" i="7"/>
  <c r="N737" i="7"/>
  <c r="N736" i="7"/>
  <c r="N866" i="7"/>
  <c r="N864" i="7"/>
  <c r="N861" i="7"/>
  <c r="N810" i="7"/>
  <c r="N807" i="7"/>
  <c r="N756" i="7"/>
  <c r="N753" i="7"/>
  <c r="N744" i="7"/>
  <c r="N728" i="7"/>
  <c r="N727" i="7"/>
  <c r="N720" i="7"/>
  <c r="N887" i="7"/>
  <c r="N860" i="7"/>
  <c r="N859" i="7"/>
  <c r="N857" i="7"/>
  <c r="N856" i="7"/>
  <c r="N853" i="7"/>
  <c r="N806" i="7"/>
  <c r="N805" i="7"/>
  <c r="N803" i="7"/>
  <c r="N802" i="7"/>
  <c r="N799" i="7"/>
  <c r="N752" i="7"/>
  <c r="N735" i="7"/>
  <c r="N884" i="7"/>
  <c r="N868" i="7"/>
  <c r="N855" i="7"/>
  <c r="N852" i="7"/>
  <c r="N801" i="7"/>
  <c r="N798" i="7"/>
  <c r="N751" i="7"/>
  <c r="N743" i="7"/>
  <c r="N726" i="7"/>
  <c r="N891" i="7"/>
  <c r="N877" i="7"/>
  <c r="N869" i="7"/>
  <c r="N851" i="7"/>
  <c r="N850" i="7"/>
  <c r="N848" i="7"/>
  <c r="N847" i="7"/>
  <c r="N844" i="7"/>
  <c r="N797" i="7"/>
  <c r="N796" i="7"/>
  <c r="N794" i="7"/>
  <c r="N793" i="7"/>
  <c r="N790" i="7"/>
  <c r="N742" i="7"/>
  <c r="N734" i="7"/>
  <c r="N871" i="7"/>
  <c r="N846" i="7"/>
  <c r="N843" i="7"/>
  <c r="N792" i="7"/>
  <c r="N789" i="7"/>
  <c r="N733" i="7"/>
  <c r="N725" i="7"/>
  <c r="N895" i="7"/>
  <c r="N892" i="7"/>
  <c r="N842" i="7"/>
  <c r="N841" i="7"/>
  <c r="N839" i="7"/>
  <c r="N838" i="7"/>
  <c r="N835" i="7"/>
  <c r="N788" i="7"/>
  <c r="N787" i="7"/>
  <c r="N785" i="7"/>
  <c r="N784" i="7"/>
  <c r="N781" i="7"/>
  <c r="N749" i="7"/>
  <c r="N724" i="7"/>
  <c r="N878" i="7"/>
  <c r="N837" i="7"/>
  <c r="N834" i="7"/>
  <c r="N783" i="7"/>
  <c r="N780" i="7"/>
  <c r="N748" i="7"/>
  <c r="N740" i="7"/>
  <c r="M1252" i="7"/>
  <c r="M1232" i="7"/>
  <c r="M1217" i="7"/>
  <c r="M1208" i="7"/>
  <c r="M1199" i="7"/>
  <c r="M1190" i="7"/>
  <c r="M1181" i="7"/>
  <c r="M1172" i="7"/>
  <c r="M1163" i="7"/>
  <c r="M1154" i="7"/>
  <c r="M1240" i="7"/>
  <c r="M1223" i="7"/>
  <c r="M1212" i="7"/>
  <c r="M1203" i="7"/>
  <c r="M1194" i="7"/>
  <c r="M1185" i="7"/>
  <c r="M1176" i="7"/>
  <c r="M1167" i="7"/>
  <c r="M1158" i="7"/>
  <c r="M1239" i="7"/>
  <c r="M1231" i="7"/>
  <c r="M1256" i="7"/>
  <c r="M1238" i="7"/>
  <c r="M1230" i="7"/>
  <c r="M1222" i="7"/>
  <c r="M1216" i="7"/>
  <c r="M1207" i="7"/>
  <c r="M1198" i="7"/>
  <c r="M1189" i="7"/>
  <c r="M1180" i="7"/>
  <c r="M1171" i="7"/>
  <c r="M1162" i="7"/>
  <c r="M1153" i="7"/>
  <c r="M1144" i="7"/>
  <c r="M1135" i="7"/>
  <c r="M1126" i="7"/>
  <c r="M1117" i="7"/>
  <c r="M1108" i="7"/>
  <c r="M1099" i="7"/>
  <c r="M1255" i="7"/>
  <c r="M1254" i="7"/>
  <c r="M1251" i="7"/>
  <c r="M1229" i="7"/>
  <c r="M1221" i="7"/>
  <c r="M1211" i="7"/>
  <c r="M1202" i="7"/>
  <c r="M1193" i="7"/>
  <c r="M1184" i="7"/>
  <c r="M1175" i="7"/>
  <c r="M1166" i="7"/>
  <c r="M1157" i="7"/>
  <c r="M1253" i="7"/>
  <c r="M1250" i="7"/>
  <c r="M1247" i="7"/>
  <c r="M1237" i="7"/>
  <c r="M1220" i="7"/>
  <c r="M1215" i="7"/>
  <c r="M1206" i="7"/>
  <c r="M1197" i="7"/>
  <c r="M1188" i="7"/>
  <c r="M1249" i="7"/>
  <c r="M1248" i="7"/>
  <c r="M1246" i="7"/>
  <c r="M1245" i="7"/>
  <c r="M1236" i="7"/>
  <c r="M1228" i="7"/>
  <c r="M1244" i="7"/>
  <c r="M1227" i="7"/>
  <c r="M1219" i="7"/>
  <c r="M1210" i="7"/>
  <c r="M1201" i="7"/>
  <c r="M1192" i="7"/>
  <c r="M1183" i="7"/>
  <c r="M1174" i="7"/>
  <c r="M1165" i="7"/>
  <c r="M1156" i="7"/>
  <c r="M1147" i="7"/>
  <c r="M1138" i="7"/>
  <c r="M1243" i="7"/>
  <c r="M1235" i="7"/>
  <c r="M1214" i="7"/>
  <c r="M1205" i="7"/>
  <c r="M1196" i="7"/>
  <c r="M1242" i="7"/>
  <c r="M1234" i="7"/>
  <c r="M1226" i="7"/>
  <c r="M1218" i="7"/>
  <c r="M1209" i="7"/>
  <c r="M1200" i="7"/>
  <c r="M1233" i="7"/>
  <c r="M1225" i="7"/>
  <c r="M1241" i="7"/>
  <c r="M1224" i="7"/>
  <c r="M1213" i="7"/>
  <c r="M1204" i="7"/>
  <c r="M1195" i="7"/>
  <c r="M1186" i="7"/>
  <c r="M1177" i="7"/>
  <c r="M1168" i="7"/>
  <c r="M1164" i="7"/>
  <c r="M1142" i="7"/>
  <c r="M1136" i="7"/>
  <c r="M1100" i="7"/>
  <c r="M1097" i="7"/>
  <c r="M1094" i="7"/>
  <c r="M1084" i="7"/>
  <c r="M1187" i="7"/>
  <c r="M1170" i="7"/>
  <c r="M1137" i="7"/>
  <c r="M1096" i="7"/>
  <c r="M1095" i="7"/>
  <c r="M1093" i="7"/>
  <c r="M1092" i="7"/>
  <c r="M1083" i="7"/>
  <c r="M1160" i="7"/>
  <c r="M1091" i="7"/>
  <c r="M1173" i="7"/>
  <c r="M1155" i="7"/>
  <c r="M1151" i="7"/>
  <c r="M1148" i="7"/>
  <c r="M1143" i="7"/>
  <c r="M1090" i="7"/>
  <c r="M1082" i="7"/>
  <c r="M1179" i="7"/>
  <c r="M1130" i="7"/>
  <c r="M1089" i="7"/>
  <c r="M1081" i="7"/>
  <c r="M1169" i="7"/>
  <c r="M1129" i="7"/>
  <c r="M1128" i="7"/>
  <c r="M1125" i="7"/>
  <c r="M1080" i="7"/>
  <c r="M1182" i="7"/>
  <c r="M1139" i="7"/>
  <c r="M1131" i="7"/>
  <c r="M1127" i="7"/>
  <c r="M1124" i="7"/>
  <c r="M1121" i="7"/>
  <c r="M1088" i="7"/>
  <c r="M1191" i="7"/>
  <c r="M1149" i="7"/>
  <c r="M1133" i="7"/>
  <c r="M1132" i="7"/>
  <c r="M1123" i="7"/>
  <c r="M1122" i="7"/>
  <c r="M1120" i="7"/>
  <c r="M1119" i="7"/>
  <c r="M1116" i="7"/>
  <c r="M1079" i="7"/>
  <c r="M1178" i="7"/>
  <c r="M1159" i="7"/>
  <c r="M1145" i="7"/>
  <c r="M1134" i="7"/>
  <c r="M1118" i="7"/>
  <c r="M1115" i="7"/>
  <c r="M1112" i="7"/>
  <c r="M1087" i="7"/>
  <c r="M1152" i="7"/>
  <c r="M1146" i="7"/>
  <c r="M1140" i="7"/>
  <c r="M1114" i="7"/>
  <c r="M1113" i="7"/>
  <c r="M1111" i="7"/>
  <c r="M1110" i="7"/>
  <c r="M1107" i="7"/>
  <c r="M1086" i="7"/>
  <c r="M1161" i="7"/>
  <c r="M1109" i="7"/>
  <c r="M1106" i="7"/>
  <c r="M1103" i="7"/>
  <c r="M1085" i="7"/>
  <c r="M1078" i="7"/>
  <c r="M1150" i="7"/>
  <c r="M1141" i="7"/>
  <c r="M1105" i="7"/>
  <c r="M1104" i="7"/>
  <c r="M1102" i="7"/>
  <c r="M1101" i="7"/>
  <c r="M1098" i="7"/>
  <c r="P1611" i="7"/>
  <c r="P1602" i="7"/>
  <c r="P1593" i="7"/>
  <c r="P1584" i="7"/>
  <c r="P1606" i="7"/>
  <c r="P1597" i="7"/>
  <c r="P1610" i="7"/>
  <c r="P1601" i="7"/>
  <c r="P1592" i="7"/>
  <c r="P1583" i="7"/>
  <c r="P1574" i="7"/>
  <c r="P1565" i="7"/>
  <c r="P1614" i="7"/>
  <c r="P1605" i="7"/>
  <c r="P1596" i="7"/>
  <c r="P1609" i="7"/>
  <c r="P1600" i="7"/>
  <c r="P1613" i="7"/>
  <c r="P1604" i="7"/>
  <c r="P1595" i="7"/>
  <c r="P1586" i="7"/>
  <c r="P1577" i="7"/>
  <c r="P1572" i="7"/>
  <c r="P1571" i="7"/>
  <c r="P1569" i="7"/>
  <c r="P1568" i="7"/>
  <c r="P1556" i="7"/>
  <c r="P1548" i="7"/>
  <c r="P1531" i="7"/>
  <c r="P1519" i="7"/>
  <c r="P1510" i="7"/>
  <c r="P1501" i="7"/>
  <c r="P1591" i="7"/>
  <c r="P1580" i="7"/>
  <c r="P1570" i="7"/>
  <c r="P1567" i="7"/>
  <c r="P1564" i="7"/>
  <c r="P1555" i="7"/>
  <c r="P1547" i="7"/>
  <c r="P1539" i="7"/>
  <c r="P1523" i="7"/>
  <c r="P1514" i="7"/>
  <c r="P1505" i="7"/>
  <c r="P1496" i="7"/>
  <c r="P1487" i="7"/>
  <c r="P1607" i="7"/>
  <c r="P1588" i="7"/>
  <c r="P1575" i="7"/>
  <c r="P1566" i="7"/>
  <c r="P1563" i="7"/>
  <c r="P1546" i="7"/>
  <c r="P1538" i="7"/>
  <c r="P1530" i="7"/>
  <c r="P1518" i="7"/>
  <c r="P1509" i="7"/>
  <c r="P1500" i="7"/>
  <c r="P1491" i="7"/>
  <c r="P1482" i="7"/>
  <c r="P1473" i="7"/>
  <c r="P1464" i="7"/>
  <c r="P1455" i="7"/>
  <c r="P1446" i="7"/>
  <c r="P1437" i="7"/>
  <c r="P1581" i="7"/>
  <c r="P1562" i="7"/>
  <c r="P1554" i="7"/>
  <c r="P1537" i="7"/>
  <c r="P1529" i="7"/>
  <c r="P1603" i="7"/>
  <c r="P1585" i="7"/>
  <c r="P1576" i="7"/>
  <c r="P1553" i="7"/>
  <c r="P1545" i="7"/>
  <c r="P1528" i="7"/>
  <c r="P1522" i="7"/>
  <c r="P1513" i="7"/>
  <c r="P1504" i="7"/>
  <c r="P1495" i="7"/>
  <c r="P1594" i="7"/>
  <c r="P1582" i="7"/>
  <c r="P1561" i="7"/>
  <c r="P1544" i="7"/>
  <c r="P1536" i="7"/>
  <c r="P1517" i="7"/>
  <c r="P1599" i="7"/>
  <c r="P1589" i="7"/>
  <c r="P1560" i="7"/>
  <c r="P1552" i="7"/>
  <c r="P1535" i="7"/>
  <c r="P1527" i="7"/>
  <c r="P1521" i="7"/>
  <c r="P1512" i="7"/>
  <c r="P1503" i="7"/>
  <c r="P1494" i="7"/>
  <c r="P1612" i="7"/>
  <c r="P1559" i="7"/>
  <c r="P1551" i="7"/>
  <c r="P1543" i="7"/>
  <c r="P1578" i="7"/>
  <c r="P1608" i="7"/>
  <c r="P1590" i="7"/>
  <c r="P1558" i="7"/>
  <c r="P1587" i="7"/>
  <c r="P1549" i="7"/>
  <c r="P1532" i="7"/>
  <c r="P1524" i="7"/>
  <c r="P1515" i="7"/>
  <c r="P1506" i="7"/>
  <c r="P1598" i="7"/>
  <c r="P1579" i="7"/>
  <c r="P1573" i="7"/>
  <c r="P1557" i="7"/>
  <c r="P1540" i="7"/>
  <c r="P1492" i="7"/>
  <c r="P1456" i="7"/>
  <c r="P1453" i="7"/>
  <c r="P1452" i="7"/>
  <c r="P1450" i="7"/>
  <c r="P1449" i="7"/>
  <c r="P1550" i="7"/>
  <c r="P1451" i="7"/>
  <c r="P1448" i="7"/>
  <c r="P1445" i="7"/>
  <c r="P1542" i="7"/>
  <c r="P1507" i="7"/>
  <c r="P1493" i="7"/>
  <c r="P1488" i="7"/>
  <c r="P1447" i="7"/>
  <c r="P1444" i="7"/>
  <c r="P1443" i="7"/>
  <c r="P1441" i="7"/>
  <c r="P1440" i="7"/>
  <c r="P1442" i="7"/>
  <c r="P1497" i="7"/>
  <c r="P1489" i="7"/>
  <c r="P1439" i="7"/>
  <c r="P1541" i="7"/>
  <c r="P1520" i="7"/>
  <c r="P1502" i="7"/>
  <c r="P1490" i="7"/>
  <c r="P1526" i="7"/>
  <c r="P1481" i="7"/>
  <c r="P1480" i="7"/>
  <c r="P1479" i="7"/>
  <c r="P1477" i="7"/>
  <c r="P1476" i="7"/>
  <c r="P1438" i="7"/>
  <c r="P1516" i="7"/>
  <c r="P1511" i="7"/>
  <c r="P1498" i="7"/>
  <c r="P1478" i="7"/>
  <c r="P1475" i="7"/>
  <c r="P1472" i="7"/>
  <c r="P1534" i="7"/>
  <c r="P1508" i="7"/>
  <c r="P1474" i="7"/>
  <c r="P1471" i="7"/>
  <c r="P1470" i="7"/>
  <c r="P1468" i="7"/>
  <c r="P1467" i="7"/>
  <c r="P1436" i="7"/>
  <c r="P1469" i="7"/>
  <c r="P1466" i="7"/>
  <c r="P1463" i="7"/>
  <c r="P1499" i="7"/>
  <c r="P1485" i="7"/>
  <c r="P1484" i="7"/>
  <c r="P1483" i="7"/>
  <c r="P1465" i="7"/>
  <c r="P1462" i="7"/>
  <c r="P1461" i="7"/>
  <c r="P1459" i="7"/>
  <c r="P1458" i="7"/>
  <c r="P1533" i="7"/>
  <c r="P1525" i="7"/>
  <c r="P1486" i="7"/>
  <c r="P1460" i="7"/>
  <c r="P1457" i="7"/>
  <c r="P1454" i="7"/>
  <c r="I21" i="17"/>
  <c r="R1791" i="7"/>
  <c r="R1786" i="7"/>
  <c r="R1777" i="7"/>
  <c r="R1768" i="7"/>
  <c r="R1759" i="7"/>
  <c r="R1750" i="7"/>
  <c r="R1741" i="7"/>
  <c r="R1732" i="7"/>
  <c r="R1723" i="7"/>
  <c r="R1790" i="7"/>
  <c r="R1781" i="7"/>
  <c r="R1772" i="7"/>
  <c r="R1763" i="7"/>
  <c r="R1754" i="7"/>
  <c r="R1745" i="7"/>
  <c r="R1736" i="7"/>
  <c r="R1727" i="7"/>
  <c r="R1718" i="7"/>
  <c r="R1709" i="7"/>
  <c r="R1700" i="7"/>
  <c r="R1691" i="7"/>
  <c r="R1682" i="7"/>
  <c r="R1673" i="7"/>
  <c r="R1664" i="7"/>
  <c r="R1655" i="7"/>
  <c r="R1646" i="7"/>
  <c r="R1637" i="7"/>
  <c r="R1628" i="7"/>
  <c r="R1619" i="7"/>
  <c r="R1785" i="7"/>
  <c r="R1776" i="7"/>
  <c r="R1767" i="7"/>
  <c r="R1758" i="7"/>
  <c r="R1749" i="7"/>
  <c r="R1740" i="7"/>
  <c r="R1731" i="7"/>
  <c r="R1722" i="7"/>
  <c r="R1713" i="7"/>
  <c r="R1704" i="7"/>
  <c r="R1695" i="7"/>
  <c r="R1686" i="7"/>
  <c r="R1677" i="7"/>
  <c r="R1668" i="7"/>
  <c r="R1659" i="7"/>
  <c r="R1650" i="7"/>
  <c r="R1641" i="7"/>
  <c r="R1632" i="7"/>
  <c r="R1623" i="7"/>
  <c r="R1789" i="7"/>
  <c r="R1780" i="7"/>
  <c r="R1771" i="7"/>
  <c r="R1762" i="7"/>
  <c r="R1753" i="7"/>
  <c r="R1744" i="7"/>
  <c r="R1735" i="7"/>
  <c r="R1726" i="7"/>
  <c r="R1717" i="7"/>
  <c r="R1708" i="7"/>
  <c r="R1784" i="7"/>
  <c r="R1775" i="7"/>
  <c r="R1766" i="7"/>
  <c r="R1757" i="7"/>
  <c r="R1748" i="7"/>
  <c r="R1739" i="7"/>
  <c r="R1730" i="7"/>
  <c r="R1721" i="7"/>
  <c r="R1712" i="7"/>
  <c r="R1703" i="7"/>
  <c r="R1694" i="7"/>
  <c r="R1788" i="7"/>
  <c r="R1779" i="7"/>
  <c r="R1770" i="7"/>
  <c r="R1761" i="7"/>
  <c r="R1752" i="7"/>
  <c r="R1743" i="7"/>
  <c r="R1734" i="7"/>
  <c r="R1725" i="7"/>
  <c r="R1716" i="7"/>
  <c r="R1707" i="7"/>
  <c r="R1698" i="7"/>
  <c r="R1783" i="7"/>
  <c r="R1774" i="7"/>
  <c r="R1765" i="7"/>
  <c r="R1756" i="7"/>
  <c r="R1747" i="7"/>
  <c r="R1793" i="7"/>
  <c r="R1787" i="7"/>
  <c r="R1778" i="7"/>
  <c r="R1769" i="7"/>
  <c r="R1760" i="7"/>
  <c r="R1751" i="7"/>
  <c r="R1742" i="7"/>
  <c r="R1733" i="7"/>
  <c r="R1724" i="7"/>
  <c r="R1715" i="7"/>
  <c r="R1782" i="7"/>
  <c r="R1773" i="7"/>
  <c r="R1764" i="7"/>
  <c r="R1755" i="7"/>
  <c r="R1746" i="7"/>
  <c r="R1737" i="7"/>
  <c r="R1728" i="7"/>
  <c r="R1719" i="7"/>
  <c r="R1710" i="7"/>
  <c r="R1701" i="7"/>
  <c r="R1792" i="7"/>
  <c r="R1689" i="7"/>
  <c r="R1688" i="7"/>
  <c r="R1685" i="7"/>
  <c r="R1634" i="7"/>
  <c r="R1631" i="7"/>
  <c r="R1615" i="7"/>
  <c r="R1729" i="7"/>
  <c r="R1699" i="7"/>
  <c r="R1687" i="7"/>
  <c r="R1684" i="7"/>
  <c r="R1683" i="7"/>
  <c r="R1681" i="7"/>
  <c r="R1680" i="7"/>
  <c r="R1633" i="7"/>
  <c r="R1630" i="7"/>
  <c r="R1629" i="7"/>
  <c r="R1627" i="7"/>
  <c r="R1626" i="7"/>
  <c r="R1690" i="7"/>
  <c r="R1679" i="7"/>
  <c r="R1676" i="7"/>
  <c r="R1625" i="7"/>
  <c r="R1622" i="7"/>
  <c r="R1696" i="7"/>
  <c r="R1678" i="7"/>
  <c r="R1675" i="7"/>
  <c r="R1674" i="7"/>
  <c r="R1672" i="7"/>
  <c r="R1671" i="7"/>
  <c r="R1624" i="7"/>
  <c r="R1621" i="7"/>
  <c r="R1620" i="7"/>
  <c r="R1738" i="7"/>
  <c r="R1692" i="7"/>
  <c r="R1670" i="7"/>
  <c r="R1667" i="7"/>
  <c r="R1618" i="7"/>
  <c r="R1714" i="7"/>
  <c r="R1669" i="7"/>
  <c r="R1666" i="7"/>
  <c r="R1665" i="7"/>
  <c r="R1663" i="7"/>
  <c r="R1662" i="7"/>
  <c r="R1705" i="7"/>
  <c r="R1697" i="7"/>
  <c r="R1693" i="7"/>
  <c r="R1661" i="7"/>
  <c r="R1658" i="7"/>
  <c r="R1711" i="7"/>
  <c r="R1660" i="7"/>
  <c r="R1657" i="7"/>
  <c r="R1656" i="7"/>
  <c r="R1654" i="7"/>
  <c r="R1653" i="7"/>
  <c r="R1617" i="7"/>
  <c r="R1652" i="7"/>
  <c r="R1649" i="7"/>
  <c r="R1651" i="7"/>
  <c r="R1648" i="7"/>
  <c r="R1647" i="7"/>
  <c r="R1645" i="7"/>
  <c r="R1644" i="7"/>
  <c r="R1643" i="7"/>
  <c r="R1640" i="7"/>
  <c r="R1720" i="7"/>
  <c r="R1706" i="7"/>
  <c r="R1702" i="7"/>
  <c r="R1642" i="7"/>
  <c r="R1639" i="7"/>
  <c r="R1638" i="7"/>
  <c r="R1636" i="7"/>
  <c r="R1635" i="7"/>
  <c r="R1616" i="7"/>
  <c r="GE41" i="4"/>
  <c r="GI8" i="5"/>
  <c r="GM37" i="5"/>
  <c r="GW37" i="5"/>
  <c r="GK37" i="5"/>
  <c r="GQ37" i="5"/>
  <c r="GU47" i="5"/>
  <c r="GI47" i="5"/>
  <c r="GT47" i="5"/>
  <c r="GS47" i="5"/>
  <c r="GP47" i="5"/>
  <c r="I18" i="17"/>
  <c r="R1255" i="7"/>
  <c r="R1246" i="7"/>
  <c r="R1237" i="7"/>
  <c r="R1228" i="7"/>
  <c r="R1219" i="7"/>
  <c r="R1250" i="7"/>
  <c r="R1256" i="7"/>
  <c r="R1254" i="7"/>
  <c r="R1253" i="7"/>
  <c r="R1229" i="7"/>
  <c r="R1221" i="7"/>
  <c r="R1252" i="7"/>
  <c r="R1249" i="7"/>
  <c r="R1220" i="7"/>
  <c r="R1215" i="7"/>
  <c r="R1206" i="7"/>
  <c r="R1197" i="7"/>
  <c r="R1188" i="7"/>
  <c r="R1179" i="7"/>
  <c r="R1170" i="7"/>
  <c r="R1161" i="7"/>
  <c r="R1251" i="7"/>
  <c r="R1248" i="7"/>
  <c r="R1247" i="7"/>
  <c r="R1245" i="7"/>
  <c r="R1244" i="7"/>
  <c r="R1236" i="7"/>
  <c r="R1210" i="7"/>
  <c r="R1201" i="7"/>
  <c r="R1192" i="7"/>
  <c r="R1183" i="7"/>
  <c r="R1174" i="7"/>
  <c r="R1165" i="7"/>
  <c r="R1156" i="7"/>
  <c r="R1147" i="7"/>
  <c r="R1138" i="7"/>
  <c r="R1129" i="7"/>
  <c r="R1120" i="7"/>
  <c r="R1111" i="7"/>
  <c r="R1102" i="7"/>
  <c r="R1093" i="7"/>
  <c r="R1084" i="7"/>
  <c r="R1235" i="7"/>
  <c r="R1227" i="7"/>
  <c r="R1214" i="7"/>
  <c r="R1205" i="7"/>
  <c r="R1196" i="7"/>
  <c r="R1187" i="7"/>
  <c r="R1178" i="7"/>
  <c r="R1169" i="7"/>
  <c r="R1160" i="7"/>
  <c r="R1151" i="7"/>
  <c r="R1142" i="7"/>
  <c r="R1133" i="7"/>
  <c r="R1124" i="7"/>
  <c r="R1115" i="7"/>
  <c r="R1106" i="7"/>
  <c r="R1097" i="7"/>
  <c r="R1243" i="7"/>
  <c r="R1226" i="7"/>
  <c r="R1234" i="7"/>
  <c r="R1218" i="7"/>
  <c r="R1209" i="7"/>
  <c r="R1200" i="7"/>
  <c r="R1191" i="7"/>
  <c r="R1242" i="7"/>
  <c r="R1241" i="7"/>
  <c r="R1225" i="7"/>
  <c r="R1213" i="7"/>
  <c r="R1204" i="7"/>
  <c r="R1195" i="7"/>
  <c r="R1186" i="7"/>
  <c r="R1177" i="7"/>
  <c r="R1168" i="7"/>
  <c r="R1159" i="7"/>
  <c r="R1150" i="7"/>
  <c r="R1141" i="7"/>
  <c r="R1233" i="7"/>
  <c r="R1232" i="7"/>
  <c r="R1217" i="7"/>
  <c r="R1208" i="7"/>
  <c r="R1199" i="7"/>
  <c r="R1190" i="7"/>
  <c r="R1181" i="7"/>
  <c r="R1172" i="7"/>
  <c r="R1163" i="7"/>
  <c r="R1154" i="7"/>
  <c r="R1145" i="7"/>
  <c r="R1136" i="7"/>
  <c r="R1240" i="7"/>
  <c r="R1224" i="7"/>
  <c r="R1223" i="7"/>
  <c r="R1231" i="7"/>
  <c r="R1212" i="7"/>
  <c r="R1203" i="7"/>
  <c r="R1194" i="7"/>
  <c r="R1239" i="7"/>
  <c r="R1222" i="7"/>
  <c r="R1216" i="7"/>
  <c r="R1207" i="7"/>
  <c r="R1198" i="7"/>
  <c r="R1189" i="7"/>
  <c r="R1180" i="7"/>
  <c r="R1171" i="7"/>
  <c r="R1162" i="7"/>
  <c r="R1153" i="7"/>
  <c r="R1238" i="7"/>
  <c r="R1230" i="7"/>
  <c r="R1211" i="7"/>
  <c r="R1202" i="7"/>
  <c r="R1193" i="7"/>
  <c r="R1184" i="7"/>
  <c r="R1175" i="7"/>
  <c r="R1166" i="7"/>
  <c r="R1167" i="7"/>
  <c r="R1148" i="7"/>
  <c r="R1081" i="7"/>
  <c r="R1173" i="7"/>
  <c r="R1155" i="7"/>
  <c r="R1143" i="7"/>
  <c r="R1130" i="7"/>
  <c r="R1128" i="7"/>
  <c r="R1127" i="7"/>
  <c r="R1089" i="7"/>
  <c r="R1088" i="7"/>
  <c r="R1144" i="7"/>
  <c r="R1131" i="7"/>
  <c r="R1126" i="7"/>
  <c r="R1123" i="7"/>
  <c r="R1080" i="7"/>
  <c r="R1079" i="7"/>
  <c r="R1176" i="7"/>
  <c r="R1139" i="7"/>
  <c r="R1132" i="7"/>
  <c r="R1125" i="7"/>
  <c r="R1122" i="7"/>
  <c r="R1121" i="7"/>
  <c r="R1119" i="7"/>
  <c r="R1118" i="7"/>
  <c r="R1087" i="7"/>
  <c r="R1182" i="7"/>
  <c r="R1157" i="7"/>
  <c r="R1149" i="7"/>
  <c r="R1117" i="7"/>
  <c r="R1114" i="7"/>
  <c r="R1140" i="7"/>
  <c r="R1116" i="7"/>
  <c r="R1113" i="7"/>
  <c r="R1112" i="7"/>
  <c r="R1110" i="7"/>
  <c r="R1109" i="7"/>
  <c r="R1086" i="7"/>
  <c r="R1078" i="7"/>
  <c r="R1185" i="7"/>
  <c r="R1135" i="7"/>
  <c r="R1134" i="7"/>
  <c r="R1108" i="7"/>
  <c r="R1105" i="7"/>
  <c r="R1085" i="7"/>
  <c r="R1146" i="7"/>
  <c r="R1107" i="7"/>
  <c r="R1104" i="7"/>
  <c r="R1103" i="7"/>
  <c r="R1101" i="7"/>
  <c r="R1100" i="7"/>
  <c r="R1152" i="7"/>
  <c r="R1099" i="7"/>
  <c r="R1096" i="7"/>
  <c r="R1098" i="7"/>
  <c r="R1095" i="7"/>
  <c r="R1094" i="7"/>
  <c r="R1092" i="7"/>
  <c r="R1091" i="7"/>
  <c r="R1083" i="7"/>
  <c r="R1164" i="7"/>
  <c r="R1082" i="7"/>
  <c r="R1158" i="7"/>
  <c r="R1137" i="7"/>
  <c r="R1090" i="7"/>
  <c r="N1612" i="7"/>
  <c r="N1603" i="7"/>
  <c r="N1594" i="7"/>
  <c r="N1585" i="7"/>
  <c r="N1576" i="7"/>
  <c r="N1607" i="7"/>
  <c r="N1598" i="7"/>
  <c r="N1589" i="7"/>
  <c r="N1611" i="7"/>
  <c r="N1602" i="7"/>
  <c r="N1593" i="7"/>
  <c r="N1584" i="7"/>
  <c r="N1575" i="7"/>
  <c r="N1566" i="7"/>
  <c r="N1606" i="7"/>
  <c r="N1597" i="7"/>
  <c r="N1588" i="7"/>
  <c r="N1579" i="7"/>
  <c r="N1570" i="7"/>
  <c r="N1561" i="7"/>
  <c r="N1552" i="7"/>
  <c r="N1543" i="7"/>
  <c r="N1534" i="7"/>
  <c r="N1525" i="7"/>
  <c r="N1610" i="7"/>
  <c r="N1601" i="7"/>
  <c r="N1614" i="7"/>
  <c r="N1605" i="7"/>
  <c r="N1596" i="7"/>
  <c r="N1587" i="7"/>
  <c r="N1578" i="7"/>
  <c r="N1609" i="7"/>
  <c r="N1600" i="7"/>
  <c r="N1604" i="7"/>
  <c r="N1595" i="7"/>
  <c r="N1549" i="7"/>
  <c r="N1532" i="7"/>
  <c r="N1524" i="7"/>
  <c r="N1515" i="7"/>
  <c r="N1506" i="7"/>
  <c r="N1574" i="7"/>
  <c r="N1573" i="7"/>
  <c r="N1557" i="7"/>
  <c r="N1556" i="7"/>
  <c r="N1540" i="7"/>
  <c r="N1591" i="7"/>
  <c r="N1580" i="7"/>
  <c r="N1572" i="7"/>
  <c r="N1571" i="7"/>
  <c r="N1569" i="7"/>
  <c r="N1568" i="7"/>
  <c r="N1565" i="7"/>
  <c r="N1548" i="7"/>
  <c r="N1547" i="7"/>
  <c r="N1531" i="7"/>
  <c r="N1519" i="7"/>
  <c r="N1510" i="7"/>
  <c r="N1501" i="7"/>
  <c r="N1492" i="7"/>
  <c r="N1483" i="7"/>
  <c r="N1474" i="7"/>
  <c r="N1465" i="7"/>
  <c r="N1456" i="7"/>
  <c r="N1447" i="7"/>
  <c r="N1438" i="7"/>
  <c r="N1613" i="7"/>
  <c r="N1567" i="7"/>
  <c r="N1564" i="7"/>
  <c r="N1555" i="7"/>
  <c r="N1539" i="7"/>
  <c r="N1538" i="7"/>
  <c r="N1523" i="7"/>
  <c r="N1514" i="7"/>
  <c r="N1505" i="7"/>
  <c r="N1496" i="7"/>
  <c r="N1487" i="7"/>
  <c r="N1478" i="7"/>
  <c r="N1469" i="7"/>
  <c r="N1460" i="7"/>
  <c r="N1451" i="7"/>
  <c r="N1442" i="7"/>
  <c r="N1563" i="7"/>
  <c r="N1546" i="7"/>
  <c r="N1530" i="7"/>
  <c r="N1529" i="7"/>
  <c r="N1518" i="7"/>
  <c r="N1509" i="7"/>
  <c r="N1500" i="7"/>
  <c r="N1491" i="7"/>
  <c r="N1581" i="7"/>
  <c r="N1562" i="7"/>
  <c r="N1554" i="7"/>
  <c r="N1537" i="7"/>
  <c r="N1592" i="7"/>
  <c r="N1582" i="7"/>
  <c r="N1553" i="7"/>
  <c r="N1545" i="7"/>
  <c r="N1528" i="7"/>
  <c r="N1522" i="7"/>
  <c r="N1513" i="7"/>
  <c r="N1504" i="7"/>
  <c r="N1495" i="7"/>
  <c r="N1577" i="7"/>
  <c r="N1544" i="7"/>
  <c r="N1536" i="7"/>
  <c r="N1599" i="7"/>
  <c r="N1586" i="7"/>
  <c r="N1560" i="7"/>
  <c r="N1583" i="7"/>
  <c r="N1559" i="7"/>
  <c r="N1551" i="7"/>
  <c r="N1550" i="7"/>
  <c r="N1542" i="7"/>
  <c r="N1516" i="7"/>
  <c r="N1507" i="7"/>
  <c r="N1608" i="7"/>
  <c r="N1590" i="7"/>
  <c r="N1558" i="7"/>
  <c r="N1541" i="7"/>
  <c r="N1533" i="7"/>
  <c r="N1520" i="7"/>
  <c r="N1511" i="7"/>
  <c r="N1502" i="7"/>
  <c r="N1485" i="7"/>
  <c r="N1484" i="7"/>
  <c r="N1462" i="7"/>
  <c r="N1461" i="7"/>
  <c r="N1459" i="7"/>
  <c r="N1458" i="7"/>
  <c r="N1455" i="7"/>
  <c r="N1521" i="7"/>
  <c r="N1486" i="7"/>
  <c r="N1457" i="7"/>
  <c r="N1454" i="7"/>
  <c r="N1512" i="7"/>
  <c r="N1453" i="7"/>
  <c r="N1452" i="7"/>
  <c r="N1450" i="7"/>
  <c r="N1449" i="7"/>
  <c r="N1446" i="7"/>
  <c r="N1517" i="7"/>
  <c r="N1448" i="7"/>
  <c r="N1445" i="7"/>
  <c r="N1527" i="7"/>
  <c r="N1493" i="7"/>
  <c r="N1488" i="7"/>
  <c r="N1444" i="7"/>
  <c r="N1443" i="7"/>
  <c r="N1441" i="7"/>
  <c r="N1440" i="7"/>
  <c r="N1535" i="7"/>
  <c r="N1497" i="7"/>
  <c r="N1494" i="7"/>
  <c r="N1489" i="7"/>
  <c r="N1439" i="7"/>
  <c r="N1490" i="7"/>
  <c r="N1526" i="7"/>
  <c r="N1482" i="7"/>
  <c r="N1481" i="7"/>
  <c r="N1480" i="7"/>
  <c r="N1479" i="7"/>
  <c r="N1477" i="7"/>
  <c r="N1476" i="7"/>
  <c r="N1473" i="7"/>
  <c r="N1437" i="7"/>
  <c r="N1508" i="7"/>
  <c r="N1498" i="7"/>
  <c r="N1475" i="7"/>
  <c r="N1472" i="7"/>
  <c r="N1471" i="7"/>
  <c r="N1470" i="7"/>
  <c r="N1468" i="7"/>
  <c r="N1467" i="7"/>
  <c r="N1464" i="7"/>
  <c r="N1436" i="7"/>
  <c r="N1503" i="7"/>
  <c r="N1499" i="7"/>
  <c r="N1466" i="7"/>
  <c r="N1463" i="7"/>
  <c r="GD5" i="4"/>
  <c r="GR6" i="4"/>
  <c r="GF6" i="4"/>
  <c r="GQ6" i="4"/>
  <c r="GE6" i="4"/>
  <c r="GP6" i="4"/>
  <c r="GD6" i="4"/>
  <c r="GE7" i="4"/>
  <c r="GD8" i="4"/>
  <c r="GR9" i="4"/>
  <c r="GF9" i="4"/>
  <c r="GQ9" i="4"/>
  <c r="GE9" i="4"/>
  <c r="GP9" i="4"/>
  <c r="GP49" i="4" s="1"/>
  <c r="GD9" i="4"/>
  <c r="GE10" i="4"/>
  <c r="GD11" i="4"/>
  <c r="GR12" i="4"/>
  <c r="GF12" i="4"/>
  <c r="GQ12" i="4"/>
  <c r="GE12" i="4"/>
  <c r="GP12" i="4"/>
  <c r="GD12" i="4"/>
  <c r="GE13" i="4"/>
  <c r="GD14" i="4"/>
  <c r="GR15" i="4"/>
  <c r="GF15" i="4"/>
  <c r="GQ15" i="4"/>
  <c r="GE15" i="4"/>
  <c r="GP15" i="4"/>
  <c r="GD15" i="4"/>
  <c r="GE16" i="4"/>
  <c r="GD17" i="4"/>
  <c r="GR21" i="4"/>
  <c r="GF21" i="4"/>
  <c r="GQ21" i="4"/>
  <c r="GE21" i="4"/>
  <c r="GP21" i="4"/>
  <c r="GD21" i="4"/>
  <c r="GE22" i="4"/>
  <c r="GK41" i="4"/>
  <c r="I11" i="5"/>
  <c r="J11" i="5" s="1"/>
  <c r="GT37" i="5"/>
  <c r="GV47" i="5"/>
  <c r="GV57" i="5"/>
  <c r="N354" i="7"/>
  <c r="N345" i="7"/>
  <c r="N336" i="7"/>
  <c r="N327" i="7"/>
  <c r="N318" i="7"/>
  <c r="N309" i="7"/>
  <c r="N300" i="7"/>
  <c r="N355" i="7"/>
  <c r="N347" i="7"/>
  <c r="N330" i="7"/>
  <c r="N314" i="7"/>
  <c r="N313" i="7"/>
  <c r="N293" i="7"/>
  <c r="N284" i="7"/>
  <c r="N275" i="7"/>
  <c r="N266" i="7"/>
  <c r="N257" i="7"/>
  <c r="N248" i="7"/>
  <c r="N239" i="7"/>
  <c r="N230" i="7"/>
  <c r="N346" i="7"/>
  <c r="N338" i="7"/>
  <c r="N321" i="7"/>
  <c r="N305" i="7"/>
  <c r="N304" i="7"/>
  <c r="N337" i="7"/>
  <c r="N329" i="7"/>
  <c r="N312" i="7"/>
  <c r="N297" i="7"/>
  <c r="N288" i="7"/>
  <c r="N279" i="7"/>
  <c r="N270" i="7"/>
  <c r="N261" i="7"/>
  <c r="N252" i="7"/>
  <c r="N243" i="7"/>
  <c r="N234" i="7"/>
  <c r="N225" i="7"/>
  <c r="N216" i="7"/>
  <c r="N207" i="7"/>
  <c r="N198" i="7"/>
  <c r="N189" i="7"/>
  <c r="N353" i="7"/>
  <c r="N328" i="7"/>
  <c r="N320" i="7"/>
  <c r="N303" i="7"/>
  <c r="N292" i="7"/>
  <c r="N283" i="7"/>
  <c r="N274" i="7"/>
  <c r="N265" i="7"/>
  <c r="N256" i="7"/>
  <c r="N247" i="7"/>
  <c r="N238" i="7"/>
  <c r="N229" i="7"/>
  <c r="N220" i="7"/>
  <c r="N211" i="7"/>
  <c r="N202" i="7"/>
  <c r="N193" i="7"/>
  <c r="N184" i="7"/>
  <c r="N352" i="7"/>
  <c r="N344" i="7"/>
  <c r="N319" i="7"/>
  <c r="N311" i="7"/>
  <c r="N296" i="7"/>
  <c r="N287" i="7"/>
  <c r="N278" i="7"/>
  <c r="N269" i="7"/>
  <c r="N260" i="7"/>
  <c r="N251" i="7"/>
  <c r="N242" i="7"/>
  <c r="N233" i="7"/>
  <c r="N224" i="7"/>
  <c r="N215" i="7"/>
  <c r="N206" i="7"/>
  <c r="N197" i="7"/>
  <c r="N188" i="7"/>
  <c r="N361" i="7"/>
  <c r="N343" i="7"/>
  <c r="N335" i="7"/>
  <c r="N310" i="7"/>
  <c r="N302" i="7"/>
  <c r="N360" i="7"/>
  <c r="N351" i="7"/>
  <c r="N334" i="7"/>
  <c r="N326" i="7"/>
  <c r="N301" i="7"/>
  <c r="N291" i="7"/>
  <c r="N282" i="7"/>
  <c r="N273" i="7"/>
  <c r="N264" i="7"/>
  <c r="N255" i="7"/>
  <c r="N246" i="7"/>
  <c r="N237" i="7"/>
  <c r="N228" i="7"/>
  <c r="N219" i="7"/>
  <c r="N210" i="7"/>
  <c r="N201" i="7"/>
  <c r="N192" i="7"/>
  <c r="N359" i="7"/>
  <c r="N358" i="7"/>
  <c r="N342" i="7"/>
  <c r="N325" i="7"/>
  <c r="N317" i="7"/>
  <c r="N295" i="7"/>
  <c r="N286" i="7"/>
  <c r="N277" i="7"/>
  <c r="N268" i="7"/>
  <c r="N259" i="7"/>
  <c r="N250" i="7"/>
  <c r="N241" i="7"/>
  <c r="N232" i="7"/>
  <c r="N223" i="7"/>
  <c r="N214" i="7"/>
  <c r="N205" i="7"/>
  <c r="N196" i="7"/>
  <c r="N350" i="7"/>
  <c r="N349" i="7"/>
  <c r="N333" i="7"/>
  <c r="N316" i="7"/>
  <c r="N308" i="7"/>
  <c r="N290" i="7"/>
  <c r="N281" i="7"/>
  <c r="N272" i="7"/>
  <c r="N263" i="7"/>
  <c r="N254" i="7"/>
  <c r="N245" i="7"/>
  <c r="N357" i="7"/>
  <c r="N341" i="7"/>
  <c r="N340" i="7"/>
  <c r="N324" i="7"/>
  <c r="N307" i="7"/>
  <c r="N299" i="7"/>
  <c r="N348" i="7"/>
  <c r="N332" i="7"/>
  <c r="N331" i="7"/>
  <c r="N315" i="7"/>
  <c r="N294" i="7"/>
  <c r="N285" i="7"/>
  <c r="N276" i="7"/>
  <c r="N267" i="7"/>
  <c r="N258" i="7"/>
  <c r="N249" i="7"/>
  <c r="N240" i="7"/>
  <c r="N231" i="7"/>
  <c r="N222" i="7"/>
  <c r="N213" i="7"/>
  <c r="N204" i="7"/>
  <c r="N195" i="7"/>
  <c r="N186" i="7"/>
  <c r="N356" i="7"/>
  <c r="N339" i="7"/>
  <c r="N323" i="7"/>
  <c r="N322" i="7"/>
  <c r="N306" i="7"/>
  <c r="N298" i="7"/>
  <c r="N289" i="7"/>
  <c r="N280" i="7"/>
  <c r="N271" i="7"/>
  <c r="N262" i="7"/>
  <c r="N253" i="7"/>
  <c r="N244" i="7"/>
  <c r="N235" i="7"/>
  <c r="N226" i="7"/>
  <c r="N217" i="7"/>
  <c r="N208" i="7"/>
  <c r="N199" i="7"/>
  <c r="N190" i="7"/>
  <c r="N212" i="7"/>
  <c r="N187" i="7"/>
  <c r="N209" i="7"/>
  <c r="N227" i="7"/>
  <c r="N221" i="7"/>
  <c r="N194" i="7"/>
  <c r="N236" i="7"/>
  <c r="N218" i="7"/>
  <c r="N185" i="7"/>
  <c r="N203" i="7"/>
  <c r="N191" i="7"/>
  <c r="N183" i="7"/>
  <c r="N200" i="7"/>
  <c r="Q713" i="7"/>
  <c r="S713" i="7" s="1"/>
  <c r="M713" i="10" s="1"/>
  <c r="Q704" i="7"/>
  <c r="S704" i="7" s="1"/>
  <c r="M704" i="10" s="1"/>
  <c r="Q705" i="7"/>
  <c r="S705" i="7" s="1"/>
  <c r="M705" i="10" s="1"/>
  <c r="Q699" i="7"/>
  <c r="S699" i="7" s="1"/>
  <c r="M699" i="10" s="1"/>
  <c r="Q690" i="7"/>
  <c r="S690" i="7" s="1"/>
  <c r="M690" i="10" s="1"/>
  <c r="Q681" i="7"/>
  <c r="S681" i="7" s="1"/>
  <c r="M681" i="10" s="1"/>
  <c r="Q672" i="7"/>
  <c r="S672" i="7" s="1"/>
  <c r="M672" i="10" s="1"/>
  <c r="Q663" i="7"/>
  <c r="S663" i="7" s="1"/>
  <c r="M663" i="10" s="1"/>
  <c r="Q654" i="7"/>
  <c r="S654" i="7" s="1"/>
  <c r="M654" i="10" s="1"/>
  <c r="Q645" i="7"/>
  <c r="S645" i="7" s="1"/>
  <c r="M645" i="10" s="1"/>
  <c r="Q636" i="7"/>
  <c r="S636" i="7" s="1"/>
  <c r="M636" i="10" s="1"/>
  <c r="Q627" i="7"/>
  <c r="S627" i="7" s="1"/>
  <c r="M627" i="10" s="1"/>
  <c r="Q618" i="7"/>
  <c r="S618" i="7" s="1"/>
  <c r="M618" i="10" s="1"/>
  <c r="Q712" i="7"/>
  <c r="S712" i="7" s="1"/>
  <c r="M712" i="10" s="1"/>
  <c r="Q694" i="7"/>
  <c r="S694" i="7" s="1"/>
  <c r="M694" i="10" s="1"/>
  <c r="Q685" i="7"/>
  <c r="S685" i="7" s="1"/>
  <c r="M685" i="10" s="1"/>
  <c r="Q676" i="7"/>
  <c r="S676" i="7" s="1"/>
  <c r="M676" i="10" s="1"/>
  <c r="Q667" i="7"/>
  <c r="S667" i="7" s="1"/>
  <c r="M667" i="10" s="1"/>
  <c r="Q658" i="7"/>
  <c r="S658" i="7" s="1"/>
  <c r="M658" i="10" s="1"/>
  <c r="Q649" i="7"/>
  <c r="S649" i="7" s="1"/>
  <c r="M649" i="10" s="1"/>
  <c r="Q640" i="7"/>
  <c r="S640" i="7" s="1"/>
  <c r="M640" i="10" s="1"/>
  <c r="Q631" i="7"/>
  <c r="S631" i="7" s="1"/>
  <c r="M631" i="10" s="1"/>
  <c r="Q622" i="7"/>
  <c r="S622" i="7" s="1"/>
  <c r="M622" i="10" s="1"/>
  <c r="Q613" i="7"/>
  <c r="S613" i="7" s="1"/>
  <c r="M613" i="10" s="1"/>
  <c r="Q604" i="7"/>
  <c r="S604" i="7" s="1"/>
  <c r="M604" i="10" s="1"/>
  <c r="Q595" i="7"/>
  <c r="S595" i="7" s="1"/>
  <c r="M595" i="10" s="1"/>
  <c r="Q586" i="7"/>
  <c r="S586" i="7" s="1"/>
  <c r="M586" i="10" s="1"/>
  <c r="Q577" i="7"/>
  <c r="S577" i="7" s="1"/>
  <c r="M577" i="10" s="1"/>
  <c r="Q568" i="7"/>
  <c r="S568" i="7" s="1"/>
  <c r="M568" i="10" s="1"/>
  <c r="Q559" i="7"/>
  <c r="S559" i="7" s="1"/>
  <c r="M559" i="10" s="1"/>
  <c r="Q550" i="7"/>
  <c r="S550" i="7" s="1"/>
  <c r="M550" i="10" s="1"/>
  <c r="Q541" i="7"/>
  <c r="S541" i="7" s="1"/>
  <c r="M541" i="10" s="1"/>
  <c r="Q711" i="7"/>
  <c r="S711" i="7" s="1"/>
  <c r="M711" i="10" s="1"/>
  <c r="Q703" i="7"/>
  <c r="S703" i="7" s="1"/>
  <c r="M703" i="10" s="1"/>
  <c r="Q698" i="7"/>
  <c r="S698" i="7" s="1"/>
  <c r="M698" i="10" s="1"/>
  <c r="Q689" i="7"/>
  <c r="S689" i="7" s="1"/>
  <c r="M689" i="10" s="1"/>
  <c r="Q680" i="7"/>
  <c r="S680" i="7" s="1"/>
  <c r="M680" i="10" s="1"/>
  <c r="Q671" i="7"/>
  <c r="S671" i="7" s="1"/>
  <c r="M671" i="10" s="1"/>
  <c r="Q662" i="7"/>
  <c r="S662" i="7" s="1"/>
  <c r="M662" i="10" s="1"/>
  <c r="Q653" i="7"/>
  <c r="S653" i="7" s="1"/>
  <c r="M653" i="10" s="1"/>
  <c r="Q644" i="7"/>
  <c r="S644" i="7" s="1"/>
  <c r="M644" i="10" s="1"/>
  <c r="Q635" i="7"/>
  <c r="S635" i="7" s="1"/>
  <c r="M635" i="10" s="1"/>
  <c r="Q626" i="7"/>
  <c r="S626" i="7" s="1"/>
  <c r="M626" i="10" s="1"/>
  <c r="Q617" i="7"/>
  <c r="S617" i="7" s="1"/>
  <c r="M617" i="10" s="1"/>
  <c r="Q608" i="7"/>
  <c r="S608" i="7" s="1"/>
  <c r="M608" i="10" s="1"/>
  <c r="Q599" i="7"/>
  <c r="S599" i="7" s="1"/>
  <c r="M599" i="10" s="1"/>
  <c r="Q590" i="7"/>
  <c r="S590" i="7" s="1"/>
  <c r="M590" i="10" s="1"/>
  <c r="Q581" i="7"/>
  <c r="S581" i="7" s="1"/>
  <c r="M581" i="10" s="1"/>
  <c r="Q572" i="7"/>
  <c r="S572" i="7" s="1"/>
  <c r="M572" i="10" s="1"/>
  <c r="Q563" i="7"/>
  <c r="S563" i="7" s="1"/>
  <c r="M563" i="10" s="1"/>
  <c r="Q554" i="7"/>
  <c r="S554" i="7" s="1"/>
  <c r="M554" i="10" s="1"/>
  <c r="Q545" i="7"/>
  <c r="S545" i="7" s="1"/>
  <c r="M545" i="10" s="1"/>
  <c r="Q719" i="7"/>
  <c r="S719" i="7" s="1"/>
  <c r="M719" i="10" s="1"/>
  <c r="Q702" i="7"/>
  <c r="S702" i="7" s="1"/>
  <c r="M702" i="10" s="1"/>
  <c r="Q693" i="7"/>
  <c r="S693" i="7" s="1"/>
  <c r="M693" i="10" s="1"/>
  <c r="Q684" i="7"/>
  <c r="S684" i="7" s="1"/>
  <c r="M684" i="10" s="1"/>
  <c r="Q675" i="7"/>
  <c r="S675" i="7" s="1"/>
  <c r="M675" i="10" s="1"/>
  <c r="Q666" i="7"/>
  <c r="S666" i="7" s="1"/>
  <c r="M666" i="10" s="1"/>
  <c r="Q657" i="7"/>
  <c r="S657" i="7" s="1"/>
  <c r="M657" i="10" s="1"/>
  <c r="Q648" i="7"/>
  <c r="S648" i="7" s="1"/>
  <c r="M648" i="10" s="1"/>
  <c r="Q639" i="7"/>
  <c r="S639" i="7" s="1"/>
  <c r="M639" i="10" s="1"/>
  <c r="Q630" i="7"/>
  <c r="S630" i="7" s="1"/>
  <c r="M630" i="10" s="1"/>
  <c r="Q621" i="7"/>
  <c r="S621" i="7" s="1"/>
  <c r="M621" i="10" s="1"/>
  <c r="Q612" i="7"/>
  <c r="S612" i="7" s="1"/>
  <c r="M612" i="10" s="1"/>
  <c r="Q603" i="7"/>
  <c r="S603" i="7" s="1"/>
  <c r="M603" i="10" s="1"/>
  <c r="Q710" i="7"/>
  <c r="S710" i="7" s="1"/>
  <c r="M710" i="10" s="1"/>
  <c r="Q718" i="7"/>
  <c r="S718" i="7" s="1"/>
  <c r="M718" i="10" s="1"/>
  <c r="Q717" i="7"/>
  <c r="S717" i="7" s="1"/>
  <c r="M717" i="10" s="1"/>
  <c r="Q697" i="7"/>
  <c r="S697" i="7" s="1"/>
  <c r="M697" i="10" s="1"/>
  <c r="Q688" i="7"/>
  <c r="S688" i="7" s="1"/>
  <c r="M688" i="10" s="1"/>
  <c r="Q679" i="7"/>
  <c r="S679" i="7" s="1"/>
  <c r="M679" i="10" s="1"/>
  <c r="Q670" i="7"/>
  <c r="S670" i="7" s="1"/>
  <c r="M670" i="10" s="1"/>
  <c r="Q661" i="7"/>
  <c r="S661" i="7" s="1"/>
  <c r="M661" i="10" s="1"/>
  <c r="Q652" i="7"/>
  <c r="S652" i="7" s="1"/>
  <c r="M652" i="10" s="1"/>
  <c r="Q643" i="7"/>
  <c r="S643" i="7" s="1"/>
  <c r="M643" i="10" s="1"/>
  <c r="Q634" i="7"/>
  <c r="S634" i="7" s="1"/>
  <c r="M634" i="10" s="1"/>
  <c r="Q625" i="7"/>
  <c r="S625" i="7" s="1"/>
  <c r="M625" i="10" s="1"/>
  <c r="Q616" i="7"/>
  <c r="S616" i="7" s="1"/>
  <c r="M616" i="10" s="1"/>
  <c r="Q709" i="7"/>
  <c r="S709" i="7" s="1"/>
  <c r="M709" i="10" s="1"/>
  <c r="Q708" i="7"/>
  <c r="S708" i="7" s="1"/>
  <c r="M708" i="10" s="1"/>
  <c r="Q701" i="7"/>
  <c r="S701" i="7" s="1"/>
  <c r="M701" i="10" s="1"/>
  <c r="Q692" i="7"/>
  <c r="S692" i="7" s="1"/>
  <c r="M692" i="10" s="1"/>
  <c r="Q683" i="7"/>
  <c r="S683" i="7" s="1"/>
  <c r="M683" i="10" s="1"/>
  <c r="Q674" i="7"/>
  <c r="S674" i="7" s="1"/>
  <c r="M674" i="10" s="1"/>
  <c r="Q665" i="7"/>
  <c r="S665" i="7" s="1"/>
  <c r="M665" i="10" s="1"/>
  <c r="Q716" i="7"/>
  <c r="S716" i="7" s="1"/>
  <c r="M716" i="10" s="1"/>
  <c r="Q696" i="7"/>
  <c r="S696" i="7" s="1"/>
  <c r="M696" i="10" s="1"/>
  <c r="Q687" i="7"/>
  <c r="S687" i="7" s="1"/>
  <c r="M687" i="10" s="1"/>
  <c r="Q678" i="7"/>
  <c r="S678" i="7" s="1"/>
  <c r="M678" i="10" s="1"/>
  <c r="Q669" i="7"/>
  <c r="S669" i="7" s="1"/>
  <c r="M669" i="10" s="1"/>
  <c r="Q660" i="7"/>
  <c r="S660" i="7" s="1"/>
  <c r="M660" i="10" s="1"/>
  <c r="Q651" i="7"/>
  <c r="S651" i="7" s="1"/>
  <c r="M651" i="10" s="1"/>
  <c r="Q707" i="7"/>
  <c r="S707" i="7" s="1"/>
  <c r="M707" i="10" s="1"/>
  <c r="Q715" i="7"/>
  <c r="S715" i="7" s="1"/>
  <c r="M715" i="10" s="1"/>
  <c r="Q700" i="7"/>
  <c r="S700" i="7" s="1"/>
  <c r="M700" i="10" s="1"/>
  <c r="Q691" i="7"/>
  <c r="S691" i="7" s="1"/>
  <c r="M691" i="10" s="1"/>
  <c r="Q682" i="7"/>
  <c r="S682" i="7" s="1"/>
  <c r="M682" i="10" s="1"/>
  <c r="Q673" i="7"/>
  <c r="S673" i="7" s="1"/>
  <c r="M673" i="10" s="1"/>
  <c r="Q664" i="7"/>
  <c r="S664" i="7" s="1"/>
  <c r="M664" i="10" s="1"/>
  <c r="Q714" i="7"/>
  <c r="S714" i="7" s="1"/>
  <c r="M714" i="10" s="1"/>
  <c r="Q706" i="7"/>
  <c r="S706" i="7" s="1"/>
  <c r="M706" i="10" s="1"/>
  <c r="Q695" i="7"/>
  <c r="S695" i="7" s="1"/>
  <c r="M695" i="10" s="1"/>
  <c r="Q686" i="7"/>
  <c r="S686" i="7" s="1"/>
  <c r="M686" i="10" s="1"/>
  <c r="Q677" i="7"/>
  <c r="S677" i="7" s="1"/>
  <c r="M677" i="10" s="1"/>
  <c r="Q668" i="7"/>
  <c r="S668" i="7" s="1"/>
  <c r="M668" i="10" s="1"/>
  <c r="Q659" i="7"/>
  <c r="S659" i="7" s="1"/>
  <c r="M659" i="10" s="1"/>
  <c r="Q650" i="7"/>
  <c r="S650" i="7" s="1"/>
  <c r="M650" i="10" s="1"/>
  <c r="Q615" i="7"/>
  <c r="S615" i="7" s="1"/>
  <c r="M615" i="10" s="1"/>
  <c r="Q565" i="7"/>
  <c r="S565" i="7" s="1"/>
  <c r="M565" i="10" s="1"/>
  <c r="Q564" i="7"/>
  <c r="S564" i="7" s="1"/>
  <c r="M564" i="10" s="1"/>
  <c r="Q562" i="7"/>
  <c r="S562" i="7" s="1"/>
  <c r="M562" i="10" s="1"/>
  <c r="Q561" i="7"/>
  <c r="S561" i="7" s="1"/>
  <c r="M561" i="10" s="1"/>
  <c r="Q558" i="7"/>
  <c r="S558" i="7" s="1"/>
  <c r="M558" i="10" s="1"/>
  <c r="Q646" i="7"/>
  <c r="S646" i="7" s="1"/>
  <c r="M646" i="10" s="1"/>
  <c r="Q628" i="7"/>
  <c r="S628" i="7" s="1"/>
  <c r="M628" i="10" s="1"/>
  <c r="Q606" i="7"/>
  <c r="S606" i="7" s="1"/>
  <c r="M606" i="10" s="1"/>
  <c r="Q605" i="7"/>
  <c r="S605" i="7" s="1"/>
  <c r="M605" i="10" s="1"/>
  <c r="Q560" i="7"/>
  <c r="S560" i="7" s="1"/>
  <c r="M560" i="10" s="1"/>
  <c r="Q557" i="7"/>
  <c r="S557" i="7" s="1"/>
  <c r="M557" i="10" s="1"/>
  <c r="Q641" i="7"/>
  <c r="S641" i="7" s="1"/>
  <c r="M641" i="10" s="1"/>
  <c r="Q623" i="7"/>
  <c r="S623" i="7" s="1"/>
  <c r="M623" i="10" s="1"/>
  <c r="Q607" i="7"/>
  <c r="S607" i="7" s="1"/>
  <c r="M607" i="10" s="1"/>
  <c r="Q556" i="7"/>
  <c r="S556" i="7" s="1"/>
  <c r="M556" i="10" s="1"/>
  <c r="Q555" i="7"/>
  <c r="S555" i="7" s="1"/>
  <c r="M555" i="10" s="1"/>
  <c r="Q553" i="7"/>
  <c r="S553" i="7" s="1"/>
  <c r="M553" i="10" s="1"/>
  <c r="Q552" i="7"/>
  <c r="S552" i="7" s="1"/>
  <c r="M552" i="10" s="1"/>
  <c r="Q549" i="7"/>
  <c r="S549" i="7" s="1"/>
  <c r="M549" i="10" s="1"/>
  <c r="Q551" i="7"/>
  <c r="S551" i="7" s="1"/>
  <c r="M551" i="10" s="1"/>
  <c r="Q548" i="7"/>
  <c r="S548" i="7" s="1"/>
  <c r="M548" i="10" s="1"/>
  <c r="Q647" i="7"/>
  <c r="S647" i="7" s="1"/>
  <c r="M647" i="10" s="1"/>
  <c r="Q629" i="7"/>
  <c r="S629" i="7" s="1"/>
  <c r="M629" i="10" s="1"/>
  <c r="Q597" i="7"/>
  <c r="S597" i="7" s="1"/>
  <c r="M597" i="10" s="1"/>
  <c r="Q594" i="7"/>
  <c r="S594" i="7" s="1"/>
  <c r="M594" i="10" s="1"/>
  <c r="Q547" i="7"/>
  <c r="S547" i="7" s="1"/>
  <c r="M547" i="10" s="1"/>
  <c r="Q546" i="7"/>
  <c r="S546" i="7" s="1"/>
  <c r="M546" i="10" s="1"/>
  <c r="Q544" i="7"/>
  <c r="S544" i="7" s="1"/>
  <c r="M544" i="10" s="1"/>
  <c r="Q656" i="7"/>
  <c r="S656" i="7" s="1"/>
  <c r="M656" i="10" s="1"/>
  <c r="Q642" i="7"/>
  <c r="S642" i="7" s="1"/>
  <c r="M642" i="10" s="1"/>
  <c r="Q624" i="7"/>
  <c r="S624" i="7" s="1"/>
  <c r="M624" i="10" s="1"/>
  <c r="Q598" i="7"/>
  <c r="S598" i="7" s="1"/>
  <c r="M598" i="10" s="1"/>
  <c r="Q596" i="7"/>
  <c r="S596" i="7" s="1"/>
  <c r="M596" i="10" s="1"/>
  <c r="Q593" i="7"/>
  <c r="S593" i="7" s="1"/>
  <c r="M593" i="10" s="1"/>
  <c r="Q543" i="7"/>
  <c r="S543" i="7" s="1"/>
  <c r="M543" i="10" s="1"/>
  <c r="Q592" i="7"/>
  <c r="S592" i="7" s="1"/>
  <c r="M592" i="10" s="1"/>
  <c r="Q591" i="7"/>
  <c r="S591" i="7" s="1"/>
  <c r="M591" i="10" s="1"/>
  <c r="Q589" i="7"/>
  <c r="S589" i="7" s="1"/>
  <c r="M589" i="10" s="1"/>
  <c r="Q588" i="7"/>
  <c r="S588" i="7" s="1"/>
  <c r="M588" i="10" s="1"/>
  <c r="Q585" i="7"/>
  <c r="S585" i="7" s="1"/>
  <c r="M585" i="10" s="1"/>
  <c r="Q542" i="7"/>
  <c r="S542" i="7" s="1"/>
  <c r="M542" i="10" s="1"/>
  <c r="Q637" i="7"/>
  <c r="S637" i="7" s="1"/>
  <c r="M637" i="10" s="1"/>
  <c r="Q619" i="7"/>
  <c r="S619" i="7" s="1"/>
  <c r="M619" i="10" s="1"/>
  <c r="Q587" i="7"/>
  <c r="S587" i="7" s="1"/>
  <c r="M587" i="10" s="1"/>
  <c r="Q584" i="7"/>
  <c r="S584" i="7" s="1"/>
  <c r="M584" i="10" s="1"/>
  <c r="Q632" i="7"/>
  <c r="S632" i="7" s="1"/>
  <c r="M632" i="10" s="1"/>
  <c r="Q609" i="7"/>
  <c r="S609" i="7" s="1"/>
  <c r="M609" i="10" s="1"/>
  <c r="Q600" i="7"/>
  <c r="S600" i="7" s="1"/>
  <c r="M600" i="10" s="1"/>
  <c r="Q583" i="7"/>
  <c r="S583" i="7" s="1"/>
  <c r="M583" i="10" s="1"/>
  <c r="Q582" i="7"/>
  <c r="S582" i="7" s="1"/>
  <c r="M582" i="10" s="1"/>
  <c r="Q580" i="7"/>
  <c r="S580" i="7" s="1"/>
  <c r="M580" i="10" s="1"/>
  <c r="Q579" i="7"/>
  <c r="S579" i="7" s="1"/>
  <c r="M579" i="10" s="1"/>
  <c r="Q576" i="7"/>
  <c r="S576" i="7" s="1"/>
  <c r="M576" i="10" s="1"/>
  <c r="Q602" i="7"/>
  <c r="S602" i="7" s="1"/>
  <c r="M602" i="10" s="1"/>
  <c r="Q601" i="7"/>
  <c r="S601" i="7" s="1"/>
  <c r="M601" i="10" s="1"/>
  <c r="Q578" i="7"/>
  <c r="S578" i="7" s="1"/>
  <c r="M578" i="10" s="1"/>
  <c r="Q575" i="7"/>
  <c r="S575" i="7" s="1"/>
  <c r="M575" i="10" s="1"/>
  <c r="Q638" i="7"/>
  <c r="S638" i="7" s="1"/>
  <c r="M638" i="10" s="1"/>
  <c r="Q620" i="7"/>
  <c r="S620" i="7" s="1"/>
  <c r="M620" i="10" s="1"/>
  <c r="Q614" i="7"/>
  <c r="S614" i="7" s="1"/>
  <c r="M614" i="10" s="1"/>
  <c r="Q610" i="7"/>
  <c r="S610" i="7" s="1"/>
  <c r="M610" i="10" s="1"/>
  <c r="Q574" i="7"/>
  <c r="S574" i="7" s="1"/>
  <c r="M574" i="10" s="1"/>
  <c r="Q573" i="7"/>
  <c r="S573" i="7" s="1"/>
  <c r="M573" i="10" s="1"/>
  <c r="Q571" i="7"/>
  <c r="S571" i="7" s="1"/>
  <c r="M571" i="10" s="1"/>
  <c r="Q570" i="7"/>
  <c r="S570" i="7" s="1"/>
  <c r="M570" i="10" s="1"/>
  <c r="Q567" i="7"/>
  <c r="S567" i="7" s="1"/>
  <c r="M567" i="10" s="1"/>
  <c r="Q655" i="7"/>
  <c r="S655" i="7" s="1"/>
  <c r="M655" i="10" s="1"/>
  <c r="Q633" i="7"/>
  <c r="S633" i="7" s="1"/>
  <c r="M633" i="10" s="1"/>
  <c r="Q611" i="7"/>
  <c r="S611" i="7" s="1"/>
  <c r="M611" i="10" s="1"/>
  <c r="Q569" i="7"/>
  <c r="S569" i="7" s="1"/>
  <c r="M569" i="10" s="1"/>
  <c r="Q566" i="7"/>
  <c r="S566" i="7" s="1"/>
  <c r="M566" i="10" s="1"/>
  <c r="P1077" i="7"/>
  <c r="P1074" i="7"/>
  <c r="P1071" i="7"/>
  <c r="P1068" i="7"/>
  <c r="P1065" i="7"/>
  <c r="P1063" i="7"/>
  <c r="P1060" i="7"/>
  <c r="P1057" i="7"/>
  <c r="P1054" i="7"/>
  <c r="P1051" i="7"/>
  <c r="P1048" i="7"/>
  <c r="P1045" i="7"/>
  <c r="P1042" i="7"/>
  <c r="P1039" i="7"/>
  <c r="P1036" i="7"/>
  <c r="P1033" i="7"/>
  <c r="P1030" i="7"/>
  <c r="P1027" i="7"/>
  <c r="P1024" i="7"/>
  <c r="P1021" i="7"/>
  <c r="P1018" i="7"/>
  <c r="P1015" i="7"/>
  <c r="P1012" i="7"/>
  <c r="P1009" i="7"/>
  <c r="P1006" i="7"/>
  <c r="P1003" i="7"/>
  <c r="P1000" i="7"/>
  <c r="P997" i="7"/>
  <c r="P994" i="7"/>
  <c r="P991" i="7"/>
  <c r="P988" i="7"/>
  <c r="P985" i="7"/>
  <c r="P982" i="7"/>
  <c r="P979" i="7"/>
  <c r="P976" i="7"/>
  <c r="P973" i="7"/>
  <c r="P970" i="7"/>
  <c r="P967" i="7"/>
  <c r="P964" i="7"/>
  <c r="P961" i="7"/>
  <c r="P958" i="7"/>
  <c r="P955" i="7"/>
  <c r="P952" i="7"/>
  <c r="P949" i="7"/>
  <c r="P946" i="7"/>
  <c r="P943" i="7"/>
  <c r="P940" i="7"/>
  <c r="P937" i="7"/>
  <c r="P934" i="7"/>
  <c r="P931" i="7"/>
  <c r="P928" i="7"/>
  <c r="P925" i="7"/>
  <c r="P922" i="7"/>
  <c r="P919" i="7"/>
  <c r="P916" i="7"/>
  <c r="P913" i="7"/>
  <c r="P910" i="7"/>
  <c r="P907" i="7"/>
  <c r="P904" i="7"/>
  <c r="P901" i="7"/>
  <c r="P1066" i="7"/>
  <c r="P1061" i="7"/>
  <c r="P1052" i="7"/>
  <c r="P1043" i="7"/>
  <c r="P1034" i="7"/>
  <c r="P1025" i="7"/>
  <c r="P1016" i="7"/>
  <c r="P1007" i="7"/>
  <c r="P998" i="7"/>
  <c r="P989" i="7"/>
  <c r="P1056" i="7"/>
  <c r="P1047" i="7"/>
  <c r="P1038" i="7"/>
  <c r="P1029" i="7"/>
  <c r="P1020" i="7"/>
  <c r="P1011" i="7"/>
  <c r="P1002" i="7"/>
  <c r="P993" i="7"/>
  <c r="P984" i="7"/>
  <c r="P975" i="7"/>
  <c r="P966" i="7"/>
  <c r="P957" i="7"/>
  <c r="P948" i="7"/>
  <c r="P939" i="7"/>
  <c r="P930" i="7"/>
  <c r="P921" i="7"/>
  <c r="P912" i="7"/>
  <c r="P903" i="7"/>
  <c r="P1073" i="7"/>
  <c r="P1072" i="7"/>
  <c r="P1064" i="7"/>
  <c r="P1055" i="7"/>
  <c r="P1046" i="7"/>
  <c r="P1037" i="7"/>
  <c r="P1028" i="7"/>
  <c r="P1019" i="7"/>
  <c r="P1010" i="7"/>
  <c r="P1001" i="7"/>
  <c r="P992" i="7"/>
  <c r="P983" i="7"/>
  <c r="P974" i="7"/>
  <c r="P965" i="7"/>
  <c r="P956" i="7"/>
  <c r="P947" i="7"/>
  <c r="P938" i="7"/>
  <c r="P929" i="7"/>
  <c r="P920" i="7"/>
  <c r="P911" i="7"/>
  <c r="P902" i="7"/>
  <c r="P1059" i="7"/>
  <c r="P1050" i="7"/>
  <c r="P1041" i="7"/>
  <c r="P1032" i="7"/>
  <c r="P1023" i="7"/>
  <c r="P1014" i="7"/>
  <c r="P1005" i="7"/>
  <c r="P996" i="7"/>
  <c r="P987" i="7"/>
  <c r="P1070" i="7"/>
  <c r="P1069" i="7"/>
  <c r="P1058" i="7"/>
  <c r="P1049" i="7"/>
  <c r="P1040" i="7"/>
  <c r="P1031" i="7"/>
  <c r="P1022" i="7"/>
  <c r="P1013" i="7"/>
  <c r="P1004" i="7"/>
  <c r="P995" i="7"/>
  <c r="P986" i="7"/>
  <c r="P977" i="7"/>
  <c r="P968" i="7"/>
  <c r="P1062" i="7"/>
  <c r="P1053" i="7"/>
  <c r="P1044" i="7"/>
  <c r="P1035" i="7"/>
  <c r="P1026" i="7"/>
  <c r="P1017" i="7"/>
  <c r="P1008" i="7"/>
  <c r="P999" i="7"/>
  <c r="P990" i="7"/>
  <c r="P1076" i="7"/>
  <c r="P1075" i="7"/>
  <c r="P1067" i="7"/>
  <c r="P953" i="7"/>
  <c r="P963" i="7"/>
  <c r="P960" i="7"/>
  <c r="P933" i="7"/>
  <c r="P900" i="7"/>
  <c r="P950" i="7"/>
  <c r="P969" i="7"/>
  <c r="P945" i="7"/>
  <c r="P924" i="7"/>
  <c r="P908" i="7"/>
  <c r="P905" i="7"/>
  <c r="P972" i="7"/>
  <c r="P935" i="7"/>
  <c r="P926" i="7"/>
  <c r="P918" i="7"/>
  <c r="P962" i="7"/>
  <c r="P942" i="7"/>
  <c r="P914" i="7"/>
  <c r="P978" i="7"/>
  <c r="P959" i="7"/>
  <c r="P932" i="7"/>
  <c r="P909" i="7"/>
  <c r="P906" i="7"/>
  <c r="P981" i="7"/>
  <c r="P954" i="7"/>
  <c r="P971" i="7"/>
  <c r="P944" i="7"/>
  <c r="P951" i="7"/>
  <c r="P927" i="7"/>
  <c r="P923" i="7"/>
  <c r="P941" i="7"/>
  <c r="P915" i="7"/>
  <c r="P980" i="7"/>
  <c r="P936" i="7"/>
  <c r="P917" i="7"/>
  <c r="P899" i="7"/>
  <c r="O1607" i="7"/>
  <c r="O1598" i="7"/>
  <c r="O1589" i="7"/>
  <c r="O1580" i="7"/>
  <c r="O1611" i="7"/>
  <c r="O1602" i="7"/>
  <c r="O1593" i="7"/>
  <c r="O1606" i="7"/>
  <c r="O1597" i="7"/>
  <c r="O1588" i="7"/>
  <c r="O1579" i="7"/>
  <c r="O1570" i="7"/>
  <c r="O1610" i="7"/>
  <c r="O1601" i="7"/>
  <c r="O1592" i="7"/>
  <c r="O1583" i="7"/>
  <c r="O1574" i="7"/>
  <c r="O1565" i="7"/>
  <c r="O1556" i="7"/>
  <c r="O1547" i="7"/>
  <c r="O1538" i="7"/>
  <c r="O1529" i="7"/>
  <c r="O1614" i="7"/>
  <c r="O1605" i="7"/>
  <c r="O1596" i="7"/>
  <c r="O1609" i="7"/>
  <c r="O1600" i="7"/>
  <c r="O1591" i="7"/>
  <c r="O1582" i="7"/>
  <c r="O1613" i="7"/>
  <c r="O1604" i="7"/>
  <c r="O1573" i="7"/>
  <c r="O1557" i="7"/>
  <c r="O1540" i="7"/>
  <c r="O1584" i="7"/>
  <c r="O1572" i="7"/>
  <c r="O1571" i="7"/>
  <c r="O1569" i="7"/>
  <c r="O1568" i="7"/>
  <c r="O1548" i="7"/>
  <c r="O1531" i="7"/>
  <c r="O1519" i="7"/>
  <c r="O1510" i="7"/>
  <c r="O1501" i="7"/>
  <c r="O1492" i="7"/>
  <c r="O1483" i="7"/>
  <c r="O1567" i="7"/>
  <c r="O1564" i="7"/>
  <c r="O1555" i="7"/>
  <c r="O1539" i="7"/>
  <c r="O1523" i="7"/>
  <c r="O1514" i="7"/>
  <c r="O1505" i="7"/>
  <c r="O1496" i="7"/>
  <c r="O1487" i="7"/>
  <c r="O1478" i="7"/>
  <c r="O1469" i="7"/>
  <c r="O1460" i="7"/>
  <c r="O1451" i="7"/>
  <c r="O1442" i="7"/>
  <c r="O1575" i="7"/>
  <c r="O1566" i="7"/>
  <c r="O1563" i="7"/>
  <c r="O1546" i="7"/>
  <c r="O1530" i="7"/>
  <c r="O1518" i="7"/>
  <c r="O1509" i="7"/>
  <c r="O1500" i="7"/>
  <c r="O1491" i="7"/>
  <c r="O1482" i="7"/>
  <c r="O1473" i="7"/>
  <c r="O1464" i="7"/>
  <c r="O1455" i="7"/>
  <c r="O1446" i="7"/>
  <c r="O1581" i="7"/>
  <c r="O1562" i="7"/>
  <c r="O1554" i="7"/>
  <c r="O1537" i="7"/>
  <c r="O1603" i="7"/>
  <c r="O1585" i="7"/>
  <c r="O1576" i="7"/>
  <c r="O1553" i="7"/>
  <c r="O1545" i="7"/>
  <c r="O1528" i="7"/>
  <c r="O1522" i="7"/>
  <c r="O1594" i="7"/>
  <c r="O1577" i="7"/>
  <c r="O1561" i="7"/>
  <c r="O1544" i="7"/>
  <c r="O1536" i="7"/>
  <c r="O1517" i="7"/>
  <c r="O1508" i="7"/>
  <c r="O1499" i="7"/>
  <c r="O1599" i="7"/>
  <c r="O1586" i="7"/>
  <c r="O1560" i="7"/>
  <c r="O1552" i="7"/>
  <c r="O1535" i="7"/>
  <c r="O1612" i="7"/>
  <c r="O1559" i="7"/>
  <c r="O1578" i="7"/>
  <c r="O1550" i="7"/>
  <c r="O1608" i="7"/>
  <c r="O1590" i="7"/>
  <c r="O1558" i="7"/>
  <c r="O1541" i="7"/>
  <c r="O1533" i="7"/>
  <c r="O1525" i="7"/>
  <c r="O1520" i="7"/>
  <c r="O1511" i="7"/>
  <c r="O1595" i="7"/>
  <c r="O1587" i="7"/>
  <c r="O1549" i="7"/>
  <c r="O1532" i="7"/>
  <c r="O1524" i="7"/>
  <c r="O1515" i="7"/>
  <c r="O1506" i="7"/>
  <c r="O1551" i="7"/>
  <c r="O1543" i="7"/>
  <c r="O1521" i="7"/>
  <c r="O1486" i="7"/>
  <c r="O1457" i="7"/>
  <c r="O1454" i="7"/>
  <c r="O1512" i="7"/>
  <c r="O1456" i="7"/>
  <c r="O1453" i="7"/>
  <c r="O1452" i="7"/>
  <c r="O1450" i="7"/>
  <c r="O1449" i="7"/>
  <c r="O1448" i="7"/>
  <c r="O1445" i="7"/>
  <c r="O1542" i="7"/>
  <c r="O1527" i="7"/>
  <c r="O1507" i="7"/>
  <c r="O1493" i="7"/>
  <c r="O1488" i="7"/>
  <c r="O1447" i="7"/>
  <c r="O1444" i="7"/>
  <c r="O1443" i="7"/>
  <c r="O1441" i="7"/>
  <c r="O1440" i="7"/>
  <c r="O1504" i="7"/>
  <c r="O1497" i="7"/>
  <c r="O1494" i="7"/>
  <c r="O1489" i="7"/>
  <c r="O1439" i="7"/>
  <c r="O1502" i="7"/>
  <c r="O1490" i="7"/>
  <c r="O1526" i="7"/>
  <c r="O1481" i="7"/>
  <c r="O1480" i="7"/>
  <c r="O1479" i="7"/>
  <c r="O1477" i="7"/>
  <c r="O1476" i="7"/>
  <c r="O1438" i="7"/>
  <c r="O1437" i="7"/>
  <c r="O1516" i="7"/>
  <c r="O1513" i="7"/>
  <c r="O1498" i="7"/>
  <c r="O1475" i="7"/>
  <c r="O1472" i="7"/>
  <c r="O1534" i="7"/>
  <c r="O1495" i="7"/>
  <c r="O1474" i="7"/>
  <c r="O1471" i="7"/>
  <c r="O1470" i="7"/>
  <c r="O1468" i="7"/>
  <c r="O1467" i="7"/>
  <c r="O1436" i="7"/>
  <c r="O1503" i="7"/>
  <c r="O1466" i="7"/>
  <c r="O1463" i="7"/>
  <c r="O1485" i="7"/>
  <c r="O1484" i="7"/>
  <c r="O1465" i="7"/>
  <c r="O1462" i="7"/>
  <c r="O1461" i="7"/>
  <c r="O1459" i="7"/>
  <c r="O1458" i="7"/>
  <c r="GE5" i="4"/>
  <c r="GG6" i="4"/>
  <c r="GF7" i="4"/>
  <c r="GE8" i="4"/>
  <c r="GG9" i="4"/>
  <c r="GF10" i="4"/>
  <c r="GE11" i="4"/>
  <c r="GG12" i="4"/>
  <c r="GF13" i="4"/>
  <c r="GE14" i="4"/>
  <c r="GG15" i="4"/>
  <c r="GF16" i="4"/>
  <c r="GE17" i="4"/>
  <c r="GG21" i="4"/>
  <c r="GF22" i="4"/>
  <c r="GH26" i="4"/>
  <c r="GG26" i="4"/>
  <c r="GR26" i="4"/>
  <c r="GF26" i="4"/>
  <c r="GL41" i="4"/>
  <c r="GM8" i="5"/>
  <c r="GU37" i="5"/>
  <c r="GL47" i="5"/>
  <c r="GW47" i="5"/>
  <c r="GW57" i="5"/>
  <c r="I61" i="5"/>
  <c r="J61" i="5" s="1"/>
  <c r="Q179" i="7"/>
  <c r="S179" i="7" s="1"/>
  <c r="M179" i="10" s="1"/>
  <c r="Q170" i="7"/>
  <c r="S170" i="7" s="1"/>
  <c r="M170" i="10" s="1"/>
  <c r="Q161" i="7"/>
  <c r="S161" i="7" s="1"/>
  <c r="M161" i="10" s="1"/>
  <c r="Q152" i="7"/>
  <c r="S152" i="7" s="1"/>
  <c r="M152" i="10" s="1"/>
  <c r="Q143" i="7"/>
  <c r="S143" i="7" s="1"/>
  <c r="M143" i="10" s="1"/>
  <c r="Q134" i="7"/>
  <c r="S134" i="7" s="1"/>
  <c r="M134" i="10" s="1"/>
  <c r="Q125" i="7"/>
  <c r="S125" i="7" s="1"/>
  <c r="M125" i="10" s="1"/>
  <c r="Q116" i="7"/>
  <c r="S116" i="7" s="1"/>
  <c r="M116" i="10" s="1"/>
  <c r="Q107" i="7"/>
  <c r="S107" i="7" s="1"/>
  <c r="M107" i="10" s="1"/>
  <c r="Q98" i="7"/>
  <c r="S98" i="7" s="1"/>
  <c r="M98" i="10" s="1"/>
  <c r="Q89" i="7"/>
  <c r="S89" i="7" s="1"/>
  <c r="M89" i="10" s="1"/>
  <c r="Q80" i="7"/>
  <c r="S80" i="7" s="1"/>
  <c r="M80" i="10" s="1"/>
  <c r="Q174" i="7"/>
  <c r="S174" i="7" s="1"/>
  <c r="M174" i="10" s="1"/>
  <c r="Q165" i="7"/>
  <c r="S165" i="7" s="1"/>
  <c r="M165" i="10" s="1"/>
  <c r="Q156" i="7"/>
  <c r="S156" i="7" s="1"/>
  <c r="M156" i="10" s="1"/>
  <c r="Q147" i="7"/>
  <c r="S147" i="7" s="1"/>
  <c r="M147" i="10" s="1"/>
  <c r="Q138" i="7"/>
  <c r="S138" i="7" s="1"/>
  <c r="M138" i="10" s="1"/>
  <c r="Q129" i="7"/>
  <c r="S129" i="7" s="1"/>
  <c r="M129" i="10" s="1"/>
  <c r="Q120" i="7"/>
  <c r="S120" i="7" s="1"/>
  <c r="M120" i="10" s="1"/>
  <c r="Q111" i="7"/>
  <c r="S111" i="7" s="1"/>
  <c r="M111" i="10" s="1"/>
  <c r="Q102" i="7"/>
  <c r="S102" i="7" s="1"/>
  <c r="M102" i="10" s="1"/>
  <c r="Q93" i="7"/>
  <c r="S93" i="7" s="1"/>
  <c r="M93" i="10" s="1"/>
  <c r="Q84" i="7"/>
  <c r="S84" i="7" s="1"/>
  <c r="M84" i="10" s="1"/>
  <c r="Q178" i="7"/>
  <c r="S178" i="7" s="1"/>
  <c r="M178" i="10" s="1"/>
  <c r="Q169" i="7"/>
  <c r="S169" i="7" s="1"/>
  <c r="M169" i="10" s="1"/>
  <c r="Q160" i="7"/>
  <c r="S160" i="7" s="1"/>
  <c r="M160" i="10" s="1"/>
  <c r="Q151" i="7"/>
  <c r="S151" i="7" s="1"/>
  <c r="M151" i="10" s="1"/>
  <c r="Q142" i="7"/>
  <c r="S142" i="7" s="1"/>
  <c r="M142" i="10" s="1"/>
  <c r="Q133" i="7"/>
  <c r="S133" i="7" s="1"/>
  <c r="M133" i="10" s="1"/>
  <c r="Q124" i="7"/>
  <c r="S124" i="7" s="1"/>
  <c r="M124" i="10" s="1"/>
  <c r="Q176" i="7"/>
  <c r="S176" i="7" s="1"/>
  <c r="M176" i="10" s="1"/>
  <c r="Q167" i="7"/>
  <c r="S167" i="7" s="1"/>
  <c r="M167" i="10" s="1"/>
  <c r="Q158" i="7"/>
  <c r="S158" i="7" s="1"/>
  <c r="M158" i="10" s="1"/>
  <c r="Q180" i="7"/>
  <c r="S180" i="7" s="1"/>
  <c r="M180" i="10" s="1"/>
  <c r="Q171" i="7"/>
  <c r="S171" i="7" s="1"/>
  <c r="M171" i="10" s="1"/>
  <c r="Q162" i="7"/>
  <c r="S162" i="7" s="1"/>
  <c r="M162" i="10" s="1"/>
  <c r="Q153" i="7"/>
  <c r="S153" i="7" s="1"/>
  <c r="M153" i="10" s="1"/>
  <c r="Q168" i="7"/>
  <c r="S168" i="7" s="1"/>
  <c r="M168" i="10" s="1"/>
  <c r="Q155" i="7"/>
  <c r="S155" i="7" s="1"/>
  <c r="M155" i="10" s="1"/>
  <c r="Q99" i="7"/>
  <c r="S99" i="7" s="1"/>
  <c r="M99" i="10" s="1"/>
  <c r="Q96" i="7"/>
  <c r="S96" i="7" s="1"/>
  <c r="M96" i="10" s="1"/>
  <c r="Q181" i="7"/>
  <c r="S181" i="7" s="1"/>
  <c r="M181" i="10" s="1"/>
  <c r="Q163" i="7"/>
  <c r="S163" i="7" s="1"/>
  <c r="M163" i="10" s="1"/>
  <c r="Q146" i="7"/>
  <c r="S146" i="7" s="1"/>
  <c r="M146" i="10" s="1"/>
  <c r="Q140" i="7"/>
  <c r="S140" i="7" s="1"/>
  <c r="M140" i="10" s="1"/>
  <c r="Q119" i="7"/>
  <c r="S119" i="7" s="1"/>
  <c r="M119" i="10" s="1"/>
  <c r="Q95" i="7"/>
  <c r="S95" i="7" s="1"/>
  <c r="M95" i="10" s="1"/>
  <c r="Q94" i="7"/>
  <c r="S94" i="7" s="1"/>
  <c r="M94" i="10" s="1"/>
  <c r="Q92" i="7"/>
  <c r="S92" i="7" s="1"/>
  <c r="M92" i="10" s="1"/>
  <c r="Q91" i="7"/>
  <c r="S91" i="7" s="1"/>
  <c r="M91" i="10" s="1"/>
  <c r="Q88" i="7"/>
  <c r="S88" i="7" s="1"/>
  <c r="M88" i="10" s="1"/>
  <c r="Q70" i="7"/>
  <c r="S70" i="7" s="1"/>
  <c r="M70" i="10" s="1"/>
  <c r="Q69" i="7"/>
  <c r="S69" i="7" s="1"/>
  <c r="M69" i="10" s="1"/>
  <c r="Q61" i="7"/>
  <c r="S61" i="7" s="1"/>
  <c r="M61" i="10" s="1"/>
  <c r="Q60" i="7"/>
  <c r="S60" i="7" s="1"/>
  <c r="M60" i="10" s="1"/>
  <c r="Q141" i="7"/>
  <c r="S141" i="7" s="1"/>
  <c r="M141" i="10" s="1"/>
  <c r="Q135" i="7"/>
  <c r="S135" i="7" s="1"/>
  <c r="M135" i="10" s="1"/>
  <c r="Q109" i="7"/>
  <c r="S109" i="7" s="1"/>
  <c r="M109" i="10" s="1"/>
  <c r="Q108" i="7"/>
  <c r="S108" i="7" s="1"/>
  <c r="M108" i="10" s="1"/>
  <c r="Q90" i="7"/>
  <c r="S90" i="7" s="1"/>
  <c r="M90" i="10" s="1"/>
  <c r="Q87" i="7"/>
  <c r="S87" i="7" s="1"/>
  <c r="M87" i="10" s="1"/>
  <c r="Q43" i="7"/>
  <c r="S43" i="7" s="1"/>
  <c r="M43" i="10" s="1"/>
  <c r="Q34" i="7"/>
  <c r="S34" i="7" s="1"/>
  <c r="M34" i="10" s="1"/>
  <c r="Q166" i="7"/>
  <c r="S166" i="7" s="1"/>
  <c r="M166" i="10" s="1"/>
  <c r="Q136" i="7"/>
  <c r="S136" i="7" s="1"/>
  <c r="M136" i="10" s="1"/>
  <c r="Q130" i="7"/>
  <c r="S130" i="7" s="1"/>
  <c r="M130" i="10" s="1"/>
  <c r="Q110" i="7"/>
  <c r="S110" i="7" s="1"/>
  <c r="M110" i="10" s="1"/>
  <c r="Q86" i="7"/>
  <c r="S86" i="7" s="1"/>
  <c r="M86" i="10" s="1"/>
  <c r="Q85" i="7"/>
  <c r="S85" i="7" s="1"/>
  <c r="M85" i="10" s="1"/>
  <c r="Q83" i="7"/>
  <c r="S83" i="7" s="1"/>
  <c r="M83" i="10" s="1"/>
  <c r="Q82" i="7"/>
  <c r="S82" i="7" s="1"/>
  <c r="M82" i="10" s="1"/>
  <c r="Q79" i="7"/>
  <c r="S79" i="7" s="1"/>
  <c r="M79" i="10" s="1"/>
  <c r="Q68" i="7"/>
  <c r="S68" i="7" s="1"/>
  <c r="M68" i="10" s="1"/>
  <c r="Q59" i="7"/>
  <c r="S59" i="7" s="1"/>
  <c r="M59" i="10" s="1"/>
  <c r="Q50" i="7"/>
  <c r="S50" i="7" s="1"/>
  <c r="M50" i="10" s="1"/>
  <c r="Q38" i="7"/>
  <c r="S38" i="7" s="1"/>
  <c r="M38" i="10" s="1"/>
  <c r="Q29" i="7"/>
  <c r="S29" i="7" s="1"/>
  <c r="M29" i="10" s="1"/>
  <c r="Q26" i="7"/>
  <c r="S26" i="7" s="1"/>
  <c r="M26" i="10" s="1"/>
  <c r="Q23" i="7"/>
  <c r="S23" i="7" s="1"/>
  <c r="M23" i="10" s="1"/>
  <c r="Q20" i="7"/>
  <c r="S20" i="7" s="1"/>
  <c r="M20" i="10" s="1"/>
  <c r="Q17" i="7"/>
  <c r="S17" i="7" s="1"/>
  <c r="M17" i="10" s="1"/>
  <c r="Q14" i="7"/>
  <c r="S14" i="7" s="1"/>
  <c r="M14" i="10" s="1"/>
  <c r="Q11" i="7"/>
  <c r="S11" i="7" s="1"/>
  <c r="M11" i="10" s="1"/>
  <c r="Q8" i="7"/>
  <c r="S8" i="7" s="1"/>
  <c r="M8" i="10" s="1"/>
  <c r="Q5" i="7"/>
  <c r="S5" i="7" s="1"/>
  <c r="M5" i="10" s="1"/>
  <c r="Q42" i="7"/>
  <c r="S42" i="7" s="1"/>
  <c r="M42" i="10" s="1"/>
  <c r="Q33" i="7"/>
  <c r="S33" i="7" s="1"/>
  <c r="M33" i="10" s="1"/>
  <c r="Q58" i="7"/>
  <c r="S58" i="7" s="1"/>
  <c r="M58" i="10" s="1"/>
  <c r="Q57" i="7"/>
  <c r="S57" i="7" s="1"/>
  <c r="M57" i="10" s="1"/>
  <c r="Q81" i="7"/>
  <c r="S81" i="7" s="1"/>
  <c r="M81" i="10" s="1"/>
  <c r="Q78" i="7"/>
  <c r="S78" i="7" s="1"/>
  <c r="M78" i="10" s="1"/>
  <c r="Q77" i="7"/>
  <c r="S77" i="7" s="1"/>
  <c r="M77" i="10" s="1"/>
  <c r="Q76" i="7"/>
  <c r="S76" i="7" s="1"/>
  <c r="M76" i="10" s="1"/>
  <c r="Q75" i="7"/>
  <c r="S75" i="7" s="1"/>
  <c r="M75" i="10" s="1"/>
  <c r="Q49" i="7"/>
  <c r="S49" i="7" s="1"/>
  <c r="M49" i="10" s="1"/>
  <c r="Q48" i="7"/>
  <c r="S48" i="7" s="1"/>
  <c r="M48" i="10" s="1"/>
  <c r="Q182" i="7"/>
  <c r="S182" i="7" s="1"/>
  <c r="M182" i="10" s="1"/>
  <c r="Q164" i="7"/>
  <c r="S164" i="7" s="1"/>
  <c r="M164" i="10" s="1"/>
  <c r="Q137" i="7"/>
  <c r="S137" i="7" s="1"/>
  <c r="M137" i="10" s="1"/>
  <c r="Q131" i="7"/>
  <c r="S131" i="7" s="1"/>
  <c r="M131" i="10" s="1"/>
  <c r="Q67" i="7"/>
  <c r="S67" i="7" s="1"/>
  <c r="M67" i="10" s="1"/>
  <c r="Q66" i="7"/>
  <c r="S66" i="7" s="1"/>
  <c r="M66" i="10" s="1"/>
  <c r="Q177" i="7"/>
  <c r="S177" i="7" s="1"/>
  <c r="M177" i="10" s="1"/>
  <c r="Q159" i="7"/>
  <c r="S159" i="7" s="1"/>
  <c r="M159" i="10" s="1"/>
  <c r="Q132" i="7"/>
  <c r="S132" i="7" s="1"/>
  <c r="M132" i="10" s="1"/>
  <c r="Q126" i="7"/>
  <c r="S126" i="7" s="1"/>
  <c r="M126" i="10" s="1"/>
  <c r="Q112" i="7"/>
  <c r="S112" i="7" s="1"/>
  <c r="M112" i="10" s="1"/>
  <c r="Q172" i="7"/>
  <c r="S172" i="7" s="1"/>
  <c r="M172" i="10" s="1"/>
  <c r="Q148" i="7"/>
  <c r="S148" i="7" s="1"/>
  <c r="M148" i="10" s="1"/>
  <c r="Q127" i="7"/>
  <c r="S127" i="7" s="1"/>
  <c r="M127" i="10" s="1"/>
  <c r="Q121" i="7"/>
  <c r="S121" i="7" s="1"/>
  <c r="M121" i="10" s="1"/>
  <c r="Q115" i="7"/>
  <c r="S115" i="7" s="1"/>
  <c r="M115" i="10" s="1"/>
  <c r="Q114" i="7"/>
  <c r="S114" i="7" s="1"/>
  <c r="M114" i="10" s="1"/>
  <c r="Q113" i="7"/>
  <c r="S113" i="7" s="1"/>
  <c r="M113" i="10" s="1"/>
  <c r="Q175" i="7"/>
  <c r="S175" i="7" s="1"/>
  <c r="M175" i="10" s="1"/>
  <c r="Q157" i="7"/>
  <c r="S157" i="7" s="1"/>
  <c r="M157" i="10" s="1"/>
  <c r="Q154" i="7"/>
  <c r="S154" i="7" s="1"/>
  <c r="M154" i="10" s="1"/>
  <c r="Q149" i="7"/>
  <c r="S149" i="7" s="1"/>
  <c r="M149" i="10" s="1"/>
  <c r="Q128" i="7"/>
  <c r="S128" i="7" s="1"/>
  <c r="M128" i="10" s="1"/>
  <c r="Q122" i="7"/>
  <c r="S122" i="7" s="1"/>
  <c r="M122" i="10" s="1"/>
  <c r="Q150" i="7"/>
  <c r="S150" i="7" s="1"/>
  <c r="M150" i="10" s="1"/>
  <c r="Q144" i="7"/>
  <c r="S144" i="7" s="1"/>
  <c r="M144" i="10" s="1"/>
  <c r="Q123" i="7"/>
  <c r="S123" i="7" s="1"/>
  <c r="M123" i="10" s="1"/>
  <c r="Q106" i="7"/>
  <c r="S106" i="7" s="1"/>
  <c r="M106" i="10" s="1"/>
  <c r="Q105" i="7"/>
  <c r="S105" i="7" s="1"/>
  <c r="M105" i="10" s="1"/>
  <c r="Q173" i="7"/>
  <c r="S173" i="7" s="1"/>
  <c r="M173" i="10" s="1"/>
  <c r="Q145" i="7"/>
  <c r="S145" i="7" s="1"/>
  <c r="M145" i="10" s="1"/>
  <c r="Q139" i="7"/>
  <c r="S139" i="7" s="1"/>
  <c r="M139" i="10" s="1"/>
  <c r="Q118" i="7"/>
  <c r="S118" i="7" s="1"/>
  <c r="M118" i="10" s="1"/>
  <c r="Q117" i="7"/>
  <c r="S117" i="7" s="1"/>
  <c r="M117" i="10" s="1"/>
  <c r="Q104" i="7"/>
  <c r="S104" i="7" s="1"/>
  <c r="M104" i="10" s="1"/>
  <c r="Q103" i="7"/>
  <c r="S103" i="7" s="1"/>
  <c r="M103" i="10" s="1"/>
  <c r="Q101" i="7"/>
  <c r="S101" i="7" s="1"/>
  <c r="M101" i="10" s="1"/>
  <c r="Q100" i="7"/>
  <c r="S100" i="7" s="1"/>
  <c r="M100" i="10" s="1"/>
  <c r="Q97" i="7"/>
  <c r="S97" i="7" s="1"/>
  <c r="M97" i="10" s="1"/>
  <c r="O718" i="7"/>
  <c r="O709" i="7"/>
  <c r="O706" i="7"/>
  <c r="O714" i="7"/>
  <c r="O695" i="7"/>
  <c r="O686" i="7"/>
  <c r="O677" i="7"/>
  <c r="O668" i="7"/>
  <c r="O659" i="7"/>
  <c r="O650" i="7"/>
  <c r="O641" i="7"/>
  <c r="O632" i="7"/>
  <c r="O623" i="7"/>
  <c r="O614" i="7"/>
  <c r="O713" i="7"/>
  <c r="O705" i="7"/>
  <c r="O699" i="7"/>
  <c r="O690" i="7"/>
  <c r="O681" i="7"/>
  <c r="O672" i="7"/>
  <c r="O663" i="7"/>
  <c r="O654" i="7"/>
  <c r="O645" i="7"/>
  <c r="O636" i="7"/>
  <c r="O627" i="7"/>
  <c r="O618" i="7"/>
  <c r="O609" i="7"/>
  <c r="O600" i="7"/>
  <c r="O591" i="7"/>
  <c r="O582" i="7"/>
  <c r="O573" i="7"/>
  <c r="O564" i="7"/>
  <c r="O555" i="7"/>
  <c r="O546" i="7"/>
  <c r="O712" i="7"/>
  <c r="O704" i="7"/>
  <c r="O694" i="7"/>
  <c r="O685" i="7"/>
  <c r="O676" i="7"/>
  <c r="O667" i="7"/>
  <c r="O658" i="7"/>
  <c r="O649" i="7"/>
  <c r="O640" i="7"/>
  <c r="O631" i="7"/>
  <c r="O622" i="7"/>
  <c r="O613" i="7"/>
  <c r="O604" i="7"/>
  <c r="O595" i="7"/>
  <c r="O586" i="7"/>
  <c r="O577" i="7"/>
  <c r="O568" i="7"/>
  <c r="O559" i="7"/>
  <c r="O550" i="7"/>
  <c r="O541" i="7"/>
  <c r="O703" i="7"/>
  <c r="O711" i="7"/>
  <c r="O698" i="7"/>
  <c r="O689" i="7"/>
  <c r="O680" i="7"/>
  <c r="O671" i="7"/>
  <c r="O662" i="7"/>
  <c r="O719" i="7"/>
  <c r="O702" i="7"/>
  <c r="O693" i="7"/>
  <c r="O684" i="7"/>
  <c r="O675" i="7"/>
  <c r="O666" i="7"/>
  <c r="O657" i="7"/>
  <c r="O648" i="7"/>
  <c r="O639" i="7"/>
  <c r="O630" i="7"/>
  <c r="O621" i="7"/>
  <c r="O710" i="7"/>
  <c r="O697" i="7"/>
  <c r="O688" i="7"/>
  <c r="O679" i="7"/>
  <c r="O670" i="7"/>
  <c r="O717" i="7"/>
  <c r="O708" i="7"/>
  <c r="O701" i="7"/>
  <c r="O692" i="7"/>
  <c r="O683" i="7"/>
  <c r="O674" i="7"/>
  <c r="O665" i="7"/>
  <c r="O716" i="7"/>
  <c r="O696" i="7"/>
  <c r="O687" i="7"/>
  <c r="O678" i="7"/>
  <c r="O669" i="7"/>
  <c r="O715" i="7"/>
  <c r="O707" i="7"/>
  <c r="O700" i="7"/>
  <c r="O691" i="7"/>
  <c r="O682" i="7"/>
  <c r="O673" i="7"/>
  <c r="O664" i="7"/>
  <c r="O655" i="7"/>
  <c r="O660" i="7"/>
  <c r="O638" i="7"/>
  <c r="O620" i="7"/>
  <c r="O570" i="7"/>
  <c r="O567" i="7"/>
  <c r="O652" i="7"/>
  <c r="O633" i="7"/>
  <c r="O611" i="7"/>
  <c r="O569" i="7"/>
  <c r="O566" i="7"/>
  <c r="O565" i="7"/>
  <c r="O563" i="7"/>
  <c r="O562" i="7"/>
  <c r="O646" i="7"/>
  <c r="O628" i="7"/>
  <c r="O615" i="7"/>
  <c r="O612" i="7"/>
  <c r="O561" i="7"/>
  <c r="O558" i="7"/>
  <c r="O644" i="7"/>
  <c r="O626" i="7"/>
  <c r="O607" i="7"/>
  <c r="O606" i="7"/>
  <c r="O605" i="7"/>
  <c r="O560" i="7"/>
  <c r="O557" i="7"/>
  <c r="O556" i="7"/>
  <c r="O554" i="7"/>
  <c r="O553" i="7"/>
  <c r="O634" i="7"/>
  <c r="O616" i="7"/>
  <c r="O552" i="7"/>
  <c r="O549" i="7"/>
  <c r="O608" i="7"/>
  <c r="O551" i="7"/>
  <c r="O548" i="7"/>
  <c r="O547" i="7"/>
  <c r="O545" i="7"/>
  <c r="O544" i="7"/>
  <c r="O656" i="7"/>
  <c r="O647" i="7"/>
  <c r="O629" i="7"/>
  <c r="O598" i="7"/>
  <c r="O597" i="7"/>
  <c r="O594" i="7"/>
  <c r="O661" i="7"/>
  <c r="O651" i="7"/>
  <c r="O642" i="7"/>
  <c r="O624" i="7"/>
  <c r="O599" i="7"/>
  <c r="O596" i="7"/>
  <c r="O593" i="7"/>
  <c r="O592" i="7"/>
  <c r="O590" i="7"/>
  <c r="O589" i="7"/>
  <c r="O543" i="7"/>
  <c r="O653" i="7"/>
  <c r="O637" i="7"/>
  <c r="O619" i="7"/>
  <c r="O588" i="7"/>
  <c r="O585" i="7"/>
  <c r="O542" i="7"/>
  <c r="O635" i="7"/>
  <c r="O617" i="7"/>
  <c r="O587" i="7"/>
  <c r="O584" i="7"/>
  <c r="O583" i="7"/>
  <c r="O581" i="7"/>
  <c r="O580" i="7"/>
  <c r="O643" i="7"/>
  <c r="O625" i="7"/>
  <c r="O601" i="7"/>
  <c r="O579" i="7"/>
  <c r="O576" i="7"/>
  <c r="O610" i="7"/>
  <c r="O603" i="7"/>
  <c r="O602" i="7"/>
  <c r="O578" i="7"/>
  <c r="O575" i="7"/>
  <c r="O574" i="7"/>
  <c r="O572" i="7"/>
  <c r="O571" i="7"/>
  <c r="N1072" i="7"/>
  <c r="N1067" i="7"/>
  <c r="N1057" i="7"/>
  <c r="N1048" i="7"/>
  <c r="N1039" i="7"/>
  <c r="N1030" i="7"/>
  <c r="N1021" i="7"/>
  <c r="N1012" i="7"/>
  <c r="N1003" i="7"/>
  <c r="N994" i="7"/>
  <c r="N1075" i="7"/>
  <c r="N1074" i="7"/>
  <c r="N1066" i="7"/>
  <c r="N1061" i="7"/>
  <c r="N1052" i="7"/>
  <c r="N1043" i="7"/>
  <c r="N1034" i="7"/>
  <c r="N1025" i="7"/>
  <c r="N1016" i="7"/>
  <c r="N1007" i="7"/>
  <c r="N998" i="7"/>
  <c r="N989" i="7"/>
  <c r="N980" i="7"/>
  <c r="N971" i="7"/>
  <c r="N962" i="7"/>
  <c r="N953" i="7"/>
  <c r="N944" i="7"/>
  <c r="N935" i="7"/>
  <c r="N926" i="7"/>
  <c r="N917" i="7"/>
  <c r="N908" i="7"/>
  <c r="N899" i="7"/>
  <c r="N1065" i="7"/>
  <c r="N1056" i="7"/>
  <c r="N1047" i="7"/>
  <c r="N1038" i="7"/>
  <c r="N1029" i="7"/>
  <c r="N1020" i="7"/>
  <c r="N1011" i="7"/>
  <c r="N1002" i="7"/>
  <c r="N993" i="7"/>
  <c r="N984" i="7"/>
  <c r="N975" i="7"/>
  <c r="N966" i="7"/>
  <c r="N957" i="7"/>
  <c r="N948" i="7"/>
  <c r="N939" i="7"/>
  <c r="N930" i="7"/>
  <c r="N921" i="7"/>
  <c r="N912" i="7"/>
  <c r="N903" i="7"/>
  <c r="N1073" i="7"/>
  <c r="N1060" i="7"/>
  <c r="N1051" i="7"/>
  <c r="N1042" i="7"/>
  <c r="N1033" i="7"/>
  <c r="N1024" i="7"/>
  <c r="N1015" i="7"/>
  <c r="N1006" i="7"/>
  <c r="N997" i="7"/>
  <c r="N988" i="7"/>
  <c r="N979" i="7"/>
  <c r="N970" i="7"/>
  <c r="N961" i="7"/>
  <c r="N952" i="7"/>
  <c r="N943" i="7"/>
  <c r="N934" i="7"/>
  <c r="N925" i="7"/>
  <c r="N916" i="7"/>
  <c r="N907" i="7"/>
  <c r="N1071" i="7"/>
  <c r="N1064" i="7"/>
  <c r="N1055" i="7"/>
  <c r="N1046" i="7"/>
  <c r="N1037" i="7"/>
  <c r="N1028" i="7"/>
  <c r="N1019" i="7"/>
  <c r="N1010" i="7"/>
  <c r="N1001" i="7"/>
  <c r="N992" i="7"/>
  <c r="N983" i="7"/>
  <c r="N974" i="7"/>
  <c r="N965" i="7"/>
  <c r="N956" i="7"/>
  <c r="N947" i="7"/>
  <c r="N938" i="7"/>
  <c r="N929" i="7"/>
  <c r="N920" i="7"/>
  <c r="N911" i="7"/>
  <c r="N1059" i="7"/>
  <c r="N1050" i="7"/>
  <c r="N1041" i="7"/>
  <c r="N1032" i="7"/>
  <c r="N1023" i="7"/>
  <c r="N1014" i="7"/>
  <c r="N1005" i="7"/>
  <c r="N996" i="7"/>
  <c r="N987" i="7"/>
  <c r="N978" i="7"/>
  <c r="N969" i="7"/>
  <c r="N960" i="7"/>
  <c r="N951" i="7"/>
  <c r="N942" i="7"/>
  <c r="N933" i="7"/>
  <c r="N924" i="7"/>
  <c r="N915" i="7"/>
  <c r="N906" i="7"/>
  <c r="N1070" i="7"/>
  <c r="N1063" i="7"/>
  <c r="N1054" i="7"/>
  <c r="N1045" i="7"/>
  <c r="N1036" i="7"/>
  <c r="N1027" i="7"/>
  <c r="N1018" i="7"/>
  <c r="N1009" i="7"/>
  <c r="N1000" i="7"/>
  <c r="N991" i="7"/>
  <c r="N982" i="7"/>
  <c r="N973" i="7"/>
  <c r="N964" i="7"/>
  <c r="N1077" i="7"/>
  <c r="N1069" i="7"/>
  <c r="N1058" i="7"/>
  <c r="N1049" i="7"/>
  <c r="N1040" i="7"/>
  <c r="N1031" i="7"/>
  <c r="N1022" i="7"/>
  <c r="N1013" i="7"/>
  <c r="N1004" i="7"/>
  <c r="N995" i="7"/>
  <c r="N986" i="7"/>
  <c r="N977" i="7"/>
  <c r="N968" i="7"/>
  <c r="N959" i="7"/>
  <c r="N950" i="7"/>
  <c r="N941" i="7"/>
  <c r="N932" i="7"/>
  <c r="N1076" i="7"/>
  <c r="N1068" i="7"/>
  <c r="N1062" i="7"/>
  <c r="N1053" i="7"/>
  <c r="N1044" i="7"/>
  <c r="N1035" i="7"/>
  <c r="N1026" i="7"/>
  <c r="N1017" i="7"/>
  <c r="N1008" i="7"/>
  <c r="N999" i="7"/>
  <c r="N990" i="7"/>
  <c r="N981" i="7"/>
  <c r="N972" i="7"/>
  <c r="N963" i="7"/>
  <c r="N954" i="7"/>
  <c r="N945" i="7"/>
  <c r="N936" i="7"/>
  <c r="N927" i="7"/>
  <c r="N918" i="7"/>
  <c r="N958" i="7"/>
  <c r="N931" i="7"/>
  <c r="N976" i="7"/>
  <c r="N955" i="7"/>
  <c r="N928" i="7"/>
  <c r="N913" i="7"/>
  <c r="N904" i="7"/>
  <c r="N900" i="7"/>
  <c r="N940" i="7"/>
  <c r="N901" i="7"/>
  <c r="N922" i="7"/>
  <c r="N905" i="7"/>
  <c r="N937" i="7"/>
  <c r="N985" i="7"/>
  <c r="N914" i="7"/>
  <c r="N949" i="7"/>
  <c r="N909" i="7"/>
  <c r="N902" i="7"/>
  <c r="N946" i="7"/>
  <c r="N919" i="7"/>
  <c r="N967" i="7"/>
  <c r="N923" i="7"/>
  <c r="N910" i="7"/>
  <c r="GK5" i="4"/>
  <c r="GJ6" i="4"/>
  <c r="GK8" i="4"/>
  <c r="GJ9" i="4"/>
  <c r="GK11" i="4"/>
  <c r="GJ12" i="4"/>
  <c r="GK14" i="4"/>
  <c r="GJ15" i="4"/>
  <c r="GK17" i="4"/>
  <c r="GJ21" i="4"/>
  <c r="GI26" i="4"/>
  <c r="GD29" i="4"/>
  <c r="GL37" i="4"/>
  <c r="GK37" i="4"/>
  <c r="GJ37" i="4"/>
  <c r="GR37" i="4"/>
  <c r="GO41" i="4"/>
  <c r="GS8" i="5"/>
  <c r="E30" i="5"/>
  <c r="GI37" i="5"/>
  <c r="GK47" i="5"/>
  <c r="GK57" i="5"/>
  <c r="Q19" i="7"/>
  <c r="S19" i="7" s="1"/>
  <c r="M19" i="10" s="1"/>
  <c r="Q21" i="7"/>
  <c r="S21" i="7" s="1"/>
  <c r="M21" i="10" s="1"/>
  <c r="P22" i="7"/>
  <c r="P24" i="7"/>
  <c r="Q27" i="7"/>
  <c r="S27" i="7" s="1"/>
  <c r="M27" i="10" s="1"/>
  <c r="Q28" i="7"/>
  <c r="S28" i="7" s="1"/>
  <c r="M28" i="10" s="1"/>
  <c r="P46" i="7"/>
  <c r="M58" i="7"/>
  <c r="M65" i="7"/>
  <c r="Q73" i="7"/>
  <c r="S73" i="7" s="1"/>
  <c r="M73" i="10" s="1"/>
  <c r="M75" i="7"/>
  <c r="P361" i="7"/>
  <c r="P358" i="7"/>
  <c r="P355" i="7"/>
  <c r="P352" i="7"/>
  <c r="P349" i="7"/>
  <c r="P346" i="7"/>
  <c r="P343" i="7"/>
  <c r="P340" i="7"/>
  <c r="P337" i="7"/>
  <c r="P334" i="7"/>
  <c r="P331" i="7"/>
  <c r="P328" i="7"/>
  <c r="P325" i="7"/>
  <c r="P322" i="7"/>
  <c r="P319" i="7"/>
  <c r="P316" i="7"/>
  <c r="P313" i="7"/>
  <c r="P310" i="7"/>
  <c r="P307" i="7"/>
  <c r="P304" i="7"/>
  <c r="P301" i="7"/>
  <c r="P296" i="7"/>
  <c r="P293" i="7"/>
  <c r="P290" i="7"/>
  <c r="P287" i="7"/>
  <c r="P284" i="7"/>
  <c r="P281" i="7"/>
  <c r="P278" i="7"/>
  <c r="P275" i="7"/>
  <c r="P272" i="7"/>
  <c r="P269" i="7"/>
  <c r="P266" i="7"/>
  <c r="P263" i="7"/>
  <c r="P260" i="7"/>
  <c r="P257" i="7"/>
  <c r="P254" i="7"/>
  <c r="P251" i="7"/>
  <c r="P248" i="7"/>
  <c r="P245" i="7"/>
  <c r="P242" i="7"/>
  <c r="P239" i="7"/>
  <c r="P236" i="7"/>
  <c r="P233" i="7"/>
  <c r="P230" i="7"/>
  <c r="P227" i="7"/>
  <c r="P224" i="7"/>
  <c r="P221" i="7"/>
  <c r="P218" i="7"/>
  <c r="P215" i="7"/>
  <c r="P212" i="7"/>
  <c r="P209" i="7"/>
  <c r="P206" i="7"/>
  <c r="P203" i="7"/>
  <c r="P200" i="7"/>
  <c r="P197" i="7"/>
  <c r="P194" i="7"/>
  <c r="P191" i="7"/>
  <c r="P188" i="7"/>
  <c r="P185" i="7"/>
  <c r="P354" i="7"/>
  <c r="P329" i="7"/>
  <c r="P312" i="7"/>
  <c r="P297" i="7"/>
  <c r="P288" i="7"/>
  <c r="P279" i="7"/>
  <c r="P270" i="7"/>
  <c r="P261" i="7"/>
  <c r="P252" i="7"/>
  <c r="P243" i="7"/>
  <c r="P234" i="7"/>
  <c r="P225" i="7"/>
  <c r="P353" i="7"/>
  <c r="P345" i="7"/>
  <c r="P320" i="7"/>
  <c r="P303" i="7"/>
  <c r="P292" i="7"/>
  <c r="P283" i="7"/>
  <c r="P274" i="7"/>
  <c r="P265" i="7"/>
  <c r="P256" i="7"/>
  <c r="P247" i="7"/>
  <c r="P238" i="7"/>
  <c r="P229" i="7"/>
  <c r="P220" i="7"/>
  <c r="P211" i="7"/>
  <c r="P202" i="7"/>
  <c r="P193" i="7"/>
  <c r="P184" i="7"/>
  <c r="P344" i="7"/>
  <c r="P336" i="7"/>
  <c r="P311" i="7"/>
  <c r="P335" i="7"/>
  <c r="P327" i="7"/>
  <c r="P302" i="7"/>
  <c r="P360" i="7"/>
  <c r="P351" i="7"/>
  <c r="P326" i="7"/>
  <c r="P318" i="7"/>
  <c r="P291" i="7"/>
  <c r="P282" i="7"/>
  <c r="P273" i="7"/>
  <c r="P264" i="7"/>
  <c r="P255" i="7"/>
  <c r="P246" i="7"/>
  <c r="P237" i="7"/>
  <c r="P228" i="7"/>
  <c r="P219" i="7"/>
  <c r="P210" i="7"/>
  <c r="P201" i="7"/>
  <c r="P192" i="7"/>
  <c r="P183" i="7"/>
  <c r="P359" i="7"/>
  <c r="P342" i="7"/>
  <c r="P317" i="7"/>
  <c r="P309" i="7"/>
  <c r="P295" i="7"/>
  <c r="P286" i="7"/>
  <c r="P277" i="7"/>
  <c r="P268" i="7"/>
  <c r="P259" i="7"/>
  <c r="P250" i="7"/>
  <c r="P350" i="7"/>
  <c r="P333" i="7"/>
  <c r="P308" i="7"/>
  <c r="P300" i="7"/>
  <c r="P357" i="7"/>
  <c r="P341" i="7"/>
  <c r="P324" i="7"/>
  <c r="P299" i="7"/>
  <c r="P348" i="7"/>
  <c r="P332" i="7"/>
  <c r="P315" i="7"/>
  <c r="P294" i="7"/>
  <c r="P285" i="7"/>
  <c r="P276" i="7"/>
  <c r="P267" i="7"/>
  <c r="P258" i="7"/>
  <c r="P249" i="7"/>
  <c r="P240" i="7"/>
  <c r="P356" i="7"/>
  <c r="P339" i="7"/>
  <c r="P323" i="7"/>
  <c r="P306" i="7"/>
  <c r="P298" i="7"/>
  <c r="P289" i="7"/>
  <c r="P280" i="7"/>
  <c r="P271" i="7"/>
  <c r="P262" i="7"/>
  <c r="P253" i="7"/>
  <c r="P347" i="7"/>
  <c r="P330" i="7"/>
  <c r="P314" i="7"/>
  <c r="P338" i="7"/>
  <c r="P321" i="7"/>
  <c r="P305" i="7"/>
  <c r="P231" i="7"/>
  <c r="P207" i="7"/>
  <c r="P214" i="7"/>
  <c r="P204" i="7"/>
  <c r="P241" i="7"/>
  <c r="P199" i="7"/>
  <c r="P190" i="7"/>
  <c r="P216" i="7"/>
  <c r="P223" i="7"/>
  <c r="P196" i="7"/>
  <c r="P213" i="7"/>
  <c r="P226" i="7"/>
  <c r="P208" i="7"/>
  <c r="P244" i="7"/>
  <c r="P232" i="7"/>
  <c r="P198" i="7"/>
  <c r="P205" i="7"/>
  <c r="P189" i="7"/>
  <c r="P186" i="7"/>
  <c r="P235" i="7"/>
  <c r="P222" i="7"/>
  <c r="P195" i="7"/>
  <c r="P217" i="7"/>
  <c r="P187" i="7"/>
  <c r="I15" i="17"/>
  <c r="R536" i="7"/>
  <c r="R527" i="7"/>
  <c r="R518" i="7"/>
  <c r="R540" i="7"/>
  <c r="R531" i="7"/>
  <c r="R522" i="7"/>
  <c r="R513" i="7"/>
  <c r="R504" i="7"/>
  <c r="R495" i="7"/>
  <c r="R486" i="7"/>
  <c r="R514" i="7"/>
  <c r="R503" i="7"/>
  <c r="R487" i="7"/>
  <c r="R479" i="7"/>
  <c r="R470" i="7"/>
  <c r="R461" i="7"/>
  <c r="R452" i="7"/>
  <c r="R443" i="7"/>
  <c r="R434" i="7"/>
  <c r="R425" i="7"/>
  <c r="R416" i="7"/>
  <c r="R511" i="7"/>
  <c r="R494" i="7"/>
  <c r="R474" i="7"/>
  <c r="R465" i="7"/>
  <c r="R456" i="7"/>
  <c r="R447" i="7"/>
  <c r="R438" i="7"/>
  <c r="R429" i="7"/>
  <c r="R420" i="7"/>
  <c r="R411" i="7"/>
  <c r="R402" i="7"/>
  <c r="R393" i="7"/>
  <c r="R384" i="7"/>
  <c r="R375" i="7"/>
  <c r="R366" i="7"/>
  <c r="R510" i="7"/>
  <c r="R502" i="7"/>
  <c r="R485" i="7"/>
  <c r="R501" i="7"/>
  <c r="R493" i="7"/>
  <c r="R478" i="7"/>
  <c r="R469" i="7"/>
  <c r="R460" i="7"/>
  <c r="R451" i="7"/>
  <c r="R442" i="7"/>
  <c r="R433" i="7"/>
  <c r="R509" i="7"/>
  <c r="R492" i="7"/>
  <c r="R484" i="7"/>
  <c r="R473" i="7"/>
  <c r="R464" i="7"/>
  <c r="R455" i="7"/>
  <c r="R446" i="7"/>
  <c r="R437" i="7"/>
  <c r="R428" i="7"/>
  <c r="R419" i="7"/>
  <c r="R410" i="7"/>
  <c r="R401" i="7"/>
  <c r="R392" i="7"/>
  <c r="R383" i="7"/>
  <c r="R374" i="7"/>
  <c r="R365" i="7"/>
  <c r="R539" i="7"/>
  <c r="R508" i="7"/>
  <c r="R500" i="7"/>
  <c r="R538" i="7"/>
  <c r="R537" i="7"/>
  <c r="R535" i="7"/>
  <c r="R534" i="7"/>
  <c r="R507" i="7"/>
  <c r="R533" i="7"/>
  <c r="R530" i="7"/>
  <c r="R498" i="7"/>
  <c r="R490" i="7"/>
  <c r="R532" i="7"/>
  <c r="R529" i="7"/>
  <c r="R528" i="7"/>
  <c r="R526" i="7"/>
  <c r="R525" i="7"/>
  <c r="R506" i="7"/>
  <c r="R489" i="7"/>
  <c r="R481" i="7"/>
  <c r="R524" i="7"/>
  <c r="R521" i="7"/>
  <c r="R497" i="7"/>
  <c r="R480" i="7"/>
  <c r="R471" i="7"/>
  <c r="R462" i="7"/>
  <c r="R453" i="7"/>
  <c r="R444" i="7"/>
  <c r="R523" i="7"/>
  <c r="R520" i="7"/>
  <c r="R519" i="7"/>
  <c r="R517" i="7"/>
  <c r="R516" i="7"/>
  <c r="R505" i="7"/>
  <c r="R488" i="7"/>
  <c r="R515" i="7"/>
  <c r="R512" i="7"/>
  <c r="R496" i="7"/>
  <c r="R475" i="7"/>
  <c r="R466" i="7"/>
  <c r="R457" i="7"/>
  <c r="R491" i="7"/>
  <c r="R459" i="7"/>
  <c r="R435" i="7"/>
  <c r="R432" i="7"/>
  <c r="R418" i="7"/>
  <c r="R376" i="7"/>
  <c r="R373" i="7"/>
  <c r="R372" i="7"/>
  <c r="R369" i="7"/>
  <c r="R424" i="7"/>
  <c r="R371" i="7"/>
  <c r="R370" i="7"/>
  <c r="R368" i="7"/>
  <c r="R482" i="7"/>
  <c r="R454" i="7"/>
  <c r="R367" i="7"/>
  <c r="R364" i="7"/>
  <c r="R363" i="7"/>
  <c r="R476" i="7"/>
  <c r="R436" i="7"/>
  <c r="R362" i="7"/>
  <c r="R468" i="7"/>
  <c r="R439" i="7"/>
  <c r="R409" i="7"/>
  <c r="R408" i="7"/>
  <c r="R405" i="7"/>
  <c r="R449" i="7"/>
  <c r="R407" i="7"/>
  <c r="R406" i="7"/>
  <c r="R404" i="7"/>
  <c r="R463" i="7"/>
  <c r="R426" i="7"/>
  <c r="R403" i="7"/>
  <c r="R400" i="7"/>
  <c r="R399" i="7"/>
  <c r="R396" i="7"/>
  <c r="R458" i="7"/>
  <c r="R445" i="7"/>
  <c r="R414" i="7"/>
  <c r="R413" i="7"/>
  <c r="R412" i="7"/>
  <c r="R398" i="7"/>
  <c r="R397" i="7"/>
  <c r="R395" i="7"/>
  <c r="R499" i="7"/>
  <c r="R477" i="7"/>
  <c r="R440" i="7"/>
  <c r="R430" i="7"/>
  <c r="R427" i="7"/>
  <c r="R421" i="7"/>
  <c r="R394" i="7"/>
  <c r="R391" i="7"/>
  <c r="R390" i="7"/>
  <c r="R387" i="7"/>
  <c r="R483" i="7"/>
  <c r="R450" i="7"/>
  <c r="R422" i="7"/>
  <c r="R415" i="7"/>
  <c r="R389" i="7"/>
  <c r="R388" i="7"/>
  <c r="R386" i="7"/>
  <c r="R472" i="7"/>
  <c r="R431" i="7"/>
  <c r="R423" i="7"/>
  <c r="R385" i="7"/>
  <c r="R382" i="7"/>
  <c r="R381" i="7"/>
  <c r="R378" i="7"/>
  <c r="R467" i="7"/>
  <c r="R448" i="7"/>
  <c r="R441" i="7"/>
  <c r="R417" i="7"/>
  <c r="R380" i="7"/>
  <c r="R379" i="7"/>
  <c r="R377" i="7"/>
  <c r="O890" i="7"/>
  <c r="O881" i="7"/>
  <c r="O894" i="7"/>
  <c r="O885" i="7"/>
  <c r="O876" i="7"/>
  <c r="O867" i="7"/>
  <c r="O858" i="7"/>
  <c r="O849" i="7"/>
  <c r="O840" i="7"/>
  <c r="O831" i="7"/>
  <c r="O822" i="7"/>
  <c r="O813" i="7"/>
  <c r="O804" i="7"/>
  <c r="O795" i="7"/>
  <c r="O786" i="7"/>
  <c r="O777" i="7"/>
  <c r="O768" i="7"/>
  <c r="O759" i="7"/>
  <c r="O898" i="7"/>
  <c r="O889" i="7"/>
  <c r="O880" i="7"/>
  <c r="O871" i="7"/>
  <c r="O862" i="7"/>
  <c r="O853" i="7"/>
  <c r="O844" i="7"/>
  <c r="O835" i="7"/>
  <c r="O826" i="7"/>
  <c r="O817" i="7"/>
  <c r="O808" i="7"/>
  <c r="O799" i="7"/>
  <c r="O790" i="7"/>
  <c r="O781" i="7"/>
  <c r="O772" i="7"/>
  <c r="O763" i="7"/>
  <c r="O754" i="7"/>
  <c r="O745" i="7"/>
  <c r="O736" i="7"/>
  <c r="O727" i="7"/>
  <c r="O892" i="7"/>
  <c r="O883" i="7"/>
  <c r="O874" i="7"/>
  <c r="O896" i="7"/>
  <c r="O882" i="7"/>
  <c r="O828" i="7"/>
  <c r="O825" i="7"/>
  <c r="O774" i="7"/>
  <c r="O771" i="7"/>
  <c r="O747" i="7"/>
  <c r="O730" i="7"/>
  <c r="O722" i="7"/>
  <c r="O893" i="7"/>
  <c r="O879" i="7"/>
  <c r="O827" i="7"/>
  <c r="O824" i="7"/>
  <c r="O823" i="7"/>
  <c r="O821" i="7"/>
  <c r="O820" i="7"/>
  <c r="O773" i="7"/>
  <c r="O770" i="7"/>
  <c r="O769" i="7"/>
  <c r="O767" i="7"/>
  <c r="O766" i="7"/>
  <c r="O738" i="7"/>
  <c r="O721" i="7"/>
  <c r="O886" i="7"/>
  <c r="O875" i="7"/>
  <c r="O819" i="7"/>
  <c r="O816" i="7"/>
  <c r="O765" i="7"/>
  <c r="O762" i="7"/>
  <c r="O746" i="7"/>
  <c r="O729" i="7"/>
  <c r="O897" i="7"/>
  <c r="O865" i="7"/>
  <c r="O818" i="7"/>
  <c r="O815" i="7"/>
  <c r="O814" i="7"/>
  <c r="O812" i="7"/>
  <c r="O811" i="7"/>
  <c r="O764" i="7"/>
  <c r="O761" i="7"/>
  <c r="O760" i="7"/>
  <c r="O758" i="7"/>
  <c r="O757" i="7"/>
  <c r="O737" i="7"/>
  <c r="O866" i="7"/>
  <c r="O864" i="7"/>
  <c r="O861" i="7"/>
  <c r="O810" i="7"/>
  <c r="O807" i="7"/>
  <c r="O756" i="7"/>
  <c r="O753" i="7"/>
  <c r="O744" i="7"/>
  <c r="O728" i="7"/>
  <c r="O720" i="7"/>
  <c r="O887" i="7"/>
  <c r="O863" i="7"/>
  <c r="O860" i="7"/>
  <c r="O859" i="7"/>
  <c r="O857" i="7"/>
  <c r="O856" i="7"/>
  <c r="O809" i="7"/>
  <c r="O806" i="7"/>
  <c r="O805" i="7"/>
  <c r="O803" i="7"/>
  <c r="O802" i="7"/>
  <c r="O755" i="7"/>
  <c r="O752" i="7"/>
  <c r="O735" i="7"/>
  <c r="O884" i="7"/>
  <c r="O868" i="7"/>
  <c r="O855" i="7"/>
  <c r="O852" i="7"/>
  <c r="O801" i="7"/>
  <c r="O798" i="7"/>
  <c r="O751" i="7"/>
  <c r="O743" i="7"/>
  <c r="O726" i="7"/>
  <c r="O891" i="7"/>
  <c r="O877" i="7"/>
  <c r="O869" i="7"/>
  <c r="O854" i="7"/>
  <c r="O851" i="7"/>
  <c r="O850" i="7"/>
  <c r="O848" i="7"/>
  <c r="O847" i="7"/>
  <c r="O800" i="7"/>
  <c r="O797" i="7"/>
  <c r="O796" i="7"/>
  <c r="O794" i="7"/>
  <c r="O793" i="7"/>
  <c r="O742" i="7"/>
  <c r="O734" i="7"/>
  <c r="O888" i="7"/>
  <c r="O870" i="7"/>
  <c r="O846" i="7"/>
  <c r="O843" i="7"/>
  <c r="O792" i="7"/>
  <c r="O789" i="7"/>
  <c r="O750" i="7"/>
  <c r="O733" i="7"/>
  <c r="O725" i="7"/>
  <c r="O895" i="7"/>
  <c r="O845" i="7"/>
  <c r="O842" i="7"/>
  <c r="O841" i="7"/>
  <c r="O839" i="7"/>
  <c r="O838" i="7"/>
  <c r="O791" i="7"/>
  <c r="O788" i="7"/>
  <c r="O787" i="7"/>
  <c r="O785" i="7"/>
  <c r="O784" i="7"/>
  <c r="O749" i="7"/>
  <c r="O741" i="7"/>
  <c r="O724" i="7"/>
  <c r="O878" i="7"/>
  <c r="O837" i="7"/>
  <c r="O834" i="7"/>
  <c r="O783" i="7"/>
  <c r="O780" i="7"/>
  <c r="O748" i="7"/>
  <c r="O740" i="7"/>
  <c r="O732" i="7"/>
  <c r="O873" i="7"/>
  <c r="O872" i="7"/>
  <c r="O836" i="7"/>
  <c r="O833" i="7"/>
  <c r="O832" i="7"/>
  <c r="O830" i="7"/>
  <c r="O829" i="7"/>
  <c r="O782" i="7"/>
  <c r="O779" i="7"/>
  <c r="O778" i="7"/>
  <c r="O776" i="7"/>
  <c r="O775" i="7"/>
  <c r="O739" i="7"/>
  <c r="O731" i="7"/>
  <c r="O723" i="7"/>
  <c r="N1252" i="7"/>
  <c r="N1243" i="7"/>
  <c r="N1234" i="7"/>
  <c r="N1225" i="7"/>
  <c r="N1256" i="7"/>
  <c r="N1247" i="7"/>
  <c r="N1240" i="7"/>
  <c r="N1223" i="7"/>
  <c r="N1212" i="7"/>
  <c r="N1203" i="7"/>
  <c r="N1194" i="7"/>
  <c r="N1185" i="7"/>
  <c r="N1176" i="7"/>
  <c r="N1167" i="7"/>
  <c r="N1158" i="7"/>
  <c r="N1239" i="7"/>
  <c r="N1231" i="7"/>
  <c r="N1238" i="7"/>
  <c r="N1230" i="7"/>
  <c r="N1222" i="7"/>
  <c r="N1216" i="7"/>
  <c r="N1207" i="7"/>
  <c r="N1198" i="7"/>
  <c r="N1189" i="7"/>
  <c r="N1180" i="7"/>
  <c r="N1171" i="7"/>
  <c r="N1162" i="7"/>
  <c r="N1153" i="7"/>
  <c r="N1144" i="7"/>
  <c r="N1135" i="7"/>
  <c r="N1126" i="7"/>
  <c r="N1117" i="7"/>
  <c r="N1108" i="7"/>
  <c r="N1099" i="7"/>
  <c r="N1090" i="7"/>
  <c r="N1081" i="7"/>
  <c r="N1255" i="7"/>
  <c r="N1254" i="7"/>
  <c r="N1251" i="7"/>
  <c r="N1229" i="7"/>
  <c r="N1221" i="7"/>
  <c r="N1211" i="7"/>
  <c r="N1202" i="7"/>
  <c r="N1193" i="7"/>
  <c r="N1184" i="7"/>
  <c r="N1175" i="7"/>
  <c r="N1166" i="7"/>
  <c r="N1157" i="7"/>
  <c r="N1148" i="7"/>
  <c r="N1139" i="7"/>
  <c r="N1130" i="7"/>
  <c r="N1121" i="7"/>
  <c r="N1112" i="7"/>
  <c r="N1103" i="7"/>
  <c r="N1094" i="7"/>
  <c r="N1253" i="7"/>
  <c r="N1250" i="7"/>
  <c r="N1237" i="7"/>
  <c r="N1220" i="7"/>
  <c r="N1215" i="7"/>
  <c r="N1206" i="7"/>
  <c r="N1197" i="7"/>
  <c r="N1188" i="7"/>
  <c r="N1179" i="7"/>
  <c r="N1170" i="7"/>
  <c r="N1161" i="7"/>
  <c r="N1152" i="7"/>
  <c r="N1249" i="7"/>
  <c r="N1248" i="7"/>
  <c r="N1246" i="7"/>
  <c r="N1245" i="7"/>
  <c r="N1236" i="7"/>
  <c r="N1228" i="7"/>
  <c r="N1244" i="7"/>
  <c r="N1227" i="7"/>
  <c r="N1219" i="7"/>
  <c r="N1210" i="7"/>
  <c r="N1201" i="7"/>
  <c r="N1192" i="7"/>
  <c r="N1183" i="7"/>
  <c r="N1174" i="7"/>
  <c r="N1165" i="7"/>
  <c r="N1156" i="7"/>
  <c r="N1147" i="7"/>
  <c r="N1138" i="7"/>
  <c r="N1235" i="7"/>
  <c r="N1214" i="7"/>
  <c r="N1205" i="7"/>
  <c r="N1196" i="7"/>
  <c r="N1187" i="7"/>
  <c r="N1178" i="7"/>
  <c r="N1169" i="7"/>
  <c r="N1160" i="7"/>
  <c r="N1151" i="7"/>
  <c r="N1142" i="7"/>
  <c r="N1133" i="7"/>
  <c r="N1242" i="7"/>
  <c r="N1226" i="7"/>
  <c r="N1218" i="7"/>
  <c r="N1209" i="7"/>
  <c r="N1200" i="7"/>
  <c r="N1191" i="7"/>
  <c r="N1233" i="7"/>
  <c r="N1241" i="7"/>
  <c r="N1224" i="7"/>
  <c r="N1213" i="7"/>
  <c r="N1204" i="7"/>
  <c r="N1195" i="7"/>
  <c r="N1186" i="7"/>
  <c r="N1177" i="7"/>
  <c r="N1168" i="7"/>
  <c r="N1159" i="7"/>
  <c r="N1150" i="7"/>
  <c r="N1232" i="7"/>
  <c r="N1217" i="7"/>
  <c r="N1208" i="7"/>
  <c r="N1199" i="7"/>
  <c r="N1190" i="7"/>
  <c r="N1181" i="7"/>
  <c r="N1172" i="7"/>
  <c r="N1163" i="7"/>
  <c r="N1137" i="7"/>
  <c r="N1096" i="7"/>
  <c r="N1095" i="7"/>
  <c r="N1093" i="7"/>
  <c r="N1092" i="7"/>
  <c r="N1083" i="7"/>
  <c r="N1091" i="7"/>
  <c r="N1173" i="7"/>
  <c r="N1155" i="7"/>
  <c r="N1143" i="7"/>
  <c r="N1082" i="7"/>
  <c r="N1089" i="7"/>
  <c r="N1129" i="7"/>
  <c r="N1128" i="7"/>
  <c r="N1125" i="7"/>
  <c r="N1080" i="7"/>
  <c r="N1182" i="7"/>
  <c r="N1131" i="7"/>
  <c r="N1127" i="7"/>
  <c r="N1124" i="7"/>
  <c r="N1088" i="7"/>
  <c r="N1149" i="7"/>
  <c r="N1132" i="7"/>
  <c r="N1123" i="7"/>
  <c r="N1122" i="7"/>
  <c r="N1120" i="7"/>
  <c r="N1119" i="7"/>
  <c r="N1116" i="7"/>
  <c r="N1079" i="7"/>
  <c r="N1145" i="7"/>
  <c r="N1134" i="7"/>
  <c r="N1118" i="7"/>
  <c r="N1115" i="7"/>
  <c r="N1087" i="7"/>
  <c r="N1146" i="7"/>
  <c r="N1140" i="7"/>
  <c r="N1114" i="7"/>
  <c r="N1113" i="7"/>
  <c r="N1111" i="7"/>
  <c r="N1110" i="7"/>
  <c r="N1107" i="7"/>
  <c r="N1086" i="7"/>
  <c r="N1154" i="7"/>
  <c r="N1109" i="7"/>
  <c r="N1106" i="7"/>
  <c r="N1085" i="7"/>
  <c r="N1078" i="7"/>
  <c r="N1141" i="7"/>
  <c r="N1105" i="7"/>
  <c r="N1104" i="7"/>
  <c r="N1102" i="7"/>
  <c r="N1101" i="7"/>
  <c r="N1098" i="7"/>
  <c r="N1164" i="7"/>
  <c r="N1136" i="7"/>
  <c r="N1100" i="7"/>
  <c r="N1097" i="7"/>
  <c r="N1084" i="7"/>
  <c r="Q1613" i="7"/>
  <c r="S1613" i="7" s="1"/>
  <c r="M897" i="11" s="1"/>
  <c r="Q1610" i="7"/>
  <c r="S1610" i="7" s="1"/>
  <c r="M894" i="11" s="1"/>
  <c r="Q1607" i="7"/>
  <c r="S1607" i="7" s="1"/>
  <c r="M891" i="11" s="1"/>
  <c r="Q1604" i="7"/>
  <c r="S1604" i="7" s="1"/>
  <c r="M888" i="11" s="1"/>
  <c r="Q1601" i="7"/>
  <c r="S1601" i="7" s="1"/>
  <c r="M885" i="11" s="1"/>
  <c r="Q1598" i="7"/>
  <c r="S1598" i="7" s="1"/>
  <c r="M882" i="11" s="1"/>
  <c r="Q1595" i="7"/>
  <c r="S1595" i="7" s="1"/>
  <c r="M879" i="11" s="1"/>
  <c r="Q1592" i="7"/>
  <c r="S1592" i="7" s="1"/>
  <c r="M876" i="11" s="1"/>
  <c r="Q1589" i="7"/>
  <c r="S1589" i="7" s="1"/>
  <c r="M873" i="11" s="1"/>
  <c r="Q1586" i="7"/>
  <c r="S1586" i="7" s="1"/>
  <c r="M870" i="11" s="1"/>
  <c r="Q1583" i="7"/>
  <c r="S1583" i="7" s="1"/>
  <c r="M867" i="11" s="1"/>
  <c r="Q1580" i="7"/>
  <c r="S1580" i="7" s="1"/>
  <c r="M864" i="11" s="1"/>
  <c r="Q1577" i="7"/>
  <c r="S1577" i="7" s="1"/>
  <c r="M861" i="11" s="1"/>
  <c r="Q1574" i="7"/>
  <c r="S1574" i="7" s="1"/>
  <c r="M858" i="11" s="1"/>
  <c r="Q1571" i="7"/>
  <c r="S1571" i="7" s="1"/>
  <c r="M855" i="11" s="1"/>
  <c r="Q1568" i="7"/>
  <c r="S1568" i="7" s="1"/>
  <c r="M852" i="11" s="1"/>
  <c r="Q1565" i="7"/>
  <c r="S1565" i="7" s="1"/>
  <c r="M849" i="11" s="1"/>
  <c r="Q1562" i="7"/>
  <c r="S1562" i="7" s="1"/>
  <c r="M846" i="11" s="1"/>
  <c r="Q1559" i="7"/>
  <c r="S1559" i="7" s="1"/>
  <c r="M843" i="11" s="1"/>
  <c r="Q1556" i="7"/>
  <c r="S1556" i="7" s="1"/>
  <c r="M840" i="11" s="1"/>
  <c r="Q1553" i="7"/>
  <c r="S1553" i="7" s="1"/>
  <c r="M837" i="11" s="1"/>
  <c r="Q1550" i="7"/>
  <c r="S1550" i="7" s="1"/>
  <c r="M834" i="11" s="1"/>
  <c r="Q1547" i="7"/>
  <c r="S1547" i="7" s="1"/>
  <c r="M831" i="11" s="1"/>
  <c r="Q1544" i="7"/>
  <c r="S1544" i="7" s="1"/>
  <c r="M828" i="11" s="1"/>
  <c r="Q1541" i="7"/>
  <c r="S1541" i="7" s="1"/>
  <c r="M825" i="11" s="1"/>
  <c r="Q1538" i="7"/>
  <c r="S1538" i="7" s="1"/>
  <c r="M822" i="11" s="1"/>
  <c r="Q1535" i="7"/>
  <c r="S1535" i="7" s="1"/>
  <c r="M819" i="11" s="1"/>
  <c r="Q1532" i="7"/>
  <c r="S1532" i="7" s="1"/>
  <c r="M816" i="11" s="1"/>
  <c r="Q1529" i="7"/>
  <c r="S1529" i="7" s="1"/>
  <c r="M813" i="11" s="1"/>
  <c r="Q1526" i="7"/>
  <c r="S1526" i="7" s="1"/>
  <c r="M810" i="11" s="1"/>
  <c r="Q1611" i="7"/>
  <c r="S1611" i="7" s="1"/>
  <c r="M895" i="11" s="1"/>
  <c r="Q1602" i="7"/>
  <c r="S1602" i="7" s="1"/>
  <c r="M886" i="11" s="1"/>
  <c r="Q1593" i="7"/>
  <c r="S1593" i="7" s="1"/>
  <c r="M877" i="11" s="1"/>
  <c r="Q1584" i="7"/>
  <c r="S1584" i="7" s="1"/>
  <c r="M868" i="11" s="1"/>
  <c r="Q1575" i="7"/>
  <c r="S1575" i="7" s="1"/>
  <c r="M859" i="11" s="1"/>
  <c r="Q1606" i="7"/>
  <c r="S1606" i="7" s="1"/>
  <c r="M890" i="11" s="1"/>
  <c r="Q1597" i="7"/>
  <c r="S1597" i="7" s="1"/>
  <c r="M881" i="11" s="1"/>
  <c r="Q1588" i="7"/>
  <c r="S1588" i="7" s="1"/>
  <c r="M872" i="11" s="1"/>
  <c r="Q1614" i="7"/>
  <c r="S1614" i="7" s="1"/>
  <c r="M898" i="11" s="1"/>
  <c r="Q1605" i="7"/>
  <c r="S1605" i="7" s="1"/>
  <c r="M889" i="11" s="1"/>
  <c r="Q1596" i="7"/>
  <c r="S1596" i="7" s="1"/>
  <c r="M880" i="11" s="1"/>
  <c r="Q1587" i="7"/>
  <c r="S1587" i="7" s="1"/>
  <c r="M871" i="11" s="1"/>
  <c r="Q1578" i="7"/>
  <c r="S1578" i="7" s="1"/>
  <c r="M862" i="11" s="1"/>
  <c r="Q1569" i="7"/>
  <c r="S1569" i="7" s="1"/>
  <c r="M853" i="11" s="1"/>
  <c r="Q1560" i="7"/>
  <c r="S1560" i="7" s="1"/>
  <c r="M844" i="11" s="1"/>
  <c r="Q1551" i="7"/>
  <c r="S1551" i="7" s="1"/>
  <c r="M835" i="11" s="1"/>
  <c r="Q1542" i="7"/>
  <c r="S1542" i="7" s="1"/>
  <c r="M826" i="11" s="1"/>
  <c r="Q1533" i="7"/>
  <c r="S1533" i="7" s="1"/>
  <c r="M817" i="11" s="1"/>
  <c r="Q1524" i="7"/>
  <c r="S1524" i="7" s="1"/>
  <c r="M808" i="11" s="1"/>
  <c r="Q1521" i="7"/>
  <c r="S1521" i="7" s="1"/>
  <c r="M805" i="11" s="1"/>
  <c r="Q1518" i="7"/>
  <c r="S1518" i="7" s="1"/>
  <c r="M802" i="11" s="1"/>
  <c r="Q1515" i="7"/>
  <c r="S1515" i="7" s="1"/>
  <c r="M799" i="11" s="1"/>
  <c r="Q1512" i="7"/>
  <c r="S1512" i="7" s="1"/>
  <c r="M796" i="11" s="1"/>
  <c r="Q1509" i="7"/>
  <c r="S1509" i="7" s="1"/>
  <c r="M793" i="11" s="1"/>
  <c r="Q1506" i="7"/>
  <c r="S1506" i="7" s="1"/>
  <c r="M790" i="11" s="1"/>
  <c r="Q1503" i="7"/>
  <c r="S1503" i="7" s="1"/>
  <c r="M787" i="11" s="1"/>
  <c r="Q1500" i="7"/>
  <c r="S1500" i="7" s="1"/>
  <c r="M784" i="11" s="1"/>
  <c r="Q1497" i="7"/>
  <c r="S1497" i="7" s="1"/>
  <c r="M781" i="11" s="1"/>
  <c r="Q1494" i="7"/>
  <c r="S1494" i="7" s="1"/>
  <c r="M778" i="11" s="1"/>
  <c r="Q1491" i="7"/>
  <c r="S1491" i="7" s="1"/>
  <c r="M775" i="11" s="1"/>
  <c r="Q1488" i="7"/>
  <c r="S1488" i="7" s="1"/>
  <c r="M772" i="11" s="1"/>
  <c r="Q1485" i="7"/>
  <c r="S1485" i="7" s="1"/>
  <c r="M769" i="11" s="1"/>
  <c r="Q1482" i="7"/>
  <c r="S1482" i="7" s="1"/>
  <c r="M766" i="11" s="1"/>
  <c r="Q1479" i="7"/>
  <c r="S1479" i="7" s="1"/>
  <c r="M763" i="11" s="1"/>
  <c r="Q1476" i="7"/>
  <c r="S1476" i="7" s="1"/>
  <c r="M760" i="11" s="1"/>
  <c r="Q1473" i="7"/>
  <c r="S1473" i="7" s="1"/>
  <c r="M757" i="11" s="1"/>
  <c r="Q1470" i="7"/>
  <c r="S1470" i="7" s="1"/>
  <c r="M754" i="11" s="1"/>
  <c r="Q1467" i="7"/>
  <c r="S1467" i="7" s="1"/>
  <c r="M751" i="11" s="1"/>
  <c r="Q1464" i="7"/>
  <c r="S1464" i="7" s="1"/>
  <c r="M748" i="11" s="1"/>
  <c r="Q1461" i="7"/>
  <c r="S1461" i="7" s="1"/>
  <c r="M745" i="11" s="1"/>
  <c r="Q1458" i="7"/>
  <c r="S1458" i="7" s="1"/>
  <c r="M742" i="11" s="1"/>
  <c r="Q1455" i="7"/>
  <c r="S1455" i="7" s="1"/>
  <c r="M739" i="11" s="1"/>
  <c r="Q1452" i="7"/>
  <c r="S1452" i="7" s="1"/>
  <c r="M736" i="11" s="1"/>
  <c r="Q1449" i="7"/>
  <c r="S1449" i="7" s="1"/>
  <c r="M733" i="11" s="1"/>
  <c r="Q1446" i="7"/>
  <c r="S1446" i="7" s="1"/>
  <c r="M730" i="11" s="1"/>
  <c r="Q1443" i="7"/>
  <c r="S1443" i="7" s="1"/>
  <c r="M727" i="11" s="1"/>
  <c r="Q1440" i="7"/>
  <c r="S1440" i="7" s="1"/>
  <c r="M724" i="11" s="1"/>
  <c r="Q1437" i="7"/>
  <c r="S1437" i="7" s="1"/>
  <c r="M721" i="11" s="1"/>
  <c r="Q1609" i="7"/>
  <c r="S1609" i="7" s="1"/>
  <c r="M893" i="11" s="1"/>
  <c r="Q1600" i="7"/>
  <c r="S1600" i="7" s="1"/>
  <c r="M884" i="11" s="1"/>
  <c r="Q1608" i="7"/>
  <c r="S1608" i="7" s="1"/>
  <c r="M892" i="11" s="1"/>
  <c r="Q1599" i="7"/>
  <c r="S1599" i="7" s="1"/>
  <c r="M883" i="11" s="1"/>
  <c r="Q1591" i="7"/>
  <c r="S1591" i="7" s="1"/>
  <c r="M875" i="11" s="1"/>
  <c r="Q1570" i="7"/>
  <c r="S1570" i="7" s="1"/>
  <c r="M854" i="11" s="1"/>
  <c r="Q1567" i="7"/>
  <c r="S1567" i="7" s="1"/>
  <c r="M851" i="11" s="1"/>
  <c r="Q1564" i="7"/>
  <c r="S1564" i="7" s="1"/>
  <c r="M848" i="11" s="1"/>
  <c r="Q1555" i="7"/>
  <c r="S1555" i="7" s="1"/>
  <c r="M839" i="11" s="1"/>
  <c r="Q1539" i="7"/>
  <c r="S1539" i="7" s="1"/>
  <c r="M823" i="11" s="1"/>
  <c r="Q1523" i="7"/>
  <c r="S1523" i="7" s="1"/>
  <c r="M807" i="11" s="1"/>
  <c r="Q1514" i="7"/>
  <c r="S1514" i="7" s="1"/>
  <c r="M798" i="11" s="1"/>
  <c r="Q1505" i="7"/>
  <c r="S1505" i="7" s="1"/>
  <c r="M789" i="11" s="1"/>
  <c r="Q1566" i="7"/>
  <c r="S1566" i="7" s="1"/>
  <c r="M850" i="11" s="1"/>
  <c r="Q1563" i="7"/>
  <c r="S1563" i="7" s="1"/>
  <c r="M847" i="11" s="1"/>
  <c r="Q1546" i="7"/>
  <c r="S1546" i="7" s="1"/>
  <c r="M830" i="11" s="1"/>
  <c r="Q1530" i="7"/>
  <c r="S1530" i="7" s="1"/>
  <c r="M814" i="11" s="1"/>
  <c r="Q1581" i="7"/>
  <c r="S1581" i="7" s="1"/>
  <c r="M865" i="11" s="1"/>
  <c r="Q1554" i="7"/>
  <c r="S1554" i="7" s="1"/>
  <c r="M838" i="11" s="1"/>
  <c r="Q1537" i="7"/>
  <c r="S1537" i="7" s="1"/>
  <c r="M821" i="11" s="1"/>
  <c r="Q1603" i="7"/>
  <c r="S1603" i="7" s="1"/>
  <c r="M887" i="11" s="1"/>
  <c r="Q1585" i="7"/>
  <c r="S1585" i="7" s="1"/>
  <c r="M869" i="11" s="1"/>
  <c r="Q1576" i="7"/>
  <c r="S1576" i="7" s="1"/>
  <c r="M860" i="11" s="1"/>
  <c r="Q1545" i="7"/>
  <c r="S1545" i="7" s="1"/>
  <c r="M829" i="11" s="1"/>
  <c r="Q1528" i="7"/>
  <c r="S1528" i="7" s="1"/>
  <c r="M812" i="11" s="1"/>
  <c r="Q1522" i="7"/>
  <c r="S1522" i="7" s="1"/>
  <c r="M806" i="11" s="1"/>
  <c r="Q1513" i="7"/>
  <c r="S1513" i="7" s="1"/>
  <c r="M797" i="11" s="1"/>
  <c r="Q1504" i="7"/>
  <c r="S1504" i="7" s="1"/>
  <c r="M788" i="11" s="1"/>
  <c r="Q1495" i="7"/>
  <c r="S1495" i="7" s="1"/>
  <c r="M779" i="11" s="1"/>
  <c r="Q1486" i="7"/>
  <c r="S1486" i="7" s="1"/>
  <c r="M770" i="11" s="1"/>
  <c r="Q1477" i="7"/>
  <c r="S1477" i="7" s="1"/>
  <c r="M761" i="11" s="1"/>
  <c r="Q1468" i="7"/>
  <c r="S1468" i="7" s="1"/>
  <c r="M752" i="11" s="1"/>
  <c r="Q1459" i="7"/>
  <c r="S1459" i="7" s="1"/>
  <c r="M743" i="11" s="1"/>
  <c r="Q1450" i="7"/>
  <c r="S1450" i="7" s="1"/>
  <c r="M734" i="11" s="1"/>
  <c r="Q1441" i="7"/>
  <c r="S1441" i="7" s="1"/>
  <c r="M725" i="11" s="1"/>
  <c r="Q1594" i="7"/>
  <c r="S1594" i="7" s="1"/>
  <c r="M878" i="11" s="1"/>
  <c r="Q1582" i="7"/>
  <c r="S1582" i="7" s="1"/>
  <c r="M866" i="11" s="1"/>
  <c r="Q1561" i="7"/>
  <c r="S1561" i="7" s="1"/>
  <c r="M845" i="11" s="1"/>
  <c r="Q1536" i="7"/>
  <c r="S1536" i="7" s="1"/>
  <c r="M820" i="11" s="1"/>
  <c r="Q1517" i="7"/>
  <c r="S1517" i="7" s="1"/>
  <c r="M801" i="11" s="1"/>
  <c r="Q1508" i="7"/>
  <c r="S1508" i="7" s="1"/>
  <c r="M792" i="11" s="1"/>
  <c r="Q1499" i="7"/>
  <c r="S1499" i="7" s="1"/>
  <c r="M783" i="11" s="1"/>
  <c r="Q1490" i="7"/>
  <c r="S1490" i="7" s="1"/>
  <c r="M774" i="11" s="1"/>
  <c r="Q1552" i="7"/>
  <c r="S1552" i="7" s="1"/>
  <c r="M836" i="11" s="1"/>
  <c r="Q1527" i="7"/>
  <c r="S1527" i="7" s="1"/>
  <c r="M811" i="11" s="1"/>
  <c r="Q1612" i="7"/>
  <c r="S1612" i="7" s="1"/>
  <c r="M896" i="11" s="1"/>
  <c r="Q1543" i="7"/>
  <c r="S1543" i="7" s="1"/>
  <c r="M827" i="11" s="1"/>
  <c r="Q1534" i="7"/>
  <c r="S1534" i="7" s="1"/>
  <c r="M818" i="11" s="1"/>
  <c r="Q1590" i="7"/>
  <c r="S1590" i="7" s="1"/>
  <c r="M874" i="11" s="1"/>
  <c r="Q1558" i="7"/>
  <c r="S1558" i="7" s="1"/>
  <c r="M842" i="11" s="1"/>
  <c r="Q1549" i="7"/>
  <c r="S1549" i="7" s="1"/>
  <c r="M833" i="11" s="1"/>
  <c r="Q1579" i="7"/>
  <c r="S1579" i="7" s="1"/>
  <c r="M863" i="11" s="1"/>
  <c r="Q1573" i="7"/>
  <c r="S1573" i="7" s="1"/>
  <c r="M857" i="11" s="1"/>
  <c r="Q1557" i="7"/>
  <c r="S1557" i="7" s="1"/>
  <c r="M841" i="11" s="1"/>
  <c r="Q1540" i="7"/>
  <c r="S1540" i="7" s="1"/>
  <c r="M824" i="11" s="1"/>
  <c r="Q1572" i="7"/>
  <c r="S1572" i="7" s="1"/>
  <c r="M856" i="11" s="1"/>
  <c r="Q1548" i="7"/>
  <c r="S1548" i="7" s="1"/>
  <c r="M832" i="11" s="1"/>
  <c r="Q1531" i="7"/>
  <c r="S1531" i="7" s="1"/>
  <c r="M815" i="11" s="1"/>
  <c r="Q1519" i="7"/>
  <c r="S1519" i="7" s="1"/>
  <c r="M803" i="11" s="1"/>
  <c r="Q1510" i="7"/>
  <c r="S1510" i="7" s="1"/>
  <c r="M794" i="11" s="1"/>
  <c r="Q1501" i="7"/>
  <c r="S1501" i="7" s="1"/>
  <c r="M785" i="11" s="1"/>
  <c r="Q1451" i="7"/>
  <c r="S1451" i="7" s="1"/>
  <c r="M735" i="11" s="1"/>
  <c r="Q1448" i="7"/>
  <c r="S1448" i="7" s="1"/>
  <c r="M732" i="11" s="1"/>
  <c r="Q1445" i="7"/>
  <c r="S1445" i="7" s="1"/>
  <c r="M729" i="11" s="1"/>
  <c r="Q1507" i="7"/>
  <c r="S1507" i="7" s="1"/>
  <c r="M791" i="11" s="1"/>
  <c r="Q1496" i="7"/>
  <c r="S1496" i="7" s="1"/>
  <c r="M780" i="11" s="1"/>
  <c r="Q1493" i="7"/>
  <c r="S1493" i="7" s="1"/>
  <c r="M777" i="11" s="1"/>
  <c r="Q1487" i="7"/>
  <c r="S1487" i="7" s="1"/>
  <c r="M771" i="11" s="1"/>
  <c r="Q1447" i="7"/>
  <c r="S1447" i="7" s="1"/>
  <c r="M731" i="11" s="1"/>
  <c r="Q1444" i="7"/>
  <c r="S1444" i="7" s="1"/>
  <c r="M728" i="11" s="1"/>
  <c r="Q1442" i="7"/>
  <c r="S1442" i="7" s="1"/>
  <c r="M726" i="11" s="1"/>
  <c r="Q1489" i="7"/>
  <c r="S1489" i="7" s="1"/>
  <c r="M773" i="11" s="1"/>
  <c r="Q1439" i="7"/>
  <c r="S1439" i="7" s="1"/>
  <c r="M723" i="11" s="1"/>
  <c r="Q1520" i="7"/>
  <c r="S1520" i="7" s="1"/>
  <c r="M804" i="11" s="1"/>
  <c r="Q1502" i="7"/>
  <c r="S1502" i="7" s="1"/>
  <c r="M786" i="11" s="1"/>
  <c r="Q1481" i="7"/>
  <c r="S1481" i="7" s="1"/>
  <c r="M765" i="11" s="1"/>
  <c r="Q1480" i="7"/>
  <c r="S1480" i="7" s="1"/>
  <c r="M764" i="11" s="1"/>
  <c r="Q1438" i="7"/>
  <c r="S1438" i="7" s="1"/>
  <c r="M722" i="11" s="1"/>
  <c r="Q1516" i="7"/>
  <c r="S1516" i="7" s="1"/>
  <c r="M800" i="11" s="1"/>
  <c r="Q1511" i="7"/>
  <c r="S1511" i="7" s="1"/>
  <c r="M795" i="11" s="1"/>
  <c r="Q1498" i="7"/>
  <c r="S1498" i="7" s="1"/>
  <c r="M782" i="11" s="1"/>
  <c r="Q1478" i="7"/>
  <c r="S1478" i="7" s="1"/>
  <c r="M762" i="11" s="1"/>
  <c r="Q1475" i="7"/>
  <c r="S1475" i="7" s="1"/>
  <c r="M759" i="11" s="1"/>
  <c r="Q1472" i="7"/>
  <c r="S1472" i="7" s="1"/>
  <c r="M756" i="11" s="1"/>
  <c r="Q1474" i="7"/>
  <c r="S1474" i="7" s="1"/>
  <c r="M758" i="11" s="1"/>
  <c r="Q1471" i="7"/>
  <c r="S1471" i="7" s="1"/>
  <c r="M755" i="11" s="1"/>
  <c r="Q1436" i="7"/>
  <c r="S1436" i="7" s="1"/>
  <c r="M720" i="11" s="1"/>
  <c r="Q1469" i="7"/>
  <c r="S1469" i="7" s="1"/>
  <c r="M753" i="11" s="1"/>
  <c r="Q1466" i="7"/>
  <c r="S1466" i="7" s="1"/>
  <c r="M750" i="11" s="1"/>
  <c r="Q1463" i="7"/>
  <c r="S1463" i="7" s="1"/>
  <c r="M747" i="11" s="1"/>
  <c r="Q1484" i="7"/>
  <c r="S1484" i="7" s="1"/>
  <c r="M768" i="11" s="1"/>
  <c r="Q1483" i="7"/>
  <c r="S1483" i="7" s="1"/>
  <c r="M767" i="11" s="1"/>
  <c r="Q1465" i="7"/>
  <c r="S1465" i="7" s="1"/>
  <c r="M749" i="11" s="1"/>
  <c r="Q1462" i="7"/>
  <c r="S1462" i="7" s="1"/>
  <c r="M746" i="11" s="1"/>
  <c r="Q1525" i="7"/>
  <c r="S1525" i="7" s="1"/>
  <c r="M809" i="11" s="1"/>
  <c r="Q1460" i="7"/>
  <c r="S1460" i="7" s="1"/>
  <c r="M744" i="11" s="1"/>
  <c r="Q1457" i="7"/>
  <c r="S1457" i="7" s="1"/>
  <c r="M741" i="11" s="1"/>
  <c r="Q1454" i="7"/>
  <c r="S1454" i="7" s="1"/>
  <c r="M738" i="11" s="1"/>
  <c r="Q1492" i="7"/>
  <c r="S1492" i="7" s="1"/>
  <c r="M776" i="11" s="1"/>
  <c r="Q1456" i="7"/>
  <c r="S1456" i="7" s="1"/>
  <c r="M740" i="11" s="1"/>
  <c r="Q1453" i="7"/>
  <c r="S1453" i="7" s="1"/>
  <c r="M737" i="11" s="1"/>
  <c r="GN7" i="4"/>
  <c r="GM7" i="4"/>
  <c r="GL7" i="4"/>
  <c r="GR7" i="4"/>
  <c r="GN10" i="4"/>
  <c r="GM10" i="4"/>
  <c r="GL10" i="4"/>
  <c r="GR10" i="4"/>
  <c r="GN13" i="4"/>
  <c r="GM13" i="4"/>
  <c r="GL13" i="4"/>
  <c r="GR13" i="4"/>
  <c r="GN16" i="4"/>
  <c r="GM16" i="4"/>
  <c r="GL16" i="4"/>
  <c r="GR16" i="4"/>
  <c r="GN22" i="4"/>
  <c r="GM22" i="4"/>
  <c r="GL22" i="4"/>
  <c r="GR22" i="4"/>
  <c r="GI41" i="4"/>
  <c r="GJ8" i="5"/>
  <c r="GR37" i="5"/>
  <c r="GQ47" i="5"/>
  <c r="O358" i="7"/>
  <c r="O349" i="7"/>
  <c r="O340" i="7"/>
  <c r="O331" i="7"/>
  <c r="O322" i="7"/>
  <c r="O313" i="7"/>
  <c r="O304" i="7"/>
  <c r="O346" i="7"/>
  <c r="O338" i="7"/>
  <c r="O321" i="7"/>
  <c r="O305" i="7"/>
  <c r="O354" i="7"/>
  <c r="O337" i="7"/>
  <c r="O329" i="7"/>
  <c r="O312" i="7"/>
  <c r="O297" i="7"/>
  <c r="O288" i="7"/>
  <c r="O279" i="7"/>
  <c r="O270" i="7"/>
  <c r="O261" i="7"/>
  <c r="O252" i="7"/>
  <c r="O243" i="7"/>
  <c r="O234" i="7"/>
  <c r="O225" i="7"/>
  <c r="O216" i="7"/>
  <c r="O207" i="7"/>
  <c r="O198" i="7"/>
  <c r="O189" i="7"/>
  <c r="O353" i="7"/>
  <c r="O345" i="7"/>
  <c r="O328" i="7"/>
  <c r="O320" i="7"/>
  <c r="O303" i="7"/>
  <c r="O292" i="7"/>
  <c r="O283" i="7"/>
  <c r="O274" i="7"/>
  <c r="O265" i="7"/>
  <c r="O256" i="7"/>
  <c r="O247" i="7"/>
  <c r="O238" i="7"/>
  <c r="O229" i="7"/>
  <c r="O220" i="7"/>
  <c r="O211" i="7"/>
  <c r="O202" i="7"/>
  <c r="O193" i="7"/>
  <c r="O184" i="7"/>
  <c r="O352" i="7"/>
  <c r="O344" i="7"/>
  <c r="O336" i="7"/>
  <c r="O319" i="7"/>
  <c r="O311" i="7"/>
  <c r="O296" i="7"/>
  <c r="O287" i="7"/>
  <c r="O278" i="7"/>
  <c r="O269" i="7"/>
  <c r="O260" i="7"/>
  <c r="O251" i="7"/>
  <c r="O242" i="7"/>
  <c r="O233" i="7"/>
  <c r="O224" i="7"/>
  <c r="O215" i="7"/>
  <c r="O206" i="7"/>
  <c r="O197" i="7"/>
  <c r="O188" i="7"/>
  <c r="O361" i="7"/>
  <c r="O343" i="7"/>
  <c r="O335" i="7"/>
  <c r="O327" i="7"/>
  <c r="O310" i="7"/>
  <c r="O302" i="7"/>
  <c r="O360" i="7"/>
  <c r="O351" i="7"/>
  <c r="O334" i="7"/>
  <c r="O326" i="7"/>
  <c r="O318" i="7"/>
  <c r="O301" i="7"/>
  <c r="O291" i="7"/>
  <c r="O282" i="7"/>
  <c r="O273" i="7"/>
  <c r="O264" i="7"/>
  <c r="O255" i="7"/>
  <c r="O359" i="7"/>
  <c r="O342" i="7"/>
  <c r="O325" i="7"/>
  <c r="O317" i="7"/>
  <c r="O309" i="7"/>
  <c r="O295" i="7"/>
  <c r="O286" i="7"/>
  <c r="O277" i="7"/>
  <c r="O268" i="7"/>
  <c r="O259" i="7"/>
  <c r="O250" i="7"/>
  <c r="O241" i="7"/>
  <c r="O232" i="7"/>
  <c r="O223" i="7"/>
  <c r="O214" i="7"/>
  <c r="O205" i="7"/>
  <c r="O196" i="7"/>
  <c r="O350" i="7"/>
  <c r="O333" i="7"/>
  <c r="O316" i="7"/>
  <c r="O308" i="7"/>
  <c r="O300" i="7"/>
  <c r="O290" i="7"/>
  <c r="O281" i="7"/>
  <c r="O272" i="7"/>
  <c r="O263" i="7"/>
  <c r="O254" i="7"/>
  <c r="O245" i="7"/>
  <c r="O236" i="7"/>
  <c r="O227" i="7"/>
  <c r="O218" i="7"/>
  <c r="O209" i="7"/>
  <c r="O200" i="7"/>
  <c r="O357" i="7"/>
  <c r="O341" i="7"/>
  <c r="O324" i="7"/>
  <c r="O307" i="7"/>
  <c r="O299" i="7"/>
  <c r="O348" i="7"/>
  <c r="O332" i="7"/>
  <c r="O315" i="7"/>
  <c r="O294" i="7"/>
  <c r="O285" i="7"/>
  <c r="O276" i="7"/>
  <c r="O267" i="7"/>
  <c r="O258" i="7"/>
  <c r="O249" i="7"/>
  <c r="O356" i="7"/>
  <c r="O339" i="7"/>
  <c r="O323" i="7"/>
  <c r="O306" i="7"/>
  <c r="O298" i="7"/>
  <c r="O289" i="7"/>
  <c r="O280" i="7"/>
  <c r="O271" i="7"/>
  <c r="O262" i="7"/>
  <c r="O253" i="7"/>
  <c r="O244" i="7"/>
  <c r="O235" i="7"/>
  <c r="O226" i="7"/>
  <c r="O217" i="7"/>
  <c r="O208" i="7"/>
  <c r="O199" i="7"/>
  <c r="O190" i="7"/>
  <c r="O355" i="7"/>
  <c r="O347" i="7"/>
  <c r="O330" i="7"/>
  <c r="O314" i="7"/>
  <c r="O293" i="7"/>
  <c r="O284" i="7"/>
  <c r="O275" i="7"/>
  <c r="O266" i="7"/>
  <c r="O257" i="7"/>
  <c r="O248" i="7"/>
  <c r="O239" i="7"/>
  <c r="O230" i="7"/>
  <c r="O221" i="7"/>
  <c r="O212" i="7"/>
  <c r="O203" i="7"/>
  <c r="O194" i="7"/>
  <c r="O185" i="7"/>
  <c r="O187" i="7"/>
  <c r="O231" i="7"/>
  <c r="O219" i="7"/>
  <c r="O237" i="7"/>
  <c r="O192" i="7"/>
  <c r="O246" i="7"/>
  <c r="O204" i="7"/>
  <c r="O201" i="7"/>
  <c r="O240" i="7"/>
  <c r="O213" i="7"/>
  <c r="O191" i="7"/>
  <c r="O183" i="7"/>
  <c r="O210" i="7"/>
  <c r="O186" i="7"/>
  <c r="O228" i="7"/>
  <c r="O222" i="7"/>
  <c r="O195" i="7"/>
  <c r="M719" i="7"/>
  <c r="M710" i="7"/>
  <c r="M716" i="7"/>
  <c r="M696" i="7"/>
  <c r="M687" i="7"/>
  <c r="M678" i="7"/>
  <c r="M669" i="7"/>
  <c r="M660" i="7"/>
  <c r="M651" i="7"/>
  <c r="M642" i="7"/>
  <c r="M633" i="7"/>
  <c r="M624" i="7"/>
  <c r="M615" i="7"/>
  <c r="M715" i="7"/>
  <c r="M707" i="7"/>
  <c r="M700" i="7"/>
  <c r="M691" i="7"/>
  <c r="M682" i="7"/>
  <c r="M673" i="7"/>
  <c r="M664" i="7"/>
  <c r="M655" i="7"/>
  <c r="M646" i="7"/>
  <c r="M637" i="7"/>
  <c r="M628" i="7"/>
  <c r="M619" i="7"/>
  <c r="M610" i="7"/>
  <c r="M714" i="7"/>
  <c r="M706" i="7"/>
  <c r="M705" i="7"/>
  <c r="M695" i="7"/>
  <c r="M686" i="7"/>
  <c r="M677" i="7"/>
  <c r="M668" i="7"/>
  <c r="M659" i="7"/>
  <c r="M650" i="7"/>
  <c r="M641" i="7"/>
  <c r="M632" i="7"/>
  <c r="M623" i="7"/>
  <c r="M614" i="7"/>
  <c r="M605" i="7"/>
  <c r="M596" i="7"/>
  <c r="M587" i="7"/>
  <c r="M578" i="7"/>
  <c r="M569" i="7"/>
  <c r="M560" i="7"/>
  <c r="M551" i="7"/>
  <c r="M542" i="7"/>
  <c r="M713" i="7"/>
  <c r="M699" i="7"/>
  <c r="M690" i="7"/>
  <c r="M681" i="7"/>
  <c r="M672" i="7"/>
  <c r="M663" i="7"/>
  <c r="M654" i="7"/>
  <c r="M645" i="7"/>
  <c r="M636" i="7"/>
  <c r="M627" i="7"/>
  <c r="M618" i="7"/>
  <c r="M609" i="7"/>
  <c r="M600" i="7"/>
  <c r="M712" i="7"/>
  <c r="M704" i="7"/>
  <c r="M694" i="7"/>
  <c r="M685" i="7"/>
  <c r="M676" i="7"/>
  <c r="M667" i="7"/>
  <c r="M703" i="7"/>
  <c r="M711" i="7"/>
  <c r="M698" i="7"/>
  <c r="M689" i="7"/>
  <c r="M680" i="7"/>
  <c r="M671" i="7"/>
  <c r="M718" i="7"/>
  <c r="M702" i="7"/>
  <c r="M693" i="7"/>
  <c r="M684" i="7"/>
  <c r="M675" i="7"/>
  <c r="M666" i="7"/>
  <c r="M657" i="7"/>
  <c r="M709" i="7"/>
  <c r="M697" i="7"/>
  <c r="M688" i="7"/>
  <c r="M679" i="7"/>
  <c r="M670" i="7"/>
  <c r="M717" i="7"/>
  <c r="M708" i="7"/>
  <c r="M701" i="7"/>
  <c r="M692" i="7"/>
  <c r="M683" i="7"/>
  <c r="M674" i="7"/>
  <c r="M665" i="7"/>
  <c r="M656" i="7"/>
  <c r="M643" i="7"/>
  <c r="M625" i="7"/>
  <c r="M601" i="7"/>
  <c r="M579" i="7"/>
  <c r="M576" i="7"/>
  <c r="M573" i="7"/>
  <c r="M604" i="7"/>
  <c r="M603" i="7"/>
  <c r="M602" i="7"/>
  <c r="M575" i="7"/>
  <c r="M574" i="7"/>
  <c r="M572" i="7"/>
  <c r="M571" i="7"/>
  <c r="M568" i="7"/>
  <c r="M652" i="7"/>
  <c r="M638" i="7"/>
  <c r="M620" i="7"/>
  <c r="M570" i="7"/>
  <c r="M567" i="7"/>
  <c r="M564" i="7"/>
  <c r="M631" i="7"/>
  <c r="M611" i="7"/>
  <c r="M566" i="7"/>
  <c r="M565" i="7"/>
  <c r="M563" i="7"/>
  <c r="M562" i="7"/>
  <c r="M559" i="7"/>
  <c r="M662" i="7"/>
  <c r="M649" i="7"/>
  <c r="M644" i="7"/>
  <c r="M626" i="7"/>
  <c r="M612" i="7"/>
  <c r="M561" i="7"/>
  <c r="M558" i="7"/>
  <c r="M555" i="7"/>
  <c r="M639" i="7"/>
  <c r="M621" i="7"/>
  <c r="M607" i="7"/>
  <c r="M606" i="7"/>
  <c r="M557" i="7"/>
  <c r="M556" i="7"/>
  <c r="M554" i="7"/>
  <c r="M553" i="7"/>
  <c r="M550" i="7"/>
  <c r="M634" i="7"/>
  <c r="M616" i="7"/>
  <c r="M613" i="7"/>
  <c r="M552" i="7"/>
  <c r="M549" i="7"/>
  <c r="M546" i="7"/>
  <c r="M608" i="7"/>
  <c r="M595" i="7"/>
  <c r="M548" i="7"/>
  <c r="M547" i="7"/>
  <c r="M545" i="7"/>
  <c r="M544" i="7"/>
  <c r="M661" i="7"/>
  <c r="M658" i="7"/>
  <c r="M647" i="7"/>
  <c r="M629" i="7"/>
  <c r="M598" i="7"/>
  <c r="M597" i="7"/>
  <c r="M594" i="7"/>
  <c r="M591" i="7"/>
  <c r="M541" i="7"/>
  <c r="M653" i="7"/>
  <c r="M640" i="7"/>
  <c r="M622" i="7"/>
  <c r="M599" i="7"/>
  <c r="M593" i="7"/>
  <c r="M592" i="7"/>
  <c r="M590" i="7"/>
  <c r="M589" i="7"/>
  <c r="M586" i="7"/>
  <c r="M543" i="7"/>
  <c r="M635" i="7"/>
  <c r="M617" i="7"/>
  <c r="M588" i="7"/>
  <c r="M585" i="7"/>
  <c r="M582" i="7"/>
  <c r="M648" i="7"/>
  <c r="M630" i="7"/>
  <c r="M584" i="7"/>
  <c r="M583" i="7"/>
  <c r="M581" i="7"/>
  <c r="M580" i="7"/>
  <c r="M577" i="7"/>
  <c r="Q1071" i="7"/>
  <c r="S1071" i="7" s="1"/>
  <c r="M355" i="11" s="1"/>
  <c r="Q1074" i="7"/>
  <c r="S1074" i="7" s="1"/>
  <c r="M358" i="11" s="1"/>
  <c r="Q1056" i="7"/>
  <c r="S1056" i="7" s="1"/>
  <c r="M340" i="11" s="1"/>
  <c r="Q1047" i="7"/>
  <c r="S1047" i="7" s="1"/>
  <c r="M331" i="11" s="1"/>
  <c r="Q1038" i="7"/>
  <c r="S1038" i="7" s="1"/>
  <c r="M322" i="11" s="1"/>
  <c r="Q1029" i="7"/>
  <c r="S1029" i="7" s="1"/>
  <c r="M313" i="11" s="1"/>
  <c r="Q1020" i="7"/>
  <c r="S1020" i="7" s="1"/>
  <c r="M304" i="11" s="1"/>
  <c r="Q1011" i="7"/>
  <c r="S1011" i="7" s="1"/>
  <c r="M295" i="11" s="1"/>
  <c r="Q1002" i="7"/>
  <c r="S1002" i="7" s="1"/>
  <c r="M286" i="11" s="1"/>
  <c r="Q993" i="7"/>
  <c r="S993" i="7" s="1"/>
  <c r="M277" i="11" s="1"/>
  <c r="Q1073" i="7"/>
  <c r="S1073" i="7" s="1"/>
  <c r="M357" i="11" s="1"/>
  <c r="Q1065" i="7"/>
  <c r="S1065" i="7" s="1"/>
  <c r="M349" i="11" s="1"/>
  <c r="Q1060" i="7"/>
  <c r="S1060" i="7" s="1"/>
  <c r="M344" i="11" s="1"/>
  <c r="Q1051" i="7"/>
  <c r="S1051" i="7" s="1"/>
  <c r="M335" i="11" s="1"/>
  <c r="Q1042" i="7"/>
  <c r="S1042" i="7" s="1"/>
  <c r="M326" i="11" s="1"/>
  <c r="Q1033" i="7"/>
  <c r="S1033" i="7" s="1"/>
  <c r="M317" i="11" s="1"/>
  <c r="Q1024" i="7"/>
  <c r="S1024" i="7" s="1"/>
  <c r="M308" i="11" s="1"/>
  <c r="Q1015" i="7"/>
  <c r="S1015" i="7" s="1"/>
  <c r="M299" i="11" s="1"/>
  <c r="Q1006" i="7"/>
  <c r="S1006" i="7" s="1"/>
  <c r="M290" i="11" s="1"/>
  <c r="Q997" i="7"/>
  <c r="S997" i="7" s="1"/>
  <c r="M281" i="11" s="1"/>
  <c r="Q988" i="7"/>
  <c r="S988" i="7" s="1"/>
  <c r="M272" i="11" s="1"/>
  <c r="Q979" i="7"/>
  <c r="S979" i="7" s="1"/>
  <c r="M263" i="11" s="1"/>
  <c r="Q970" i="7"/>
  <c r="S970" i="7" s="1"/>
  <c r="M254" i="11" s="1"/>
  <c r="Q961" i="7"/>
  <c r="S961" i="7" s="1"/>
  <c r="M245" i="11" s="1"/>
  <c r="Q952" i="7"/>
  <c r="S952" i="7" s="1"/>
  <c r="M236" i="11" s="1"/>
  <c r="Q943" i="7"/>
  <c r="S943" i="7" s="1"/>
  <c r="M227" i="11" s="1"/>
  <c r="Q934" i="7"/>
  <c r="S934" i="7" s="1"/>
  <c r="M218" i="11" s="1"/>
  <c r="Q925" i="7"/>
  <c r="S925" i="7" s="1"/>
  <c r="M209" i="11" s="1"/>
  <c r="Q916" i="7"/>
  <c r="S916" i="7" s="1"/>
  <c r="M200" i="11" s="1"/>
  <c r="Q907" i="7"/>
  <c r="S907" i="7" s="1"/>
  <c r="M191" i="11" s="1"/>
  <c r="Q1072" i="7"/>
  <c r="S1072" i="7" s="1"/>
  <c r="M356" i="11" s="1"/>
  <c r="Q1064" i="7"/>
  <c r="S1064" i="7" s="1"/>
  <c r="M348" i="11" s="1"/>
  <c r="Q1055" i="7"/>
  <c r="S1055" i="7" s="1"/>
  <c r="M339" i="11" s="1"/>
  <c r="Q1046" i="7"/>
  <c r="S1046" i="7" s="1"/>
  <c r="M330" i="11" s="1"/>
  <c r="Q1037" i="7"/>
  <c r="S1037" i="7" s="1"/>
  <c r="M321" i="11" s="1"/>
  <c r="Q1028" i="7"/>
  <c r="S1028" i="7" s="1"/>
  <c r="M312" i="11" s="1"/>
  <c r="Q1019" i="7"/>
  <c r="S1019" i="7" s="1"/>
  <c r="M303" i="11" s="1"/>
  <c r="Q1010" i="7"/>
  <c r="S1010" i="7" s="1"/>
  <c r="M294" i="11" s="1"/>
  <c r="Q1001" i="7"/>
  <c r="S1001" i="7" s="1"/>
  <c r="M285" i="11" s="1"/>
  <c r="Q992" i="7"/>
  <c r="S992" i="7" s="1"/>
  <c r="M276" i="11" s="1"/>
  <c r="Q983" i="7"/>
  <c r="S983" i="7" s="1"/>
  <c r="M267" i="11" s="1"/>
  <c r="Q974" i="7"/>
  <c r="S974" i="7" s="1"/>
  <c r="M258" i="11" s="1"/>
  <c r="Q965" i="7"/>
  <c r="S965" i="7" s="1"/>
  <c r="M249" i="11" s="1"/>
  <c r="Q956" i="7"/>
  <c r="S956" i="7" s="1"/>
  <c r="M240" i="11" s="1"/>
  <c r="Q947" i="7"/>
  <c r="S947" i="7" s="1"/>
  <c r="M231" i="11" s="1"/>
  <c r="Q938" i="7"/>
  <c r="S938" i="7" s="1"/>
  <c r="M222" i="11" s="1"/>
  <c r="Q929" i="7"/>
  <c r="S929" i="7" s="1"/>
  <c r="M213" i="11" s="1"/>
  <c r="Q920" i="7"/>
  <c r="S920" i="7" s="1"/>
  <c r="M204" i="11" s="1"/>
  <c r="Q911" i="7"/>
  <c r="S911" i="7" s="1"/>
  <c r="M195" i="11" s="1"/>
  <c r="Q902" i="7"/>
  <c r="S902" i="7" s="1"/>
  <c r="M186" i="11" s="1"/>
  <c r="Q1059" i="7"/>
  <c r="S1059" i="7" s="1"/>
  <c r="M343" i="11" s="1"/>
  <c r="Q1050" i="7"/>
  <c r="S1050" i="7" s="1"/>
  <c r="M334" i="11" s="1"/>
  <c r="Q1041" i="7"/>
  <c r="S1041" i="7" s="1"/>
  <c r="M325" i="11" s="1"/>
  <c r="Q1032" i="7"/>
  <c r="S1032" i="7" s="1"/>
  <c r="M316" i="11" s="1"/>
  <c r="Q1023" i="7"/>
  <c r="S1023" i="7" s="1"/>
  <c r="M307" i="11" s="1"/>
  <c r="Q1014" i="7"/>
  <c r="S1014" i="7" s="1"/>
  <c r="M298" i="11" s="1"/>
  <c r="Q1005" i="7"/>
  <c r="S1005" i="7" s="1"/>
  <c r="M289" i="11" s="1"/>
  <c r="Q996" i="7"/>
  <c r="S996" i="7" s="1"/>
  <c r="M280" i="11" s="1"/>
  <c r="Q987" i="7"/>
  <c r="S987" i="7" s="1"/>
  <c r="M271" i="11" s="1"/>
  <c r="Q978" i="7"/>
  <c r="S978" i="7" s="1"/>
  <c r="M262" i="11" s="1"/>
  <c r="Q969" i="7"/>
  <c r="S969" i="7" s="1"/>
  <c r="M253" i="11" s="1"/>
  <c r="Q960" i="7"/>
  <c r="S960" i="7" s="1"/>
  <c r="M244" i="11" s="1"/>
  <c r="Q951" i="7"/>
  <c r="S951" i="7" s="1"/>
  <c r="M235" i="11" s="1"/>
  <c r="Q942" i="7"/>
  <c r="S942" i="7" s="1"/>
  <c r="M226" i="11" s="1"/>
  <c r="Q933" i="7"/>
  <c r="S933" i="7" s="1"/>
  <c r="M217" i="11" s="1"/>
  <c r="Q924" i="7"/>
  <c r="S924" i="7" s="1"/>
  <c r="M208" i="11" s="1"/>
  <c r="Q915" i="7"/>
  <c r="S915" i="7" s="1"/>
  <c r="M199" i="11" s="1"/>
  <c r="Q906" i="7"/>
  <c r="S906" i="7" s="1"/>
  <c r="M190" i="11" s="1"/>
  <c r="Q1070" i="7"/>
  <c r="S1070" i="7" s="1"/>
  <c r="M354" i="11" s="1"/>
  <c r="Q1063" i="7"/>
  <c r="S1063" i="7" s="1"/>
  <c r="M347" i="11" s="1"/>
  <c r="Q1054" i="7"/>
  <c r="S1054" i="7" s="1"/>
  <c r="M338" i="11" s="1"/>
  <c r="Q1045" i="7"/>
  <c r="S1045" i="7" s="1"/>
  <c r="M329" i="11" s="1"/>
  <c r="Q1036" i="7"/>
  <c r="S1036" i="7" s="1"/>
  <c r="M320" i="11" s="1"/>
  <c r="Q1027" i="7"/>
  <c r="S1027" i="7" s="1"/>
  <c r="M311" i="11" s="1"/>
  <c r="Q1018" i="7"/>
  <c r="S1018" i="7" s="1"/>
  <c r="M302" i="11" s="1"/>
  <c r="Q1009" i="7"/>
  <c r="S1009" i="7" s="1"/>
  <c r="M293" i="11" s="1"/>
  <c r="Q1000" i="7"/>
  <c r="S1000" i="7" s="1"/>
  <c r="M284" i="11" s="1"/>
  <c r="Q991" i="7"/>
  <c r="S991" i="7" s="1"/>
  <c r="M275" i="11" s="1"/>
  <c r="Q982" i="7"/>
  <c r="S982" i="7" s="1"/>
  <c r="M266" i="11" s="1"/>
  <c r="Q973" i="7"/>
  <c r="S973" i="7" s="1"/>
  <c r="M257" i="11" s="1"/>
  <c r="Q964" i="7"/>
  <c r="S964" i="7" s="1"/>
  <c r="M248" i="11" s="1"/>
  <c r="Q955" i="7"/>
  <c r="S955" i="7" s="1"/>
  <c r="M239" i="11" s="1"/>
  <c r="Q946" i="7"/>
  <c r="S946" i="7" s="1"/>
  <c r="M230" i="11" s="1"/>
  <c r="Q937" i="7"/>
  <c r="S937" i="7" s="1"/>
  <c r="M221" i="11" s="1"/>
  <c r="Q928" i="7"/>
  <c r="S928" i="7" s="1"/>
  <c r="M212" i="11" s="1"/>
  <c r="Q919" i="7"/>
  <c r="S919" i="7" s="1"/>
  <c r="M203" i="11" s="1"/>
  <c r="Q910" i="7"/>
  <c r="S910" i="7" s="1"/>
  <c r="M194" i="11" s="1"/>
  <c r="Q1069" i="7"/>
  <c r="S1069" i="7" s="1"/>
  <c r="M353" i="11" s="1"/>
  <c r="Q1058" i="7"/>
  <c r="S1058" i="7" s="1"/>
  <c r="M342" i="11" s="1"/>
  <c r="Q1049" i="7"/>
  <c r="S1049" i="7" s="1"/>
  <c r="M333" i="11" s="1"/>
  <c r="Q1040" i="7"/>
  <c r="S1040" i="7" s="1"/>
  <c r="M324" i="11" s="1"/>
  <c r="Q1031" i="7"/>
  <c r="S1031" i="7" s="1"/>
  <c r="M315" i="11" s="1"/>
  <c r="Q1022" i="7"/>
  <c r="S1022" i="7" s="1"/>
  <c r="M306" i="11" s="1"/>
  <c r="Q1013" i="7"/>
  <c r="S1013" i="7" s="1"/>
  <c r="M297" i="11" s="1"/>
  <c r="Q1004" i="7"/>
  <c r="S1004" i="7" s="1"/>
  <c r="M288" i="11" s="1"/>
  <c r="Q995" i="7"/>
  <c r="S995" i="7" s="1"/>
  <c r="M279" i="11" s="1"/>
  <c r="Q986" i="7"/>
  <c r="S986" i="7" s="1"/>
  <c r="M270" i="11" s="1"/>
  <c r="Q977" i="7"/>
  <c r="S977" i="7" s="1"/>
  <c r="M261" i="11" s="1"/>
  <c r="Q968" i="7"/>
  <c r="S968" i="7" s="1"/>
  <c r="M252" i="11" s="1"/>
  <c r="Q959" i="7"/>
  <c r="S959" i="7" s="1"/>
  <c r="M243" i="11" s="1"/>
  <c r="Q950" i="7"/>
  <c r="S950" i="7" s="1"/>
  <c r="M234" i="11" s="1"/>
  <c r="Q941" i="7"/>
  <c r="S941" i="7" s="1"/>
  <c r="M225" i="11" s="1"/>
  <c r="Q932" i="7"/>
  <c r="S932" i="7" s="1"/>
  <c r="M216" i="11" s="1"/>
  <c r="Q923" i="7"/>
  <c r="S923" i="7" s="1"/>
  <c r="M207" i="11" s="1"/>
  <c r="Q914" i="7"/>
  <c r="S914" i="7" s="1"/>
  <c r="M198" i="11" s="1"/>
  <c r="Q905" i="7"/>
  <c r="S905" i="7" s="1"/>
  <c r="M189" i="11" s="1"/>
  <c r="Q1077" i="7"/>
  <c r="S1077" i="7" s="1"/>
  <c r="M361" i="11" s="1"/>
  <c r="Q1062" i="7"/>
  <c r="S1062" i="7" s="1"/>
  <c r="M346" i="11" s="1"/>
  <c r="Q1053" i="7"/>
  <c r="S1053" i="7" s="1"/>
  <c r="M337" i="11" s="1"/>
  <c r="Q1044" i="7"/>
  <c r="S1044" i="7" s="1"/>
  <c r="M328" i="11" s="1"/>
  <c r="Q1035" i="7"/>
  <c r="S1035" i="7" s="1"/>
  <c r="M319" i="11" s="1"/>
  <c r="Q1026" i="7"/>
  <c r="S1026" i="7" s="1"/>
  <c r="M310" i="11" s="1"/>
  <c r="Q1017" i="7"/>
  <c r="S1017" i="7" s="1"/>
  <c r="M301" i="11" s="1"/>
  <c r="Q1008" i="7"/>
  <c r="S1008" i="7" s="1"/>
  <c r="M292" i="11" s="1"/>
  <c r="Q999" i="7"/>
  <c r="S999" i="7" s="1"/>
  <c r="M283" i="11" s="1"/>
  <c r="Q990" i="7"/>
  <c r="S990" i="7" s="1"/>
  <c r="M274" i="11" s="1"/>
  <c r="Q981" i="7"/>
  <c r="S981" i="7" s="1"/>
  <c r="M265" i="11" s="1"/>
  <c r="Q972" i="7"/>
  <c r="S972" i="7" s="1"/>
  <c r="M256" i="11" s="1"/>
  <c r="Q963" i="7"/>
  <c r="S963" i="7" s="1"/>
  <c r="M247" i="11" s="1"/>
  <c r="Q1076" i="7"/>
  <c r="S1076" i="7" s="1"/>
  <c r="M360" i="11" s="1"/>
  <c r="Q1068" i="7"/>
  <c r="S1068" i="7" s="1"/>
  <c r="M352" i="11" s="1"/>
  <c r="Q1075" i="7"/>
  <c r="S1075" i="7" s="1"/>
  <c r="M359" i="11" s="1"/>
  <c r="Q1067" i="7"/>
  <c r="S1067" i="7" s="1"/>
  <c r="M351" i="11" s="1"/>
  <c r="Q1057" i="7"/>
  <c r="S1057" i="7" s="1"/>
  <c r="M341" i="11" s="1"/>
  <c r="Q1048" i="7"/>
  <c r="S1048" i="7" s="1"/>
  <c r="M332" i="11" s="1"/>
  <c r="Q1039" i="7"/>
  <c r="S1039" i="7" s="1"/>
  <c r="M323" i="11" s="1"/>
  <c r="Q1030" i="7"/>
  <c r="S1030" i="7" s="1"/>
  <c r="M314" i="11" s="1"/>
  <c r="Q1021" i="7"/>
  <c r="S1021" i="7" s="1"/>
  <c r="M305" i="11" s="1"/>
  <c r="Q1012" i="7"/>
  <c r="S1012" i="7" s="1"/>
  <c r="M296" i="11" s="1"/>
  <c r="Q1003" i="7"/>
  <c r="S1003" i="7" s="1"/>
  <c r="M287" i="11" s="1"/>
  <c r="Q994" i="7"/>
  <c r="S994" i="7" s="1"/>
  <c r="M278" i="11" s="1"/>
  <c r="Q985" i="7"/>
  <c r="S985" i="7" s="1"/>
  <c r="M269" i="11" s="1"/>
  <c r="Q976" i="7"/>
  <c r="S976" i="7" s="1"/>
  <c r="M260" i="11" s="1"/>
  <c r="Q967" i="7"/>
  <c r="S967" i="7" s="1"/>
  <c r="M251" i="11" s="1"/>
  <c r="Q958" i="7"/>
  <c r="S958" i="7" s="1"/>
  <c r="M242" i="11" s="1"/>
  <c r="Q949" i="7"/>
  <c r="S949" i="7" s="1"/>
  <c r="M233" i="11" s="1"/>
  <c r="Q940" i="7"/>
  <c r="S940" i="7" s="1"/>
  <c r="M224" i="11" s="1"/>
  <c r="Q931" i="7"/>
  <c r="S931" i="7" s="1"/>
  <c r="M215" i="11" s="1"/>
  <c r="Q1066" i="7"/>
  <c r="S1066" i="7" s="1"/>
  <c r="M350" i="11" s="1"/>
  <c r="Q1061" i="7"/>
  <c r="S1061" i="7" s="1"/>
  <c r="M345" i="11" s="1"/>
  <c r="Q1052" i="7"/>
  <c r="S1052" i="7" s="1"/>
  <c r="M336" i="11" s="1"/>
  <c r="Q1043" i="7"/>
  <c r="S1043" i="7" s="1"/>
  <c r="M327" i="11" s="1"/>
  <c r="Q1034" i="7"/>
  <c r="S1034" i="7" s="1"/>
  <c r="M318" i="11" s="1"/>
  <c r="Q1025" i="7"/>
  <c r="S1025" i="7" s="1"/>
  <c r="M309" i="11" s="1"/>
  <c r="Q1016" i="7"/>
  <c r="S1016" i="7" s="1"/>
  <c r="M300" i="11" s="1"/>
  <c r="Q1007" i="7"/>
  <c r="S1007" i="7" s="1"/>
  <c r="M291" i="11" s="1"/>
  <c r="Q998" i="7"/>
  <c r="S998" i="7" s="1"/>
  <c r="M282" i="11" s="1"/>
  <c r="Q989" i="7"/>
  <c r="S989" i="7" s="1"/>
  <c r="M273" i="11" s="1"/>
  <c r="Q980" i="7"/>
  <c r="S980" i="7" s="1"/>
  <c r="M264" i="11" s="1"/>
  <c r="Q971" i="7"/>
  <c r="S971" i="7" s="1"/>
  <c r="M255" i="11" s="1"/>
  <c r="Q962" i="7"/>
  <c r="S962" i="7" s="1"/>
  <c r="M246" i="11" s="1"/>
  <c r="Q953" i="7"/>
  <c r="S953" i="7" s="1"/>
  <c r="M237" i="11" s="1"/>
  <c r="Q944" i="7"/>
  <c r="S944" i="7" s="1"/>
  <c r="M228" i="11" s="1"/>
  <c r="Q935" i="7"/>
  <c r="S935" i="7" s="1"/>
  <c r="M219" i="11" s="1"/>
  <c r="Q926" i="7"/>
  <c r="S926" i="7" s="1"/>
  <c r="M210" i="11" s="1"/>
  <c r="Q917" i="7"/>
  <c r="S917" i="7" s="1"/>
  <c r="M201" i="11" s="1"/>
  <c r="Q948" i="7"/>
  <c r="S948" i="7" s="1"/>
  <c r="M232" i="11" s="1"/>
  <c r="Q900" i="7"/>
  <c r="S900" i="7" s="1"/>
  <c r="M184" i="11" s="1"/>
  <c r="Q913" i="7"/>
  <c r="S913" i="7" s="1"/>
  <c r="M197" i="11" s="1"/>
  <c r="Q904" i="7"/>
  <c r="S904" i="7" s="1"/>
  <c r="M188" i="11" s="1"/>
  <c r="Q966" i="7"/>
  <c r="S966" i="7" s="1"/>
  <c r="M250" i="11" s="1"/>
  <c r="Q945" i="7"/>
  <c r="S945" i="7" s="1"/>
  <c r="M229" i="11" s="1"/>
  <c r="Q908" i="7"/>
  <c r="S908" i="7" s="1"/>
  <c r="M192" i="11" s="1"/>
  <c r="Q918" i="7"/>
  <c r="S918" i="7" s="1"/>
  <c r="M202" i="11" s="1"/>
  <c r="Q901" i="7"/>
  <c r="S901" i="7" s="1"/>
  <c r="M185" i="11" s="1"/>
  <c r="Q957" i="7"/>
  <c r="S957" i="7" s="1"/>
  <c r="M241" i="11" s="1"/>
  <c r="Q930" i="7"/>
  <c r="S930" i="7" s="1"/>
  <c r="M214" i="11" s="1"/>
  <c r="Q922" i="7"/>
  <c r="S922" i="7" s="1"/>
  <c r="M206" i="11" s="1"/>
  <c r="Q975" i="7"/>
  <c r="S975" i="7" s="1"/>
  <c r="M259" i="11" s="1"/>
  <c r="Q909" i="7"/>
  <c r="S909" i="7" s="1"/>
  <c r="M193" i="11" s="1"/>
  <c r="Q954" i="7"/>
  <c r="S954" i="7" s="1"/>
  <c r="M238" i="11" s="1"/>
  <c r="Q939" i="7"/>
  <c r="S939" i="7" s="1"/>
  <c r="M223" i="11" s="1"/>
  <c r="Q927" i="7"/>
  <c r="S927" i="7" s="1"/>
  <c r="M211" i="11" s="1"/>
  <c r="Q984" i="7"/>
  <c r="S984" i="7" s="1"/>
  <c r="M268" i="11" s="1"/>
  <c r="Q912" i="7"/>
  <c r="S912" i="7" s="1"/>
  <c r="M196" i="11" s="1"/>
  <c r="Q936" i="7"/>
  <c r="S936" i="7" s="1"/>
  <c r="M220" i="11" s="1"/>
  <c r="Q921" i="7"/>
  <c r="S921" i="7" s="1"/>
  <c r="M205" i="11" s="1"/>
  <c r="Q899" i="7"/>
  <c r="S899" i="7" s="1"/>
  <c r="M183" i="11" s="1"/>
  <c r="Q903" i="7"/>
  <c r="S903" i="7" s="1"/>
  <c r="M187" i="11" s="1"/>
  <c r="P1428" i="7"/>
  <c r="P1425" i="7"/>
  <c r="P1422" i="7"/>
  <c r="P1419" i="7"/>
  <c r="P1416" i="7"/>
  <c r="P1413" i="7"/>
  <c r="P1410" i="7"/>
  <c r="P1407" i="7"/>
  <c r="P1404" i="7"/>
  <c r="P1401" i="7"/>
  <c r="P1398" i="7"/>
  <c r="P1395" i="7"/>
  <c r="P1392" i="7"/>
  <c r="P1389" i="7"/>
  <c r="P1386" i="7"/>
  <c r="P1383" i="7"/>
  <c r="P1380" i="7"/>
  <c r="P1377" i="7"/>
  <c r="P1374" i="7"/>
  <c r="P1371" i="7"/>
  <c r="P1368" i="7"/>
  <c r="P1365" i="7"/>
  <c r="P1362" i="7"/>
  <c r="P1359" i="7"/>
  <c r="P1356" i="7"/>
  <c r="P1353" i="7"/>
  <c r="P1350" i="7"/>
  <c r="P1347" i="7"/>
  <c r="P1344" i="7"/>
  <c r="P1341" i="7"/>
  <c r="P1338" i="7"/>
  <c r="P1335" i="7"/>
  <c r="P1332" i="7"/>
  <c r="P1329" i="7"/>
  <c r="P1326" i="7"/>
  <c r="P1323" i="7"/>
  <c r="P1320" i="7"/>
  <c r="P1317" i="7"/>
  <c r="P1314" i="7"/>
  <c r="P1311" i="7"/>
  <c r="P1308" i="7"/>
  <c r="P1305" i="7"/>
  <c r="P1302" i="7"/>
  <c r="P1299" i="7"/>
  <c r="P1296" i="7"/>
  <c r="P1293" i="7"/>
  <c r="P1290" i="7"/>
  <c r="P1287" i="7"/>
  <c r="P1284" i="7"/>
  <c r="P1281" i="7"/>
  <c r="P1278" i="7"/>
  <c r="P1275" i="7"/>
  <c r="P1272" i="7"/>
  <c r="P1269" i="7"/>
  <c r="P1266" i="7"/>
  <c r="P1263" i="7"/>
  <c r="P1260" i="7"/>
  <c r="P1257" i="7"/>
  <c r="P1434" i="7"/>
  <c r="P1433" i="7"/>
  <c r="P1426" i="7"/>
  <c r="P1417" i="7"/>
  <c r="P1408" i="7"/>
  <c r="P1399" i="7"/>
  <c r="P1390" i="7"/>
  <c r="P1381" i="7"/>
  <c r="P1372" i="7"/>
  <c r="P1363" i="7"/>
  <c r="P1354" i="7"/>
  <c r="P1432" i="7"/>
  <c r="P1421" i="7"/>
  <c r="P1412" i="7"/>
  <c r="P1403" i="7"/>
  <c r="P1394" i="7"/>
  <c r="P1385" i="7"/>
  <c r="P1431" i="7"/>
  <c r="P1430" i="7"/>
  <c r="P1420" i="7"/>
  <c r="P1411" i="7"/>
  <c r="P1402" i="7"/>
  <c r="P1393" i="7"/>
  <c r="P1424" i="7"/>
  <c r="P1415" i="7"/>
  <c r="P1406" i="7"/>
  <c r="P1397" i="7"/>
  <c r="P1429" i="7"/>
  <c r="P1423" i="7"/>
  <c r="P1414" i="7"/>
  <c r="P1405" i="7"/>
  <c r="P1396" i="7"/>
  <c r="P1387" i="7"/>
  <c r="P1378" i="7"/>
  <c r="P1435" i="7"/>
  <c r="P1427" i="7"/>
  <c r="P1418" i="7"/>
  <c r="P1409" i="7"/>
  <c r="P1400" i="7"/>
  <c r="P1391" i="7"/>
  <c r="P1382" i="7"/>
  <c r="P1373" i="7"/>
  <c r="P1364" i="7"/>
  <c r="P1315" i="7"/>
  <c r="P1312" i="7"/>
  <c r="P1309" i="7"/>
  <c r="P1262" i="7"/>
  <c r="P1259" i="7"/>
  <c r="P1375" i="7"/>
  <c r="P1310" i="7"/>
  <c r="P1307" i="7"/>
  <c r="P1304" i="7"/>
  <c r="P1261" i="7"/>
  <c r="P1258" i="7"/>
  <c r="P1306" i="7"/>
  <c r="P1303" i="7"/>
  <c r="P1300" i="7"/>
  <c r="P1388" i="7"/>
  <c r="P1370" i="7"/>
  <c r="P1366" i="7"/>
  <c r="P1301" i="7"/>
  <c r="P1298" i="7"/>
  <c r="P1295" i="7"/>
  <c r="P1345" i="7"/>
  <c r="P1297" i="7"/>
  <c r="P1294" i="7"/>
  <c r="P1291" i="7"/>
  <c r="P1346" i="7"/>
  <c r="P1343" i="7"/>
  <c r="P1340" i="7"/>
  <c r="P1292" i="7"/>
  <c r="P1289" i="7"/>
  <c r="P1286" i="7"/>
  <c r="P1379" i="7"/>
  <c r="P1355" i="7"/>
  <c r="P1348" i="7"/>
  <c r="P1342" i="7"/>
  <c r="P1339" i="7"/>
  <c r="P1336" i="7"/>
  <c r="P1288" i="7"/>
  <c r="P1285" i="7"/>
  <c r="P1282" i="7"/>
  <c r="P1360" i="7"/>
  <c r="P1349" i="7"/>
  <c r="P1337" i="7"/>
  <c r="P1334" i="7"/>
  <c r="P1331" i="7"/>
  <c r="P1283" i="7"/>
  <c r="P1280" i="7"/>
  <c r="P1277" i="7"/>
  <c r="P1376" i="7"/>
  <c r="P1333" i="7"/>
  <c r="P1330" i="7"/>
  <c r="P1327" i="7"/>
  <c r="P1279" i="7"/>
  <c r="P1276" i="7"/>
  <c r="P1273" i="7"/>
  <c r="P1367" i="7"/>
  <c r="P1357" i="7"/>
  <c r="P1328" i="7"/>
  <c r="P1325" i="7"/>
  <c r="P1322" i="7"/>
  <c r="P1274" i="7"/>
  <c r="P1271" i="7"/>
  <c r="P1268" i="7"/>
  <c r="P1384" i="7"/>
  <c r="P1369" i="7"/>
  <c r="P1352" i="7"/>
  <c r="P1351" i="7"/>
  <c r="P1324" i="7"/>
  <c r="P1321" i="7"/>
  <c r="P1318" i="7"/>
  <c r="P1270" i="7"/>
  <c r="P1267" i="7"/>
  <c r="P1264" i="7"/>
  <c r="P1361" i="7"/>
  <c r="P1358" i="7"/>
  <c r="P1319" i="7"/>
  <c r="P1316" i="7"/>
  <c r="P1313" i="7"/>
  <c r="P1265" i="7"/>
  <c r="I20" i="17"/>
  <c r="R1606" i="7"/>
  <c r="R1597" i="7"/>
  <c r="R1588" i="7"/>
  <c r="R1579" i="7"/>
  <c r="R1610" i="7"/>
  <c r="R1601" i="7"/>
  <c r="R1592" i="7"/>
  <c r="R1614" i="7"/>
  <c r="R1605" i="7"/>
  <c r="R1596" i="7"/>
  <c r="R1587" i="7"/>
  <c r="R1578" i="7"/>
  <c r="R1569" i="7"/>
  <c r="R1609" i="7"/>
  <c r="R1600" i="7"/>
  <c r="R1591" i="7"/>
  <c r="R1582" i="7"/>
  <c r="R1573" i="7"/>
  <c r="R1564" i="7"/>
  <c r="R1555" i="7"/>
  <c r="R1546" i="7"/>
  <c r="R1537" i="7"/>
  <c r="R1528" i="7"/>
  <c r="R1613" i="7"/>
  <c r="R1604" i="7"/>
  <c r="R1595" i="7"/>
  <c r="R1608" i="7"/>
  <c r="R1599" i="7"/>
  <c r="R1590" i="7"/>
  <c r="R1581" i="7"/>
  <c r="R1612" i="7"/>
  <c r="R1603" i="7"/>
  <c r="R1584" i="7"/>
  <c r="R1580" i="7"/>
  <c r="R1574" i="7"/>
  <c r="R1566" i="7"/>
  <c r="R1563" i="7"/>
  <c r="R1547" i="7"/>
  <c r="R1530" i="7"/>
  <c r="R1607" i="7"/>
  <c r="R1575" i="7"/>
  <c r="R1565" i="7"/>
  <c r="R1554" i="7"/>
  <c r="R1538" i="7"/>
  <c r="R1518" i="7"/>
  <c r="R1509" i="7"/>
  <c r="R1500" i="7"/>
  <c r="R1491" i="7"/>
  <c r="R1482" i="7"/>
  <c r="R1585" i="7"/>
  <c r="R1576" i="7"/>
  <c r="R1562" i="7"/>
  <c r="R1545" i="7"/>
  <c r="R1529" i="7"/>
  <c r="R1522" i="7"/>
  <c r="R1513" i="7"/>
  <c r="R1504" i="7"/>
  <c r="R1495" i="7"/>
  <c r="R1486" i="7"/>
  <c r="R1477" i="7"/>
  <c r="R1468" i="7"/>
  <c r="R1459" i="7"/>
  <c r="R1450" i="7"/>
  <c r="R1441" i="7"/>
  <c r="R1594" i="7"/>
  <c r="R1561" i="7"/>
  <c r="R1553" i="7"/>
  <c r="R1536" i="7"/>
  <c r="R1517" i="7"/>
  <c r="R1508" i="7"/>
  <c r="R1499" i="7"/>
  <c r="R1490" i="7"/>
  <c r="R1481" i="7"/>
  <c r="R1472" i="7"/>
  <c r="R1463" i="7"/>
  <c r="R1454" i="7"/>
  <c r="R1445" i="7"/>
  <c r="R1552" i="7"/>
  <c r="R1544" i="7"/>
  <c r="R1527" i="7"/>
  <c r="R1589" i="7"/>
  <c r="R1577" i="7"/>
  <c r="R1560" i="7"/>
  <c r="R1543" i="7"/>
  <c r="R1535" i="7"/>
  <c r="R1521" i="7"/>
  <c r="R1586" i="7"/>
  <c r="R1559" i="7"/>
  <c r="R1551" i="7"/>
  <c r="R1534" i="7"/>
  <c r="R1526" i="7"/>
  <c r="R1516" i="7"/>
  <c r="R1507" i="7"/>
  <c r="R1498" i="7"/>
  <c r="R1558" i="7"/>
  <c r="R1550" i="7"/>
  <c r="R1542" i="7"/>
  <c r="R1602" i="7"/>
  <c r="R1583" i="7"/>
  <c r="R1557" i="7"/>
  <c r="R1598" i="7"/>
  <c r="R1572" i="7"/>
  <c r="R1548" i="7"/>
  <c r="R1531" i="7"/>
  <c r="R1519" i="7"/>
  <c r="R1510" i="7"/>
  <c r="R1611" i="7"/>
  <c r="R1593" i="7"/>
  <c r="R1571" i="7"/>
  <c r="R1570" i="7"/>
  <c r="R1568" i="7"/>
  <c r="R1567" i="7"/>
  <c r="R1556" i="7"/>
  <c r="R1539" i="7"/>
  <c r="R1523" i="7"/>
  <c r="R1514" i="7"/>
  <c r="R1505" i="7"/>
  <c r="R1512" i="7"/>
  <c r="R1496" i="7"/>
  <c r="R1493" i="7"/>
  <c r="R1487" i="7"/>
  <c r="R1447" i="7"/>
  <c r="R1444" i="7"/>
  <c r="R1532" i="7"/>
  <c r="R1488" i="7"/>
  <c r="R1446" i="7"/>
  <c r="R1443" i="7"/>
  <c r="R1442" i="7"/>
  <c r="R1440" i="7"/>
  <c r="R1549" i="7"/>
  <c r="R1524" i="7"/>
  <c r="R1489" i="7"/>
  <c r="R1439" i="7"/>
  <c r="R1520" i="7"/>
  <c r="R1502" i="7"/>
  <c r="R1497" i="7"/>
  <c r="R1541" i="7"/>
  <c r="R1494" i="7"/>
  <c r="R1480" i="7"/>
  <c r="R1438" i="7"/>
  <c r="R1511" i="7"/>
  <c r="R1479" i="7"/>
  <c r="R1478" i="7"/>
  <c r="R1476" i="7"/>
  <c r="R1475" i="7"/>
  <c r="R1474" i="7"/>
  <c r="R1471" i="7"/>
  <c r="R1437" i="7"/>
  <c r="R1436" i="7"/>
  <c r="R1540" i="7"/>
  <c r="R1506" i="7"/>
  <c r="R1473" i="7"/>
  <c r="R1470" i="7"/>
  <c r="R1469" i="7"/>
  <c r="R1467" i="7"/>
  <c r="R1466" i="7"/>
  <c r="R1484" i="7"/>
  <c r="R1483" i="7"/>
  <c r="R1465" i="7"/>
  <c r="R1462" i="7"/>
  <c r="R1525" i="7"/>
  <c r="R1503" i="7"/>
  <c r="R1485" i="7"/>
  <c r="R1464" i="7"/>
  <c r="R1461" i="7"/>
  <c r="R1460" i="7"/>
  <c r="R1458" i="7"/>
  <c r="R1457" i="7"/>
  <c r="R1533" i="7"/>
  <c r="R1492" i="7"/>
  <c r="R1456" i="7"/>
  <c r="R1453" i="7"/>
  <c r="R1515" i="7"/>
  <c r="R1501" i="7"/>
  <c r="R1455" i="7"/>
  <c r="R1452" i="7"/>
  <c r="R1451" i="7"/>
  <c r="R1449" i="7"/>
  <c r="R1448" i="7"/>
  <c r="GF5" i="4"/>
  <c r="GH6" i="4"/>
  <c r="GG7" i="4"/>
  <c r="GF8" i="4"/>
  <c r="GH9" i="4"/>
  <c r="GG10" i="4"/>
  <c r="GF11" i="4"/>
  <c r="GH12" i="4"/>
  <c r="GG13" i="4"/>
  <c r="GF14" i="4"/>
  <c r="GH15" i="4"/>
  <c r="GG16" i="4"/>
  <c r="GF17" i="4"/>
  <c r="GH21" i="4"/>
  <c r="GG22" i="4"/>
  <c r="GD26" i="4"/>
  <c r="GL28" i="4"/>
  <c r="GK28" i="4"/>
  <c r="GJ28" i="4"/>
  <c r="GR28" i="4"/>
  <c r="GM41" i="4"/>
  <c r="GN8" i="5"/>
  <c r="GV37" i="5"/>
  <c r="GI57" i="5"/>
  <c r="K24" i="3"/>
  <c r="E40" i="5"/>
  <c r="K42" i="5" s="1"/>
  <c r="M176" i="7"/>
  <c r="M167" i="7"/>
  <c r="M158" i="7"/>
  <c r="M149" i="7"/>
  <c r="M140" i="7"/>
  <c r="M131" i="7"/>
  <c r="M122" i="7"/>
  <c r="M113" i="7"/>
  <c r="M180" i="7"/>
  <c r="M171" i="7"/>
  <c r="M162" i="7"/>
  <c r="M153" i="7"/>
  <c r="M144" i="7"/>
  <c r="M135" i="7"/>
  <c r="M126" i="7"/>
  <c r="M117" i="7"/>
  <c r="M108" i="7"/>
  <c r="M99" i="7"/>
  <c r="M90" i="7"/>
  <c r="M81" i="7"/>
  <c r="M175" i="7"/>
  <c r="M166" i="7"/>
  <c r="M157" i="7"/>
  <c r="M148" i="7"/>
  <c r="M139" i="7"/>
  <c r="M130" i="7"/>
  <c r="M121" i="7"/>
  <c r="M177" i="7"/>
  <c r="M168" i="7"/>
  <c r="M159" i="7"/>
  <c r="M165" i="7"/>
  <c r="M154" i="7"/>
  <c r="M134" i="7"/>
  <c r="M128" i="7"/>
  <c r="M178" i="7"/>
  <c r="M160" i="7"/>
  <c r="M103" i="7"/>
  <c r="M72" i="7"/>
  <c r="M63" i="7"/>
  <c r="M173" i="7"/>
  <c r="M150" i="7"/>
  <c r="M129" i="7"/>
  <c r="M123" i="7"/>
  <c r="M107" i="7"/>
  <c r="M106" i="7"/>
  <c r="M105" i="7"/>
  <c r="M104" i="7"/>
  <c r="M102" i="7"/>
  <c r="M101" i="7"/>
  <c r="M98" i="7"/>
  <c r="M181" i="7"/>
  <c r="M163" i="7"/>
  <c r="M155" i="7"/>
  <c r="M151" i="7"/>
  <c r="M145" i="7"/>
  <c r="M124" i="7"/>
  <c r="M118" i="7"/>
  <c r="M100" i="7"/>
  <c r="M97" i="7"/>
  <c r="M94" i="7"/>
  <c r="M71" i="7"/>
  <c r="M70" i="7"/>
  <c r="M62" i="7"/>
  <c r="M61" i="7"/>
  <c r="M53" i="7"/>
  <c r="M52" i="7"/>
  <c r="M44" i="7"/>
  <c r="M35" i="7"/>
  <c r="M27" i="7"/>
  <c r="M24" i="7"/>
  <c r="M21" i="7"/>
  <c r="M18" i="7"/>
  <c r="M15" i="7"/>
  <c r="M12" i="7"/>
  <c r="M9" i="7"/>
  <c r="M6" i="7"/>
  <c r="M60" i="7"/>
  <c r="M34" i="7"/>
  <c r="M179" i="7"/>
  <c r="M161" i="7"/>
  <c r="M152" i="7"/>
  <c r="M146" i="7"/>
  <c r="M125" i="7"/>
  <c r="M119" i="7"/>
  <c r="M96" i="7"/>
  <c r="M95" i="7"/>
  <c r="M93" i="7"/>
  <c r="M92" i="7"/>
  <c r="M89" i="7"/>
  <c r="M39" i="7"/>
  <c r="M30" i="7"/>
  <c r="M91" i="7"/>
  <c r="M88" i="7"/>
  <c r="M85" i="7"/>
  <c r="M51" i="7"/>
  <c r="M69" i="7"/>
  <c r="M43" i="7"/>
  <c r="M174" i="7"/>
  <c r="M156" i="7"/>
  <c r="M147" i="7"/>
  <c r="M141" i="7"/>
  <c r="M120" i="7"/>
  <c r="M110" i="7"/>
  <c r="M109" i="7"/>
  <c r="M169" i="7"/>
  <c r="M142" i="7"/>
  <c r="M136" i="7"/>
  <c r="M112" i="7"/>
  <c r="M111" i="7"/>
  <c r="M182" i="7"/>
  <c r="M164" i="7"/>
  <c r="M143" i="7"/>
  <c r="M137" i="7"/>
  <c r="M172" i="7"/>
  <c r="M170" i="7"/>
  <c r="M138" i="7"/>
  <c r="M132" i="7"/>
  <c r="M133" i="7"/>
  <c r="M127" i="7"/>
  <c r="M116" i="7"/>
  <c r="M115" i="7"/>
  <c r="M114" i="7"/>
  <c r="P538" i="7"/>
  <c r="P535" i="7"/>
  <c r="P532" i="7"/>
  <c r="P529" i="7"/>
  <c r="P526" i="7"/>
  <c r="P523" i="7"/>
  <c r="P520" i="7"/>
  <c r="P517" i="7"/>
  <c r="P514" i="7"/>
  <c r="P511" i="7"/>
  <c r="P508" i="7"/>
  <c r="P505" i="7"/>
  <c r="P502" i="7"/>
  <c r="P499" i="7"/>
  <c r="P496" i="7"/>
  <c r="P493" i="7"/>
  <c r="P490" i="7"/>
  <c r="P487" i="7"/>
  <c r="P484" i="7"/>
  <c r="P481" i="7"/>
  <c r="P478" i="7"/>
  <c r="P475" i="7"/>
  <c r="P472" i="7"/>
  <c r="P469" i="7"/>
  <c r="P466" i="7"/>
  <c r="P463" i="7"/>
  <c r="P460" i="7"/>
  <c r="P457" i="7"/>
  <c r="P454" i="7"/>
  <c r="P451" i="7"/>
  <c r="P448" i="7"/>
  <c r="P445" i="7"/>
  <c r="P442" i="7"/>
  <c r="P439" i="7"/>
  <c r="P436" i="7"/>
  <c r="P433" i="7"/>
  <c r="P430" i="7"/>
  <c r="P427" i="7"/>
  <c r="P424" i="7"/>
  <c r="P421" i="7"/>
  <c r="P418" i="7"/>
  <c r="P415" i="7"/>
  <c r="P412" i="7"/>
  <c r="P409" i="7"/>
  <c r="P406" i="7"/>
  <c r="P403" i="7"/>
  <c r="P400" i="7"/>
  <c r="P397" i="7"/>
  <c r="P394" i="7"/>
  <c r="P391" i="7"/>
  <c r="P388" i="7"/>
  <c r="P385" i="7"/>
  <c r="P382" i="7"/>
  <c r="P379" i="7"/>
  <c r="P376" i="7"/>
  <c r="P373" i="7"/>
  <c r="P370" i="7"/>
  <c r="P367" i="7"/>
  <c r="P364" i="7"/>
  <c r="P519" i="7"/>
  <c r="P516" i="7"/>
  <c r="P513" i="7"/>
  <c r="P504" i="7"/>
  <c r="P488" i="7"/>
  <c r="P515" i="7"/>
  <c r="P512" i="7"/>
  <c r="P495" i="7"/>
  <c r="P503" i="7"/>
  <c r="P486" i="7"/>
  <c r="P479" i="7"/>
  <c r="P470" i="7"/>
  <c r="P461" i="7"/>
  <c r="P452" i="7"/>
  <c r="P443" i="7"/>
  <c r="P434" i="7"/>
  <c r="P425" i="7"/>
  <c r="P494" i="7"/>
  <c r="P474" i="7"/>
  <c r="P465" i="7"/>
  <c r="P456" i="7"/>
  <c r="P447" i="7"/>
  <c r="P438" i="7"/>
  <c r="P429" i="7"/>
  <c r="P510" i="7"/>
  <c r="P485" i="7"/>
  <c r="P509" i="7"/>
  <c r="P501" i="7"/>
  <c r="P540" i="7"/>
  <c r="P539" i="7"/>
  <c r="P536" i="7"/>
  <c r="P491" i="7"/>
  <c r="P537" i="7"/>
  <c r="P534" i="7"/>
  <c r="P531" i="7"/>
  <c r="P507" i="7"/>
  <c r="P482" i="7"/>
  <c r="P533" i="7"/>
  <c r="P530" i="7"/>
  <c r="P527" i="7"/>
  <c r="P498" i="7"/>
  <c r="P528" i="7"/>
  <c r="P525" i="7"/>
  <c r="P522" i="7"/>
  <c r="P506" i="7"/>
  <c r="P489" i="7"/>
  <c r="P476" i="7"/>
  <c r="P467" i="7"/>
  <c r="P458" i="7"/>
  <c r="P449" i="7"/>
  <c r="P524" i="7"/>
  <c r="P521" i="7"/>
  <c r="P518" i="7"/>
  <c r="P497" i="7"/>
  <c r="P480" i="7"/>
  <c r="P471" i="7"/>
  <c r="P462" i="7"/>
  <c r="P453" i="7"/>
  <c r="P446" i="7"/>
  <c r="P431" i="7"/>
  <c r="P428" i="7"/>
  <c r="P423" i="7"/>
  <c r="P381" i="7"/>
  <c r="P380" i="7"/>
  <c r="P378" i="7"/>
  <c r="P464" i="7"/>
  <c r="P441" i="7"/>
  <c r="P417" i="7"/>
  <c r="P377" i="7"/>
  <c r="P375" i="7"/>
  <c r="P374" i="7"/>
  <c r="P459" i="7"/>
  <c r="P435" i="7"/>
  <c r="P432" i="7"/>
  <c r="P372" i="7"/>
  <c r="P371" i="7"/>
  <c r="P369" i="7"/>
  <c r="P419" i="7"/>
  <c r="P368" i="7"/>
  <c r="P366" i="7"/>
  <c r="P365" i="7"/>
  <c r="P444" i="7"/>
  <c r="P363" i="7"/>
  <c r="P362" i="7"/>
  <c r="P473" i="7"/>
  <c r="P420" i="7"/>
  <c r="P410" i="7"/>
  <c r="P468" i="7"/>
  <c r="P411" i="7"/>
  <c r="P408" i="7"/>
  <c r="P407" i="7"/>
  <c r="P405" i="7"/>
  <c r="P500" i="7"/>
  <c r="P437" i="7"/>
  <c r="P404" i="7"/>
  <c r="P402" i="7"/>
  <c r="P401" i="7"/>
  <c r="P426" i="7"/>
  <c r="P399" i="7"/>
  <c r="P398" i="7"/>
  <c r="P396" i="7"/>
  <c r="P455" i="7"/>
  <c r="P440" i="7"/>
  <c r="P414" i="7"/>
  <c r="P413" i="7"/>
  <c r="P395" i="7"/>
  <c r="P393" i="7"/>
  <c r="P392" i="7"/>
  <c r="P492" i="7"/>
  <c r="P477" i="7"/>
  <c r="P390" i="7"/>
  <c r="P389" i="7"/>
  <c r="P387" i="7"/>
  <c r="P483" i="7"/>
  <c r="P450" i="7"/>
  <c r="P422" i="7"/>
  <c r="P416" i="7"/>
  <c r="P386" i="7"/>
  <c r="P384" i="7"/>
  <c r="P383" i="7"/>
  <c r="I16" i="17"/>
  <c r="R717" i="7"/>
  <c r="R708" i="7"/>
  <c r="R713" i="7"/>
  <c r="R712" i="7"/>
  <c r="R704" i="7"/>
  <c r="R694" i="7"/>
  <c r="R685" i="7"/>
  <c r="R676" i="7"/>
  <c r="R667" i="7"/>
  <c r="R658" i="7"/>
  <c r="R649" i="7"/>
  <c r="R640" i="7"/>
  <c r="R631" i="7"/>
  <c r="R622" i="7"/>
  <c r="R613" i="7"/>
  <c r="R711" i="7"/>
  <c r="R703" i="7"/>
  <c r="R698" i="7"/>
  <c r="R689" i="7"/>
  <c r="R680" i="7"/>
  <c r="R671" i="7"/>
  <c r="R662" i="7"/>
  <c r="R653" i="7"/>
  <c r="R644" i="7"/>
  <c r="R635" i="7"/>
  <c r="R626" i="7"/>
  <c r="R617" i="7"/>
  <c r="R608" i="7"/>
  <c r="R599" i="7"/>
  <c r="R590" i="7"/>
  <c r="R581" i="7"/>
  <c r="R572" i="7"/>
  <c r="R563" i="7"/>
  <c r="R554" i="7"/>
  <c r="R545" i="7"/>
  <c r="R719" i="7"/>
  <c r="R702" i="7"/>
  <c r="R693" i="7"/>
  <c r="R684" i="7"/>
  <c r="R675" i="7"/>
  <c r="R666" i="7"/>
  <c r="R657" i="7"/>
  <c r="R648" i="7"/>
  <c r="R639" i="7"/>
  <c r="R630" i="7"/>
  <c r="R621" i="7"/>
  <c r="R612" i="7"/>
  <c r="R603" i="7"/>
  <c r="R594" i="7"/>
  <c r="R585" i="7"/>
  <c r="R576" i="7"/>
  <c r="R567" i="7"/>
  <c r="R558" i="7"/>
  <c r="R549" i="7"/>
  <c r="R710" i="7"/>
  <c r="R718" i="7"/>
  <c r="R697" i="7"/>
  <c r="R688" i="7"/>
  <c r="R679" i="7"/>
  <c r="R670" i="7"/>
  <c r="R661" i="7"/>
  <c r="R709" i="7"/>
  <c r="R701" i="7"/>
  <c r="R692" i="7"/>
  <c r="R683" i="7"/>
  <c r="R674" i="7"/>
  <c r="R665" i="7"/>
  <c r="R656" i="7"/>
  <c r="R647" i="7"/>
  <c r="R638" i="7"/>
  <c r="R629" i="7"/>
  <c r="R620" i="7"/>
  <c r="R716" i="7"/>
  <c r="R696" i="7"/>
  <c r="R687" i="7"/>
  <c r="R678" i="7"/>
  <c r="R669" i="7"/>
  <c r="R707" i="7"/>
  <c r="R715" i="7"/>
  <c r="R700" i="7"/>
  <c r="R691" i="7"/>
  <c r="R682" i="7"/>
  <c r="R673" i="7"/>
  <c r="R664" i="7"/>
  <c r="R714" i="7"/>
  <c r="R706" i="7"/>
  <c r="R695" i="7"/>
  <c r="R686" i="7"/>
  <c r="R677" i="7"/>
  <c r="R668" i="7"/>
  <c r="R705" i="7"/>
  <c r="R699" i="7"/>
  <c r="R690" i="7"/>
  <c r="R681" i="7"/>
  <c r="R672" i="7"/>
  <c r="R663" i="7"/>
  <c r="R654" i="7"/>
  <c r="R652" i="7"/>
  <c r="R646" i="7"/>
  <c r="R628" i="7"/>
  <c r="R606" i="7"/>
  <c r="R605" i="7"/>
  <c r="R604" i="7"/>
  <c r="R560" i="7"/>
  <c r="R557" i="7"/>
  <c r="R641" i="7"/>
  <c r="R623" i="7"/>
  <c r="R607" i="7"/>
  <c r="R559" i="7"/>
  <c r="R556" i="7"/>
  <c r="R555" i="7"/>
  <c r="R553" i="7"/>
  <c r="R552" i="7"/>
  <c r="R636" i="7"/>
  <c r="R618" i="7"/>
  <c r="R551" i="7"/>
  <c r="R548" i="7"/>
  <c r="R659" i="7"/>
  <c r="R634" i="7"/>
  <c r="R616" i="7"/>
  <c r="R597" i="7"/>
  <c r="R550" i="7"/>
  <c r="R547" i="7"/>
  <c r="R546" i="7"/>
  <c r="R544" i="7"/>
  <c r="R642" i="7"/>
  <c r="R624" i="7"/>
  <c r="R598" i="7"/>
  <c r="R596" i="7"/>
  <c r="R593" i="7"/>
  <c r="R543" i="7"/>
  <c r="R651" i="7"/>
  <c r="R595" i="7"/>
  <c r="R592" i="7"/>
  <c r="R591" i="7"/>
  <c r="R589" i="7"/>
  <c r="R588" i="7"/>
  <c r="R542" i="7"/>
  <c r="R637" i="7"/>
  <c r="R619" i="7"/>
  <c r="R587" i="7"/>
  <c r="R584" i="7"/>
  <c r="R541" i="7"/>
  <c r="R632" i="7"/>
  <c r="R609" i="7"/>
  <c r="R600" i="7"/>
  <c r="R586" i="7"/>
  <c r="R583" i="7"/>
  <c r="R582" i="7"/>
  <c r="R580" i="7"/>
  <c r="R579" i="7"/>
  <c r="R645" i="7"/>
  <c r="R627" i="7"/>
  <c r="R602" i="7"/>
  <c r="R601" i="7"/>
  <c r="R578" i="7"/>
  <c r="R575" i="7"/>
  <c r="R643" i="7"/>
  <c r="R625" i="7"/>
  <c r="R614" i="7"/>
  <c r="R610" i="7"/>
  <c r="R577" i="7"/>
  <c r="R574" i="7"/>
  <c r="R573" i="7"/>
  <c r="R571" i="7"/>
  <c r="R570" i="7"/>
  <c r="R660" i="7"/>
  <c r="R655" i="7"/>
  <c r="R633" i="7"/>
  <c r="R611" i="7"/>
  <c r="R569" i="7"/>
  <c r="R566" i="7"/>
  <c r="R650" i="7"/>
  <c r="R615" i="7"/>
  <c r="R568" i="7"/>
  <c r="R565" i="7"/>
  <c r="R564" i="7"/>
  <c r="R562" i="7"/>
  <c r="R561" i="7"/>
  <c r="GL5" i="4"/>
  <c r="GK6" i="4"/>
  <c r="GJ7" i="4"/>
  <c r="GL8" i="4"/>
  <c r="GK9" i="4"/>
  <c r="GK49" i="4" s="1"/>
  <c r="GJ10" i="4"/>
  <c r="GL11" i="4"/>
  <c r="GK12" i="4"/>
  <c r="GJ13" i="4"/>
  <c r="GL14" i="4"/>
  <c r="GK15" i="4"/>
  <c r="GJ16" i="4"/>
  <c r="GL17" i="4"/>
  <c r="GK21" i="4"/>
  <c r="GJ22" i="4"/>
  <c r="GJ26" i="4"/>
  <c r="GF28" i="4"/>
  <c r="GE29" i="4"/>
  <c r="GD37" i="4"/>
  <c r="GH38" i="4"/>
  <c r="GG38" i="4"/>
  <c r="GR38" i="4"/>
  <c r="GF38" i="4"/>
  <c r="GP41" i="4"/>
  <c r="GT8" i="5"/>
  <c r="GJ37" i="5"/>
  <c r="GM5" i="4"/>
  <c r="GL6" i="4"/>
  <c r="GK7" i="4"/>
  <c r="GM8" i="4"/>
  <c r="GL9" i="4"/>
  <c r="GK10" i="4"/>
  <c r="GM11" i="4"/>
  <c r="GL12" i="4"/>
  <c r="GK13" i="4"/>
  <c r="GM14" i="4"/>
  <c r="GL15" i="4"/>
  <c r="GK16" i="4"/>
  <c r="GM17" i="4"/>
  <c r="GL21" i="4"/>
  <c r="GK22" i="4"/>
  <c r="GK26" i="4"/>
  <c r="GG28" i="4"/>
  <c r="GI29" i="4"/>
  <c r="GE37" i="4"/>
  <c r="GD38" i="4"/>
  <c r="GL40" i="4"/>
  <c r="GK40" i="4"/>
  <c r="GJ40" i="4"/>
  <c r="GR40" i="4"/>
  <c r="GQ41" i="4"/>
  <c r="GU8" i="5"/>
  <c r="GN37" i="5"/>
  <c r="GM47" i="5"/>
  <c r="GM57" i="5"/>
  <c r="GL62" i="5"/>
  <c r="M4" i="7"/>
  <c r="Q22" i="7"/>
  <c r="S22" i="7" s="1"/>
  <c r="M22" i="10" s="1"/>
  <c r="Q24" i="7"/>
  <c r="S24" i="7" s="1"/>
  <c r="M24" i="10" s="1"/>
  <c r="P25" i="7"/>
  <c r="M40" i="7"/>
  <c r="M45" i="7"/>
  <c r="Q46" i="7"/>
  <c r="S46" i="7" s="1"/>
  <c r="M46" i="10" s="1"/>
  <c r="P58" i="7"/>
  <c r="P63" i="7"/>
  <c r="M77" i="7"/>
  <c r="P54" i="7"/>
  <c r="Q63" i="7"/>
  <c r="S63" i="7" s="1"/>
  <c r="M63" i="10" s="1"/>
  <c r="M79" i="7"/>
  <c r="N122" i="7"/>
  <c r="N128" i="7"/>
  <c r="N149" i="7"/>
  <c r="O154" i="7"/>
  <c r="R155" i="7"/>
  <c r="O160" i="7"/>
  <c r="N165" i="7"/>
  <c r="R168" i="7"/>
  <c r="O178" i="7"/>
  <c r="N114" i="7"/>
  <c r="N115" i="7"/>
  <c r="N116" i="7"/>
  <c r="N127" i="7"/>
  <c r="O128" i="7"/>
  <c r="N133" i="7"/>
  <c r="R139" i="7"/>
  <c r="R145" i="7"/>
  <c r="O149" i="7"/>
  <c r="O165" i="7"/>
  <c r="R173" i="7"/>
  <c r="N113" i="7"/>
  <c r="O114" i="7"/>
  <c r="O115" i="7"/>
  <c r="R123" i="7"/>
  <c r="O127" i="7"/>
  <c r="N132" i="7"/>
  <c r="O133" i="7"/>
  <c r="N138" i="7"/>
  <c r="R144" i="7"/>
  <c r="R150" i="7"/>
  <c r="N167" i="7"/>
  <c r="O113" i="7"/>
  <c r="R122" i="7"/>
  <c r="R128" i="7"/>
  <c r="O132" i="7"/>
  <c r="O138" i="7"/>
  <c r="R149" i="7"/>
  <c r="R154" i="7"/>
  <c r="O159" i="7"/>
  <c r="R167" i="7"/>
  <c r="O177" i="7"/>
  <c r="N131" i="7"/>
  <c r="N137" i="7"/>
  <c r="N164" i="7"/>
  <c r="N182" i="7"/>
  <c r="N111" i="7"/>
  <c r="R121" i="7"/>
  <c r="R127" i="7"/>
  <c r="O131" i="7"/>
  <c r="N136" i="7"/>
  <c r="O137" i="7"/>
  <c r="N142" i="7"/>
  <c r="R148" i="7"/>
  <c r="R153" i="7"/>
  <c r="O164" i="7"/>
  <c r="R172" i="7"/>
  <c r="O182" i="7"/>
  <c r="N180" i="7"/>
  <c r="N171" i="7"/>
  <c r="N162" i="7"/>
  <c r="N153" i="7"/>
  <c r="N144" i="7"/>
  <c r="N135" i="7"/>
  <c r="N126" i="7"/>
  <c r="N117" i="7"/>
  <c r="N108" i="7"/>
  <c r="N99" i="7"/>
  <c r="N90" i="7"/>
  <c r="N81" i="7"/>
  <c r="N175" i="7"/>
  <c r="N166" i="7"/>
  <c r="N157" i="7"/>
  <c r="N148" i="7"/>
  <c r="N139" i="7"/>
  <c r="N130" i="7"/>
  <c r="N121" i="7"/>
  <c r="N112" i="7"/>
  <c r="N103" i="7"/>
  <c r="N94" i="7"/>
  <c r="N85" i="7"/>
  <c r="N76" i="7"/>
  <c r="N73" i="7"/>
  <c r="N70" i="7"/>
  <c r="N67" i="7"/>
  <c r="N64" i="7"/>
  <c r="N61" i="7"/>
  <c r="N58" i="7"/>
  <c r="N55" i="7"/>
  <c r="N52" i="7"/>
  <c r="N49" i="7"/>
  <c r="N46" i="7"/>
  <c r="N179" i="7"/>
  <c r="N170" i="7"/>
  <c r="N161" i="7"/>
  <c r="N152" i="7"/>
  <c r="N143" i="7"/>
  <c r="N134" i="7"/>
  <c r="N125" i="7"/>
  <c r="N177" i="7"/>
  <c r="N168" i="7"/>
  <c r="N159" i="7"/>
  <c r="N181" i="7"/>
  <c r="N172" i="7"/>
  <c r="N163" i="7"/>
  <c r="N154" i="7"/>
  <c r="Q532" i="7"/>
  <c r="S532" i="7" s="1"/>
  <c r="M532" i="10" s="1"/>
  <c r="Q523" i="7"/>
  <c r="S523" i="7" s="1"/>
  <c r="M523" i="10" s="1"/>
  <c r="Q514" i="7"/>
  <c r="S514" i="7" s="1"/>
  <c r="M514" i="10" s="1"/>
  <c r="Q536" i="7"/>
  <c r="S536" i="7" s="1"/>
  <c r="M536" i="10" s="1"/>
  <c r="Q527" i="7"/>
  <c r="S527" i="7" s="1"/>
  <c r="M527" i="10" s="1"/>
  <c r="Q518" i="7"/>
  <c r="S518" i="7" s="1"/>
  <c r="M518" i="10" s="1"/>
  <c r="Q509" i="7"/>
  <c r="S509" i="7" s="1"/>
  <c r="M509" i="10" s="1"/>
  <c r="Q500" i="7"/>
  <c r="S500" i="7" s="1"/>
  <c r="M500" i="10" s="1"/>
  <c r="Q491" i="7"/>
  <c r="S491" i="7" s="1"/>
  <c r="M491" i="10" s="1"/>
  <c r="Q482" i="7"/>
  <c r="S482" i="7" s="1"/>
  <c r="M482" i="10" s="1"/>
  <c r="Q515" i="7"/>
  <c r="S515" i="7" s="1"/>
  <c r="M515" i="10" s="1"/>
  <c r="Q512" i="7"/>
  <c r="S512" i="7" s="1"/>
  <c r="M512" i="10" s="1"/>
  <c r="Q496" i="7"/>
  <c r="S496" i="7" s="1"/>
  <c r="M496" i="10" s="1"/>
  <c r="Q495" i="7"/>
  <c r="S495" i="7" s="1"/>
  <c r="M495" i="10" s="1"/>
  <c r="Q475" i="7"/>
  <c r="S475" i="7" s="1"/>
  <c r="M475" i="10" s="1"/>
  <c r="Q466" i="7"/>
  <c r="S466" i="7" s="1"/>
  <c r="M466" i="10" s="1"/>
  <c r="Q457" i="7"/>
  <c r="S457" i="7" s="1"/>
  <c r="M457" i="10" s="1"/>
  <c r="Q448" i="7"/>
  <c r="S448" i="7" s="1"/>
  <c r="M448" i="10" s="1"/>
  <c r="Q439" i="7"/>
  <c r="S439" i="7" s="1"/>
  <c r="M439" i="10" s="1"/>
  <c r="Q430" i="7"/>
  <c r="S430" i="7" s="1"/>
  <c r="M430" i="10" s="1"/>
  <c r="Q421" i="7"/>
  <c r="S421" i="7" s="1"/>
  <c r="M421" i="10" s="1"/>
  <c r="Q412" i="7"/>
  <c r="S412" i="7" s="1"/>
  <c r="M412" i="10" s="1"/>
  <c r="Q503" i="7"/>
  <c r="S503" i="7" s="1"/>
  <c r="M503" i="10" s="1"/>
  <c r="Q487" i="7"/>
  <c r="S487" i="7" s="1"/>
  <c r="M487" i="10" s="1"/>
  <c r="Q486" i="7"/>
  <c r="S486" i="7" s="1"/>
  <c r="M486" i="10" s="1"/>
  <c r="Q479" i="7"/>
  <c r="S479" i="7" s="1"/>
  <c r="M479" i="10" s="1"/>
  <c r="Q470" i="7"/>
  <c r="S470" i="7" s="1"/>
  <c r="M470" i="10" s="1"/>
  <c r="Q461" i="7"/>
  <c r="S461" i="7" s="1"/>
  <c r="M461" i="10" s="1"/>
  <c r="Q452" i="7"/>
  <c r="S452" i="7" s="1"/>
  <c r="M452" i="10" s="1"/>
  <c r="Q443" i="7"/>
  <c r="S443" i="7" s="1"/>
  <c r="M443" i="10" s="1"/>
  <c r="Q434" i="7"/>
  <c r="S434" i="7" s="1"/>
  <c r="M434" i="10" s="1"/>
  <c r="Q425" i="7"/>
  <c r="S425" i="7" s="1"/>
  <c r="M425" i="10" s="1"/>
  <c r="Q416" i="7"/>
  <c r="S416" i="7" s="1"/>
  <c r="M416" i="10" s="1"/>
  <c r="Q407" i="7"/>
  <c r="S407" i="7" s="1"/>
  <c r="M407" i="10" s="1"/>
  <c r="Q398" i="7"/>
  <c r="S398" i="7" s="1"/>
  <c r="M398" i="10" s="1"/>
  <c r="Q389" i="7"/>
  <c r="S389" i="7" s="1"/>
  <c r="M389" i="10" s="1"/>
  <c r="Q380" i="7"/>
  <c r="S380" i="7" s="1"/>
  <c r="M380" i="10" s="1"/>
  <c r="Q371" i="7"/>
  <c r="S371" i="7" s="1"/>
  <c r="M371" i="10" s="1"/>
  <c r="Q362" i="7"/>
  <c r="S362" i="7" s="1"/>
  <c r="M362" i="10" s="1"/>
  <c r="Q511" i="7"/>
  <c r="S511" i="7" s="1"/>
  <c r="M511" i="10" s="1"/>
  <c r="Q494" i="7"/>
  <c r="S494" i="7" s="1"/>
  <c r="M494" i="10" s="1"/>
  <c r="Q474" i="7"/>
  <c r="S474" i="7" s="1"/>
  <c r="M474" i="10" s="1"/>
  <c r="Q465" i="7"/>
  <c r="S465" i="7" s="1"/>
  <c r="M465" i="10" s="1"/>
  <c r="Q456" i="7"/>
  <c r="S456" i="7" s="1"/>
  <c r="M456" i="10" s="1"/>
  <c r="Q447" i="7"/>
  <c r="S447" i="7" s="1"/>
  <c r="M447" i="10" s="1"/>
  <c r="Q438" i="7"/>
  <c r="S438" i="7" s="1"/>
  <c r="M438" i="10" s="1"/>
  <c r="Q429" i="7"/>
  <c r="S429" i="7" s="1"/>
  <c r="M429" i="10" s="1"/>
  <c r="Q420" i="7"/>
  <c r="S420" i="7" s="1"/>
  <c r="M420" i="10" s="1"/>
  <c r="Q510" i="7"/>
  <c r="S510" i="7" s="1"/>
  <c r="M510" i="10" s="1"/>
  <c r="Q502" i="7"/>
  <c r="S502" i="7" s="1"/>
  <c r="M502" i="10" s="1"/>
  <c r="Q485" i="7"/>
  <c r="S485" i="7" s="1"/>
  <c r="M485" i="10" s="1"/>
  <c r="Q501" i="7"/>
  <c r="S501" i="7" s="1"/>
  <c r="M501" i="10" s="1"/>
  <c r="Q493" i="7"/>
  <c r="S493" i="7" s="1"/>
  <c r="M493" i="10" s="1"/>
  <c r="Q478" i="7"/>
  <c r="S478" i="7" s="1"/>
  <c r="M478" i="10" s="1"/>
  <c r="Q469" i="7"/>
  <c r="S469" i="7" s="1"/>
  <c r="M469" i="10" s="1"/>
  <c r="Q460" i="7"/>
  <c r="S460" i="7" s="1"/>
  <c r="M460" i="10" s="1"/>
  <c r="Q451" i="7"/>
  <c r="S451" i="7" s="1"/>
  <c r="M451" i="10" s="1"/>
  <c r="Q442" i="7"/>
  <c r="S442" i="7" s="1"/>
  <c r="M442" i="10" s="1"/>
  <c r="Q433" i="7"/>
  <c r="S433" i="7" s="1"/>
  <c r="M433" i="10" s="1"/>
  <c r="Q424" i="7"/>
  <c r="S424" i="7" s="1"/>
  <c r="M424" i="10" s="1"/>
  <c r="Q415" i="7"/>
  <c r="S415" i="7" s="1"/>
  <c r="M415" i="10" s="1"/>
  <c r="Q406" i="7"/>
  <c r="S406" i="7" s="1"/>
  <c r="M406" i="10" s="1"/>
  <c r="Q397" i="7"/>
  <c r="S397" i="7" s="1"/>
  <c r="M397" i="10" s="1"/>
  <c r="Q388" i="7"/>
  <c r="S388" i="7" s="1"/>
  <c r="M388" i="10" s="1"/>
  <c r="Q379" i="7"/>
  <c r="S379" i="7" s="1"/>
  <c r="M379" i="10" s="1"/>
  <c r="Q370" i="7"/>
  <c r="S370" i="7" s="1"/>
  <c r="M370" i="10" s="1"/>
  <c r="Q540" i="7"/>
  <c r="S540" i="7" s="1"/>
  <c r="M540" i="10" s="1"/>
  <c r="Q539" i="7"/>
  <c r="S539" i="7" s="1"/>
  <c r="M539" i="10" s="1"/>
  <c r="Q508" i="7"/>
  <c r="S508" i="7" s="1"/>
  <c r="M508" i="10" s="1"/>
  <c r="Q538" i="7"/>
  <c r="S538" i="7" s="1"/>
  <c r="M538" i="10" s="1"/>
  <c r="Q537" i="7"/>
  <c r="S537" i="7" s="1"/>
  <c r="M537" i="10" s="1"/>
  <c r="Q535" i="7"/>
  <c r="S535" i="7" s="1"/>
  <c r="M535" i="10" s="1"/>
  <c r="Q534" i="7"/>
  <c r="S534" i="7" s="1"/>
  <c r="M534" i="10" s="1"/>
  <c r="Q531" i="7"/>
  <c r="S531" i="7" s="1"/>
  <c r="M531" i="10" s="1"/>
  <c r="Q507" i="7"/>
  <c r="S507" i="7" s="1"/>
  <c r="M507" i="10" s="1"/>
  <c r="Q499" i="7"/>
  <c r="S499" i="7" s="1"/>
  <c r="M499" i="10" s="1"/>
  <c r="Q533" i="7"/>
  <c r="S533" i="7" s="1"/>
  <c r="M533" i="10" s="1"/>
  <c r="Q530" i="7"/>
  <c r="S530" i="7" s="1"/>
  <c r="M530" i="10" s="1"/>
  <c r="Q498" i="7"/>
  <c r="S498" i="7" s="1"/>
  <c r="M498" i="10" s="1"/>
  <c r="Q490" i="7"/>
  <c r="S490" i="7" s="1"/>
  <c r="M490" i="10" s="1"/>
  <c r="Q529" i="7"/>
  <c r="S529" i="7" s="1"/>
  <c r="M529" i="10" s="1"/>
  <c r="Q528" i="7"/>
  <c r="S528" i="7" s="1"/>
  <c r="M528" i="10" s="1"/>
  <c r="Q526" i="7"/>
  <c r="S526" i="7" s="1"/>
  <c r="M526" i="10" s="1"/>
  <c r="Q525" i="7"/>
  <c r="S525" i="7" s="1"/>
  <c r="M525" i="10" s="1"/>
  <c r="Q522" i="7"/>
  <c r="S522" i="7" s="1"/>
  <c r="M522" i="10" s="1"/>
  <c r="Q506" i="7"/>
  <c r="S506" i="7" s="1"/>
  <c r="M506" i="10" s="1"/>
  <c r="Q489" i="7"/>
  <c r="S489" i="7" s="1"/>
  <c r="M489" i="10" s="1"/>
  <c r="Q481" i="7"/>
  <c r="S481" i="7" s="1"/>
  <c r="M481" i="10" s="1"/>
  <c r="Q476" i="7"/>
  <c r="S476" i="7" s="1"/>
  <c r="M476" i="10" s="1"/>
  <c r="Q467" i="7"/>
  <c r="S467" i="7" s="1"/>
  <c r="M467" i="10" s="1"/>
  <c r="Q458" i="7"/>
  <c r="S458" i="7" s="1"/>
  <c r="M458" i="10" s="1"/>
  <c r="Q449" i="7"/>
  <c r="S449" i="7" s="1"/>
  <c r="M449" i="10" s="1"/>
  <c r="Q440" i="7"/>
  <c r="S440" i="7" s="1"/>
  <c r="M440" i="10" s="1"/>
  <c r="Q524" i="7"/>
  <c r="S524" i="7" s="1"/>
  <c r="M524" i="10" s="1"/>
  <c r="Q521" i="7"/>
  <c r="S521" i="7" s="1"/>
  <c r="M521" i="10" s="1"/>
  <c r="Q497" i="7"/>
  <c r="S497" i="7" s="1"/>
  <c r="M497" i="10" s="1"/>
  <c r="Q480" i="7"/>
  <c r="S480" i="7" s="1"/>
  <c r="M480" i="10" s="1"/>
  <c r="Q471" i="7"/>
  <c r="S471" i="7" s="1"/>
  <c r="M471" i="10" s="1"/>
  <c r="Q462" i="7"/>
  <c r="S462" i="7" s="1"/>
  <c r="M462" i="10" s="1"/>
  <c r="Q453" i="7"/>
  <c r="S453" i="7" s="1"/>
  <c r="M453" i="10" s="1"/>
  <c r="Q520" i="7"/>
  <c r="S520" i="7" s="1"/>
  <c r="M520" i="10" s="1"/>
  <c r="Q519" i="7"/>
  <c r="S519" i="7" s="1"/>
  <c r="M519" i="10" s="1"/>
  <c r="Q517" i="7"/>
  <c r="S517" i="7" s="1"/>
  <c r="M517" i="10" s="1"/>
  <c r="Q516" i="7"/>
  <c r="S516" i="7" s="1"/>
  <c r="M516" i="10" s="1"/>
  <c r="Q513" i="7"/>
  <c r="S513" i="7" s="1"/>
  <c r="M513" i="10" s="1"/>
  <c r="Q505" i="7"/>
  <c r="S505" i="7" s="1"/>
  <c r="M505" i="10" s="1"/>
  <c r="Q504" i="7"/>
  <c r="S504" i="7" s="1"/>
  <c r="M504" i="10" s="1"/>
  <c r="Q488" i="7"/>
  <c r="S488" i="7" s="1"/>
  <c r="M488" i="10" s="1"/>
  <c r="Q464" i="7"/>
  <c r="S464" i="7" s="1"/>
  <c r="M464" i="10" s="1"/>
  <c r="Q441" i="7"/>
  <c r="S441" i="7" s="1"/>
  <c r="M441" i="10" s="1"/>
  <c r="Q417" i="7"/>
  <c r="S417" i="7" s="1"/>
  <c r="M417" i="10" s="1"/>
  <c r="Q377" i="7"/>
  <c r="S377" i="7" s="1"/>
  <c r="M377" i="10" s="1"/>
  <c r="Q375" i="7"/>
  <c r="S375" i="7" s="1"/>
  <c r="M375" i="10" s="1"/>
  <c r="Q374" i="7"/>
  <c r="S374" i="7" s="1"/>
  <c r="M374" i="10" s="1"/>
  <c r="Q459" i="7"/>
  <c r="S459" i="7" s="1"/>
  <c r="M459" i="10" s="1"/>
  <c r="Q435" i="7"/>
  <c r="S435" i="7" s="1"/>
  <c r="M435" i="10" s="1"/>
  <c r="Q432" i="7"/>
  <c r="S432" i="7" s="1"/>
  <c r="M432" i="10" s="1"/>
  <c r="Q418" i="7"/>
  <c r="S418" i="7" s="1"/>
  <c r="M418" i="10" s="1"/>
  <c r="Q376" i="7"/>
  <c r="S376" i="7" s="1"/>
  <c r="M376" i="10" s="1"/>
  <c r="Q373" i="7"/>
  <c r="S373" i="7" s="1"/>
  <c r="M373" i="10" s="1"/>
  <c r="Q372" i="7"/>
  <c r="S372" i="7" s="1"/>
  <c r="M372" i="10" s="1"/>
  <c r="Q369" i="7"/>
  <c r="S369" i="7" s="1"/>
  <c r="M369" i="10" s="1"/>
  <c r="Q419" i="7"/>
  <c r="S419" i="7" s="1"/>
  <c r="M419" i="10" s="1"/>
  <c r="Q368" i="7"/>
  <c r="S368" i="7" s="1"/>
  <c r="M368" i="10" s="1"/>
  <c r="Q366" i="7"/>
  <c r="S366" i="7" s="1"/>
  <c r="M366" i="10" s="1"/>
  <c r="Q365" i="7"/>
  <c r="S365" i="7" s="1"/>
  <c r="M365" i="10" s="1"/>
  <c r="Q454" i="7"/>
  <c r="S454" i="7" s="1"/>
  <c r="M454" i="10" s="1"/>
  <c r="Q444" i="7"/>
  <c r="S444" i="7" s="1"/>
  <c r="M444" i="10" s="1"/>
  <c r="Q367" i="7"/>
  <c r="S367" i="7" s="1"/>
  <c r="M367" i="10" s="1"/>
  <c r="Q364" i="7"/>
  <c r="S364" i="7" s="1"/>
  <c r="M364" i="10" s="1"/>
  <c r="Q363" i="7"/>
  <c r="S363" i="7" s="1"/>
  <c r="M363" i="10" s="1"/>
  <c r="Q473" i="7"/>
  <c r="S473" i="7" s="1"/>
  <c r="M473" i="10" s="1"/>
  <c r="Q436" i="7"/>
  <c r="S436" i="7" s="1"/>
  <c r="M436" i="10" s="1"/>
  <c r="Q410" i="7"/>
  <c r="S410" i="7" s="1"/>
  <c r="M410" i="10" s="1"/>
  <c r="Q468" i="7"/>
  <c r="S468" i="7" s="1"/>
  <c r="M468" i="10" s="1"/>
  <c r="Q411" i="7"/>
  <c r="S411" i="7" s="1"/>
  <c r="M411" i="10" s="1"/>
  <c r="Q409" i="7"/>
  <c r="S409" i="7" s="1"/>
  <c r="M409" i="10" s="1"/>
  <c r="Q408" i="7"/>
  <c r="S408" i="7" s="1"/>
  <c r="M408" i="10" s="1"/>
  <c r="Q405" i="7"/>
  <c r="S405" i="7" s="1"/>
  <c r="M405" i="10" s="1"/>
  <c r="Q484" i="7"/>
  <c r="S484" i="7" s="1"/>
  <c r="M484" i="10" s="1"/>
  <c r="Q437" i="7"/>
  <c r="S437" i="7" s="1"/>
  <c r="M437" i="10" s="1"/>
  <c r="Q404" i="7"/>
  <c r="S404" i="7" s="1"/>
  <c r="M404" i="10" s="1"/>
  <c r="Q402" i="7"/>
  <c r="S402" i="7" s="1"/>
  <c r="M402" i="10" s="1"/>
  <c r="Q401" i="7"/>
  <c r="S401" i="7" s="1"/>
  <c r="M401" i="10" s="1"/>
  <c r="Q463" i="7"/>
  <c r="S463" i="7" s="1"/>
  <c r="M463" i="10" s="1"/>
  <c r="Q426" i="7"/>
  <c r="S426" i="7" s="1"/>
  <c r="M426" i="10" s="1"/>
  <c r="Q403" i="7"/>
  <c r="S403" i="7" s="1"/>
  <c r="M403" i="10" s="1"/>
  <c r="Q400" i="7"/>
  <c r="S400" i="7" s="1"/>
  <c r="M400" i="10" s="1"/>
  <c r="Q399" i="7"/>
  <c r="S399" i="7" s="1"/>
  <c r="M399" i="10" s="1"/>
  <c r="Q396" i="7"/>
  <c r="S396" i="7" s="1"/>
  <c r="M396" i="10" s="1"/>
  <c r="Q455" i="7"/>
  <c r="S455" i="7" s="1"/>
  <c r="M455" i="10" s="1"/>
  <c r="Q445" i="7"/>
  <c r="S445" i="7" s="1"/>
  <c r="M445" i="10" s="1"/>
  <c r="Q414" i="7"/>
  <c r="S414" i="7" s="1"/>
  <c r="M414" i="10" s="1"/>
  <c r="Q413" i="7"/>
  <c r="S413" i="7" s="1"/>
  <c r="M413" i="10" s="1"/>
  <c r="Q395" i="7"/>
  <c r="S395" i="7" s="1"/>
  <c r="M395" i="10" s="1"/>
  <c r="Q393" i="7"/>
  <c r="S393" i="7" s="1"/>
  <c r="M393" i="10" s="1"/>
  <c r="Q392" i="7"/>
  <c r="S392" i="7" s="1"/>
  <c r="M392" i="10" s="1"/>
  <c r="Q492" i="7"/>
  <c r="S492" i="7" s="1"/>
  <c r="M492" i="10" s="1"/>
  <c r="Q477" i="7"/>
  <c r="S477" i="7" s="1"/>
  <c r="M477" i="10" s="1"/>
  <c r="Q427" i="7"/>
  <c r="S427" i="7" s="1"/>
  <c r="M427" i="10" s="1"/>
  <c r="Q394" i="7"/>
  <c r="S394" i="7" s="1"/>
  <c r="M394" i="10" s="1"/>
  <c r="Q391" i="7"/>
  <c r="S391" i="7" s="1"/>
  <c r="M391" i="10" s="1"/>
  <c r="Q390" i="7"/>
  <c r="S390" i="7" s="1"/>
  <c r="M390" i="10" s="1"/>
  <c r="Q387" i="7"/>
  <c r="S387" i="7" s="1"/>
  <c r="M387" i="10" s="1"/>
  <c r="Q483" i="7"/>
  <c r="S483" i="7" s="1"/>
  <c r="M483" i="10" s="1"/>
  <c r="Q450" i="7"/>
  <c r="S450" i="7" s="1"/>
  <c r="M450" i="10" s="1"/>
  <c r="Q422" i="7"/>
  <c r="S422" i="7" s="1"/>
  <c r="M422" i="10" s="1"/>
  <c r="Q386" i="7"/>
  <c r="S386" i="7" s="1"/>
  <c r="M386" i="10" s="1"/>
  <c r="Q384" i="7"/>
  <c r="S384" i="7" s="1"/>
  <c r="M384" i="10" s="1"/>
  <c r="Q383" i="7"/>
  <c r="S383" i="7" s="1"/>
  <c r="M383" i="10" s="1"/>
  <c r="Q472" i="7"/>
  <c r="S472" i="7" s="1"/>
  <c r="M472" i="10" s="1"/>
  <c r="Q446" i="7"/>
  <c r="S446" i="7" s="1"/>
  <c r="M446" i="10" s="1"/>
  <c r="Q431" i="7"/>
  <c r="S431" i="7" s="1"/>
  <c r="M431" i="10" s="1"/>
  <c r="Q428" i="7"/>
  <c r="S428" i="7" s="1"/>
  <c r="M428" i="10" s="1"/>
  <c r="Q423" i="7"/>
  <c r="S423" i="7" s="1"/>
  <c r="M423" i="10" s="1"/>
  <c r="Q385" i="7"/>
  <c r="S385" i="7" s="1"/>
  <c r="M385" i="10" s="1"/>
  <c r="Q382" i="7"/>
  <c r="S382" i="7" s="1"/>
  <c r="M382" i="10" s="1"/>
  <c r="Q381" i="7"/>
  <c r="S381" i="7" s="1"/>
  <c r="M381" i="10" s="1"/>
  <c r="Q378" i="7"/>
  <c r="S378" i="7" s="1"/>
  <c r="M378" i="10" s="1"/>
  <c r="O1076" i="7"/>
  <c r="O1067" i="7"/>
  <c r="O1075" i="7"/>
  <c r="O1074" i="7"/>
  <c r="O1066" i="7"/>
  <c r="O1061" i="7"/>
  <c r="O1052" i="7"/>
  <c r="O1043" i="7"/>
  <c r="O1034" i="7"/>
  <c r="O1025" i="7"/>
  <c r="O1016" i="7"/>
  <c r="O1007" i="7"/>
  <c r="O998" i="7"/>
  <c r="O989" i="7"/>
  <c r="O980" i="7"/>
  <c r="O971" i="7"/>
  <c r="O962" i="7"/>
  <c r="O953" i="7"/>
  <c r="O944" i="7"/>
  <c r="O935" i="7"/>
  <c r="O926" i="7"/>
  <c r="O917" i="7"/>
  <c r="O908" i="7"/>
  <c r="O899" i="7"/>
  <c r="O1065" i="7"/>
  <c r="O1056" i="7"/>
  <c r="O1047" i="7"/>
  <c r="O1038" i="7"/>
  <c r="O1029" i="7"/>
  <c r="O1020" i="7"/>
  <c r="O1011" i="7"/>
  <c r="O1002" i="7"/>
  <c r="O993" i="7"/>
  <c r="O984" i="7"/>
  <c r="O975" i="7"/>
  <c r="O966" i="7"/>
  <c r="O957" i="7"/>
  <c r="O948" i="7"/>
  <c r="O939" i="7"/>
  <c r="O930" i="7"/>
  <c r="O921" i="7"/>
  <c r="O912" i="7"/>
  <c r="O903" i="7"/>
  <c r="O1073" i="7"/>
  <c r="O1060" i="7"/>
  <c r="O1051" i="7"/>
  <c r="O1042" i="7"/>
  <c r="O1033" i="7"/>
  <c r="O1024" i="7"/>
  <c r="O1015" i="7"/>
  <c r="O1006" i="7"/>
  <c r="O997" i="7"/>
  <c r="O988" i="7"/>
  <c r="O979" i="7"/>
  <c r="O970" i="7"/>
  <c r="O961" i="7"/>
  <c r="O952" i="7"/>
  <c r="O943" i="7"/>
  <c r="O934" i="7"/>
  <c r="O925" i="7"/>
  <c r="O916" i="7"/>
  <c r="O907" i="7"/>
  <c r="O1072" i="7"/>
  <c r="O1071" i="7"/>
  <c r="O1064" i="7"/>
  <c r="O1055" i="7"/>
  <c r="O1046" i="7"/>
  <c r="O1037" i="7"/>
  <c r="O1028" i="7"/>
  <c r="O1019" i="7"/>
  <c r="O1010" i="7"/>
  <c r="O1001" i="7"/>
  <c r="O992" i="7"/>
  <c r="O1059" i="7"/>
  <c r="O1050" i="7"/>
  <c r="O1041" i="7"/>
  <c r="O1032" i="7"/>
  <c r="O1023" i="7"/>
  <c r="O1014" i="7"/>
  <c r="O1005" i="7"/>
  <c r="O996" i="7"/>
  <c r="O987" i="7"/>
  <c r="O978" i="7"/>
  <c r="O969" i="7"/>
  <c r="O960" i="7"/>
  <c r="O951" i="7"/>
  <c r="O942" i="7"/>
  <c r="O933" i="7"/>
  <c r="O924" i="7"/>
  <c r="O915" i="7"/>
  <c r="O1070" i="7"/>
  <c r="O1063" i="7"/>
  <c r="O1054" i="7"/>
  <c r="O1045" i="7"/>
  <c r="O1036" i="7"/>
  <c r="O1027" i="7"/>
  <c r="O1018" i="7"/>
  <c r="O1009" i="7"/>
  <c r="O1000" i="7"/>
  <c r="O991" i="7"/>
  <c r="O982" i="7"/>
  <c r="O973" i="7"/>
  <c r="O964" i="7"/>
  <c r="O955" i="7"/>
  <c r="O946" i="7"/>
  <c r="O937" i="7"/>
  <c r="O928" i="7"/>
  <c r="O919" i="7"/>
  <c r="O910" i="7"/>
  <c r="O901" i="7"/>
  <c r="O1077" i="7"/>
  <c r="O1069" i="7"/>
  <c r="O1058" i="7"/>
  <c r="O1049" i="7"/>
  <c r="O1040" i="7"/>
  <c r="O1031" i="7"/>
  <c r="O1022" i="7"/>
  <c r="O1013" i="7"/>
  <c r="O1004" i="7"/>
  <c r="O995" i="7"/>
  <c r="O986" i="7"/>
  <c r="O1068" i="7"/>
  <c r="O1062" i="7"/>
  <c r="O1053" i="7"/>
  <c r="O1044" i="7"/>
  <c r="O1035" i="7"/>
  <c r="O1026" i="7"/>
  <c r="O1017" i="7"/>
  <c r="O1008" i="7"/>
  <c r="O999" i="7"/>
  <c r="O990" i="7"/>
  <c r="O981" i="7"/>
  <c r="O972" i="7"/>
  <c r="O963" i="7"/>
  <c r="O954" i="7"/>
  <c r="O945" i="7"/>
  <c r="O936" i="7"/>
  <c r="O1057" i="7"/>
  <c r="O1048" i="7"/>
  <c r="O1039" i="7"/>
  <c r="O1030" i="7"/>
  <c r="O1021" i="7"/>
  <c r="O1012" i="7"/>
  <c r="O1003" i="7"/>
  <c r="O994" i="7"/>
  <c r="O985" i="7"/>
  <c r="O976" i="7"/>
  <c r="O967" i="7"/>
  <c r="O958" i="7"/>
  <c r="O949" i="7"/>
  <c r="O940" i="7"/>
  <c r="O931" i="7"/>
  <c r="O922" i="7"/>
  <c r="O983" i="7"/>
  <c r="O938" i="7"/>
  <c r="O913" i="7"/>
  <c r="O904" i="7"/>
  <c r="O900" i="7"/>
  <c r="O950" i="7"/>
  <c r="O920" i="7"/>
  <c r="O911" i="7"/>
  <c r="O905" i="7"/>
  <c r="O947" i="7"/>
  <c r="O918" i="7"/>
  <c r="O965" i="7"/>
  <c r="O914" i="7"/>
  <c r="O968" i="7"/>
  <c r="O959" i="7"/>
  <c r="O932" i="7"/>
  <c r="O909" i="7"/>
  <c r="O906" i="7"/>
  <c r="O902" i="7"/>
  <c r="O974" i="7"/>
  <c r="O956" i="7"/>
  <c r="O929" i="7"/>
  <c r="O977" i="7"/>
  <c r="O927" i="7"/>
  <c r="O923" i="7"/>
  <c r="O941" i="7"/>
  <c r="M1435" i="7"/>
  <c r="M1432" i="7"/>
  <c r="M1429" i="7"/>
  <c r="M1423" i="7"/>
  <c r="M1414" i="7"/>
  <c r="M1405" i="7"/>
  <c r="M1396" i="7"/>
  <c r="M1387" i="7"/>
  <c r="M1378" i="7"/>
  <c r="M1369" i="7"/>
  <c r="M1360" i="7"/>
  <c r="M1351" i="7"/>
  <c r="M1342" i="7"/>
  <c r="M1333" i="7"/>
  <c r="M1324" i="7"/>
  <c r="M1315" i="7"/>
  <c r="M1306" i="7"/>
  <c r="M1297" i="7"/>
  <c r="M1288" i="7"/>
  <c r="M1279" i="7"/>
  <c r="M1270" i="7"/>
  <c r="M1261" i="7"/>
  <c r="M1427" i="7"/>
  <c r="M1418" i="7"/>
  <c r="M1409" i="7"/>
  <c r="M1400" i="7"/>
  <c r="M1391" i="7"/>
  <c r="M1382" i="7"/>
  <c r="M1373" i="7"/>
  <c r="M1364" i="7"/>
  <c r="M1355" i="7"/>
  <c r="M1434" i="7"/>
  <c r="M1422" i="7"/>
  <c r="M1413" i="7"/>
  <c r="M1404" i="7"/>
  <c r="M1395" i="7"/>
  <c r="M1386" i="7"/>
  <c r="M1433" i="7"/>
  <c r="M1426" i="7"/>
  <c r="M1417" i="7"/>
  <c r="M1408" i="7"/>
  <c r="M1399" i="7"/>
  <c r="M1390" i="7"/>
  <c r="M1381" i="7"/>
  <c r="M1372" i="7"/>
  <c r="M1363" i="7"/>
  <c r="M1354" i="7"/>
  <c r="M1421" i="7"/>
  <c r="M1412" i="7"/>
  <c r="M1403" i="7"/>
  <c r="M1394" i="7"/>
  <c r="M1431" i="7"/>
  <c r="M1425" i="7"/>
  <c r="M1416" i="7"/>
  <c r="M1407" i="7"/>
  <c r="M1398" i="7"/>
  <c r="M1430" i="7"/>
  <c r="M1420" i="7"/>
  <c r="M1411" i="7"/>
  <c r="M1402" i="7"/>
  <c r="M1393" i="7"/>
  <c r="M1384" i="7"/>
  <c r="M1375" i="7"/>
  <c r="M1366" i="7"/>
  <c r="M1424" i="7"/>
  <c r="M1415" i="7"/>
  <c r="M1406" i="7"/>
  <c r="M1397" i="7"/>
  <c r="M1388" i="7"/>
  <c r="M1379" i="7"/>
  <c r="M1428" i="7"/>
  <c r="M1419" i="7"/>
  <c r="M1410" i="7"/>
  <c r="M1401" i="7"/>
  <c r="M1392" i="7"/>
  <c r="M1383" i="7"/>
  <c r="M1374" i="7"/>
  <c r="M1365" i="7"/>
  <c r="M1357" i="7"/>
  <c r="M1325" i="7"/>
  <c r="M1322" i="7"/>
  <c r="M1319" i="7"/>
  <c r="M1271" i="7"/>
  <c r="M1268" i="7"/>
  <c r="M1265" i="7"/>
  <c r="M1361" i="7"/>
  <c r="M1358" i="7"/>
  <c r="M1352" i="7"/>
  <c r="M1321" i="7"/>
  <c r="M1320" i="7"/>
  <c r="M1318" i="7"/>
  <c r="M1317" i="7"/>
  <c r="M1314" i="7"/>
  <c r="M1267" i="7"/>
  <c r="M1266" i="7"/>
  <c r="M1264" i="7"/>
  <c r="M1263" i="7"/>
  <c r="M1389" i="7"/>
  <c r="M1380" i="7"/>
  <c r="M1353" i="7"/>
  <c r="M1316" i="7"/>
  <c r="M1313" i="7"/>
  <c r="M1310" i="7"/>
  <c r="M1260" i="7"/>
  <c r="M1312" i="7"/>
  <c r="M1311" i="7"/>
  <c r="M1309" i="7"/>
  <c r="M1308" i="7"/>
  <c r="M1305" i="7"/>
  <c r="M1262" i="7"/>
  <c r="M1259" i="7"/>
  <c r="M1377" i="7"/>
  <c r="M1368" i="7"/>
  <c r="M1359" i="7"/>
  <c r="M1307" i="7"/>
  <c r="M1304" i="7"/>
  <c r="M1301" i="7"/>
  <c r="M1258" i="7"/>
  <c r="M1257" i="7"/>
  <c r="M1370" i="7"/>
  <c r="M1362" i="7"/>
  <c r="M1303" i="7"/>
  <c r="M1302" i="7"/>
  <c r="M1300" i="7"/>
  <c r="M1299" i="7"/>
  <c r="M1296" i="7"/>
  <c r="M1346" i="7"/>
  <c r="M1298" i="7"/>
  <c r="M1295" i="7"/>
  <c r="M1292" i="7"/>
  <c r="M1345" i="7"/>
  <c r="M1344" i="7"/>
  <c r="M1341" i="7"/>
  <c r="M1294" i="7"/>
  <c r="M1293" i="7"/>
  <c r="M1291" i="7"/>
  <c r="M1290" i="7"/>
  <c r="M1287" i="7"/>
  <c r="M1385" i="7"/>
  <c r="M1347" i="7"/>
  <c r="M1343" i="7"/>
  <c r="M1340" i="7"/>
  <c r="M1337" i="7"/>
  <c r="M1289" i="7"/>
  <c r="M1286" i="7"/>
  <c r="M1283" i="7"/>
  <c r="M1376" i="7"/>
  <c r="M1349" i="7"/>
  <c r="M1348" i="7"/>
  <c r="M1339" i="7"/>
  <c r="M1338" i="7"/>
  <c r="M1336" i="7"/>
  <c r="M1335" i="7"/>
  <c r="M1332" i="7"/>
  <c r="M1285" i="7"/>
  <c r="M1284" i="7"/>
  <c r="M1282" i="7"/>
  <c r="M1281" i="7"/>
  <c r="M1278" i="7"/>
  <c r="M1371" i="7"/>
  <c r="M1367" i="7"/>
  <c r="M1356" i="7"/>
  <c r="M1350" i="7"/>
  <c r="M1334" i="7"/>
  <c r="M1331" i="7"/>
  <c r="M1328" i="7"/>
  <c r="M1280" i="7"/>
  <c r="M1277" i="7"/>
  <c r="M1274" i="7"/>
  <c r="M1330" i="7"/>
  <c r="M1329" i="7"/>
  <c r="M1327" i="7"/>
  <c r="M1326" i="7"/>
  <c r="M1323" i="7"/>
  <c r="M1276" i="7"/>
  <c r="M1275" i="7"/>
  <c r="M1273" i="7"/>
  <c r="M1272" i="7"/>
  <c r="M1269" i="7"/>
  <c r="P1792" i="7"/>
  <c r="P1789" i="7"/>
  <c r="P1786" i="7"/>
  <c r="P1783" i="7"/>
  <c r="P1780" i="7"/>
  <c r="P1777" i="7"/>
  <c r="P1774" i="7"/>
  <c r="P1771" i="7"/>
  <c r="P1768" i="7"/>
  <c r="P1765" i="7"/>
  <c r="P1762" i="7"/>
  <c r="P1759" i="7"/>
  <c r="P1756" i="7"/>
  <c r="P1753" i="7"/>
  <c r="P1750" i="7"/>
  <c r="P1747" i="7"/>
  <c r="P1744" i="7"/>
  <c r="P1741" i="7"/>
  <c r="P1738" i="7"/>
  <c r="P1735" i="7"/>
  <c r="P1732" i="7"/>
  <c r="P1729" i="7"/>
  <c r="P1726" i="7"/>
  <c r="P1723" i="7"/>
  <c r="P1720" i="7"/>
  <c r="P1717" i="7"/>
  <c r="P1714" i="7"/>
  <c r="P1711" i="7"/>
  <c r="P1708" i="7"/>
  <c r="P1705" i="7"/>
  <c r="P1702" i="7"/>
  <c r="P1699" i="7"/>
  <c r="P1696" i="7"/>
  <c r="P1693" i="7"/>
  <c r="P1690" i="7"/>
  <c r="P1687" i="7"/>
  <c r="P1684" i="7"/>
  <c r="P1681" i="7"/>
  <c r="P1678" i="7"/>
  <c r="P1675" i="7"/>
  <c r="P1672" i="7"/>
  <c r="P1669" i="7"/>
  <c r="P1666" i="7"/>
  <c r="P1663" i="7"/>
  <c r="P1660" i="7"/>
  <c r="P1657" i="7"/>
  <c r="P1654" i="7"/>
  <c r="P1651" i="7"/>
  <c r="P1648" i="7"/>
  <c r="P1645" i="7"/>
  <c r="P1642" i="7"/>
  <c r="P1639" i="7"/>
  <c r="P1636" i="7"/>
  <c r="P1633" i="7"/>
  <c r="P1630" i="7"/>
  <c r="P1627" i="7"/>
  <c r="P1624" i="7"/>
  <c r="P1621" i="7"/>
  <c r="P1782" i="7"/>
  <c r="P1773" i="7"/>
  <c r="P1764" i="7"/>
  <c r="P1755" i="7"/>
  <c r="P1746" i="7"/>
  <c r="P1737" i="7"/>
  <c r="P1728" i="7"/>
  <c r="P1791" i="7"/>
  <c r="P1790" i="7"/>
  <c r="P1781" i="7"/>
  <c r="P1772" i="7"/>
  <c r="P1763" i="7"/>
  <c r="P1754" i="7"/>
  <c r="P1745" i="7"/>
  <c r="P1736" i="7"/>
  <c r="P1727" i="7"/>
  <c r="P1718" i="7"/>
  <c r="P1709" i="7"/>
  <c r="P1785" i="7"/>
  <c r="P1776" i="7"/>
  <c r="P1767" i="7"/>
  <c r="P1758" i="7"/>
  <c r="P1749" i="7"/>
  <c r="P1740" i="7"/>
  <c r="P1731" i="7"/>
  <c r="P1722" i="7"/>
  <c r="P1713" i="7"/>
  <c r="P1704" i="7"/>
  <c r="P1784" i="7"/>
  <c r="P1775" i="7"/>
  <c r="P1766" i="7"/>
  <c r="P1757" i="7"/>
  <c r="P1748" i="7"/>
  <c r="P1788" i="7"/>
  <c r="P1779" i="7"/>
  <c r="P1770" i="7"/>
  <c r="P1761" i="7"/>
  <c r="P1752" i="7"/>
  <c r="P1793" i="7"/>
  <c r="P1787" i="7"/>
  <c r="P1778" i="7"/>
  <c r="P1769" i="7"/>
  <c r="P1760" i="7"/>
  <c r="P1751" i="7"/>
  <c r="P1743" i="7"/>
  <c r="P1739" i="7"/>
  <c r="P1715" i="7"/>
  <c r="P1706" i="7"/>
  <c r="P1695" i="7"/>
  <c r="P1643" i="7"/>
  <c r="P1640" i="7"/>
  <c r="P1637" i="7"/>
  <c r="P1710" i="7"/>
  <c r="P1686" i="7"/>
  <c r="P1638" i="7"/>
  <c r="P1635" i="7"/>
  <c r="P1632" i="7"/>
  <c r="P1712" i="7"/>
  <c r="P1689" i="7"/>
  <c r="P1688" i="7"/>
  <c r="P1685" i="7"/>
  <c r="P1682" i="7"/>
  <c r="P1634" i="7"/>
  <c r="P1631" i="7"/>
  <c r="P1628" i="7"/>
  <c r="P1615" i="7"/>
  <c r="P1742" i="7"/>
  <c r="P1683" i="7"/>
  <c r="P1680" i="7"/>
  <c r="P1677" i="7"/>
  <c r="P1629" i="7"/>
  <c r="P1626" i="7"/>
  <c r="P1623" i="7"/>
  <c r="P1725" i="7"/>
  <c r="P1691" i="7"/>
  <c r="P1679" i="7"/>
  <c r="P1676" i="7"/>
  <c r="P1673" i="7"/>
  <c r="P1625" i="7"/>
  <c r="P1622" i="7"/>
  <c r="P1619" i="7"/>
  <c r="P1719" i="7"/>
  <c r="P1707" i="7"/>
  <c r="P1703" i="7"/>
  <c r="P1700" i="7"/>
  <c r="P1674" i="7"/>
  <c r="P1671" i="7"/>
  <c r="P1668" i="7"/>
  <c r="P1620" i="7"/>
  <c r="P1721" i="7"/>
  <c r="P1692" i="7"/>
  <c r="P1670" i="7"/>
  <c r="P1667" i="7"/>
  <c r="P1664" i="7"/>
  <c r="P1618" i="7"/>
  <c r="P1734" i="7"/>
  <c r="P1716" i="7"/>
  <c r="P1697" i="7"/>
  <c r="P1665" i="7"/>
  <c r="P1662" i="7"/>
  <c r="P1659" i="7"/>
  <c r="P1724" i="7"/>
  <c r="P1661" i="7"/>
  <c r="P1658" i="7"/>
  <c r="P1655" i="7"/>
  <c r="P1730" i="7"/>
  <c r="P1701" i="7"/>
  <c r="P1694" i="7"/>
  <c r="P1656" i="7"/>
  <c r="P1653" i="7"/>
  <c r="P1650" i="7"/>
  <c r="P1698" i="7"/>
  <c r="P1652" i="7"/>
  <c r="P1649" i="7"/>
  <c r="P1646" i="7"/>
  <c r="P1733" i="7"/>
  <c r="P1647" i="7"/>
  <c r="P1644" i="7"/>
  <c r="P1641" i="7"/>
  <c r="P1616" i="7"/>
  <c r="P1617" i="7"/>
  <c r="N109" i="7"/>
  <c r="N110" i="7"/>
  <c r="O111" i="7"/>
  <c r="N120" i="7"/>
  <c r="R126" i="7"/>
  <c r="R132" i="7"/>
  <c r="O136" i="7"/>
  <c r="N141" i="7"/>
  <c r="O142" i="7"/>
  <c r="N147" i="7"/>
  <c r="N156" i="7"/>
  <c r="R159" i="7"/>
  <c r="N174" i="7"/>
  <c r="R177" i="7"/>
  <c r="N80" i="7"/>
  <c r="N83" i="7"/>
  <c r="N84" i="7"/>
  <c r="N86" i="7"/>
  <c r="N87" i="7"/>
  <c r="O180" i="7"/>
  <c r="O171" i="7"/>
  <c r="O162" i="7"/>
  <c r="O153" i="7"/>
  <c r="O144" i="7"/>
  <c r="O135" i="7"/>
  <c r="O126" i="7"/>
  <c r="O117" i="7"/>
  <c r="O108" i="7"/>
  <c r="O175" i="7"/>
  <c r="O166" i="7"/>
  <c r="O157" i="7"/>
  <c r="O148" i="7"/>
  <c r="O139" i="7"/>
  <c r="O130" i="7"/>
  <c r="O121" i="7"/>
  <c r="O112" i="7"/>
  <c r="O103" i="7"/>
  <c r="O94" i="7"/>
  <c r="O85" i="7"/>
  <c r="O76" i="7"/>
  <c r="O73" i="7"/>
  <c r="O70" i="7"/>
  <c r="O67" i="7"/>
  <c r="O64" i="7"/>
  <c r="O61" i="7"/>
  <c r="O58" i="7"/>
  <c r="O55" i="7"/>
  <c r="O52" i="7"/>
  <c r="O49" i="7"/>
  <c r="O46" i="7"/>
  <c r="O43" i="7"/>
  <c r="O40" i="7"/>
  <c r="O37" i="7"/>
  <c r="O34" i="7"/>
  <c r="O31" i="7"/>
  <c r="O179" i="7"/>
  <c r="O170" i="7"/>
  <c r="O161" i="7"/>
  <c r="O152" i="7"/>
  <c r="O143" i="7"/>
  <c r="O134" i="7"/>
  <c r="O125" i="7"/>
  <c r="O116" i="7"/>
  <c r="O107" i="7"/>
  <c r="O98" i="7"/>
  <c r="O89" i="7"/>
  <c r="O80" i="7"/>
  <c r="O181" i="7"/>
  <c r="O172" i="7"/>
  <c r="O163" i="7"/>
  <c r="O176" i="7"/>
  <c r="O167" i="7"/>
  <c r="O158" i="7"/>
  <c r="M533" i="7"/>
  <c r="M524" i="7"/>
  <c r="M515" i="7"/>
  <c r="M506" i="7"/>
  <c r="M497" i="7"/>
  <c r="M488" i="7"/>
  <c r="M530" i="7"/>
  <c r="M529" i="7"/>
  <c r="M527" i="7"/>
  <c r="M526" i="7"/>
  <c r="M523" i="7"/>
  <c r="M498" i="7"/>
  <c r="M481" i="7"/>
  <c r="M525" i="7"/>
  <c r="M522" i="7"/>
  <c r="M519" i="7"/>
  <c r="M505" i="7"/>
  <c r="M489" i="7"/>
  <c r="M476" i="7"/>
  <c r="M467" i="7"/>
  <c r="M458" i="7"/>
  <c r="M449" i="7"/>
  <c r="M440" i="7"/>
  <c r="M431" i="7"/>
  <c r="M422" i="7"/>
  <c r="M413" i="7"/>
  <c r="M404" i="7"/>
  <c r="M395" i="7"/>
  <c r="M386" i="7"/>
  <c r="M377" i="7"/>
  <c r="M368" i="7"/>
  <c r="M521" i="7"/>
  <c r="M520" i="7"/>
  <c r="M518" i="7"/>
  <c r="M517" i="7"/>
  <c r="M514" i="7"/>
  <c r="M496" i="7"/>
  <c r="M480" i="7"/>
  <c r="M471" i="7"/>
  <c r="M462" i="7"/>
  <c r="M453" i="7"/>
  <c r="M444" i="7"/>
  <c r="M435" i="7"/>
  <c r="M426" i="7"/>
  <c r="M516" i="7"/>
  <c r="M513" i="7"/>
  <c r="M504" i="7"/>
  <c r="M487" i="7"/>
  <c r="M475" i="7"/>
  <c r="M466" i="7"/>
  <c r="M457" i="7"/>
  <c r="M448" i="7"/>
  <c r="M439" i="7"/>
  <c r="M430" i="7"/>
  <c r="M512" i="7"/>
  <c r="M495" i="7"/>
  <c r="M511" i="7"/>
  <c r="M503" i="7"/>
  <c r="M510" i="7"/>
  <c r="M501" i="7"/>
  <c r="M493" i="7"/>
  <c r="M509" i="7"/>
  <c r="M492" i="7"/>
  <c r="M484" i="7"/>
  <c r="M540" i="7"/>
  <c r="M537" i="7"/>
  <c r="M508" i="7"/>
  <c r="M500" i="7"/>
  <c r="M483" i="7"/>
  <c r="M473" i="7"/>
  <c r="M464" i="7"/>
  <c r="M455" i="7"/>
  <c r="M446" i="7"/>
  <c r="M539" i="7"/>
  <c r="M538" i="7"/>
  <c r="M536" i="7"/>
  <c r="M535" i="7"/>
  <c r="M532" i="7"/>
  <c r="M499" i="7"/>
  <c r="M491" i="7"/>
  <c r="M477" i="7"/>
  <c r="M468" i="7"/>
  <c r="M459" i="7"/>
  <c r="M450" i="7"/>
  <c r="M534" i="7"/>
  <c r="M531" i="7"/>
  <c r="M528" i="7"/>
  <c r="M507" i="7"/>
  <c r="M490" i="7"/>
  <c r="M482" i="7"/>
  <c r="M472" i="7"/>
  <c r="M463" i="7"/>
  <c r="M454" i="7"/>
  <c r="M486" i="7"/>
  <c r="M479" i="7"/>
  <c r="M452" i="7"/>
  <c r="M438" i="7"/>
  <c r="M427" i="7"/>
  <c r="M415" i="7"/>
  <c r="M414" i="7"/>
  <c r="M392" i="7"/>
  <c r="M391" i="7"/>
  <c r="M390" i="7"/>
  <c r="M389" i="7"/>
  <c r="M388" i="7"/>
  <c r="M474" i="7"/>
  <c r="M416" i="7"/>
  <c r="M387" i="7"/>
  <c r="M385" i="7"/>
  <c r="M384" i="7"/>
  <c r="M469" i="7"/>
  <c r="M417" i="7"/>
  <c r="M383" i="7"/>
  <c r="M382" i="7"/>
  <c r="M381" i="7"/>
  <c r="M380" i="7"/>
  <c r="M379" i="7"/>
  <c r="M441" i="7"/>
  <c r="M428" i="7"/>
  <c r="M423" i="7"/>
  <c r="M378" i="7"/>
  <c r="M376" i="7"/>
  <c r="M375" i="7"/>
  <c r="M461" i="7"/>
  <c r="M424" i="7"/>
  <c r="M418" i="7"/>
  <c r="M374" i="7"/>
  <c r="M373" i="7"/>
  <c r="M372" i="7"/>
  <c r="M371" i="7"/>
  <c r="M370" i="7"/>
  <c r="M502" i="7"/>
  <c r="M485" i="7"/>
  <c r="M456" i="7"/>
  <c r="M432" i="7"/>
  <c r="M429" i="7"/>
  <c r="M369" i="7"/>
  <c r="M367" i="7"/>
  <c r="M366" i="7"/>
  <c r="M494" i="7"/>
  <c r="M478" i="7"/>
  <c r="M451" i="7"/>
  <c r="M447" i="7"/>
  <c r="M425" i="7"/>
  <c r="M419" i="7"/>
  <c r="M365" i="7"/>
  <c r="M364" i="7"/>
  <c r="M363" i="7"/>
  <c r="M362" i="7"/>
  <c r="M442" i="7"/>
  <c r="M436" i="7"/>
  <c r="M433" i="7"/>
  <c r="M420" i="7"/>
  <c r="M470" i="7"/>
  <c r="M411" i="7"/>
  <c r="M410" i="7"/>
  <c r="M409" i="7"/>
  <c r="M408" i="7"/>
  <c r="M407" i="7"/>
  <c r="M406" i="7"/>
  <c r="M465" i="7"/>
  <c r="M421" i="7"/>
  <c r="M412" i="7"/>
  <c r="M405" i="7"/>
  <c r="M403" i="7"/>
  <c r="M402" i="7"/>
  <c r="M460" i="7"/>
  <c r="M445" i="7"/>
  <c r="M437" i="7"/>
  <c r="M434" i="7"/>
  <c r="M401" i="7"/>
  <c r="M400" i="7"/>
  <c r="M399" i="7"/>
  <c r="M398" i="7"/>
  <c r="M397" i="7"/>
  <c r="M443" i="7"/>
  <c r="M396" i="7"/>
  <c r="M394" i="7"/>
  <c r="M393" i="7"/>
  <c r="P898" i="7"/>
  <c r="P895" i="7"/>
  <c r="P892" i="7"/>
  <c r="P889" i="7"/>
  <c r="P886" i="7"/>
  <c r="P883" i="7"/>
  <c r="P880" i="7"/>
  <c r="P877" i="7"/>
  <c r="P874" i="7"/>
  <c r="P871" i="7"/>
  <c r="P868" i="7"/>
  <c r="P865" i="7"/>
  <c r="P862" i="7"/>
  <c r="P859" i="7"/>
  <c r="P856" i="7"/>
  <c r="P853" i="7"/>
  <c r="P850" i="7"/>
  <c r="P847" i="7"/>
  <c r="P844" i="7"/>
  <c r="P841" i="7"/>
  <c r="P838" i="7"/>
  <c r="P835" i="7"/>
  <c r="P832" i="7"/>
  <c r="P829" i="7"/>
  <c r="P826" i="7"/>
  <c r="P823" i="7"/>
  <c r="P820" i="7"/>
  <c r="P817" i="7"/>
  <c r="P814" i="7"/>
  <c r="P811" i="7"/>
  <c r="P808" i="7"/>
  <c r="P805" i="7"/>
  <c r="P802" i="7"/>
  <c r="P799" i="7"/>
  <c r="P796" i="7"/>
  <c r="P793" i="7"/>
  <c r="P790" i="7"/>
  <c r="P787" i="7"/>
  <c r="P784" i="7"/>
  <c r="P781" i="7"/>
  <c r="P778" i="7"/>
  <c r="P775" i="7"/>
  <c r="P772" i="7"/>
  <c r="P769" i="7"/>
  <c r="P766" i="7"/>
  <c r="P763" i="7"/>
  <c r="P760" i="7"/>
  <c r="P757" i="7"/>
  <c r="P754" i="7"/>
  <c r="P751" i="7"/>
  <c r="P748" i="7"/>
  <c r="P745" i="7"/>
  <c r="P742" i="7"/>
  <c r="P739" i="7"/>
  <c r="P736" i="7"/>
  <c r="P733" i="7"/>
  <c r="P730" i="7"/>
  <c r="P727" i="7"/>
  <c r="P724" i="7"/>
  <c r="P721" i="7"/>
  <c r="P894" i="7"/>
  <c r="P885" i="7"/>
  <c r="P876" i="7"/>
  <c r="P893" i="7"/>
  <c r="P884" i="7"/>
  <c r="P879" i="7"/>
  <c r="P827" i="7"/>
  <c r="P824" i="7"/>
  <c r="P821" i="7"/>
  <c r="P773" i="7"/>
  <c r="P770" i="7"/>
  <c r="P767" i="7"/>
  <c r="P738" i="7"/>
  <c r="P875" i="7"/>
  <c r="P822" i="7"/>
  <c r="P819" i="7"/>
  <c r="P816" i="7"/>
  <c r="P768" i="7"/>
  <c r="P765" i="7"/>
  <c r="P762" i="7"/>
  <c r="P746" i="7"/>
  <c r="P729" i="7"/>
  <c r="P897" i="7"/>
  <c r="P818" i="7"/>
  <c r="P815" i="7"/>
  <c r="P812" i="7"/>
  <c r="P764" i="7"/>
  <c r="P761" i="7"/>
  <c r="P758" i="7"/>
  <c r="P737" i="7"/>
  <c r="P866" i="7"/>
  <c r="P864" i="7"/>
  <c r="P861" i="7"/>
  <c r="P813" i="7"/>
  <c r="P810" i="7"/>
  <c r="P807" i="7"/>
  <c r="P759" i="7"/>
  <c r="P756" i="7"/>
  <c r="P753" i="7"/>
  <c r="P744" i="7"/>
  <c r="P728" i="7"/>
  <c r="P720" i="7"/>
  <c r="P890" i="7"/>
  <c r="P887" i="7"/>
  <c r="P863" i="7"/>
  <c r="P860" i="7"/>
  <c r="P857" i="7"/>
  <c r="P809" i="7"/>
  <c r="P806" i="7"/>
  <c r="P803" i="7"/>
  <c r="P755" i="7"/>
  <c r="P752" i="7"/>
  <c r="P735" i="7"/>
  <c r="P867" i="7"/>
  <c r="P858" i="7"/>
  <c r="P855" i="7"/>
  <c r="P852" i="7"/>
  <c r="P804" i="7"/>
  <c r="P801" i="7"/>
  <c r="P798" i="7"/>
  <c r="P743" i="7"/>
  <c r="P726" i="7"/>
  <c r="P891" i="7"/>
  <c r="P869" i="7"/>
  <c r="P854" i="7"/>
  <c r="P851" i="7"/>
  <c r="P848" i="7"/>
  <c r="P800" i="7"/>
  <c r="P797" i="7"/>
  <c r="P794" i="7"/>
  <c r="P734" i="7"/>
  <c r="P888" i="7"/>
  <c r="P870" i="7"/>
  <c r="P849" i="7"/>
  <c r="P846" i="7"/>
  <c r="P843" i="7"/>
  <c r="P795" i="7"/>
  <c r="P792" i="7"/>
  <c r="P789" i="7"/>
  <c r="P750" i="7"/>
  <c r="P725" i="7"/>
  <c r="P845" i="7"/>
  <c r="P842" i="7"/>
  <c r="P839" i="7"/>
  <c r="P791" i="7"/>
  <c r="P788" i="7"/>
  <c r="P785" i="7"/>
  <c r="P749" i="7"/>
  <c r="P741" i="7"/>
  <c r="P881" i="7"/>
  <c r="P878" i="7"/>
  <c r="P840" i="7"/>
  <c r="P837" i="7"/>
  <c r="P834" i="7"/>
  <c r="P786" i="7"/>
  <c r="P783" i="7"/>
  <c r="P780" i="7"/>
  <c r="P740" i="7"/>
  <c r="P732" i="7"/>
  <c r="P873" i="7"/>
  <c r="P872" i="7"/>
  <c r="P836" i="7"/>
  <c r="P833" i="7"/>
  <c r="P830" i="7"/>
  <c r="P782" i="7"/>
  <c r="P779" i="7"/>
  <c r="P776" i="7"/>
  <c r="P731" i="7"/>
  <c r="P723" i="7"/>
  <c r="P896" i="7"/>
  <c r="P882" i="7"/>
  <c r="P831" i="7"/>
  <c r="P828" i="7"/>
  <c r="P825" i="7"/>
  <c r="P777" i="7"/>
  <c r="P774" i="7"/>
  <c r="P771" i="7"/>
  <c r="P747" i="7"/>
  <c r="P722" i="7"/>
  <c r="I22" i="17"/>
  <c r="R1075" i="7"/>
  <c r="R1066" i="7"/>
  <c r="R1073" i="7"/>
  <c r="R1065" i="7"/>
  <c r="R1060" i="7"/>
  <c r="R1051" i="7"/>
  <c r="R1042" i="7"/>
  <c r="R1033" i="7"/>
  <c r="R1024" i="7"/>
  <c r="R1015" i="7"/>
  <c r="R1006" i="7"/>
  <c r="R997" i="7"/>
  <c r="R988" i="7"/>
  <c r="R979" i="7"/>
  <c r="R970" i="7"/>
  <c r="R961" i="7"/>
  <c r="R952" i="7"/>
  <c r="R943" i="7"/>
  <c r="R934" i="7"/>
  <c r="R925" i="7"/>
  <c r="R916" i="7"/>
  <c r="R907" i="7"/>
  <c r="R1072" i="7"/>
  <c r="R1064" i="7"/>
  <c r="R1055" i="7"/>
  <c r="R1046" i="7"/>
  <c r="R1037" i="7"/>
  <c r="R1028" i="7"/>
  <c r="R1019" i="7"/>
  <c r="R1010" i="7"/>
  <c r="R1001" i="7"/>
  <c r="R992" i="7"/>
  <c r="R983" i="7"/>
  <c r="R974" i="7"/>
  <c r="R965" i="7"/>
  <c r="R956" i="7"/>
  <c r="R947" i="7"/>
  <c r="R938" i="7"/>
  <c r="R929" i="7"/>
  <c r="R920" i="7"/>
  <c r="R911" i="7"/>
  <c r="R902" i="7"/>
  <c r="R1059" i="7"/>
  <c r="R1050" i="7"/>
  <c r="R1041" i="7"/>
  <c r="R1032" i="7"/>
  <c r="R1023" i="7"/>
  <c r="R1014" i="7"/>
  <c r="R1005" i="7"/>
  <c r="R996" i="7"/>
  <c r="R987" i="7"/>
  <c r="R978" i="7"/>
  <c r="R969" i="7"/>
  <c r="R960" i="7"/>
  <c r="R951" i="7"/>
  <c r="R942" i="7"/>
  <c r="R933" i="7"/>
  <c r="R924" i="7"/>
  <c r="R915" i="7"/>
  <c r="R906" i="7"/>
  <c r="R1071" i="7"/>
  <c r="R1070" i="7"/>
  <c r="R1063" i="7"/>
  <c r="R1054" i="7"/>
  <c r="R1045" i="7"/>
  <c r="R1036" i="7"/>
  <c r="R1027" i="7"/>
  <c r="R1018" i="7"/>
  <c r="R1009" i="7"/>
  <c r="R1000" i="7"/>
  <c r="R991" i="7"/>
  <c r="R1069" i="7"/>
  <c r="R1058" i="7"/>
  <c r="R1049" i="7"/>
  <c r="R1040" i="7"/>
  <c r="R1031" i="7"/>
  <c r="R1022" i="7"/>
  <c r="R1013" i="7"/>
  <c r="R1004" i="7"/>
  <c r="R995" i="7"/>
  <c r="R986" i="7"/>
  <c r="R977" i="7"/>
  <c r="R968" i="7"/>
  <c r="R959" i="7"/>
  <c r="R950" i="7"/>
  <c r="R941" i="7"/>
  <c r="R932" i="7"/>
  <c r="R923" i="7"/>
  <c r="R914" i="7"/>
  <c r="R1077" i="7"/>
  <c r="R1062" i="7"/>
  <c r="R1053" i="7"/>
  <c r="R1044" i="7"/>
  <c r="R1035" i="7"/>
  <c r="R1026" i="7"/>
  <c r="R1017" i="7"/>
  <c r="R1008" i="7"/>
  <c r="R999" i="7"/>
  <c r="R990" i="7"/>
  <c r="R981" i="7"/>
  <c r="R972" i="7"/>
  <c r="R963" i="7"/>
  <c r="R954" i="7"/>
  <c r="R945" i="7"/>
  <c r="R936" i="7"/>
  <c r="R927" i="7"/>
  <c r="R918" i="7"/>
  <c r="R909" i="7"/>
  <c r="R900" i="7"/>
  <c r="R1076" i="7"/>
  <c r="R1068" i="7"/>
  <c r="R1067" i="7"/>
  <c r="R1057" i="7"/>
  <c r="R1048" i="7"/>
  <c r="R1039" i="7"/>
  <c r="R1030" i="7"/>
  <c r="R1021" i="7"/>
  <c r="R1012" i="7"/>
  <c r="R1003" i="7"/>
  <c r="R994" i="7"/>
  <c r="R985" i="7"/>
  <c r="R1061" i="7"/>
  <c r="R1052" i="7"/>
  <c r="R1043" i="7"/>
  <c r="R1034" i="7"/>
  <c r="R1025" i="7"/>
  <c r="R1016" i="7"/>
  <c r="R1007" i="7"/>
  <c r="R998" i="7"/>
  <c r="R989" i="7"/>
  <c r="R980" i="7"/>
  <c r="R971" i="7"/>
  <c r="R962" i="7"/>
  <c r="R953" i="7"/>
  <c r="R944" i="7"/>
  <c r="R935" i="7"/>
  <c r="R1074" i="7"/>
  <c r="R1056" i="7"/>
  <c r="R1047" i="7"/>
  <c r="R1038" i="7"/>
  <c r="R1029" i="7"/>
  <c r="R1020" i="7"/>
  <c r="R1011" i="7"/>
  <c r="R1002" i="7"/>
  <c r="R993" i="7"/>
  <c r="R984" i="7"/>
  <c r="R975" i="7"/>
  <c r="R966" i="7"/>
  <c r="R957" i="7"/>
  <c r="R948" i="7"/>
  <c r="R939" i="7"/>
  <c r="R930" i="7"/>
  <c r="R921" i="7"/>
  <c r="R973" i="7"/>
  <c r="R913" i="7"/>
  <c r="R904" i="7"/>
  <c r="R976" i="7"/>
  <c r="R955" i="7"/>
  <c r="R908" i="7"/>
  <c r="R928" i="7"/>
  <c r="R905" i="7"/>
  <c r="R901" i="7"/>
  <c r="R982" i="7"/>
  <c r="R940" i="7"/>
  <c r="R926" i="7"/>
  <c r="R922" i="7"/>
  <c r="R937" i="7"/>
  <c r="R949" i="7"/>
  <c r="R912" i="7"/>
  <c r="R964" i="7"/>
  <c r="R946" i="7"/>
  <c r="R919" i="7"/>
  <c r="R899" i="7"/>
  <c r="R967" i="7"/>
  <c r="R917" i="7"/>
  <c r="R910" i="7"/>
  <c r="R903" i="7"/>
  <c r="R958" i="7"/>
  <c r="R931" i="7"/>
  <c r="N1429" i="7"/>
  <c r="N1423" i="7"/>
  <c r="N1414" i="7"/>
  <c r="N1405" i="7"/>
  <c r="N1396" i="7"/>
  <c r="N1387" i="7"/>
  <c r="N1378" i="7"/>
  <c r="N1369" i="7"/>
  <c r="N1360" i="7"/>
  <c r="N1351" i="7"/>
  <c r="N1342" i="7"/>
  <c r="N1333" i="7"/>
  <c r="N1324" i="7"/>
  <c r="N1315" i="7"/>
  <c r="N1306" i="7"/>
  <c r="N1297" i="7"/>
  <c r="N1288" i="7"/>
  <c r="N1279" i="7"/>
  <c r="N1270" i="7"/>
  <c r="N1261" i="7"/>
  <c r="N1435" i="7"/>
  <c r="N1427" i="7"/>
  <c r="N1418" i="7"/>
  <c r="N1409" i="7"/>
  <c r="N1400" i="7"/>
  <c r="N1391" i="7"/>
  <c r="N1382" i="7"/>
  <c r="N1373" i="7"/>
  <c r="N1364" i="7"/>
  <c r="N1355" i="7"/>
  <c r="N1346" i="7"/>
  <c r="N1337" i="7"/>
  <c r="N1328" i="7"/>
  <c r="N1319" i="7"/>
  <c r="N1310" i="7"/>
  <c r="N1301" i="7"/>
  <c r="N1292" i="7"/>
  <c r="N1283" i="7"/>
  <c r="N1274" i="7"/>
  <c r="N1265" i="7"/>
  <c r="N1434" i="7"/>
  <c r="N1422" i="7"/>
  <c r="N1413" i="7"/>
  <c r="N1404" i="7"/>
  <c r="N1395" i="7"/>
  <c r="N1386" i="7"/>
  <c r="N1377" i="7"/>
  <c r="N1368" i="7"/>
  <c r="N1359" i="7"/>
  <c r="N1433" i="7"/>
  <c r="N1426" i="7"/>
  <c r="N1417" i="7"/>
  <c r="N1408" i="7"/>
  <c r="N1399" i="7"/>
  <c r="N1390" i="7"/>
  <c r="N1381" i="7"/>
  <c r="N1372" i="7"/>
  <c r="N1363" i="7"/>
  <c r="N1432" i="7"/>
  <c r="N1421" i="7"/>
  <c r="N1412" i="7"/>
  <c r="N1403" i="7"/>
  <c r="N1394" i="7"/>
  <c r="N1385" i="7"/>
  <c r="N1376" i="7"/>
  <c r="N1367" i="7"/>
  <c r="N1358" i="7"/>
  <c r="N1349" i="7"/>
  <c r="N1431" i="7"/>
  <c r="N1425" i="7"/>
  <c r="N1416" i="7"/>
  <c r="N1407" i="7"/>
  <c r="N1398" i="7"/>
  <c r="N1389" i="7"/>
  <c r="N1430" i="7"/>
  <c r="N1420" i="7"/>
  <c r="N1411" i="7"/>
  <c r="N1402" i="7"/>
  <c r="N1393" i="7"/>
  <c r="N1384" i="7"/>
  <c r="N1424" i="7"/>
  <c r="N1415" i="7"/>
  <c r="N1406" i="7"/>
  <c r="N1397" i="7"/>
  <c r="N1388" i="7"/>
  <c r="N1379" i="7"/>
  <c r="N1370" i="7"/>
  <c r="N1361" i="7"/>
  <c r="N1428" i="7"/>
  <c r="N1419" i="7"/>
  <c r="N1410" i="7"/>
  <c r="N1401" i="7"/>
  <c r="N1392" i="7"/>
  <c r="N1383" i="7"/>
  <c r="N1374" i="7"/>
  <c r="N1352" i="7"/>
  <c r="N1321" i="7"/>
  <c r="N1320" i="7"/>
  <c r="N1318" i="7"/>
  <c r="N1317" i="7"/>
  <c r="N1314" i="7"/>
  <c r="N1267" i="7"/>
  <c r="N1266" i="7"/>
  <c r="N1264" i="7"/>
  <c r="N1263" i="7"/>
  <c r="N1380" i="7"/>
  <c r="N1353" i="7"/>
  <c r="N1316" i="7"/>
  <c r="N1313" i="7"/>
  <c r="N1260" i="7"/>
  <c r="N1312" i="7"/>
  <c r="N1311" i="7"/>
  <c r="N1309" i="7"/>
  <c r="N1308" i="7"/>
  <c r="N1305" i="7"/>
  <c r="N1262" i="7"/>
  <c r="N1259" i="7"/>
  <c r="N1375" i="7"/>
  <c r="N1307" i="7"/>
  <c r="N1304" i="7"/>
  <c r="N1258" i="7"/>
  <c r="N1257" i="7"/>
  <c r="N1362" i="7"/>
  <c r="N1354" i="7"/>
  <c r="N1303" i="7"/>
  <c r="N1302" i="7"/>
  <c r="N1300" i="7"/>
  <c r="N1299" i="7"/>
  <c r="N1296" i="7"/>
  <c r="N1366" i="7"/>
  <c r="N1298" i="7"/>
  <c r="N1295" i="7"/>
  <c r="N1345" i="7"/>
  <c r="N1344" i="7"/>
  <c r="N1341" i="7"/>
  <c r="N1294" i="7"/>
  <c r="N1293" i="7"/>
  <c r="N1291" i="7"/>
  <c r="N1290" i="7"/>
  <c r="N1287" i="7"/>
  <c r="N1347" i="7"/>
  <c r="N1343" i="7"/>
  <c r="N1340" i="7"/>
  <c r="N1289" i="7"/>
  <c r="N1286" i="7"/>
  <c r="N1348" i="7"/>
  <c r="N1339" i="7"/>
  <c r="N1338" i="7"/>
  <c r="N1336" i="7"/>
  <c r="N1335" i="7"/>
  <c r="N1332" i="7"/>
  <c r="N1285" i="7"/>
  <c r="N1284" i="7"/>
  <c r="N1282" i="7"/>
  <c r="N1281" i="7"/>
  <c r="N1278" i="7"/>
  <c r="N1371" i="7"/>
  <c r="N1356" i="7"/>
  <c r="N1350" i="7"/>
  <c r="N1334" i="7"/>
  <c r="N1331" i="7"/>
  <c r="N1280" i="7"/>
  <c r="N1277" i="7"/>
  <c r="N1330" i="7"/>
  <c r="N1329" i="7"/>
  <c r="N1327" i="7"/>
  <c r="N1326" i="7"/>
  <c r="N1323" i="7"/>
  <c r="N1276" i="7"/>
  <c r="N1275" i="7"/>
  <c r="N1273" i="7"/>
  <c r="N1272" i="7"/>
  <c r="N1269" i="7"/>
  <c r="N1365" i="7"/>
  <c r="N1357" i="7"/>
  <c r="N1325" i="7"/>
  <c r="N1322" i="7"/>
  <c r="N1271" i="7"/>
  <c r="N1268" i="7"/>
  <c r="Q1792" i="7"/>
  <c r="S1792" i="7" s="1"/>
  <c r="M1076" i="11" s="1"/>
  <c r="Q1791" i="7"/>
  <c r="S1791" i="7" s="1"/>
  <c r="M1075" i="11" s="1"/>
  <c r="Q1786" i="7"/>
  <c r="S1786" i="7" s="1"/>
  <c r="M1070" i="11" s="1"/>
  <c r="Q1777" i="7"/>
  <c r="S1777" i="7" s="1"/>
  <c r="M1061" i="11" s="1"/>
  <c r="Q1768" i="7"/>
  <c r="S1768" i="7" s="1"/>
  <c r="M1052" i="11" s="1"/>
  <c r="Q1759" i="7"/>
  <c r="S1759" i="7" s="1"/>
  <c r="M1043" i="11" s="1"/>
  <c r="Q1750" i="7"/>
  <c r="S1750" i="7" s="1"/>
  <c r="M1034" i="11" s="1"/>
  <c r="Q1741" i="7"/>
  <c r="S1741" i="7" s="1"/>
  <c r="M1025" i="11" s="1"/>
  <c r="Q1732" i="7"/>
  <c r="S1732" i="7" s="1"/>
  <c r="M1016" i="11" s="1"/>
  <c r="Q1723" i="7"/>
  <c r="S1723" i="7" s="1"/>
  <c r="M1007" i="11" s="1"/>
  <c r="Q1714" i="7"/>
  <c r="S1714" i="7" s="1"/>
  <c r="M998" i="11" s="1"/>
  <c r="Q1705" i="7"/>
  <c r="S1705" i="7" s="1"/>
  <c r="M989" i="11" s="1"/>
  <c r="Q1696" i="7"/>
  <c r="S1696" i="7" s="1"/>
  <c r="M980" i="11" s="1"/>
  <c r="Q1687" i="7"/>
  <c r="S1687" i="7" s="1"/>
  <c r="M971" i="11" s="1"/>
  <c r="Q1678" i="7"/>
  <c r="S1678" i="7" s="1"/>
  <c r="M962" i="11" s="1"/>
  <c r="Q1669" i="7"/>
  <c r="S1669" i="7" s="1"/>
  <c r="M953" i="11" s="1"/>
  <c r="Q1660" i="7"/>
  <c r="S1660" i="7" s="1"/>
  <c r="M944" i="11" s="1"/>
  <c r="Q1651" i="7"/>
  <c r="S1651" i="7" s="1"/>
  <c r="M935" i="11" s="1"/>
  <c r="Q1642" i="7"/>
  <c r="S1642" i="7" s="1"/>
  <c r="M926" i="11" s="1"/>
  <c r="Q1633" i="7"/>
  <c r="S1633" i="7" s="1"/>
  <c r="M917" i="11" s="1"/>
  <c r="Q1624" i="7"/>
  <c r="S1624" i="7" s="1"/>
  <c r="M908" i="11" s="1"/>
  <c r="Q1790" i="7"/>
  <c r="S1790" i="7" s="1"/>
  <c r="M1074" i="11" s="1"/>
  <c r="Q1781" i="7"/>
  <c r="S1781" i="7" s="1"/>
  <c r="M1065" i="11" s="1"/>
  <c r="Q1772" i="7"/>
  <c r="S1772" i="7" s="1"/>
  <c r="M1056" i="11" s="1"/>
  <c r="Q1763" i="7"/>
  <c r="S1763" i="7" s="1"/>
  <c r="M1047" i="11" s="1"/>
  <c r="Q1754" i="7"/>
  <c r="S1754" i="7" s="1"/>
  <c r="M1038" i="11" s="1"/>
  <c r="Q1745" i="7"/>
  <c r="S1745" i="7" s="1"/>
  <c r="M1029" i="11" s="1"/>
  <c r="Q1736" i="7"/>
  <c r="S1736" i="7" s="1"/>
  <c r="M1020" i="11" s="1"/>
  <c r="Q1727" i="7"/>
  <c r="S1727" i="7" s="1"/>
  <c r="M1011" i="11" s="1"/>
  <c r="Q1718" i="7"/>
  <c r="S1718" i="7" s="1"/>
  <c r="M1002" i="11" s="1"/>
  <c r="Q1709" i="7"/>
  <c r="S1709" i="7" s="1"/>
  <c r="M993" i="11" s="1"/>
  <c r="Q1700" i="7"/>
  <c r="S1700" i="7" s="1"/>
  <c r="M984" i="11" s="1"/>
  <c r="Q1691" i="7"/>
  <c r="S1691" i="7" s="1"/>
  <c r="M975" i="11" s="1"/>
  <c r="Q1682" i="7"/>
  <c r="S1682" i="7" s="1"/>
  <c r="M966" i="11" s="1"/>
  <c r="Q1673" i="7"/>
  <c r="S1673" i="7" s="1"/>
  <c r="M957" i="11" s="1"/>
  <c r="Q1664" i="7"/>
  <c r="S1664" i="7" s="1"/>
  <c r="M948" i="11" s="1"/>
  <c r="Q1655" i="7"/>
  <c r="S1655" i="7" s="1"/>
  <c r="M939" i="11" s="1"/>
  <c r="Q1646" i="7"/>
  <c r="S1646" i="7" s="1"/>
  <c r="M930" i="11" s="1"/>
  <c r="Q1637" i="7"/>
  <c r="S1637" i="7" s="1"/>
  <c r="M921" i="11" s="1"/>
  <c r="Q1628" i="7"/>
  <c r="S1628" i="7" s="1"/>
  <c r="M912" i="11" s="1"/>
  <c r="Q1619" i="7"/>
  <c r="S1619" i="7" s="1"/>
  <c r="M903" i="11" s="1"/>
  <c r="Q1616" i="7"/>
  <c r="S1616" i="7" s="1"/>
  <c r="M900" i="11" s="1"/>
  <c r="Q1785" i="7"/>
  <c r="S1785" i="7" s="1"/>
  <c r="M1069" i="11" s="1"/>
  <c r="Q1776" i="7"/>
  <c r="S1776" i="7" s="1"/>
  <c r="M1060" i="11" s="1"/>
  <c r="Q1767" i="7"/>
  <c r="S1767" i="7" s="1"/>
  <c r="M1051" i="11" s="1"/>
  <c r="Q1758" i="7"/>
  <c r="S1758" i="7" s="1"/>
  <c r="M1042" i="11" s="1"/>
  <c r="Q1749" i="7"/>
  <c r="S1749" i="7" s="1"/>
  <c r="M1033" i="11" s="1"/>
  <c r="Q1740" i="7"/>
  <c r="S1740" i="7" s="1"/>
  <c r="M1024" i="11" s="1"/>
  <c r="Q1731" i="7"/>
  <c r="S1731" i="7" s="1"/>
  <c r="M1015" i="11" s="1"/>
  <c r="Q1722" i="7"/>
  <c r="S1722" i="7" s="1"/>
  <c r="M1006" i="11" s="1"/>
  <c r="Q1713" i="7"/>
  <c r="S1713" i="7" s="1"/>
  <c r="M997" i="11" s="1"/>
  <c r="Q1704" i="7"/>
  <c r="S1704" i="7" s="1"/>
  <c r="M988" i="11" s="1"/>
  <c r="Q1789" i="7"/>
  <c r="S1789" i="7" s="1"/>
  <c r="M1073" i="11" s="1"/>
  <c r="Q1780" i="7"/>
  <c r="S1780" i="7" s="1"/>
  <c r="M1064" i="11" s="1"/>
  <c r="Q1771" i="7"/>
  <c r="S1771" i="7" s="1"/>
  <c r="M1055" i="11" s="1"/>
  <c r="Q1762" i="7"/>
  <c r="S1762" i="7" s="1"/>
  <c r="M1046" i="11" s="1"/>
  <c r="Q1753" i="7"/>
  <c r="S1753" i="7" s="1"/>
  <c r="M1037" i="11" s="1"/>
  <c r="Q1744" i="7"/>
  <c r="S1744" i="7" s="1"/>
  <c r="M1028" i="11" s="1"/>
  <c r="Q1735" i="7"/>
  <c r="S1735" i="7" s="1"/>
  <c r="M1019" i="11" s="1"/>
  <c r="Q1726" i="7"/>
  <c r="S1726" i="7" s="1"/>
  <c r="M1010" i="11" s="1"/>
  <c r="Q1717" i="7"/>
  <c r="S1717" i="7" s="1"/>
  <c r="M1001" i="11" s="1"/>
  <c r="Q1708" i="7"/>
  <c r="S1708" i="7" s="1"/>
  <c r="M992" i="11" s="1"/>
  <c r="Q1699" i="7"/>
  <c r="S1699" i="7" s="1"/>
  <c r="M983" i="11" s="1"/>
  <c r="Q1690" i="7"/>
  <c r="S1690" i="7" s="1"/>
  <c r="M974" i="11" s="1"/>
  <c r="Q1784" i="7"/>
  <c r="S1784" i="7" s="1"/>
  <c r="M1068" i="11" s="1"/>
  <c r="Q1775" i="7"/>
  <c r="S1775" i="7" s="1"/>
  <c r="M1059" i="11" s="1"/>
  <c r="Q1766" i="7"/>
  <c r="S1766" i="7" s="1"/>
  <c r="M1050" i="11" s="1"/>
  <c r="Q1757" i="7"/>
  <c r="S1757" i="7" s="1"/>
  <c r="M1041" i="11" s="1"/>
  <c r="Q1748" i="7"/>
  <c r="S1748" i="7" s="1"/>
  <c r="M1032" i="11" s="1"/>
  <c r="Q1739" i="7"/>
  <c r="S1739" i="7" s="1"/>
  <c r="M1023" i="11" s="1"/>
  <c r="Q1730" i="7"/>
  <c r="S1730" i="7" s="1"/>
  <c r="M1014" i="11" s="1"/>
  <c r="Q1721" i="7"/>
  <c r="S1721" i="7" s="1"/>
  <c r="M1005" i="11" s="1"/>
  <c r="Q1712" i="7"/>
  <c r="S1712" i="7" s="1"/>
  <c r="M996" i="11" s="1"/>
  <c r="Q1703" i="7"/>
  <c r="S1703" i="7" s="1"/>
  <c r="M987" i="11" s="1"/>
  <c r="Q1694" i="7"/>
  <c r="S1694" i="7" s="1"/>
  <c r="M978" i="11" s="1"/>
  <c r="Q1788" i="7"/>
  <c r="S1788" i="7" s="1"/>
  <c r="M1072" i="11" s="1"/>
  <c r="Q1779" i="7"/>
  <c r="S1779" i="7" s="1"/>
  <c r="M1063" i="11" s="1"/>
  <c r="Q1770" i="7"/>
  <c r="S1770" i="7" s="1"/>
  <c r="M1054" i="11" s="1"/>
  <c r="Q1761" i="7"/>
  <c r="S1761" i="7" s="1"/>
  <c r="M1045" i="11" s="1"/>
  <c r="Q1752" i="7"/>
  <c r="S1752" i="7" s="1"/>
  <c r="M1036" i="11" s="1"/>
  <c r="Q1743" i="7"/>
  <c r="S1743" i="7" s="1"/>
  <c r="M1027" i="11" s="1"/>
  <c r="Q1783" i="7"/>
  <c r="S1783" i="7" s="1"/>
  <c r="M1067" i="11" s="1"/>
  <c r="Q1774" i="7"/>
  <c r="S1774" i="7" s="1"/>
  <c r="M1058" i="11" s="1"/>
  <c r="Q1765" i="7"/>
  <c r="S1765" i="7" s="1"/>
  <c r="M1049" i="11" s="1"/>
  <c r="Q1756" i="7"/>
  <c r="S1756" i="7" s="1"/>
  <c r="M1040" i="11" s="1"/>
  <c r="Q1747" i="7"/>
  <c r="S1747" i="7" s="1"/>
  <c r="M1031" i="11" s="1"/>
  <c r="Q1738" i="7"/>
  <c r="S1738" i="7" s="1"/>
  <c r="M1022" i="11" s="1"/>
  <c r="Q1729" i="7"/>
  <c r="S1729" i="7" s="1"/>
  <c r="M1013" i="11" s="1"/>
  <c r="Q1720" i="7"/>
  <c r="S1720" i="7" s="1"/>
  <c r="M1004" i="11" s="1"/>
  <c r="Q1711" i="7"/>
  <c r="S1711" i="7" s="1"/>
  <c r="M995" i="11" s="1"/>
  <c r="Q1793" i="7"/>
  <c r="S1793" i="7" s="1"/>
  <c r="M1077" i="11" s="1"/>
  <c r="Q1787" i="7"/>
  <c r="S1787" i="7" s="1"/>
  <c r="M1071" i="11" s="1"/>
  <c r="Q1778" i="7"/>
  <c r="S1778" i="7" s="1"/>
  <c r="M1062" i="11" s="1"/>
  <c r="Q1769" i="7"/>
  <c r="S1769" i="7" s="1"/>
  <c r="M1053" i="11" s="1"/>
  <c r="Q1760" i="7"/>
  <c r="S1760" i="7" s="1"/>
  <c r="M1044" i="11" s="1"/>
  <c r="Q1751" i="7"/>
  <c r="S1751" i="7" s="1"/>
  <c r="M1035" i="11" s="1"/>
  <c r="Q1742" i="7"/>
  <c r="S1742" i="7" s="1"/>
  <c r="M1026" i="11" s="1"/>
  <c r="Q1733" i="7"/>
  <c r="S1733" i="7" s="1"/>
  <c r="M1017" i="11" s="1"/>
  <c r="Q1724" i="7"/>
  <c r="S1724" i="7" s="1"/>
  <c r="M1008" i="11" s="1"/>
  <c r="Q1715" i="7"/>
  <c r="S1715" i="7" s="1"/>
  <c r="M999" i="11" s="1"/>
  <c r="Q1706" i="7"/>
  <c r="S1706" i="7" s="1"/>
  <c r="M990" i="11" s="1"/>
  <c r="Q1697" i="7"/>
  <c r="S1697" i="7" s="1"/>
  <c r="M981" i="11" s="1"/>
  <c r="Q1782" i="7"/>
  <c r="S1782" i="7" s="1"/>
  <c r="M1066" i="11" s="1"/>
  <c r="Q1773" i="7"/>
  <c r="S1773" i="7" s="1"/>
  <c r="M1057" i="11" s="1"/>
  <c r="Q1764" i="7"/>
  <c r="S1764" i="7" s="1"/>
  <c r="M1048" i="11" s="1"/>
  <c r="Q1755" i="7"/>
  <c r="S1755" i="7" s="1"/>
  <c r="M1039" i="11" s="1"/>
  <c r="Q1746" i="7"/>
  <c r="S1746" i="7" s="1"/>
  <c r="M1030" i="11" s="1"/>
  <c r="Q1710" i="7"/>
  <c r="S1710" i="7" s="1"/>
  <c r="M994" i="11" s="1"/>
  <c r="Q1702" i="7"/>
  <c r="S1702" i="7" s="1"/>
  <c r="M986" i="11" s="1"/>
  <c r="Q1686" i="7"/>
  <c r="S1686" i="7" s="1"/>
  <c r="M970" i="11" s="1"/>
  <c r="Q1639" i="7"/>
  <c r="S1639" i="7" s="1"/>
  <c r="M923" i="11" s="1"/>
  <c r="Q1638" i="7"/>
  <c r="S1638" i="7" s="1"/>
  <c r="M922" i="11" s="1"/>
  <c r="Q1636" i="7"/>
  <c r="S1636" i="7" s="1"/>
  <c r="M920" i="11" s="1"/>
  <c r="Q1635" i="7"/>
  <c r="S1635" i="7" s="1"/>
  <c r="M919" i="11" s="1"/>
  <c r="Q1632" i="7"/>
  <c r="S1632" i="7" s="1"/>
  <c r="M916" i="11" s="1"/>
  <c r="Q1689" i="7"/>
  <c r="S1689" i="7" s="1"/>
  <c r="M973" i="11" s="1"/>
  <c r="Q1688" i="7"/>
  <c r="S1688" i="7" s="1"/>
  <c r="M972" i="11" s="1"/>
  <c r="Q1685" i="7"/>
  <c r="S1685" i="7" s="1"/>
  <c r="M969" i="11" s="1"/>
  <c r="Q1634" i="7"/>
  <c r="S1634" i="7" s="1"/>
  <c r="M918" i="11" s="1"/>
  <c r="Q1631" i="7"/>
  <c r="S1631" i="7" s="1"/>
  <c r="M915" i="11" s="1"/>
  <c r="Q1615" i="7"/>
  <c r="S1615" i="7" s="1"/>
  <c r="M899" i="11" s="1"/>
  <c r="Q1684" i="7"/>
  <c r="S1684" i="7" s="1"/>
  <c r="M968" i="11" s="1"/>
  <c r="Q1683" i="7"/>
  <c r="S1683" i="7" s="1"/>
  <c r="M967" i="11" s="1"/>
  <c r="Q1681" i="7"/>
  <c r="S1681" i="7" s="1"/>
  <c r="M965" i="11" s="1"/>
  <c r="Q1680" i="7"/>
  <c r="S1680" i="7" s="1"/>
  <c r="M964" i="11" s="1"/>
  <c r="Q1677" i="7"/>
  <c r="S1677" i="7" s="1"/>
  <c r="M961" i="11" s="1"/>
  <c r="Q1630" i="7"/>
  <c r="S1630" i="7" s="1"/>
  <c r="M914" i="11" s="1"/>
  <c r="Q1629" i="7"/>
  <c r="S1629" i="7" s="1"/>
  <c r="M913" i="11" s="1"/>
  <c r="Q1627" i="7"/>
  <c r="S1627" i="7" s="1"/>
  <c r="M911" i="11" s="1"/>
  <c r="Q1626" i="7"/>
  <c r="S1626" i="7" s="1"/>
  <c r="M910" i="11" s="1"/>
  <c r="Q1623" i="7"/>
  <c r="S1623" i="7" s="1"/>
  <c r="M907" i="11" s="1"/>
  <c r="Q1725" i="7"/>
  <c r="S1725" i="7" s="1"/>
  <c r="M1009" i="11" s="1"/>
  <c r="Q1679" i="7"/>
  <c r="S1679" i="7" s="1"/>
  <c r="M963" i="11" s="1"/>
  <c r="Q1676" i="7"/>
  <c r="S1676" i="7" s="1"/>
  <c r="M960" i="11" s="1"/>
  <c r="Q1625" i="7"/>
  <c r="S1625" i="7" s="1"/>
  <c r="M909" i="11" s="1"/>
  <c r="Q1622" i="7"/>
  <c r="S1622" i="7" s="1"/>
  <c r="M906" i="11" s="1"/>
  <c r="Q1719" i="7"/>
  <c r="S1719" i="7" s="1"/>
  <c r="M1003" i="11" s="1"/>
  <c r="Q1707" i="7"/>
  <c r="S1707" i="7" s="1"/>
  <c r="M991" i="11" s="1"/>
  <c r="Q1675" i="7"/>
  <c r="S1675" i="7" s="1"/>
  <c r="M959" i="11" s="1"/>
  <c r="Q1674" i="7"/>
  <c r="S1674" i="7" s="1"/>
  <c r="M958" i="11" s="1"/>
  <c r="Q1672" i="7"/>
  <c r="S1672" i="7" s="1"/>
  <c r="M956" i="11" s="1"/>
  <c r="Q1671" i="7"/>
  <c r="S1671" i="7" s="1"/>
  <c r="M955" i="11" s="1"/>
  <c r="Q1668" i="7"/>
  <c r="S1668" i="7" s="1"/>
  <c r="M952" i="11" s="1"/>
  <c r="Q1621" i="7"/>
  <c r="S1621" i="7" s="1"/>
  <c r="M905" i="11" s="1"/>
  <c r="Q1620" i="7"/>
  <c r="S1620" i="7" s="1"/>
  <c r="M904" i="11" s="1"/>
  <c r="Q1728" i="7"/>
  <c r="S1728" i="7" s="1"/>
  <c r="M1012" i="11" s="1"/>
  <c r="Q1692" i="7"/>
  <c r="S1692" i="7" s="1"/>
  <c r="M976" i="11" s="1"/>
  <c r="Q1670" i="7"/>
  <c r="S1670" i="7" s="1"/>
  <c r="M954" i="11" s="1"/>
  <c r="Q1667" i="7"/>
  <c r="S1667" i="7" s="1"/>
  <c r="M951" i="11" s="1"/>
  <c r="Q1618" i="7"/>
  <c r="S1618" i="7" s="1"/>
  <c r="M902" i="11" s="1"/>
  <c r="Q1734" i="7"/>
  <c r="S1734" i="7" s="1"/>
  <c r="M1018" i="11" s="1"/>
  <c r="Q1716" i="7"/>
  <c r="S1716" i="7" s="1"/>
  <c r="M1000" i="11" s="1"/>
  <c r="Q1666" i="7"/>
  <c r="S1666" i="7" s="1"/>
  <c r="M950" i="11" s="1"/>
  <c r="Q1665" i="7"/>
  <c r="S1665" i="7" s="1"/>
  <c r="M949" i="11" s="1"/>
  <c r="Q1663" i="7"/>
  <c r="S1663" i="7" s="1"/>
  <c r="M947" i="11" s="1"/>
  <c r="Q1662" i="7"/>
  <c r="S1662" i="7" s="1"/>
  <c r="M946" i="11" s="1"/>
  <c r="Q1659" i="7"/>
  <c r="S1659" i="7" s="1"/>
  <c r="M943" i="11" s="1"/>
  <c r="Q1693" i="7"/>
  <c r="S1693" i="7" s="1"/>
  <c r="M977" i="11" s="1"/>
  <c r="Q1661" i="7"/>
  <c r="S1661" i="7" s="1"/>
  <c r="M945" i="11" s="1"/>
  <c r="Q1658" i="7"/>
  <c r="S1658" i="7" s="1"/>
  <c r="M942" i="11" s="1"/>
  <c r="Q1737" i="7"/>
  <c r="S1737" i="7" s="1"/>
  <c r="M1021" i="11" s="1"/>
  <c r="Q1701" i="7"/>
  <c r="S1701" i="7" s="1"/>
  <c r="M985" i="11" s="1"/>
  <c r="Q1657" i="7"/>
  <c r="S1657" i="7" s="1"/>
  <c r="M941" i="11" s="1"/>
  <c r="Q1656" i="7"/>
  <c r="S1656" i="7" s="1"/>
  <c r="M940" i="11" s="1"/>
  <c r="Q1654" i="7"/>
  <c r="S1654" i="7" s="1"/>
  <c r="M938" i="11" s="1"/>
  <c r="Q1653" i="7"/>
  <c r="S1653" i="7" s="1"/>
  <c r="M937" i="11" s="1"/>
  <c r="Q1650" i="7"/>
  <c r="S1650" i="7" s="1"/>
  <c r="M934" i="11" s="1"/>
  <c r="Q1617" i="7"/>
  <c r="S1617" i="7" s="1"/>
  <c r="M901" i="11" s="1"/>
  <c r="Q1698" i="7"/>
  <c r="S1698" i="7" s="1"/>
  <c r="M982" i="11" s="1"/>
  <c r="Q1652" i="7"/>
  <c r="S1652" i="7" s="1"/>
  <c r="M936" i="11" s="1"/>
  <c r="Q1649" i="7"/>
  <c r="S1649" i="7" s="1"/>
  <c r="M933" i="11" s="1"/>
  <c r="Q1648" i="7"/>
  <c r="S1648" i="7" s="1"/>
  <c r="M932" i="11" s="1"/>
  <c r="Q1647" i="7"/>
  <c r="S1647" i="7" s="1"/>
  <c r="M931" i="11" s="1"/>
  <c r="Q1645" i="7"/>
  <c r="S1645" i="7" s="1"/>
  <c r="M929" i="11" s="1"/>
  <c r="Q1644" i="7"/>
  <c r="S1644" i="7" s="1"/>
  <c r="M928" i="11" s="1"/>
  <c r="Q1641" i="7"/>
  <c r="S1641" i="7" s="1"/>
  <c r="M925" i="11" s="1"/>
  <c r="Q1695" i="7"/>
  <c r="S1695" i="7" s="1"/>
  <c r="M979" i="11" s="1"/>
  <c r="Q1643" i="7"/>
  <c r="S1643" i="7" s="1"/>
  <c r="M927" i="11" s="1"/>
  <c r="Q1640" i="7"/>
  <c r="S1640" i="7" s="1"/>
  <c r="M924" i="11" s="1"/>
  <c r="GO27" i="4"/>
  <c r="GO36" i="4"/>
  <c r="GO52" i="4" s="1"/>
  <c r="GO39" i="4"/>
  <c r="R49" i="7"/>
  <c r="N51" i="7"/>
  <c r="R58" i="7"/>
  <c r="N60" i="7"/>
  <c r="R67" i="7"/>
  <c r="N69" i="7"/>
  <c r="R76" i="7"/>
  <c r="R77" i="7"/>
  <c r="R80" i="7"/>
  <c r="O83" i="7"/>
  <c r="O84" i="7"/>
  <c r="O86" i="7"/>
  <c r="O87" i="7"/>
  <c r="N88" i="7"/>
  <c r="O90" i="7"/>
  <c r="N91" i="7"/>
  <c r="O109" i="7"/>
  <c r="O110" i="7"/>
  <c r="O120" i="7"/>
  <c r="R131" i="7"/>
  <c r="R137" i="7"/>
  <c r="O141" i="7"/>
  <c r="O147" i="7"/>
  <c r="O156" i="7"/>
  <c r="R164" i="7"/>
  <c r="O174" i="7"/>
  <c r="N34" i="7"/>
  <c r="N43" i="7"/>
  <c r="I11" i="17"/>
  <c r="R179" i="7"/>
  <c r="R170" i="7"/>
  <c r="R161" i="7"/>
  <c r="R152" i="7"/>
  <c r="R143" i="7"/>
  <c r="R134" i="7"/>
  <c r="R125" i="7"/>
  <c r="R116" i="7"/>
  <c r="R107" i="7"/>
  <c r="R174" i="7"/>
  <c r="R165" i="7"/>
  <c r="R156" i="7"/>
  <c r="R147" i="7"/>
  <c r="R138" i="7"/>
  <c r="R129" i="7"/>
  <c r="R120" i="7"/>
  <c r="R111" i="7"/>
  <c r="R102" i="7"/>
  <c r="R93" i="7"/>
  <c r="R84" i="7"/>
  <c r="R178" i="7"/>
  <c r="R169" i="7"/>
  <c r="R160" i="7"/>
  <c r="R151" i="7"/>
  <c r="R142" i="7"/>
  <c r="R133" i="7"/>
  <c r="R124" i="7"/>
  <c r="R115" i="7"/>
  <c r="R106" i="7"/>
  <c r="R97" i="7"/>
  <c r="R88" i="7"/>
  <c r="R79" i="7"/>
  <c r="R75" i="7"/>
  <c r="R72" i="7"/>
  <c r="R69" i="7"/>
  <c r="R66" i="7"/>
  <c r="R63" i="7"/>
  <c r="R60" i="7"/>
  <c r="R57" i="7"/>
  <c r="R54" i="7"/>
  <c r="R51" i="7"/>
  <c r="R48" i="7"/>
  <c r="R45" i="7"/>
  <c r="R180" i="7"/>
  <c r="R171" i="7"/>
  <c r="R162" i="7"/>
  <c r="R175" i="7"/>
  <c r="R166" i="7"/>
  <c r="R157" i="7"/>
  <c r="N533" i="7"/>
  <c r="N524" i="7"/>
  <c r="N515" i="7"/>
  <c r="N537" i="7"/>
  <c r="N528" i="7"/>
  <c r="N519" i="7"/>
  <c r="N510" i="7"/>
  <c r="N501" i="7"/>
  <c r="N492" i="7"/>
  <c r="N483" i="7"/>
  <c r="N525" i="7"/>
  <c r="N522" i="7"/>
  <c r="N506" i="7"/>
  <c r="N505" i="7"/>
  <c r="N489" i="7"/>
  <c r="N476" i="7"/>
  <c r="N467" i="7"/>
  <c r="N458" i="7"/>
  <c r="N449" i="7"/>
  <c r="N440" i="7"/>
  <c r="N431" i="7"/>
  <c r="N422" i="7"/>
  <c r="N413" i="7"/>
  <c r="N521" i="7"/>
  <c r="N520" i="7"/>
  <c r="N518" i="7"/>
  <c r="N517" i="7"/>
  <c r="N514" i="7"/>
  <c r="N497" i="7"/>
  <c r="N496" i="7"/>
  <c r="N480" i="7"/>
  <c r="N471" i="7"/>
  <c r="N462" i="7"/>
  <c r="N453" i="7"/>
  <c r="N444" i="7"/>
  <c r="N435" i="7"/>
  <c r="N426" i="7"/>
  <c r="N417" i="7"/>
  <c r="N408" i="7"/>
  <c r="N399" i="7"/>
  <c r="N390" i="7"/>
  <c r="N381" i="7"/>
  <c r="N372" i="7"/>
  <c r="N363" i="7"/>
  <c r="N516" i="7"/>
  <c r="N513" i="7"/>
  <c r="N504" i="7"/>
  <c r="N488" i="7"/>
  <c r="N487" i="7"/>
  <c r="N475" i="7"/>
  <c r="N466" i="7"/>
  <c r="N457" i="7"/>
  <c r="N448" i="7"/>
  <c r="N439" i="7"/>
  <c r="N430" i="7"/>
  <c r="N421" i="7"/>
  <c r="N512" i="7"/>
  <c r="N495" i="7"/>
  <c r="N511" i="7"/>
  <c r="N503" i="7"/>
  <c r="N486" i="7"/>
  <c r="N479" i="7"/>
  <c r="N470" i="7"/>
  <c r="N461" i="7"/>
  <c r="N452" i="7"/>
  <c r="N443" i="7"/>
  <c r="N434" i="7"/>
  <c r="N425" i="7"/>
  <c r="N416" i="7"/>
  <c r="N407" i="7"/>
  <c r="N398" i="7"/>
  <c r="N389" i="7"/>
  <c r="N380" i="7"/>
  <c r="N371" i="7"/>
  <c r="N362" i="7"/>
  <c r="N502" i="7"/>
  <c r="N509" i="7"/>
  <c r="N540" i="7"/>
  <c r="N508" i="7"/>
  <c r="N500" i="7"/>
  <c r="N539" i="7"/>
  <c r="N538" i="7"/>
  <c r="N536" i="7"/>
  <c r="N535" i="7"/>
  <c r="N532" i="7"/>
  <c r="N499" i="7"/>
  <c r="N491" i="7"/>
  <c r="N477" i="7"/>
  <c r="N468" i="7"/>
  <c r="N459" i="7"/>
  <c r="N450" i="7"/>
  <c r="N441" i="7"/>
  <c r="N534" i="7"/>
  <c r="N531" i="7"/>
  <c r="N507" i="7"/>
  <c r="N490" i="7"/>
  <c r="N482" i="7"/>
  <c r="N472" i="7"/>
  <c r="N463" i="7"/>
  <c r="N454" i="7"/>
  <c r="N530" i="7"/>
  <c r="N529" i="7"/>
  <c r="N527" i="7"/>
  <c r="N526" i="7"/>
  <c r="N523" i="7"/>
  <c r="N498" i="7"/>
  <c r="N481" i="7"/>
  <c r="N474" i="7"/>
  <c r="N387" i="7"/>
  <c r="N385" i="7"/>
  <c r="N384" i="7"/>
  <c r="N469" i="7"/>
  <c r="N386" i="7"/>
  <c r="N383" i="7"/>
  <c r="N382" i="7"/>
  <c r="N379" i="7"/>
  <c r="N446" i="7"/>
  <c r="N428" i="7"/>
  <c r="N423" i="7"/>
  <c r="N378" i="7"/>
  <c r="N376" i="7"/>
  <c r="N375" i="7"/>
  <c r="N464" i="7"/>
  <c r="N424" i="7"/>
  <c r="N418" i="7"/>
  <c r="N377" i="7"/>
  <c r="N374" i="7"/>
  <c r="N373" i="7"/>
  <c r="N370" i="7"/>
  <c r="N485" i="7"/>
  <c r="N456" i="7"/>
  <c r="N432" i="7"/>
  <c r="N429" i="7"/>
  <c r="N369" i="7"/>
  <c r="N367" i="7"/>
  <c r="N366" i="7"/>
  <c r="N494" i="7"/>
  <c r="N478" i="7"/>
  <c r="N451" i="7"/>
  <c r="N447" i="7"/>
  <c r="N419" i="7"/>
  <c r="N368" i="7"/>
  <c r="N365" i="7"/>
  <c r="N364" i="7"/>
  <c r="N442" i="7"/>
  <c r="N436" i="7"/>
  <c r="N433" i="7"/>
  <c r="N420" i="7"/>
  <c r="N473" i="7"/>
  <c r="N411" i="7"/>
  <c r="N410" i="7"/>
  <c r="N409" i="7"/>
  <c r="N406" i="7"/>
  <c r="N493" i="7"/>
  <c r="N484" i="7"/>
  <c r="N465" i="7"/>
  <c r="N412" i="7"/>
  <c r="N405" i="7"/>
  <c r="N403" i="7"/>
  <c r="N402" i="7"/>
  <c r="N460" i="7"/>
  <c r="N445" i="7"/>
  <c r="N437" i="7"/>
  <c r="N404" i="7"/>
  <c r="N401" i="7"/>
  <c r="N400" i="7"/>
  <c r="N397" i="7"/>
  <c r="N396" i="7"/>
  <c r="N394" i="7"/>
  <c r="N393" i="7"/>
  <c r="N455" i="7"/>
  <c r="N438" i="7"/>
  <c r="N427" i="7"/>
  <c r="N415" i="7"/>
  <c r="N414" i="7"/>
  <c r="N395" i="7"/>
  <c r="N392" i="7"/>
  <c r="N391" i="7"/>
  <c r="N388" i="7"/>
  <c r="Q898" i="7"/>
  <c r="S898" i="7" s="1"/>
  <c r="M182" i="11" s="1"/>
  <c r="Q889" i="7"/>
  <c r="S889" i="7" s="1"/>
  <c r="M173" i="11" s="1"/>
  <c r="Q880" i="7"/>
  <c r="S880" i="7" s="1"/>
  <c r="M164" i="11" s="1"/>
  <c r="Q871" i="7"/>
  <c r="S871" i="7" s="1"/>
  <c r="M155" i="11" s="1"/>
  <c r="Q862" i="7"/>
  <c r="S862" i="7" s="1"/>
  <c r="M146" i="11" s="1"/>
  <c r="Q853" i="7"/>
  <c r="S853" i="7" s="1"/>
  <c r="M137" i="11" s="1"/>
  <c r="Q844" i="7"/>
  <c r="S844" i="7" s="1"/>
  <c r="M128" i="11" s="1"/>
  <c r="Q835" i="7"/>
  <c r="S835" i="7" s="1"/>
  <c r="M119" i="11" s="1"/>
  <c r="Q826" i="7"/>
  <c r="S826" i="7" s="1"/>
  <c r="M110" i="11" s="1"/>
  <c r="Q817" i="7"/>
  <c r="S817" i="7" s="1"/>
  <c r="M101" i="11" s="1"/>
  <c r="Q808" i="7"/>
  <c r="S808" i="7" s="1"/>
  <c r="M92" i="11" s="1"/>
  <c r="Q799" i="7"/>
  <c r="S799" i="7" s="1"/>
  <c r="M83" i="11" s="1"/>
  <c r="Q790" i="7"/>
  <c r="S790" i="7" s="1"/>
  <c r="M74" i="11" s="1"/>
  <c r="Q781" i="7"/>
  <c r="S781" i="7" s="1"/>
  <c r="M65" i="11" s="1"/>
  <c r="Q772" i="7"/>
  <c r="S772" i="7" s="1"/>
  <c r="M56" i="11" s="1"/>
  <c r="Q763" i="7"/>
  <c r="S763" i="7" s="1"/>
  <c r="M47" i="11" s="1"/>
  <c r="Q754" i="7"/>
  <c r="S754" i="7" s="1"/>
  <c r="M38" i="11" s="1"/>
  <c r="Q893" i="7"/>
  <c r="S893" i="7" s="1"/>
  <c r="M177" i="11" s="1"/>
  <c r="Q884" i="7"/>
  <c r="S884" i="7" s="1"/>
  <c r="M168" i="11" s="1"/>
  <c r="Q875" i="7"/>
  <c r="S875" i="7" s="1"/>
  <c r="M159" i="11" s="1"/>
  <c r="Q866" i="7"/>
  <c r="S866" i="7" s="1"/>
  <c r="M150" i="11" s="1"/>
  <c r="Q857" i="7"/>
  <c r="S857" i="7" s="1"/>
  <c r="M141" i="11" s="1"/>
  <c r="Q848" i="7"/>
  <c r="S848" i="7" s="1"/>
  <c r="M132" i="11" s="1"/>
  <c r="Q839" i="7"/>
  <c r="S839" i="7" s="1"/>
  <c r="M123" i="11" s="1"/>
  <c r="Q830" i="7"/>
  <c r="S830" i="7" s="1"/>
  <c r="M114" i="11" s="1"/>
  <c r="Q821" i="7"/>
  <c r="S821" i="7" s="1"/>
  <c r="M105" i="11" s="1"/>
  <c r="Q812" i="7"/>
  <c r="S812" i="7" s="1"/>
  <c r="M96" i="11" s="1"/>
  <c r="Q803" i="7"/>
  <c r="S803" i="7" s="1"/>
  <c r="M87" i="11" s="1"/>
  <c r="Q794" i="7"/>
  <c r="S794" i="7" s="1"/>
  <c r="M78" i="11" s="1"/>
  <c r="Q785" i="7"/>
  <c r="S785" i="7" s="1"/>
  <c r="M69" i="11" s="1"/>
  <c r="Q776" i="7"/>
  <c r="S776" i="7" s="1"/>
  <c r="M60" i="11" s="1"/>
  <c r="Q767" i="7"/>
  <c r="S767" i="7" s="1"/>
  <c r="M51" i="11" s="1"/>
  <c r="Q758" i="7"/>
  <c r="S758" i="7" s="1"/>
  <c r="M42" i="11" s="1"/>
  <c r="Q749" i="7"/>
  <c r="S749" i="7" s="1"/>
  <c r="M33" i="11" s="1"/>
  <c r="Q740" i="7"/>
  <c r="S740" i="7" s="1"/>
  <c r="M24" i="11" s="1"/>
  <c r="Q731" i="7"/>
  <c r="S731" i="7" s="1"/>
  <c r="M15" i="11" s="1"/>
  <c r="Q722" i="7"/>
  <c r="S722" i="7" s="1"/>
  <c r="M6" i="11" s="1"/>
  <c r="Q897" i="7"/>
  <c r="S897" i="7" s="1"/>
  <c r="M181" i="11" s="1"/>
  <c r="Q888" i="7"/>
  <c r="S888" i="7" s="1"/>
  <c r="M172" i="11" s="1"/>
  <c r="Q879" i="7"/>
  <c r="S879" i="7" s="1"/>
  <c r="M163" i="11" s="1"/>
  <c r="Q896" i="7"/>
  <c r="S896" i="7" s="1"/>
  <c r="M180" i="11" s="1"/>
  <c r="Q887" i="7"/>
  <c r="S887" i="7" s="1"/>
  <c r="M171" i="11" s="1"/>
  <c r="Q878" i="7"/>
  <c r="S878" i="7" s="1"/>
  <c r="M162" i="11" s="1"/>
  <c r="Q869" i="7"/>
  <c r="S869" i="7" s="1"/>
  <c r="M153" i="11" s="1"/>
  <c r="Q823" i="7"/>
  <c r="S823" i="7" s="1"/>
  <c r="M107" i="11" s="1"/>
  <c r="Q822" i="7"/>
  <c r="S822" i="7" s="1"/>
  <c r="M106" i="11" s="1"/>
  <c r="Q820" i="7"/>
  <c r="S820" i="7" s="1"/>
  <c r="M104" i="11" s="1"/>
  <c r="Q819" i="7"/>
  <c r="S819" i="7" s="1"/>
  <c r="M103" i="11" s="1"/>
  <c r="Q816" i="7"/>
  <c r="S816" i="7" s="1"/>
  <c r="M100" i="11" s="1"/>
  <c r="Q769" i="7"/>
  <c r="S769" i="7" s="1"/>
  <c r="M53" i="11" s="1"/>
  <c r="Q768" i="7"/>
  <c r="S768" i="7" s="1"/>
  <c r="M52" i="11" s="1"/>
  <c r="Q766" i="7"/>
  <c r="S766" i="7" s="1"/>
  <c r="M50" i="11" s="1"/>
  <c r="Q765" i="7"/>
  <c r="S765" i="7" s="1"/>
  <c r="M49" i="11" s="1"/>
  <c r="Q762" i="7"/>
  <c r="S762" i="7" s="1"/>
  <c r="M46" i="11" s="1"/>
  <c r="Q746" i="7"/>
  <c r="S746" i="7" s="1"/>
  <c r="M30" i="11" s="1"/>
  <c r="Q729" i="7"/>
  <c r="S729" i="7" s="1"/>
  <c r="M13" i="11" s="1"/>
  <c r="Q721" i="7"/>
  <c r="S721" i="7" s="1"/>
  <c r="M5" i="11" s="1"/>
  <c r="Q886" i="7"/>
  <c r="S886" i="7" s="1"/>
  <c r="M170" i="11" s="1"/>
  <c r="Q818" i="7"/>
  <c r="S818" i="7" s="1"/>
  <c r="M102" i="11" s="1"/>
  <c r="Q815" i="7"/>
  <c r="S815" i="7" s="1"/>
  <c r="M99" i="11" s="1"/>
  <c r="Q764" i="7"/>
  <c r="S764" i="7" s="1"/>
  <c r="M48" i="11" s="1"/>
  <c r="Q761" i="7"/>
  <c r="S761" i="7" s="1"/>
  <c r="M45" i="11" s="1"/>
  <c r="Q737" i="7"/>
  <c r="S737" i="7" s="1"/>
  <c r="M21" i="11" s="1"/>
  <c r="Q883" i="7"/>
  <c r="S883" i="7" s="1"/>
  <c r="M167" i="11" s="1"/>
  <c r="Q865" i="7"/>
  <c r="S865" i="7" s="1"/>
  <c r="M149" i="11" s="1"/>
  <c r="Q864" i="7"/>
  <c r="S864" i="7" s="1"/>
  <c r="M148" i="11" s="1"/>
  <c r="Q861" i="7"/>
  <c r="S861" i="7" s="1"/>
  <c r="M145" i="11" s="1"/>
  <c r="Q814" i="7"/>
  <c r="S814" i="7" s="1"/>
  <c r="M98" i="11" s="1"/>
  <c r="Q813" i="7"/>
  <c r="S813" i="7" s="1"/>
  <c r="M97" i="11" s="1"/>
  <c r="Q811" i="7"/>
  <c r="S811" i="7" s="1"/>
  <c r="M95" i="11" s="1"/>
  <c r="Q810" i="7"/>
  <c r="S810" i="7" s="1"/>
  <c r="M94" i="11" s="1"/>
  <c r="Q807" i="7"/>
  <c r="S807" i="7" s="1"/>
  <c r="M91" i="11" s="1"/>
  <c r="Q760" i="7"/>
  <c r="S760" i="7" s="1"/>
  <c r="M44" i="11" s="1"/>
  <c r="Q759" i="7"/>
  <c r="S759" i="7" s="1"/>
  <c r="M43" i="11" s="1"/>
  <c r="Q757" i="7"/>
  <c r="S757" i="7" s="1"/>
  <c r="M41" i="11" s="1"/>
  <c r="Q756" i="7"/>
  <c r="S756" i="7" s="1"/>
  <c r="M40" i="11" s="1"/>
  <c r="Q753" i="7"/>
  <c r="S753" i="7" s="1"/>
  <c r="M37" i="11" s="1"/>
  <c r="Q745" i="7"/>
  <c r="S745" i="7" s="1"/>
  <c r="M29" i="11" s="1"/>
  <c r="Q744" i="7"/>
  <c r="S744" i="7" s="1"/>
  <c r="M28" i="11" s="1"/>
  <c r="Q728" i="7"/>
  <c r="S728" i="7" s="1"/>
  <c r="M12" i="11" s="1"/>
  <c r="Q720" i="7"/>
  <c r="S720" i="7" s="1"/>
  <c r="M4" i="11" s="1"/>
  <c r="Q890" i="7"/>
  <c r="S890" i="7" s="1"/>
  <c r="M174" i="11" s="1"/>
  <c r="Q863" i="7"/>
  <c r="S863" i="7" s="1"/>
  <c r="M147" i="11" s="1"/>
  <c r="Q860" i="7"/>
  <c r="S860" i="7" s="1"/>
  <c r="M144" i="11" s="1"/>
  <c r="Q809" i="7"/>
  <c r="S809" i="7" s="1"/>
  <c r="M93" i="11" s="1"/>
  <c r="Q806" i="7"/>
  <c r="S806" i="7" s="1"/>
  <c r="M90" i="11" s="1"/>
  <c r="Q755" i="7"/>
  <c r="S755" i="7" s="1"/>
  <c r="M39" i="11" s="1"/>
  <c r="Q752" i="7"/>
  <c r="S752" i="7" s="1"/>
  <c r="M36" i="11" s="1"/>
  <c r="Q736" i="7"/>
  <c r="S736" i="7" s="1"/>
  <c r="M20" i="11" s="1"/>
  <c r="Q735" i="7"/>
  <c r="S735" i="7" s="1"/>
  <c r="M19" i="11" s="1"/>
  <c r="Q876" i="7"/>
  <c r="S876" i="7" s="1"/>
  <c r="M160" i="11" s="1"/>
  <c r="Q867" i="7"/>
  <c r="S867" i="7" s="1"/>
  <c r="M151" i="11" s="1"/>
  <c r="Q859" i="7"/>
  <c r="S859" i="7" s="1"/>
  <c r="M143" i="11" s="1"/>
  <c r="Q858" i="7"/>
  <c r="S858" i="7" s="1"/>
  <c r="M142" i="11" s="1"/>
  <c r="Q856" i="7"/>
  <c r="S856" i="7" s="1"/>
  <c r="M140" i="11" s="1"/>
  <c r="Q855" i="7"/>
  <c r="S855" i="7" s="1"/>
  <c r="M139" i="11" s="1"/>
  <c r="Q852" i="7"/>
  <c r="S852" i="7" s="1"/>
  <c r="M136" i="11" s="1"/>
  <c r="Q805" i="7"/>
  <c r="S805" i="7" s="1"/>
  <c r="M89" i="11" s="1"/>
  <c r="Q804" i="7"/>
  <c r="S804" i="7" s="1"/>
  <c r="M88" i="11" s="1"/>
  <c r="Q802" i="7"/>
  <c r="S802" i="7" s="1"/>
  <c r="M86" i="11" s="1"/>
  <c r="Q801" i="7"/>
  <c r="S801" i="7" s="1"/>
  <c r="M85" i="11" s="1"/>
  <c r="Q798" i="7"/>
  <c r="S798" i="7" s="1"/>
  <c r="M82" i="11" s="1"/>
  <c r="Q743" i="7"/>
  <c r="S743" i="7" s="1"/>
  <c r="M27" i="11" s="1"/>
  <c r="Q727" i="7"/>
  <c r="S727" i="7" s="1"/>
  <c r="M11" i="11" s="1"/>
  <c r="Q726" i="7"/>
  <c r="S726" i="7" s="1"/>
  <c r="M10" i="11" s="1"/>
  <c r="Q894" i="7"/>
  <c r="S894" i="7" s="1"/>
  <c r="M178" i="11" s="1"/>
  <c r="Q891" i="7"/>
  <c r="S891" i="7" s="1"/>
  <c r="M175" i="11" s="1"/>
  <c r="Q868" i="7"/>
  <c r="S868" i="7" s="1"/>
  <c r="M152" i="11" s="1"/>
  <c r="Q854" i="7"/>
  <c r="S854" i="7" s="1"/>
  <c r="M138" i="11" s="1"/>
  <c r="Q851" i="7"/>
  <c r="S851" i="7" s="1"/>
  <c r="M135" i="11" s="1"/>
  <c r="Q800" i="7"/>
  <c r="S800" i="7" s="1"/>
  <c r="M84" i="11" s="1"/>
  <c r="Q797" i="7"/>
  <c r="S797" i="7" s="1"/>
  <c r="M81" i="11" s="1"/>
  <c r="Q751" i="7"/>
  <c r="S751" i="7" s="1"/>
  <c r="M35" i="11" s="1"/>
  <c r="Q734" i="7"/>
  <c r="S734" i="7" s="1"/>
  <c r="M18" i="11" s="1"/>
  <c r="Q877" i="7"/>
  <c r="S877" i="7" s="1"/>
  <c r="M161" i="11" s="1"/>
  <c r="Q870" i="7"/>
  <c r="S870" i="7" s="1"/>
  <c r="M154" i="11" s="1"/>
  <c r="Q850" i="7"/>
  <c r="S850" i="7" s="1"/>
  <c r="M134" i="11" s="1"/>
  <c r="Q849" i="7"/>
  <c r="S849" i="7" s="1"/>
  <c r="M133" i="11" s="1"/>
  <c r="Q847" i="7"/>
  <c r="S847" i="7" s="1"/>
  <c r="M131" i="11" s="1"/>
  <c r="Q846" i="7"/>
  <c r="S846" i="7" s="1"/>
  <c r="M130" i="11" s="1"/>
  <c r="Q843" i="7"/>
  <c r="S843" i="7" s="1"/>
  <c r="M127" i="11" s="1"/>
  <c r="Q796" i="7"/>
  <c r="S796" i="7" s="1"/>
  <c r="M80" i="11" s="1"/>
  <c r="Q795" i="7"/>
  <c r="S795" i="7" s="1"/>
  <c r="M79" i="11" s="1"/>
  <c r="Q793" i="7"/>
  <c r="S793" i="7" s="1"/>
  <c r="M77" i="11" s="1"/>
  <c r="Q792" i="7"/>
  <c r="S792" i="7" s="1"/>
  <c r="M76" i="11" s="1"/>
  <c r="Q789" i="7"/>
  <c r="S789" i="7" s="1"/>
  <c r="M73" i="11" s="1"/>
  <c r="Q750" i="7"/>
  <c r="S750" i="7" s="1"/>
  <c r="M34" i="11" s="1"/>
  <c r="Q742" i="7"/>
  <c r="S742" i="7" s="1"/>
  <c r="M26" i="11" s="1"/>
  <c r="Q725" i="7"/>
  <c r="S725" i="7" s="1"/>
  <c r="M9" i="11" s="1"/>
  <c r="Q845" i="7"/>
  <c r="S845" i="7" s="1"/>
  <c r="M129" i="11" s="1"/>
  <c r="Q842" i="7"/>
  <c r="S842" i="7" s="1"/>
  <c r="M126" i="11" s="1"/>
  <c r="Q791" i="7"/>
  <c r="S791" i="7" s="1"/>
  <c r="M75" i="11" s="1"/>
  <c r="Q788" i="7"/>
  <c r="S788" i="7" s="1"/>
  <c r="M72" i="11" s="1"/>
  <c r="Q741" i="7"/>
  <c r="S741" i="7" s="1"/>
  <c r="M25" i="11" s="1"/>
  <c r="Q733" i="7"/>
  <c r="S733" i="7" s="1"/>
  <c r="M17" i="11" s="1"/>
  <c r="Q895" i="7"/>
  <c r="S895" i="7" s="1"/>
  <c r="M179" i="11" s="1"/>
  <c r="Q881" i="7"/>
  <c r="S881" i="7" s="1"/>
  <c r="M165" i="11" s="1"/>
  <c r="Q841" i="7"/>
  <c r="S841" i="7" s="1"/>
  <c r="M125" i="11" s="1"/>
  <c r="Q840" i="7"/>
  <c r="S840" i="7" s="1"/>
  <c r="M124" i="11" s="1"/>
  <c r="Q838" i="7"/>
  <c r="S838" i="7" s="1"/>
  <c r="M122" i="11" s="1"/>
  <c r="Q837" i="7"/>
  <c r="S837" i="7" s="1"/>
  <c r="M121" i="11" s="1"/>
  <c r="Q834" i="7"/>
  <c r="S834" i="7" s="1"/>
  <c r="M118" i="11" s="1"/>
  <c r="Q787" i="7"/>
  <c r="S787" i="7" s="1"/>
  <c r="M71" i="11" s="1"/>
  <c r="Q786" i="7"/>
  <c r="S786" i="7" s="1"/>
  <c r="M70" i="11" s="1"/>
  <c r="Q784" i="7"/>
  <c r="S784" i="7" s="1"/>
  <c r="M68" i="11" s="1"/>
  <c r="Q783" i="7"/>
  <c r="S783" i="7" s="1"/>
  <c r="M67" i="11" s="1"/>
  <c r="Q780" i="7"/>
  <c r="S780" i="7" s="1"/>
  <c r="M64" i="11" s="1"/>
  <c r="Q732" i="7"/>
  <c r="S732" i="7" s="1"/>
  <c r="M16" i="11" s="1"/>
  <c r="Q724" i="7"/>
  <c r="S724" i="7" s="1"/>
  <c r="M8" i="11" s="1"/>
  <c r="Q892" i="7"/>
  <c r="S892" i="7" s="1"/>
  <c r="M176" i="11" s="1"/>
  <c r="Q873" i="7"/>
  <c r="S873" i="7" s="1"/>
  <c r="M157" i="11" s="1"/>
  <c r="Q872" i="7"/>
  <c r="S872" i="7" s="1"/>
  <c r="M156" i="11" s="1"/>
  <c r="Q836" i="7"/>
  <c r="S836" i="7" s="1"/>
  <c r="M120" i="11" s="1"/>
  <c r="Q833" i="7"/>
  <c r="S833" i="7" s="1"/>
  <c r="M117" i="11" s="1"/>
  <c r="Q782" i="7"/>
  <c r="S782" i="7" s="1"/>
  <c r="M66" i="11" s="1"/>
  <c r="Q779" i="7"/>
  <c r="S779" i="7" s="1"/>
  <c r="M63" i="11" s="1"/>
  <c r="Q748" i="7"/>
  <c r="S748" i="7" s="1"/>
  <c r="M32" i="11" s="1"/>
  <c r="Q723" i="7"/>
  <c r="S723" i="7" s="1"/>
  <c r="M7" i="11" s="1"/>
  <c r="Q885" i="7"/>
  <c r="S885" i="7" s="1"/>
  <c r="M169" i="11" s="1"/>
  <c r="Q882" i="7"/>
  <c r="S882" i="7" s="1"/>
  <c r="M166" i="11" s="1"/>
  <c r="Q832" i="7"/>
  <c r="S832" i="7" s="1"/>
  <c r="M116" i="11" s="1"/>
  <c r="Q831" i="7"/>
  <c r="S831" i="7" s="1"/>
  <c r="M115" i="11" s="1"/>
  <c r="Q829" i="7"/>
  <c r="S829" i="7" s="1"/>
  <c r="M113" i="11" s="1"/>
  <c r="Q828" i="7"/>
  <c r="S828" i="7" s="1"/>
  <c r="M112" i="11" s="1"/>
  <c r="Q825" i="7"/>
  <c r="S825" i="7" s="1"/>
  <c r="M109" i="11" s="1"/>
  <c r="Q778" i="7"/>
  <c r="S778" i="7" s="1"/>
  <c r="M62" i="11" s="1"/>
  <c r="Q777" i="7"/>
  <c r="S777" i="7" s="1"/>
  <c r="M61" i="11" s="1"/>
  <c r="Q775" i="7"/>
  <c r="S775" i="7" s="1"/>
  <c r="M59" i="11" s="1"/>
  <c r="Q774" i="7"/>
  <c r="S774" i="7" s="1"/>
  <c r="M58" i="11" s="1"/>
  <c r="Q771" i="7"/>
  <c r="S771" i="7" s="1"/>
  <c r="M55" i="11" s="1"/>
  <c r="Q747" i="7"/>
  <c r="S747" i="7" s="1"/>
  <c r="M31" i="11" s="1"/>
  <c r="Q739" i="7"/>
  <c r="S739" i="7" s="1"/>
  <c r="M23" i="11" s="1"/>
  <c r="Q874" i="7"/>
  <c r="S874" i="7" s="1"/>
  <c r="M158" i="11" s="1"/>
  <c r="Q827" i="7"/>
  <c r="S827" i="7" s="1"/>
  <c r="M111" i="11" s="1"/>
  <c r="Q824" i="7"/>
  <c r="S824" i="7" s="1"/>
  <c r="M108" i="11" s="1"/>
  <c r="Q773" i="7"/>
  <c r="S773" i="7" s="1"/>
  <c r="M57" i="11" s="1"/>
  <c r="Q770" i="7"/>
  <c r="S770" i="7" s="1"/>
  <c r="M54" i="11" s="1"/>
  <c r="Q738" i="7"/>
  <c r="S738" i="7" s="1"/>
  <c r="M22" i="11" s="1"/>
  <c r="Q730" i="7"/>
  <c r="S730" i="7" s="1"/>
  <c r="M14" i="11" s="1"/>
  <c r="O1433" i="7"/>
  <c r="O1435" i="7"/>
  <c r="O1427" i="7"/>
  <c r="O1418" i="7"/>
  <c r="O1409" i="7"/>
  <c r="O1400" i="7"/>
  <c r="O1391" i="7"/>
  <c r="O1382" i="7"/>
  <c r="O1373" i="7"/>
  <c r="O1364" i="7"/>
  <c r="O1355" i="7"/>
  <c r="O1346" i="7"/>
  <c r="O1337" i="7"/>
  <c r="O1328" i="7"/>
  <c r="O1319" i="7"/>
  <c r="O1310" i="7"/>
  <c r="O1301" i="7"/>
  <c r="O1292" i="7"/>
  <c r="O1283" i="7"/>
  <c r="O1274" i="7"/>
  <c r="O1265" i="7"/>
  <c r="O1434" i="7"/>
  <c r="O1422" i="7"/>
  <c r="O1413" i="7"/>
  <c r="O1404" i="7"/>
  <c r="O1395" i="7"/>
  <c r="O1386" i="7"/>
  <c r="O1377" i="7"/>
  <c r="O1368" i="7"/>
  <c r="O1359" i="7"/>
  <c r="O1350" i="7"/>
  <c r="O1341" i="7"/>
  <c r="O1332" i="7"/>
  <c r="O1323" i="7"/>
  <c r="O1314" i="7"/>
  <c r="O1305" i="7"/>
  <c r="O1296" i="7"/>
  <c r="O1287" i="7"/>
  <c r="O1278" i="7"/>
  <c r="O1269" i="7"/>
  <c r="O1260" i="7"/>
  <c r="O1426" i="7"/>
  <c r="O1417" i="7"/>
  <c r="O1408" i="7"/>
  <c r="O1399" i="7"/>
  <c r="O1390" i="7"/>
  <c r="O1432" i="7"/>
  <c r="O1421" i="7"/>
  <c r="O1412" i="7"/>
  <c r="O1403" i="7"/>
  <c r="O1394" i="7"/>
  <c r="O1385" i="7"/>
  <c r="O1376" i="7"/>
  <c r="O1367" i="7"/>
  <c r="O1431" i="7"/>
  <c r="O1425" i="7"/>
  <c r="O1416" i="7"/>
  <c r="O1407" i="7"/>
  <c r="O1398" i="7"/>
  <c r="O1389" i="7"/>
  <c r="O1380" i="7"/>
  <c r="O1371" i="7"/>
  <c r="O1362" i="7"/>
  <c r="O1353" i="7"/>
  <c r="O1430" i="7"/>
  <c r="O1420" i="7"/>
  <c r="O1411" i="7"/>
  <c r="O1402" i="7"/>
  <c r="O1424" i="7"/>
  <c r="O1415" i="7"/>
  <c r="O1406" i="7"/>
  <c r="O1397" i="7"/>
  <c r="O1388" i="7"/>
  <c r="O1429" i="7"/>
  <c r="O1428" i="7"/>
  <c r="O1419" i="7"/>
  <c r="O1410" i="7"/>
  <c r="O1401" i="7"/>
  <c r="O1392" i="7"/>
  <c r="O1383" i="7"/>
  <c r="O1374" i="7"/>
  <c r="O1365" i="7"/>
  <c r="O1423" i="7"/>
  <c r="O1414" i="7"/>
  <c r="O1405" i="7"/>
  <c r="O1396" i="7"/>
  <c r="O1387" i="7"/>
  <c r="O1378" i="7"/>
  <c r="O1369" i="7"/>
  <c r="O1361" i="7"/>
  <c r="O1358" i="7"/>
  <c r="O1316" i="7"/>
  <c r="O1313" i="7"/>
  <c r="O1315" i="7"/>
  <c r="O1312" i="7"/>
  <c r="O1311" i="7"/>
  <c r="O1309" i="7"/>
  <c r="O1308" i="7"/>
  <c r="O1262" i="7"/>
  <c r="O1259" i="7"/>
  <c r="O1375" i="7"/>
  <c r="O1307" i="7"/>
  <c r="O1304" i="7"/>
  <c r="O1261" i="7"/>
  <c r="O1258" i="7"/>
  <c r="O1257" i="7"/>
  <c r="O1354" i="7"/>
  <c r="O1306" i="7"/>
  <c r="O1303" i="7"/>
  <c r="O1302" i="7"/>
  <c r="O1300" i="7"/>
  <c r="O1299" i="7"/>
  <c r="O1372" i="7"/>
  <c r="O1370" i="7"/>
  <c r="O1366" i="7"/>
  <c r="O1298" i="7"/>
  <c r="O1295" i="7"/>
  <c r="O1345" i="7"/>
  <c r="O1344" i="7"/>
  <c r="O1297" i="7"/>
  <c r="O1294" i="7"/>
  <c r="O1293" i="7"/>
  <c r="O1291" i="7"/>
  <c r="O1290" i="7"/>
  <c r="O1347" i="7"/>
  <c r="O1343" i="7"/>
  <c r="O1340" i="7"/>
  <c r="O1289" i="7"/>
  <c r="O1286" i="7"/>
  <c r="O1379" i="7"/>
  <c r="O1348" i="7"/>
  <c r="O1342" i="7"/>
  <c r="O1339" i="7"/>
  <c r="O1338" i="7"/>
  <c r="O1336" i="7"/>
  <c r="O1335" i="7"/>
  <c r="O1288" i="7"/>
  <c r="O1285" i="7"/>
  <c r="O1284" i="7"/>
  <c r="O1282" i="7"/>
  <c r="O1281" i="7"/>
  <c r="O1381" i="7"/>
  <c r="O1360" i="7"/>
  <c r="O1356" i="7"/>
  <c r="O1349" i="7"/>
  <c r="O1334" i="7"/>
  <c r="O1331" i="7"/>
  <c r="O1280" i="7"/>
  <c r="O1277" i="7"/>
  <c r="O1393" i="7"/>
  <c r="O1333" i="7"/>
  <c r="O1330" i="7"/>
  <c r="O1329" i="7"/>
  <c r="O1327" i="7"/>
  <c r="O1326" i="7"/>
  <c r="O1279" i="7"/>
  <c r="O1276" i="7"/>
  <c r="O1275" i="7"/>
  <c r="O1273" i="7"/>
  <c r="O1272" i="7"/>
  <c r="O1363" i="7"/>
  <c r="O1357" i="7"/>
  <c r="O1325" i="7"/>
  <c r="O1322" i="7"/>
  <c r="O1271" i="7"/>
  <c r="O1268" i="7"/>
  <c r="O1384" i="7"/>
  <c r="O1352" i="7"/>
  <c r="O1351" i="7"/>
  <c r="O1324" i="7"/>
  <c r="O1321" i="7"/>
  <c r="O1320" i="7"/>
  <c r="O1318" i="7"/>
  <c r="O1317" i="7"/>
  <c r="O1270" i="7"/>
  <c r="O1267" i="7"/>
  <c r="O1266" i="7"/>
  <c r="O1264" i="7"/>
  <c r="O1263" i="7"/>
  <c r="M1783" i="7"/>
  <c r="M1774" i="7"/>
  <c r="M1765" i="7"/>
  <c r="M1756" i="7"/>
  <c r="M1747" i="7"/>
  <c r="M1738" i="7"/>
  <c r="M1729" i="7"/>
  <c r="M1793" i="7"/>
  <c r="M1792" i="7"/>
  <c r="M1787" i="7"/>
  <c r="M1778" i="7"/>
  <c r="M1769" i="7"/>
  <c r="M1760" i="7"/>
  <c r="M1751" i="7"/>
  <c r="M1742" i="7"/>
  <c r="M1733" i="7"/>
  <c r="M1724" i="7"/>
  <c r="M1715" i="7"/>
  <c r="M1706" i="7"/>
  <c r="M1697" i="7"/>
  <c r="M1688" i="7"/>
  <c r="M1679" i="7"/>
  <c r="M1670" i="7"/>
  <c r="M1661" i="7"/>
  <c r="M1652" i="7"/>
  <c r="M1643" i="7"/>
  <c r="M1634" i="7"/>
  <c r="M1625" i="7"/>
  <c r="M1617" i="7"/>
  <c r="M1782" i="7"/>
  <c r="M1773" i="7"/>
  <c r="M1764" i="7"/>
  <c r="M1755" i="7"/>
  <c r="M1746" i="7"/>
  <c r="M1737" i="7"/>
  <c r="M1728" i="7"/>
  <c r="M1719" i="7"/>
  <c r="M1710" i="7"/>
  <c r="M1791" i="7"/>
  <c r="M1786" i="7"/>
  <c r="M1777" i="7"/>
  <c r="M1768" i="7"/>
  <c r="M1759" i="7"/>
  <c r="M1750" i="7"/>
  <c r="M1741" i="7"/>
  <c r="M1732" i="7"/>
  <c r="M1723" i="7"/>
  <c r="M1714" i="7"/>
  <c r="M1705" i="7"/>
  <c r="M1790" i="7"/>
  <c r="M1781" i="7"/>
  <c r="M1772" i="7"/>
  <c r="M1763" i="7"/>
  <c r="M1754" i="7"/>
  <c r="M1745" i="7"/>
  <c r="M1736" i="7"/>
  <c r="M1727" i="7"/>
  <c r="M1718" i="7"/>
  <c r="M1709" i="7"/>
  <c r="M1700" i="7"/>
  <c r="M1785" i="7"/>
  <c r="M1776" i="7"/>
  <c r="M1767" i="7"/>
  <c r="M1758" i="7"/>
  <c r="M1749" i="7"/>
  <c r="M1789" i="7"/>
  <c r="M1780" i="7"/>
  <c r="M1771" i="7"/>
  <c r="M1762" i="7"/>
  <c r="M1753" i="7"/>
  <c r="M1784" i="7"/>
  <c r="M1775" i="7"/>
  <c r="M1766" i="7"/>
  <c r="M1757" i="7"/>
  <c r="M1748" i="7"/>
  <c r="M1739" i="7"/>
  <c r="M1730" i="7"/>
  <c r="M1721" i="7"/>
  <c r="M1712" i="7"/>
  <c r="M1703" i="7"/>
  <c r="M1788" i="7"/>
  <c r="M1779" i="7"/>
  <c r="M1770" i="7"/>
  <c r="M1761" i="7"/>
  <c r="M1752" i="7"/>
  <c r="M1708" i="7"/>
  <c r="M1704" i="7"/>
  <c r="M1698" i="7"/>
  <c r="M1694" i="7"/>
  <c r="M1653" i="7"/>
  <c r="M1650" i="7"/>
  <c r="M1647" i="7"/>
  <c r="M1743" i="7"/>
  <c r="M1726" i="7"/>
  <c r="M1720" i="7"/>
  <c r="M1695" i="7"/>
  <c r="M1649" i="7"/>
  <c r="M1648" i="7"/>
  <c r="M1646" i="7"/>
  <c r="M1645" i="7"/>
  <c r="M1642" i="7"/>
  <c r="M1702" i="7"/>
  <c r="M1644" i="7"/>
  <c r="M1641" i="7"/>
  <c r="M1638" i="7"/>
  <c r="M1616" i="7"/>
  <c r="M1722" i="7"/>
  <c r="M1717" i="7"/>
  <c r="M1699" i="7"/>
  <c r="M1687" i="7"/>
  <c r="M1640" i="7"/>
  <c r="M1639" i="7"/>
  <c r="M1637" i="7"/>
  <c r="M1636" i="7"/>
  <c r="M1633" i="7"/>
  <c r="M1735" i="7"/>
  <c r="M1686" i="7"/>
  <c r="M1683" i="7"/>
  <c r="M1635" i="7"/>
  <c r="M1632" i="7"/>
  <c r="M1629" i="7"/>
  <c r="M1725" i="7"/>
  <c r="M1696" i="7"/>
  <c r="M1690" i="7"/>
  <c r="M1689" i="7"/>
  <c r="M1685" i="7"/>
  <c r="M1684" i="7"/>
  <c r="M1682" i="7"/>
  <c r="M1681" i="7"/>
  <c r="M1678" i="7"/>
  <c r="M1631" i="7"/>
  <c r="M1630" i="7"/>
  <c r="M1628" i="7"/>
  <c r="M1627" i="7"/>
  <c r="M1624" i="7"/>
  <c r="M1615" i="7"/>
  <c r="M1731" i="7"/>
  <c r="M1691" i="7"/>
  <c r="M1680" i="7"/>
  <c r="M1677" i="7"/>
  <c r="M1674" i="7"/>
  <c r="M1626" i="7"/>
  <c r="M1623" i="7"/>
  <c r="M1620" i="7"/>
  <c r="M1707" i="7"/>
  <c r="M1692" i="7"/>
  <c r="M1676" i="7"/>
  <c r="M1675" i="7"/>
  <c r="M1673" i="7"/>
  <c r="M1672" i="7"/>
  <c r="M1669" i="7"/>
  <c r="M1622" i="7"/>
  <c r="M1621" i="7"/>
  <c r="M1619" i="7"/>
  <c r="M1734" i="7"/>
  <c r="M1716" i="7"/>
  <c r="M1671" i="7"/>
  <c r="M1668" i="7"/>
  <c r="M1665" i="7"/>
  <c r="M1740" i="7"/>
  <c r="M1711" i="7"/>
  <c r="M1667" i="7"/>
  <c r="M1666" i="7"/>
  <c r="M1664" i="7"/>
  <c r="M1663" i="7"/>
  <c r="M1660" i="7"/>
  <c r="M1744" i="7"/>
  <c r="M1713" i="7"/>
  <c r="M1701" i="7"/>
  <c r="M1693" i="7"/>
  <c r="M1662" i="7"/>
  <c r="M1659" i="7"/>
  <c r="M1656" i="7"/>
  <c r="M1658" i="7"/>
  <c r="M1657" i="7"/>
  <c r="M1655" i="7"/>
  <c r="M1654" i="7"/>
  <c r="M1651" i="7"/>
  <c r="M1618" i="7"/>
  <c r="GD27" i="4"/>
  <c r="GD36" i="4"/>
  <c r="GD39" i="4"/>
  <c r="N30" i="7"/>
  <c r="R33" i="7"/>
  <c r="N39" i="7"/>
  <c r="R42" i="7"/>
  <c r="O51" i="7"/>
  <c r="O60" i="7"/>
  <c r="O69" i="7"/>
  <c r="R78" i="7"/>
  <c r="R81" i="7"/>
  <c r="O88" i="7"/>
  <c r="N89" i="7"/>
  <c r="O91" i="7"/>
  <c r="N92" i="7"/>
  <c r="N93" i="7"/>
  <c r="N95" i="7"/>
  <c r="N96" i="7"/>
  <c r="N119" i="7"/>
  <c r="N140" i="7"/>
  <c r="N146" i="7"/>
  <c r="N158" i="7"/>
  <c r="N176" i="7"/>
  <c r="N27" i="7"/>
  <c r="N35" i="7"/>
  <c r="N44" i="7"/>
  <c r="N53" i="7"/>
  <c r="N62" i="7"/>
  <c r="N71" i="7"/>
  <c r="R82" i="7"/>
  <c r="R83" i="7"/>
  <c r="R85" i="7"/>
  <c r="R86" i="7"/>
  <c r="R89" i="7"/>
  <c r="O92" i="7"/>
  <c r="O93" i="7"/>
  <c r="O95" i="7"/>
  <c r="O96" i="7"/>
  <c r="N97" i="7"/>
  <c r="O99" i="7"/>
  <c r="N100" i="7"/>
  <c r="R110" i="7"/>
  <c r="N118" i="7"/>
  <c r="O119" i="7"/>
  <c r="N124" i="7"/>
  <c r="R130" i="7"/>
  <c r="R136" i="7"/>
  <c r="O140" i="7"/>
  <c r="N145" i="7"/>
  <c r="O146" i="7"/>
  <c r="N151" i="7"/>
  <c r="N155" i="7"/>
  <c r="R158" i="7"/>
  <c r="O168" i="7"/>
  <c r="R176" i="7"/>
  <c r="N98" i="7"/>
  <c r="N101" i="7"/>
  <c r="N102" i="7"/>
  <c r="N104" i="7"/>
  <c r="N105" i="7"/>
  <c r="N106" i="7"/>
  <c r="N107" i="7"/>
  <c r="O118" i="7"/>
  <c r="N123" i="7"/>
  <c r="O124" i="7"/>
  <c r="N129" i="7"/>
  <c r="R135" i="7"/>
  <c r="R141" i="7"/>
  <c r="O145" i="7"/>
  <c r="N150" i="7"/>
  <c r="O151" i="7"/>
  <c r="O155" i="7"/>
  <c r="N173" i="7"/>
  <c r="N63" i="7"/>
  <c r="N72" i="7"/>
  <c r="R91" i="7"/>
  <c r="R92" i="7"/>
  <c r="R94" i="7"/>
  <c r="R95" i="7"/>
  <c r="R98" i="7"/>
  <c r="O101" i="7"/>
  <c r="O102" i="7"/>
  <c r="O104" i="7"/>
  <c r="O105" i="7"/>
  <c r="O106" i="7"/>
  <c r="R119" i="7"/>
  <c r="O123" i="7"/>
  <c r="O129" i="7"/>
  <c r="R140" i="7"/>
  <c r="R146" i="7"/>
  <c r="O150" i="7"/>
  <c r="N160" i="7"/>
  <c r="R163" i="7"/>
  <c r="O173" i="7"/>
  <c r="N178" i="7"/>
  <c r="R181" i="7"/>
  <c r="C23" i="9"/>
  <c r="E23" i="9" s="1"/>
  <c r="F23" i="9"/>
  <c r="H23" i="9" s="1"/>
  <c r="F25" i="9"/>
  <c r="H25" i="9" s="1"/>
  <c r="C18" i="9"/>
  <c r="E18" i="9" s="1"/>
  <c r="C20" i="9"/>
  <c r="E20" i="9" s="1"/>
  <c r="C4" i="15"/>
  <c r="F10" i="15"/>
  <c r="E9" i="15"/>
  <c r="K5" i="15"/>
  <c r="C5" i="15"/>
  <c r="F8" i="15"/>
  <c r="D10" i="15"/>
  <c r="E8" i="15"/>
  <c r="D8" i="15"/>
  <c r="D9" i="15"/>
  <c r="F5" i="15"/>
  <c r="E10" i="15"/>
  <c r="E5" i="15"/>
  <c r="D5" i="15"/>
  <c r="F9" i="15"/>
  <c r="F4" i="15"/>
  <c r="E4" i="15"/>
  <c r="D4" i="15"/>
  <c r="R109" i="14" l="1" a="1"/>
  <c r="R109" i="14" s="1"/>
  <c r="M109" i="14"/>
  <c r="E109" i="14" a="1"/>
  <c r="E109" i="14" s="1"/>
  <c r="C109" i="14"/>
  <c r="D109" i="14" a="1"/>
  <c r="D109" i="14" s="1"/>
  <c r="G109" i="14" s="1"/>
  <c r="S109" i="14" a="1"/>
  <c r="S109" i="14" s="1"/>
  <c r="T109" i="14" s="1"/>
  <c r="R7" i="14" a="1"/>
  <c r="R7" i="14" s="1"/>
  <c r="E7" i="14" a="1"/>
  <c r="E7" i="14" s="1"/>
  <c r="D7" i="14" a="1"/>
  <c r="D7" i="14" s="1"/>
  <c r="S194" i="14" a="1"/>
  <c r="S194" i="14" s="1"/>
  <c r="T194" i="14" s="1"/>
  <c r="M194" i="14"/>
  <c r="R194" i="14" a="1"/>
  <c r="R194" i="14" s="1"/>
  <c r="E194" i="14" a="1"/>
  <c r="E194" i="14" s="1"/>
  <c r="D194" i="14" a="1"/>
  <c r="D194" i="14" s="1"/>
  <c r="G194" i="14" s="1"/>
  <c r="C194" i="14"/>
  <c r="R176" i="14" a="1"/>
  <c r="R176" i="14" s="1"/>
  <c r="M176" i="14"/>
  <c r="C176" i="14"/>
  <c r="S176" i="14" a="1"/>
  <c r="S176" i="14" s="1"/>
  <c r="T176" i="14" s="1"/>
  <c r="E176" i="14" a="1"/>
  <c r="E176" i="14" s="1"/>
  <c r="D176" i="14" a="1"/>
  <c r="D176" i="14" s="1"/>
  <c r="G176" i="14" s="1"/>
  <c r="M35" i="14"/>
  <c r="S35" i="14" a="1"/>
  <c r="S35" i="14" s="1"/>
  <c r="T35" i="14" s="1"/>
  <c r="E35" i="14" a="1"/>
  <c r="E35" i="14" s="1"/>
  <c r="D35" i="14" a="1"/>
  <c r="D35" i="14" s="1"/>
  <c r="G35" i="14" s="1"/>
  <c r="R35" i="14" a="1"/>
  <c r="R35" i="14" s="1"/>
  <c r="C35" i="14"/>
  <c r="S24" i="14" a="1"/>
  <c r="S24" i="14" s="1"/>
  <c r="T24" i="14" s="1"/>
  <c r="M24" i="14"/>
  <c r="C24" i="14"/>
  <c r="E24" i="14" a="1"/>
  <c r="E24" i="14" s="1"/>
  <c r="L24" i="14" s="1"/>
  <c r="R24" i="14" a="1"/>
  <c r="R24" i="14" s="1"/>
  <c r="D24" i="14" a="1"/>
  <c r="D24" i="14" s="1"/>
  <c r="R114" i="14" a="1"/>
  <c r="R114" i="14" s="1"/>
  <c r="M114" i="14"/>
  <c r="S114" i="14" a="1"/>
  <c r="S114" i="14" s="1"/>
  <c r="T114" i="14" s="1"/>
  <c r="D114" i="14" a="1"/>
  <c r="D114" i="14" s="1"/>
  <c r="G114" i="14" s="1"/>
  <c r="E114" i="14" a="1"/>
  <c r="E114" i="14" s="1"/>
  <c r="C114" i="14"/>
  <c r="R142" i="14" a="1"/>
  <c r="R142" i="14" s="1"/>
  <c r="M142" i="14"/>
  <c r="S142" i="14" a="1"/>
  <c r="S142" i="14" s="1"/>
  <c r="T142" i="14" s="1"/>
  <c r="C142" i="14"/>
  <c r="E142" i="14" a="1"/>
  <c r="E142" i="14" s="1"/>
  <c r="D142" i="14" a="1"/>
  <c r="D142" i="14" s="1"/>
  <c r="G142" i="14" s="1"/>
  <c r="R103" i="14" a="1"/>
  <c r="R103" i="14" s="1"/>
  <c r="M103" i="14"/>
  <c r="E103" i="14" a="1"/>
  <c r="E103" i="14" s="1"/>
  <c r="S103" i="14" a="1"/>
  <c r="S103" i="14" s="1"/>
  <c r="T103" i="14" s="1"/>
  <c r="C103" i="14"/>
  <c r="D103" i="14" a="1"/>
  <c r="D103" i="14" s="1"/>
  <c r="G103" i="14" s="1"/>
  <c r="F599" i="7" a="1"/>
  <c r="F599" i="7" s="1"/>
  <c r="F420" i="7" a="1"/>
  <c r="F420" i="7" s="1"/>
  <c r="F794" i="7"/>
  <c r="F834" i="7"/>
  <c r="F731" i="7"/>
  <c r="F768" i="7"/>
  <c r="F724" i="7"/>
  <c r="F726" i="7"/>
  <c r="F1451" i="7"/>
  <c r="F1093" i="7"/>
  <c r="F1272" i="7"/>
  <c r="F1630" i="7"/>
  <c r="F914" i="7"/>
  <c r="F1479" i="7"/>
  <c r="F1121" i="7"/>
  <c r="F1658" i="7"/>
  <c r="F1300" i="7"/>
  <c r="F942" i="7"/>
  <c r="F1280" i="7"/>
  <c r="F1101" i="7"/>
  <c r="F1638" i="7"/>
  <c r="F1459" i="7"/>
  <c r="F922" i="7"/>
  <c r="F1448" i="7"/>
  <c r="F1090" i="7"/>
  <c r="F1269" i="7"/>
  <c r="F911" i="7"/>
  <c r="F1627" i="7"/>
  <c r="F1438" i="7"/>
  <c r="F1080" i="7"/>
  <c r="F1617" i="7"/>
  <c r="F1259" i="7"/>
  <c r="F901" i="7"/>
  <c r="F1619" i="7"/>
  <c r="F1261" i="7"/>
  <c r="F903" i="7"/>
  <c r="F1440" i="7"/>
  <c r="F1082" i="7"/>
  <c r="F1529" i="7"/>
  <c r="F1350" i="7"/>
  <c r="F1708" i="7"/>
  <c r="F1171" i="7"/>
  <c r="F992" i="7"/>
  <c r="F1436" i="7"/>
  <c r="F899" i="7"/>
  <c r="F1615" i="7"/>
  <c r="F1257" i="7"/>
  <c r="F1078" i="7"/>
  <c r="F1540" i="7"/>
  <c r="F1003" i="7"/>
  <c r="F1182" i="7"/>
  <c r="F1361" i="7"/>
  <c r="F1719" i="7"/>
  <c r="F1364" i="7"/>
  <c r="F1185" i="7"/>
  <c r="F1006" i="7"/>
  <c r="F1543" i="7"/>
  <c r="F1722" i="7"/>
  <c r="F1513" i="7"/>
  <c r="F1334" i="7"/>
  <c r="F976" i="7"/>
  <c r="F1692" i="7"/>
  <c r="F1155" i="7"/>
  <c r="F1725" i="7"/>
  <c r="F1546" i="7"/>
  <c r="F1188" i="7"/>
  <c r="F1367" i="7"/>
  <c r="F1009" i="7"/>
  <c r="F1533" i="7"/>
  <c r="F996" i="7"/>
  <c r="F1354" i="7"/>
  <c r="F1712" i="7"/>
  <c r="F1175" i="7"/>
  <c r="F1562" i="7"/>
  <c r="F1025" i="7"/>
  <c r="F1204" i="7"/>
  <c r="F1383" i="7"/>
  <c r="F1741" i="7"/>
  <c r="F1754" i="7"/>
  <c r="F1217" i="7"/>
  <c r="F1575" i="7"/>
  <c r="F1396" i="7"/>
  <c r="F1038" i="7"/>
  <c r="S120" i="14" a="1"/>
  <c r="S120" i="14" s="1"/>
  <c r="T120" i="14" s="1"/>
  <c r="M120" i="14"/>
  <c r="R120" i="14" a="1"/>
  <c r="R120" i="14" s="1"/>
  <c r="E120" i="14" a="1"/>
  <c r="E120" i="14" s="1"/>
  <c r="D120" i="14" a="1"/>
  <c r="D120" i="14" s="1"/>
  <c r="G120" i="14" s="1"/>
  <c r="C120" i="14"/>
  <c r="S199" i="14" a="1"/>
  <c r="S199" i="14" s="1"/>
  <c r="T199" i="14" s="1"/>
  <c r="M199" i="14"/>
  <c r="R199" i="14" a="1"/>
  <c r="R199" i="14" s="1"/>
  <c r="E199" i="14" a="1"/>
  <c r="E199" i="14" s="1"/>
  <c r="D199" i="14" a="1"/>
  <c r="D199" i="14" s="1"/>
  <c r="G199" i="14" s="1"/>
  <c r="C199" i="14"/>
  <c r="E148" i="14" a="1"/>
  <c r="E148" i="14" s="1"/>
  <c r="M148" i="14"/>
  <c r="R148" i="14" a="1"/>
  <c r="R148" i="14" s="1"/>
  <c r="S148" i="14" a="1"/>
  <c r="S148" i="14" s="1"/>
  <c r="T148" i="14" s="1"/>
  <c r="D148" i="14" a="1"/>
  <c r="D148" i="14" s="1"/>
  <c r="G148" i="14" s="1"/>
  <c r="C148" i="14"/>
  <c r="C16" i="14"/>
  <c r="S16" i="14" a="1"/>
  <c r="S16" i="14" s="1"/>
  <c r="T16" i="14" s="1"/>
  <c r="R16" i="14" a="1"/>
  <c r="R16" i="14" s="1"/>
  <c r="E16" i="14" a="1"/>
  <c r="E16" i="14" s="1"/>
  <c r="D16" i="14" a="1"/>
  <c r="D16" i="14" s="1"/>
  <c r="S42" i="14" a="1"/>
  <c r="S42" i="14" s="1"/>
  <c r="T42" i="14" s="1"/>
  <c r="M42" i="14"/>
  <c r="E42" i="14" a="1"/>
  <c r="E42" i="14" s="1"/>
  <c r="R42" i="14" a="1"/>
  <c r="R42" i="14" s="1"/>
  <c r="C42" i="14"/>
  <c r="D42" i="14" a="1"/>
  <c r="D42" i="14" s="1"/>
  <c r="G42" i="14" s="1"/>
  <c r="S202" i="14" a="1"/>
  <c r="S202" i="14" s="1"/>
  <c r="T202" i="14" s="1"/>
  <c r="M202" i="14"/>
  <c r="R202" i="14" a="1"/>
  <c r="R202" i="14" s="1"/>
  <c r="E202" i="14" a="1"/>
  <c r="E202" i="14" s="1"/>
  <c r="D202" i="14" a="1"/>
  <c r="D202" i="14" s="1"/>
  <c r="G202" i="14" s="1"/>
  <c r="C202" i="14"/>
  <c r="M101" i="14"/>
  <c r="E101" i="14" a="1"/>
  <c r="E101" i="14" s="1"/>
  <c r="D101" i="14" a="1"/>
  <c r="D101" i="14" s="1"/>
  <c r="G101" i="14" s="1"/>
  <c r="C101" i="14"/>
  <c r="S101" i="14" a="1"/>
  <c r="S101" i="14" s="1"/>
  <c r="T101" i="14" s="1"/>
  <c r="R101" i="14" a="1"/>
  <c r="R101" i="14" s="1"/>
  <c r="F598" i="7" a="1"/>
  <c r="F598" i="7" s="1"/>
  <c r="F419" i="7" a="1"/>
  <c r="F419" i="7" s="1"/>
  <c r="F587" i="7" a="1"/>
  <c r="F587" i="7" s="1"/>
  <c r="F408" i="7" a="1"/>
  <c r="F408" i="7" s="1"/>
  <c r="F824" i="7"/>
  <c r="F874" i="7"/>
  <c r="F760" i="7"/>
  <c r="F860" i="7"/>
  <c r="F738" i="7"/>
  <c r="F857" i="7"/>
  <c r="F1655" i="7"/>
  <c r="F1297" i="7"/>
  <c r="F939" i="7"/>
  <c r="F1476" i="7"/>
  <c r="F1118" i="7"/>
  <c r="F1691" i="7"/>
  <c r="F1333" i="7"/>
  <c r="F975" i="7"/>
  <c r="F1512" i="7"/>
  <c r="F1154" i="7"/>
  <c r="F1487" i="7"/>
  <c r="F1129" i="7"/>
  <c r="F1666" i="7"/>
  <c r="F1308" i="7"/>
  <c r="F950" i="7"/>
  <c r="F1679" i="7"/>
  <c r="F1321" i="7"/>
  <c r="F963" i="7"/>
  <c r="F1500" i="7"/>
  <c r="F1142" i="7"/>
  <c r="F1109" i="7"/>
  <c r="F1646" i="7"/>
  <c r="F930" i="7"/>
  <c r="F1288" i="7"/>
  <c r="F1467" i="7"/>
  <c r="F1461" i="7"/>
  <c r="F1103" i="7"/>
  <c r="F924" i="7"/>
  <c r="F1640" i="7"/>
  <c r="F1282" i="7"/>
  <c r="F1556" i="7"/>
  <c r="F1019" i="7"/>
  <c r="F1198" i="7"/>
  <c r="F1377" i="7"/>
  <c r="F1735" i="7"/>
  <c r="F1270" i="7"/>
  <c r="F1449" i="7"/>
  <c r="F912" i="7"/>
  <c r="F1091" i="7"/>
  <c r="F1628" i="7"/>
  <c r="F1555" i="7"/>
  <c r="F1018" i="7"/>
  <c r="F1197" i="7"/>
  <c r="F1376" i="7"/>
  <c r="F1734" i="7"/>
  <c r="F1737" i="7"/>
  <c r="F1379" i="7"/>
  <c r="F1558" i="7"/>
  <c r="F1021" i="7"/>
  <c r="F1200" i="7"/>
  <c r="F1709" i="7"/>
  <c r="F1172" i="7"/>
  <c r="F1351" i="7"/>
  <c r="F1530" i="7"/>
  <c r="F993" i="7"/>
  <c r="F1743" i="7"/>
  <c r="F1564" i="7"/>
  <c r="F1206" i="7"/>
  <c r="F1385" i="7"/>
  <c r="F1027" i="7"/>
  <c r="F1189" i="7"/>
  <c r="F1010" i="7"/>
  <c r="F1547" i="7"/>
  <c r="F1368" i="7"/>
  <c r="F1726" i="7"/>
  <c r="F1753" i="7"/>
  <c r="F1574" i="7"/>
  <c r="F1395" i="7"/>
  <c r="F1216" i="7"/>
  <c r="F1037" i="7"/>
  <c r="F1766" i="7"/>
  <c r="F1587" i="7"/>
  <c r="F1408" i="7"/>
  <c r="F1050" i="7"/>
  <c r="F1229" i="7"/>
  <c r="E14" i="14" a="1"/>
  <c r="E14" i="14" s="1"/>
  <c r="S14" i="14" a="1"/>
  <c r="S14" i="14" s="1"/>
  <c r="T14" i="14" s="1"/>
  <c r="D14" i="14" a="1"/>
  <c r="D14" i="14" s="1"/>
  <c r="R14" i="14" a="1"/>
  <c r="R14" i="14" s="1"/>
  <c r="C14" i="14"/>
  <c r="S123" i="14" a="1"/>
  <c r="S123" i="14" s="1"/>
  <c r="T123" i="14" s="1"/>
  <c r="M123" i="14"/>
  <c r="R123" i="14" a="1"/>
  <c r="R123" i="14" s="1"/>
  <c r="E123" i="14" a="1"/>
  <c r="E123" i="14" s="1"/>
  <c r="C123" i="14"/>
  <c r="D123" i="14" a="1"/>
  <c r="D123" i="14" s="1"/>
  <c r="G123" i="14" s="1"/>
  <c r="E172" i="14" a="1"/>
  <c r="E172" i="14" s="1"/>
  <c r="M172" i="14"/>
  <c r="D172" i="14" a="1"/>
  <c r="D172" i="14" s="1"/>
  <c r="G172" i="14" s="1"/>
  <c r="C172" i="14"/>
  <c r="S172" i="14" a="1"/>
  <c r="S172" i="14" s="1"/>
  <c r="T172" i="14" s="1"/>
  <c r="R172" i="14" a="1"/>
  <c r="R172" i="14" s="1"/>
  <c r="M185" i="14"/>
  <c r="R185" i="14" a="1"/>
  <c r="R185" i="14" s="1"/>
  <c r="D185" i="14" a="1"/>
  <c r="D185" i="14" s="1"/>
  <c r="G185" i="14" s="1"/>
  <c r="S185" i="14" a="1"/>
  <c r="S185" i="14" s="1"/>
  <c r="T185" i="14" s="1"/>
  <c r="C185" i="14"/>
  <c r="E185" i="14" a="1"/>
  <c r="E185" i="14" s="1"/>
  <c r="R41" i="14" a="1"/>
  <c r="R41" i="14" s="1"/>
  <c r="M41" i="14"/>
  <c r="S41" i="14" a="1"/>
  <c r="S41" i="14" s="1"/>
  <c r="T41" i="14" s="1"/>
  <c r="C41" i="14"/>
  <c r="E41" i="14" a="1"/>
  <c r="E41" i="14" s="1"/>
  <c r="D41" i="14" a="1"/>
  <c r="D41" i="14" s="1"/>
  <c r="G41" i="14" s="1"/>
  <c r="S168" i="14" a="1"/>
  <c r="S168" i="14" s="1"/>
  <c r="T168" i="14" s="1"/>
  <c r="M168" i="14"/>
  <c r="D168" i="14" a="1"/>
  <c r="D168" i="14" s="1"/>
  <c r="G168" i="14" s="1"/>
  <c r="R168" i="14" a="1"/>
  <c r="R168" i="14" s="1"/>
  <c r="E168" i="14" a="1"/>
  <c r="E168" i="14" s="1"/>
  <c r="C168" i="14"/>
  <c r="R100" i="14" a="1"/>
  <c r="R100" i="14" s="1"/>
  <c r="M100" i="14"/>
  <c r="S100" i="14" a="1"/>
  <c r="S100" i="14" s="1"/>
  <c r="T100" i="14" s="1"/>
  <c r="E100" i="14" a="1"/>
  <c r="E100" i="14" s="1"/>
  <c r="D100" i="14" a="1"/>
  <c r="D100" i="14" s="1"/>
  <c r="G100" i="14" s="1"/>
  <c r="C100" i="14"/>
  <c r="R89" i="14" a="1"/>
  <c r="R89" i="14" s="1"/>
  <c r="M89" i="14"/>
  <c r="E89" i="14" a="1"/>
  <c r="E89" i="14" s="1"/>
  <c r="C89" i="14"/>
  <c r="S89" i="14" a="1"/>
  <c r="S89" i="14" s="1"/>
  <c r="T89" i="14" s="1"/>
  <c r="D89" i="14" a="1"/>
  <c r="D89" i="14" s="1"/>
  <c r="G89" i="14" s="1"/>
  <c r="M196" i="14"/>
  <c r="C196" i="14"/>
  <c r="R196" i="14" a="1"/>
  <c r="R196" i="14" s="1"/>
  <c r="S196" i="14" a="1"/>
  <c r="S196" i="14" s="1"/>
  <c r="T196" i="14" s="1"/>
  <c r="E196" i="14" a="1"/>
  <c r="E196" i="14" s="1"/>
  <c r="D196" i="14" a="1"/>
  <c r="D196" i="14" s="1"/>
  <c r="G196" i="14" s="1"/>
  <c r="R195" i="14" a="1"/>
  <c r="R195" i="14" s="1"/>
  <c r="M195" i="14"/>
  <c r="S195" i="14" a="1"/>
  <c r="S195" i="14" s="1"/>
  <c r="T195" i="14" s="1"/>
  <c r="E195" i="14" a="1"/>
  <c r="E195" i="14" s="1"/>
  <c r="D195" i="14" a="1"/>
  <c r="D195" i="14" s="1"/>
  <c r="G195" i="14" s="1"/>
  <c r="C195" i="14"/>
  <c r="R177" i="14" a="1"/>
  <c r="R177" i="14" s="1"/>
  <c r="M177" i="14"/>
  <c r="S177" i="14" a="1"/>
  <c r="S177" i="14" s="1"/>
  <c r="T177" i="14" s="1"/>
  <c r="E177" i="14" a="1"/>
  <c r="E177" i="14" s="1"/>
  <c r="D177" i="14" a="1"/>
  <c r="D177" i="14" s="1"/>
  <c r="G177" i="14" s="1"/>
  <c r="C177" i="14"/>
  <c r="S43" i="14" a="1"/>
  <c r="S43" i="14" s="1"/>
  <c r="T43" i="14" s="1"/>
  <c r="M43" i="14"/>
  <c r="R43" i="14" a="1"/>
  <c r="R43" i="14" s="1"/>
  <c r="D43" i="14" a="1"/>
  <c r="D43" i="14" s="1"/>
  <c r="G43" i="14" s="1"/>
  <c r="C43" i="14"/>
  <c r="E43" i="14" a="1"/>
  <c r="E43" i="14" s="1"/>
  <c r="S44" i="14" a="1"/>
  <c r="S44" i="14" s="1"/>
  <c r="T44" i="14" s="1"/>
  <c r="M44" i="14"/>
  <c r="D44" i="14" a="1"/>
  <c r="D44" i="14" s="1"/>
  <c r="G44" i="14" s="1"/>
  <c r="E44" i="14" a="1"/>
  <c r="E44" i="14" s="1"/>
  <c r="R44" i="14" a="1"/>
  <c r="R44" i="14" s="1"/>
  <c r="C44" i="14"/>
  <c r="M95" i="14"/>
  <c r="C95" i="14"/>
  <c r="D95" i="14" a="1"/>
  <c r="D95" i="14" s="1"/>
  <c r="G95" i="14" s="1"/>
  <c r="E95" i="14" a="1"/>
  <c r="E95" i="14" s="1"/>
  <c r="R95" i="14" a="1"/>
  <c r="R95" i="14" s="1"/>
  <c r="S95" i="14" a="1"/>
  <c r="S95" i="14" s="1"/>
  <c r="T95" i="14" s="1"/>
  <c r="R108" i="14" a="1"/>
  <c r="R108" i="14" s="1"/>
  <c r="M108" i="14"/>
  <c r="D108" i="14" a="1"/>
  <c r="D108" i="14" s="1"/>
  <c r="G108" i="14" s="1"/>
  <c r="E108" i="14" a="1"/>
  <c r="E108" i="14" s="1"/>
  <c r="S108" i="14" a="1"/>
  <c r="S108" i="14" s="1"/>
  <c r="T108" i="14" s="1"/>
  <c r="C108" i="14"/>
  <c r="S71" i="14" a="1"/>
  <c r="S71" i="14" s="1"/>
  <c r="T71" i="14" s="1"/>
  <c r="M71" i="14"/>
  <c r="R71" i="14" a="1"/>
  <c r="R71" i="14" s="1"/>
  <c r="E71" i="14" a="1"/>
  <c r="E71" i="14" s="1"/>
  <c r="D71" i="14" a="1"/>
  <c r="D71" i="14" s="1"/>
  <c r="G71" i="14" s="1"/>
  <c r="C71" i="14"/>
  <c r="F576" i="7" a="1"/>
  <c r="F576" i="7" s="1"/>
  <c r="F397" i="7" a="1"/>
  <c r="F397" i="7" s="1"/>
  <c r="F622" i="7" a="1"/>
  <c r="F622" i="7" s="1"/>
  <c r="F443" i="7" a="1"/>
  <c r="F443" i="7" s="1"/>
  <c r="F514" i="7" a="1"/>
  <c r="F514" i="7" s="1"/>
  <c r="F693" i="7" a="1"/>
  <c r="F693" i="7" s="1"/>
  <c r="F841" i="7"/>
  <c r="F754" i="7"/>
  <c r="F847" i="7"/>
  <c r="F734" i="7"/>
  <c r="F787" i="7"/>
  <c r="F880" i="7"/>
  <c r="F767" i="7"/>
  <c r="F801" i="7"/>
  <c r="F725" i="7"/>
  <c r="F1509" i="7"/>
  <c r="F972" i="7"/>
  <c r="F1151" i="7"/>
  <c r="F1688" i="7"/>
  <c r="F1330" i="7"/>
  <c r="F1723" i="7"/>
  <c r="F1365" i="7"/>
  <c r="F1186" i="7"/>
  <c r="F1007" i="7"/>
  <c r="F1544" i="7"/>
  <c r="F1549" i="7"/>
  <c r="F1370" i="7"/>
  <c r="F1191" i="7"/>
  <c r="F1728" i="7"/>
  <c r="F1012" i="7"/>
  <c r="F1603" i="7"/>
  <c r="F1782" i="7"/>
  <c r="F1245" i="7"/>
  <c r="F1424" i="7"/>
  <c r="F1066" i="7"/>
  <c r="F1673" i="7"/>
  <c r="F957" i="7"/>
  <c r="F1136" i="7"/>
  <c r="F1315" i="7"/>
  <c r="F1494" i="7"/>
  <c r="F1659" i="7"/>
  <c r="F1480" i="7"/>
  <c r="F1122" i="7"/>
  <c r="F1301" i="7"/>
  <c r="F943" i="7"/>
  <c r="F1224" i="7"/>
  <c r="F1761" i="7"/>
  <c r="F1582" i="7"/>
  <c r="F1403" i="7"/>
  <c r="F1045" i="7"/>
  <c r="F1283" i="7"/>
  <c r="F1462" i="7"/>
  <c r="F1104" i="7"/>
  <c r="F1641" i="7"/>
  <c r="F925" i="7"/>
  <c r="F1033" i="7"/>
  <c r="F1212" i="7"/>
  <c r="F1570" i="7"/>
  <c r="F1391" i="7"/>
  <c r="F1749" i="7"/>
  <c r="F1573" i="7"/>
  <c r="F1752" i="7"/>
  <c r="F1394" i="7"/>
  <c r="F1036" i="7"/>
  <c r="F1215" i="7"/>
  <c r="F1739" i="7"/>
  <c r="F1381" i="7"/>
  <c r="F1023" i="7"/>
  <c r="F1560" i="7"/>
  <c r="F1202" i="7"/>
  <c r="F1579" i="7"/>
  <c r="F1758" i="7"/>
  <c r="F1400" i="7"/>
  <c r="F1042" i="7"/>
  <c r="F1221" i="7"/>
  <c r="F1561" i="7"/>
  <c r="F1740" i="7"/>
  <c r="F1382" i="7"/>
  <c r="F1024" i="7"/>
  <c r="F1203" i="7"/>
  <c r="F1407" i="7"/>
  <c r="F1049" i="7"/>
  <c r="F1586" i="7"/>
  <c r="F1228" i="7"/>
  <c r="F1765" i="7"/>
  <c r="F1062" i="7"/>
  <c r="F1778" i="7"/>
  <c r="F1420" i="7"/>
  <c r="F1241" i="7"/>
  <c r="F1599" i="7"/>
  <c r="R22" i="14" a="1"/>
  <c r="R22" i="14" s="1"/>
  <c r="M22" i="14"/>
  <c r="C22" i="14"/>
  <c r="E22" i="14" a="1"/>
  <c r="E22" i="14" s="1"/>
  <c r="L22" i="14" s="1"/>
  <c r="S22" i="14" a="1"/>
  <c r="S22" i="14" s="1"/>
  <c r="T22" i="14" s="1"/>
  <c r="D22" i="14" a="1"/>
  <c r="D22" i="14" s="1"/>
  <c r="R85" i="14" a="1"/>
  <c r="R85" i="14" s="1"/>
  <c r="M85" i="14"/>
  <c r="E85" i="14" a="1"/>
  <c r="E85" i="14" s="1"/>
  <c r="D85" i="14" a="1"/>
  <c r="D85" i="14" s="1"/>
  <c r="G85" i="14" s="1"/>
  <c r="S85" i="14" a="1"/>
  <c r="S85" i="14" s="1"/>
  <c r="T85" i="14" s="1"/>
  <c r="C85" i="14"/>
  <c r="E163" i="14" a="1"/>
  <c r="E163" i="14" s="1"/>
  <c r="M163" i="14"/>
  <c r="S163" i="14" a="1"/>
  <c r="S163" i="14" s="1"/>
  <c r="T163" i="14" s="1"/>
  <c r="C163" i="14"/>
  <c r="D163" i="14" a="1"/>
  <c r="D163" i="14" s="1"/>
  <c r="G163" i="14" s="1"/>
  <c r="R163" i="14" a="1"/>
  <c r="R163" i="14" s="1"/>
  <c r="R149" i="14" a="1"/>
  <c r="R149" i="14" s="1"/>
  <c r="M149" i="14"/>
  <c r="C149" i="14"/>
  <c r="E149" i="14" a="1"/>
  <c r="E149" i="14" s="1"/>
  <c r="S149" i="14" a="1"/>
  <c r="S149" i="14" s="1"/>
  <c r="T149" i="14" s="1"/>
  <c r="D149" i="14" a="1"/>
  <c r="D149" i="14" s="1"/>
  <c r="G149" i="14" s="1"/>
  <c r="S17" i="14" a="1"/>
  <c r="S17" i="14" s="1"/>
  <c r="T17" i="14" s="1"/>
  <c r="E17" i="14" a="1"/>
  <c r="E17" i="14" s="1"/>
  <c r="R17" i="14" a="1"/>
  <c r="R17" i="14" s="1"/>
  <c r="C17" i="14"/>
  <c r="D17" i="14" a="1"/>
  <c r="D17" i="14" s="1"/>
  <c r="R158" i="14" a="1"/>
  <c r="R158" i="14" s="1"/>
  <c r="M158" i="14"/>
  <c r="S158" i="14" a="1"/>
  <c r="S158" i="14" s="1"/>
  <c r="T158" i="14" s="1"/>
  <c r="E158" i="14" a="1"/>
  <c r="E158" i="14" s="1"/>
  <c r="D158" i="14" a="1"/>
  <c r="D158" i="14" s="1"/>
  <c r="G158" i="14" s="1"/>
  <c r="C158" i="14"/>
  <c r="S140" i="14" a="1"/>
  <c r="S140" i="14" s="1"/>
  <c r="T140" i="14" s="1"/>
  <c r="M140" i="14"/>
  <c r="D140" i="14" a="1"/>
  <c r="D140" i="14" s="1"/>
  <c r="G140" i="14" s="1"/>
  <c r="C140" i="14"/>
  <c r="R140" i="14" a="1"/>
  <c r="R140" i="14" s="1"/>
  <c r="E140" i="14" a="1"/>
  <c r="E140" i="14" s="1"/>
  <c r="R72" i="14" a="1"/>
  <c r="R72" i="14" s="1"/>
  <c r="M72" i="14"/>
  <c r="S72" i="14" a="1"/>
  <c r="S72" i="14" s="1"/>
  <c r="T72" i="14" s="1"/>
  <c r="C72" i="14"/>
  <c r="E72" i="14" a="1"/>
  <c r="E72" i="14" s="1"/>
  <c r="D72" i="14" a="1"/>
  <c r="D72" i="14" s="1"/>
  <c r="G72" i="14" s="1"/>
  <c r="D131" i="14" a="1"/>
  <c r="D131" i="14" s="1"/>
  <c r="G131" i="14" s="1"/>
  <c r="M131" i="14"/>
  <c r="R131" i="14" a="1"/>
  <c r="R131" i="14" s="1"/>
  <c r="S131" i="14" a="1"/>
  <c r="S131" i="14" s="1"/>
  <c r="T131" i="14" s="1"/>
  <c r="E131" i="14" a="1"/>
  <c r="E131" i="14" s="1"/>
  <c r="C131" i="14"/>
  <c r="E197" i="14" a="1"/>
  <c r="E197" i="14" s="1"/>
  <c r="M197" i="14"/>
  <c r="R197" i="14" a="1"/>
  <c r="R197" i="14" s="1"/>
  <c r="S197" i="14" a="1"/>
  <c r="S197" i="14" s="1"/>
  <c r="T197" i="14" s="1"/>
  <c r="C197" i="14"/>
  <c r="D197" i="14" a="1"/>
  <c r="D197" i="14" s="1"/>
  <c r="G197" i="14" s="1"/>
  <c r="R203" i="14" a="1"/>
  <c r="R203" i="14" s="1"/>
  <c r="M203" i="14"/>
  <c r="E203" i="14" a="1"/>
  <c r="E203" i="14" s="1"/>
  <c r="C203" i="14"/>
  <c r="S203" i="14" a="1"/>
  <c r="S203" i="14" s="1"/>
  <c r="T203" i="14" s="1"/>
  <c r="D203" i="14" a="1"/>
  <c r="D203" i="14" s="1"/>
  <c r="G203" i="14" s="1"/>
  <c r="E84" i="14" a="1"/>
  <c r="E84" i="14" s="1"/>
  <c r="M84" i="14"/>
  <c r="R84" i="14" a="1"/>
  <c r="R84" i="14" s="1"/>
  <c r="S84" i="14" a="1"/>
  <c r="S84" i="14" s="1"/>
  <c r="T84" i="14" s="1"/>
  <c r="C84" i="14"/>
  <c r="D84" i="14" a="1"/>
  <c r="D84" i="14" s="1"/>
  <c r="G84" i="14" s="1"/>
  <c r="M189" i="14"/>
  <c r="C189" i="14"/>
  <c r="S189" i="14" a="1"/>
  <c r="S189" i="14" s="1"/>
  <c r="T189" i="14" s="1"/>
  <c r="R189" i="14" a="1"/>
  <c r="R189" i="14" s="1"/>
  <c r="D189" i="14" a="1"/>
  <c r="D189" i="14" s="1"/>
  <c r="G189" i="14" s="1"/>
  <c r="E189" i="14" a="1"/>
  <c r="E189" i="14" s="1"/>
  <c r="M63" i="14"/>
  <c r="S63" i="14" a="1"/>
  <c r="S63" i="14" s="1"/>
  <c r="T63" i="14" s="1"/>
  <c r="E63" i="14" a="1"/>
  <c r="E63" i="14" s="1"/>
  <c r="R63" i="14" a="1"/>
  <c r="R63" i="14" s="1"/>
  <c r="C63" i="14"/>
  <c r="D63" i="14" a="1"/>
  <c r="D63" i="14" s="1"/>
  <c r="G63" i="14" s="1"/>
  <c r="R157" i="14" a="1"/>
  <c r="R157" i="14" s="1"/>
  <c r="M157" i="14"/>
  <c r="E157" i="14" a="1"/>
  <c r="E157" i="14" s="1"/>
  <c r="D157" i="14" a="1"/>
  <c r="D157" i="14" s="1"/>
  <c r="G157" i="14" s="1"/>
  <c r="S157" i="14" a="1"/>
  <c r="S157" i="14" s="1"/>
  <c r="T157" i="14" s="1"/>
  <c r="C157" i="14"/>
  <c r="R11" i="14" a="1"/>
  <c r="R11" i="14" s="1"/>
  <c r="E11" i="14" a="1"/>
  <c r="E11" i="14" s="1"/>
  <c r="D11" i="14" a="1"/>
  <c r="D11" i="14" s="1"/>
  <c r="C11" i="14"/>
  <c r="S11" i="14" a="1"/>
  <c r="S11" i="14" s="1"/>
  <c r="T11" i="14" s="1"/>
  <c r="GK52" i="4"/>
  <c r="F566" i="7" a="1"/>
  <c r="F566" i="7" s="1"/>
  <c r="F387" i="7" a="1"/>
  <c r="F387" i="7" s="1"/>
  <c r="F564" i="7" a="1"/>
  <c r="F564" i="7" s="1"/>
  <c r="F385" i="7" a="1"/>
  <c r="F385" i="7" s="1"/>
  <c r="F499" i="7" a="1"/>
  <c r="F499" i="7" s="1"/>
  <c r="F678" i="7" a="1"/>
  <c r="F678" i="7" s="1"/>
  <c r="F707" i="7" a="1"/>
  <c r="F707" i="7" s="1"/>
  <c r="F528" i="7" a="1"/>
  <c r="F528" i="7" s="1"/>
  <c r="F563" i="7" a="1"/>
  <c r="F563" i="7" s="1"/>
  <c r="F384" i="7" a="1"/>
  <c r="F384" i="7" s="1"/>
  <c r="F863" i="7"/>
  <c r="F867" i="7"/>
  <c r="F757" i="7"/>
  <c r="F828" i="7"/>
  <c r="F765" i="7"/>
  <c r="F737" i="7"/>
  <c r="F1541" i="7"/>
  <c r="F1720" i="7"/>
  <c r="F1362" i="7"/>
  <c r="F1004" i="7"/>
  <c r="F1183" i="7"/>
  <c r="F1401" i="7"/>
  <c r="F1043" i="7"/>
  <c r="F1580" i="7"/>
  <c r="F1759" i="7"/>
  <c r="F1222" i="7"/>
  <c r="F1589" i="7"/>
  <c r="F1768" i="7"/>
  <c r="F1231" i="7"/>
  <c r="F1410" i="7"/>
  <c r="F1052" i="7"/>
  <c r="F1635" i="7"/>
  <c r="F1277" i="7"/>
  <c r="F1456" i="7"/>
  <c r="F1098" i="7"/>
  <c r="F919" i="7"/>
  <c r="F1165" i="7"/>
  <c r="F1523" i="7"/>
  <c r="F1702" i="7"/>
  <c r="F986" i="7"/>
  <c r="F1344" i="7"/>
  <c r="F1683" i="7"/>
  <c r="F1146" i="7"/>
  <c r="F1504" i="7"/>
  <c r="F967" i="7"/>
  <c r="F1325" i="7"/>
  <c r="F1791" i="7"/>
  <c r="F1254" i="7"/>
  <c r="F1612" i="7"/>
  <c r="F1075" i="7"/>
  <c r="F1433" i="7"/>
  <c r="F1475" i="7"/>
  <c r="F1117" i="7"/>
  <c r="F1296" i="7"/>
  <c r="F1654" i="7"/>
  <c r="F938" i="7"/>
  <c r="F1585" i="7"/>
  <c r="F1048" i="7"/>
  <c r="F1227" i="7"/>
  <c r="F1406" i="7"/>
  <c r="F1764" i="7"/>
  <c r="F1769" i="7"/>
  <c r="F1590" i="7"/>
  <c r="F1053" i="7"/>
  <c r="F1232" i="7"/>
  <c r="F1411" i="7"/>
  <c r="F1578" i="7"/>
  <c r="F1757" i="7"/>
  <c r="F1220" i="7"/>
  <c r="F1399" i="7"/>
  <c r="F1041" i="7"/>
  <c r="F1594" i="7"/>
  <c r="F1773" i="7"/>
  <c r="F1236" i="7"/>
  <c r="F1415" i="7"/>
  <c r="F1057" i="7"/>
  <c r="F1577" i="7"/>
  <c r="F1398" i="7"/>
  <c r="F1756" i="7"/>
  <c r="F1219" i="7"/>
  <c r="F1040" i="7"/>
  <c r="F1777" i="7"/>
  <c r="F1240" i="7"/>
  <c r="F1598" i="7"/>
  <c r="F1061" i="7"/>
  <c r="F1419" i="7"/>
  <c r="F1253" i="7"/>
  <c r="F1611" i="7"/>
  <c r="F1790" i="7"/>
  <c r="F1432" i="7"/>
  <c r="F1074" i="7"/>
  <c r="S81" i="14" a="1"/>
  <c r="S81" i="14" s="1"/>
  <c r="T81" i="14" s="1"/>
  <c r="M81" i="14"/>
  <c r="R81" i="14" a="1"/>
  <c r="R81" i="14" s="1"/>
  <c r="E81" i="14" a="1"/>
  <c r="E81" i="14" s="1"/>
  <c r="D81" i="14" a="1"/>
  <c r="D81" i="14" s="1"/>
  <c r="G81" i="14" s="1"/>
  <c r="C81" i="14"/>
  <c r="S132" i="14" a="1"/>
  <c r="S132" i="14" s="1"/>
  <c r="T132" i="14" s="1"/>
  <c r="M132" i="14"/>
  <c r="E132" i="14" a="1"/>
  <c r="E132" i="14" s="1"/>
  <c r="R132" i="14" a="1"/>
  <c r="R132" i="14" s="1"/>
  <c r="D132" i="14" a="1"/>
  <c r="D132" i="14" s="1"/>
  <c r="G132" i="14" s="1"/>
  <c r="C132" i="14"/>
  <c r="R8" i="14" a="1"/>
  <c r="R8" i="14" s="1"/>
  <c r="E8" i="14" a="1"/>
  <c r="E8" i="14" s="1"/>
  <c r="D8" i="14" a="1"/>
  <c r="D8" i="14" s="1"/>
  <c r="S8" i="14" a="1"/>
  <c r="S8" i="14" s="1"/>
  <c r="T8" i="14" s="1"/>
  <c r="C8" i="14"/>
  <c r="R104" i="14" a="1"/>
  <c r="R104" i="14" s="1"/>
  <c r="M104" i="14"/>
  <c r="E104" i="14" a="1"/>
  <c r="E104" i="14" s="1"/>
  <c r="D104" i="14" a="1"/>
  <c r="D104" i="14" s="1"/>
  <c r="G104" i="14" s="1"/>
  <c r="C104" i="14"/>
  <c r="S104" i="14" a="1"/>
  <c r="S104" i="14" s="1"/>
  <c r="T104" i="14" s="1"/>
  <c r="S125" i="14" a="1"/>
  <c r="S125" i="14" s="1"/>
  <c r="T125" i="14" s="1"/>
  <c r="M125" i="14"/>
  <c r="R125" i="14" a="1"/>
  <c r="R125" i="14" s="1"/>
  <c r="E125" i="14" a="1"/>
  <c r="E125" i="14" s="1"/>
  <c r="C125" i="14"/>
  <c r="D125" i="14" a="1"/>
  <c r="D125" i="14" s="1"/>
  <c r="G125" i="14" s="1"/>
  <c r="S186" i="14" a="1"/>
  <c r="S186" i="14" s="1"/>
  <c r="T186" i="14" s="1"/>
  <c r="M186" i="14"/>
  <c r="C186" i="14"/>
  <c r="R186" i="14" a="1"/>
  <c r="R186" i="14" s="1"/>
  <c r="D186" i="14" a="1"/>
  <c r="D186" i="14" s="1"/>
  <c r="G186" i="14" s="1"/>
  <c r="E186" i="14" a="1"/>
  <c r="E186" i="14" s="1"/>
  <c r="S159" i="14" a="1"/>
  <c r="S159" i="14" s="1"/>
  <c r="T159" i="14" s="1"/>
  <c r="M159" i="14"/>
  <c r="E159" i="14" a="1"/>
  <c r="E159" i="14" s="1"/>
  <c r="D159" i="14" a="1"/>
  <c r="D159" i="14" s="1"/>
  <c r="G159" i="14" s="1"/>
  <c r="C159" i="14"/>
  <c r="R159" i="14" a="1"/>
  <c r="R159" i="14" s="1"/>
  <c r="S141" i="14" a="1"/>
  <c r="S141" i="14" s="1"/>
  <c r="T141" i="14" s="1"/>
  <c r="M141" i="14"/>
  <c r="E141" i="14" a="1"/>
  <c r="E141" i="14" s="1"/>
  <c r="D141" i="14" a="1"/>
  <c r="D141" i="14" s="1"/>
  <c r="G141" i="14" s="1"/>
  <c r="C141" i="14"/>
  <c r="R141" i="14" a="1"/>
  <c r="R141" i="14" s="1"/>
  <c r="D102" i="14" a="1"/>
  <c r="D102" i="14" s="1"/>
  <c r="G102" i="14" s="1"/>
  <c r="M102" i="14"/>
  <c r="C102" i="14"/>
  <c r="E102" i="14" a="1"/>
  <c r="E102" i="14" s="1"/>
  <c r="R102" i="14" a="1"/>
  <c r="R102" i="14" s="1"/>
  <c r="S102" i="14" a="1"/>
  <c r="S102" i="14" s="1"/>
  <c r="T102" i="14" s="1"/>
  <c r="S110" i="14" a="1"/>
  <c r="S110" i="14" s="1"/>
  <c r="T110" i="14" s="1"/>
  <c r="M110" i="14"/>
  <c r="E110" i="14" a="1"/>
  <c r="E110" i="14" s="1"/>
  <c r="C110" i="14"/>
  <c r="D110" i="14" a="1"/>
  <c r="D110" i="14" s="1"/>
  <c r="G110" i="14" s="1"/>
  <c r="R110" i="14" a="1"/>
  <c r="R110" i="14" s="1"/>
  <c r="E160" i="14" a="1"/>
  <c r="E160" i="14" s="1"/>
  <c r="M160" i="14"/>
  <c r="S160" i="14" a="1"/>
  <c r="S160" i="14" s="1"/>
  <c r="T160" i="14" s="1"/>
  <c r="R160" i="14" a="1"/>
  <c r="R160" i="14" s="1"/>
  <c r="D160" i="14" a="1"/>
  <c r="D160" i="14" s="1"/>
  <c r="G160" i="14" s="1"/>
  <c r="C160" i="14"/>
  <c r="R121" i="14" a="1"/>
  <c r="R121" i="14" s="1"/>
  <c r="M121" i="14"/>
  <c r="C121" i="14"/>
  <c r="S121" i="14" a="1"/>
  <c r="S121" i="14" s="1"/>
  <c r="T121" i="14" s="1"/>
  <c r="D121" i="14" a="1"/>
  <c r="D121" i="14" s="1"/>
  <c r="G121" i="14" s="1"/>
  <c r="E121" i="14" a="1"/>
  <c r="E121" i="14" s="1"/>
  <c r="M133" i="14"/>
  <c r="E133" i="14" a="1"/>
  <c r="E133" i="14" s="1"/>
  <c r="D133" i="14" a="1"/>
  <c r="D133" i="14" s="1"/>
  <c r="G133" i="14" s="1"/>
  <c r="R133" i="14" a="1"/>
  <c r="R133" i="14" s="1"/>
  <c r="S133" i="14" a="1"/>
  <c r="S133" i="14" s="1"/>
  <c r="T133" i="14" s="1"/>
  <c r="C133" i="14"/>
  <c r="R45" i="14" a="1"/>
  <c r="R45" i="14" s="1"/>
  <c r="M45" i="14"/>
  <c r="C45" i="14"/>
  <c r="S45" i="14" a="1"/>
  <c r="S45" i="14" s="1"/>
  <c r="T45" i="14" s="1"/>
  <c r="D45" i="14" a="1"/>
  <c r="D45" i="14" s="1"/>
  <c r="G45" i="14" s="1"/>
  <c r="E45" i="14" a="1"/>
  <c r="E45" i="14" s="1"/>
  <c r="M50" i="14"/>
  <c r="R50" i="14" a="1"/>
  <c r="R50" i="14" s="1"/>
  <c r="S50" i="14" a="1"/>
  <c r="S50" i="14" s="1"/>
  <c r="T50" i="14" s="1"/>
  <c r="E50" i="14" a="1"/>
  <c r="E50" i="14" s="1"/>
  <c r="D50" i="14" a="1"/>
  <c r="D50" i="14" s="1"/>
  <c r="G50" i="14" s="1"/>
  <c r="C50" i="14"/>
  <c r="R99" i="14" a="1"/>
  <c r="R99" i="14" s="1"/>
  <c r="M99" i="14"/>
  <c r="S99" i="14" a="1"/>
  <c r="S99" i="14" s="1"/>
  <c r="T99" i="14" s="1"/>
  <c r="C99" i="14"/>
  <c r="E99" i="14" a="1"/>
  <c r="E99" i="14" s="1"/>
  <c r="D99" i="14" a="1"/>
  <c r="D99" i="14" s="1"/>
  <c r="G99" i="14" s="1"/>
  <c r="S23" i="14" a="1"/>
  <c r="S23" i="14" s="1"/>
  <c r="T23" i="14" s="1"/>
  <c r="M23" i="14"/>
  <c r="R23" i="14" a="1"/>
  <c r="R23" i="14" s="1"/>
  <c r="E23" i="14" a="1"/>
  <c r="E23" i="14" s="1"/>
  <c r="L23" i="14" s="1"/>
  <c r="D23" i="14" a="1"/>
  <c r="D23" i="14" s="1"/>
  <c r="C23" i="14"/>
  <c r="F546" i="7" a="1"/>
  <c r="F546" i="7" s="1"/>
  <c r="F367" i="7" a="1"/>
  <c r="F367" i="7" s="1"/>
  <c r="F696" i="7" a="1"/>
  <c r="F696" i="7" s="1"/>
  <c r="F517" i="7" a="1"/>
  <c r="F517" i="7" s="1"/>
  <c r="F695" i="7" a="1"/>
  <c r="F695" i="7" s="1"/>
  <c r="F516" i="7" a="1"/>
  <c r="F516" i="7" s="1"/>
  <c r="F886" i="7"/>
  <c r="F894" i="7"/>
  <c r="F780" i="7"/>
  <c r="F848" i="7"/>
  <c r="F766" i="7"/>
  <c r="F778" i="7"/>
  <c r="F1751" i="7"/>
  <c r="F1393" i="7"/>
  <c r="F1035" i="7"/>
  <c r="F1572" i="7"/>
  <c r="F1214" i="7"/>
  <c r="F1211" i="7"/>
  <c r="F1569" i="7"/>
  <c r="F1032" i="7"/>
  <c r="F1390" i="7"/>
  <c r="F1748" i="7"/>
  <c r="F1102" i="7"/>
  <c r="F1639" i="7"/>
  <c r="F1460" i="7"/>
  <c r="F1281" i="7"/>
  <c r="F923" i="7"/>
  <c r="F1517" i="7"/>
  <c r="F1159" i="7"/>
  <c r="F1696" i="7"/>
  <c r="F1338" i="7"/>
  <c r="F980" i="7"/>
  <c r="F1565" i="7"/>
  <c r="F1207" i="7"/>
  <c r="F1386" i="7"/>
  <c r="F1028" i="7"/>
  <c r="F1744" i="7"/>
  <c r="F1525" i="7"/>
  <c r="F1704" i="7"/>
  <c r="F1167" i="7"/>
  <c r="F988" i="7"/>
  <c r="F1346" i="7"/>
  <c r="F1088" i="7"/>
  <c r="F1625" i="7"/>
  <c r="F1446" i="7"/>
  <c r="F1267" i="7"/>
  <c r="F909" i="7"/>
  <c r="F1667" i="7"/>
  <c r="F1309" i="7"/>
  <c r="F951" i="7"/>
  <c r="F1130" i="7"/>
  <c r="F1488" i="7"/>
  <c r="F1781" i="7"/>
  <c r="F1423" i="7"/>
  <c r="F1602" i="7"/>
  <c r="F1244" i="7"/>
  <c r="F1065" i="7"/>
  <c r="F1427" i="7"/>
  <c r="F1069" i="7"/>
  <c r="F1785" i="7"/>
  <c r="F1248" i="7"/>
  <c r="F1606" i="7"/>
  <c r="F1414" i="7"/>
  <c r="F1056" i="7"/>
  <c r="F1593" i="7"/>
  <c r="F1772" i="7"/>
  <c r="F1235" i="7"/>
  <c r="F1609" i="7"/>
  <c r="F1251" i="7"/>
  <c r="F1788" i="7"/>
  <c r="F1430" i="7"/>
  <c r="F1072" i="7"/>
  <c r="F1412" i="7"/>
  <c r="F1770" i="7"/>
  <c r="F1233" i="7"/>
  <c r="F1054" i="7"/>
  <c r="F1591" i="7"/>
  <c r="F1610" i="7"/>
  <c r="F1252" i="7"/>
  <c r="F1789" i="7"/>
  <c r="F1431" i="7"/>
  <c r="F1073" i="7"/>
  <c r="M79" i="14"/>
  <c r="S79" i="14" a="1"/>
  <c r="S79" i="14" s="1"/>
  <c r="T79" i="14" s="1"/>
  <c r="R79" i="14" a="1"/>
  <c r="R79" i="14" s="1"/>
  <c r="D79" i="14" a="1"/>
  <c r="D79" i="14" s="1"/>
  <c r="G79" i="14" s="1"/>
  <c r="C79" i="14"/>
  <c r="E79" i="14" a="1"/>
  <c r="E79" i="14" s="1"/>
  <c r="E175" i="14" a="1"/>
  <c r="E175" i="14" s="1"/>
  <c r="M175" i="14"/>
  <c r="D175" i="14" a="1"/>
  <c r="D175" i="14" s="1"/>
  <c r="G175" i="14" s="1"/>
  <c r="S175" i="14" a="1"/>
  <c r="S175" i="14" s="1"/>
  <c r="T175" i="14" s="1"/>
  <c r="R175" i="14" a="1"/>
  <c r="R175" i="14" s="1"/>
  <c r="C175" i="14"/>
  <c r="S80" i="14" a="1"/>
  <c r="S80" i="14" s="1"/>
  <c r="T80" i="14" s="1"/>
  <c r="M80" i="14"/>
  <c r="R80" i="14" a="1"/>
  <c r="R80" i="14" s="1"/>
  <c r="E80" i="14" a="1"/>
  <c r="E80" i="14" s="1"/>
  <c r="C80" i="14"/>
  <c r="D80" i="14" a="1"/>
  <c r="D80" i="14" s="1"/>
  <c r="G80" i="14" s="1"/>
  <c r="S105" i="14" a="1"/>
  <c r="S105" i="14" s="1"/>
  <c r="T105" i="14" s="1"/>
  <c r="M105" i="14"/>
  <c r="E105" i="14" a="1"/>
  <c r="E105" i="14" s="1"/>
  <c r="R105" i="14" a="1"/>
  <c r="R105" i="14" s="1"/>
  <c r="D105" i="14" a="1"/>
  <c r="D105" i="14" s="1"/>
  <c r="G105" i="14" s="1"/>
  <c r="C105" i="14"/>
  <c r="E139" i="14" a="1"/>
  <c r="E139" i="14" s="1"/>
  <c r="M139" i="14"/>
  <c r="C139" i="14"/>
  <c r="S139" i="14" a="1"/>
  <c r="S139" i="14" s="1"/>
  <c r="T139" i="14" s="1"/>
  <c r="D139" i="14" a="1"/>
  <c r="D139" i="14" s="1"/>
  <c r="G139" i="14" s="1"/>
  <c r="R139" i="14" a="1"/>
  <c r="R139" i="14" s="1"/>
  <c r="S150" i="14" a="1"/>
  <c r="S150" i="14" s="1"/>
  <c r="T150" i="14" s="1"/>
  <c r="M150" i="14"/>
  <c r="C150" i="14"/>
  <c r="E150" i="14" a="1"/>
  <c r="E150" i="14" s="1"/>
  <c r="R150" i="14" a="1"/>
  <c r="R150" i="14" s="1"/>
  <c r="D150" i="14" a="1"/>
  <c r="D150" i="14" s="1"/>
  <c r="G150" i="14" s="1"/>
  <c r="S30" i="14" a="1"/>
  <c r="S30" i="14" s="1"/>
  <c r="T30" i="14" s="1"/>
  <c r="M30" i="14"/>
  <c r="R30" i="14" a="1"/>
  <c r="R30" i="14" s="1"/>
  <c r="E30" i="14" a="1"/>
  <c r="E30" i="14" s="1"/>
  <c r="L30" i="14" s="1"/>
  <c r="D30" i="14" a="1"/>
  <c r="D30" i="14" s="1"/>
  <c r="C30" i="14"/>
  <c r="M167" i="14"/>
  <c r="C167" i="14"/>
  <c r="E167" i="14" a="1"/>
  <c r="E167" i="14" s="1"/>
  <c r="D167" i="14" a="1"/>
  <c r="D167" i="14" s="1"/>
  <c r="G167" i="14" s="1"/>
  <c r="S167" i="14" a="1"/>
  <c r="S167" i="14" s="1"/>
  <c r="T167" i="14" s="1"/>
  <c r="R167" i="14" a="1"/>
  <c r="R167" i="14" s="1"/>
  <c r="R83" i="14" a="1"/>
  <c r="R83" i="14" s="1"/>
  <c r="M83" i="14"/>
  <c r="E83" i="14" a="1"/>
  <c r="E83" i="14" s="1"/>
  <c r="C83" i="14"/>
  <c r="D83" i="14" a="1"/>
  <c r="D83" i="14" s="1"/>
  <c r="G83" i="14" s="1"/>
  <c r="S83" i="14" a="1"/>
  <c r="S83" i="14" s="1"/>
  <c r="T83" i="14" s="1"/>
  <c r="M90" i="14"/>
  <c r="E90" i="14" a="1"/>
  <c r="E90" i="14" s="1"/>
  <c r="D90" i="14" a="1"/>
  <c r="D90" i="14" s="1"/>
  <c r="G90" i="14" s="1"/>
  <c r="R90" i="14" a="1"/>
  <c r="R90" i="14" s="1"/>
  <c r="S90" i="14" a="1"/>
  <c r="S90" i="14" s="1"/>
  <c r="T90" i="14" s="1"/>
  <c r="C90" i="14"/>
  <c r="M112" i="14"/>
  <c r="D112" i="14" a="1"/>
  <c r="D112" i="14" s="1"/>
  <c r="G112" i="14" s="1"/>
  <c r="S112" i="14" a="1"/>
  <c r="S112" i="14" s="1"/>
  <c r="T112" i="14" s="1"/>
  <c r="C112" i="14"/>
  <c r="R112" i="14" a="1"/>
  <c r="R112" i="14" s="1"/>
  <c r="E112" i="14" a="1"/>
  <c r="E112" i="14" s="1"/>
  <c r="R206" i="14" a="1"/>
  <c r="R206" i="14" s="1"/>
  <c r="M206" i="14"/>
  <c r="E206" i="14" a="1"/>
  <c r="E206" i="14" s="1"/>
  <c r="D206" i="14" a="1"/>
  <c r="D206" i="14" s="1"/>
  <c r="G206" i="14" s="1"/>
  <c r="C206" i="14"/>
  <c r="S206" i="14" a="1"/>
  <c r="S206" i="14" s="1"/>
  <c r="T206" i="14" s="1"/>
  <c r="S75" i="14" a="1"/>
  <c r="S75" i="14" s="1"/>
  <c r="T75" i="14" s="1"/>
  <c r="M75" i="14"/>
  <c r="R75" i="14" a="1"/>
  <c r="R75" i="14" s="1"/>
  <c r="C75" i="14"/>
  <c r="E75" i="14" a="1"/>
  <c r="E75" i="14" s="1"/>
  <c r="D75" i="14" a="1"/>
  <c r="D75" i="14" s="1"/>
  <c r="G75" i="14" s="1"/>
  <c r="M32" i="14"/>
  <c r="S32" i="14" a="1"/>
  <c r="S32" i="14" s="1"/>
  <c r="T32" i="14" s="1"/>
  <c r="R32" i="14" a="1"/>
  <c r="R32" i="14" s="1"/>
  <c r="E32" i="14" a="1"/>
  <c r="E32" i="14" s="1"/>
  <c r="L32" i="14" s="1"/>
  <c r="D32" i="14" a="1"/>
  <c r="D32" i="14" s="1"/>
  <c r="C32" i="14"/>
  <c r="R37" i="14" a="1"/>
  <c r="R37" i="14" s="1"/>
  <c r="M37" i="14"/>
  <c r="D37" i="14" a="1"/>
  <c r="D37" i="14" s="1"/>
  <c r="G37" i="14" s="1"/>
  <c r="E37" i="14" a="1"/>
  <c r="E37" i="14" s="1"/>
  <c r="C37" i="14"/>
  <c r="S37" i="14" a="1"/>
  <c r="S37" i="14" s="1"/>
  <c r="T37" i="14" s="1"/>
  <c r="R98" i="14" a="1"/>
  <c r="R98" i="14" s="1"/>
  <c r="M98" i="14"/>
  <c r="S98" i="14" a="1"/>
  <c r="S98" i="14" s="1"/>
  <c r="T98" i="14" s="1"/>
  <c r="E98" i="14" a="1"/>
  <c r="E98" i="14" s="1"/>
  <c r="D98" i="14" a="1"/>
  <c r="D98" i="14" s="1"/>
  <c r="G98" i="14" s="1"/>
  <c r="C98" i="14"/>
  <c r="S34" i="14" a="1"/>
  <c r="S34" i="14" s="1"/>
  <c r="T34" i="14" s="1"/>
  <c r="M34" i="14"/>
  <c r="D34" i="14" a="1"/>
  <c r="D34" i="14" s="1"/>
  <c r="G34" i="14" s="1"/>
  <c r="C34" i="14"/>
  <c r="E34" i="14" a="1"/>
  <c r="E34" i="14" s="1"/>
  <c r="R34" i="14" a="1"/>
  <c r="R34" i="14" s="1"/>
  <c r="F542" i="7" a="1"/>
  <c r="F542" i="7" s="1"/>
  <c r="F363" i="7" a="1"/>
  <c r="F363" i="7" s="1"/>
  <c r="F539" i="7" a="1"/>
  <c r="F539" i="7" s="1"/>
  <c r="F718" i="7" a="1"/>
  <c r="F718" i="7" s="1"/>
  <c r="F504" i="7" a="1"/>
  <c r="F504" i="7" s="1"/>
  <c r="F683" i="7" a="1"/>
  <c r="F683" i="7" s="1"/>
  <c r="F728" i="7"/>
  <c r="F823" i="7"/>
  <c r="F806" i="7"/>
  <c r="F854" i="7"/>
  <c r="F761" i="7"/>
  <c r="F1676" i="7"/>
  <c r="F1497" i="7"/>
  <c r="F1139" i="7"/>
  <c r="F1318" i="7"/>
  <c r="F960" i="7"/>
  <c r="F1435" i="7"/>
  <c r="F1077" i="7"/>
  <c r="F1614" i="7"/>
  <c r="F1793" i="7"/>
  <c r="F1256" i="7"/>
  <c r="F1447" i="7"/>
  <c r="F1089" i="7"/>
  <c r="F1626" i="7"/>
  <c r="F910" i="7"/>
  <c r="F1268" i="7"/>
  <c r="F1671" i="7"/>
  <c r="F1492" i="7"/>
  <c r="F1134" i="7"/>
  <c r="F1313" i="7"/>
  <c r="F955" i="7"/>
  <c r="F1160" i="7"/>
  <c r="F1697" i="7"/>
  <c r="F1518" i="7"/>
  <c r="F981" i="7"/>
  <c r="F1339" i="7"/>
  <c r="F1775" i="7"/>
  <c r="F1417" i="7"/>
  <c r="F1059" i="7"/>
  <c r="F1238" i="7"/>
  <c r="F1596" i="7"/>
  <c r="F1733" i="7"/>
  <c r="F1375" i="7"/>
  <c r="F1017" i="7"/>
  <c r="F1554" i="7"/>
  <c r="F1196" i="7"/>
  <c r="F1643" i="7"/>
  <c r="F1285" i="7"/>
  <c r="F927" i="7"/>
  <c r="F1464" i="7"/>
  <c r="F1106" i="7"/>
  <c r="F1148" i="7"/>
  <c r="F1327" i="7"/>
  <c r="F1506" i="7"/>
  <c r="F969" i="7"/>
  <c r="F1685" i="7"/>
  <c r="F1263" i="7"/>
  <c r="F905" i="7"/>
  <c r="F1621" i="7"/>
  <c r="F1442" i="7"/>
  <c r="F1084" i="7"/>
  <c r="F1724" i="7"/>
  <c r="F1366" i="7"/>
  <c r="F1187" i="7"/>
  <c r="F1008" i="7"/>
  <c r="F1545" i="7"/>
  <c r="F1266" i="7"/>
  <c r="F1624" i="7"/>
  <c r="F1087" i="7"/>
  <c r="F1445" i="7"/>
  <c r="F908" i="7"/>
  <c r="F1620" i="7"/>
  <c r="F1262" i="7"/>
  <c r="F904" i="7"/>
  <c r="F1441" i="7"/>
  <c r="F1083" i="7"/>
  <c r="F1605" i="7"/>
  <c r="F1426" i="7"/>
  <c r="F1068" i="7"/>
  <c r="F1247" i="7"/>
  <c r="F1784" i="7"/>
  <c r="F1491" i="7"/>
  <c r="F1133" i="7"/>
  <c r="F1670" i="7"/>
  <c r="F1312" i="7"/>
  <c r="F954" i="7"/>
  <c r="R93" i="14" a="1"/>
  <c r="R93" i="14" s="1"/>
  <c r="M93" i="14"/>
  <c r="E93" i="14" a="1"/>
  <c r="E93" i="14" s="1"/>
  <c r="C93" i="14"/>
  <c r="S93" i="14" a="1"/>
  <c r="S93" i="14" s="1"/>
  <c r="T93" i="14" s="1"/>
  <c r="D93" i="14" a="1"/>
  <c r="D93" i="14" s="1"/>
  <c r="G93" i="14" s="1"/>
  <c r="R10" i="14" a="1"/>
  <c r="R10" i="14" s="1"/>
  <c r="S10" i="14" a="1"/>
  <c r="S10" i="14" s="1"/>
  <c r="T10" i="14" s="1"/>
  <c r="C10" i="14"/>
  <c r="E10" i="14" a="1"/>
  <c r="E10" i="14" s="1"/>
  <c r="D10" i="14" a="1"/>
  <c r="D10" i="14" s="1"/>
  <c r="S92" i="14" a="1"/>
  <c r="S92" i="14" s="1"/>
  <c r="T92" i="14" s="1"/>
  <c r="M92" i="14"/>
  <c r="E92" i="14" a="1"/>
  <c r="E92" i="14" s="1"/>
  <c r="D92" i="14" a="1"/>
  <c r="D92" i="14" s="1"/>
  <c r="G92" i="14" s="1"/>
  <c r="C92" i="14"/>
  <c r="R92" i="14" a="1"/>
  <c r="R92" i="14" s="1"/>
  <c r="M178" i="14"/>
  <c r="S178" i="14" a="1"/>
  <c r="S178" i="14" s="1"/>
  <c r="T178" i="14" s="1"/>
  <c r="R178" i="14" a="1"/>
  <c r="R178" i="14" s="1"/>
  <c r="C178" i="14"/>
  <c r="E178" i="14" a="1"/>
  <c r="E178" i="14" s="1"/>
  <c r="D178" i="14" a="1"/>
  <c r="D178" i="14" s="1"/>
  <c r="G178" i="14" s="1"/>
  <c r="S138" i="14" a="1"/>
  <c r="S138" i="14" s="1"/>
  <c r="T138" i="14" s="1"/>
  <c r="M138" i="14"/>
  <c r="R138" i="14" a="1"/>
  <c r="R138" i="14" s="1"/>
  <c r="D138" i="14" a="1"/>
  <c r="D138" i="14" s="1"/>
  <c r="G138" i="14" s="1"/>
  <c r="C138" i="14"/>
  <c r="E138" i="14" a="1"/>
  <c r="E138" i="14" s="1"/>
  <c r="S126" i="14" a="1"/>
  <c r="S126" i="14" s="1"/>
  <c r="T126" i="14" s="1"/>
  <c r="M126" i="14"/>
  <c r="R126" i="14" a="1"/>
  <c r="R126" i="14" s="1"/>
  <c r="C126" i="14"/>
  <c r="E126" i="14" a="1"/>
  <c r="E126" i="14" s="1"/>
  <c r="D126" i="14" a="1"/>
  <c r="D126" i="14" s="1"/>
  <c r="G126" i="14" s="1"/>
  <c r="S29" i="14" a="1"/>
  <c r="S29" i="14" s="1"/>
  <c r="T29" i="14" s="1"/>
  <c r="M29" i="14"/>
  <c r="R29" i="14" a="1"/>
  <c r="R29" i="14" s="1"/>
  <c r="C29" i="14"/>
  <c r="D29" i="14" a="1"/>
  <c r="D29" i="14" s="1"/>
  <c r="E29" i="14" a="1"/>
  <c r="E29" i="14" s="1"/>
  <c r="L29" i="14" s="1"/>
  <c r="R180" i="14" a="1"/>
  <c r="R180" i="14" s="1"/>
  <c r="M180" i="14"/>
  <c r="D180" i="14" a="1"/>
  <c r="D180" i="14" s="1"/>
  <c r="G180" i="14" s="1"/>
  <c r="C180" i="14"/>
  <c r="S180" i="14" a="1"/>
  <c r="S180" i="14" s="1"/>
  <c r="T180" i="14" s="1"/>
  <c r="E180" i="14" a="1"/>
  <c r="E180" i="14" s="1"/>
  <c r="D82" i="14" a="1"/>
  <c r="D82" i="14" s="1"/>
  <c r="G82" i="14" s="1"/>
  <c r="M82" i="14"/>
  <c r="R82" i="14" a="1"/>
  <c r="R82" i="14" s="1"/>
  <c r="S82" i="14" a="1"/>
  <c r="S82" i="14" s="1"/>
  <c r="T82" i="14" s="1"/>
  <c r="E82" i="14" a="1"/>
  <c r="E82" i="14" s="1"/>
  <c r="C82" i="14"/>
  <c r="M73" i="14"/>
  <c r="E73" i="14" a="1"/>
  <c r="E73" i="14" s="1"/>
  <c r="C73" i="14"/>
  <c r="D73" i="14" a="1"/>
  <c r="D73" i="14" s="1"/>
  <c r="G73" i="14" s="1"/>
  <c r="S73" i="14" a="1"/>
  <c r="S73" i="14" s="1"/>
  <c r="T73" i="14" s="1"/>
  <c r="R73" i="14" a="1"/>
  <c r="R73" i="14" s="1"/>
  <c r="S91" i="14" a="1"/>
  <c r="S91" i="14" s="1"/>
  <c r="T91" i="14" s="1"/>
  <c r="M91" i="14"/>
  <c r="D91" i="14" a="1"/>
  <c r="D91" i="14" s="1"/>
  <c r="G91" i="14" s="1"/>
  <c r="C91" i="14"/>
  <c r="R91" i="14" a="1"/>
  <c r="R91" i="14" s="1"/>
  <c r="E91" i="14" a="1"/>
  <c r="E91" i="14" s="1"/>
  <c r="S162" i="14" a="1"/>
  <c r="S162" i="14" s="1"/>
  <c r="T162" i="14" s="1"/>
  <c r="M162" i="14"/>
  <c r="R162" i="14" a="1"/>
  <c r="R162" i="14" s="1"/>
  <c r="D162" i="14" a="1"/>
  <c r="D162" i="14" s="1"/>
  <c r="G162" i="14" s="1"/>
  <c r="C162" i="14"/>
  <c r="E162" i="14" a="1"/>
  <c r="E162" i="14" s="1"/>
  <c r="R137" i="14" a="1"/>
  <c r="R137" i="14" s="1"/>
  <c r="M137" i="14"/>
  <c r="C137" i="14"/>
  <c r="D137" i="14" a="1"/>
  <c r="D137" i="14" s="1"/>
  <c r="G137" i="14" s="1"/>
  <c r="S137" i="14" a="1"/>
  <c r="S137" i="14" s="1"/>
  <c r="T137" i="14" s="1"/>
  <c r="E137" i="14" a="1"/>
  <c r="E137" i="14" s="1"/>
  <c r="S31" i="14" a="1"/>
  <c r="S31" i="14" s="1"/>
  <c r="T31" i="14" s="1"/>
  <c r="M31" i="14"/>
  <c r="C31" i="14"/>
  <c r="R31" i="14" a="1"/>
  <c r="R31" i="14" s="1"/>
  <c r="E31" i="14" a="1"/>
  <c r="E31" i="14" s="1"/>
  <c r="L31" i="14" s="1"/>
  <c r="D31" i="14" a="1"/>
  <c r="D31" i="14" s="1"/>
  <c r="M25" i="14"/>
  <c r="S25" i="14" a="1"/>
  <c r="S25" i="14" s="1"/>
  <c r="T25" i="14" s="1"/>
  <c r="R25" i="14" a="1"/>
  <c r="R25" i="14" s="1"/>
  <c r="D25" i="14" a="1"/>
  <c r="D25" i="14" s="1"/>
  <c r="E25" i="14" a="1"/>
  <c r="E25" i="14" s="1"/>
  <c r="L25" i="14" s="1"/>
  <c r="C25" i="14"/>
  <c r="S97" i="14" a="1"/>
  <c r="S97" i="14" s="1"/>
  <c r="T97" i="14" s="1"/>
  <c r="M97" i="14"/>
  <c r="D97" i="14" a="1"/>
  <c r="D97" i="14" s="1"/>
  <c r="G97" i="14" s="1"/>
  <c r="R97" i="14" a="1"/>
  <c r="R97" i="14" s="1"/>
  <c r="C97" i="14"/>
  <c r="E97" i="14" a="1"/>
  <c r="E97" i="14" s="1"/>
  <c r="M46" i="14"/>
  <c r="E46" i="14" a="1"/>
  <c r="E46" i="14" s="1"/>
  <c r="S46" i="14" a="1"/>
  <c r="S46" i="14" s="1"/>
  <c r="T46" i="14" s="1"/>
  <c r="C46" i="14"/>
  <c r="D46" i="14" a="1"/>
  <c r="D46" i="14" s="1"/>
  <c r="G46" i="14" s="1"/>
  <c r="R46" i="14" a="1"/>
  <c r="R46" i="14" s="1"/>
  <c r="F630" i="7" a="1"/>
  <c r="F630" i="7" s="1"/>
  <c r="F451" i="7" a="1"/>
  <c r="F451" i="7" s="1"/>
  <c r="F721" i="7"/>
  <c r="F753" i="7"/>
  <c r="F846" i="7"/>
  <c r="F897" i="7"/>
  <c r="F723" i="7"/>
  <c r="F878" i="7"/>
  <c r="F799" i="7"/>
  <c r="F836" i="7"/>
  <c r="F853" i="7"/>
  <c r="F816" i="7"/>
  <c r="F804" i="7"/>
  <c r="F773" i="7"/>
  <c r="F1629" i="7"/>
  <c r="F1450" i="7"/>
  <c r="F913" i="7"/>
  <c r="F1092" i="7"/>
  <c r="F1271" i="7"/>
  <c r="F1631" i="7"/>
  <c r="F1273" i="7"/>
  <c r="F915" i="7"/>
  <c r="F1452" i="7"/>
  <c r="F1094" i="7"/>
  <c r="F1567" i="7"/>
  <c r="F1746" i="7"/>
  <c r="F1388" i="7"/>
  <c r="F1030" i="7"/>
  <c r="F1209" i="7"/>
  <c r="F1341" i="7"/>
  <c r="F983" i="7"/>
  <c r="F1699" i="7"/>
  <c r="F1162" i="7"/>
  <c r="F1520" i="7"/>
  <c r="F1258" i="7"/>
  <c r="F1616" i="7"/>
  <c r="F900" i="7"/>
  <c r="F1437" i="7"/>
  <c r="F1079" i="7"/>
  <c r="F1439" i="7"/>
  <c r="F1081" i="7"/>
  <c r="F1618" i="7"/>
  <c r="F1260" i="7"/>
  <c r="F902" i="7"/>
  <c r="F1581" i="7"/>
  <c r="F1760" i="7"/>
  <c r="F1223" i="7"/>
  <c r="F1402" i="7"/>
  <c r="F1044" i="7"/>
  <c r="F1306" i="7"/>
  <c r="F1664" i="7"/>
  <c r="F948" i="7"/>
  <c r="F1485" i="7"/>
  <c r="F1127" i="7"/>
  <c r="F1700" i="7"/>
  <c r="F1521" i="7"/>
  <c r="F1163" i="7"/>
  <c r="F984" i="7"/>
  <c r="F1342" i="7"/>
  <c r="F1634" i="7"/>
  <c r="F918" i="7"/>
  <c r="F1276" i="7"/>
  <c r="F1455" i="7"/>
  <c r="F1097" i="7"/>
  <c r="F1787" i="7"/>
  <c r="F1429" i="7"/>
  <c r="F1071" i="7"/>
  <c r="F1608" i="7"/>
  <c r="F1250" i="7"/>
  <c r="F1637" i="7"/>
  <c r="F1279" i="7"/>
  <c r="F1458" i="7"/>
  <c r="F921" i="7"/>
  <c r="F1100" i="7"/>
  <c r="F1632" i="7"/>
  <c r="F1095" i="7"/>
  <c r="F1453" i="7"/>
  <c r="F916" i="7"/>
  <c r="F1274" i="7"/>
  <c r="F1490" i="7"/>
  <c r="F1132" i="7"/>
  <c r="F1669" i="7"/>
  <c r="F1311" i="7"/>
  <c r="F953" i="7"/>
  <c r="F1145" i="7"/>
  <c r="F1682" i="7"/>
  <c r="F1324" i="7"/>
  <c r="F1503" i="7"/>
  <c r="F966" i="7"/>
  <c r="C64" i="14"/>
  <c r="M64" i="14"/>
  <c r="R64" i="14" a="1"/>
  <c r="R64" i="14" s="1"/>
  <c r="D64" i="14" a="1"/>
  <c r="D64" i="14" s="1"/>
  <c r="G64" i="14" s="1"/>
  <c r="E64" i="14" a="1"/>
  <c r="E64" i="14" s="1"/>
  <c r="S64" i="14" a="1"/>
  <c r="S64" i="14" s="1"/>
  <c r="T64" i="14" s="1"/>
  <c r="S169" i="14" a="1"/>
  <c r="S169" i="14" s="1"/>
  <c r="T169" i="14" s="1"/>
  <c r="M169" i="14"/>
  <c r="R169" i="14" a="1"/>
  <c r="R169" i="14" s="1"/>
  <c r="D169" i="14" a="1"/>
  <c r="D169" i="14" s="1"/>
  <c r="G169" i="14" s="1"/>
  <c r="C169" i="14"/>
  <c r="E169" i="14" a="1"/>
  <c r="E169" i="14" s="1"/>
  <c r="S66" i="14" a="1"/>
  <c r="S66" i="14" s="1"/>
  <c r="T66" i="14" s="1"/>
  <c r="M66" i="14"/>
  <c r="E66" i="14" a="1"/>
  <c r="E66" i="14" s="1"/>
  <c r="R66" i="14" a="1"/>
  <c r="R66" i="14" s="1"/>
  <c r="D66" i="14" a="1"/>
  <c r="D66" i="14" s="1"/>
  <c r="G66" i="14" s="1"/>
  <c r="C66" i="14"/>
  <c r="R144" i="14" a="1"/>
  <c r="R144" i="14" s="1"/>
  <c r="M144" i="14"/>
  <c r="S144" i="14" a="1"/>
  <c r="S144" i="14" s="1"/>
  <c r="T144" i="14" s="1"/>
  <c r="E144" i="14" a="1"/>
  <c r="E144" i="14" s="1"/>
  <c r="D144" i="14" a="1"/>
  <c r="D144" i="14" s="1"/>
  <c r="G144" i="14" s="1"/>
  <c r="C144" i="14"/>
  <c r="S116" i="14" a="1"/>
  <c r="S116" i="14" s="1"/>
  <c r="T116" i="14" s="1"/>
  <c r="M116" i="14"/>
  <c r="R116" i="14" a="1"/>
  <c r="R116" i="14" s="1"/>
  <c r="E116" i="14" a="1"/>
  <c r="E116" i="14" s="1"/>
  <c r="D116" i="14" a="1"/>
  <c r="D116" i="14" s="1"/>
  <c r="G116" i="14" s="1"/>
  <c r="C116" i="14"/>
  <c r="S106" i="14" a="1"/>
  <c r="S106" i="14" s="1"/>
  <c r="T106" i="14" s="1"/>
  <c r="M106" i="14"/>
  <c r="E106" i="14" a="1"/>
  <c r="E106" i="14" s="1"/>
  <c r="R106" i="14" a="1"/>
  <c r="R106" i="14" s="1"/>
  <c r="D106" i="14" a="1"/>
  <c r="D106" i="14" s="1"/>
  <c r="G106" i="14" s="1"/>
  <c r="C106" i="14"/>
  <c r="E187" i="14" a="1"/>
  <c r="E187" i="14" s="1"/>
  <c r="M187" i="14"/>
  <c r="D187" i="14" a="1"/>
  <c r="D187" i="14" s="1"/>
  <c r="G187" i="14" s="1"/>
  <c r="R187" i="14" a="1"/>
  <c r="R187" i="14" s="1"/>
  <c r="S187" i="14" a="1"/>
  <c r="S187" i="14" s="1"/>
  <c r="T187" i="14" s="1"/>
  <c r="C187" i="14"/>
  <c r="S170" i="14" a="1"/>
  <c r="S170" i="14" s="1"/>
  <c r="T170" i="14" s="1"/>
  <c r="M170" i="14"/>
  <c r="D170" i="14" a="1"/>
  <c r="D170" i="14" s="1"/>
  <c r="G170" i="14" s="1"/>
  <c r="C170" i="14"/>
  <c r="R170" i="14" a="1"/>
  <c r="R170" i="14" s="1"/>
  <c r="E170" i="14" a="1"/>
  <c r="E170" i="14" s="1"/>
  <c r="R152" i="14" a="1"/>
  <c r="R152" i="14" s="1"/>
  <c r="M152" i="14"/>
  <c r="C152" i="14"/>
  <c r="S152" i="14" a="1"/>
  <c r="S152" i="14" s="1"/>
  <c r="T152" i="14" s="1"/>
  <c r="D152" i="14" a="1"/>
  <c r="D152" i="14" s="1"/>
  <c r="G152" i="14" s="1"/>
  <c r="E152" i="14" a="1"/>
  <c r="E152" i="14" s="1"/>
  <c r="R59" i="14" a="1"/>
  <c r="R59" i="14" s="1"/>
  <c r="M59" i="14"/>
  <c r="S59" i="14" a="1"/>
  <c r="S59" i="14" s="1"/>
  <c r="T59" i="14" s="1"/>
  <c r="C59" i="14"/>
  <c r="D59" i="14" a="1"/>
  <c r="D59" i="14" s="1"/>
  <c r="G59" i="14" s="1"/>
  <c r="E59" i="14" a="1"/>
  <c r="E59" i="14" s="1"/>
  <c r="S74" i="14" a="1"/>
  <c r="S74" i="14" s="1"/>
  <c r="T74" i="14" s="1"/>
  <c r="M74" i="14"/>
  <c r="R74" i="14" a="1"/>
  <c r="R74" i="14" s="1"/>
  <c r="D74" i="14" a="1"/>
  <c r="D74" i="14" s="1"/>
  <c r="G74" i="14" s="1"/>
  <c r="C74" i="14"/>
  <c r="E74" i="14" a="1"/>
  <c r="E74" i="14" s="1"/>
  <c r="S161" i="14" a="1"/>
  <c r="S161" i="14" s="1"/>
  <c r="T161" i="14" s="1"/>
  <c r="M161" i="14"/>
  <c r="E161" i="14" a="1"/>
  <c r="E161" i="14" s="1"/>
  <c r="D161" i="14" a="1"/>
  <c r="D161" i="14" s="1"/>
  <c r="G161" i="14" s="1"/>
  <c r="C161" i="14"/>
  <c r="R161" i="14" a="1"/>
  <c r="R161" i="14" s="1"/>
  <c r="E136" i="14" a="1"/>
  <c r="E136" i="14" s="1"/>
  <c r="M136" i="14"/>
  <c r="D136" i="14" a="1"/>
  <c r="D136" i="14" s="1"/>
  <c r="G136" i="14" s="1"/>
  <c r="C136" i="14"/>
  <c r="S136" i="14" a="1"/>
  <c r="S136" i="14" s="1"/>
  <c r="T136" i="14" s="1"/>
  <c r="R136" i="14" a="1"/>
  <c r="R136" i="14" s="1"/>
  <c r="S200" i="14" a="1"/>
  <c r="S200" i="14" s="1"/>
  <c r="T200" i="14" s="1"/>
  <c r="M200" i="14"/>
  <c r="R200" i="14" a="1"/>
  <c r="R200" i="14" s="1"/>
  <c r="E200" i="14" a="1"/>
  <c r="E200" i="14" s="1"/>
  <c r="C200" i="14"/>
  <c r="D200" i="14" a="1"/>
  <c r="D200" i="14" s="1"/>
  <c r="G200" i="14" s="1"/>
  <c r="R12" i="14" a="1"/>
  <c r="R12" i="14" s="1"/>
  <c r="S12" i="14" a="1"/>
  <c r="S12" i="14" s="1"/>
  <c r="T12" i="14" s="1"/>
  <c r="C12" i="14"/>
  <c r="E12" i="14" a="1"/>
  <c r="E12" i="14" s="1"/>
  <c r="D12" i="14" a="1"/>
  <c r="D12" i="14" s="1"/>
  <c r="E78" i="14" a="1"/>
  <c r="E78" i="14" s="1"/>
  <c r="M78" i="14"/>
  <c r="D78" i="14" a="1"/>
  <c r="D78" i="14" s="1"/>
  <c r="G78" i="14" s="1"/>
  <c r="R78" i="14" a="1"/>
  <c r="R78" i="14" s="1"/>
  <c r="S78" i="14" a="1"/>
  <c r="S78" i="14" s="1"/>
  <c r="T78" i="14" s="1"/>
  <c r="C78" i="14"/>
  <c r="C58" i="14"/>
  <c r="M58" i="14"/>
  <c r="D58" i="14" a="1"/>
  <c r="D58" i="14" s="1"/>
  <c r="G58" i="14" s="1"/>
  <c r="S58" i="14" a="1"/>
  <c r="S58" i="14" s="1"/>
  <c r="T58" i="14" s="1"/>
  <c r="R58" i="14" a="1"/>
  <c r="R58" i="14" s="1"/>
  <c r="E58" i="14" a="1"/>
  <c r="E58" i="14" s="1"/>
  <c r="I58" i="14" s="1"/>
  <c r="F615" i="7" a="1"/>
  <c r="F615" i="7" s="1"/>
  <c r="F436" i="7" a="1"/>
  <c r="F436" i="7" s="1"/>
  <c r="F743" i="7"/>
  <c r="F865" i="7"/>
  <c r="F818" i="7"/>
  <c r="F889" i="7"/>
  <c r="F866" i="7"/>
  <c r="F785" i="7"/>
  <c r="F1116" i="7"/>
  <c r="F937" i="7"/>
  <c r="F1474" i="7"/>
  <c r="F1653" i="7"/>
  <c r="F1295" i="7"/>
  <c r="F1478" i="7"/>
  <c r="F1120" i="7"/>
  <c r="F1299" i="7"/>
  <c r="F1657" i="7"/>
  <c r="F941" i="7"/>
  <c r="F1294" i="7"/>
  <c r="F1115" i="7"/>
  <c r="F1473" i="7"/>
  <c r="F936" i="7"/>
  <c r="F1652" i="7"/>
  <c r="F1552" i="7"/>
  <c r="F1731" i="7"/>
  <c r="F1194" i="7"/>
  <c r="F1373" i="7"/>
  <c r="F1015" i="7"/>
  <c r="F1645" i="7"/>
  <c r="F929" i="7"/>
  <c r="F1287" i="7"/>
  <c r="F1466" i="7"/>
  <c r="F1108" i="7"/>
  <c r="F1648" i="7"/>
  <c r="F1111" i="7"/>
  <c r="F932" i="7"/>
  <c r="F1290" i="7"/>
  <c r="F1469" i="7"/>
  <c r="F1249" i="7"/>
  <c r="F1786" i="7"/>
  <c r="F1428" i="7"/>
  <c r="F1070" i="7"/>
  <c r="F1607" i="7"/>
  <c r="F1508" i="7"/>
  <c r="F1329" i="7"/>
  <c r="F971" i="7"/>
  <c r="F1687" i="7"/>
  <c r="F1150" i="7"/>
  <c r="F1715" i="7"/>
  <c r="F1357" i="7"/>
  <c r="F999" i="7"/>
  <c r="F1178" i="7"/>
  <c r="F1536" i="7"/>
  <c r="F1647" i="7"/>
  <c r="F1468" i="7"/>
  <c r="F931" i="7"/>
  <c r="F1289" i="7"/>
  <c r="F1110" i="7"/>
  <c r="F1623" i="7"/>
  <c r="F1265" i="7"/>
  <c r="F907" i="7"/>
  <c r="F1444" i="7"/>
  <c r="F1086" i="7"/>
  <c r="F1292" i="7"/>
  <c r="F1650" i="7"/>
  <c r="F1471" i="7"/>
  <c r="F1113" i="7"/>
  <c r="F934" i="7"/>
  <c r="F1465" i="7"/>
  <c r="F1107" i="7"/>
  <c r="F928" i="7"/>
  <c r="F1286" i="7"/>
  <c r="F1644" i="7"/>
  <c r="F1323" i="7"/>
  <c r="F1681" i="7"/>
  <c r="F1144" i="7"/>
  <c r="F965" i="7"/>
  <c r="F1502" i="7"/>
  <c r="F1694" i="7"/>
  <c r="F1336" i="7"/>
  <c r="F1515" i="7"/>
  <c r="F1157" i="7"/>
  <c r="F978" i="7"/>
  <c r="R173" i="14" a="1"/>
  <c r="R173" i="14" s="1"/>
  <c r="M173" i="14"/>
  <c r="E173" i="14" a="1"/>
  <c r="E173" i="14" s="1"/>
  <c r="S173" i="14" a="1"/>
  <c r="S173" i="14" s="1"/>
  <c r="T173" i="14" s="1"/>
  <c r="D173" i="14" a="1"/>
  <c r="D173" i="14" s="1"/>
  <c r="G173" i="14" s="1"/>
  <c r="C173" i="14"/>
  <c r="S68" i="14" a="1"/>
  <c r="S68" i="14" s="1"/>
  <c r="T68" i="14" s="1"/>
  <c r="M68" i="14"/>
  <c r="R68" i="14" a="1"/>
  <c r="R68" i="14" s="1"/>
  <c r="E68" i="14" a="1"/>
  <c r="E68" i="14" s="1"/>
  <c r="D68" i="14" a="1"/>
  <c r="D68" i="14" s="1"/>
  <c r="G68" i="14" s="1"/>
  <c r="C68" i="14"/>
  <c r="S65" i="14" a="1"/>
  <c r="S65" i="14" s="1"/>
  <c r="T65" i="14" s="1"/>
  <c r="M65" i="14"/>
  <c r="E65" i="14" a="1"/>
  <c r="E65" i="14" s="1"/>
  <c r="R65" i="14" a="1"/>
  <c r="R65" i="14" s="1"/>
  <c r="D65" i="14" a="1"/>
  <c r="D65" i="14" s="1"/>
  <c r="G65" i="14" s="1"/>
  <c r="C65" i="14"/>
  <c r="S193" i="14" a="1"/>
  <c r="S193" i="14" s="1"/>
  <c r="T193" i="14" s="1"/>
  <c r="M193" i="14"/>
  <c r="E193" i="14" a="1"/>
  <c r="E193" i="14" s="1"/>
  <c r="R193" i="14" a="1"/>
  <c r="R193" i="14" s="1"/>
  <c r="D193" i="14" a="1"/>
  <c r="D193" i="14" s="1"/>
  <c r="G193" i="14" s="1"/>
  <c r="C193" i="14"/>
  <c r="S117" i="14" a="1"/>
  <c r="S117" i="14" s="1"/>
  <c r="T117" i="14" s="1"/>
  <c r="M117" i="14"/>
  <c r="E117" i="14" a="1"/>
  <c r="E117" i="14" s="1"/>
  <c r="R117" i="14" a="1"/>
  <c r="R117" i="14" s="1"/>
  <c r="C117" i="14"/>
  <c r="D117" i="14" a="1"/>
  <c r="D117" i="14" s="1"/>
  <c r="G117" i="14" s="1"/>
  <c r="R143" i="14" a="1"/>
  <c r="R143" i="14" s="1"/>
  <c r="M143" i="14"/>
  <c r="C143" i="14"/>
  <c r="S143" i="14" a="1"/>
  <c r="S143" i="14" s="1"/>
  <c r="T143" i="14" s="1"/>
  <c r="D143" i="14" a="1"/>
  <c r="D143" i="14" s="1"/>
  <c r="G143" i="14" s="1"/>
  <c r="E143" i="14" a="1"/>
  <c r="E143" i="14" s="1"/>
  <c r="E151" i="14" a="1"/>
  <c r="E151" i="14" s="1"/>
  <c r="M151" i="14"/>
  <c r="C151" i="14"/>
  <c r="D151" i="14" a="1"/>
  <c r="D151" i="14" s="1"/>
  <c r="G151" i="14" s="1"/>
  <c r="S151" i="14" a="1"/>
  <c r="S151" i="14" s="1"/>
  <c r="T151" i="14" s="1"/>
  <c r="R151" i="14" a="1"/>
  <c r="R151" i="14" s="1"/>
  <c r="R171" i="14" a="1"/>
  <c r="R171" i="14" s="1"/>
  <c r="M171" i="14"/>
  <c r="S171" i="14" a="1"/>
  <c r="S171" i="14" s="1"/>
  <c r="T171" i="14" s="1"/>
  <c r="E171" i="14" a="1"/>
  <c r="E171" i="14" s="1"/>
  <c r="D171" i="14" a="1"/>
  <c r="D171" i="14" s="1"/>
  <c r="G171" i="14" s="1"/>
  <c r="C171" i="14"/>
  <c r="R153" i="14" a="1"/>
  <c r="R153" i="14" s="1"/>
  <c r="M153" i="14"/>
  <c r="S153" i="14" a="1"/>
  <c r="S153" i="14" s="1"/>
  <c r="T153" i="14" s="1"/>
  <c r="C153" i="14"/>
  <c r="E153" i="14" a="1"/>
  <c r="E153" i="14" s="1"/>
  <c r="D153" i="14" a="1"/>
  <c r="D153" i="14" s="1"/>
  <c r="G153" i="14" s="1"/>
  <c r="S67" i="14" a="1"/>
  <c r="S67" i="14" s="1"/>
  <c r="T67" i="14" s="1"/>
  <c r="M67" i="14"/>
  <c r="C67" i="14"/>
  <c r="D67" i="14" a="1"/>
  <c r="D67" i="14" s="1"/>
  <c r="G67" i="14" s="1"/>
  <c r="R67" i="14" a="1"/>
  <c r="R67" i="14" s="1"/>
  <c r="E67" i="14" a="1"/>
  <c r="E67" i="14" s="1"/>
  <c r="R60" i="14" a="1"/>
  <c r="R60" i="14" s="1"/>
  <c r="M60" i="14"/>
  <c r="S60" i="14" a="1"/>
  <c r="S60" i="14" s="1"/>
  <c r="T60" i="14" s="1"/>
  <c r="E60" i="14" a="1"/>
  <c r="E60" i="14" s="1"/>
  <c r="D60" i="14" a="1"/>
  <c r="D60" i="14" s="1"/>
  <c r="G60" i="14" s="1"/>
  <c r="C60" i="14"/>
  <c r="S134" i="14" a="1"/>
  <c r="S134" i="14" s="1"/>
  <c r="T134" i="14" s="1"/>
  <c r="M134" i="14"/>
  <c r="E134" i="14" a="1"/>
  <c r="E134" i="14" s="1"/>
  <c r="D134" i="14" a="1"/>
  <c r="D134" i="14" s="1"/>
  <c r="G134" i="14" s="1"/>
  <c r="R134" i="14" a="1"/>
  <c r="R134" i="14" s="1"/>
  <c r="C134" i="14"/>
  <c r="M113" i="14"/>
  <c r="S113" i="14" a="1"/>
  <c r="S113" i="14" s="1"/>
  <c r="T113" i="14" s="1"/>
  <c r="D113" i="14" a="1"/>
  <c r="D113" i="14" s="1"/>
  <c r="G113" i="14" s="1"/>
  <c r="R113" i="14" a="1"/>
  <c r="R113" i="14" s="1"/>
  <c r="C113" i="14"/>
  <c r="E113" i="14" a="1"/>
  <c r="E113" i="14" s="1"/>
  <c r="R201" i="14" a="1"/>
  <c r="R201" i="14" s="1"/>
  <c r="M201" i="14"/>
  <c r="C201" i="14"/>
  <c r="S201" i="14" a="1"/>
  <c r="S201" i="14" s="1"/>
  <c r="T201" i="14" s="1"/>
  <c r="E201" i="14" a="1"/>
  <c r="E201" i="14" s="1"/>
  <c r="D201" i="14" a="1"/>
  <c r="D201" i="14" s="1"/>
  <c r="G201" i="14" s="1"/>
  <c r="S188" i="14" a="1"/>
  <c r="S188" i="14" s="1"/>
  <c r="T188" i="14" s="1"/>
  <c r="M188" i="14"/>
  <c r="E188" i="14" a="1"/>
  <c r="E188" i="14" s="1"/>
  <c r="D188" i="14" a="1"/>
  <c r="D188" i="14" s="1"/>
  <c r="G188" i="14" s="1"/>
  <c r="C188" i="14"/>
  <c r="R188" i="14" a="1"/>
  <c r="R188" i="14" s="1"/>
  <c r="R51" i="14" a="1"/>
  <c r="R51" i="14" s="1"/>
  <c r="M51" i="14"/>
  <c r="C51" i="14"/>
  <c r="E51" i="14" a="1"/>
  <c r="E51" i="14" s="1"/>
  <c r="S51" i="14" a="1"/>
  <c r="S51" i="14" s="1"/>
  <c r="T51" i="14" s="1"/>
  <c r="D51" i="14" a="1"/>
  <c r="D51" i="14" s="1"/>
  <c r="G51" i="14" s="1"/>
  <c r="R86" i="14" a="1"/>
  <c r="R86" i="14" s="1"/>
  <c r="M86" i="14"/>
  <c r="C86" i="14"/>
  <c r="S86" i="14" a="1"/>
  <c r="S86" i="14" s="1"/>
  <c r="T86" i="14" s="1"/>
  <c r="E86" i="14" a="1"/>
  <c r="E86" i="14" s="1"/>
  <c r="D86" i="14" a="1"/>
  <c r="D86" i="14" s="1"/>
  <c r="G86" i="14" s="1"/>
  <c r="F589" i="7" a="1"/>
  <c r="F589" i="7" s="1"/>
  <c r="F410" i="7" a="1"/>
  <c r="F410" i="7" s="1"/>
  <c r="F634" i="7" a="1"/>
  <c r="F634" i="7" s="1"/>
  <c r="F455" i="7" a="1"/>
  <c r="F455" i="7" s="1"/>
  <c r="F812" i="7"/>
  <c r="F891" i="7"/>
  <c r="F875" i="7"/>
  <c r="F792" i="7"/>
  <c r="F742" i="7"/>
  <c r="F835" i="7"/>
  <c r="F872" i="7"/>
  <c r="F879" i="7"/>
  <c r="F842" i="7"/>
  <c r="F830" i="7"/>
  <c r="F1680" i="7"/>
  <c r="F1322" i="7"/>
  <c r="F964" i="7"/>
  <c r="F1501" i="7"/>
  <c r="F1143" i="7"/>
  <c r="F1510" i="7"/>
  <c r="F1331" i="7"/>
  <c r="F973" i="7"/>
  <c r="F1689" i="7"/>
  <c r="F1152" i="7"/>
  <c r="F1177" i="7"/>
  <c r="F998" i="7"/>
  <c r="F1714" i="7"/>
  <c r="F1356" i="7"/>
  <c r="F1535" i="7"/>
  <c r="F1771" i="7"/>
  <c r="F1234" i="7"/>
  <c r="F1413" i="7"/>
  <c r="F1055" i="7"/>
  <c r="F1592" i="7"/>
  <c r="F1493" i="7"/>
  <c r="F1672" i="7"/>
  <c r="F1314" i="7"/>
  <c r="F956" i="7"/>
  <c r="F1135" i="7"/>
  <c r="F1137" i="7"/>
  <c r="F1495" i="7"/>
  <c r="F1674" i="7"/>
  <c r="F1316" i="7"/>
  <c r="F958" i="7"/>
  <c r="F1622" i="7"/>
  <c r="F1264" i="7"/>
  <c r="F1085" i="7"/>
  <c r="F906" i="7"/>
  <c r="F1443" i="7"/>
  <c r="F1711" i="7"/>
  <c r="F1174" i="7"/>
  <c r="F1532" i="7"/>
  <c r="F1353" i="7"/>
  <c r="F995" i="7"/>
  <c r="F1553" i="7"/>
  <c r="F1374" i="7"/>
  <c r="F1016" i="7"/>
  <c r="F1732" i="7"/>
  <c r="F1195" i="7"/>
  <c r="F1123" i="7"/>
  <c r="F944" i="7"/>
  <c r="F1302" i="7"/>
  <c r="F1481" i="7"/>
  <c r="F1660" i="7"/>
  <c r="F1278" i="7"/>
  <c r="F920" i="7"/>
  <c r="F1636" i="7"/>
  <c r="F1457" i="7"/>
  <c r="F1099" i="7"/>
  <c r="F1663" i="7"/>
  <c r="F1305" i="7"/>
  <c r="F947" i="7"/>
  <c r="F1484" i="7"/>
  <c r="F1126" i="7"/>
  <c r="F1477" i="7"/>
  <c r="F1119" i="7"/>
  <c r="F940" i="7"/>
  <c r="F1656" i="7"/>
  <c r="F1298" i="7"/>
  <c r="F1335" i="7"/>
  <c r="F977" i="7"/>
  <c r="F1693" i="7"/>
  <c r="F1514" i="7"/>
  <c r="F1156" i="7"/>
  <c r="F1527" i="7"/>
  <c r="F990" i="7"/>
  <c r="F1348" i="7"/>
  <c r="F1706" i="7"/>
  <c r="F1169" i="7"/>
  <c r="S154" i="14" a="1"/>
  <c r="S154" i="14" s="1"/>
  <c r="T154" i="14" s="1"/>
  <c r="M154" i="14"/>
  <c r="C154" i="14"/>
  <c r="R154" i="14" a="1"/>
  <c r="R154" i="14" s="1"/>
  <c r="E154" i="14" a="1"/>
  <c r="E154" i="14" s="1"/>
  <c r="D154" i="14" a="1"/>
  <c r="D154" i="14" s="1"/>
  <c r="G154" i="14" s="1"/>
  <c r="R181" i="14" a="1"/>
  <c r="R181" i="14" s="1"/>
  <c r="M181" i="14"/>
  <c r="S181" i="14" a="1"/>
  <c r="S181" i="14" s="1"/>
  <c r="T181" i="14" s="1"/>
  <c r="E181" i="14" a="1"/>
  <c r="E181" i="14" s="1"/>
  <c r="C181" i="14"/>
  <c r="D181" i="14" a="1"/>
  <c r="D181" i="14" s="1"/>
  <c r="G181" i="14" s="1"/>
  <c r="M52" i="14"/>
  <c r="E52" i="14" a="1"/>
  <c r="E52" i="14" s="1"/>
  <c r="C52" i="14"/>
  <c r="R52" i="14" a="1"/>
  <c r="R52" i="14" s="1"/>
  <c r="S52" i="14" a="1"/>
  <c r="S52" i="14" s="1"/>
  <c r="T52" i="14" s="1"/>
  <c r="D52" i="14" a="1"/>
  <c r="D52" i="14" s="1"/>
  <c r="G52" i="14" s="1"/>
  <c r="S135" i="14" a="1"/>
  <c r="S135" i="14" s="1"/>
  <c r="T135" i="14" s="1"/>
  <c r="M135" i="14"/>
  <c r="E135" i="14" a="1"/>
  <c r="E135" i="14" s="1"/>
  <c r="R135" i="14" a="1"/>
  <c r="R135" i="14" s="1"/>
  <c r="D135" i="14" a="1"/>
  <c r="D135" i="14" s="1"/>
  <c r="G135" i="14" s="1"/>
  <c r="C135" i="14"/>
  <c r="S190" i="14" a="1"/>
  <c r="S190" i="14" s="1"/>
  <c r="T190" i="14" s="1"/>
  <c r="M190" i="14"/>
  <c r="R190" i="14" a="1"/>
  <c r="R190" i="14" s="1"/>
  <c r="E190" i="14" a="1"/>
  <c r="E190" i="14" s="1"/>
  <c r="D190" i="14" a="1"/>
  <c r="D190" i="14" s="1"/>
  <c r="G190" i="14" s="1"/>
  <c r="C190" i="14"/>
  <c r="D119" i="14" a="1"/>
  <c r="D119" i="14" s="1"/>
  <c r="G119" i="14" s="1"/>
  <c r="M119" i="14"/>
  <c r="S119" i="14" a="1"/>
  <c r="S119" i="14" s="1"/>
  <c r="T119" i="14" s="1"/>
  <c r="C119" i="14"/>
  <c r="R119" i="14" a="1"/>
  <c r="R119" i="14" s="1"/>
  <c r="E119" i="14" a="1"/>
  <c r="E119" i="14" s="1"/>
  <c r="E127" i="14" a="1"/>
  <c r="E127" i="14" s="1"/>
  <c r="M127" i="14"/>
  <c r="C127" i="14"/>
  <c r="R127" i="14" a="1"/>
  <c r="R127" i="14" s="1"/>
  <c r="D127" i="14" a="1"/>
  <c r="D127" i="14" s="1"/>
  <c r="G127" i="14" s="1"/>
  <c r="S127" i="14" a="1"/>
  <c r="S127" i="14" s="1"/>
  <c r="T127" i="14" s="1"/>
  <c r="E19" i="14" a="1"/>
  <c r="E19" i="14" s="1"/>
  <c r="L19" i="14" s="1"/>
  <c r="M19" i="14"/>
  <c r="C19" i="14"/>
  <c r="D19" i="14" a="1"/>
  <c r="D19" i="14" s="1"/>
  <c r="S19" i="14" a="1"/>
  <c r="S19" i="14" s="1"/>
  <c r="T19" i="14" s="1"/>
  <c r="R19" i="14" a="1"/>
  <c r="R19" i="14" s="1"/>
  <c r="S179" i="14" a="1"/>
  <c r="S179" i="14" s="1"/>
  <c r="T179" i="14" s="1"/>
  <c r="M179" i="14"/>
  <c r="D179" i="14" a="1"/>
  <c r="D179" i="14" s="1"/>
  <c r="G179" i="14" s="1"/>
  <c r="E179" i="14" a="1"/>
  <c r="E179" i="14" s="1"/>
  <c r="R179" i="14" a="1"/>
  <c r="R179" i="14" s="1"/>
  <c r="C179" i="14"/>
  <c r="R164" i="14" a="1"/>
  <c r="R164" i="14" s="1"/>
  <c r="M164" i="14"/>
  <c r="S164" i="14" a="1"/>
  <c r="S164" i="14" s="1"/>
  <c r="T164" i="14" s="1"/>
  <c r="E164" i="14" a="1"/>
  <c r="E164" i="14" s="1"/>
  <c r="D164" i="14" a="1"/>
  <c r="D164" i="14" s="1"/>
  <c r="G164" i="14" s="1"/>
  <c r="C164" i="14"/>
  <c r="R47" i="14" a="1"/>
  <c r="R47" i="14" s="1"/>
  <c r="M47" i="14"/>
  <c r="S47" i="14" a="1"/>
  <c r="S47" i="14" s="1"/>
  <c r="T47" i="14" s="1"/>
  <c r="D47" i="14" a="1"/>
  <c r="D47" i="14" s="1"/>
  <c r="G47" i="14" s="1"/>
  <c r="E47" i="14" a="1"/>
  <c r="E47" i="14" s="1"/>
  <c r="C47" i="14"/>
  <c r="R94" i="14" a="1"/>
  <c r="R94" i="14" s="1"/>
  <c r="M94" i="14"/>
  <c r="C94" i="14"/>
  <c r="S94" i="14" a="1"/>
  <c r="S94" i="14" s="1"/>
  <c r="T94" i="14" s="1"/>
  <c r="D94" i="14" a="1"/>
  <c r="D94" i="14" s="1"/>
  <c r="G94" i="14" s="1"/>
  <c r="E94" i="14" a="1"/>
  <c r="E94" i="14" s="1"/>
  <c r="E77" i="14" a="1"/>
  <c r="E77" i="14" s="1"/>
  <c r="M77" i="14"/>
  <c r="S77" i="14" a="1"/>
  <c r="S77" i="14" s="1"/>
  <c r="T77" i="14" s="1"/>
  <c r="R77" i="14" a="1"/>
  <c r="R77" i="14" s="1"/>
  <c r="C77" i="14"/>
  <c r="D77" i="14" a="1"/>
  <c r="D77" i="14" s="1"/>
  <c r="G77" i="14" s="1"/>
  <c r="R96" i="14" a="1"/>
  <c r="R96" i="14" s="1"/>
  <c r="M96" i="14"/>
  <c r="D96" i="14" a="1"/>
  <c r="D96" i="14" s="1"/>
  <c r="G96" i="14" s="1"/>
  <c r="S96" i="14" a="1"/>
  <c r="S96" i="14" s="1"/>
  <c r="T96" i="14" s="1"/>
  <c r="E96" i="14" a="1"/>
  <c r="E96" i="14" s="1"/>
  <c r="C96" i="14"/>
  <c r="S33" i="14" a="1"/>
  <c r="S33" i="14" s="1"/>
  <c r="T33" i="14" s="1"/>
  <c r="M33" i="14"/>
  <c r="C33" i="14"/>
  <c r="R33" i="14" a="1"/>
  <c r="R33" i="14" s="1"/>
  <c r="D33" i="14" a="1"/>
  <c r="D33" i="14" s="1"/>
  <c r="E33" i="14" a="1"/>
  <c r="E33" i="14" s="1"/>
  <c r="L33" i="14" s="1"/>
  <c r="E38" i="14" a="1"/>
  <c r="E38" i="14" s="1"/>
  <c r="M38" i="14"/>
  <c r="R38" i="14" a="1"/>
  <c r="R38" i="14" s="1"/>
  <c r="S38" i="14" a="1"/>
  <c r="S38" i="14" s="1"/>
  <c r="T38" i="14" s="1"/>
  <c r="D38" i="14" a="1"/>
  <c r="D38" i="14" s="1"/>
  <c r="G38" i="14" s="1"/>
  <c r="C38" i="14"/>
  <c r="S124" i="14" a="1"/>
  <c r="S124" i="14" s="1"/>
  <c r="T124" i="14" s="1"/>
  <c r="M124" i="14"/>
  <c r="C124" i="14"/>
  <c r="E124" i="14" a="1"/>
  <c r="E124" i="14" s="1"/>
  <c r="D124" i="14" a="1"/>
  <c r="D124" i="14" s="1"/>
  <c r="G124" i="14" s="1"/>
  <c r="R124" i="14" a="1"/>
  <c r="R124" i="14" s="1"/>
  <c r="F662" i="7" a="1"/>
  <c r="F662" i="7" s="1"/>
  <c r="F483" i="7" a="1"/>
  <c r="F483" i="7" s="1"/>
  <c r="F475" i="7" a="1"/>
  <c r="F475" i="7" s="1"/>
  <c r="F403" i="7" a="1"/>
  <c r="F403" i="7" s="1"/>
  <c r="F601" i="7" a="1"/>
  <c r="F601" i="7" s="1"/>
  <c r="F422" i="7" a="1"/>
  <c r="F422" i="7" s="1"/>
  <c r="F594" i="7" a="1"/>
  <c r="F594" i="7" s="1"/>
  <c r="F415" i="7" a="1"/>
  <c r="F415" i="7" s="1"/>
  <c r="F727" i="7"/>
  <c r="F898" i="7"/>
  <c r="F851" i="7"/>
  <c r="F735" i="7"/>
  <c r="F892" i="7"/>
  <c r="F843" i="7"/>
  <c r="F809" i="7"/>
  <c r="F1537" i="7"/>
  <c r="F1000" i="7"/>
  <c r="F1358" i="7"/>
  <c r="F642" i="11" s="1"/>
  <c r="F1716" i="7"/>
  <c r="F1179" i="7"/>
  <c r="F1005" i="7"/>
  <c r="F1542" i="7"/>
  <c r="F1363" i="7"/>
  <c r="F1184" i="7"/>
  <c r="F1721" i="7"/>
  <c r="F1665" i="7"/>
  <c r="F1307" i="7"/>
  <c r="F949" i="7"/>
  <c r="F1486" i="7"/>
  <c r="F1128" i="7"/>
  <c r="F412" i="11" s="1"/>
  <c r="F1651" i="7"/>
  <c r="F1293" i="7"/>
  <c r="F1472" i="7"/>
  <c r="F1114" i="7"/>
  <c r="F935" i="7"/>
  <c r="F985" i="7"/>
  <c r="F1164" i="7"/>
  <c r="F1522" i="7"/>
  <c r="F1701" i="7"/>
  <c r="F1343" i="7"/>
  <c r="F1703" i="7"/>
  <c r="F1345" i="7"/>
  <c r="F987" i="7"/>
  <c r="F1524" i="7"/>
  <c r="F1166" i="7"/>
  <c r="F1463" i="7"/>
  <c r="F1105" i="7"/>
  <c r="F1284" i="7"/>
  <c r="F1642" i="7"/>
  <c r="F926" i="7"/>
  <c r="F1378" i="7"/>
  <c r="F1557" i="7"/>
  <c r="F1020" i="7"/>
  <c r="F1199" i="7"/>
  <c r="F1736" i="7"/>
  <c r="F1210" i="7"/>
  <c r="F494" i="11" s="1"/>
  <c r="F1568" i="7"/>
  <c r="F1389" i="7"/>
  <c r="F1031" i="7"/>
  <c r="F1747" i="7"/>
  <c r="F959" i="7"/>
  <c r="F1496" i="7"/>
  <c r="F1138" i="7"/>
  <c r="F1675" i="7"/>
  <c r="F1317" i="7"/>
  <c r="F1649" i="7"/>
  <c r="F933" i="11" s="1"/>
  <c r="F933" i="7"/>
  <c r="F1291" i="7"/>
  <c r="F1470" i="7"/>
  <c r="F1112" i="7"/>
  <c r="F1499" i="7"/>
  <c r="F1141" i="7"/>
  <c r="F1678" i="7"/>
  <c r="F1320" i="7"/>
  <c r="F962" i="7"/>
  <c r="F1310" i="7"/>
  <c r="F1131" i="7"/>
  <c r="F1489" i="7"/>
  <c r="F1668" i="7"/>
  <c r="F952" i="7"/>
  <c r="F236" i="11" s="1"/>
  <c r="F1526" i="7"/>
  <c r="F1705" i="7"/>
  <c r="F1168" i="7"/>
  <c r="F989" i="7"/>
  <c r="F1347" i="7"/>
  <c r="F1539" i="7"/>
  <c r="F1181" i="7"/>
  <c r="F1002" i="7"/>
  <c r="F1360" i="7"/>
  <c r="F1718" i="7"/>
  <c r="M39" i="14"/>
  <c r="R39" i="14" a="1"/>
  <c r="R39" i="14" s="1"/>
  <c r="C39" i="14"/>
  <c r="E39" i="14" a="1"/>
  <c r="E39" i="14" s="1"/>
  <c r="D39" i="14" a="1"/>
  <c r="D39" i="14" s="1"/>
  <c r="G39" i="14" s="1"/>
  <c r="S39" i="14" a="1"/>
  <c r="S39" i="14" s="1"/>
  <c r="T39" i="14" s="1"/>
  <c r="E9" i="14" a="1"/>
  <c r="E9" i="14" s="1"/>
  <c r="D9" i="14" a="1"/>
  <c r="D9" i="14" s="1"/>
  <c r="C9" i="14"/>
  <c r="R9" i="14" a="1"/>
  <c r="R9" i="14" s="1"/>
  <c r="S9" i="14" a="1"/>
  <c r="S9" i="14" s="1"/>
  <c r="T9" i="14" s="1"/>
  <c r="E28" i="14" a="1"/>
  <c r="E28" i="14" s="1"/>
  <c r="L28" i="14" s="1"/>
  <c r="M28" i="14"/>
  <c r="R28" i="14" a="1"/>
  <c r="R28" i="14" s="1"/>
  <c r="C28" i="14"/>
  <c r="D28" i="14" a="1"/>
  <c r="D28" i="14" s="1"/>
  <c r="S28" i="14" a="1"/>
  <c r="S28" i="14" s="1"/>
  <c r="T28" i="14" s="1"/>
  <c r="S54" i="14" a="1"/>
  <c r="S54" i="14" s="1"/>
  <c r="T54" i="14" s="1"/>
  <c r="M54" i="14"/>
  <c r="R54" i="14" a="1"/>
  <c r="R54" i="14" s="1"/>
  <c r="E54" i="14" a="1"/>
  <c r="E54" i="14" s="1"/>
  <c r="D54" i="14" a="1"/>
  <c r="D54" i="14" s="1"/>
  <c r="G54" i="14" s="1"/>
  <c r="C54" i="14"/>
  <c r="S156" i="14" a="1"/>
  <c r="S156" i="14" s="1"/>
  <c r="T156" i="14" s="1"/>
  <c r="M156" i="14"/>
  <c r="R156" i="14" a="1"/>
  <c r="R156" i="14" s="1"/>
  <c r="E156" i="14" a="1"/>
  <c r="E156" i="14" s="1"/>
  <c r="D156" i="14" a="1"/>
  <c r="D156" i="14" s="1"/>
  <c r="G156" i="14" s="1"/>
  <c r="C156" i="14"/>
  <c r="S118" i="14" a="1"/>
  <c r="S118" i="14" s="1"/>
  <c r="T118" i="14" s="1"/>
  <c r="M118" i="14"/>
  <c r="C118" i="14"/>
  <c r="R118" i="14" a="1"/>
  <c r="R118" i="14" s="1"/>
  <c r="E118" i="14" a="1"/>
  <c r="E118" i="14" s="1"/>
  <c r="D118" i="14" a="1"/>
  <c r="D118" i="14" s="1"/>
  <c r="G118" i="14" s="1"/>
  <c r="R107" i="14" a="1"/>
  <c r="R107" i="14" s="1"/>
  <c r="M107" i="14"/>
  <c r="S107" i="14" a="1"/>
  <c r="S107" i="14" s="1"/>
  <c r="T107" i="14" s="1"/>
  <c r="C107" i="14"/>
  <c r="E107" i="14" a="1"/>
  <c r="E107" i="14" s="1"/>
  <c r="D107" i="14" a="1"/>
  <c r="D107" i="14" s="1"/>
  <c r="G107" i="14" s="1"/>
  <c r="S18" i="14" a="1"/>
  <c r="S18" i="14" s="1"/>
  <c r="T18" i="14" s="1"/>
  <c r="M18" i="14"/>
  <c r="D18" i="14" a="1"/>
  <c r="D18" i="14" s="1"/>
  <c r="C18" i="14"/>
  <c r="R18" i="14" a="1"/>
  <c r="R18" i="14" s="1"/>
  <c r="E18" i="14" a="1"/>
  <c r="E18" i="14" s="1"/>
  <c r="L18" i="14" s="1"/>
  <c r="R192" i="14" a="1"/>
  <c r="R192" i="14" s="1"/>
  <c r="M192" i="14"/>
  <c r="E192" i="14" a="1"/>
  <c r="E192" i="14" s="1"/>
  <c r="D192" i="14" a="1"/>
  <c r="D192" i="14" s="1"/>
  <c r="G192" i="14" s="1"/>
  <c r="S192" i="14" a="1"/>
  <c r="S192" i="14" s="1"/>
  <c r="T192" i="14" s="1"/>
  <c r="C192" i="14"/>
  <c r="R165" i="14" a="1"/>
  <c r="R165" i="14" s="1"/>
  <c r="M165" i="14"/>
  <c r="E165" i="14" a="1"/>
  <c r="E165" i="14" s="1"/>
  <c r="D165" i="14" a="1"/>
  <c r="D165" i="14" s="1"/>
  <c r="G165" i="14" s="1"/>
  <c r="S165" i="14" a="1"/>
  <c r="S165" i="14" s="1"/>
  <c r="T165" i="14" s="1"/>
  <c r="C165" i="14"/>
  <c r="E70" i="14" a="1"/>
  <c r="E70" i="14" s="1"/>
  <c r="M70" i="14"/>
  <c r="S70" i="14" a="1"/>
  <c r="S70" i="14" s="1"/>
  <c r="T70" i="14" s="1"/>
  <c r="R70" i="14" a="1"/>
  <c r="R70" i="14" s="1"/>
  <c r="C70" i="14"/>
  <c r="D70" i="14" a="1"/>
  <c r="D70" i="14" s="1"/>
  <c r="G70" i="14" s="1"/>
  <c r="M76" i="14"/>
  <c r="D76" i="14" a="1"/>
  <c r="D76" i="14" s="1"/>
  <c r="G76" i="14" s="1"/>
  <c r="R76" i="14" a="1"/>
  <c r="R76" i="14" s="1"/>
  <c r="E76" i="14" a="1"/>
  <c r="E76" i="14" s="1"/>
  <c r="C76" i="14"/>
  <c r="S76" i="14" a="1"/>
  <c r="S76" i="14" s="1"/>
  <c r="T76" i="14" s="1"/>
  <c r="R62" i="14" a="1"/>
  <c r="R62" i="14" s="1"/>
  <c r="M62" i="14"/>
  <c r="D62" i="14" a="1"/>
  <c r="D62" i="14" s="1"/>
  <c r="G62" i="14" s="1"/>
  <c r="S62" i="14" a="1"/>
  <c r="S62" i="14" s="1"/>
  <c r="T62" i="14" s="1"/>
  <c r="E62" i="14" a="1"/>
  <c r="E62" i="14" s="1"/>
  <c r="C62" i="14"/>
  <c r="M145" i="14"/>
  <c r="S145" i="14" a="1"/>
  <c r="S145" i="14" s="1"/>
  <c r="T145" i="14" s="1"/>
  <c r="R145" i="14" a="1"/>
  <c r="R145" i="14" s="1"/>
  <c r="E145" i="14" a="1"/>
  <c r="E145" i="14" s="1"/>
  <c r="D145" i="14" a="1"/>
  <c r="D145" i="14" s="1"/>
  <c r="G145" i="14" s="1"/>
  <c r="C145" i="14"/>
  <c r="R21" i="14" a="1"/>
  <c r="R21" i="14" s="1"/>
  <c r="M21" i="14"/>
  <c r="C21" i="14"/>
  <c r="D21" i="14" a="1"/>
  <c r="D21" i="14" s="1"/>
  <c r="S21" i="14" a="1"/>
  <c r="S21" i="14" s="1"/>
  <c r="T21" i="14" s="1"/>
  <c r="E21" i="14" a="1"/>
  <c r="E21" i="14" s="1"/>
  <c r="L21" i="14" s="1"/>
  <c r="S26" i="14" a="1"/>
  <c r="S26" i="14" s="1"/>
  <c r="T26" i="14" s="1"/>
  <c r="M26" i="14"/>
  <c r="D26" i="14" a="1"/>
  <c r="D26" i="14" s="1"/>
  <c r="E26" i="14" a="1"/>
  <c r="E26" i="14" s="1"/>
  <c r="L26" i="14" s="1"/>
  <c r="C26" i="14"/>
  <c r="R26" i="14" a="1"/>
  <c r="R26" i="14" s="1"/>
  <c r="S146" i="14" a="1"/>
  <c r="S146" i="14" s="1"/>
  <c r="T146" i="14" s="1"/>
  <c r="M146" i="14"/>
  <c r="C146" i="14"/>
  <c r="E146" i="14" a="1"/>
  <c r="E146" i="14" s="1"/>
  <c r="D146" i="14" a="1"/>
  <c r="D146" i="14" s="1"/>
  <c r="G146" i="14" s="1"/>
  <c r="R146" i="14" a="1"/>
  <c r="R146" i="14" s="1"/>
  <c r="GH49" i="4"/>
  <c r="F644" i="7" a="1"/>
  <c r="F644" i="7" s="1"/>
  <c r="F681" i="7" a="1"/>
  <c r="F681" i="7" s="1"/>
  <c r="F502" i="7" a="1"/>
  <c r="F502" i="7" s="1"/>
  <c r="F549" i="7" a="1"/>
  <c r="F549" i="7" s="1"/>
  <c r="F370" i="7" a="1"/>
  <c r="F370" i="7" s="1"/>
  <c r="F558" i="7" a="1"/>
  <c r="F558" i="7" s="1"/>
  <c r="F379" i="7" a="1"/>
  <c r="F379" i="7" s="1"/>
  <c r="F569" i="7" a="1"/>
  <c r="F569" i="7" s="1"/>
  <c r="F390" i="7" a="1"/>
  <c r="F390" i="7" s="1"/>
  <c r="F581" i="7" a="1"/>
  <c r="F581" i="7" s="1"/>
  <c r="F414" i="7" a="1"/>
  <c r="F414" i="7" s="1"/>
  <c r="F623" i="7" a="1"/>
  <c r="F623" i="7" s="1"/>
  <c r="F444" i="7" a="1"/>
  <c r="F444" i="7" s="1"/>
  <c r="F745" i="7"/>
  <c r="F844" i="7"/>
  <c r="F755" i="7"/>
  <c r="F813" i="7"/>
  <c r="F884" i="7"/>
  <c r="F858" i="7"/>
  <c r="F789" i="7"/>
  <c r="F748" i="7"/>
  <c r="F777" i="7"/>
  <c r="F868" i="7"/>
  <c r="F856" i="7"/>
  <c r="F821" i="7"/>
  <c r="F1213" i="7"/>
  <c r="F1571" i="7"/>
  <c r="F1392" i="7"/>
  <c r="F1034" i="7"/>
  <c r="F1750" i="7"/>
  <c r="F1755" i="7"/>
  <c r="F1039" i="7"/>
  <c r="F1576" i="7"/>
  <c r="F860" i="11" s="1"/>
  <c r="F1218" i="7"/>
  <c r="F502" i="11" s="1"/>
  <c r="F1397" i="7"/>
  <c r="F681" i="11" s="1"/>
  <c r="F1727" i="7"/>
  <c r="F1369" i="7"/>
  <c r="F1011" i="7"/>
  <c r="F1548" i="7"/>
  <c r="F1190" i="7"/>
  <c r="F1355" i="7"/>
  <c r="F1534" i="7"/>
  <c r="F997" i="7"/>
  <c r="F1713" i="7"/>
  <c r="F997" i="11" s="1"/>
  <c r="F1176" i="7"/>
  <c r="F460" i="11" s="1"/>
  <c r="F1201" i="7"/>
  <c r="F485" i="11" s="1"/>
  <c r="F1738" i="7"/>
  <c r="F1380" i="7"/>
  <c r="F1559" i="7"/>
  <c r="F1022" i="7"/>
  <c r="F1745" i="7"/>
  <c r="F1566" i="7"/>
  <c r="F1208" i="7"/>
  <c r="F1387" i="7"/>
  <c r="F1029" i="7"/>
  <c r="F1482" i="7"/>
  <c r="F1661" i="7"/>
  <c r="F945" i="11" s="1"/>
  <c r="F945" i="7"/>
  <c r="F229" i="11" s="1"/>
  <c r="F1303" i="7"/>
  <c r="F1124" i="7"/>
  <c r="F1763" i="7"/>
  <c r="F1405" i="7"/>
  <c r="F1047" i="7"/>
  <c r="F1226" i="7"/>
  <c r="F1584" i="7"/>
  <c r="F1225" i="7"/>
  <c r="F1762" i="7"/>
  <c r="F1046" i="7"/>
  <c r="F330" i="11" s="1"/>
  <c r="F1404" i="7"/>
  <c r="F688" i="11" s="1"/>
  <c r="F1583" i="7"/>
  <c r="F867" i="11" s="1"/>
  <c r="F1153" i="7"/>
  <c r="F1511" i="7"/>
  <c r="F1332" i="7"/>
  <c r="F974" i="7"/>
  <c r="F1690" i="7"/>
  <c r="F946" i="7"/>
  <c r="F1662" i="7"/>
  <c r="F1304" i="7"/>
  <c r="F1483" i="7"/>
  <c r="F1125" i="7"/>
  <c r="F1695" i="7"/>
  <c r="F979" i="11" s="1"/>
  <c r="F1337" i="7"/>
  <c r="F621" i="11" s="1"/>
  <c r="F1516" i="7"/>
  <c r="F1158" i="7"/>
  <c r="F979" i="7"/>
  <c r="F1505" i="7"/>
  <c r="F1147" i="7"/>
  <c r="F968" i="7"/>
  <c r="F1684" i="7"/>
  <c r="F1326" i="7"/>
  <c r="F1538" i="7"/>
  <c r="F1717" i="7"/>
  <c r="F1001" i="11" s="1"/>
  <c r="F1001" i="7"/>
  <c r="F285" i="11" s="1"/>
  <c r="F1359" i="7"/>
  <c r="F643" i="11" s="1"/>
  <c r="F1180" i="7"/>
  <c r="F1730" i="7"/>
  <c r="F1193" i="7"/>
  <c r="F1372" i="7"/>
  <c r="F1014" i="7"/>
  <c r="F1551" i="7"/>
  <c r="S27" i="14" a="1"/>
  <c r="S27" i="14" s="1"/>
  <c r="T27" i="14" s="1"/>
  <c r="M27" i="14"/>
  <c r="R27" i="14" a="1"/>
  <c r="R27" i="14" s="1"/>
  <c r="C27" i="14"/>
  <c r="E27" i="14" a="1"/>
  <c r="E27" i="14" s="1"/>
  <c r="L27" i="14" s="1"/>
  <c r="D27" i="14" a="1"/>
  <c r="D27" i="14" s="1"/>
  <c r="M111" i="14"/>
  <c r="R111" i="14" a="1"/>
  <c r="R111" i="14" s="1"/>
  <c r="S111" i="14" a="1"/>
  <c r="S111" i="14" s="1"/>
  <c r="T111" i="14" s="1"/>
  <c r="E111" i="14" a="1"/>
  <c r="E111" i="14" s="1"/>
  <c r="D111" i="14" a="1"/>
  <c r="D111" i="14" s="1"/>
  <c r="G111" i="14" s="1"/>
  <c r="C111" i="14"/>
  <c r="E15" i="14" a="1"/>
  <c r="E15" i="14" s="1"/>
  <c r="R15" i="14" a="1"/>
  <c r="R15" i="14" s="1"/>
  <c r="D15" i="14" a="1"/>
  <c r="D15" i="14" s="1"/>
  <c r="S15" i="14" a="1"/>
  <c r="S15" i="14" s="1"/>
  <c r="T15" i="14" s="1"/>
  <c r="C15" i="14"/>
  <c r="R53" i="14" a="1"/>
  <c r="R53" i="14" s="1"/>
  <c r="M53" i="14"/>
  <c r="S53" i="14" a="1"/>
  <c r="S53" i="14" s="1"/>
  <c r="T53" i="14" s="1"/>
  <c r="D53" i="14" a="1"/>
  <c r="D53" i="14" s="1"/>
  <c r="G53" i="14" s="1"/>
  <c r="E53" i="14" a="1"/>
  <c r="E53" i="14" s="1"/>
  <c r="C53" i="14"/>
  <c r="C205" i="14"/>
  <c r="M205" i="14"/>
  <c r="S205" i="14" a="1"/>
  <c r="S205" i="14" s="1"/>
  <c r="T205" i="14" s="1"/>
  <c r="E205" i="14" a="1"/>
  <c r="E205" i="14" s="1"/>
  <c r="R205" i="14" a="1"/>
  <c r="R205" i="14" s="1"/>
  <c r="D205" i="14" a="1"/>
  <c r="D205" i="14" s="1"/>
  <c r="G205" i="14" s="1"/>
  <c r="R128" i="14" a="1"/>
  <c r="R128" i="14" s="1"/>
  <c r="M128" i="14"/>
  <c r="S128" i="14" a="1"/>
  <c r="S128" i="14" s="1"/>
  <c r="T128" i="14" s="1"/>
  <c r="C128" i="14"/>
  <c r="D128" i="14" a="1"/>
  <c r="D128" i="14" s="1"/>
  <c r="G128" i="14" s="1"/>
  <c r="E128" i="14" a="1"/>
  <c r="E128" i="14" s="1"/>
  <c r="R88" i="14" a="1"/>
  <c r="R88" i="14" s="1"/>
  <c r="M88" i="14"/>
  <c r="S88" i="14" a="1"/>
  <c r="S88" i="14" s="1"/>
  <c r="T88" i="14" s="1"/>
  <c r="E88" i="14" a="1"/>
  <c r="E88" i="14" s="1"/>
  <c r="D88" i="14" a="1"/>
  <c r="D88" i="14" s="1"/>
  <c r="G88" i="14" s="1"/>
  <c r="C88" i="14"/>
  <c r="M155" i="14"/>
  <c r="S155" i="14" a="1"/>
  <c r="S155" i="14" s="1"/>
  <c r="T155" i="14" s="1"/>
  <c r="R155" i="14" a="1"/>
  <c r="R155" i="14" s="1"/>
  <c r="C155" i="14"/>
  <c r="E155" i="14" a="1"/>
  <c r="E155" i="14" s="1"/>
  <c r="D155" i="14" a="1"/>
  <c r="D155" i="14" s="1"/>
  <c r="G155" i="14" s="1"/>
  <c r="R182" i="14" a="1"/>
  <c r="R182" i="14" s="1"/>
  <c r="M182" i="14"/>
  <c r="E182" i="14" a="1"/>
  <c r="E182" i="14" s="1"/>
  <c r="D182" i="14" a="1"/>
  <c r="D182" i="14" s="1"/>
  <c r="G182" i="14" s="1"/>
  <c r="S182" i="14" a="1"/>
  <c r="S182" i="14" s="1"/>
  <c r="T182" i="14" s="1"/>
  <c r="C182" i="14"/>
  <c r="R191" i="14" a="1"/>
  <c r="R191" i="14" s="1"/>
  <c r="M191" i="14"/>
  <c r="D191" i="14" a="1"/>
  <c r="D191" i="14" s="1"/>
  <c r="G191" i="14" s="1"/>
  <c r="S191" i="14" a="1"/>
  <c r="S191" i="14" s="1"/>
  <c r="T191" i="14" s="1"/>
  <c r="C191" i="14"/>
  <c r="E191" i="14" a="1"/>
  <c r="E191" i="14" s="1"/>
  <c r="R56" i="14" a="1"/>
  <c r="R56" i="14" s="1"/>
  <c r="M56" i="14"/>
  <c r="D56" i="14" a="1"/>
  <c r="D56" i="14" s="1"/>
  <c r="G56" i="14" s="1"/>
  <c r="S56" i="14" a="1"/>
  <c r="S56" i="14" s="1"/>
  <c r="T56" i="14" s="1"/>
  <c r="C56" i="14"/>
  <c r="E56" i="14" a="1"/>
  <c r="E56" i="14" s="1"/>
  <c r="R61" i="14" a="1"/>
  <c r="R61" i="14" s="1"/>
  <c r="M61" i="14"/>
  <c r="S61" i="14" a="1"/>
  <c r="S61" i="14" s="1"/>
  <c r="T61" i="14" s="1"/>
  <c r="E61" i="14" a="1"/>
  <c r="E61" i="14" s="1"/>
  <c r="D61" i="14" a="1"/>
  <c r="D61" i="14" s="1"/>
  <c r="G61" i="14" s="1"/>
  <c r="C61" i="14"/>
  <c r="E49" i="14" a="1"/>
  <c r="E49" i="14" s="1"/>
  <c r="M49" i="14"/>
  <c r="S49" i="14" a="1"/>
  <c r="S49" i="14" s="1"/>
  <c r="T49" i="14" s="1"/>
  <c r="R49" i="14" a="1"/>
  <c r="R49" i="14" s="1"/>
  <c r="D49" i="14" a="1"/>
  <c r="D49" i="14" s="1"/>
  <c r="G49" i="14" s="1"/>
  <c r="C49" i="14"/>
  <c r="R87" i="14" a="1"/>
  <c r="R87" i="14" s="1"/>
  <c r="M87" i="14"/>
  <c r="E87" i="14" a="1"/>
  <c r="E87" i="14" s="1"/>
  <c r="S87" i="14" a="1"/>
  <c r="S87" i="14" s="1"/>
  <c r="T87" i="14" s="1"/>
  <c r="D87" i="14" a="1"/>
  <c r="D87" i="14" s="1"/>
  <c r="G87" i="14" s="1"/>
  <c r="C87" i="14"/>
  <c r="R20" i="14" a="1"/>
  <c r="R20" i="14" s="1"/>
  <c r="M20" i="14"/>
  <c r="C20" i="14"/>
  <c r="S20" i="14" a="1"/>
  <c r="S20" i="14" s="1"/>
  <c r="T20" i="14" s="1"/>
  <c r="E20" i="14" a="1"/>
  <c r="E20" i="14" s="1"/>
  <c r="L20" i="14" s="1"/>
  <c r="D20" i="14" a="1"/>
  <c r="D20" i="14" s="1"/>
  <c r="R13" i="14" a="1"/>
  <c r="R13" i="14" s="1"/>
  <c r="E13" i="14" a="1"/>
  <c r="E13" i="14" s="1"/>
  <c r="D13" i="14" a="1"/>
  <c r="D13" i="14" s="1"/>
  <c r="S13" i="14" a="1"/>
  <c r="S13" i="14" s="1"/>
  <c r="T13" i="14" s="1"/>
  <c r="C13" i="14"/>
  <c r="R174" i="14" a="1"/>
  <c r="R174" i="14" s="1"/>
  <c r="M174" i="14"/>
  <c r="C174" i="14"/>
  <c r="D174" i="14" a="1"/>
  <c r="D174" i="14" s="1"/>
  <c r="G174" i="14" s="1"/>
  <c r="E174" i="14" a="1"/>
  <c r="E174" i="14" s="1"/>
  <c r="S174" i="14" a="1"/>
  <c r="S174" i="14" s="1"/>
  <c r="T174" i="14" s="1"/>
  <c r="GO42" i="4"/>
  <c r="GI49" i="4"/>
  <c r="GI52" i="4"/>
  <c r="GI42" i="4" s="1"/>
  <c r="F716" i="7" a="1"/>
  <c r="F716" i="7" s="1"/>
  <c r="F535" i="7" a="1"/>
  <c r="F535" i="7" s="1"/>
  <c r="F714" i="7" a="1"/>
  <c r="F714" i="7" s="1"/>
  <c r="F586" i="7" a="1"/>
  <c r="F586" i="7" s="1"/>
  <c r="F570" i="7" a="1"/>
  <c r="F570" i="7" s="1"/>
  <c r="F391" i="7" a="1"/>
  <c r="F391" i="7" s="1"/>
  <c r="F552" i="7" a="1"/>
  <c r="F552" i="7" s="1"/>
  <c r="F611" i="7" a="1"/>
  <c r="F611" i="7" s="1"/>
  <c r="F432" i="7" a="1"/>
  <c r="F432" i="7" s="1"/>
  <c r="F862" i="7"/>
  <c r="F736" i="7"/>
  <c r="F877" i="7"/>
  <c r="F811" i="7"/>
  <c r="F887" i="7"/>
  <c r="F750" i="7"/>
  <c r="F762" i="7"/>
  <c r="F895" i="7"/>
  <c r="F882" i="7"/>
  <c r="F870" i="7"/>
  <c r="F833" i="7"/>
  <c r="F1783" i="7"/>
  <c r="F1067" i="11" s="1"/>
  <c r="F1604" i="7"/>
  <c r="F888" i="11" s="1"/>
  <c r="F1067" i="7"/>
  <c r="F1425" i="7"/>
  <c r="F1246" i="7"/>
  <c r="F1633" i="7"/>
  <c r="F1454" i="7"/>
  <c r="F1096" i="7"/>
  <c r="F917" i="7"/>
  <c r="F1275" i="7"/>
  <c r="F1767" i="7"/>
  <c r="F1588" i="7"/>
  <c r="F872" i="11" s="1"/>
  <c r="F1409" i="7"/>
  <c r="F693" i="11" s="1"/>
  <c r="F1230" i="7"/>
  <c r="F514" i="11" s="1"/>
  <c r="F1051" i="7"/>
  <c r="F1601" i="7"/>
  <c r="F1422" i="7"/>
  <c r="F1780" i="7"/>
  <c r="F1064" i="7"/>
  <c r="F1243" i="7"/>
  <c r="F1237" i="7"/>
  <c r="F1595" i="7"/>
  <c r="F1774" i="7"/>
  <c r="F1416" i="7"/>
  <c r="F1058" i="7"/>
  <c r="F342" i="11" s="1"/>
  <c r="F1597" i="7"/>
  <c r="F881" i="11" s="1"/>
  <c r="F1239" i="7"/>
  <c r="F1776" i="7"/>
  <c r="F1418" i="7"/>
  <c r="F1060" i="7"/>
  <c r="F1686" i="7"/>
  <c r="F1507" i="7"/>
  <c r="F970" i="7"/>
  <c r="F1328" i="7"/>
  <c r="F1149" i="7"/>
  <c r="F1613" i="7"/>
  <c r="F897" i="11" s="1"/>
  <c r="F1076" i="7"/>
  <c r="F1792" i="7"/>
  <c r="F1076" i="11" s="1"/>
  <c r="F1434" i="7"/>
  <c r="F1255" i="7"/>
  <c r="F1779" i="7"/>
  <c r="F1421" i="7"/>
  <c r="F1063" i="7"/>
  <c r="F1600" i="7"/>
  <c r="F1242" i="7"/>
  <c r="F1707" i="7"/>
  <c r="F1349" i="7"/>
  <c r="F1528" i="7"/>
  <c r="F812" i="11" s="1"/>
  <c r="F1170" i="7"/>
  <c r="F454" i="11" s="1"/>
  <c r="F991" i="7"/>
  <c r="F1677" i="7"/>
  <c r="F1319" i="7"/>
  <c r="F603" i="11" s="1"/>
  <c r="F1498" i="7"/>
  <c r="F1140" i="7"/>
  <c r="F961" i="7"/>
  <c r="F1710" i="7"/>
  <c r="F1173" i="7"/>
  <c r="F1352" i="7"/>
  <c r="F1531" i="7"/>
  <c r="F994" i="7"/>
  <c r="F1161" i="7"/>
  <c r="F1519" i="7"/>
  <c r="F803" i="11" s="1"/>
  <c r="F982" i="7"/>
  <c r="F1340" i="7"/>
  <c r="F1698" i="7"/>
  <c r="F1729" i="7"/>
  <c r="F1550" i="7"/>
  <c r="F1192" i="7"/>
  <c r="F1371" i="7"/>
  <c r="F1013" i="7"/>
  <c r="F1384" i="7"/>
  <c r="F1563" i="7"/>
  <c r="F1205" i="7"/>
  <c r="F1026" i="7"/>
  <c r="F310" i="11" s="1"/>
  <c r="F1742" i="7"/>
  <c r="M57" i="14"/>
  <c r="D57" i="14" a="1"/>
  <c r="D57" i="14" s="1"/>
  <c r="G57" i="14" s="1"/>
  <c r="C57" i="14"/>
  <c r="S57" i="14" a="1"/>
  <c r="S57" i="14" s="1"/>
  <c r="T57" i="14" s="1"/>
  <c r="R57" i="14" a="1"/>
  <c r="R57" i="14" s="1"/>
  <c r="E57" i="14" a="1"/>
  <c r="E57" i="14" s="1"/>
  <c r="R166" i="14" a="1"/>
  <c r="R166" i="14" s="1"/>
  <c r="M166" i="14"/>
  <c r="E166" i="14" a="1"/>
  <c r="E166" i="14" s="1"/>
  <c r="S166" i="14" a="1"/>
  <c r="S166" i="14" s="1"/>
  <c r="T166" i="14" s="1"/>
  <c r="D166" i="14" a="1"/>
  <c r="D166" i="14" s="1"/>
  <c r="G166" i="14" s="1"/>
  <c r="C166" i="14"/>
  <c r="R184" i="14" a="1"/>
  <c r="R184" i="14" s="1"/>
  <c r="M184" i="14"/>
  <c r="S184" i="14" a="1"/>
  <c r="S184" i="14" s="1"/>
  <c r="T184" i="14" s="1"/>
  <c r="C184" i="14"/>
  <c r="E184" i="14" a="1"/>
  <c r="E184" i="14" s="1"/>
  <c r="D184" i="14" a="1"/>
  <c r="D184" i="14" s="1"/>
  <c r="G184" i="14" s="1"/>
  <c r="S40" i="14" a="1"/>
  <c r="S40" i="14" s="1"/>
  <c r="T40" i="14" s="1"/>
  <c r="M40" i="14"/>
  <c r="D40" i="14" a="1"/>
  <c r="D40" i="14" s="1"/>
  <c r="G40" i="14" s="1"/>
  <c r="E40" i="14" a="1"/>
  <c r="E40" i="14" s="1"/>
  <c r="R40" i="14" a="1"/>
  <c r="R40" i="14" s="1"/>
  <c r="C40" i="14"/>
  <c r="S147" i="14" a="1"/>
  <c r="S147" i="14" s="1"/>
  <c r="T147" i="14" s="1"/>
  <c r="M147" i="14"/>
  <c r="R147" i="14" a="1"/>
  <c r="R147" i="14" s="1"/>
  <c r="E147" i="14" a="1"/>
  <c r="E147" i="14" s="1"/>
  <c r="D147" i="14" a="1"/>
  <c r="D147" i="14" s="1"/>
  <c r="G147" i="14" s="1"/>
  <c r="C147" i="14"/>
  <c r="S129" i="14" a="1"/>
  <c r="S129" i="14" s="1"/>
  <c r="T129" i="14" s="1"/>
  <c r="M129" i="14"/>
  <c r="C129" i="14"/>
  <c r="R129" i="14" a="1"/>
  <c r="R129" i="14" s="1"/>
  <c r="E129" i="14" a="1"/>
  <c r="E129" i="14" s="1"/>
  <c r="D129" i="14" a="1"/>
  <c r="D129" i="14" s="1"/>
  <c r="G129" i="14" s="1"/>
  <c r="M122" i="14"/>
  <c r="S122" i="14" a="1"/>
  <c r="S122" i="14" s="1"/>
  <c r="T122" i="14" s="1"/>
  <c r="R122" i="14" a="1"/>
  <c r="R122" i="14" s="1"/>
  <c r="C122" i="14"/>
  <c r="D122" i="14" a="1"/>
  <c r="D122" i="14" s="1"/>
  <c r="G122" i="14" s="1"/>
  <c r="E122" i="14" a="1"/>
  <c r="E122" i="14" s="1"/>
  <c r="S130" i="14" a="1"/>
  <c r="S130" i="14" s="1"/>
  <c r="T130" i="14" s="1"/>
  <c r="M130" i="14"/>
  <c r="R130" i="14" a="1"/>
  <c r="R130" i="14" s="1"/>
  <c r="D130" i="14" a="1"/>
  <c r="D130" i="14" s="1"/>
  <c r="G130" i="14" s="1"/>
  <c r="E130" i="14" a="1"/>
  <c r="E130" i="14" s="1"/>
  <c r="C130" i="14"/>
  <c r="R183" i="14" a="1"/>
  <c r="R183" i="14" s="1"/>
  <c r="M183" i="14"/>
  <c r="E183" i="14" a="1"/>
  <c r="E183" i="14" s="1"/>
  <c r="S183" i="14" a="1"/>
  <c r="S183" i="14" s="1"/>
  <c r="T183" i="14" s="1"/>
  <c r="C183" i="14"/>
  <c r="D183" i="14" a="1"/>
  <c r="D183" i="14" s="1"/>
  <c r="G183" i="14" s="1"/>
  <c r="R204" i="14" a="1"/>
  <c r="R204" i="14" s="1"/>
  <c r="M204" i="14"/>
  <c r="E204" i="14" a="1"/>
  <c r="E204" i="14" s="1"/>
  <c r="S204" i="14" a="1"/>
  <c r="S204" i="14" s="1"/>
  <c r="T204" i="14" s="1"/>
  <c r="D204" i="14" a="1"/>
  <c r="D204" i="14" s="1"/>
  <c r="G204" i="14" s="1"/>
  <c r="C204" i="14"/>
  <c r="E55" i="14" a="1"/>
  <c r="E55" i="14" s="1"/>
  <c r="M55" i="14"/>
  <c r="C55" i="14"/>
  <c r="D55" i="14" a="1"/>
  <c r="D55" i="14" s="1"/>
  <c r="G55" i="14" s="1"/>
  <c r="R55" i="14" a="1"/>
  <c r="R55" i="14" s="1"/>
  <c r="S55" i="14" a="1"/>
  <c r="S55" i="14" s="1"/>
  <c r="T55" i="14" s="1"/>
  <c r="S48" i="14" a="1"/>
  <c r="S48" i="14" s="1"/>
  <c r="T48" i="14" s="1"/>
  <c r="M48" i="14"/>
  <c r="R48" i="14" a="1"/>
  <c r="R48" i="14" s="1"/>
  <c r="E48" i="14" a="1"/>
  <c r="E48" i="14" s="1"/>
  <c r="D48" i="14" a="1"/>
  <c r="D48" i="14" s="1"/>
  <c r="G48" i="14" s="1"/>
  <c r="C48" i="14"/>
  <c r="S36" i="14" a="1"/>
  <c r="S36" i="14" s="1"/>
  <c r="T36" i="14" s="1"/>
  <c r="M36" i="14"/>
  <c r="C36" i="14"/>
  <c r="R36" i="14" a="1"/>
  <c r="R36" i="14" s="1"/>
  <c r="E36" i="14" a="1"/>
  <c r="E36" i="14" s="1"/>
  <c r="D36" i="14" a="1"/>
  <c r="D36" i="14" s="1"/>
  <c r="G36" i="14" s="1"/>
  <c r="S115" i="14" a="1"/>
  <c r="S115" i="14" s="1"/>
  <c r="T115" i="14" s="1"/>
  <c r="M115" i="14"/>
  <c r="C115" i="14"/>
  <c r="D115" i="14" a="1"/>
  <c r="D115" i="14" s="1"/>
  <c r="G115" i="14" s="1"/>
  <c r="E115" i="14" a="1"/>
  <c r="E115" i="14" s="1"/>
  <c r="R115" i="14" a="1"/>
  <c r="R115" i="14" s="1"/>
  <c r="M69" i="14"/>
  <c r="S69" i="14" a="1"/>
  <c r="S69" i="14" s="1"/>
  <c r="T69" i="14" s="1"/>
  <c r="R69" i="14" a="1"/>
  <c r="R69" i="14" s="1"/>
  <c r="E69" i="14" a="1"/>
  <c r="E69" i="14" s="1"/>
  <c r="D69" i="14" a="1"/>
  <c r="D69" i="14" s="1"/>
  <c r="G69" i="14" s="1"/>
  <c r="C69" i="14"/>
  <c r="C198" i="14"/>
  <c r="M198" i="14"/>
  <c r="D198" i="14" a="1"/>
  <c r="D198" i="14" s="1"/>
  <c r="G198" i="14" s="1"/>
  <c r="R198" i="14" a="1"/>
  <c r="R198" i="14" s="1"/>
  <c r="S198" i="14" a="1"/>
  <c r="S198" i="14" s="1"/>
  <c r="T198" i="14" s="1"/>
  <c r="E198" i="14" a="1"/>
  <c r="E198" i="14" s="1"/>
  <c r="GD49" i="4"/>
  <c r="GD23" i="4" s="1"/>
  <c r="GH23" i="4"/>
  <c r="GO49" i="4"/>
  <c r="GN52" i="4"/>
  <c r="GN42" i="4" s="1"/>
  <c r="GJ52" i="4"/>
  <c r="GE52" i="4"/>
  <c r="GE42" i="4" s="1"/>
  <c r="GM49" i="4"/>
  <c r="GM23" i="4" s="1"/>
  <c r="GO23" i="4"/>
  <c r="GM52" i="4"/>
  <c r="GM42" i="4" s="1"/>
  <c r="GE49" i="4"/>
  <c r="GE23" i="4" s="1"/>
  <c r="GJ49" i="4"/>
  <c r="GJ23" i="4" s="1"/>
  <c r="GF49" i="4"/>
  <c r="GF23" i="4" s="1"/>
  <c r="GG49" i="4"/>
  <c r="GG23" i="4" s="1"/>
  <c r="GR49" i="4"/>
  <c r="GR23" i="4" s="1"/>
  <c r="GP23" i="4"/>
  <c r="GQ49" i="4"/>
  <c r="GQ23" i="4" s="1"/>
  <c r="GK23" i="4"/>
  <c r="GL52" i="4"/>
  <c r="GL42" i="4" s="1"/>
  <c r="GH52" i="4"/>
  <c r="GH42" i="4" s="1"/>
  <c r="GJ42" i="4"/>
  <c r="GI23" i="4"/>
  <c r="GN49" i="4"/>
  <c r="GN23" i="4" s="1"/>
  <c r="GQ52" i="4"/>
  <c r="GQ42" i="4" s="1"/>
  <c r="F85" i="11"/>
  <c r="F649" i="11"/>
  <c r="F1045" i="11"/>
  <c r="F687" i="11"/>
  <c r="F1033" i="11"/>
  <c r="F854" i="11"/>
  <c r="F333" i="11"/>
  <c r="F512" i="11"/>
  <c r="F1043" i="11"/>
  <c r="F506" i="11"/>
  <c r="F685" i="11"/>
  <c r="F203" i="11"/>
  <c r="F869" i="11"/>
  <c r="F511" i="11"/>
  <c r="F1041" i="11"/>
  <c r="F504" i="11"/>
  <c r="F1057" i="11"/>
  <c r="F878" i="11"/>
  <c r="F882" i="11"/>
  <c r="F703" i="11"/>
  <c r="GL49" i="4"/>
  <c r="GL23" i="4" s="1"/>
  <c r="GD52" i="4"/>
  <c r="GD42" i="4" s="1"/>
  <c r="GK42" i="4"/>
  <c r="GR52" i="4"/>
  <c r="GR42" i="4" s="1"/>
  <c r="GF52" i="4"/>
  <c r="GF42" i="4" s="1"/>
  <c r="GG52" i="4"/>
  <c r="GG42" i="4" s="1"/>
  <c r="F1035" i="11"/>
  <c r="F495" i="11"/>
  <c r="F674" i="11"/>
  <c r="F565" i="11"/>
  <c r="F207" i="11"/>
  <c r="F386" i="11"/>
  <c r="F923" i="11"/>
  <c r="F312" i="11"/>
  <c r="F491" i="11"/>
  <c r="F193" i="11"/>
  <c r="F772" i="11"/>
  <c r="F414" i="11"/>
  <c r="F349" i="11"/>
  <c r="F1069" i="11"/>
  <c r="F532" i="11"/>
  <c r="F353" i="11"/>
  <c r="F890" i="11"/>
  <c r="F1072" i="11"/>
  <c r="F714" i="11"/>
  <c r="F893" i="11"/>
  <c r="I6" i="15"/>
  <c r="I7" i="15"/>
  <c r="K32" i="5"/>
  <c r="AD32" i="5"/>
  <c r="X736" i="7" s="1" a="1"/>
  <c r="X736" i="7" s="1"/>
  <c r="AP32" i="5"/>
  <c r="BB32" i="5"/>
  <c r="BN32" i="5"/>
  <c r="F595" i="7" s="1" a="1"/>
  <c r="F595" i="7" s="1"/>
  <c r="BZ32" i="5"/>
  <c r="F786" i="7" s="1"/>
  <c r="CL32" i="5"/>
  <c r="F798" i="7" s="1"/>
  <c r="CX32" i="5"/>
  <c r="F810" i="7" s="1"/>
  <c r="DJ32" i="5"/>
  <c r="F643" i="7" s="1" a="1"/>
  <c r="F643" i="7" s="1"/>
  <c r="DV32" i="5"/>
  <c r="EH32" i="5"/>
  <c r="ET32" i="5"/>
  <c r="FF32" i="5"/>
  <c r="FR32" i="5"/>
  <c r="GD32" i="5"/>
  <c r="AF32" i="5"/>
  <c r="F740" i="7" s="1"/>
  <c r="AR32" i="5"/>
  <c r="F752" i="7" s="1"/>
  <c r="BD32" i="5"/>
  <c r="F585" i="7" s="1" a="1"/>
  <c r="F585" i="7" s="1"/>
  <c r="BP32" i="5"/>
  <c r="F776" i="7" s="1"/>
  <c r="CB32" i="5"/>
  <c r="F788" i="7" s="1"/>
  <c r="CN32" i="5"/>
  <c r="F800" i="7" s="1"/>
  <c r="CZ32" i="5"/>
  <c r="DL32" i="5"/>
  <c r="DX32" i="5"/>
  <c r="EJ32" i="5"/>
  <c r="EV32" i="5"/>
  <c r="FH32" i="5"/>
  <c r="FT32" i="5"/>
  <c r="GF32" i="5"/>
  <c r="F896" i="7" s="1"/>
  <c r="AE32" i="5"/>
  <c r="F739" i="7" s="1"/>
  <c r="AQ32" i="5"/>
  <c r="F751" i="7" s="1"/>
  <c r="BC32" i="5"/>
  <c r="F584" i="7" s="1" a="1"/>
  <c r="F584" i="7" s="1"/>
  <c r="BO32" i="5"/>
  <c r="F596" i="7" s="1" a="1"/>
  <c r="F596" i="7" s="1"/>
  <c r="CA32" i="5"/>
  <c r="CM32" i="5"/>
  <c r="CY32" i="5"/>
  <c r="DK32" i="5"/>
  <c r="DW32" i="5"/>
  <c r="EI32" i="5"/>
  <c r="EU32" i="5"/>
  <c r="F859" i="7" s="1"/>
  <c r="FG32" i="5"/>
  <c r="F871" i="7" s="1"/>
  <c r="FS32" i="5"/>
  <c r="F883" i="7" s="1"/>
  <c r="GE32" i="5"/>
  <c r="F537" i="7" s="1" a="1"/>
  <c r="F537" i="7" s="1"/>
  <c r="CK32" i="5"/>
  <c r="F797" i="7" s="1"/>
  <c r="AG32" i="5"/>
  <c r="F741" i="7" s="1"/>
  <c r="AS32" i="5"/>
  <c r="BE32" i="5"/>
  <c r="BQ32" i="5"/>
  <c r="CC32" i="5"/>
  <c r="CO32" i="5"/>
  <c r="DA32" i="5"/>
  <c r="DM32" i="5"/>
  <c r="F646" i="7" s="1" a="1"/>
  <c r="F646" i="7" s="1"/>
  <c r="DY32" i="5"/>
  <c r="F658" i="7" s="1" a="1"/>
  <c r="F658" i="7" s="1"/>
  <c r="EK32" i="5"/>
  <c r="F849" i="7" s="1"/>
  <c r="EW32" i="5"/>
  <c r="F861" i="7" s="1"/>
  <c r="FI32" i="5"/>
  <c r="F873" i="7" s="1"/>
  <c r="FU32" i="5"/>
  <c r="F885" i="7" s="1"/>
  <c r="GG32" i="5"/>
  <c r="ED32" i="5"/>
  <c r="AH32" i="5"/>
  <c r="AT32" i="5"/>
  <c r="BF32" i="5"/>
  <c r="BR32" i="5"/>
  <c r="CD32" i="5"/>
  <c r="F790" i="7" s="1"/>
  <c r="CP32" i="5"/>
  <c r="F802" i="7" s="1"/>
  <c r="DB32" i="5"/>
  <c r="F814" i="7" s="1"/>
  <c r="DN32" i="5"/>
  <c r="F826" i="7" s="1"/>
  <c r="DZ32" i="5"/>
  <c r="F659" i="7" s="1" a="1"/>
  <c r="F659" i="7" s="1"/>
  <c r="EL32" i="5"/>
  <c r="F850" i="7" s="1"/>
  <c r="EX32" i="5"/>
  <c r="FJ32" i="5"/>
  <c r="FV32" i="5"/>
  <c r="GH32" i="5"/>
  <c r="DR32" i="5"/>
  <c r="FN32" i="5"/>
  <c r="FZ32" i="5"/>
  <c r="F890" i="7" s="1"/>
  <c r="GW32" i="5"/>
  <c r="AM32" i="5"/>
  <c r="F747" i="7" s="1"/>
  <c r="BK32" i="5"/>
  <c r="F592" i="7" s="1" a="1"/>
  <c r="F592" i="7" s="1"/>
  <c r="CI32" i="5"/>
  <c r="F795" i="7" s="1"/>
  <c r="DG32" i="5"/>
  <c r="F819" i="7" s="1"/>
  <c r="EE32" i="5"/>
  <c r="FC32" i="5"/>
  <c r="GA32" i="5"/>
  <c r="AI32" i="5"/>
  <c r="AU32" i="5"/>
  <c r="BG32" i="5"/>
  <c r="BS32" i="5"/>
  <c r="F779" i="7" s="1"/>
  <c r="CE32" i="5"/>
  <c r="F612" i="7" s="1" a="1"/>
  <c r="F612" i="7" s="1"/>
  <c r="CQ32" i="5"/>
  <c r="F624" i="7" s="1" a="1"/>
  <c r="F624" i="7" s="1"/>
  <c r="DC32" i="5"/>
  <c r="F815" i="7" s="1"/>
  <c r="DO32" i="5"/>
  <c r="F469" i="7" s="1" a="1"/>
  <c r="F469" i="7" s="1"/>
  <c r="EA32" i="5"/>
  <c r="F839" i="7" s="1"/>
  <c r="EM32" i="5"/>
  <c r="EY32" i="5"/>
  <c r="FK32" i="5"/>
  <c r="FW32" i="5"/>
  <c r="GL32" i="5"/>
  <c r="FB32" i="5"/>
  <c r="AA32" i="5"/>
  <c r="F556" i="7" s="1" a="1"/>
  <c r="F556" i="7" s="1"/>
  <c r="AY32" i="5"/>
  <c r="F759" i="7" s="1"/>
  <c r="BW32" i="5"/>
  <c r="F783" i="7" s="1"/>
  <c r="CU32" i="5"/>
  <c r="F628" i="7" s="1" a="1"/>
  <c r="F628" i="7" s="1"/>
  <c r="DS32" i="5"/>
  <c r="F831" i="7" s="1"/>
  <c r="EQ32" i="5"/>
  <c r="F855" i="7" s="1"/>
  <c r="FO32" i="5"/>
  <c r="Z32" i="5"/>
  <c r="BA32" i="5"/>
  <c r="BM32" i="5"/>
  <c r="BY32" i="5"/>
  <c r="CW32" i="5"/>
  <c r="DU32" i="5"/>
  <c r="EG32" i="5"/>
  <c r="F845" i="7" s="1"/>
  <c r="FE32" i="5"/>
  <c r="F511" i="7" s="1" a="1"/>
  <c r="F511" i="7" s="1"/>
  <c r="FQ32" i="5"/>
  <c r="F881" i="7" s="1"/>
  <c r="AJ32" i="5"/>
  <c r="F744" i="7" s="1"/>
  <c r="AV32" i="5"/>
  <c r="F756" i="7" s="1"/>
  <c r="BH32" i="5"/>
  <c r="BT32" i="5"/>
  <c r="CF32" i="5"/>
  <c r="CR32" i="5"/>
  <c r="DD32" i="5"/>
  <c r="DP32" i="5"/>
  <c r="EB32" i="5"/>
  <c r="F661" i="7" s="1" a="1"/>
  <c r="F661" i="7" s="1"/>
  <c r="EN32" i="5"/>
  <c r="F852" i="7" s="1"/>
  <c r="EZ32" i="5"/>
  <c r="F864" i="7" s="1"/>
  <c r="FL32" i="5"/>
  <c r="F876" i="7" s="1"/>
  <c r="FX32" i="5"/>
  <c r="F888" i="7" s="1"/>
  <c r="GN32" i="5"/>
  <c r="EP32" i="5"/>
  <c r="AC32" i="5"/>
  <c r="DI32" i="5"/>
  <c r="ES32" i="5"/>
  <c r="AK32" i="5"/>
  <c r="AW32" i="5"/>
  <c r="BI32" i="5"/>
  <c r="F769" i="7" s="1"/>
  <c r="BU32" i="5"/>
  <c r="F781" i="7" s="1"/>
  <c r="CG32" i="5"/>
  <c r="F614" i="7" s="1" a="1"/>
  <c r="F614" i="7" s="1"/>
  <c r="CS32" i="5"/>
  <c r="F626" i="7" s="1" a="1"/>
  <c r="F626" i="7" s="1"/>
  <c r="DE32" i="5"/>
  <c r="F817" i="7" s="1"/>
  <c r="DQ32" i="5"/>
  <c r="F650" i="7" s="1" a="1"/>
  <c r="F650" i="7" s="1"/>
  <c r="EC32" i="5"/>
  <c r="EO32" i="5"/>
  <c r="FA32" i="5"/>
  <c r="FM32" i="5"/>
  <c r="FY32" i="5"/>
  <c r="GQ32" i="5"/>
  <c r="AO32" i="5"/>
  <c r="F749" i="7" s="1"/>
  <c r="GC32" i="5"/>
  <c r="F893" i="7" s="1"/>
  <c r="AL32" i="5"/>
  <c r="F746" i="7" s="1"/>
  <c r="AX32" i="5"/>
  <c r="F758" i="7" s="1"/>
  <c r="BJ32" i="5"/>
  <c r="F770" i="7" s="1"/>
  <c r="BV32" i="5"/>
  <c r="F782" i="7" s="1"/>
  <c r="CH32" i="5"/>
  <c r="CT32" i="5"/>
  <c r="DF32" i="5"/>
  <c r="AB32" i="5"/>
  <c r="AN32" i="5"/>
  <c r="AZ32" i="5"/>
  <c r="BL32" i="5"/>
  <c r="F772" i="7" s="1"/>
  <c r="BX32" i="5"/>
  <c r="F784" i="7" s="1"/>
  <c r="CJ32" i="5"/>
  <c r="F617" i="7" s="1" a="1"/>
  <c r="F617" i="7" s="1"/>
  <c r="CV32" i="5"/>
  <c r="F808" i="7" s="1"/>
  <c r="DH32" i="5"/>
  <c r="F820" i="7" s="1"/>
  <c r="DT32" i="5"/>
  <c r="F832" i="7" s="1"/>
  <c r="EF32" i="5"/>
  <c r="ER32" i="5"/>
  <c r="FD32" i="5"/>
  <c r="FP32" i="5"/>
  <c r="GB32" i="5"/>
  <c r="GS32" i="5"/>
  <c r="GT32" i="5"/>
  <c r="GJ32" i="5"/>
  <c r="GV32" i="5"/>
  <c r="GK32" i="5"/>
  <c r="GR32" i="5"/>
  <c r="GP32" i="5"/>
  <c r="GO32" i="5"/>
  <c r="GI32" i="5"/>
  <c r="GU32" i="5"/>
  <c r="GM32" i="5"/>
  <c r="M4" i="10"/>
  <c r="G49" i="17" a="1"/>
  <c r="G49" i="17" s="1"/>
  <c r="G47" i="17" a="1"/>
  <c r="G47" i="17" s="1"/>
  <c r="G45" i="17" a="1"/>
  <c r="G45" i="17" s="1"/>
  <c r="G43" i="17" a="1"/>
  <c r="G43" i="17" s="1"/>
  <c r="G41" i="17" a="1"/>
  <c r="G41" i="17" s="1"/>
  <c r="G39" i="17" a="1"/>
  <c r="G39" i="17" s="1"/>
  <c r="G37" i="17" a="1"/>
  <c r="G37" i="17" s="1"/>
  <c r="G35" i="17" a="1"/>
  <c r="G35" i="17" s="1"/>
  <c r="G33" i="17" a="1"/>
  <c r="G33" i="17" s="1"/>
  <c r="G31" i="17" a="1"/>
  <c r="G31" i="17" s="1"/>
  <c r="G29" i="17" a="1"/>
  <c r="G29" i="17" s="1"/>
  <c r="G27" i="17" a="1"/>
  <c r="G27" i="17" s="1"/>
  <c r="G50" i="17" a="1"/>
  <c r="G50" i="17" s="1"/>
  <c r="G48" i="17" a="1"/>
  <c r="G48" i="17" s="1"/>
  <c r="G46" i="17" a="1"/>
  <c r="G46" i="17" s="1"/>
  <c r="G44" i="17" a="1"/>
  <c r="G44" i="17" s="1"/>
  <c r="G42" i="17" a="1"/>
  <c r="G42" i="17" s="1"/>
  <c r="G40" i="17" a="1"/>
  <c r="G40" i="17" s="1"/>
  <c r="G38" i="17" a="1"/>
  <c r="G38" i="17" s="1"/>
  <c r="G36" i="17" a="1"/>
  <c r="G36" i="17" s="1"/>
  <c r="G34" i="17" a="1"/>
  <c r="G34" i="17" s="1"/>
  <c r="G32" i="17" a="1"/>
  <c r="G32" i="17" s="1"/>
  <c r="G30" i="17" a="1"/>
  <c r="G30" i="17" s="1"/>
  <c r="G28" i="17" a="1"/>
  <c r="G28" i="17" s="1"/>
  <c r="F340" i="10"/>
  <c r="F78" i="10"/>
  <c r="F93" i="10"/>
  <c r="F175" i="10"/>
  <c r="F347" i="10"/>
  <c r="F324" i="10"/>
  <c r="F242" i="10"/>
  <c r="F294" i="10"/>
  <c r="F302" i="10"/>
  <c r="F281" i="10"/>
  <c r="F32" i="10"/>
  <c r="F276" i="10"/>
  <c r="F183" i="10"/>
  <c r="F160" i="10"/>
  <c r="K13" i="5"/>
  <c r="GL27" i="5"/>
  <c r="X20" i="7" a="1"/>
  <c r="X20" i="7" s="1"/>
  <c r="AZ13" i="5"/>
  <c r="F402" i="7" s="1" a="1"/>
  <c r="F402" i="7" s="1"/>
  <c r="AY13" i="5"/>
  <c r="F401" i="7" s="1" a="1"/>
  <c r="F401" i="7" s="1"/>
  <c r="EX13" i="5"/>
  <c r="BM13" i="5"/>
  <c r="DO13" i="5"/>
  <c r="CO13" i="5"/>
  <c r="CW13" i="5"/>
  <c r="DL13" i="5"/>
  <c r="BJ13" i="5"/>
  <c r="F591" i="7" s="1" a="1"/>
  <c r="F591" i="7" s="1"/>
  <c r="AO13" i="5"/>
  <c r="EN13" i="5"/>
  <c r="F673" i="7" s="1" a="1"/>
  <c r="F673" i="7" s="1"/>
  <c r="DW13" i="5"/>
  <c r="F656" i="7" s="1" a="1"/>
  <c r="F656" i="7" s="1"/>
  <c r="EO13" i="5"/>
  <c r="F674" i="7" s="1" a="1"/>
  <c r="F674" i="7" s="1"/>
  <c r="CL13" i="5"/>
  <c r="F619" i="7" s="1" a="1"/>
  <c r="F619" i="7" s="1"/>
  <c r="BT13" i="5"/>
  <c r="BQ13" i="5"/>
  <c r="AA13" i="5"/>
  <c r="FX13" i="5"/>
  <c r="FE13" i="5"/>
  <c r="CH13" i="5"/>
  <c r="AM13" i="5"/>
  <c r="AL13" i="5"/>
  <c r="F567" i="7" s="1" a="1"/>
  <c r="F567" i="7" s="1"/>
  <c r="BW13" i="5"/>
  <c r="F604" i="7" s="1" a="1"/>
  <c r="F604" i="7" s="1"/>
  <c r="GD13" i="5"/>
  <c r="F715" i="7" s="1" a="1"/>
  <c r="F715" i="7" s="1"/>
  <c r="FN13" i="5"/>
  <c r="F520" i="7" s="1" a="1"/>
  <c r="F520" i="7" s="1"/>
  <c r="EU13" i="5"/>
  <c r="F680" i="7" s="1" a="1"/>
  <c r="F680" i="7" s="1"/>
  <c r="FG13" i="5"/>
  <c r="CQ13" i="5"/>
  <c r="U13" i="5"/>
  <c r="BD13" i="5"/>
  <c r="X16" i="7" a="1"/>
  <c r="X16" i="7" s="1"/>
  <c r="AC13" i="5"/>
  <c r="AV13" i="5"/>
  <c r="F577" i="7" s="1" a="1"/>
  <c r="F577" i="7" s="1"/>
  <c r="FF13" i="5"/>
  <c r="F512" i="7" s="1" a="1"/>
  <c r="F512" i="7" s="1"/>
  <c r="EP13" i="5"/>
  <c r="F675" i="7" s="1" a="1"/>
  <c r="F675" i="7" s="1"/>
  <c r="FS13" i="5"/>
  <c r="F704" i="7" s="1" a="1"/>
  <c r="F704" i="7" s="1"/>
  <c r="R13" i="5"/>
  <c r="F368" i="7" s="1" a="1"/>
  <c r="F368" i="7" s="1"/>
  <c r="O13" i="5"/>
  <c r="F544" i="7" s="1" a="1"/>
  <c r="F544" i="7" s="1"/>
  <c r="GE13" i="5"/>
  <c r="FO13" i="5"/>
  <c r="EY13" i="5"/>
  <c r="EH13" i="5"/>
  <c r="ET13" i="5"/>
  <c r="CE13" i="5"/>
  <c r="GF13" i="5"/>
  <c r="F538" i="7" s="1" a="1"/>
  <c r="F538" i="7" s="1"/>
  <c r="AR13" i="5"/>
  <c r="F573" i="7" s="1" a="1"/>
  <c r="F573" i="7" s="1"/>
  <c r="GB13" i="5"/>
  <c r="F534" i="7" s="1" a="1"/>
  <c r="F534" i="7" s="1"/>
  <c r="FY13" i="5"/>
  <c r="F531" i="7" s="1" a="1"/>
  <c r="F531" i="7" s="1"/>
  <c r="EQ13" i="5"/>
  <c r="F676" i="7" s="1" a="1"/>
  <c r="F676" i="7" s="1"/>
  <c r="EA13" i="5"/>
  <c r="F660" i="7" s="1" a="1"/>
  <c r="F660" i="7" s="1"/>
  <c r="DZ13" i="5"/>
  <c r="FD13" i="5"/>
  <c r="BO13" i="5"/>
  <c r="FP13" i="5"/>
  <c r="EZ13" i="5"/>
  <c r="EI13" i="5"/>
  <c r="DU13" i="5"/>
  <c r="F654" i="7" s="1" a="1"/>
  <c r="F654" i="7" s="1"/>
  <c r="EG13" i="5"/>
  <c r="G2278" i="7" s="1" a="1"/>
  <c r="G2278" i="7" s="1"/>
  <c r="BS13" i="5"/>
  <c r="F600" i="7" s="1" a="1"/>
  <c r="F600" i="7" s="1"/>
  <c r="FT13" i="5"/>
  <c r="F526" i="7" s="1" a="1"/>
  <c r="F526" i="7" s="1"/>
  <c r="AF13" i="5"/>
  <c r="F561" i="7" s="1" a="1"/>
  <c r="F561" i="7" s="1"/>
  <c r="FZ13" i="5"/>
  <c r="F711" i="7" s="1" a="1"/>
  <c r="F711" i="7" s="1"/>
  <c r="FJ13" i="5"/>
  <c r="EB13" i="5"/>
  <c r="DK13" i="5"/>
  <c r="CR13" i="5"/>
  <c r="GG13" i="5"/>
  <c r="AW13" i="5"/>
  <c r="FA13" i="5"/>
  <c r="F686" i="7" s="1" a="1"/>
  <c r="F686" i="7" s="1"/>
  <c r="EK13" i="5"/>
  <c r="F670" i="7" s="1" a="1"/>
  <c r="F670" i="7" s="1"/>
  <c r="DR13" i="5"/>
  <c r="F472" i="7" s="1" a="1"/>
  <c r="F472" i="7" s="1"/>
  <c r="DH13" i="5"/>
  <c r="F641" i="7" s="1" a="1"/>
  <c r="F641" i="7" s="1"/>
  <c r="DT13" i="5"/>
  <c r="F653" i="7" s="1" a="1"/>
  <c r="F653" i="7" s="1"/>
  <c r="BG13" i="5"/>
  <c r="F588" i="7" s="1" a="1"/>
  <c r="F588" i="7" s="1"/>
  <c r="FH13" i="5"/>
  <c r="T13" i="5"/>
  <c r="GF42" i="5"/>
  <c r="FT42" i="5"/>
  <c r="FH42" i="5"/>
  <c r="EV42" i="5"/>
  <c r="EJ42" i="5"/>
  <c r="F669" i="7" s="1" a="1"/>
  <c r="F669" i="7" s="1"/>
  <c r="DX42" i="5"/>
  <c r="DL42" i="5"/>
  <c r="F645" i="7" s="1" a="1"/>
  <c r="F645" i="7" s="1"/>
  <c r="CZ42" i="5"/>
  <c r="CN42" i="5"/>
  <c r="CB42" i="5"/>
  <c r="BP42" i="5"/>
  <c r="BD42" i="5"/>
  <c r="AR42" i="5"/>
  <c r="AF42" i="5"/>
  <c r="T42" i="5"/>
  <c r="GE42" i="5"/>
  <c r="FS42" i="5"/>
  <c r="FG42" i="5"/>
  <c r="EU42" i="5"/>
  <c r="EI42" i="5"/>
  <c r="F668" i="7" s="1" a="1"/>
  <c r="F668" i="7" s="1"/>
  <c r="DW42" i="5"/>
  <c r="DK42" i="5"/>
  <c r="F465" i="7" s="1" a="1"/>
  <c r="F465" i="7" s="1"/>
  <c r="CY42" i="5"/>
  <c r="CM42" i="5"/>
  <c r="CA42" i="5"/>
  <c r="BO42" i="5"/>
  <c r="BC42" i="5"/>
  <c r="AQ42" i="5"/>
  <c r="AE42" i="5"/>
  <c r="S42" i="5"/>
  <c r="F548" i="7" s="1" a="1"/>
  <c r="F548" i="7" s="1"/>
  <c r="GH42" i="5"/>
  <c r="F719" i="7" s="1" a="1"/>
  <c r="F719" i="7" s="1"/>
  <c r="FR42" i="5"/>
  <c r="FD42" i="5"/>
  <c r="F510" i="7" s="1" a="1"/>
  <c r="F510" i="7" s="1"/>
  <c r="EP42" i="5"/>
  <c r="EB42" i="5"/>
  <c r="DN42" i="5"/>
  <c r="CX42" i="5"/>
  <c r="CJ42" i="5"/>
  <c r="BV42" i="5"/>
  <c r="BH42" i="5"/>
  <c r="AT42" i="5"/>
  <c r="AD42" i="5"/>
  <c r="P42" i="5"/>
  <c r="F545" i="7" s="1" a="1"/>
  <c r="F545" i="7" s="1"/>
  <c r="FX42" i="5"/>
  <c r="FI42" i="5"/>
  <c r="ER42" i="5"/>
  <c r="F677" i="7" s="1" a="1"/>
  <c r="F677" i="7" s="1"/>
  <c r="EC42" i="5"/>
  <c r="DM42" i="5"/>
  <c r="CV42" i="5"/>
  <c r="CG42" i="5"/>
  <c r="BR42" i="5"/>
  <c r="BA42" i="5"/>
  <c r="AL42" i="5"/>
  <c r="W42" i="5"/>
  <c r="FF42" i="5"/>
  <c r="EQ42" i="5"/>
  <c r="DJ42" i="5"/>
  <c r="CU42" i="5"/>
  <c r="BQ42" i="5"/>
  <c r="AK42" i="5"/>
  <c r="V42" i="5"/>
  <c r="FW42" i="5"/>
  <c r="EA42" i="5"/>
  <c r="CF42" i="5"/>
  <c r="AZ42" i="5"/>
  <c r="FU42" i="5"/>
  <c r="FC42" i="5"/>
  <c r="F509" i="7" s="1" a="1"/>
  <c r="F509" i="7" s="1"/>
  <c r="EN42" i="5"/>
  <c r="DY42" i="5"/>
  <c r="DH42" i="5"/>
  <c r="CS42" i="5"/>
  <c r="CD42" i="5"/>
  <c r="BM42" i="5"/>
  <c r="AX42" i="5"/>
  <c r="AI42" i="5"/>
  <c r="R42" i="5"/>
  <c r="GD42" i="5"/>
  <c r="FO42" i="5"/>
  <c r="F521" i="7" s="1" a="1"/>
  <c r="F521" i="7" s="1"/>
  <c r="EZ42" i="5"/>
  <c r="EK42" i="5"/>
  <c r="DT42" i="5"/>
  <c r="DE42" i="5"/>
  <c r="CP42" i="5"/>
  <c r="BY42" i="5"/>
  <c r="BJ42" i="5"/>
  <c r="AU42" i="5"/>
  <c r="AC42" i="5"/>
  <c r="N42" i="5"/>
  <c r="GC42" i="5"/>
  <c r="FN42" i="5"/>
  <c r="EY42" i="5"/>
  <c r="F505" i="7" s="1" a="1"/>
  <c r="F505" i="7" s="1"/>
  <c r="EH42" i="5"/>
  <c r="F667" i="7" s="1" a="1"/>
  <c r="F667" i="7" s="1"/>
  <c r="DS42" i="5"/>
  <c r="DD42" i="5"/>
  <c r="F637" i="7" s="1" a="1"/>
  <c r="F637" i="7" s="1"/>
  <c r="CO42" i="5"/>
  <c r="GB42" i="5"/>
  <c r="FM42" i="5"/>
  <c r="EX42" i="5"/>
  <c r="EG42" i="5"/>
  <c r="DR42" i="5"/>
  <c r="DC42" i="5"/>
  <c r="CL42" i="5"/>
  <c r="BW42" i="5"/>
  <c r="BG42" i="5"/>
  <c r="AP42" i="5"/>
  <c r="F392" i="7" s="1" a="1"/>
  <c r="F392" i="7" s="1"/>
  <c r="AA42" i="5"/>
  <c r="L42" i="5"/>
  <c r="GA42" i="5"/>
  <c r="EW42" i="5"/>
  <c r="DQ42" i="5"/>
  <c r="CK42" i="5"/>
  <c r="BK42" i="5"/>
  <c r="AJ42" i="5"/>
  <c r="FZ42" i="5"/>
  <c r="ET42" i="5"/>
  <c r="F679" i="7" s="1" a="1"/>
  <c r="F679" i="7" s="1"/>
  <c r="DP42" i="5"/>
  <c r="CI42" i="5"/>
  <c r="BI42" i="5"/>
  <c r="AH42" i="5"/>
  <c r="FY42" i="5"/>
  <c r="ES42" i="5"/>
  <c r="DO42" i="5"/>
  <c r="CH42" i="5"/>
  <c r="BF42" i="5"/>
  <c r="AG42" i="5"/>
  <c r="EO42" i="5"/>
  <c r="DB42" i="5"/>
  <c r="BS42" i="5"/>
  <c r="AB42" i="5"/>
  <c r="F557" i="7" s="1" a="1"/>
  <c r="F557" i="7" s="1"/>
  <c r="EM42" i="5"/>
  <c r="F672" i="7" s="1" a="1"/>
  <c r="F672" i="7" s="1"/>
  <c r="DA42" i="5"/>
  <c r="BN42" i="5"/>
  <c r="Z42" i="5"/>
  <c r="GG42" i="5"/>
  <c r="EL42" i="5"/>
  <c r="CW42" i="5"/>
  <c r="BL42" i="5"/>
  <c r="Y42" i="5"/>
  <c r="FP42" i="5"/>
  <c r="F522" i="7" s="1" a="1"/>
  <c r="F522" i="7" s="1"/>
  <c r="AY42" i="5"/>
  <c r="FB42" i="5"/>
  <c r="DF42" i="5"/>
  <c r="F639" i="7" s="1" a="1"/>
  <c r="F639" i="7" s="1"/>
  <c r="AM42" i="5"/>
  <c r="Q42" i="5"/>
  <c r="AN42" i="5"/>
  <c r="FV42" i="5"/>
  <c r="EF42" i="5"/>
  <c r="CT42" i="5"/>
  <c r="BE42" i="5"/>
  <c r="F407" i="7" s="1" a="1"/>
  <c r="F407" i="7" s="1"/>
  <c r="X42" i="5"/>
  <c r="FQ42" i="5"/>
  <c r="EE42" i="5"/>
  <c r="F664" i="7" s="1" a="1"/>
  <c r="F664" i="7" s="1"/>
  <c r="CR42" i="5"/>
  <c r="F625" i="7" s="1" a="1"/>
  <c r="F625" i="7" s="1"/>
  <c r="BB42" i="5"/>
  <c r="U42" i="5"/>
  <c r="CQ42" i="5"/>
  <c r="DG42" i="5"/>
  <c r="BU42" i="5"/>
  <c r="FA42" i="5"/>
  <c r="BT42" i="5"/>
  <c r="ED42" i="5"/>
  <c r="FL42" i="5"/>
  <c r="DZ42" i="5"/>
  <c r="CE42" i="5"/>
  <c r="AW42" i="5"/>
  <c r="F578" i="7" s="1" a="1"/>
  <c r="F578" i="7" s="1"/>
  <c r="O42" i="5"/>
  <c r="FK42" i="5"/>
  <c r="DV42" i="5"/>
  <c r="CC42" i="5"/>
  <c r="AV42" i="5"/>
  <c r="M42" i="5"/>
  <c r="FJ42" i="5"/>
  <c r="DU42" i="5"/>
  <c r="BZ42" i="5"/>
  <c r="AS42" i="5"/>
  <c r="FE42" i="5"/>
  <c r="DI42" i="5"/>
  <c r="BX42" i="5"/>
  <c r="AO42" i="5"/>
  <c r="FK13" i="5"/>
  <c r="ER13" i="5"/>
  <c r="DM13" i="5"/>
  <c r="CU13" i="5"/>
  <c r="BH13" i="5"/>
  <c r="FQ13" i="5"/>
  <c r="F523" i="7" s="1" a="1"/>
  <c r="F523" i="7" s="1"/>
  <c r="EW13" i="5"/>
  <c r="F682" i="7" s="1" a="1"/>
  <c r="F682" i="7" s="1"/>
  <c r="EL13" i="5"/>
  <c r="F671" i="7" s="1" a="1"/>
  <c r="F671" i="7" s="1"/>
  <c r="DS13" i="5"/>
  <c r="F652" i="7" s="1" a="1"/>
  <c r="F652" i="7" s="1"/>
  <c r="DB13" i="5"/>
  <c r="F635" i="7" s="1" a="1"/>
  <c r="F635" i="7" s="1"/>
  <c r="CT13" i="5"/>
  <c r="F448" i="7" s="1" a="1"/>
  <c r="F448" i="7" s="1"/>
  <c r="DG13" i="5"/>
  <c r="AU13" i="5"/>
  <c r="EV13" i="5"/>
  <c r="X12" i="7" a="1"/>
  <c r="X12" i="7" s="1"/>
  <c r="ES13" i="5"/>
  <c r="EC13" i="5"/>
  <c r="CV13" i="5"/>
  <c r="F629" i="7" s="1" a="1"/>
  <c r="F629" i="7" s="1"/>
  <c r="BY13" i="5"/>
  <c r="F606" i="7" s="1" a="1"/>
  <c r="F606" i="7" s="1"/>
  <c r="V13" i="5"/>
  <c r="F551" i="7" s="1" a="1"/>
  <c r="F551" i="7" s="1"/>
  <c r="FB13" i="5"/>
  <c r="F508" i="7" s="1" a="1"/>
  <c r="F508" i="7" s="1"/>
  <c r="CY13" i="5"/>
  <c r="F632" i="7" s="1" a="1"/>
  <c r="F632" i="7" s="1"/>
  <c r="DV13" i="5"/>
  <c r="F655" i="7" s="1" a="1"/>
  <c r="F655" i="7" s="1"/>
  <c r="DD13" i="5"/>
  <c r="CJ13" i="5"/>
  <c r="CD13" i="5"/>
  <c r="CS13" i="5"/>
  <c r="AI13" i="5"/>
  <c r="EJ13" i="5"/>
  <c r="FM13" i="5"/>
  <c r="F519" i="7" s="1" a="1"/>
  <c r="F519" i="7" s="1"/>
  <c r="ED13" i="5"/>
  <c r="F663" i="7" s="1" a="1"/>
  <c r="F663" i="7" s="1"/>
  <c r="DN13" i="5"/>
  <c r="F647" i="7" s="1" a="1"/>
  <c r="F647" i="7" s="1"/>
  <c r="BZ13" i="5"/>
  <c r="F607" i="7" s="1" a="1"/>
  <c r="F607" i="7" s="1"/>
  <c r="BI13" i="5"/>
  <c r="F411" i="7" s="1" a="1"/>
  <c r="F411" i="7" s="1"/>
  <c r="FR13" i="5"/>
  <c r="F703" i="7" s="1" a="1"/>
  <c r="F703" i="7" s="1"/>
  <c r="EM13" i="5"/>
  <c r="AB13" i="5"/>
  <c r="DE13" i="5"/>
  <c r="CK13" i="5"/>
  <c r="BR13" i="5"/>
  <c r="G2211" i="7" s="1" a="1"/>
  <c r="G2211" i="7" s="1"/>
  <c r="BN13" i="5"/>
  <c r="CA13" i="5"/>
  <c r="F608" i="7" s="1" a="1"/>
  <c r="F608" i="7" s="1"/>
  <c r="W13" i="5"/>
  <c r="F373" i="7" s="1" a="1"/>
  <c r="F373" i="7" s="1"/>
  <c r="DX13" i="5"/>
  <c r="F657" i="7" s="1" a="1"/>
  <c r="F657" i="7" s="1"/>
  <c r="EF13" i="5"/>
  <c r="F486" i="7" s="1" a="1"/>
  <c r="F486" i="7" s="1"/>
  <c r="CX13" i="5"/>
  <c r="F631" i="7" s="1" a="1"/>
  <c r="F631" i="7" s="1"/>
  <c r="CF13" i="5"/>
  <c r="F613" i="7" s="1" a="1"/>
  <c r="F613" i="7" s="1"/>
  <c r="AP13" i="5"/>
  <c r="X13" i="5"/>
  <c r="DY13" i="5"/>
  <c r="DF13" i="5"/>
  <c r="DJ13" i="5"/>
  <c r="BU13" i="5"/>
  <c r="BA13" i="5"/>
  <c r="F582" i="7" s="1" a="1"/>
  <c r="F582" i="7" s="1"/>
  <c r="AD13" i="5"/>
  <c r="F559" i="7" s="1" a="1"/>
  <c r="F559" i="7" s="1"/>
  <c r="AJ13" i="5"/>
  <c r="F565" i="7" s="1" a="1"/>
  <c r="F565" i="7" s="1"/>
  <c r="AX13" i="5"/>
  <c r="F400" i="7" s="1" a="1"/>
  <c r="F400" i="7" s="1"/>
  <c r="CC13" i="5"/>
  <c r="F610" i="7" s="1" a="1"/>
  <c r="F610" i="7" s="1"/>
  <c r="CZ13" i="5"/>
  <c r="F633" i="7" s="1" a="1"/>
  <c r="F633" i="7" s="1"/>
  <c r="W32" i="5"/>
  <c r="P32" i="5"/>
  <c r="Q32" i="5"/>
  <c r="R32" i="5"/>
  <c r="S32" i="5"/>
  <c r="T32" i="5"/>
  <c r="U32" i="5"/>
  <c r="F550" i="7" s="1" a="1"/>
  <c r="F550" i="7" s="1"/>
  <c r="V32" i="5"/>
  <c r="F730" i="7" s="1"/>
  <c r="X32" i="5"/>
  <c r="F553" i="7" s="1" a="1"/>
  <c r="F553" i="7" s="1"/>
  <c r="N32" i="5"/>
  <c r="F722" i="7" s="1"/>
  <c r="L32" i="5"/>
  <c r="F541" i="7" s="1" a="1"/>
  <c r="F541" i="7" s="1"/>
  <c r="Y32" i="5"/>
  <c r="F554" i="7" s="1" a="1"/>
  <c r="F554" i="7" s="1"/>
  <c r="M32" i="5"/>
  <c r="O32" i="5"/>
  <c r="DQ13" i="5"/>
  <c r="CG13" i="5"/>
  <c r="BK13" i="5"/>
  <c r="Y13" i="5"/>
  <c r="FL13" i="5"/>
  <c r="F518" i="7" s="1" a="1"/>
  <c r="F518" i="7" s="1"/>
  <c r="DI13" i="5"/>
  <c r="F642" i="7" s="1" a="1"/>
  <c r="F642" i="7" s="1"/>
  <c r="CM13" i="5"/>
  <c r="F620" i="7" s="1" a="1"/>
  <c r="F620" i="7" s="1"/>
  <c r="BX13" i="5"/>
  <c r="F605" i="7" s="1" a="1"/>
  <c r="F605" i="7" s="1"/>
  <c r="BB13" i="5"/>
  <c r="F583" i="7" s="1" a="1"/>
  <c r="F583" i="7" s="1"/>
  <c r="AE13" i="5"/>
  <c r="F560" i="7" s="1" a="1"/>
  <c r="F560" i="7" s="1"/>
  <c r="L13" i="5"/>
  <c r="Q13" i="5"/>
  <c r="AH13" i="5"/>
  <c r="BE13" i="5"/>
  <c r="CN13" i="5"/>
  <c r="DA13" i="5"/>
  <c r="BL13" i="5"/>
  <c r="F593" i="7" s="1" a="1"/>
  <c r="F593" i="7" s="1"/>
  <c r="AQ13" i="5"/>
  <c r="F572" i="7" s="1" a="1"/>
  <c r="F572" i="7" s="1"/>
  <c r="DP13" i="5"/>
  <c r="F649" i="7" s="1" a="1"/>
  <c r="F649" i="7" s="1"/>
  <c r="GA13" i="5"/>
  <c r="F533" i="7" s="1" a="1"/>
  <c r="F533" i="7" s="1"/>
  <c r="CP13" i="5"/>
  <c r="BV13" i="5"/>
  <c r="F603" i="7" s="1" a="1"/>
  <c r="F603" i="7" s="1"/>
  <c r="AN13" i="5"/>
  <c r="AK13" i="5"/>
  <c r="M13" i="5"/>
  <c r="FV13" i="5"/>
  <c r="GH13" i="5"/>
  <c r="P13" i="5"/>
  <c r="AS13" i="5"/>
  <c r="F574" i="7" s="1" a="1"/>
  <c r="F574" i="7" s="1"/>
  <c r="CB13" i="5"/>
  <c r="F430" i="7" s="1" a="1"/>
  <c r="F430" i="7" s="1"/>
  <c r="CI13" i="5"/>
  <c r="F616" i="7" s="1" a="1"/>
  <c r="F616" i="7" s="1"/>
  <c r="AT13" i="5"/>
  <c r="F575" i="7" s="1" a="1"/>
  <c r="F575" i="7" s="1"/>
  <c r="Z13" i="5"/>
  <c r="F555" i="7" s="1" a="1"/>
  <c r="F555" i="7" s="1"/>
  <c r="FW13" i="5"/>
  <c r="F529" i="7" s="1" a="1"/>
  <c r="F529" i="7" s="1"/>
  <c r="EE13" i="5"/>
  <c r="BF13" i="5"/>
  <c r="BC13" i="5"/>
  <c r="FC13" i="5"/>
  <c r="N13" i="5"/>
  <c r="GC13" i="5"/>
  <c r="FI13" i="5"/>
  <c r="F515" i="7" s="1" a="1"/>
  <c r="F515" i="7" s="1"/>
  <c r="FU13" i="5"/>
  <c r="F706" i="7" s="1" a="1"/>
  <c r="F706" i="7" s="1"/>
  <c r="DC13" i="5"/>
  <c r="F636" i="7" s="1" a="1"/>
  <c r="F636" i="7" s="1"/>
  <c r="AG13" i="5"/>
  <c r="F562" i="7" s="1" a="1"/>
  <c r="F562" i="7" s="1"/>
  <c r="BP13" i="5"/>
  <c r="F597" i="7" s="1" a="1"/>
  <c r="F597" i="7" s="1"/>
  <c r="X21" i="7" a="1"/>
  <c r="X21" i="7" s="1"/>
  <c r="X196" i="7" a="1"/>
  <c r="X196" i="7" s="1"/>
  <c r="X189" i="7" a="1"/>
  <c r="X189" i="7" s="1"/>
  <c r="X192" i="7" a="1"/>
  <c r="X192" i="7" s="1"/>
  <c r="X199" i="7" a="1"/>
  <c r="X199" i="7" s="1"/>
  <c r="X10" i="7" a="1"/>
  <c r="X10" i="7" s="1"/>
  <c r="X194" i="7" a="1"/>
  <c r="X194" i="7" s="1"/>
  <c r="X197" i="7" a="1"/>
  <c r="X197" i="7" s="1"/>
  <c r="X11" i="7" a="1"/>
  <c r="X11" i="7" s="1"/>
  <c r="X191" i="7" a="1"/>
  <c r="X191" i="7" s="1"/>
  <c r="X198" i="7" a="1"/>
  <c r="X198" i="7" s="1"/>
  <c r="X14" i="7" a="1"/>
  <c r="X14" i="7" s="1"/>
  <c r="X200" i="7" a="1"/>
  <c r="X200" i="7" s="1"/>
  <c r="F917" i="11"/>
  <c r="F559" i="11"/>
  <c r="F738" i="11"/>
  <c r="F380" i="11"/>
  <c r="F201" i="11"/>
  <c r="F991" i="11"/>
  <c r="F633" i="11"/>
  <c r="F275" i="11"/>
  <c r="F1030" i="11"/>
  <c r="F851" i="11"/>
  <c r="F672" i="11"/>
  <c r="F493" i="11"/>
  <c r="F314" i="11"/>
  <c r="F833" i="11"/>
  <c r="F1012" i="11"/>
  <c r="F654" i="11"/>
  <c r="F475" i="11"/>
  <c r="F296" i="11"/>
  <c r="F1011" i="11"/>
  <c r="F832" i="11"/>
  <c r="F474" i="11"/>
  <c r="F653" i="11"/>
  <c r="F295" i="11"/>
  <c r="F1071" i="11"/>
  <c r="F892" i="11"/>
  <c r="F534" i="11"/>
  <c r="F713" i="11"/>
  <c r="F355" i="11"/>
  <c r="F912" i="11"/>
  <c r="F554" i="11"/>
  <c r="F733" i="11"/>
  <c r="F375" i="11"/>
  <c r="F196" i="11"/>
  <c r="F877" i="11"/>
  <c r="F1056" i="11"/>
  <c r="F698" i="11"/>
  <c r="F519" i="11"/>
  <c r="F340" i="11"/>
  <c r="F818" i="11"/>
  <c r="F639" i="11"/>
  <c r="F281" i="11"/>
  <c r="F950" i="11"/>
  <c r="F771" i="11"/>
  <c r="F592" i="11"/>
  <c r="F413" i="11"/>
  <c r="F234" i="11"/>
  <c r="F1062" i="11"/>
  <c r="F883" i="11"/>
  <c r="F704" i="11"/>
  <c r="F525" i="11"/>
  <c r="F346" i="11"/>
  <c r="F929" i="11"/>
  <c r="F750" i="11"/>
  <c r="F571" i="11"/>
  <c r="F392" i="11"/>
  <c r="F213" i="11"/>
  <c r="F530" i="11"/>
  <c r="F709" i="11"/>
  <c r="F351" i="11"/>
  <c r="F1036" i="11"/>
  <c r="F857" i="11"/>
  <c r="F678" i="11"/>
  <c r="F499" i="11"/>
  <c r="F320" i="11"/>
  <c r="X13" i="7" a="1"/>
  <c r="X13" i="7" s="1"/>
  <c r="F886" i="11"/>
  <c r="F1065" i="11"/>
  <c r="F528" i="11"/>
  <c r="F707" i="11"/>
  <c r="F885" i="11"/>
  <c r="F1064" i="11"/>
  <c r="F527" i="11"/>
  <c r="F706" i="11"/>
  <c r="F348" i="11"/>
  <c r="F899" i="11"/>
  <c r="F541" i="11"/>
  <c r="F720" i="11"/>
  <c r="F183" i="11"/>
  <c r="F362" i="11"/>
  <c r="F976" i="11"/>
  <c r="F797" i="11"/>
  <c r="F618" i="11"/>
  <c r="F439" i="11"/>
  <c r="F260" i="11"/>
  <c r="F1015" i="11"/>
  <c r="F836" i="11"/>
  <c r="F478" i="11"/>
  <c r="F657" i="11"/>
  <c r="F299" i="11"/>
  <c r="F994" i="11"/>
  <c r="F815" i="11"/>
  <c r="F636" i="11"/>
  <c r="F457" i="11"/>
  <c r="F278" i="11"/>
  <c r="F814" i="11"/>
  <c r="F993" i="11"/>
  <c r="F635" i="11"/>
  <c r="F456" i="11"/>
  <c r="F277" i="11"/>
  <c r="F1053" i="11"/>
  <c r="F874" i="11"/>
  <c r="F516" i="11"/>
  <c r="F695" i="11"/>
  <c r="F337" i="11"/>
  <c r="F924" i="11"/>
  <c r="F566" i="11"/>
  <c r="F745" i="11"/>
  <c r="F208" i="11"/>
  <c r="F387" i="11"/>
  <c r="F1068" i="11"/>
  <c r="F889" i="11"/>
  <c r="F710" i="11"/>
  <c r="F531" i="11"/>
  <c r="F352" i="11"/>
  <c r="F1009" i="11"/>
  <c r="F830" i="11"/>
  <c r="F651" i="11"/>
  <c r="F472" i="11"/>
  <c r="F293" i="11"/>
  <c r="F962" i="11"/>
  <c r="F783" i="11"/>
  <c r="F604" i="11"/>
  <c r="F425" i="11"/>
  <c r="F246" i="11"/>
  <c r="F868" i="11"/>
  <c r="F1047" i="11"/>
  <c r="F510" i="11"/>
  <c r="F689" i="11"/>
  <c r="F331" i="11"/>
  <c r="F911" i="11"/>
  <c r="F732" i="11"/>
  <c r="F553" i="11"/>
  <c r="F374" i="11"/>
  <c r="F195" i="11"/>
  <c r="F971" i="11"/>
  <c r="F434" i="11"/>
  <c r="F792" i="11"/>
  <c r="F613" i="11"/>
  <c r="F255" i="11"/>
  <c r="F940" i="11"/>
  <c r="F582" i="11"/>
  <c r="F761" i="11"/>
  <c r="F403" i="11"/>
  <c r="F224" i="11"/>
  <c r="X18" i="7" a="1"/>
  <c r="X18" i="7" s="1"/>
  <c r="X195" i="7" a="1"/>
  <c r="X195" i="7" s="1"/>
  <c r="F906" i="11"/>
  <c r="F548" i="11"/>
  <c r="F727" i="11"/>
  <c r="F369" i="11"/>
  <c r="F190" i="11"/>
  <c r="F1048" i="11"/>
  <c r="F690" i="11"/>
  <c r="F332" i="11"/>
  <c r="X15" i="7" a="1"/>
  <c r="X15" i="7" s="1"/>
  <c r="X19" i="7" a="1"/>
  <c r="X19" i="7" s="1"/>
  <c r="F932" i="11"/>
  <c r="F574" i="11"/>
  <c r="F753" i="11"/>
  <c r="F395" i="11"/>
  <c r="F216" i="11"/>
  <c r="F938" i="11"/>
  <c r="F759" i="11"/>
  <c r="F580" i="11"/>
  <c r="F401" i="11"/>
  <c r="F222" i="11"/>
  <c r="F1050" i="11"/>
  <c r="F871" i="11"/>
  <c r="F692" i="11"/>
  <c r="F513" i="11"/>
  <c r="F334" i="11"/>
  <c r="F1049" i="11"/>
  <c r="F870" i="11"/>
  <c r="F691" i="11"/>
  <c r="F718" i="11"/>
  <c r="F539" i="11"/>
  <c r="F360" i="11"/>
  <c r="F958" i="11"/>
  <c r="F779" i="11"/>
  <c r="F600" i="11"/>
  <c r="F421" i="11"/>
  <c r="F242" i="11"/>
  <c r="F821" i="11"/>
  <c r="F1000" i="11"/>
  <c r="F463" i="11"/>
  <c r="F284" i="11"/>
  <c r="F442" i="11"/>
  <c r="F800" i="11"/>
  <c r="F263" i="11"/>
  <c r="F978" i="11"/>
  <c r="F799" i="11"/>
  <c r="F620" i="11"/>
  <c r="F441" i="11"/>
  <c r="F262" i="11"/>
  <c r="F1038" i="11"/>
  <c r="F859" i="11"/>
  <c r="F680" i="11"/>
  <c r="F501" i="11"/>
  <c r="F322" i="11"/>
  <c r="F936" i="11"/>
  <c r="F757" i="11"/>
  <c r="F578" i="11"/>
  <c r="F399" i="11"/>
  <c r="F220" i="11"/>
  <c r="F842" i="11"/>
  <c r="F1021" i="11"/>
  <c r="F663" i="11"/>
  <c r="F484" i="11"/>
  <c r="F305" i="11"/>
  <c r="F974" i="11"/>
  <c r="F795" i="11"/>
  <c r="F616" i="11"/>
  <c r="F437" i="11"/>
  <c r="F258" i="11"/>
  <c r="F1029" i="11"/>
  <c r="F850" i="11"/>
  <c r="F671" i="11"/>
  <c r="F492" i="11"/>
  <c r="F313" i="11"/>
  <c r="F1066" i="11"/>
  <c r="F887" i="11"/>
  <c r="F529" i="11"/>
  <c r="F708" i="11"/>
  <c r="F350" i="11"/>
  <c r="F1019" i="11"/>
  <c r="F840" i="11"/>
  <c r="F482" i="11"/>
  <c r="F661" i="11"/>
  <c r="F303" i="11"/>
  <c r="F856" i="11"/>
  <c r="F498" i="11"/>
  <c r="F677" i="11"/>
  <c r="F319" i="11"/>
  <c r="F1031" i="11"/>
  <c r="F852" i="11"/>
  <c r="F673" i="11"/>
  <c r="F315" i="11"/>
  <c r="F1061" i="11"/>
  <c r="F524" i="11"/>
  <c r="F345" i="11"/>
  <c r="F764" i="11"/>
  <c r="F943" i="11"/>
  <c r="F585" i="11"/>
  <c r="F406" i="11"/>
  <c r="F227" i="11"/>
  <c r="F982" i="11"/>
  <c r="F624" i="11"/>
  <c r="F445" i="11"/>
  <c r="F266" i="11"/>
  <c r="F785" i="11"/>
  <c r="F964" i="11"/>
  <c r="F606" i="11"/>
  <c r="F427" i="11"/>
  <c r="F248" i="11"/>
  <c r="F963" i="11"/>
  <c r="F784" i="11"/>
  <c r="F605" i="11"/>
  <c r="F426" i="11"/>
  <c r="F247" i="11"/>
  <c r="F1023" i="11"/>
  <c r="F844" i="11"/>
  <c r="F486" i="11"/>
  <c r="F665" i="11"/>
  <c r="F307" i="11"/>
  <c r="F948" i="11"/>
  <c r="F769" i="11"/>
  <c r="F590" i="11"/>
  <c r="F411" i="11"/>
  <c r="F232" i="11"/>
  <c r="F675" i="11"/>
  <c r="F496" i="11"/>
  <c r="F317" i="11"/>
  <c r="F986" i="11"/>
  <c r="F807" i="11"/>
  <c r="F628" i="11"/>
  <c r="F449" i="11"/>
  <c r="F270" i="11"/>
  <c r="F1014" i="11"/>
  <c r="F835" i="11"/>
  <c r="F656" i="11"/>
  <c r="F477" i="11"/>
  <c r="F298" i="11"/>
  <c r="F894" i="11"/>
  <c r="F1073" i="11"/>
  <c r="F715" i="11"/>
  <c r="F536" i="11"/>
  <c r="F357" i="11"/>
  <c r="F970" i="11"/>
  <c r="F791" i="11"/>
  <c r="F612" i="11"/>
  <c r="F433" i="11"/>
  <c r="F254" i="11"/>
  <c r="F744" i="11"/>
  <c r="I182" i="7"/>
  <c r="X190" i="7" a="1"/>
  <c r="X190" i="7" s="1"/>
  <c r="F905" i="11"/>
  <c r="F726" i="11"/>
  <c r="F547" i="11"/>
  <c r="F368" i="11"/>
  <c r="F189" i="11"/>
  <c r="F1026" i="11"/>
  <c r="F847" i="11"/>
  <c r="F668" i="11"/>
  <c r="F489" i="11"/>
  <c r="X193" i="7" a="1"/>
  <c r="X193" i="7" s="1"/>
  <c r="F900" i="11"/>
  <c r="F721" i="11"/>
  <c r="F542" i="11"/>
  <c r="F363" i="11"/>
  <c r="F184" i="11"/>
  <c r="F861" i="11"/>
  <c r="F1040" i="11"/>
  <c r="F682" i="11"/>
  <c r="F503" i="11"/>
  <c r="F324" i="11"/>
  <c r="F824" i="11"/>
  <c r="F1003" i="11"/>
  <c r="F466" i="11"/>
  <c r="F645" i="11"/>
  <c r="F287" i="11"/>
  <c r="F777" i="11"/>
  <c r="F956" i="11"/>
  <c r="F598" i="11"/>
  <c r="F419" i="11"/>
  <c r="F240" i="11"/>
  <c r="F1018" i="11"/>
  <c r="F839" i="11"/>
  <c r="F660" i="11"/>
  <c r="F481" i="11"/>
  <c r="F302" i="11"/>
  <c r="X17" i="7" a="1"/>
  <c r="X17" i="7" s="1"/>
  <c r="F837" i="11"/>
  <c r="F1016" i="11"/>
  <c r="F658" i="11"/>
  <c r="F479" i="11"/>
  <c r="F300" i="11"/>
  <c r="F928" i="11"/>
  <c r="F749" i="11"/>
  <c r="F570" i="11"/>
  <c r="F391" i="11"/>
  <c r="F212" i="11"/>
  <c r="F967" i="11"/>
  <c r="F788" i="11"/>
  <c r="F609" i="11"/>
  <c r="F430" i="11"/>
  <c r="F251" i="11"/>
  <c r="F781" i="11"/>
  <c r="F960" i="11"/>
  <c r="F602" i="11"/>
  <c r="F423" i="11"/>
  <c r="F244" i="11"/>
  <c r="F998" i="11"/>
  <c r="F819" i="11"/>
  <c r="F640" i="11"/>
  <c r="F461" i="11"/>
  <c r="F282" i="11"/>
  <c r="F876" i="11"/>
  <c r="F1055" i="11"/>
  <c r="F518" i="11"/>
  <c r="F697" i="11"/>
  <c r="F339" i="11"/>
  <c r="F873" i="11"/>
  <c r="F1052" i="11"/>
  <c r="F694" i="11"/>
  <c r="F515" i="11"/>
  <c r="F336" i="11"/>
  <c r="F1002" i="11"/>
  <c r="F823" i="11"/>
  <c r="F644" i="11"/>
  <c r="F465" i="11"/>
  <c r="F286" i="11"/>
  <c r="F822" i="11"/>
  <c r="F464" i="11"/>
  <c r="F1028" i="11"/>
  <c r="F849" i="11"/>
  <c r="F670" i="11"/>
  <c r="F910" i="11"/>
  <c r="F731" i="11"/>
  <c r="F552" i="11"/>
  <c r="F373" i="11"/>
  <c r="F194" i="11"/>
  <c r="F773" i="11"/>
  <c r="F952" i="11"/>
  <c r="F594" i="11"/>
  <c r="F415" i="11"/>
  <c r="F931" i="11"/>
  <c r="F752" i="11"/>
  <c r="F573" i="11"/>
  <c r="F394" i="11"/>
  <c r="F215" i="11"/>
  <c r="F930" i="11"/>
  <c r="F751" i="11"/>
  <c r="F572" i="11"/>
  <c r="F393" i="11"/>
  <c r="F214" i="11"/>
  <c r="F990" i="11"/>
  <c r="F811" i="11"/>
  <c r="F632" i="11"/>
  <c r="F453" i="11"/>
  <c r="F274" i="11"/>
  <c r="F972" i="11"/>
  <c r="F614" i="11"/>
  <c r="F793" i="11"/>
  <c r="F435" i="11"/>
  <c r="F256" i="11"/>
  <c r="F913" i="11"/>
  <c r="F734" i="11"/>
  <c r="F555" i="11"/>
  <c r="F376" i="11"/>
  <c r="F197" i="11"/>
  <c r="F520" i="11"/>
  <c r="F699" i="11"/>
  <c r="F341" i="11"/>
  <c r="F1010" i="11"/>
  <c r="F831" i="11"/>
  <c r="F652" i="11"/>
  <c r="F473" i="11"/>
  <c r="F294" i="11"/>
  <c r="F981" i="11"/>
  <c r="F802" i="11"/>
  <c r="F623" i="11"/>
  <c r="F444" i="11"/>
  <c r="F265" i="11"/>
  <c r="F987" i="11"/>
  <c r="F450" i="11"/>
  <c r="F629" i="11"/>
  <c r="F271" i="11"/>
  <c r="F983" i="11"/>
  <c r="F804" i="11"/>
  <c r="F446" i="11"/>
  <c r="F625" i="11"/>
  <c r="F267" i="11"/>
  <c r="F834" i="11"/>
  <c r="F655" i="11"/>
  <c r="F476" i="11"/>
  <c r="F297" i="11"/>
  <c r="F934" i="11"/>
  <c r="F755" i="11"/>
  <c r="F576" i="11"/>
  <c r="F397" i="11"/>
  <c r="F218" i="11"/>
  <c r="F916" i="11"/>
  <c r="F558" i="11"/>
  <c r="F737" i="11"/>
  <c r="F200" i="11"/>
  <c r="F379" i="11"/>
  <c r="F915" i="11"/>
  <c r="F736" i="11"/>
  <c r="F557" i="11"/>
  <c r="F199" i="11"/>
  <c r="F378" i="11"/>
  <c r="F975" i="11"/>
  <c r="F438" i="11"/>
  <c r="F796" i="11"/>
  <c r="F617" i="11"/>
  <c r="F259" i="11"/>
  <c r="F984" i="11"/>
  <c r="F805" i="11"/>
  <c r="F626" i="11"/>
  <c r="F447" i="11"/>
  <c r="F268" i="11"/>
  <c r="F925" i="11"/>
  <c r="F746" i="11"/>
  <c r="F567" i="11"/>
  <c r="F209" i="11"/>
  <c r="F388" i="11"/>
  <c r="F711" i="11"/>
  <c r="F1022" i="11"/>
  <c r="F843" i="11"/>
  <c r="F664" i="11"/>
  <c r="F306" i="11"/>
  <c r="F966" i="11"/>
  <c r="F787" i="11"/>
  <c r="F608" i="11"/>
  <c r="F429" i="11"/>
  <c r="F250" i="11"/>
  <c r="F1025" i="11"/>
  <c r="F846" i="11"/>
  <c r="F667" i="11"/>
  <c r="F488" i="11"/>
  <c r="F309" i="11"/>
  <c r="F907" i="11"/>
  <c r="F728" i="11"/>
  <c r="F549" i="11"/>
  <c r="F191" i="11"/>
  <c r="F370" i="11"/>
  <c r="F922" i="11"/>
  <c r="F564" i="11"/>
  <c r="F385" i="11"/>
  <c r="F206" i="11"/>
  <c r="F951" i="11"/>
  <c r="F593" i="11"/>
  <c r="F235" i="11"/>
  <c r="F828" i="11"/>
  <c r="F1007" i="11"/>
  <c r="F470" i="11"/>
  <c r="F291" i="11"/>
  <c r="F1051" i="11"/>
  <c r="F335" i="11"/>
  <c r="F825" i="11"/>
  <c r="F1004" i="11"/>
  <c r="F646" i="11"/>
  <c r="F467" i="11"/>
  <c r="F288" i="11"/>
  <c r="F1027" i="11"/>
  <c r="F848" i="11"/>
  <c r="F490" i="11"/>
  <c r="F669" i="11"/>
  <c r="F311" i="11"/>
  <c r="F985" i="11"/>
  <c r="F806" i="11"/>
  <c r="F627" i="11"/>
  <c r="F448" i="11"/>
  <c r="F269" i="11"/>
  <c r="F944" i="11"/>
  <c r="F586" i="11"/>
  <c r="F765" i="11"/>
  <c r="F407" i="11"/>
  <c r="F228" i="11"/>
  <c r="F908" i="11"/>
  <c r="F729" i="11"/>
  <c r="F550" i="11"/>
  <c r="F192" i="11"/>
  <c r="F371" i="11"/>
  <c r="F838" i="11"/>
  <c r="F1017" i="11"/>
  <c r="F659" i="11"/>
  <c r="F480" i="11"/>
  <c r="F301" i="11"/>
  <c r="F864" i="11"/>
  <c r="F327" i="11"/>
  <c r="F946" i="11"/>
  <c r="F767" i="11"/>
  <c r="F588" i="11"/>
  <c r="F409" i="11"/>
  <c r="F230" i="11"/>
  <c r="F766" i="11"/>
  <c r="F587" i="11"/>
  <c r="F408" i="11"/>
  <c r="F1005" i="11"/>
  <c r="F826" i="11"/>
  <c r="F647" i="11"/>
  <c r="F468" i="11"/>
  <c r="F289" i="11"/>
  <c r="F901" i="11"/>
  <c r="F722" i="11"/>
  <c r="F543" i="11"/>
  <c r="F185" i="11"/>
  <c r="F364" i="11"/>
  <c r="F866" i="11"/>
  <c r="F508" i="11"/>
  <c r="F329" i="11"/>
  <c r="F820" i="11"/>
  <c r="F999" i="11"/>
  <c r="F462" i="11"/>
  <c r="F641" i="11"/>
  <c r="F283" i="11"/>
  <c r="F790" i="11"/>
  <c r="F969" i="11"/>
  <c r="F611" i="11"/>
  <c r="F432" i="11"/>
  <c r="F253" i="11"/>
  <c r="F789" i="11"/>
  <c r="F968" i="11"/>
  <c r="F610" i="11"/>
  <c r="F431" i="11"/>
  <c r="F252" i="11"/>
  <c r="F816" i="11"/>
  <c r="F995" i="11"/>
  <c r="F458" i="11"/>
  <c r="F637" i="11"/>
  <c r="F279" i="11"/>
  <c r="F535" i="11"/>
  <c r="F356" i="11"/>
  <c r="F919" i="11"/>
  <c r="F740" i="11"/>
  <c r="F561" i="11"/>
  <c r="F382" i="11"/>
  <c r="F957" i="11"/>
  <c r="F778" i="11"/>
  <c r="F599" i="11"/>
  <c r="F420" i="11"/>
  <c r="F241" i="11"/>
  <c r="F996" i="11"/>
  <c r="F638" i="11"/>
  <c r="F459" i="11"/>
  <c r="F280" i="11"/>
  <c r="F937" i="11"/>
  <c r="F758" i="11"/>
  <c r="F579" i="11"/>
  <c r="F400" i="11"/>
  <c r="F221" i="11"/>
  <c r="F1034" i="11"/>
  <c r="F855" i="11"/>
  <c r="F676" i="11"/>
  <c r="F497" i="11"/>
  <c r="F318" i="11"/>
  <c r="F954" i="11"/>
  <c r="F775" i="11"/>
  <c r="F596" i="11"/>
  <c r="F417" i="11"/>
  <c r="F238" i="11"/>
  <c r="F953" i="11"/>
  <c r="F595" i="11"/>
  <c r="F416" i="11"/>
  <c r="F237" i="11"/>
  <c r="F980" i="11"/>
  <c r="F622" i="11"/>
  <c r="F801" i="11"/>
  <c r="F443" i="11"/>
  <c r="F264" i="11"/>
  <c r="F1054" i="11"/>
  <c r="F517" i="11"/>
  <c r="F696" i="11"/>
  <c r="F338" i="11"/>
  <c r="F904" i="11"/>
  <c r="F546" i="11"/>
  <c r="F725" i="11"/>
  <c r="F367" i="11"/>
  <c r="F188" i="11"/>
  <c r="F1075" i="11"/>
  <c r="F896" i="11"/>
  <c r="F538" i="11"/>
  <c r="F359" i="11"/>
  <c r="F1074" i="11"/>
  <c r="F895" i="11"/>
  <c r="F716" i="11"/>
  <c r="F537" i="11"/>
  <c r="F358" i="11"/>
  <c r="F942" i="11"/>
  <c r="F763" i="11"/>
  <c r="F584" i="11"/>
  <c r="F405" i="11"/>
  <c r="F226" i="11"/>
  <c r="F829" i="11"/>
  <c r="F1008" i="11"/>
  <c r="F650" i="11"/>
  <c r="F471" i="11"/>
  <c r="F292" i="11"/>
  <c r="F949" i="11"/>
  <c r="F770" i="11"/>
  <c r="F591" i="11"/>
  <c r="F233" i="11"/>
  <c r="F902" i="11"/>
  <c r="F723" i="11"/>
  <c r="F544" i="11"/>
  <c r="F186" i="11"/>
  <c r="F365" i="11"/>
  <c r="F1046" i="11"/>
  <c r="F509" i="11"/>
  <c r="F754" i="11"/>
  <c r="F575" i="11"/>
  <c r="F396" i="11"/>
  <c r="F217" i="11"/>
  <c r="F813" i="11"/>
  <c r="F992" i="11"/>
  <c r="F634" i="11"/>
  <c r="F455" i="11"/>
  <c r="F276" i="11"/>
  <c r="F989" i="11"/>
  <c r="F810" i="11"/>
  <c r="F631" i="11"/>
  <c r="F452" i="11"/>
  <c r="F273" i="11"/>
  <c r="F776" i="11"/>
  <c r="F955" i="11"/>
  <c r="F597" i="11"/>
  <c r="F418" i="11"/>
  <c r="F239" i="11"/>
  <c r="F1006" i="11"/>
  <c r="F827" i="11"/>
  <c r="F648" i="11"/>
  <c r="F469" i="11"/>
  <c r="F290" i="11"/>
  <c r="F1044" i="11"/>
  <c r="F865" i="11"/>
  <c r="F686" i="11"/>
  <c r="F507" i="11"/>
  <c r="F328" i="11"/>
  <c r="F939" i="11"/>
  <c r="F760" i="11"/>
  <c r="F581" i="11"/>
  <c r="F402" i="11"/>
  <c r="F223" i="11"/>
  <c r="F935" i="11"/>
  <c r="F756" i="11"/>
  <c r="F577" i="11"/>
  <c r="F398" i="11"/>
  <c r="F219" i="11"/>
  <c r="F786" i="11"/>
  <c r="F965" i="11"/>
  <c r="F607" i="11"/>
  <c r="F428" i="11"/>
  <c r="F249" i="11"/>
  <c r="F1039" i="11"/>
  <c r="F323" i="11"/>
  <c r="F1060" i="11"/>
  <c r="F523" i="11"/>
  <c r="F702" i="11"/>
  <c r="F344" i="11"/>
  <c r="F1059" i="11"/>
  <c r="F880" i="11"/>
  <c r="F522" i="11"/>
  <c r="F701" i="11"/>
  <c r="F343" i="11"/>
  <c r="F927" i="11"/>
  <c r="F748" i="11"/>
  <c r="F569" i="11"/>
  <c r="F390" i="11"/>
  <c r="F211" i="11"/>
  <c r="F1020" i="11"/>
  <c r="F841" i="11"/>
  <c r="F662" i="11"/>
  <c r="F483" i="11"/>
  <c r="F304" i="11"/>
  <c r="F961" i="11"/>
  <c r="F782" i="11"/>
  <c r="F424" i="11"/>
  <c r="F245" i="11"/>
  <c r="F914" i="11"/>
  <c r="F735" i="11"/>
  <c r="F556" i="11"/>
  <c r="F377" i="11"/>
  <c r="F198" i="11"/>
  <c r="F1058" i="11"/>
  <c r="F879" i="11"/>
  <c r="F700" i="11"/>
  <c r="F521" i="11"/>
  <c r="F918" i="11"/>
  <c r="F739" i="11"/>
  <c r="F560" i="11"/>
  <c r="F381" i="11"/>
  <c r="F202" i="11"/>
  <c r="F977" i="11"/>
  <c r="F798" i="11"/>
  <c r="F619" i="11"/>
  <c r="F440" i="11"/>
  <c r="F261" i="11"/>
  <c r="F1037" i="11"/>
  <c r="F858" i="11"/>
  <c r="F679" i="11"/>
  <c r="F500" i="11"/>
  <c r="F321" i="11"/>
  <c r="F921" i="11"/>
  <c r="F742" i="11"/>
  <c r="F563" i="11"/>
  <c r="F384" i="11"/>
  <c r="F205" i="11"/>
  <c r="F920" i="11"/>
  <c r="F562" i="11"/>
  <c r="F741" i="11"/>
  <c r="F204" i="11"/>
  <c r="F383" i="11"/>
  <c r="F768" i="11"/>
  <c r="F947" i="11"/>
  <c r="F589" i="11"/>
  <c r="F410" i="11"/>
  <c r="F231" i="11"/>
  <c r="F1024" i="11"/>
  <c r="F845" i="11"/>
  <c r="F666" i="11"/>
  <c r="F487" i="11"/>
  <c r="F308" i="11"/>
  <c r="F1063" i="11"/>
  <c r="F884" i="11"/>
  <c r="F705" i="11"/>
  <c r="F347" i="11"/>
  <c r="F1042" i="11"/>
  <c r="F863" i="11"/>
  <c r="F684" i="11"/>
  <c r="F505" i="11"/>
  <c r="F326" i="11"/>
  <c r="F862" i="11"/>
  <c r="F683" i="11"/>
  <c r="F325" i="11"/>
  <c r="F909" i="11"/>
  <c r="F730" i="11"/>
  <c r="F551" i="11"/>
  <c r="F372" i="11"/>
  <c r="F1032" i="11"/>
  <c r="F853" i="11"/>
  <c r="F316" i="11"/>
  <c r="F794" i="11"/>
  <c r="F973" i="11"/>
  <c r="F615" i="11"/>
  <c r="F436" i="11"/>
  <c r="F257" i="11"/>
  <c r="F926" i="11"/>
  <c r="F747" i="11"/>
  <c r="F568" i="11"/>
  <c r="F389" i="11"/>
  <c r="F210" i="11"/>
  <c r="F1070" i="11"/>
  <c r="F891" i="11"/>
  <c r="F533" i="11"/>
  <c r="F712" i="11"/>
  <c r="F354" i="11"/>
  <c r="F903" i="11"/>
  <c r="F724" i="11"/>
  <c r="F545" i="11"/>
  <c r="F187" i="11"/>
  <c r="F366" i="11"/>
  <c r="F959" i="11"/>
  <c r="F780" i="11"/>
  <c r="F601" i="11"/>
  <c r="F422" i="11"/>
  <c r="F243" i="11"/>
  <c r="F988" i="11"/>
  <c r="F809" i="11"/>
  <c r="F451" i="11"/>
  <c r="F272" i="11"/>
  <c r="F941" i="11"/>
  <c r="F762" i="11"/>
  <c r="F583" i="11"/>
  <c r="F404" i="11"/>
  <c r="F225" i="11"/>
  <c r="GL13" i="5"/>
  <c r="GQ13" i="5"/>
  <c r="GW13" i="5"/>
  <c r="GT13" i="5"/>
  <c r="I9" i="15"/>
  <c r="I8" i="15"/>
  <c r="GM13" i="5"/>
  <c r="GJ13" i="5"/>
  <c r="GV13" i="5"/>
  <c r="I10" i="15"/>
  <c r="GN13" i="5"/>
  <c r="D4" i="14"/>
  <c r="C7" i="14"/>
  <c r="GQ42" i="5"/>
  <c r="GP42" i="5"/>
  <c r="GO42" i="5"/>
  <c r="GU42" i="5"/>
  <c r="GT42" i="5"/>
  <c r="GN42" i="5"/>
  <c r="GJ42" i="5"/>
  <c r="GS42" i="5"/>
  <c r="GM42" i="5"/>
  <c r="GL42" i="5"/>
  <c r="GI42" i="5"/>
  <c r="GR42" i="5"/>
  <c r="GV42" i="5"/>
  <c r="GK42" i="5"/>
  <c r="GW42" i="5"/>
  <c r="I4" i="15"/>
  <c r="S4" i="17"/>
  <c r="I5" i="15"/>
  <c r="GO13" i="5"/>
  <c r="GP13" i="5"/>
  <c r="GR13" i="5"/>
  <c r="GK13" i="5"/>
  <c r="GU13" i="5"/>
  <c r="GI13" i="5"/>
  <c r="GS13" i="5"/>
  <c r="GL8" i="5"/>
  <c r="GL57" i="5"/>
  <c r="H58" i="14" l="1"/>
  <c r="F651" i="7" a="1"/>
  <c r="F651" i="7" s="1"/>
  <c r="F423" i="7" a="1"/>
  <c r="F423" i="7" s="1"/>
  <c r="F461" i="7" a="1"/>
  <c r="F461" i="7" s="1"/>
  <c r="F763" i="7"/>
  <c r="F364" i="7" a="1"/>
  <c r="F364" i="7" s="1"/>
  <c r="F491" i="7" a="1"/>
  <c r="F491" i="7" s="1"/>
  <c r="F720" i="7"/>
  <c r="F441" i="7" a="1"/>
  <c r="F441" i="7" s="1"/>
  <c r="F442" i="7" a="1"/>
  <c r="F442" i="7" s="1"/>
  <c r="F692" i="7" a="1"/>
  <c r="F692" i="7" s="1"/>
  <c r="F665" i="7" a="1"/>
  <c r="F665" i="7" s="1"/>
  <c r="F524" i="7" a="1"/>
  <c r="F524" i="7" s="1"/>
  <c r="F648" i="7" a="1"/>
  <c r="F648" i="7" s="1"/>
  <c r="F590" i="7" a="1"/>
  <c r="F590" i="7" s="1"/>
  <c r="F484" i="7" a="1"/>
  <c r="F484" i="7" s="1"/>
  <c r="F366" i="7" a="1"/>
  <c r="F366" i="7" s="1"/>
  <c r="F395" i="7" a="1"/>
  <c r="F395" i="7" s="1"/>
  <c r="F540" i="7" a="1"/>
  <c r="F540" i="7" s="1"/>
  <c r="F579" i="7" a="1"/>
  <c r="F579" i="7" s="1"/>
  <c r="F532" i="7" a="1"/>
  <c r="F532" i="7" s="1"/>
  <c r="F424" i="7" a="1"/>
  <c r="F424" i="7" s="1"/>
  <c r="F571" i="7" a="1"/>
  <c r="F571" i="7" s="1"/>
  <c r="F609" i="7" a="1"/>
  <c r="F609" i="7" s="1"/>
  <c r="F568" i="7" a="1"/>
  <c r="F568" i="7" s="1"/>
  <c r="F450" i="7" a="1"/>
  <c r="F450" i="7" s="1"/>
  <c r="F793" i="7"/>
  <c r="F602" i="7" a="1"/>
  <c r="F602" i="7" s="1"/>
  <c r="F640" i="7" a="1"/>
  <c r="F640" i="7" s="1"/>
  <c r="F543" i="7" a="1"/>
  <c r="F543" i="7" s="1"/>
  <c r="F621" i="7" a="1"/>
  <c r="F621" i="7" s="1"/>
  <c r="F513" i="7" a="1"/>
  <c r="F513" i="7" s="1"/>
  <c r="F492" i="7" a="1"/>
  <c r="F492" i="7" s="1"/>
  <c r="F488" i="7" a="1"/>
  <c r="F488" i="7" s="1"/>
  <c r="F525" i="7" a="1"/>
  <c r="F525" i="7" s="1"/>
  <c r="F485" i="7" a="1"/>
  <c r="F485" i="7" s="1"/>
  <c r="F717" i="7" a="1"/>
  <c r="F717" i="7" s="1"/>
  <c r="F698" i="7" a="1"/>
  <c r="F698" i="7" s="1"/>
  <c r="F409" i="7" a="1"/>
  <c r="F409" i="7" s="1"/>
  <c r="F404" i="7" a="1"/>
  <c r="F404" i="7" s="1"/>
  <c r="F697" i="7" a="1"/>
  <c r="F697" i="7" s="1"/>
  <c r="F431" i="7" a="1"/>
  <c r="F431" i="7" s="1"/>
  <c r="F462" i="7" a="1"/>
  <c r="F462" i="7" s="1"/>
  <c r="F838" i="7"/>
  <c r="F405" i="7" a="1"/>
  <c r="F405" i="7" s="1"/>
  <c r="F418" i="7" a="1"/>
  <c r="F418" i="7" s="1"/>
  <c r="F468" i="7" a="1"/>
  <c r="F468" i="7" s="1"/>
  <c r="F425" i="7" a="1"/>
  <c r="F425" i="7" s="1"/>
  <c r="F495" i="7" a="1"/>
  <c r="F495" i="7" s="1"/>
  <c r="F825" i="7"/>
  <c r="F497" i="7" a="1"/>
  <c r="F497" i="7" s="1"/>
  <c r="F796" i="7"/>
  <c r="F500" i="7" a="1"/>
  <c r="F500" i="7" s="1"/>
  <c r="F506" i="7" a="1"/>
  <c r="F506" i="7" s="1"/>
  <c r="F393" i="7" a="1"/>
  <c r="F393" i="7" s="1"/>
  <c r="F733" i="7"/>
  <c r="F699" i="7" a="1"/>
  <c r="F699" i="7" s="1"/>
  <c r="F459" i="7" a="1"/>
  <c r="F459" i="7" s="1"/>
  <c r="F775" i="7"/>
  <c r="F466" i="7" a="1"/>
  <c r="F466" i="7" s="1"/>
  <c r="F691" i="7" a="1"/>
  <c r="F691" i="7" s="1"/>
  <c r="F705" i="7" a="1"/>
  <c r="F705" i="7" s="1"/>
  <c r="F501" i="7" a="1"/>
  <c r="F501" i="7" s="1"/>
  <c r="F685" i="7" a="1"/>
  <c r="F685" i="7" s="1"/>
  <c r="F507" i="7" a="1"/>
  <c r="F507" i="7" s="1"/>
  <c r="F426" i="7" a="1"/>
  <c r="F426" i="7" s="1"/>
  <c r="F638" i="7" a="1"/>
  <c r="F638" i="7" s="1"/>
  <c r="F388" i="7" a="1"/>
  <c r="F388" i="7" s="1"/>
  <c r="F684" i="7" a="1"/>
  <c r="F684" i="7" s="1"/>
  <c r="F433" i="7" a="1"/>
  <c r="F433" i="7" s="1"/>
  <c r="F440" i="7" a="1"/>
  <c r="F440" i="7" s="1"/>
  <c r="F496" i="7" a="1"/>
  <c r="F496" i="7" s="1"/>
  <c r="F452" i="7" a="1"/>
  <c r="F452" i="7" s="1"/>
  <c r="F687" i="7" a="1"/>
  <c r="F687" i="7" s="1"/>
  <c r="F791" i="7"/>
  <c r="F372" i="7" a="1"/>
  <c r="F372" i="7" s="1"/>
  <c r="F547" i="7" a="1"/>
  <c r="F547" i="7" s="1"/>
  <c r="F805" i="7"/>
  <c r="F494" i="7" a="1"/>
  <c r="F494" i="7" s="1"/>
  <c r="F380" i="7" a="1"/>
  <c r="F380" i="7" s="1"/>
  <c r="F807" i="7"/>
  <c r="F709" i="7" a="1"/>
  <c r="F709" i="7" s="1"/>
  <c r="F412" i="7" a="1"/>
  <c r="F412" i="7" s="1"/>
  <c r="F445" i="7" a="1"/>
  <c r="F445" i="7" s="1"/>
  <c r="F463" i="7" a="1"/>
  <c r="F463" i="7" s="1"/>
  <c r="F434" i="7" a="1"/>
  <c r="F434" i="7" s="1"/>
  <c r="F446" i="7" a="1"/>
  <c r="F446" i="7" s="1"/>
  <c r="F454" i="7" a="1"/>
  <c r="F454" i="7" s="1"/>
  <c r="F473" i="7" a="1"/>
  <c r="F473" i="7" s="1"/>
  <c r="F708" i="7" a="1"/>
  <c r="F708" i="7" s="1"/>
  <c r="F803" i="7"/>
  <c r="F700" i="7" a="1"/>
  <c r="F700" i="7" s="1"/>
  <c r="F362" i="7" a="1"/>
  <c r="F362" i="7" s="1"/>
  <c r="F827" i="7"/>
  <c r="F530" i="7" a="1"/>
  <c r="F530" i="7" s="1"/>
  <c r="F376" i="7" a="1"/>
  <c r="F376" i="7" s="1"/>
  <c r="F439" i="7" a="1"/>
  <c r="F439" i="7" s="1"/>
  <c r="F435" i="7" a="1"/>
  <c r="F435" i="7" s="1"/>
  <c r="G1805" i="7"/>
  <c r="F732" i="7"/>
  <c r="F771" i="7"/>
  <c r="F822" i="7"/>
  <c r="F438" i="7" a="1"/>
  <c r="F438" i="7" s="1"/>
  <c r="F476" i="7" a="1"/>
  <c r="F476" i="7" s="1"/>
  <c r="F428" i="7" a="1"/>
  <c r="F428" i="7" s="1"/>
  <c r="F498" i="7" a="1"/>
  <c r="F498" i="7" s="1"/>
  <c r="F471" i="7" a="1"/>
  <c r="F471" i="7" s="1"/>
  <c r="F688" i="7" a="1"/>
  <c r="F688" i="7" s="1"/>
  <c r="F840" i="7"/>
  <c r="F837" i="7"/>
  <c r="F365" i="7" a="1"/>
  <c r="F365" i="7" s="1"/>
  <c r="F369" i="7" a="1"/>
  <c r="F369" i="7" s="1"/>
  <c r="F381" i="7" a="1"/>
  <c r="F381" i="7" s="1"/>
  <c r="F869" i="7"/>
  <c r="F729" i="7"/>
  <c r="F377" i="7" a="1"/>
  <c r="F377" i="7" s="1"/>
  <c r="F413" i="7" a="1"/>
  <c r="F413" i="7" s="1"/>
  <c r="F618" i="7" a="1"/>
  <c r="F618" i="7" s="1"/>
  <c r="F829" i="7"/>
  <c r="F527" i="7" a="1"/>
  <c r="F527" i="7" s="1"/>
  <c r="F479" i="7" a="1"/>
  <c r="F479" i="7" s="1"/>
  <c r="F464" i="7" a="1"/>
  <c r="F464" i="7" s="1"/>
  <c r="F710" i="7" a="1"/>
  <c r="F710" i="7" s="1"/>
  <c r="F398" i="7" a="1"/>
  <c r="F398" i="7" s="1"/>
  <c r="F712" i="7" a="1"/>
  <c r="F712" i="7" s="1"/>
  <c r="F489" i="7" a="1"/>
  <c r="F489" i="7" s="1"/>
  <c r="F447" i="7" a="1"/>
  <c r="F447" i="7" s="1"/>
  <c r="F386" i="7" a="1"/>
  <c r="F386" i="7" s="1"/>
  <c r="F456" i="7" a="1"/>
  <c r="F456" i="7" s="1"/>
  <c r="F394" i="7" a="1"/>
  <c r="F394" i="7" s="1"/>
  <c r="F477" i="7" a="1"/>
  <c r="F477" i="7" s="1"/>
  <c r="F421" i="7" a="1"/>
  <c r="F421" i="7" s="1"/>
  <c r="F449" i="7" a="1"/>
  <c r="F449" i="7" s="1"/>
  <c r="F480" i="7" a="1"/>
  <c r="F480" i="7" s="1"/>
  <c r="F458" i="7" a="1"/>
  <c r="F458" i="7" s="1"/>
  <c r="F689" i="7" a="1"/>
  <c r="F689" i="7" s="1"/>
  <c r="F493" i="7" a="1"/>
  <c r="F493" i="7" s="1"/>
  <c r="F378" i="7" a="1"/>
  <c r="F378" i="7" s="1"/>
  <c r="F371" i="7" a="1"/>
  <c r="F371" i="7" s="1"/>
  <c r="F774" i="7"/>
  <c r="F694" i="7" a="1"/>
  <c r="F694" i="7" s="1"/>
  <c r="F382" i="7" a="1"/>
  <c r="F382" i="7" s="1"/>
  <c r="F487" i="7" a="1"/>
  <c r="F487" i="7" s="1"/>
  <c r="F416" i="7" a="1"/>
  <c r="F416" i="7" s="1"/>
  <c r="F470" i="7" a="1"/>
  <c r="F470" i="7" s="1"/>
  <c r="F702" i="7" a="1"/>
  <c r="F702" i="7" s="1"/>
  <c r="F467" i="7" a="1"/>
  <c r="F467" i="7" s="1"/>
  <c r="F503" i="7" a="1"/>
  <c r="F503" i="7" s="1"/>
  <c r="F396" i="7" a="1"/>
  <c r="F396" i="7" s="1"/>
  <c r="F457" i="7" a="1"/>
  <c r="F457" i="7" s="1"/>
  <c r="F399" i="7" a="1"/>
  <c r="F399" i="7" s="1"/>
  <c r="F666" i="7" a="1"/>
  <c r="F666" i="7" s="1"/>
  <c r="F374" i="7" a="1"/>
  <c r="F374" i="7" s="1"/>
  <c r="F429" i="7" a="1"/>
  <c r="F429" i="7" s="1"/>
  <c r="F701" i="7" a="1"/>
  <c r="F701" i="7" s="1"/>
  <c r="F580" i="7" a="1"/>
  <c r="F580" i="7" s="1"/>
  <c r="F627" i="7" a="1"/>
  <c r="F627" i="7" s="1"/>
  <c r="F478" i="7" a="1"/>
  <c r="F478" i="7" s="1"/>
  <c r="F437" i="7" a="1"/>
  <c r="F437" i="7" s="1"/>
  <c r="F490" i="7" a="1"/>
  <c r="F490" i="7" s="1"/>
  <c r="F453" i="7" a="1"/>
  <c r="F453" i="7" s="1"/>
  <c r="F482" i="7" a="1"/>
  <c r="F482" i="7" s="1"/>
  <c r="F690" i="7" a="1"/>
  <c r="F690" i="7" s="1"/>
  <c r="F481" i="7" a="1"/>
  <c r="F481" i="7" s="1"/>
  <c r="F536" i="7" a="1"/>
  <c r="F536" i="7" s="1"/>
  <c r="F764" i="7"/>
  <c r="F713" i="7" a="1"/>
  <c r="F713" i="7" s="1"/>
  <c r="F383" i="7" a="1"/>
  <c r="F383" i="7" s="1"/>
  <c r="F375" i="7" a="1"/>
  <c r="F375" i="7" s="1"/>
  <c r="F474" i="7" a="1"/>
  <c r="F474" i="7" s="1"/>
  <c r="F417" i="7" a="1"/>
  <c r="F417" i="7" s="1"/>
  <c r="F406" i="7" a="1"/>
  <c r="F406" i="7" s="1"/>
  <c r="F460" i="7" a="1"/>
  <c r="F460" i="7" s="1"/>
  <c r="F427" i="7" a="1"/>
  <c r="F427" i="7" s="1"/>
  <c r="F389" i="7" a="1"/>
  <c r="F389" i="7" s="1"/>
  <c r="F198" i="14"/>
  <c r="L198" i="14"/>
  <c r="F69" i="14"/>
  <c r="L69" i="14"/>
  <c r="F115" i="14"/>
  <c r="L115" i="14"/>
  <c r="F36" i="14"/>
  <c r="L36" i="14"/>
  <c r="F48" i="14"/>
  <c r="L48" i="14"/>
  <c r="F55" i="14"/>
  <c r="L55" i="14"/>
  <c r="F204" i="14"/>
  <c r="L204" i="14"/>
  <c r="F183" i="14"/>
  <c r="L183" i="14"/>
  <c r="F130" i="14"/>
  <c r="L130" i="14"/>
  <c r="F122" i="14"/>
  <c r="L122" i="14"/>
  <c r="F129" i="14"/>
  <c r="L129" i="14"/>
  <c r="F147" i="14"/>
  <c r="L147" i="14"/>
  <c r="F40" i="14"/>
  <c r="L40" i="14"/>
  <c r="F184" i="14"/>
  <c r="L184" i="14"/>
  <c r="F166" i="14"/>
  <c r="L166" i="14"/>
  <c r="F57" i="14"/>
  <c r="L57" i="14"/>
  <c r="F174" i="14"/>
  <c r="L174" i="14"/>
  <c r="F87" i="14"/>
  <c r="L87" i="14"/>
  <c r="F49" i="14"/>
  <c r="L49" i="14"/>
  <c r="F61" i="14"/>
  <c r="L61" i="14"/>
  <c r="F56" i="14"/>
  <c r="L56" i="14"/>
  <c r="F191" i="14"/>
  <c r="L191" i="14"/>
  <c r="F182" i="14"/>
  <c r="L182" i="14"/>
  <c r="F155" i="14"/>
  <c r="L155" i="14"/>
  <c r="F88" i="14"/>
  <c r="L88" i="14"/>
  <c r="F128" i="14"/>
  <c r="L128" i="14"/>
  <c r="F205" i="14"/>
  <c r="L205" i="14"/>
  <c r="F53" i="14"/>
  <c r="L53" i="14"/>
  <c r="F111" i="14"/>
  <c r="L111" i="14"/>
  <c r="F146" i="14"/>
  <c r="L146" i="14"/>
  <c r="F145" i="14"/>
  <c r="L145" i="14"/>
  <c r="F62" i="14"/>
  <c r="L62" i="14"/>
  <c r="F76" i="14"/>
  <c r="L76" i="14"/>
  <c r="F70" i="14"/>
  <c r="L70" i="14"/>
  <c r="F165" i="14"/>
  <c r="L165" i="14"/>
  <c r="F192" i="14"/>
  <c r="L192" i="14"/>
  <c r="F107" i="14"/>
  <c r="L107" i="14"/>
  <c r="F118" i="14"/>
  <c r="L118" i="14"/>
  <c r="F156" i="14"/>
  <c r="L156" i="14"/>
  <c r="F54" i="14"/>
  <c r="L54" i="14"/>
  <c r="F39" i="14"/>
  <c r="L39" i="14"/>
  <c r="F124" i="14"/>
  <c r="L124" i="14"/>
  <c r="F38" i="14"/>
  <c r="L38" i="14"/>
  <c r="F96" i="14"/>
  <c r="L96" i="14"/>
  <c r="F77" i="14"/>
  <c r="L77" i="14"/>
  <c r="F94" i="14"/>
  <c r="L94" i="14"/>
  <c r="F47" i="14"/>
  <c r="L47" i="14"/>
  <c r="F164" i="14"/>
  <c r="L164" i="14"/>
  <c r="F179" i="14"/>
  <c r="L179" i="14"/>
  <c r="F127" i="14"/>
  <c r="L127" i="14"/>
  <c r="F119" i="14"/>
  <c r="L119" i="14"/>
  <c r="F190" i="14"/>
  <c r="L190" i="14"/>
  <c r="F135" i="14"/>
  <c r="L135" i="14"/>
  <c r="F52" i="14"/>
  <c r="L52" i="14"/>
  <c r="F181" i="14"/>
  <c r="L181" i="14"/>
  <c r="F154" i="14"/>
  <c r="L154" i="14"/>
  <c r="F86" i="14"/>
  <c r="L86" i="14"/>
  <c r="F51" i="14"/>
  <c r="L51" i="14"/>
  <c r="F188" i="14"/>
  <c r="L188" i="14"/>
  <c r="F201" i="14"/>
  <c r="L201" i="14"/>
  <c r="F113" i="14"/>
  <c r="L113" i="14"/>
  <c r="F134" i="14"/>
  <c r="L134" i="14"/>
  <c r="F60" i="14"/>
  <c r="L60" i="14"/>
  <c r="F67" i="14"/>
  <c r="L67" i="14"/>
  <c r="F153" i="14"/>
  <c r="L153" i="14"/>
  <c r="F171" i="14"/>
  <c r="L171" i="14"/>
  <c r="F151" i="14"/>
  <c r="L151" i="14"/>
  <c r="F143" i="14"/>
  <c r="L143" i="14"/>
  <c r="F117" i="14"/>
  <c r="L117" i="14"/>
  <c r="F193" i="14"/>
  <c r="L193" i="14"/>
  <c r="F65" i="14"/>
  <c r="L65" i="14"/>
  <c r="F68" i="14"/>
  <c r="L68" i="14"/>
  <c r="F173" i="14"/>
  <c r="L173" i="14"/>
  <c r="AB730" i="7"/>
  <c r="AB742" i="7"/>
  <c r="AB754" i="7"/>
  <c r="AB766" i="7"/>
  <c r="AB778" i="7"/>
  <c r="AB790" i="7"/>
  <c r="AB802" i="7"/>
  <c r="AB814" i="7"/>
  <c r="AB826" i="7"/>
  <c r="AB838" i="7"/>
  <c r="AB850" i="7"/>
  <c r="AB862" i="7"/>
  <c r="AB874" i="7"/>
  <c r="AB886" i="7"/>
  <c r="AB898" i="7"/>
  <c r="AB731" i="7"/>
  <c r="AB743" i="7"/>
  <c r="AB755" i="7"/>
  <c r="AB767" i="7"/>
  <c r="AB779" i="7"/>
  <c r="AB791" i="7"/>
  <c r="AB803" i="7"/>
  <c r="AB815" i="7"/>
  <c r="AB827" i="7"/>
  <c r="AB839" i="7"/>
  <c r="AB851" i="7"/>
  <c r="AB721" i="7"/>
  <c r="AB733" i="7"/>
  <c r="AB745" i="7"/>
  <c r="AB757" i="7"/>
  <c r="AB769" i="7"/>
  <c r="AB781" i="7"/>
  <c r="AB793" i="7"/>
  <c r="AB805" i="7"/>
  <c r="AB722" i="7"/>
  <c r="AB734" i="7"/>
  <c r="AB746" i="7"/>
  <c r="AB758" i="7"/>
  <c r="AB770" i="7"/>
  <c r="AB782" i="7"/>
  <c r="AB794" i="7"/>
  <c r="AB806" i="7"/>
  <c r="AB818" i="7"/>
  <c r="AB830" i="7"/>
  <c r="AB842" i="7"/>
  <c r="AB854" i="7"/>
  <c r="AB866" i="7"/>
  <c r="AB878" i="7"/>
  <c r="AB890" i="7"/>
  <c r="AB723" i="7"/>
  <c r="AB735" i="7"/>
  <c r="AB747" i="7"/>
  <c r="AB759" i="7"/>
  <c r="AB771" i="7"/>
  <c r="AB783" i="7"/>
  <c r="AB795" i="7"/>
  <c r="AB807" i="7"/>
  <c r="AB819" i="7"/>
  <c r="AB831" i="7"/>
  <c r="AB843" i="7"/>
  <c r="AB855" i="7"/>
  <c r="AB867" i="7"/>
  <c r="AB879" i="7"/>
  <c r="AB891" i="7"/>
  <c r="AB725" i="7"/>
  <c r="AB737" i="7"/>
  <c r="AB749" i="7"/>
  <c r="AB761" i="7"/>
  <c r="AB773" i="7"/>
  <c r="AB785" i="7"/>
  <c r="AB797" i="7"/>
  <c r="AB809" i="7"/>
  <c r="AB821" i="7"/>
  <c r="AB833" i="7"/>
  <c r="AB845" i="7"/>
  <c r="AB857" i="7"/>
  <c r="AB869" i="7"/>
  <c r="AB881" i="7"/>
  <c r="AB893" i="7"/>
  <c r="AB727" i="7"/>
  <c r="AB739" i="7"/>
  <c r="AB751" i="7"/>
  <c r="AB763" i="7"/>
  <c r="AB775" i="7"/>
  <c r="AB787" i="7"/>
  <c r="AB799" i="7"/>
  <c r="AB811" i="7"/>
  <c r="AB823" i="7"/>
  <c r="AB835" i="7"/>
  <c r="AB847" i="7"/>
  <c r="AB728" i="7"/>
  <c r="AB740" i="7"/>
  <c r="AB752" i="7"/>
  <c r="AB764" i="7"/>
  <c r="AB776" i="7"/>
  <c r="AB788" i="7"/>
  <c r="AB800" i="7"/>
  <c r="AB812" i="7"/>
  <c r="AB824" i="7"/>
  <c r="AB836" i="7"/>
  <c r="AB848" i="7"/>
  <c r="AB860" i="7"/>
  <c r="AB872" i="7"/>
  <c r="AB884" i="7"/>
  <c r="AB896" i="7"/>
  <c r="AB726" i="7"/>
  <c r="AB762" i="7"/>
  <c r="AB798" i="7"/>
  <c r="AB829" i="7"/>
  <c r="AB858" i="7"/>
  <c r="AB877" i="7"/>
  <c r="AB729" i="7"/>
  <c r="AB765" i="7"/>
  <c r="AB801" i="7"/>
  <c r="AB832" i="7"/>
  <c r="AB859" i="7"/>
  <c r="AB880" i="7"/>
  <c r="AB736" i="7"/>
  <c r="AB772" i="7"/>
  <c r="AB808" i="7"/>
  <c r="AB837" i="7"/>
  <c r="AB863" i="7"/>
  <c r="AB883" i="7"/>
  <c r="AB738" i="7"/>
  <c r="AB774" i="7"/>
  <c r="AB810" i="7"/>
  <c r="AB840" i="7"/>
  <c r="AB864" i="7"/>
  <c r="AB885" i="7"/>
  <c r="AB741" i="7"/>
  <c r="AB777" i="7"/>
  <c r="AB813" i="7"/>
  <c r="AB841" i="7"/>
  <c r="AB865" i="7"/>
  <c r="AB887" i="7"/>
  <c r="AB744" i="7"/>
  <c r="AB780" i="7"/>
  <c r="AB816" i="7"/>
  <c r="AB844" i="7"/>
  <c r="AB868" i="7"/>
  <c r="AB888" i="7"/>
  <c r="AB748" i="7"/>
  <c r="AB784" i="7"/>
  <c r="AB817" i="7"/>
  <c r="AB846" i="7"/>
  <c r="AB870" i="7"/>
  <c r="AB889" i="7"/>
  <c r="AB750" i="7"/>
  <c r="AB786" i="7"/>
  <c r="AB820" i="7"/>
  <c r="AB849" i="7"/>
  <c r="AB871" i="7"/>
  <c r="AB892" i="7"/>
  <c r="AB753" i="7"/>
  <c r="AB789" i="7"/>
  <c r="AB822" i="7"/>
  <c r="AB852" i="7"/>
  <c r="AB873" i="7"/>
  <c r="AB894" i="7"/>
  <c r="AB720" i="7"/>
  <c r="AB756" i="7"/>
  <c r="AB792" i="7"/>
  <c r="AB825" i="7"/>
  <c r="AB853" i="7"/>
  <c r="AB875" i="7"/>
  <c r="AB895" i="7"/>
  <c r="AB834" i="7"/>
  <c r="AB856" i="7"/>
  <c r="AB861" i="7"/>
  <c r="AB876" i="7"/>
  <c r="AB882" i="7"/>
  <c r="AB724" i="7"/>
  <c r="AB897" i="7"/>
  <c r="AB732" i="7"/>
  <c r="AB760" i="7"/>
  <c r="AB768" i="7"/>
  <c r="AB796" i="7"/>
  <c r="AB804" i="7"/>
  <c r="AB828" i="7"/>
  <c r="F58" i="14"/>
  <c r="K58" i="14" s="1" a="1"/>
  <c r="K58" i="14" s="1"/>
  <c r="L58" i="14"/>
  <c r="F78" i="14"/>
  <c r="L78" i="14"/>
  <c r="F200" i="14"/>
  <c r="L200" i="14"/>
  <c r="F136" i="14"/>
  <c r="L136" i="14"/>
  <c r="F161" i="14"/>
  <c r="L161" i="14"/>
  <c r="F74" i="14"/>
  <c r="L74" i="14"/>
  <c r="F59" i="14"/>
  <c r="L59" i="14"/>
  <c r="F152" i="14"/>
  <c r="L152" i="14"/>
  <c r="F170" i="14"/>
  <c r="L170" i="14"/>
  <c r="F187" i="14"/>
  <c r="L187" i="14"/>
  <c r="F106" i="14"/>
  <c r="L106" i="14"/>
  <c r="F116" i="14"/>
  <c r="L116" i="14"/>
  <c r="F144" i="14"/>
  <c r="L144" i="14"/>
  <c r="F66" i="14"/>
  <c r="L66" i="14"/>
  <c r="F169" i="14"/>
  <c r="L169" i="14"/>
  <c r="F64" i="14"/>
  <c r="L64" i="14"/>
  <c r="F46" i="14"/>
  <c r="L46" i="14"/>
  <c r="F97" i="14"/>
  <c r="L97" i="14"/>
  <c r="F137" i="14"/>
  <c r="L137" i="14"/>
  <c r="F162" i="14"/>
  <c r="L162" i="14"/>
  <c r="F91" i="14"/>
  <c r="L91" i="14"/>
  <c r="F73" i="14"/>
  <c r="L73" i="14"/>
  <c r="F82" i="14"/>
  <c r="L82" i="14"/>
  <c r="F180" i="14"/>
  <c r="L180" i="14"/>
  <c r="F126" i="14"/>
  <c r="L126" i="14"/>
  <c r="F138" i="14"/>
  <c r="L138" i="14"/>
  <c r="F178" i="14"/>
  <c r="L178" i="14"/>
  <c r="F92" i="14"/>
  <c r="L92" i="14"/>
  <c r="F93" i="14"/>
  <c r="L93" i="14"/>
  <c r="AB370" i="7"/>
  <c r="AB382" i="7"/>
  <c r="AB394" i="7"/>
  <c r="AB406" i="7"/>
  <c r="AB418" i="7"/>
  <c r="AB430" i="7"/>
  <c r="AB442" i="7"/>
  <c r="AB454" i="7"/>
  <c r="AB466" i="7"/>
  <c r="AB478" i="7"/>
  <c r="AB490" i="7"/>
  <c r="AB502" i="7"/>
  <c r="AB514" i="7"/>
  <c r="AB526" i="7"/>
  <c r="AB538" i="7"/>
  <c r="AB371" i="7"/>
  <c r="AB383" i="7"/>
  <c r="AB395" i="7"/>
  <c r="AB407" i="7"/>
  <c r="AB419" i="7"/>
  <c r="AB431" i="7"/>
  <c r="AB443" i="7"/>
  <c r="AB455" i="7"/>
  <c r="AB467" i="7"/>
  <c r="AB479" i="7"/>
  <c r="AB491" i="7"/>
  <c r="AB503" i="7"/>
  <c r="AB515" i="7"/>
  <c r="AB527" i="7"/>
  <c r="AB539" i="7"/>
  <c r="AB373" i="7"/>
  <c r="AB385" i="7"/>
  <c r="AB397" i="7"/>
  <c r="AB409" i="7"/>
  <c r="AB421" i="7"/>
  <c r="AB433" i="7"/>
  <c r="AB445" i="7"/>
  <c r="AB457" i="7"/>
  <c r="AB469" i="7"/>
  <c r="AB481" i="7"/>
  <c r="AB493" i="7"/>
  <c r="AB505" i="7"/>
  <c r="AB517" i="7"/>
  <c r="AB529" i="7"/>
  <c r="AB362" i="7"/>
  <c r="M33" i="13" s="1" a="1"/>
  <c r="M33" i="13" s="1"/>
  <c r="AB374" i="7"/>
  <c r="AB386" i="7"/>
  <c r="AB398" i="7"/>
  <c r="AB410" i="7"/>
  <c r="AB422" i="7"/>
  <c r="AB434" i="7"/>
  <c r="AB446" i="7"/>
  <c r="AB458" i="7"/>
  <c r="AB470" i="7"/>
  <c r="AB482" i="7"/>
  <c r="AB494" i="7"/>
  <c r="AB506" i="7"/>
  <c r="AB518" i="7"/>
  <c r="AB530" i="7"/>
  <c r="AB363" i="7"/>
  <c r="AB375" i="7"/>
  <c r="AB387" i="7"/>
  <c r="AB399" i="7"/>
  <c r="AB411" i="7"/>
  <c r="AB423" i="7"/>
  <c r="AB435" i="7"/>
  <c r="AB447" i="7"/>
  <c r="AB459" i="7"/>
  <c r="AB471" i="7"/>
  <c r="AB483" i="7"/>
  <c r="AB495" i="7"/>
  <c r="AB507" i="7"/>
  <c r="AB519" i="7"/>
  <c r="AB531" i="7"/>
  <c r="AB364" i="7"/>
  <c r="AB376" i="7"/>
  <c r="AB388" i="7"/>
  <c r="AB400" i="7"/>
  <c r="AB412" i="7"/>
  <c r="AB424" i="7"/>
  <c r="AB436" i="7"/>
  <c r="AB448" i="7"/>
  <c r="AB460" i="7"/>
  <c r="AB472" i="7"/>
  <c r="AB484" i="7"/>
  <c r="AB496" i="7"/>
  <c r="AB508" i="7"/>
  <c r="AB520" i="7"/>
  <c r="AB532" i="7"/>
  <c r="AB365" i="7"/>
  <c r="AB377" i="7"/>
  <c r="AB389" i="7"/>
  <c r="AB401" i="7"/>
  <c r="AB413" i="7"/>
  <c r="AB425" i="7"/>
  <c r="AB437" i="7"/>
  <c r="AB449" i="7"/>
  <c r="AB461" i="7"/>
  <c r="AB473" i="7"/>
  <c r="AB485" i="7"/>
  <c r="AB497" i="7"/>
  <c r="AB509" i="7"/>
  <c r="AB521" i="7"/>
  <c r="AB533" i="7"/>
  <c r="AB367" i="7"/>
  <c r="AB379" i="7"/>
  <c r="AB391" i="7"/>
  <c r="AB403" i="7"/>
  <c r="AB415" i="7"/>
  <c r="AB427" i="7"/>
  <c r="AB439" i="7"/>
  <c r="AB451" i="7"/>
  <c r="AB463" i="7"/>
  <c r="AB475" i="7"/>
  <c r="AB487" i="7"/>
  <c r="AB499" i="7"/>
  <c r="AB511" i="7"/>
  <c r="AB523" i="7"/>
  <c r="AB535" i="7"/>
  <c r="AB368" i="7"/>
  <c r="AB380" i="7"/>
  <c r="AB392" i="7"/>
  <c r="AB404" i="7"/>
  <c r="AB416" i="7"/>
  <c r="AB428" i="7"/>
  <c r="AB440" i="7"/>
  <c r="AB452" i="7"/>
  <c r="AB464" i="7"/>
  <c r="AB476" i="7"/>
  <c r="AB488" i="7"/>
  <c r="AB500" i="7"/>
  <c r="AB512" i="7"/>
  <c r="AB524" i="7"/>
  <c r="AB536" i="7"/>
  <c r="AB378" i="7"/>
  <c r="AB426" i="7"/>
  <c r="AB474" i="7"/>
  <c r="AB522" i="7"/>
  <c r="AB381" i="7"/>
  <c r="AB429" i="7"/>
  <c r="AB477" i="7"/>
  <c r="AB525" i="7"/>
  <c r="AB390" i="7"/>
  <c r="AB438" i="7"/>
  <c r="AB486" i="7"/>
  <c r="AB534" i="7"/>
  <c r="AB393" i="7"/>
  <c r="AB441" i="7"/>
  <c r="AB489" i="7"/>
  <c r="AB537" i="7"/>
  <c r="AB396" i="7"/>
  <c r="AB444" i="7"/>
  <c r="AB492" i="7"/>
  <c r="AB540" i="7"/>
  <c r="AB402" i="7"/>
  <c r="AB450" i="7"/>
  <c r="AB498" i="7"/>
  <c r="AB405" i="7"/>
  <c r="AB453" i="7"/>
  <c r="AB501" i="7"/>
  <c r="AB408" i="7"/>
  <c r="AB456" i="7"/>
  <c r="AB504" i="7"/>
  <c r="AB366" i="7"/>
  <c r="AB414" i="7"/>
  <c r="AB462" i="7"/>
  <c r="AB510" i="7"/>
  <c r="AB369" i="7"/>
  <c r="AB417" i="7"/>
  <c r="AB465" i="7"/>
  <c r="AB513" i="7"/>
  <c r="AB372" i="7"/>
  <c r="AB384" i="7"/>
  <c r="AB420" i="7"/>
  <c r="AB432" i="7"/>
  <c r="AB468" i="7"/>
  <c r="AB480" i="7"/>
  <c r="AB516" i="7"/>
  <c r="AB528" i="7"/>
  <c r="AB550" i="7"/>
  <c r="AB562" i="7"/>
  <c r="AB574" i="7"/>
  <c r="AB586" i="7"/>
  <c r="AB598" i="7"/>
  <c r="AB610" i="7"/>
  <c r="AB622" i="7"/>
  <c r="AB634" i="7"/>
  <c r="AB646" i="7"/>
  <c r="AB658" i="7"/>
  <c r="AB670" i="7"/>
  <c r="AB682" i="7"/>
  <c r="AB694" i="7"/>
  <c r="AB706" i="7"/>
  <c r="AB718" i="7"/>
  <c r="AB551" i="7"/>
  <c r="AB563" i="7"/>
  <c r="AB575" i="7"/>
  <c r="AB587" i="7"/>
  <c r="AB599" i="7"/>
  <c r="AB611" i="7"/>
  <c r="AB623" i="7"/>
  <c r="AB635" i="7"/>
  <c r="AB647" i="7"/>
  <c r="AB659" i="7"/>
  <c r="AB671" i="7"/>
  <c r="AB683" i="7"/>
  <c r="AB695" i="7"/>
  <c r="AB707" i="7"/>
  <c r="AB719" i="7"/>
  <c r="AB541" i="7"/>
  <c r="AB553" i="7"/>
  <c r="AB565" i="7"/>
  <c r="AB577" i="7"/>
  <c r="AB589" i="7"/>
  <c r="AB601" i="7"/>
  <c r="AB613" i="7"/>
  <c r="AB625" i="7"/>
  <c r="AB637" i="7"/>
  <c r="AB649" i="7"/>
  <c r="AB661" i="7"/>
  <c r="AB673" i="7"/>
  <c r="AB685" i="7"/>
  <c r="AB697" i="7"/>
  <c r="AB709" i="7"/>
  <c r="AB542" i="7"/>
  <c r="AB554" i="7"/>
  <c r="AB566" i="7"/>
  <c r="AB578" i="7"/>
  <c r="AB590" i="7"/>
  <c r="AB602" i="7"/>
  <c r="AB614" i="7"/>
  <c r="AB626" i="7"/>
  <c r="AB638" i="7"/>
  <c r="AB650" i="7"/>
  <c r="AB662" i="7"/>
  <c r="AB674" i="7"/>
  <c r="AB686" i="7"/>
  <c r="AB698" i="7"/>
  <c r="AB710" i="7"/>
  <c r="AB543" i="7"/>
  <c r="AB555" i="7"/>
  <c r="AB567" i="7"/>
  <c r="AB579" i="7"/>
  <c r="AB591" i="7"/>
  <c r="AB603" i="7"/>
  <c r="AB615" i="7"/>
  <c r="AB627" i="7"/>
  <c r="AB639" i="7"/>
  <c r="AB651" i="7"/>
  <c r="AB663" i="7"/>
  <c r="AB675" i="7"/>
  <c r="AB687" i="7"/>
  <c r="AB699" i="7"/>
  <c r="AB711" i="7"/>
  <c r="AB544" i="7"/>
  <c r="AB556" i="7"/>
  <c r="AB568" i="7"/>
  <c r="AB580" i="7"/>
  <c r="AB592" i="7"/>
  <c r="AB604" i="7"/>
  <c r="AB616" i="7"/>
  <c r="AB545" i="7"/>
  <c r="AB557" i="7"/>
  <c r="AB569" i="7"/>
  <c r="AB581" i="7"/>
  <c r="AB593" i="7"/>
  <c r="AB605" i="7"/>
  <c r="AB617" i="7"/>
  <c r="AB629" i="7"/>
  <c r="AB641" i="7"/>
  <c r="AB653" i="7"/>
  <c r="AB665" i="7"/>
  <c r="AB677" i="7"/>
  <c r="AB689" i="7"/>
  <c r="AB701" i="7"/>
  <c r="AB713" i="7"/>
  <c r="AB547" i="7"/>
  <c r="AB559" i="7"/>
  <c r="AB571" i="7"/>
  <c r="AB583" i="7"/>
  <c r="AB595" i="7"/>
  <c r="AB607" i="7"/>
  <c r="AB619" i="7"/>
  <c r="AB631" i="7"/>
  <c r="AB643" i="7"/>
  <c r="AB655" i="7"/>
  <c r="AB667" i="7"/>
  <c r="AB679" i="7"/>
  <c r="AB691" i="7"/>
  <c r="AB703" i="7"/>
  <c r="AB715" i="7"/>
  <c r="AB548" i="7"/>
  <c r="AB560" i="7"/>
  <c r="AB572" i="7"/>
  <c r="AB584" i="7"/>
  <c r="AB596" i="7"/>
  <c r="AB608" i="7"/>
  <c r="AB620" i="7"/>
  <c r="AB632" i="7"/>
  <c r="AB644" i="7"/>
  <c r="AB656" i="7"/>
  <c r="AB668" i="7"/>
  <c r="AB680" i="7"/>
  <c r="AB692" i="7"/>
  <c r="AB704" i="7"/>
  <c r="AB716" i="7"/>
  <c r="AB570" i="7"/>
  <c r="AB618" i="7"/>
  <c r="AB654" i="7"/>
  <c r="AB690" i="7"/>
  <c r="AB573" i="7"/>
  <c r="AB621" i="7"/>
  <c r="AB657" i="7"/>
  <c r="AB693" i="7"/>
  <c r="AB582" i="7"/>
  <c r="AB628" i="7"/>
  <c r="AB664" i="7"/>
  <c r="AB700" i="7"/>
  <c r="AB585" i="7"/>
  <c r="AB630" i="7"/>
  <c r="AB666" i="7"/>
  <c r="AB702" i="7"/>
  <c r="AB588" i="7"/>
  <c r="AB633" i="7"/>
  <c r="AB669" i="7"/>
  <c r="AB705" i="7"/>
  <c r="AB546" i="7"/>
  <c r="AB594" i="7"/>
  <c r="AB636" i="7"/>
  <c r="AB672" i="7"/>
  <c r="AB708" i="7"/>
  <c r="AB549" i="7"/>
  <c r="AB597" i="7"/>
  <c r="AB640" i="7"/>
  <c r="AB676" i="7"/>
  <c r="AB712" i="7"/>
  <c r="AB552" i="7"/>
  <c r="AB600" i="7"/>
  <c r="AB642" i="7"/>
  <c r="AB678" i="7"/>
  <c r="AB714" i="7"/>
  <c r="AB558" i="7"/>
  <c r="AB606" i="7"/>
  <c r="AB645" i="7"/>
  <c r="AB681" i="7"/>
  <c r="AB717" i="7"/>
  <c r="AB561" i="7"/>
  <c r="AB609" i="7"/>
  <c r="AB648" i="7"/>
  <c r="AB684" i="7"/>
  <c r="AB624" i="7"/>
  <c r="AB652" i="7"/>
  <c r="AB660" i="7"/>
  <c r="AB688" i="7"/>
  <c r="AB696" i="7"/>
  <c r="AB564" i="7"/>
  <c r="AB576" i="7"/>
  <c r="AB612" i="7"/>
  <c r="F34" i="14"/>
  <c r="L34" i="14"/>
  <c r="F98" i="14"/>
  <c r="L98" i="14"/>
  <c r="F37" i="14"/>
  <c r="L37" i="14"/>
  <c r="F75" i="14"/>
  <c r="L75" i="14"/>
  <c r="F206" i="14"/>
  <c r="L206" i="14"/>
  <c r="F112" i="14"/>
  <c r="L112" i="14"/>
  <c r="F90" i="14"/>
  <c r="L90" i="14"/>
  <c r="F83" i="14"/>
  <c r="L83" i="14"/>
  <c r="F167" i="14"/>
  <c r="L167" i="14"/>
  <c r="F150" i="14"/>
  <c r="L150" i="14"/>
  <c r="F139" i="14"/>
  <c r="L139" i="14"/>
  <c r="F105" i="14"/>
  <c r="L105" i="14"/>
  <c r="F80" i="14"/>
  <c r="L80" i="14"/>
  <c r="F175" i="14"/>
  <c r="L175" i="14"/>
  <c r="F79" i="14"/>
  <c r="L79" i="14"/>
  <c r="F99" i="14"/>
  <c r="L99" i="14"/>
  <c r="F50" i="14"/>
  <c r="L50" i="14"/>
  <c r="F45" i="14"/>
  <c r="L45" i="14"/>
  <c r="F133" i="14"/>
  <c r="L133" i="14"/>
  <c r="F121" i="14"/>
  <c r="L121" i="14"/>
  <c r="F160" i="14"/>
  <c r="L160" i="14"/>
  <c r="F110" i="14"/>
  <c r="L110" i="14"/>
  <c r="F102" i="14"/>
  <c r="L102" i="14"/>
  <c r="F141" i="14"/>
  <c r="L141" i="14"/>
  <c r="F159" i="14"/>
  <c r="L159" i="14"/>
  <c r="F186" i="14"/>
  <c r="L186" i="14"/>
  <c r="F125" i="14"/>
  <c r="L125" i="14"/>
  <c r="F104" i="14"/>
  <c r="L104" i="14"/>
  <c r="F132" i="14"/>
  <c r="L132" i="14"/>
  <c r="F81" i="14"/>
  <c r="L81" i="14"/>
  <c r="F157" i="14"/>
  <c r="L157" i="14"/>
  <c r="F63" i="14"/>
  <c r="L63" i="14"/>
  <c r="F189" i="14"/>
  <c r="L189" i="14"/>
  <c r="F84" i="14"/>
  <c r="L84" i="14"/>
  <c r="F203" i="14"/>
  <c r="L203" i="14"/>
  <c r="F197" i="14"/>
  <c r="L197" i="14"/>
  <c r="F131" i="14"/>
  <c r="L131" i="14"/>
  <c r="F72" i="14"/>
  <c r="L72" i="14"/>
  <c r="F140" i="14"/>
  <c r="L140" i="14"/>
  <c r="F158" i="14"/>
  <c r="L158" i="14"/>
  <c r="F149" i="14"/>
  <c r="L149" i="14"/>
  <c r="F163" i="14"/>
  <c r="L163" i="14"/>
  <c r="F85" i="14"/>
  <c r="L85" i="14"/>
  <c r="F71" i="14"/>
  <c r="L71" i="14"/>
  <c r="F108" i="14"/>
  <c r="L108" i="14"/>
  <c r="F95" i="14"/>
  <c r="L95" i="14"/>
  <c r="F44" i="14"/>
  <c r="L44" i="14"/>
  <c r="F43" i="14"/>
  <c r="L43" i="14"/>
  <c r="F177" i="14"/>
  <c r="L177" i="14"/>
  <c r="F195" i="14"/>
  <c r="L195" i="14"/>
  <c r="F196" i="14"/>
  <c r="L196" i="14"/>
  <c r="F89" i="14"/>
  <c r="L89" i="14"/>
  <c r="F100" i="14"/>
  <c r="L100" i="14"/>
  <c r="F168" i="14"/>
  <c r="L168" i="14"/>
  <c r="F41" i="14"/>
  <c r="L41" i="14"/>
  <c r="F185" i="14"/>
  <c r="L185" i="14"/>
  <c r="F172" i="14"/>
  <c r="L172" i="14"/>
  <c r="F123" i="14"/>
  <c r="L123" i="14"/>
  <c r="F101" i="14"/>
  <c r="L101" i="14"/>
  <c r="F202" i="14"/>
  <c r="L202" i="14"/>
  <c r="F42" i="14"/>
  <c r="L42" i="14"/>
  <c r="F148" i="14"/>
  <c r="L148" i="14"/>
  <c r="F199" i="14"/>
  <c r="L199" i="14"/>
  <c r="F120" i="14"/>
  <c r="L120" i="14"/>
  <c r="AB1079" i="7"/>
  <c r="AB1091" i="7"/>
  <c r="AB1103" i="7"/>
  <c r="AB1115" i="7"/>
  <c r="AB1127" i="7"/>
  <c r="AB1139" i="7"/>
  <c r="AB1151" i="7"/>
  <c r="AB1163" i="7"/>
  <c r="AB1175" i="7"/>
  <c r="AB1187" i="7"/>
  <c r="AB1199" i="7"/>
  <c r="AB1211" i="7"/>
  <c r="AB1223" i="7"/>
  <c r="AB1235" i="7"/>
  <c r="AB1247" i="7"/>
  <c r="AB1080" i="7"/>
  <c r="AB1092" i="7"/>
  <c r="AB1104" i="7"/>
  <c r="AB1116" i="7"/>
  <c r="AB1128" i="7"/>
  <c r="AB1140" i="7"/>
  <c r="AB1152" i="7"/>
  <c r="AB1164" i="7"/>
  <c r="AB1176" i="7"/>
  <c r="AB1188" i="7"/>
  <c r="AB1200" i="7"/>
  <c r="AB1212" i="7"/>
  <c r="AB1224" i="7"/>
  <c r="AB1236" i="7"/>
  <c r="AB1248" i="7"/>
  <c r="AB1082" i="7"/>
  <c r="AB1094" i="7"/>
  <c r="AB1106" i="7"/>
  <c r="AB1118" i="7"/>
  <c r="AB1130" i="7"/>
  <c r="AB1142" i="7"/>
  <c r="AB1154" i="7"/>
  <c r="AB1166" i="7"/>
  <c r="AB1178" i="7"/>
  <c r="AB1190" i="7"/>
  <c r="AB1202" i="7"/>
  <c r="AB1214" i="7"/>
  <c r="AB1226" i="7"/>
  <c r="AB1238" i="7"/>
  <c r="AB1250" i="7"/>
  <c r="AB1083" i="7"/>
  <c r="AB1095" i="7"/>
  <c r="AB1107" i="7"/>
  <c r="AB1119" i="7"/>
  <c r="AB1131" i="7"/>
  <c r="AB1143" i="7"/>
  <c r="AB1155" i="7"/>
  <c r="AB1167" i="7"/>
  <c r="AB1179" i="7"/>
  <c r="AB1191" i="7"/>
  <c r="AB1203" i="7"/>
  <c r="AB1215" i="7"/>
  <c r="AB1227" i="7"/>
  <c r="AB1239" i="7"/>
  <c r="AB1251" i="7"/>
  <c r="AB1084" i="7"/>
  <c r="AB1096" i="7"/>
  <c r="AB1108" i="7"/>
  <c r="AB1120" i="7"/>
  <c r="AB1132" i="7"/>
  <c r="AB1144" i="7"/>
  <c r="AB1156" i="7"/>
  <c r="AB1168" i="7"/>
  <c r="AB1180" i="7"/>
  <c r="AB1192" i="7"/>
  <c r="AB1204" i="7"/>
  <c r="AB1216" i="7"/>
  <c r="AB1228" i="7"/>
  <c r="AB1240" i="7"/>
  <c r="AB1252" i="7"/>
  <c r="AB1085" i="7"/>
  <c r="AB1097" i="7"/>
  <c r="AB1109" i="7"/>
  <c r="AB1121" i="7"/>
  <c r="AB1133" i="7"/>
  <c r="AB1145" i="7"/>
  <c r="AB1157" i="7"/>
  <c r="AB1169" i="7"/>
  <c r="AB1181" i="7"/>
  <c r="AB1193" i="7"/>
  <c r="AB1205" i="7"/>
  <c r="AB1217" i="7"/>
  <c r="AB1229" i="7"/>
  <c r="AB1241" i="7"/>
  <c r="AB1253" i="7"/>
  <c r="AB1086" i="7"/>
  <c r="AB1098" i="7"/>
  <c r="AB1110" i="7"/>
  <c r="AB1122" i="7"/>
  <c r="AB1134" i="7"/>
  <c r="AB1146" i="7"/>
  <c r="AB1158" i="7"/>
  <c r="AB1170" i="7"/>
  <c r="AB1182" i="7"/>
  <c r="AB1194" i="7"/>
  <c r="AB1206" i="7"/>
  <c r="AB1218" i="7"/>
  <c r="AB1230" i="7"/>
  <c r="AB1242" i="7"/>
  <c r="AB1254" i="7"/>
  <c r="AB1087" i="7"/>
  <c r="AB1099" i="7"/>
  <c r="AB1111" i="7"/>
  <c r="AB1123" i="7"/>
  <c r="AB1135" i="7"/>
  <c r="AB1147" i="7"/>
  <c r="AB1159" i="7"/>
  <c r="AB1171" i="7"/>
  <c r="AB1183" i="7"/>
  <c r="AB1195" i="7"/>
  <c r="AB1207" i="7"/>
  <c r="AB1219" i="7"/>
  <c r="AB1231" i="7"/>
  <c r="AB1243" i="7"/>
  <c r="AB1255" i="7"/>
  <c r="AB1088" i="7"/>
  <c r="AB1100" i="7"/>
  <c r="AB1112" i="7"/>
  <c r="AB1124" i="7"/>
  <c r="AB1136" i="7"/>
  <c r="AB1148" i="7"/>
  <c r="AB1160" i="7"/>
  <c r="AB1172" i="7"/>
  <c r="AB1184" i="7"/>
  <c r="AB1196" i="7"/>
  <c r="AB1208" i="7"/>
  <c r="AB1220" i="7"/>
  <c r="AB1232" i="7"/>
  <c r="AB1244" i="7"/>
  <c r="AB1256" i="7"/>
  <c r="AB1089" i="7"/>
  <c r="AB1101" i="7"/>
  <c r="AB1113" i="7"/>
  <c r="AB1125" i="7"/>
  <c r="AB1137" i="7"/>
  <c r="AB1149" i="7"/>
  <c r="AB1161" i="7"/>
  <c r="AB1173" i="7"/>
  <c r="AB1185" i="7"/>
  <c r="AB1197" i="7"/>
  <c r="AB1209" i="7"/>
  <c r="AB1221" i="7"/>
  <c r="AB1233" i="7"/>
  <c r="AB1245" i="7"/>
  <c r="AB1129" i="7"/>
  <c r="AB1201" i="7"/>
  <c r="AB1138" i="7"/>
  <c r="AB1210" i="7"/>
  <c r="AB1141" i="7"/>
  <c r="AB1213" i="7"/>
  <c r="AB1078" i="7"/>
  <c r="AB1150" i="7"/>
  <c r="AB1222" i="7"/>
  <c r="AB1081" i="7"/>
  <c r="AB1153" i="7"/>
  <c r="AB1225" i="7"/>
  <c r="AB1090" i="7"/>
  <c r="AB1162" i="7"/>
  <c r="AB1234" i="7"/>
  <c r="AB1093" i="7"/>
  <c r="AB1165" i="7"/>
  <c r="AB1237" i="7"/>
  <c r="AB1102" i="7"/>
  <c r="AB1174" i="7"/>
  <c r="AB1246" i="7"/>
  <c r="AB1105" i="7"/>
  <c r="AB1177" i="7"/>
  <c r="AB1249" i="7"/>
  <c r="AB1114" i="7"/>
  <c r="AB1186" i="7"/>
  <c r="AB1117" i="7"/>
  <c r="AB1189" i="7"/>
  <c r="AB1126" i="7"/>
  <c r="AB1198" i="7"/>
  <c r="AB1259" i="7"/>
  <c r="AB1271" i="7"/>
  <c r="AB1283" i="7"/>
  <c r="AB1295" i="7"/>
  <c r="AB1307" i="7"/>
  <c r="AB1319" i="7"/>
  <c r="AB1331" i="7"/>
  <c r="AB1343" i="7"/>
  <c r="AB1355" i="7"/>
  <c r="AB1367" i="7"/>
  <c r="AB1379" i="7"/>
  <c r="AB1391" i="7"/>
  <c r="AB1403" i="7"/>
  <c r="AB1415" i="7"/>
  <c r="AB1427" i="7"/>
  <c r="AB1260" i="7"/>
  <c r="AB1272" i="7"/>
  <c r="AB1284" i="7"/>
  <c r="AB1296" i="7"/>
  <c r="AB1308" i="7"/>
  <c r="AB1320" i="7"/>
  <c r="AB1332" i="7"/>
  <c r="AB1344" i="7"/>
  <c r="AB1356" i="7"/>
  <c r="AB1368" i="7"/>
  <c r="AB1380" i="7"/>
  <c r="AB1392" i="7"/>
  <c r="AB1404" i="7"/>
  <c r="AB1416" i="7"/>
  <c r="AB1428" i="7"/>
  <c r="AB1262" i="7"/>
  <c r="AB1274" i="7"/>
  <c r="AB1286" i="7"/>
  <c r="AB1298" i="7"/>
  <c r="AB1310" i="7"/>
  <c r="AB1322" i="7"/>
  <c r="AB1334" i="7"/>
  <c r="AB1346" i="7"/>
  <c r="AB1358" i="7"/>
  <c r="AB1370" i="7"/>
  <c r="AB1382" i="7"/>
  <c r="AB1394" i="7"/>
  <c r="AB1406" i="7"/>
  <c r="AB1418" i="7"/>
  <c r="AB1430" i="7"/>
  <c r="AB1263" i="7"/>
  <c r="AB1275" i="7"/>
  <c r="AB1287" i="7"/>
  <c r="AB1299" i="7"/>
  <c r="AB1311" i="7"/>
  <c r="AB1323" i="7"/>
  <c r="AB1335" i="7"/>
  <c r="AB1347" i="7"/>
  <c r="AB1359" i="7"/>
  <c r="AB1371" i="7"/>
  <c r="AB1383" i="7"/>
  <c r="AB1395" i="7"/>
  <c r="AB1407" i="7"/>
  <c r="AB1419" i="7"/>
  <c r="AB1431" i="7"/>
  <c r="AB1264" i="7"/>
  <c r="AB1276" i="7"/>
  <c r="AB1288" i="7"/>
  <c r="AB1300" i="7"/>
  <c r="AB1312" i="7"/>
  <c r="AB1324" i="7"/>
  <c r="AB1336" i="7"/>
  <c r="AB1348" i="7"/>
  <c r="AB1360" i="7"/>
  <c r="AB1372" i="7"/>
  <c r="AB1384" i="7"/>
  <c r="AB1396" i="7"/>
  <c r="AB1408" i="7"/>
  <c r="AB1420" i="7"/>
  <c r="AB1432" i="7"/>
  <c r="AB1265" i="7"/>
  <c r="AB1277" i="7"/>
  <c r="AB1289" i="7"/>
  <c r="AB1301" i="7"/>
  <c r="AB1313" i="7"/>
  <c r="AB1325" i="7"/>
  <c r="AB1337" i="7"/>
  <c r="AB1349" i="7"/>
  <c r="AB1361" i="7"/>
  <c r="AB1373" i="7"/>
  <c r="AB1385" i="7"/>
  <c r="AB1397" i="7"/>
  <c r="AB1409" i="7"/>
  <c r="AB1421" i="7"/>
  <c r="AB1433" i="7"/>
  <c r="AB1266" i="7"/>
  <c r="AB1278" i="7"/>
  <c r="AB1290" i="7"/>
  <c r="AB1302" i="7"/>
  <c r="AB1314" i="7"/>
  <c r="AB1326" i="7"/>
  <c r="AB1338" i="7"/>
  <c r="AB1350" i="7"/>
  <c r="AB1362" i="7"/>
  <c r="AB1374" i="7"/>
  <c r="AB1386" i="7"/>
  <c r="AB1398" i="7"/>
  <c r="AB1410" i="7"/>
  <c r="AB1422" i="7"/>
  <c r="AB1434" i="7"/>
  <c r="AB1267" i="7"/>
  <c r="AB1279" i="7"/>
  <c r="AB1291" i="7"/>
  <c r="AB1303" i="7"/>
  <c r="AB1315" i="7"/>
  <c r="AB1327" i="7"/>
  <c r="AB1339" i="7"/>
  <c r="AB1351" i="7"/>
  <c r="AB1363" i="7"/>
  <c r="AB1375" i="7"/>
  <c r="AB1387" i="7"/>
  <c r="AB1399" i="7"/>
  <c r="AB1411" i="7"/>
  <c r="AB1423" i="7"/>
  <c r="AB1435" i="7"/>
  <c r="AB1268" i="7"/>
  <c r="AB1280" i="7"/>
  <c r="AB1292" i="7"/>
  <c r="AB1304" i="7"/>
  <c r="AB1316" i="7"/>
  <c r="AB1328" i="7"/>
  <c r="AB1340" i="7"/>
  <c r="AB1352" i="7"/>
  <c r="AB1364" i="7"/>
  <c r="AB1376" i="7"/>
  <c r="AB1388" i="7"/>
  <c r="AB1400" i="7"/>
  <c r="AB1412" i="7"/>
  <c r="AB1424" i="7"/>
  <c r="AB1257" i="7"/>
  <c r="AB1269" i="7"/>
  <c r="AB1281" i="7"/>
  <c r="AB1293" i="7"/>
  <c r="AB1305" i="7"/>
  <c r="AB1317" i="7"/>
  <c r="AB1329" i="7"/>
  <c r="AB1341" i="7"/>
  <c r="AB1353" i="7"/>
  <c r="AB1365" i="7"/>
  <c r="AB1377" i="7"/>
  <c r="AB1389" i="7"/>
  <c r="AB1401" i="7"/>
  <c r="AB1413" i="7"/>
  <c r="AB1425" i="7"/>
  <c r="AB1273" i="7"/>
  <c r="AB1345" i="7"/>
  <c r="AB1417" i="7"/>
  <c r="AB1282" i="7"/>
  <c r="AB1354" i="7"/>
  <c r="AB1426" i="7"/>
  <c r="AB1285" i="7"/>
  <c r="AB1357" i="7"/>
  <c r="AB1429" i="7"/>
  <c r="AB1294" i="7"/>
  <c r="AB1366" i="7"/>
  <c r="AB1297" i="7"/>
  <c r="AB1369" i="7"/>
  <c r="AB1306" i="7"/>
  <c r="AB1378" i="7"/>
  <c r="AB1309" i="7"/>
  <c r="AB1381" i="7"/>
  <c r="AB1318" i="7"/>
  <c r="AB1390" i="7"/>
  <c r="AB1321" i="7"/>
  <c r="AB1393" i="7"/>
  <c r="AB1258" i="7"/>
  <c r="AB1330" i="7"/>
  <c r="AB1402" i="7"/>
  <c r="AB1261" i="7"/>
  <c r="AB1333" i="7"/>
  <c r="AB1405" i="7"/>
  <c r="AB1270" i="7"/>
  <c r="AB1342" i="7"/>
  <c r="AB1414" i="7"/>
  <c r="AB1619" i="7"/>
  <c r="AB1631" i="7"/>
  <c r="AB1643" i="7"/>
  <c r="AB1655" i="7"/>
  <c r="AB1667" i="7"/>
  <c r="AB1679" i="7"/>
  <c r="AB1691" i="7"/>
  <c r="AB1703" i="7"/>
  <c r="AB1715" i="7"/>
  <c r="AB1727" i="7"/>
  <c r="AB1739" i="7"/>
  <c r="AB1622" i="7"/>
  <c r="AB1634" i="7"/>
  <c r="AB1646" i="7"/>
  <c r="AB1658" i="7"/>
  <c r="AB1670" i="7"/>
  <c r="AB1682" i="7"/>
  <c r="AB1694" i="7"/>
  <c r="AB1706" i="7"/>
  <c r="AB1718" i="7"/>
  <c r="AB1623" i="7"/>
  <c r="AB1635" i="7"/>
  <c r="AB1647" i="7"/>
  <c r="AB1659" i="7"/>
  <c r="AB1671" i="7"/>
  <c r="AB1683" i="7"/>
  <c r="AB1624" i="7"/>
  <c r="AB1636" i="7"/>
  <c r="AB1648" i="7"/>
  <c r="AB1660" i="7"/>
  <c r="AB1672" i="7"/>
  <c r="AB1684" i="7"/>
  <c r="AB1696" i="7"/>
  <c r="AB1708" i="7"/>
  <c r="AB1625" i="7"/>
  <c r="AB1637" i="7"/>
  <c r="AB1649" i="7"/>
  <c r="AB1661" i="7"/>
  <c r="AB1673" i="7"/>
  <c r="AB1685" i="7"/>
  <c r="AB1697" i="7"/>
  <c r="AB1626" i="7"/>
  <c r="AB1638" i="7"/>
  <c r="AB1650" i="7"/>
  <c r="AB1662" i="7"/>
  <c r="AB1674" i="7"/>
  <c r="AB1686" i="7"/>
  <c r="AB1698" i="7"/>
  <c r="AB1710" i="7"/>
  <c r="AB1722" i="7"/>
  <c r="AB1615" i="7"/>
  <c r="AB1627" i="7"/>
  <c r="AB1639" i="7"/>
  <c r="AB1651" i="7"/>
  <c r="AB1663" i="7"/>
  <c r="AB1675" i="7"/>
  <c r="AB1687" i="7"/>
  <c r="AB1699" i="7"/>
  <c r="AB1711" i="7"/>
  <c r="AB1723" i="7"/>
  <c r="AB1616" i="7"/>
  <c r="AB1628" i="7"/>
  <c r="AB1640" i="7"/>
  <c r="AB1652" i="7"/>
  <c r="AB1664" i="7"/>
  <c r="AB1676" i="7"/>
  <c r="AB1688" i="7"/>
  <c r="AB1700" i="7"/>
  <c r="AB1712" i="7"/>
  <c r="AB1618" i="7"/>
  <c r="AB1654" i="7"/>
  <c r="AB1690" i="7"/>
  <c r="AB1716" i="7"/>
  <c r="AB1732" i="7"/>
  <c r="AB1745" i="7"/>
  <c r="AB1757" i="7"/>
  <c r="AB1769" i="7"/>
  <c r="AB1781" i="7"/>
  <c r="AB1793" i="7"/>
  <c r="AB1620" i="7"/>
  <c r="AB1656" i="7"/>
  <c r="AB1692" i="7"/>
  <c r="AB1717" i="7"/>
  <c r="AB1733" i="7"/>
  <c r="AB1746" i="7"/>
  <c r="AB1758" i="7"/>
  <c r="AB1770" i="7"/>
  <c r="AB1782" i="7"/>
  <c r="AB1621" i="7"/>
  <c r="AB1657" i="7"/>
  <c r="AB1693" i="7"/>
  <c r="AB1719" i="7"/>
  <c r="AB1734" i="7"/>
  <c r="AB1747" i="7"/>
  <c r="AB1759" i="7"/>
  <c r="AB1771" i="7"/>
  <c r="AB1783" i="7"/>
  <c r="AB1629" i="7"/>
  <c r="AB1665" i="7"/>
  <c r="AB1695" i="7"/>
  <c r="AB1720" i="7"/>
  <c r="AB1735" i="7"/>
  <c r="AB1748" i="7"/>
  <c r="AB1760" i="7"/>
  <c r="AB1772" i="7"/>
  <c r="AB1784" i="7"/>
  <c r="AB1630" i="7"/>
  <c r="AB1666" i="7"/>
  <c r="AB1701" i="7"/>
  <c r="AB1721" i="7"/>
  <c r="AB1736" i="7"/>
  <c r="AB1749" i="7"/>
  <c r="AB1761" i="7"/>
  <c r="AB1773" i="7"/>
  <c r="AB1785" i="7"/>
  <c r="AB1632" i="7"/>
  <c r="AB1668" i="7"/>
  <c r="AB1702" i="7"/>
  <c r="AB1724" i="7"/>
  <c r="AB1737" i="7"/>
  <c r="AB1750" i="7"/>
  <c r="AB1762" i="7"/>
  <c r="AB1774" i="7"/>
  <c r="AB1786" i="7"/>
  <c r="AB1633" i="7"/>
  <c r="AB1669" i="7"/>
  <c r="AB1704" i="7"/>
  <c r="AB1725" i="7"/>
  <c r="AB1738" i="7"/>
  <c r="AB1751" i="7"/>
  <c r="AB1763" i="7"/>
  <c r="AB1775" i="7"/>
  <c r="AB1787" i="7"/>
  <c r="AB1641" i="7"/>
  <c r="AB1677" i="7"/>
  <c r="AB1705" i="7"/>
  <c r="AB1726" i="7"/>
  <c r="AB1740" i="7"/>
  <c r="AB1752" i="7"/>
  <c r="AB1764" i="7"/>
  <c r="AB1776" i="7"/>
  <c r="AB1788" i="7"/>
  <c r="AB1642" i="7"/>
  <c r="AB1678" i="7"/>
  <c r="AB1707" i="7"/>
  <c r="AB1728" i="7"/>
  <c r="AB1741" i="7"/>
  <c r="AB1753" i="7"/>
  <c r="AB1765" i="7"/>
  <c r="AB1777" i="7"/>
  <c r="AB1789" i="7"/>
  <c r="AB1644" i="7"/>
  <c r="AB1680" i="7"/>
  <c r="AB1709" i="7"/>
  <c r="AB1729" i="7"/>
  <c r="AB1742" i="7"/>
  <c r="AB1754" i="7"/>
  <c r="AB1766" i="7"/>
  <c r="AB1778" i="7"/>
  <c r="AB1790" i="7"/>
  <c r="AB1645" i="7"/>
  <c r="AB1681" i="7"/>
  <c r="AB1713" i="7"/>
  <c r="AB1730" i="7"/>
  <c r="AB1743" i="7"/>
  <c r="AB1755" i="7"/>
  <c r="AB1767" i="7"/>
  <c r="AB1779" i="7"/>
  <c r="AB1791" i="7"/>
  <c r="AB1792" i="7"/>
  <c r="AB1617" i="7"/>
  <c r="AB1653" i="7"/>
  <c r="AB1689" i="7"/>
  <c r="AB1714" i="7"/>
  <c r="AB1731" i="7"/>
  <c r="AB1744" i="7"/>
  <c r="AB1756" i="7"/>
  <c r="AB1768" i="7"/>
  <c r="AB1780" i="7"/>
  <c r="AB910" i="7"/>
  <c r="AB922" i="7"/>
  <c r="AB934" i="7"/>
  <c r="AB946" i="7"/>
  <c r="AB958" i="7"/>
  <c r="AB970" i="7"/>
  <c r="AB982" i="7"/>
  <c r="AB994" i="7"/>
  <c r="AB1006" i="7"/>
  <c r="AB1018" i="7"/>
  <c r="AB1030" i="7"/>
  <c r="AB1042" i="7"/>
  <c r="AB902" i="7"/>
  <c r="AB914" i="7"/>
  <c r="AB926" i="7"/>
  <c r="AB938" i="7"/>
  <c r="AB950" i="7"/>
  <c r="AB962" i="7"/>
  <c r="AB974" i="7"/>
  <c r="AB986" i="7"/>
  <c r="AB998" i="7"/>
  <c r="AB1010" i="7"/>
  <c r="AB1022" i="7"/>
  <c r="AB1034" i="7"/>
  <c r="AB903" i="7"/>
  <c r="AB915" i="7"/>
  <c r="AB927" i="7"/>
  <c r="AB939" i="7"/>
  <c r="AB951" i="7"/>
  <c r="AB963" i="7"/>
  <c r="AB975" i="7"/>
  <c r="AB987" i="7"/>
  <c r="AB999" i="7"/>
  <c r="AB1011" i="7"/>
  <c r="AB1023" i="7"/>
  <c r="AB1035" i="7"/>
  <c r="AB905" i="7"/>
  <c r="AB917" i="7"/>
  <c r="AB929" i="7"/>
  <c r="AB941" i="7"/>
  <c r="AB953" i="7"/>
  <c r="AB965" i="7"/>
  <c r="AB977" i="7"/>
  <c r="AB989" i="7"/>
  <c r="AB1001" i="7"/>
  <c r="AB908" i="7"/>
  <c r="AB920" i="7"/>
  <c r="AB932" i="7"/>
  <c r="AB899" i="7"/>
  <c r="AB919" i="7"/>
  <c r="AB940" i="7"/>
  <c r="AB957" i="7"/>
  <c r="AB976" i="7"/>
  <c r="AB993" i="7"/>
  <c r="AB1012" i="7"/>
  <c r="AB1027" i="7"/>
  <c r="AB1043" i="7"/>
  <c r="AB1055" i="7"/>
  <c r="AB1067" i="7"/>
  <c r="AB900" i="7"/>
  <c r="AB921" i="7"/>
  <c r="AB942" i="7"/>
  <c r="AB959" i="7"/>
  <c r="AB978" i="7"/>
  <c r="AB995" i="7"/>
  <c r="AB1013" i="7"/>
  <c r="AB1028" i="7"/>
  <c r="AB1044" i="7"/>
  <c r="AB1056" i="7"/>
  <c r="AB1068" i="7"/>
  <c r="AB904" i="7"/>
  <c r="AB924" i="7"/>
  <c r="AB944" i="7"/>
  <c r="AB961" i="7"/>
  <c r="AB980" i="7"/>
  <c r="AB997" i="7"/>
  <c r="AB1015" i="7"/>
  <c r="AB1031" i="7"/>
  <c r="AB1046" i="7"/>
  <c r="AB1058" i="7"/>
  <c r="AB1070" i="7"/>
  <c r="AB906" i="7"/>
  <c r="AB925" i="7"/>
  <c r="AB945" i="7"/>
  <c r="AB964" i="7"/>
  <c r="AB981" i="7"/>
  <c r="AB1000" i="7"/>
  <c r="AB1016" i="7"/>
  <c r="AB1032" i="7"/>
  <c r="AB1047" i="7"/>
  <c r="AB1059" i="7"/>
  <c r="AB1071" i="7"/>
  <c r="AB907" i="7"/>
  <c r="AB928" i="7"/>
  <c r="AB947" i="7"/>
  <c r="AB966" i="7"/>
  <c r="AB983" i="7"/>
  <c r="AB1002" i="7"/>
  <c r="AB1017" i="7"/>
  <c r="AB1033" i="7"/>
  <c r="AB1048" i="7"/>
  <c r="AB1060" i="7"/>
  <c r="AB1072" i="7"/>
  <c r="AB909" i="7"/>
  <c r="AB930" i="7"/>
  <c r="AB948" i="7"/>
  <c r="AB967" i="7"/>
  <c r="AB984" i="7"/>
  <c r="AB1003" i="7"/>
  <c r="AB1019" i="7"/>
  <c r="AB1036" i="7"/>
  <c r="AB1049" i="7"/>
  <c r="AB1061" i="7"/>
  <c r="AB1073" i="7"/>
  <c r="AB911" i="7"/>
  <c r="AB931" i="7"/>
  <c r="AB949" i="7"/>
  <c r="AB968" i="7"/>
  <c r="AB985" i="7"/>
  <c r="AB1004" i="7"/>
  <c r="AB1020" i="7"/>
  <c r="AB1037" i="7"/>
  <c r="AB1050" i="7"/>
  <c r="AB1062" i="7"/>
  <c r="AB1074" i="7"/>
  <c r="AB912" i="7"/>
  <c r="AB933" i="7"/>
  <c r="AB952" i="7"/>
  <c r="AB969" i="7"/>
  <c r="AB988" i="7"/>
  <c r="AB1005" i="7"/>
  <c r="AB1021" i="7"/>
  <c r="AB1038" i="7"/>
  <c r="AB1051" i="7"/>
  <c r="AB1063" i="7"/>
  <c r="AB1075" i="7"/>
  <c r="AB913" i="7"/>
  <c r="AB935" i="7"/>
  <c r="AB954" i="7"/>
  <c r="AB971" i="7"/>
  <c r="AB990" i="7"/>
  <c r="AB1007" i="7"/>
  <c r="AB1024" i="7"/>
  <c r="AB1039" i="7"/>
  <c r="AB1052" i="7"/>
  <c r="AB1064" i="7"/>
  <c r="AB1076" i="7"/>
  <c r="AB916" i="7"/>
  <c r="AB936" i="7"/>
  <c r="AB955" i="7"/>
  <c r="AB972" i="7"/>
  <c r="AB991" i="7"/>
  <c r="AB1008" i="7"/>
  <c r="AB1025" i="7"/>
  <c r="AB1040" i="7"/>
  <c r="AB1053" i="7"/>
  <c r="AB1065" i="7"/>
  <c r="AB1077" i="7"/>
  <c r="AB960" i="7"/>
  <c r="AB1057" i="7"/>
  <c r="AB973" i="7"/>
  <c r="AB1066" i="7"/>
  <c r="AB979" i="7"/>
  <c r="AB1069" i="7"/>
  <c r="AB992" i="7"/>
  <c r="AB996" i="7"/>
  <c r="AB1009" i="7"/>
  <c r="AB901" i="7"/>
  <c r="AB1014" i="7"/>
  <c r="AB918" i="7"/>
  <c r="AB1026" i="7"/>
  <c r="AB923" i="7"/>
  <c r="AB1029" i="7"/>
  <c r="AB937" i="7"/>
  <c r="AB1041" i="7"/>
  <c r="AB943" i="7"/>
  <c r="AB1045" i="7"/>
  <c r="AB956" i="7"/>
  <c r="AB1054" i="7"/>
  <c r="AB1439" i="7"/>
  <c r="AB1451" i="7"/>
  <c r="AB1463" i="7"/>
  <c r="AB1475" i="7"/>
  <c r="AB1487" i="7"/>
  <c r="AB1499" i="7"/>
  <c r="AB1511" i="7"/>
  <c r="AB1523" i="7"/>
  <c r="AB1535" i="7"/>
  <c r="AB1547" i="7"/>
  <c r="AB1559" i="7"/>
  <c r="AB1571" i="7"/>
  <c r="AB1583" i="7"/>
  <c r="AB1595" i="7"/>
  <c r="AB1607" i="7"/>
  <c r="AB1440" i="7"/>
  <c r="AB1452" i="7"/>
  <c r="AB1464" i="7"/>
  <c r="AB1442" i="7"/>
  <c r="AB1454" i="7"/>
  <c r="AB1466" i="7"/>
  <c r="AB1478" i="7"/>
  <c r="AB1490" i="7"/>
  <c r="AB1502" i="7"/>
  <c r="AB1514" i="7"/>
  <c r="AB1526" i="7"/>
  <c r="AB1538" i="7"/>
  <c r="AB1550" i="7"/>
  <c r="AB1562" i="7"/>
  <c r="AB1574" i="7"/>
  <c r="AB1586" i="7"/>
  <c r="AB1598" i="7"/>
  <c r="AB1610" i="7"/>
  <c r="AB1443" i="7"/>
  <c r="AB1455" i="7"/>
  <c r="AB1467" i="7"/>
  <c r="AB1479" i="7"/>
  <c r="AB1491" i="7"/>
  <c r="AB1503" i="7"/>
  <c r="AB1515" i="7"/>
  <c r="AB1527" i="7"/>
  <c r="AB1539" i="7"/>
  <c r="AB1551" i="7"/>
  <c r="AB1563" i="7"/>
  <c r="AB1575" i="7"/>
  <c r="AB1587" i="7"/>
  <c r="AB1599" i="7"/>
  <c r="AB1611" i="7"/>
  <c r="AB1444" i="7"/>
  <c r="AB1456" i="7"/>
  <c r="AB1468" i="7"/>
  <c r="AB1480" i="7"/>
  <c r="AB1492" i="7"/>
  <c r="AB1504" i="7"/>
  <c r="AB1516" i="7"/>
  <c r="AB1528" i="7"/>
  <c r="AB1540" i="7"/>
  <c r="AB1552" i="7"/>
  <c r="AB1564" i="7"/>
  <c r="AB1576" i="7"/>
  <c r="AB1588" i="7"/>
  <c r="AB1600" i="7"/>
  <c r="AB1612" i="7"/>
  <c r="AB1445" i="7"/>
  <c r="AB1457" i="7"/>
  <c r="AB1469" i="7"/>
  <c r="AB1481" i="7"/>
  <c r="AB1493" i="7"/>
  <c r="AB1505" i="7"/>
  <c r="AB1517" i="7"/>
  <c r="AB1529" i="7"/>
  <c r="AB1541" i="7"/>
  <c r="AB1553" i="7"/>
  <c r="AB1565" i="7"/>
  <c r="AB1577" i="7"/>
  <c r="AB1589" i="7"/>
  <c r="AB1601" i="7"/>
  <c r="AB1613" i="7"/>
  <c r="AB1446" i="7"/>
  <c r="AB1458" i="7"/>
  <c r="AB1470" i="7"/>
  <c r="AB1482" i="7"/>
  <c r="AB1494" i="7"/>
  <c r="AB1506" i="7"/>
  <c r="AB1518" i="7"/>
  <c r="AB1530" i="7"/>
  <c r="AB1542" i="7"/>
  <c r="AB1554" i="7"/>
  <c r="AB1566" i="7"/>
  <c r="AB1578" i="7"/>
  <c r="AB1590" i="7"/>
  <c r="AB1602" i="7"/>
  <c r="AB1614" i="7"/>
  <c r="AB1447" i="7"/>
  <c r="AB1459" i="7"/>
  <c r="AB1471" i="7"/>
  <c r="AB1483" i="7"/>
  <c r="AB1495" i="7"/>
  <c r="AB1507" i="7"/>
  <c r="AB1519" i="7"/>
  <c r="AB1531" i="7"/>
  <c r="AB1543" i="7"/>
  <c r="AB1555" i="7"/>
  <c r="AB1567" i="7"/>
  <c r="AB1579" i="7"/>
  <c r="AB1591" i="7"/>
  <c r="AB1603" i="7"/>
  <c r="AB1436" i="7"/>
  <c r="AB1448" i="7"/>
  <c r="AB1460" i="7"/>
  <c r="AB1472" i="7"/>
  <c r="AB1484" i="7"/>
  <c r="AB1496" i="7"/>
  <c r="AB1508" i="7"/>
  <c r="AB1520" i="7"/>
  <c r="AB1532" i="7"/>
  <c r="AB1544" i="7"/>
  <c r="AB1556" i="7"/>
  <c r="AB1568" i="7"/>
  <c r="AB1580" i="7"/>
  <c r="AB1592" i="7"/>
  <c r="AB1604" i="7"/>
  <c r="AB1437" i="7"/>
  <c r="AB1449" i="7"/>
  <c r="AB1461" i="7"/>
  <c r="AB1473" i="7"/>
  <c r="AB1485" i="7"/>
  <c r="AB1497" i="7"/>
  <c r="AB1509" i="7"/>
  <c r="AB1521" i="7"/>
  <c r="AB1533" i="7"/>
  <c r="AB1545" i="7"/>
  <c r="AB1557" i="7"/>
  <c r="AB1569" i="7"/>
  <c r="AB1581" i="7"/>
  <c r="AB1486" i="7"/>
  <c r="AB1534" i="7"/>
  <c r="AB1582" i="7"/>
  <c r="AB1488" i="7"/>
  <c r="AB1536" i="7"/>
  <c r="AB1584" i="7"/>
  <c r="AB1489" i="7"/>
  <c r="AB1537" i="7"/>
  <c r="AB1585" i="7"/>
  <c r="AB1438" i="7"/>
  <c r="AB1498" i="7"/>
  <c r="AB1546" i="7"/>
  <c r="AB1593" i="7"/>
  <c r="AB1441" i="7"/>
  <c r="AB1500" i="7"/>
  <c r="AB1548" i="7"/>
  <c r="AB1594" i="7"/>
  <c r="AB1450" i="7"/>
  <c r="AB1501" i="7"/>
  <c r="AB1549" i="7"/>
  <c r="AB1596" i="7"/>
  <c r="AB1453" i="7"/>
  <c r="AB1510" i="7"/>
  <c r="AB1558" i="7"/>
  <c r="AB1597" i="7"/>
  <c r="AB1462" i="7"/>
  <c r="AB1512" i="7"/>
  <c r="AB1560" i="7"/>
  <c r="AB1605" i="7"/>
  <c r="AB1465" i="7"/>
  <c r="AB1513" i="7"/>
  <c r="AB1561" i="7"/>
  <c r="AB1606" i="7"/>
  <c r="AB1474" i="7"/>
  <c r="AB1522" i="7"/>
  <c r="AB1570" i="7"/>
  <c r="AB1608" i="7"/>
  <c r="AB1476" i="7"/>
  <c r="AB1524" i="7"/>
  <c r="AB1572" i="7"/>
  <c r="AB1609" i="7"/>
  <c r="AB1477" i="7"/>
  <c r="AB1525" i="7"/>
  <c r="AB1573" i="7"/>
  <c r="F103" i="14"/>
  <c r="L103" i="14"/>
  <c r="F142" i="14"/>
  <c r="L142" i="14"/>
  <c r="F114" i="14"/>
  <c r="L114" i="14"/>
  <c r="F35" i="14"/>
  <c r="L35" i="14"/>
  <c r="F176" i="14"/>
  <c r="L176" i="14"/>
  <c r="F194" i="14"/>
  <c r="L194" i="14"/>
  <c r="F7" i="14"/>
  <c r="F8" i="14" s="1"/>
  <c r="F9" i="14" s="1"/>
  <c r="F10" i="14" s="1"/>
  <c r="F11" i="14" s="1"/>
  <c r="F12" i="14" s="1"/>
  <c r="F13" i="14" s="1"/>
  <c r="F14" i="14" s="1"/>
  <c r="F15" i="14" s="1"/>
  <c r="F16" i="14" s="1"/>
  <c r="F17" i="14" s="1"/>
  <c r="F18" i="14" s="1"/>
  <c r="F19" i="14" s="1"/>
  <c r="F20" i="14" s="1"/>
  <c r="F21" i="14" s="1"/>
  <c r="F22" i="14" s="1"/>
  <c r="F23" i="14" s="1"/>
  <c r="F24" i="14" s="1"/>
  <c r="F25" i="14" s="1"/>
  <c r="F26" i="14" s="1"/>
  <c r="F27" i="14" s="1"/>
  <c r="F28" i="14" s="1"/>
  <c r="F29" i="14" s="1"/>
  <c r="F30" i="14" s="1"/>
  <c r="F31" i="14" s="1"/>
  <c r="F32" i="14" s="1"/>
  <c r="F33" i="14" s="1"/>
  <c r="F109" i="14"/>
  <c r="L109" i="14"/>
  <c r="F22" i="11"/>
  <c r="L74" i="8"/>
  <c r="F8" i="11"/>
  <c r="G2328" i="7" a="1"/>
  <c r="G2328" i="7" s="1"/>
  <c r="F128" i="11"/>
  <c r="F78" i="11"/>
  <c r="F125" i="11"/>
  <c r="F138" i="11"/>
  <c r="F163" i="11"/>
  <c r="F135" i="11"/>
  <c r="F127" i="11"/>
  <c r="F146" i="11"/>
  <c r="F181" i="11"/>
  <c r="F37" i="11"/>
  <c r="F71" i="11"/>
  <c r="F96" i="11"/>
  <c r="F118" i="11"/>
  <c r="F17" i="11"/>
  <c r="G2066" i="7" a="1"/>
  <c r="G2066" i="7" s="1"/>
  <c r="L78" i="8"/>
  <c r="F116" i="11"/>
  <c r="F66" i="11"/>
  <c r="F113" i="11"/>
  <c r="F40" i="11"/>
  <c r="F139" i="11"/>
  <c r="F123" i="11"/>
  <c r="F103" i="11"/>
  <c r="F134" i="11"/>
  <c r="F169" i="11"/>
  <c r="F25" i="11"/>
  <c r="F59" i="11"/>
  <c r="F84" i="11"/>
  <c r="F106" i="11"/>
  <c r="G1994" i="7" a="1"/>
  <c r="G1994" i="7" s="1"/>
  <c r="F54" i="11"/>
  <c r="F101" i="11"/>
  <c r="F172" i="11"/>
  <c r="F28" i="11"/>
  <c r="F115" i="11"/>
  <c r="F111" i="11"/>
  <c r="F79" i="11"/>
  <c r="F122" i="11"/>
  <c r="F157" i="11"/>
  <c r="F81" i="11"/>
  <c r="F47" i="11"/>
  <c r="F72" i="11"/>
  <c r="F94" i="11"/>
  <c r="G2206" i="7" a="1"/>
  <c r="G2206" i="7" s="1"/>
  <c r="F140" i="11"/>
  <c r="F90" i="11"/>
  <c r="F137" i="11"/>
  <c r="F147" i="11"/>
  <c r="F151" i="11"/>
  <c r="F158" i="11"/>
  <c r="F126" i="11"/>
  <c r="F49" i="11"/>
  <c r="F83" i="11"/>
  <c r="F108" i="11"/>
  <c r="F130" i="11"/>
  <c r="F5" i="11"/>
  <c r="F4" i="11"/>
  <c r="G2043" i="7" a="1"/>
  <c r="G2043" i="7" s="1"/>
  <c r="G2243" i="7" a="1"/>
  <c r="G2243" i="7" s="1"/>
  <c r="G2244" i="7" a="1"/>
  <c r="G2244" i="7" s="1"/>
  <c r="G2174" i="7" a="1"/>
  <c r="G2174" i="7" s="1"/>
  <c r="G2187" i="7" a="1"/>
  <c r="G2187" i="7" s="1"/>
  <c r="F6" i="11"/>
  <c r="G2253" i="7" a="1"/>
  <c r="G2253" i="7" s="1"/>
  <c r="G2317" i="7" a="1"/>
  <c r="G2317" i="7" s="1"/>
  <c r="F92" i="11"/>
  <c r="F42" i="11"/>
  <c r="F89" i="11"/>
  <c r="F160" i="11"/>
  <c r="F165" i="11"/>
  <c r="F91" i="11"/>
  <c r="F99" i="11"/>
  <c r="F55" i="11"/>
  <c r="F110" i="11"/>
  <c r="F145" i="11"/>
  <c r="F35" i="11"/>
  <c r="F82" i="11"/>
  <c r="F64" i="11"/>
  <c r="F104" i="11"/>
  <c r="G2185" i="7" a="1"/>
  <c r="G2185" i="7" s="1"/>
  <c r="G2254" i="7" a="1"/>
  <c r="G2254" i="7" s="1"/>
  <c r="T2254" i="7" s="1"/>
  <c r="N1000" i="10" s="1"/>
  <c r="G2115" i="7" a="1"/>
  <c r="G2115" i="7" s="1"/>
  <c r="G1794" i="7"/>
  <c r="F68" i="11"/>
  <c r="F177" i="11"/>
  <c r="F129" i="11"/>
  <c r="F86" i="11"/>
  <c r="F121" i="11"/>
  <c r="F33" i="11"/>
  <c r="F53" i="11"/>
  <c r="F124" i="11"/>
  <c r="F74" i="11"/>
  <c r="F109" i="11"/>
  <c r="F46" i="11"/>
  <c r="G2325" i="7" a="1"/>
  <c r="G2325" i="7" s="1"/>
  <c r="F80" i="11"/>
  <c r="F30" i="11"/>
  <c r="F67" i="11"/>
  <c r="F87" i="11"/>
  <c r="F31" i="11"/>
  <c r="F98" i="11"/>
  <c r="F167" i="11"/>
  <c r="F48" i="11"/>
  <c r="G2207" i="7" a="1"/>
  <c r="G2207" i="7" s="1"/>
  <c r="F41" i="11"/>
  <c r="F112" i="11"/>
  <c r="F51" i="11"/>
  <c r="F62" i="11"/>
  <c r="F97" i="11"/>
  <c r="F178" i="11"/>
  <c r="F34" i="11"/>
  <c r="F44" i="11"/>
  <c r="F174" i="11"/>
  <c r="F56" i="11"/>
  <c r="F16" i="11"/>
  <c r="G2233" i="7" a="1"/>
  <c r="G2233" i="7" s="1"/>
  <c r="G979" i="10" s="1"/>
  <c r="H979" i="10" s="1"/>
  <c r="F29" i="11"/>
  <c r="F100" i="11"/>
  <c r="F69" i="11"/>
  <c r="F39" i="11"/>
  <c r="F114" i="11"/>
  <c r="F50" i="11"/>
  <c r="F144" i="11"/>
  <c r="F153" i="11"/>
  <c r="F131" i="11"/>
  <c r="F77" i="11"/>
  <c r="X371" i="7" a="1"/>
  <c r="X371" i="7" s="1"/>
  <c r="F32" i="11"/>
  <c r="G2018" i="7" a="1"/>
  <c r="G2018" i="7" s="1"/>
  <c r="F58" i="11"/>
  <c r="F65" i="11"/>
  <c r="F93" i="11"/>
  <c r="F150" i="11"/>
  <c r="F10" i="11"/>
  <c r="G2234" i="7" a="1"/>
  <c r="G2234" i="7" s="1"/>
  <c r="G980" i="10" s="1"/>
  <c r="H980" i="10" s="1"/>
  <c r="F164" i="11"/>
  <c r="F161" i="11"/>
  <c r="F88" i="11"/>
  <c r="F57" i="11"/>
  <c r="F171" i="11"/>
  <c r="F27" i="11"/>
  <c r="F38" i="11"/>
  <c r="F107" i="11"/>
  <c r="F132" i="11"/>
  <c r="F9" i="11"/>
  <c r="F152" i="11"/>
  <c r="F149" i="11"/>
  <c r="F105" i="11"/>
  <c r="F45" i="11"/>
  <c r="F159" i="11"/>
  <c r="F175" i="11"/>
  <c r="F170" i="11"/>
  <c r="F61" i="11"/>
  <c r="F95" i="11"/>
  <c r="F120" i="11"/>
  <c r="F36" i="11"/>
  <c r="F155" i="11"/>
  <c r="F156" i="11"/>
  <c r="F173" i="11"/>
  <c r="F75" i="11"/>
  <c r="F141" i="11"/>
  <c r="F117" i="11"/>
  <c r="F73" i="11"/>
  <c r="F12" i="11"/>
  <c r="F119" i="11"/>
  <c r="F136" i="11"/>
  <c r="F24" i="11"/>
  <c r="F180" i="11"/>
  <c r="F13" i="11"/>
  <c r="X375" i="7" a="1"/>
  <c r="X375" i="7" s="1"/>
  <c r="F154" i="11"/>
  <c r="F148" i="11"/>
  <c r="F142" i="11"/>
  <c r="F176" i="11"/>
  <c r="F26" i="11"/>
  <c r="F102" i="11"/>
  <c r="F162" i="11"/>
  <c r="F166" i="11"/>
  <c r="F168" i="11"/>
  <c r="F43" i="11"/>
  <c r="F143" i="11"/>
  <c r="I482" i="7"/>
  <c r="I791" i="7"/>
  <c r="F70" i="11"/>
  <c r="G1438" i="7" a="1"/>
  <c r="G1438" i="7" s="1"/>
  <c r="Y1436" i="7" s="1" a="1"/>
  <c r="Y1436" i="7" s="1"/>
  <c r="G2247" i="7" a="1"/>
  <c r="G2247" i="7" s="1"/>
  <c r="G2085" i="7" a="1"/>
  <c r="G2085" i="7" s="1"/>
  <c r="G831" i="10" s="1"/>
  <c r="H831" i="10" s="1"/>
  <c r="I74" i="8"/>
  <c r="G722" i="11"/>
  <c r="H722" i="11" s="1"/>
  <c r="T2018" i="7"/>
  <c r="N764" i="10" s="1"/>
  <c r="G764" i="10"/>
  <c r="H764" i="10" s="1"/>
  <c r="I1435" i="7"/>
  <c r="F719" i="11"/>
  <c r="I1242" i="7"/>
  <c r="F526" i="11"/>
  <c r="I1490" i="7"/>
  <c r="F774" i="11"/>
  <c r="T2185" i="7"/>
  <c r="N931" i="10" s="1"/>
  <c r="G931" i="10"/>
  <c r="H931" i="10" s="1"/>
  <c r="I1614" i="7"/>
  <c r="F898" i="11"/>
  <c r="I1433" i="7"/>
  <c r="F717" i="11"/>
  <c r="I1591" i="7"/>
  <c r="F875" i="11"/>
  <c r="I895" i="7"/>
  <c r="F179" i="11"/>
  <c r="T2174" i="7"/>
  <c r="N920" i="10" s="1"/>
  <c r="G920" i="10"/>
  <c r="H920" i="10" s="1"/>
  <c r="T2233" i="7"/>
  <c r="N979" i="10" s="1"/>
  <c r="T2278" i="7"/>
  <c r="N1024" i="10" s="1"/>
  <c r="G1024" i="10"/>
  <c r="H1024" i="10" s="1"/>
  <c r="G2019" i="7" a="1"/>
  <c r="G2019" i="7" s="1"/>
  <c r="G2040" i="7" a="1"/>
  <c r="G2040" i="7" s="1"/>
  <c r="X737" i="7" a="1"/>
  <c r="X737" i="7" s="1"/>
  <c r="F23" i="11"/>
  <c r="T2211" i="7"/>
  <c r="N957" i="10" s="1"/>
  <c r="G957" i="10"/>
  <c r="H957" i="10" s="1"/>
  <c r="G2017" i="7" a="1"/>
  <c r="G2017" i="7" s="1"/>
  <c r="T2066" i="7"/>
  <c r="N812" i="10" s="1"/>
  <c r="G812" i="10"/>
  <c r="H812" i="10" s="1"/>
  <c r="I1524" i="7"/>
  <c r="F808" i="11"/>
  <c r="T2247" i="7"/>
  <c r="N993" i="10" s="1"/>
  <c r="G993" i="10"/>
  <c r="H993" i="10" s="1"/>
  <c r="G2216" i="7" a="1"/>
  <c r="G2216" i="7" s="1"/>
  <c r="X733" i="7" a="1"/>
  <c r="X733" i="7" s="1"/>
  <c r="F19" i="11"/>
  <c r="T2207" i="7"/>
  <c r="N953" i="10" s="1"/>
  <c r="G953" i="10"/>
  <c r="H953" i="10" s="1"/>
  <c r="T2085" i="7"/>
  <c r="N831" i="10" s="1"/>
  <c r="T2253" i="7"/>
  <c r="N999" i="10" s="1"/>
  <c r="G999" i="10"/>
  <c r="H999" i="10" s="1"/>
  <c r="T1994" i="7"/>
  <c r="N740" i="10" s="1"/>
  <c r="G740" i="10"/>
  <c r="H740" i="10" s="1"/>
  <c r="G2109" i="7" a="1"/>
  <c r="G2109" i="7" s="1"/>
  <c r="G2133" i="7" a="1"/>
  <c r="G2133" i="7" s="1"/>
  <c r="T2317" i="7"/>
  <c r="N1063" i="10" s="1"/>
  <c r="G1063" i="10"/>
  <c r="H1063" i="10" s="1"/>
  <c r="T2328" i="7"/>
  <c r="N1074" i="10" s="1"/>
  <c r="G1074" i="10"/>
  <c r="H1074" i="10" s="1"/>
  <c r="G2078" i="7" a="1"/>
  <c r="G2078" i="7" s="1"/>
  <c r="G1000" i="10"/>
  <c r="H1000" i="10" s="1"/>
  <c r="T2043" i="7"/>
  <c r="N789" i="10" s="1"/>
  <c r="G789" i="10"/>
  <c r="H789" i="10" s="1"/>
  <c r="T2243" i="7"/>
  <c r="N989" i="10" s="1"/>
  <c r="G989" i="10"/>
  <c r="H989" i="10" s="1"/>
  <c r="T2115" i="7"/>
  <c r="N861" i="10" s="1"/>
  <c r="G861" i="10"/>
  <c r="H861" i="10" s="1"/>
  <c r="G2103" i="7" a="1"/>
  <c r="G2103" i="7" s="1"/>
  <c r="T2325" i="7"/>
  <c r="N1071" i="10" s="1"/>
  <c r="G1071" i="10"/>
  <c r="H1071" i="10" s="1"/>
  <c r="G2063" i="7" a="1"/>
  <c r="G2063" i="7" s="1"/>
  <c r="X734" i="7" a="1"/>
  <c r="X734" i="7" s="1"/>
  <c r="F20" i="11"/>
  <c r="I898" i="7"/>
  <c r="F182" i="11"/>
  <c r="G2027" i="7" a="1"/>
  <c r="G2027" i="7" s="1"/>
  <c r="I1077" i="7"/>
  <c r="F361" i="11"/>
  <c r="I1346" i="7"/>
  <c r="F630" i="11"/>
  <c r="I1533" i="7"/>
  <c r="F817" i="11"/>
  <c r="T2234" i="7"/>
  <c r="N980" i="10" s="1"/>
  <c r="G2286" i="7" a="1"/>
  <c r="G2286" i="7" s="1"/>
  <c r="T2244" i="7"/>
  <c r="N990" i="10" s="1"/>
  <c r="G990" i="10"/>
  <c r="H990" i="10" s="1"/>
  <c r="G2302" i="7" a="1"/>
  <c r="G2302" i="7" s="1"/>
  <c r="I1256" i="7"/>
  <c r="F540" i="11"/>
  <c r="G2248" i="7" a="1"/>
  <c r="G2248" i="7" s="1"/>
  <c r="G2266" i="7" a="1"/>
  <c r="G2266" i="7" s="1"/>
  <c r="G2260" i="7" a="1"/>
  <c r="G2260" i="7" s="1"/>
  <c r="X735" i="7" a="1"/>
  <c r="X735" i="7" s="1"/>
  <c r="F21" i="11"/>
  <c r="X732" i="7" a="1"/>
  <c r="X732" i="7" s="1"/>
  <c r="F18" i="11"/>
  <c r="G2107" i="7" a="1"/>
  <c r="G2107" i="7" s="1"/>
  <c r="X555" i="7" a="1"/>
  <c r="X555" i="7" s="1"/>
  <c r="G2316" i="7" a="1"/>
  <c r="G2316" i="7" s="1"/>
  <c r="I1459" i="7"/>
  <c r="F743" i="11"/>
  <c r="I1729" i="7"/>
  <c r="F1013" i="11"/>
  <c r="T2187" i="7"/>
  <c r="N933" i="10" s="1"/>
  <c r="G933" i="10"/>
  <c r="H933" i="10" s="1"/>
  <c r="T2206" i="7"/>
  <c r="N952" i="10" s="1"/>
  <c r="G952" i="10"/>
  <c r="H952" i="10" s="1"/>
  <c r="I1793" i="7"/>
  <c r="F1077" i="11"/>
  <c r="G2050" i="7" a="1"/>
  <c r="G2050" i="7" s="1"/>
  <c r="G2037" i="7" a="1"/>
  <c r="G2037" i="7" s="1"/>
  <c r="I951" i="7"/>
  <c r="G2229" i="7" a="1"/>
  <c r="G2229" i="7" s="1"/>
  <c r="G2080" i="7" a="1"/>
  <c r="G2080" i="7" s="1"/>
  <c r="I939" i="7"/>
  <c r="I1148" i="7"/>
  <c r="G2201" i="7" a="1"/>
  <c r="G2201" i="7" s="1"/>
  <c r="I942" i="7"/>
  <c r="I925" i="7"/>
  <c r="I1154" i="7"/>
  <c r="I1181" i="7"/>
  <c r="G1960" i="7"/>
  <c r="T1960" i="7" s="1"/>
  <c r="G2318" i="7" a="1"/>
  <c r="G2318" i="7" s="1"/>
  <c r="G2139" i="7" a="1"/>
  <c r="G2139" i="7" s="1"/>
  <c r="G2215" i="7" a="1"/>
  <c r="G2215" i="7" s="1"/>
  <c r="G2036" i="7" a="1"/>
  <c r="G2036" i="7" s="1"/>
  <c r="G2175" i="7" a="1"/>
  <c r="G2175" i="7" s="1"/>
  <c r="G1996" i="7" a="1"/>
  <c r="G1996" i="7" s="1"/>
  <c r="G2262" i="7" a="1"/>
  <c r="G2262" i="7" s="1"/>
  <c r="G2083" i="7" a="1"/>
  <c r="G2083" i="7" s="1"/>
  <c r="G2068" i="7" a="1"/>
  <c r="G2068" i="7" s="1"/>
  <c r="G2088" i="7" a="1"/>
  <c r="G2088" i="7" s="1"/>
  <c r="G2219" i="7" a="1"/>
  <c r="G2219" i="7" s="1"/>
  <c r="G2151" i="7" a="1"/>
  <c r="G2151" i="7" s="1"/>
  <c r="G2330" i="7" a="1"/>
  <c r="G2330" i="7" s="1"/>
  <c r="G2280" i="7" a="1"/>
  <c r="G2280" i="7" s="1"/>
  <c r="G2101" i="7" a="1"/>
  <c r="G2101" i="7" s="1"/>
  <c r="G2287" i="7" a="1"/>
  <c r="G2287" i="7" s="1"/>
  <c r="G2108" i="7" a="1"/>
  <c r="G2108" i="7" s="1"/>
  <c r="G1983" i="7" a="1"/>
  <c r="G1983" i="7" s="1"/>
  <c r="G729" i="10" s="1"/>
  <c r="H729" i="10" s="1"/>
  <c r="X369" i="7" a="1"/>
  <c r="X369" i="7" s="1"/>
  <c r="G2162" i="7" a="1"/>
  <c r="G2162" i="7" s="1"/>
  <c r="G908" i="10" s="1"/>
  <c r="H908" i="10" s="1"/>
  <c r="G2168" i="7" a="1"/>
  <c r="G2168" i="7" s="1"/>
  <c r="G914" i="10" s="1"/>
  <c r="H914" i="10" s="1"/>
  <c r="G1989" i="7" a="1"/>
  <c r="G1989" i="7" s="1"/>
  <c r="G735" i="10" s="1"/>
  <c r="H735" i="10" s="1"/>
  <c r="F52" i="11"/>
  <c r="G2022" i="7" a="1"/>
  <c r="G2022" i="7" s="1"/>
  <c r="I1335" i="7"/>
  <c r="I965" i="7"/>
  <c r="I1291" i="7"/>
  <c r="G1948" i="7"/>
  <c r="T1948" i="7" s="1"/>
  <c r="G2306" i="7" a="1"/>
  <c r="G2306" i="7" s="1"/>
  <c r="G2127" i="7" a="1"/>
  <c r="G2127" i="7" s="1"/>
  <c r="G1877" i="7"/>
  <c r="T1877" i="7" s="1"/>
  <c r="G2235" i="7" a="1"/>
  <c r="G2235" i="7" s="1"/>
  <c r="G2056" i="7" a="1"/>
  <c r="G2056" i="7" s="1"/>
  <c r="G1262" i="7" a="1"/>
  <c r="G1262" i="7" s="1"/>
  <c r="X365" i="7" a="1"/>
  <c r="X365" i="7" s="1"/>
  <c r="G2158" i="7" a="1"/>
  <c r="G2158" i="7" s="1"/>
  <c r="G904" i="10" s="1"/>
  <c r="H904" i="10" s="1"/>
  <c r="G1979" i="7" a="1"/>
  <c r="G1979" i="7" s="1"/>
  <c r="G725" i="10" s="1"/>
  <c r="H725" i="10" s="1"/>
  <c r="G2015" i="7" a="1"/>
  <c r="G2015" i="7" s="1"/>
  <c r="G2194" i="7" a="1"/>
  <c r="G2194" i="7" s="1"/>
  <c r="G2315" i="7" a="1"/>
  <c r="G2315" i="7" s="1"/>
  <c r="G2136" i="7" a="1"/>
  <c r="G2136" i="7" s="1"/>
  <c r="G2218" i="7" a="1"/>
  <c r="G2218" i="7" s="1"/>
  <c r="G2039" i="7" a="1"/>
  <c r="G2039" i="7" s="1"/>
  <c r="G2079" i="7" a="1"/>
  <c r="G2079" i="7" s="1"/>
  <c r="G2258" i="7" a="1"/>
  <c r="G2258" i="7" s="1"/>
  <c r="G2237" i="7" a="1"/>
  <c r="G2237" i="7" s="1"/>
  <c r="G2058" i="7" a="1"/>
  <c r="G2058" i="7" s="1"/>
  <c r="G2118" i="7" a="1"/>
  <c r="G2118" i="7" s="1"/>
  <c r="G2297" i="7" a="1"/>
  <c r="G2297" i="7" s="1"/>
  <c r="G2267" i="7" a="1"/>
  <c r="G2267" i="7" s="1"/>
  <c r="G2061" i="7" a="1"/>
  <c r="G2061" i="7" s="1"/>
  <c r="I1760" i="7"/>
  <c r="I1134" i="7"/>
  <c r="I1419" i="7"/>
  <c r="I1161" i="7"/>
  <c r="G2171" i="7" a="1"/>
  <c r="G2171" i="7" s="1"/>
  <c r="G917" i="10" s="1"/>
  <c r="H917" i="10" s="1"/>
  <c r="G1992" i="7" a="1"/>
  <c r="G1992" i="7" s="1"/>
  <c r="G738" i="10" s="1"/>
  <c r="H738" i="10" s="1"/>
  <c r="G2105" i="7" a="1"/>
  <c r="G2105" i="7" s="1"/>
  <c r="G2284" i="7" a="1"/>
  <c r="G2284" i="7" s="1"/>
  <c r="S79" i="8"/>
  <c r="G2163" i="7" a="1"/>
  <c r="G2163" i="7" s="1"/>
  <c r="G909" i="10" s="1"/>
  <c r="H909" i="10" s="1"/>
  <c r="X370" i="7" a="1"/>
  <c r="X370" i="7" s="1"/>
  <c r="G1984" i="7" a="1"/>
  <c r="G1984" i="7" s="1"/>
  <c r="G730" i="10" s="1"/>
  <c r="H730" i="10" s="1"/>
  <c r="G2124" i="7" a="1"/>
  <c r="G2124" i="7" s="1"/>
  <c r="G2303" i="7" a="1"/>
  <c r="G2303" i="7" s="1"/>
  <c r="G2236" i="7" a="1"/>
  <c r="G2236" i="7" s="1"/>
  <c r="G2057" i="7" a="1"/>
  <c r="G2057" i="7" s="1"/>
  <c r="G2210" i="7" a="1"/>
  <c r="G2210" i="7" s="1"/>
  <c r="G2031" i="7" a="1"/>
  <c r="G2031" i="7" s="1"/>
  <c r="G2003" i="7" a="1"/>
  <c r="G2003" i="7" s="1"/>
  <c r="G2182" i="7" a="1"/>
  <c r="G2182" i="7" s="1"/>
  <c r="G2116" i="7" a="1"/>
  <c r="G2116" i="7" s="1"/>
  <c r="G2295" i="7" a="1"/>
  <c r="G2295" i="7" s="1"/>
  <c r="G1968" i="7"/>
  <c r="T1968" i="7" s="1"/>
  <c r="G2326" i="7" a="1"/>
  <c r="G2326" i="7" s="1"/>
  <c r="G2147" i="7" a="1"/>
  <c r="G2147" i="7" s="1"/>
  <c r="G2324" i="7" a="1"/>
  <c r="G2324" i="7" s="1"/>
  <c r="G2145" i="7" a="1"/>
  <c r="G2145" i="7" s="1"/>
  <c r="G899" i="7" a="1"/>
  <c r="G899" i="7" s="1"/>
  <c r="G183" i="11" s="1"/>
  <c r="H183" i="11" s="1"/>
  <c r="G1974" i="7" a="1"/>
  <c r="G1974" i="7" s="1"/>
  <c r="G720" i="10" s="1"/>
  <c r="H720" i="10" s="1"/>
  <c r="G2153" i="7" a="1"/>
  <c r="G2153" i="7" s="1"/>
  <c r="G899" i="10" s="1"/>
  <c r="H899" i="10" s="1"/>
  <c r="G2214" i="7" a="1"/>
  <c r="G2214" i="7" s="1"/>
  <c r="G2035" i="7" a="1"/>
  <c r="G2035" i="7" s="1"/>
  <c r="G2202" i="7" a="1"/>
  <c r="G2202" i="7" s="1"/>
  <c r="G2023" i="7" a="1"/>
  <c r="G2023" i="7" s="1"/>
  <c r="G2241" i="7" a="1"/>
  <c r="G2241" i="7" s="1"/>
  <c r="G2062" i="7" a="1"/>
  <c r="G2062" i="7" s="1"/>
  <c r="G2293" i="7" a="1"/>
  <c r="G2293" i="7" s="1"/>
  <c r="G2114" i="7" a="1"/>
  <c r="G2114" i="7" s="1"/>
  <c r="G2289" i="7" a="1"/>
  <c r="G2289" i="7" s="1"/>
  <c r="G2110" i="7" a="1"/>
  <c r="G2110" i="7" s="1"/>
  <c r="G2077" i="7" a="1"/>
  <c r="G2077" i="7" s="1"/>
  <c r="G2256" i="7" a="1"/>
  <c r="G2256" i="7" s="1"/>
  <c r="G2313" i="7" a="1"/>
  <c r="G2313" i="7" s="1"/>
  <c r="G2134" i="7" a="1"/>
  <c r="G2134" i="7" s="1"/>
  <c r="G2329" i="7" a="1"/>
  <c r="G2329" i="7" s="1"/>
  <c r="G2150" i="7" a="1"/>
  <c r="G2150" i="7" s="1"/>
  <c r="G2189" i="7" a="1"/>
  <c r="G2189" i="7" s="1"/>
  <c r="G2010" i="7" a="1"/>
  <c r="G2010" i="7" s="1"/>
  <c r="G2125" i="7" a="1"/>
  <c r="G2125" i="7" s="1"/>
  <c r="G2304" i="7" a="1"/>
  <c r="G2304" i="7" s="1"/>
  <c r="G2203" i="7" a="1"/>
  <c r="G2203" i="7" s="1"/>
  <c r="G2024" i="7" a="1"/>
  <c r="G2024" i="7" s="1"/>
  <c r="G2006" i="7" a="1"/>
  <c r="G2006" i="7" s="1"/>
  <c r="G2089" i="7" a="1"/>
  <c r="G2089" i="7" s="1"/>
  <c r="G2240" i="7" a="1"/>
  <c r="G2240" i="7" s="1"/>
  <c r="I1279" i="7"/>
  <c r="I1693" i="7"/>
  <c r="G1976" i="7" a="1"/>
  <c r="G1976" i="7" s="1"/>
  <c r="G722" i="10" s="1"/>
  <c r="H722" i="10" s="1"/>
  <c r="G2033" i="7" a="1"/>
  <c r="G2033" i="7" s="1"/>
  <c r="G2281" i="7" a="1"/>
  <c r="G2281" i="7" s="1"/>
  <c r="G2102" i="7" a="1"/>
  <c r="G2102" i="7" s="1"/>
  <c r="G2009" i="7" a="1"/>
  <c r="G2009" i="7" s="1"/>
  <c r="G2188" i="7" a="1"/>
  <c r="G2188" i="7" s="1"/>
  <c r="G2308" i="7" a="1"/>
  <c r="G2308" i="7" s="1"/>
  <c r="G2129" i="7" a="1"/>
  <c r="G2129" i="7" s="1"/>
  <c r="G1982" i="7" a="1"/>
  <c r="G1982" i="7" s="1"/>
  <c r="G728" i="10" s="1"/>
  <c r="H728" i="10" s="1"/>
  <c r="G2161" i="7" a="1"/>
  <c r="G2161" i="7" s="1"/>
  <c r="G907" i="10" s="1"/>
  <c r="H907" i="10" s="1"/>
  <c r="G2094" i="7" a="1"/>
  <c r="G2094" i="7" s="1"/>
  <c r="G2273" i="7" a="1"/>
  <c r="G2273" i="7" s="1"/>
  <c r="G2208" i="7" a="1"/>
  <c r="G2208" i="7" s="1"/>
  <c r="G2029" i="7" a="1"/>
  <c r="G2029" i="7" s="1"/>
  <c r="G2224" i="7" a="1"/>
  <c r="G2224" i="7" s="1"/>
  <c r="G2045" i="7" a="1"/>
  <c r="G2045" i="7" s="1"/>
  <c r="X377" i="7" a="1"/>
  <c r="X377" i="7" s="1"/>
  <c r="G1991" i="7" a="1"/>
  <c r="G1991" i="7" s="1"/>
  <c r="G737" i="10" s="1"/>
  <c r="H737" i="10" s="1"/>
  <c r="G2170" i="7" a="1"/>
  <c r="G2170" i="7" s="1"/>
  <c r="G916" i="10" s="1"/>
  <c r="H916" i="10" s="1"/>
  <c r="G2292" i="7" a="1"/>
  <c r="G2292" i="7" s="1"/>
  <c r="G2113" i="7" a="1"/>
  <c r="G2113" i="7" s="1"/>
  <c r="G2213" i="7" a="1"/>
  <c r="G2213" i="7" s="1"/>
  <c r="G2034" i="7" a="1"/>
  <c r="G2034" i="7" s="1"/>
  <c r="F60" i="11"/>
  <c r="G2209" i="7" a="1"/>
  <c r="G2209" i="7" s="1"/>
  <c r="I1418" i="7"/>
  <c r="I1473" i="7"/>
  <c r="I1064" i="7"/>
  <c r="G2121" i="7" a="1"/>
  <c r="G2121" i="7" s="1"/>
  <c r="G2300" i="7" a="1"/>
  <c r="G2300" i="7" s="1"/>
  <c r="G1863" i="7"/>
  <c r="T1863" i="7" s="1"/>
  <c r="G2221" i="7" a="1"/>
  <c r="G2221" i="7" s="1"/>
  <c r="G2042" i="7" a="1"/>
  <c r="G2042" i="7" s="1"/>
  <c r="G2184" i="7" a="1"/>
  <c r="G2184" i="7" s="1"/>
  <c r="G2005" i="7" a="1"/>
  <c r="G2005" i="7" s="1"/>
  <c r="G2195" i="7" a="1"/>
  <c r="G2195" i="7" s="1"/>
  <c r="G2016" i="7" a="1"/>
  <c r="G2016" i="7" s="1"/>
  <c r="G2072" i="7" a="1"/>
  <c r="G2072" i="7" s="1"/>
  <c r="G2251" i="7" a="1"/>
  <c r="G2251" i="7" s="1"/>
  <c r="G2269" i="7" a="1"/>
  <c r="G2269" i="7" s="1"/>
  <c r="G2090" i="7" a="1"/>
  <c r="G2090" i="7" s="1"/>
  <c r="G2259" i="7" a="1"/>
  <c r="G2259" i="7" s="1"/>
  <c r="G2176" i="7" a="1"/>
  <c r="G2176" i="7" s="1"/>
  <c r="G1997" i="7" a="1"/>
  <c r="G1997" i="7" s="1"/>
  <c r="G2290" i="7" a="1"/>
  <c r="G2290" i="7" s="1"/>
  <c r="G2111" i="7" a="1"/>
  <c r="G2111" i="7" s="1"/>
  <c r="G2252" i="7" a="1"/>
  <c r="G2252" i="7" s="1"/>
  <c r="G2073" i="7" a="1"/>
  <c r="G2073" i="7" s="1"/>
  <c r="G2126" i="7" a="1"/>
  <c r="G2126" i="7" s="1"/>
  <c r="G2305" i="7" a="1"/>
  <c r="G2305" i="7" s="1"/>
  <c r="G2128" i="7" a="1"/>
  <c r="G2128" i="7" s="1"/>
  <c r="G2307" i="7" a="1"/>
  <c r="G2307" i="7" s="1"/>
  <c r="G2301" i="7" a="1"/>
  <c r="G2301" i="7" s="1"/>
  <c r="G2122" i="7" a="1"/>
  <c r="G2122" i="7" s="1"/>
  <c r="G2291" i="7" a="1"/>
  <c r="G2291" i="7" s="1"/>
  <c r="G2112" i="7" a="1"/>
  <c r="G2112" i="7" s="1"/>
  <c r="G2311" i="7" a="1"/>
  <c r="G2311" i="7" s="1"/>
  <c r="G2132" i="7" a="1"/>
  <c r="G2132" i="7" s="1"/>
  <c r="G2192" i="7" a="1"/>
  <c r="G2192" i="7" s="1"/>
  <c r="G2013" i="7" a="1"/>
  <c r="G2013" i="7" s="1"/>
  <c r="F133" i="11"/>
  <c r="G2282" i="7" a="1"/>
  <c r="G2282" i="7" s="1"/>
  <c r="G2155" i="7" a="1"/>
  <c r="G2155" i="7" s="1"/>
  <c r="G901" i="10" s="1"/>
  <c r="H901" i="10" s="1"/>
  <c r="G2268" i="7" a="1"/>
  <c r="G2268" i="7" s="1"/>
  <c r="G1903" i="7"/>
  <c r="T1903" i="7" s="1"/>
  <c r="G2261" i="7" a="1"/>
  <c r="G2261" i="7" s="1"/>
  <c r="G2082" i="7" a="1"/>
  <c r="G2082" i="7" s="1"/>
  <c r="G1814" i="7"/>
  <c r="G1993" i="7" a="1"/>
  <c r="G1993" i="7" s="1"/>
  <c r="G739" i="10" s="1"/>
  <c r="H739" i="10" s="1"/>
  <c r="G2172" i="7" a="1"/>
  <c r="G2172" i="7" s="1"/>
  <c r="G918" i="10" s="1"/>
  <c r="H918" i="10" s="1"/>
  <c r="X379" i="7" a="1"/>
  <c r="X379" i="7" s="1"/>
  <c r="G369" i="7" a="1"/>
  <c r="G369" i="7" s="1"/>
  <c r="Y367" i="7" s="1" a="1"/>
  <c r="Y367" i="7" s="1"/>
  <c r="G1981" i="7" a="1"/>
  <c r="G1981" i="7" s="1"/>
  <c r="G727" i="10" s="1"/>
  <c r="H727" i="10" s="1"/>
  <c r="X367" i="7" a="1"/>
  <c r="X367" i="7" s="1"/>
  <c r="G2160" i="7" a="1"/>
  <c r="G2160" i="7" s="1"/>
  <c r="G906" i="10" s="1"/>
  <c r="H906" i="10" s="1"/>
  <c r="G1897" i="7"/>
  <c r="T1897" i="7" s="1"/>
  <c r="G2255" i="7" a="1"/>
  <c r="G2255" i="7" s="1"/>
  <c r="G2076" i="7" a="1"/>
  <c r="G2076" i="7" s="1"/>
  <c r="I1305" i="7"/>
  <c r="I1018" i="7"/>
  <c r="I1652" i="7"/>
  <c r="I1731" i="7"/>
  <c r="G2186" i="7" a="1"/>
  <c r="G2186" i="7" s="1"/>
  <c r="G2007" i="7" a="1"/>
  <c r="G2007" i="7" s="1"/>
  <c r="G2205" i="7" a="1"/>
  <c r="G2205" i="7" s="1"/>
  <c r="G2026" i="7" a="1"/>
  <c r="G2026" i="7" s="1"/>
  <c r="G2038" i="7" a="1"/>
  <c r="G2038" i="7" s="1"/>
  <c r="G2217" i="7" a="1"/>
  <c r="G2217" i="7" s="1"/>
  <c r="G2270" i="7" a="1"/>
  <c r="G2270" i="7" s="1"/>
  <c r="G2091" i="7" a="1"/>
  <c r="G2091" i="7" s="1"/>
  <c r="G2164" i="7" a="1"/>
  <c r="G2164" i="7" s="1"/>
  <c r="G910" i="10" s="1"/>
  <c r="H910" i="10" s="1"/>
  <c r="G1985" i="7" a="1"/>
  <c r="G1985" i="7" s="1"/>
  <c r="G731" i="10" s="1"/>
  <c r="H731" i="10" s="1"/>
  <c r="G2096" i="7" a="1"/>
  <c r="G2096" i="7" s="1"/>
  <c r="G2275" i="7" a="1"/>
  <c r="G2275" i="7" s="1"/>
  <c r="G2238" i="7" a="1"/>
  <c r="G2238" i="7" s="1"/>
  <c r="G2059" i="7" a="1"/>
  <c r="G2059" i="7" s="1"/>
  <c r="G2239" i="7" a="1"/>
  <c r="G2239" i="7" s="1"/>
  <c r="G2060" i="7" a="1"/>
  <c r="G2060" i="7" s="1"/>
  <c r="G2200" i="7" a="1"/>
  <c r="G2200" i="7" s="1"/>
  <c r="G2021" i="7" a="1"/>
  <c r="G2021" i="7" s="1"/>
  <c r="G2144" i="7" a="1"/>
  <c r="G2144" i="7" s="1"/>
  <c r="G2323" i="7" a="1"/>
  <c r="G2323" i="7" s="1"/>
  <c r="G2271" i="7" a="1"/>
  <c r="G2271" i="7" s="1"/>
  <c r="G2092" i="7" a="1"/>
  <c r="G2092" i="7" s="1"/>
  <c r="G2279" i="7" a="1"/>
  <c r="G2279" i="7" s="1"/>
  <c r="G2100" i="7" a="1"/>
  <c r="G2100" i="7" s="1"/>
  <c r="G2327" i="7" a="1"/>
  <c r="G2327" i="7" s="1"/>
  <c r="G2148" i="7" a="1"/>
  <c r="G2148" i="7" s="1"/>
  <c r="G2193" i="7" a="1"/>
  <c r="G2193" i="7" s="1"/>
  <c r="G2014" i="7" a="1"/>
  <c r="G2014" i="7" s="1"/>
  <c r="X362" i="7" a="1"/>
  <c r="X362" i="7" s="1"/>
  <c r="G2274" i="7" a="1"/>
  <c r="G2274" i="7" s="1"/>
  <c r="I1582" i="7"/>
  <c r="I1547" i="7"/>
  <c r="I972" i="7"/>
  <c r="I1789" i="7"/>
  <c r="I1062" i="7"/>
  <c r="G2199" i="7" a="1"/>
  <c r="G2199" i="7" s="1"/>
  <c r="G2020" i="7" a="1"/>
  <c r="G2020" i="7" s="1"/>
  <c r="G1082" i="7" a="1"/>
  <c r="G1082" i="7" s="1"/>
  <c r="M75" i="8"/>
  <c r="M73" i="8"/>
  <c r="X364" i="7" a="1"/>
  <c r="X364" i="7" s="1"/>
  <c r="G2157" i="7" a="1"/>
  <c r="G2157" i="7" s="1"/>
  <c r="G903" i="10" s="1"/>
  <c r="H903" i="10" s="1"/>
  <c r="G1978" i="7" a="1"/>
  <c r="G1978" i="7" s="1"/>
  <c r="G724" i="10" s="1"/>
  <c r="H724" i="10" s="1"/>
  <c r="G1888" i="7"/>
  <c r="T1888" i="7" s="1"/>
  <c r="G2067" i="7" a="1"/>
  <c r="G2067" i="7" s="1"/>
  <c r="G2246" i="7" a="1"/>
  <c r="G2246" i="7" s="1"/>
  <c r="G2053" i="7" a="1"/>
  <c r="G2053" i="7" s="1"/>
  <c r="G2232" i="7" a="1"/>
  <c r="G2232" i="7" s="1"/>
  <c r="G2165" i="7" a="1"/>
  <c r="G2165" i="7" s="1"/>
  <c r="G911" i="10" s="1"/>
  <c r="H911" i="10" s="1"/>
  <c r="X372" i="7" a="1"/>
  <c r="X372" i="7" s="1"/>
  <c r="G1986" i="7" a="1"/>
  <c r="G1986" i="7" s="1"/>
  <c r="G732" i="10" s="1"/>
  <c r="H732" i="10" s="1"/>
  <c r="F429" i="10"/>
  <c r="G2220" i="7" a="1"/>
  <c r="G2220" i="7" s="1"/>
  <c r="G2041" i="7" a="1"/>
  <c r="G2041" i="7" s="1"/>
  <c r="G2310" i="7" a="1"/>
  <c r="G2310" i="7" s="1"/>
  <c r="G2131" i="7" a="1"/>
  <c r="G2131" i="7" s="1"/>
  <c r="G2044" i="7" a="1"/>
  <c r="G2044" i="7" s="1"/>
  <c r="G2223" i="7" a="1"/>
  <c r="G2223" i="7" s="1"/>
  <c r="G2265" i="7" a="1"/>
  <c r="G2265" i="7" s="1"/>
  <c r="G2086" i="7" a="1"/>
  <c r="G2086" i="7" s="1"/>
  <c r="G2093" i="7" a="1"/>
  <c r="G2093" i="7" s="1"/>
  <c r="G2272" i="7" a="1"/>
  <c r="G2272" i="7" s="1"/>
  <c r="G2117" i="7" a="1"/>
  <c r="G2117" i="7" s="1"/>
  <c r="G2296" i="7" a="1"/>
  <c r="G2296" i="7" s="1"/>
  <c r="G2052" i="7" a="1"/>
  <c r="G2052" i="7" s="1"/>
  <c r="G2231" i="7" a="1"/>
  <c r="G2231" i="7" s="1"/>
  <c r="G2212" i="7" a="1"/>
  <c r="G2212" i="7" s="1"/>
  <c r="G2095" i="7" a="1"/>
  <c r="G2095" i="7" s="1"/>
  <c r="G2196" i="7" a="1"/>
  <c r="G2196" i="7" s="1"/>
  <c r="G2030" i="7" a="1"/>
  <c r="G2030" i="7" s="1"/>
  <c r="G2245" i="7" a="1"/>
  <c r="G2245" i="7" s="1"/>
  <c r="G2098" i="7" a="1"/>
  <c r="G2098" i="7" s="1"/>
  <c r="G2264" i="7" a="1"/>
  <c r="G2264" i="7" s="1"/>
  <c r="G2320" i="7" a="1"/>
  <c r="G2320" i="7" s="1"/>
  <c r="G1980" i="7" a="1"/>
  <c r="G1980" i="7" s="1"/>
  <c r="G726" i="10" s="1"/>
  <c r="H726" i="10" s="1"/>
  <c r="G2285" i="7" a="1"/>
  <c r="G2285" i="7" s="1"/>
  <c r="G2146" i="7" a="1"/>
  <c r="G2146" i="7" s="1"/>
  <c r="G1995" i="7" a="1"/>
  <c r="G1995" i="7" s="1"/>
  <c r="G2008" i="7" a="1"/>
  <c r="G2008" i="7" s="1"/>
  <c r="G2119" i="7" a="1"/>
  <c r="G2119" i="7" s="1"/>
  <c r="G2011" i="7" a="1"/>
  <c r="G2011" i="7" s="1"/>
  <c r="G2099" i="7" a="1"/>
  <c r="G2099" i="7" s="1"/>
  <c r="G2250" i="7" a="1"/>
  <c r="G2250" i="7" s="1"/>
  <c r="G2032" i="7" a="1"/>
  <c r="G2032" i="7" s="1"/>
  <c r="G2130" i="7" a="1"/>
  <c r="G2130" i="7" s="1"/>
  <c r="G2222" i="7" a="1"/>
  <c r="G2222" i="7" s="1"/>
  <c r="G2149" i="7" a="1"/>
  <c r="G2149" i="7" s="1"/>
  <c r="G2002" i="7" a="1"/>
  <c r="G2002" i="7" s="1"/>
  <c r="G1998" i="7" a="1"/>
  <c r="G1998" i="7" s="1"/>
  <c r="G2074" i="7" a="1"/>
  <c r="G2074" i="7" s="1"/>
  <c r="G2277" i="7" a="1"/>
  <c r="G2277" i="7" s="1"/>
  <c r="G2159" i="7" a="1"/>
  <c r="G2159" i="7" s="1"/>
  <c r="G905" i="10" s="1"/>
  <c r="H905" i="10" s="1"/>
  <c r="G2106" i="7" a="1"/>
  <c r="G2106" i="7" s="1"/>
  <c r="G2298" i="7" a="1"/>
  <c r="G2298" i="7" s="1"/>
  <c r="G2190" i="7" a="1"/>
  <c r="G2190" i="7" s="1"/>
  <c r="I420" i="7"/>
  <c r="G2309" i="7" a="1"/>
  <c r="G2309" i="7" s="1"/>
  <c r="G2181" i="7" a="1"/>
  <c r="G2181" i="7" s="1"/>
  <c r="G2177" i="7" a="1"/>
  <c r="G2177" i="7" s="1"/>
  <c r="G2054" i="7" a="1"/>
  <c r="G2054" i="7" s="1"/>
  <c r="G2141" i="7" a="1"/>
  <c r="G2141" i="7" s="1"/>
  <c r="G2294" i="7" a="1"/>
  <c r="G2294" i="7" s="1"/>
  <c r="X366" i="7" a="1"/>
  <c r="X366" i="7" s="1"/>
  <c r="G2069" i="7" a="1"/>
  <c r="G2069" i="7" s="1"/>
  <c r="G2071" i="7" a="1"/>
  <c r="G2071" i="7" s="1"/>
  <c r="G2028" i="7" a="1"/>
  <c r="G2028" i="7" s="1"/>
  <c r="I532" i="7"/>
  <c r="G2048" i="7" a="1"/>
  <c r="G2048" i="7" s="1"/>
  <c r="G2070" i="7" a="1"/>
  <c r="G2070" i="7" s="1"/>
  <c r="G2288" i="7" a="1"/>
  <c r="G2288" i="7" s="1"/>
  <c r="F451" i="10"/>
  <c r="G2081" i="7" a="1"/>
  <c r="G2081" i="7" s="1"/>
  <c r="G2312" i="7" a="1"/>
  <c r="G2312" i="7" s="1"/>
  <c r="G1977" i="7" a="1"/>
  <c r="G1977" i="7" s="1"/>
  <c r="G723" i="10" s="1"/>
  <c r="H723" i="10" s="1"/>
  <c r="G2140" i="7" a="1"/>
  <c r="G2140" i="7" s="1"/>
  <c r="I540" i="7"/>
  <c r="G2055" i="7" a="1"/>
  <c r="G2055" i="7" s="1"/>
  <c r="G2012" i="7" a="1"/>
  <c r="G2012" i="7" s="1"/>
  <c r="G1987" i="7" a="1"/>
  <c r="G1987" i="7" s="1"/>
  <c r="G733" i="10" s="1"/>
  <c r="H733" i="10" s="1"/>
  <c r="G2321" i="7" a="1"/>
  <c r="G2321" i="7" s="1"/>
  <c r="G2179" i="7" a="1"/>
  <c r="G2179" i="7" s="1"/>
  <c r="F406" i="10"/>
  <c r="G2075" i="7" a="1"/>
  <c r="G2075" i="7" s="1"/>
  <c r="G2227" i="7" a="1"/>
  <c r="G2227" i="7" s="1"/>
  <c r="G2249" i="7" a="1"/>
  <c r="G2249" i="7" s="1"/>
  <c r="I494" i="7"/>
  <c r="G2283" i="7" a="1"/>
  <c r="G2283" i="7" s="1"/>
  <c r="F525" i="10"/>
  <c r="G2156" i="7" a="1"/>
  <c r="G2156" i="7" s="1"/>
  <c r="G902" i="10" s="1"/>
  <c r="H902" i="10" s="1"/>
  <c r="G2331" i="7" a="1"/>
  <c r="G2331" i="7" s="1"/>
  <c r="I440" i="7"/>
  <c r="G2191" i="7" a="1"/>
  <c r="G2191" i="7" s="1"/>
  <c r="G2166" i="7" a="1"/>
  <c r="G2166" i="7" s="1"/>
  <c r="G912" i="10" s="1"/>
  <c r="H912" i="10" s="1"/>
  <c r="G2000" i="7" a="1"/>
  <c r="G2000" i="7" s="1"/>
  <c r="F463" i="10"/>
  <c r="G2104" i="7" a="1"/>
  <c r="G2104" i="7" s="1"/>
  <c r="G2242" i="7" a="1"/>
  <c r="G2242" i="7" s="1"/>
  <c r="G2137" i="7" a="1"/>
  <c r="G2137" i="7" s="1"/>
  <c r="I516" i="7"/>
  <c r="X363" i="7" a="1"/>
  <c r="X363" i="7" s="1"/>
  <c r="G2319" i="7" a="1"/>
  <c r="G2319" i="7" s="1"/>
  <c r="G2152" i="7" a="1"/>
  <c r="G2152" i="7" s="1"/>
  <c r="X373" i="7" a="1"/>
  <c r="X373" i="7" s="1"/>
  <c r="G2142" i="7" a="1"/>
  <c r="G2142" i="7" s="1"/>
  <c r="F388" i="10"/>
  <c r="G2197" i="7" a="1"/>
  <c r="G2197" i="7" s="1"/>
  <c r="I1220" i="7"/>
  <c r="I1106" i="7"/>
  <c r="I1207" i="7"/>
  <c r="G1925" i="7"/>
  <c r="T1925" i="7" s="1"/>
  <c r="F475" i="10"/>
  <c r="G2049" i="7" a="1"/>
  <c r="G2049" i="7" s="1"/>
  <c r="G2046" i="7" a="1"/>
  <c r="G2046" i="7" s="1"/>
  <c r="G2065" i="7" a="1"/>
  <c r="G2065" i="7" s="1"/>
  <c r="G2064" i="7" a="1"/>
  <c r="G2064" i="7" s="1"/>
  <c r="G2299" i="7" a="1"/>
  <c r="G2299" i="7" s="1"/>
  <c r="G2123" i="7" a="1"/>
  <c r="G2123" i="7" s="1"/>
  <c r="G2257" i="7" a="1"/>
  <c r="G2257" i="7" s="1"/>
  <c r="G2097" i="7" a="1"/>
  <c r="G2097" i="7" s="1"/>
  <c r="G1975" i="7" a="1"/>
  <c r="G1975" i="7" s="1"/>
  <c r="G1990" i="7" a="1"/>
  <c r="G1990" i="7" s="1"/>
  <c r="G736" i="10" s="1"/>
  <c r="H736" i="10" s="1"/>
  <c r="G2173" i="7" a="1"/>
  <c r="G2173" i="7" s="1"/>
  <c r="G1999" i="7" a="1"/>
  <c r="G1999" i="7" s="1"/>
  <c r="G2322" i="7" a="1"/>
  <c r="G2322" i="7" s="1"/>
  <c r="G2025" i="7" a="1"/>
  <c r="G2025" i="7" s="1"/>
  <c r="G1988" i="7" a="1"/>
  <c r="G1988" i="7" s="1"/>
  <c r="G734" i="10" s="1"/>
  <c r="H734" i="10" s="1"/>
  <c r="G2004" i="7" a="1"/>
  <c r="G2004" i="7" s="1"/>
  <c r="G2051" i="7" a="1"/>
  <c r="G2051" i="7" s="1"/>
  <c r="G2047" i="7" a="1"/>
  <c r="G2047" i="7" s="1"/>
  <c r="G2001" i="7" a="1"/>
  <c r="G2001" i="7" s="1"/>
  <c r="F407" i="10"/>
  <c r="G2084" i="7" a="1"/>
  <c r="G2084" i="7" s="1"/>
  <c r="G2228" i="7" a="1"/>
  <c r="G2228" i="7" s="1"/>
  <c r="G2225" i="7" a="1"/>
  <c r="G2225" i="7" s="1"/>
  <c r="G2120" i="7" a="1"/>
  <c r="G2120" i="7" s="1"/>
  <c r="F466" i="10"/>
  <c r="G2276" i="7" a="1"/>
  <c r="G2276" i="7" s="1"/>
  <c r="G2154" i="7" a="1"/>
  <c r="G2154" i="7" s="1"/>
  <c r="G2169" i="7" a="1"/>
  <c r="G2169" i="7" s="1"/>
  <c r="G915" i="10" s="1"/>
  <c r="H915" i="10" s="1"/>
  <c r="G2178" i="7" a="1"/>
  <c r="G2178" i="7" s="1"/>
  <c r="G2204" i="7" a="1"/>
  <c r="G2204" i="7" s="1"/>
  <c r="G2167" i="7" a="1"/>
  <c r="G2167" i="7" s="1"/>
  <c r="G913" i="10" s="1"/>
  <c r="H913" i="10" s="1"/>
  <c r="G2183" i="7" a="1"/>
  <c r="G2183" i="7" s="1"/>
  <c r="G2230" i="7" a="1"/>
  <c r="G2230" i="7" s="1"/>
  <c r="G2226" i="7" a="1"/>
  <c r="G2226" i="7" s="1"/>
  <c r="G2180" i="7" a="1"/>
  <c r="G2180" i="7" s="1"/>
  <c r="G2263" i="7" a="1"/>
  <c r="G2263" i="7" s="1"/>
  <c r="I1607" i="7"/>
  <c r="I1032" i="7"/>
  <c r="I1043" i="7"/>
  <c r="I1792" i="7"/>
  <c r="I1171" i="7"/>
  <c r="I1175" i="7"/>
  <c r="I1730" i="7"/>
  <c r="I1500" i="7"/>
  <c r="I1115" i="7"/>
  <c r="G1956" i="7"/>
  <c r="T1956" i="7" s="1"/>
  <c r="G2087" i="7" a="1"/>
  <c r="G2087" i="7" s="1"/>
  <c r="I509" i="7"/>
  <c r="G2135" i="7" a="1"/>
  <c r="G2135" i="7" s="1"/>
  <c r="G2138" i="7" a="1"/>
  <c r="G2138" i="7" s="1"/>
  <c r="F363" i="10"/>
  <c r="X376" i="7" a="1"/>
  <c r="X376" i="7" s="1"/>
  <c r="G2143" i="7" a="1"/>
  <c r="G2143" i="7" s="1"/>
  <c r="F413" i="10"/>
  <c r="X374" i="7" a="1"/>
  <c r="X374" i="7" s="1"/>
  <c r="F392" i="10"/>
  <c r="G2198" i="7" a="1"/>
  <c r="G2198" i="7" s="1"/>
  <c r="I1649" i="7"/>
  <c r="I1353" i="7"/>
  <c r="I945" i="7"/>
  <c r="I1562" i="7"/>
  <c r="I1109" i="7"/>
  <c r="I1244" i="7"/>
  <c r="G1890" i="7"/>
  <c r="T1890" i="7" s="1"/>
  <c r="G1870" i="7"/>
  <c r="T1870" i="7" s="1"/>
  <c r="G1958" i="7"/>
  <c r="T1958" i="7" s="1"/>
  <c r="G2314" i="7" a="1"/>
  <c r="G2314" i="7" s="1"/>
  <c r="I258" i="7"/>
  <c r="I179" i="7"/>
  <c r="F14" i="11"/>
  <c r="F11" i="11"/>
  <c r="F7" i="11"/>
  <c r="X720" i="7" a="1"/>
  <c r="X720" i="7" s="1"/>
  <c r="X730" i="7" a="1"/>
  <c r="X730" i="7" s="1"/>
  <c r="I1006" i="7"/>
  <c r="I1007" i="7"/>
  <c r="I1257" i="7"/>
  <c r="I1436" i="7"/>
  <c r="I1615" i="7"/>
  <c r="I900" i="7"/>
  <c r="I1258" i="7"/>
  <c r="I1437" i="7"/>
  <c r="I1079" i="7"/>
  <c r="I1078" i="7"/>
  <c r="I1616" i="7"/>
  <c r="I899" i="7"/>
  <c r="I1082" i="7"/>
  <c r="AA1080" i="7" s="1" a="1"/>
  <c r="AA1080" i="7" s="1"/>
  <c r="X1080" i="7" a="1"/>
  <c r="X1080" i="7" s="1"/>
  <c r="I903" i="7"/>
  <c r="AA901" i="7" s="1" a="1"/>
  <c r="AA901" i="7" s="1"/>
  <c r="X901" i="7" a="1"/>
  <c r="X901" i="7" s="1"/>
  <c r="I1261" i="7"/>
  <c r="AA1259" i="7" s="1" a="1"/>
  <c r="AA1259" i="7" s="1"/>
  <c r="X1259" i="7" a="1"/>
  <c r="X1259" i="7" s="1"/>
  <c r="X1438" i="7" a="1"/>
  <c r="X1438" i="7" s="1"/>
  <c r="I1440" i="7"/>
  <c r="AA1438" i="7" s="1" a="1"/>
  <c r="AA1438" i="7" s="1"/>
  <c r="X1617" i="7" a="1"/>
  <c r="X1617" i="7" s="1"/>
  <c r="I1619" i="7"/>
  <c r="AA1617" i="7" s="1" a="1"/>
  <c r="AA1617" i="7" s="1"/>
  <c r="I909" i="7"/>
  <c r="AA907" i="7" s="1" a="1"/>
  <c r="AA907" i="7" s="1"/>
  <c r="X907" i="7" a="1"/>
  <c r="X907" i="7" s="1"/>
  <c r="X1086" i="7" a="1"/>
  <c r="X1086" i="7" s="1"/>
  <c r="I1088" i="7"/>
  <c r="AA1086" i="7" s="1" a="1"/>
  <c r="AA1086" i="7" s="1"/>
  <c r="I1267" i="7"/>
  <c r="AA1265" i="7" s="1" a="1"/>
  <c r="AA1265" i="7" s="1"/>
  <c r="X1265" i="7" a="1"/>
  <c r="X1265" i="7" s="1"/>
  <c r="X1444" i="7" a="1"/>
  <c r="X1444" i="7" s="1"/>
  <c r="I1446" i="7"/>
  <c r="AA1444" i="7" s="1" a="1"/>
  <c r="AA1444" i="7" s="1"/>
  <c r="X1623" i="7" a="1"/>
  <c r="X1623" i="7" s="1"/>
  <c r="I1625" i="7"/>
  <c r="AA1623" i="7" s="1" a="1"/>
  <c r="AA1623" i="7" s="1"/>
  <c r="X916" i="7" a="1"/>
  <c r="X916" i="7" s="1"/>
  <c r="X1095" i="7" a="1"/>
  <c r="X1095" i="7" s="1"/>
  <c r="X1274" i="7" a="1"/>
  <c r="X1274" i="7" s="1"/>
  <c r="X1453" i="7" a="1"/>
  <c r="X1453" i="7" s="1"/>
  <c r="X1632" i="7" a="1"/>
  <c r="X1632" i="7" s="1"/>
  <c r="X912" i="7" a="1"/>
  <c r="X912" i="7" s="1"/>
  <c r="X1091" i="7" a="1"/>
  <c r="X1091" i="7" s="1"/>
  <c r="X1270" i="7" a="1"/>
  <c r="X1270" i="7" s="1"/>
  <c r="X1449" i="7" a="1"/>
  <c r="X1449" i="7" s="1"/>
  <c r="X1628" i="7" a="1"/>
  <c r="X1628" i="7" s="1"/>
  <c r="I1081" i="7"/>
  <c r="AA1079" i="7" s="1" a="1"/>
  <c r="AA1079" i="7" s="1"/>
  <c r="X1079" i="7" a="1"/>
  <c r="X1079" i="7" s="1"/>
  <c r="I902" i="7"/>
  <c r="AA900" i="7" s="1" a="1"/>
  <c r="AA900" i="7" s="1"/>
  <c r="X900" i="7" a="1"/>
  <c r="X900" i="7" s="1"/>
  <c r="I1260" i="7"/>
  <c r="AA1258" i="7" s="1" a="1"/>
  <c r="AA1258" i="7" s="1"/>
  <c r="X1258" i="7" a="1"/>
  <c r="X1258" i="7" s="1"/>
  <c r="I1439" i="7"/>
  <c r="AA1437" i="7" s="1" a="1"/>
  <c r="AA1437" i="7" s="1"/>
  <c r="X1437" i="7" a="1"/>
  <c r="X1437" i="7" s="1"/>
  <c r="I1618" i="7"/>
  <c r="AA1616" i="7" s="1" a="1"/>
  <c r="AA1616" i="7" s="1"/>
  <c r="X1616" i="7" a="1"/>
  <c r="X1616" i="7" s="1"/>
  <c r="I904" i="7"/>
  <c r="AA902" i="7" s="1" a="1"/>
  <c r="AA902" i="7" s="1"/>
  <c r="X902" i="7" a="1"/>
  <c r="X902" i="7" s="1"/>
  <c r="I1083" i="7"/>
  <c r="AA1081" i="7" s="1" a="1"/>
  <c r="AA1081" i="7" s="1"/>
  <c r="X1081" i="7" a="1"/>
  <c r="X1081" i="7" s="1"/>
  <c r="X1439" i="7" a="1"/>
  <c r="X1439" i="7" s="1"/>
  <c r="I1441" i="7"/>
  <c r="AA1439" i="7" s="1" a="1"/>
  <c r="AA1439" i="7" s="1"/>
  <c r="X1260" i="7" a="1"/>
  <c r="X1260" i="7" s="1"/>
  <c r="I1262" i="7"/>
  <c r="AA1260" i="7" s="1" a="1"/>
  <c r="AA1260" i="7" s="1"/>
  <c r="I1620" i="7"/>
  <c r="AA1618" i="7" s="1" a="1"/>
  <c r="AA1618" i="7" s="1"/>
  <c r="X1618" i="7" a="1"/>
  <c r="X1618" i="7" s="1"/>
  <c r="X1078" i="7" a="1"/>
  <c r="X1078" i="7" s="1"/>
  <c r="I1080" i="7"/>
  <c r="AA1078" i="7" s="1" a="1"/>
  <c r="AA1078" i="7" s="1"/>
  <c r="X899" i="7" a="1"/>
  <c r="X899" i="7" s="1"/>
  <c r="I901" i="7"/>
  <c r="AA899" i="7" s="1" a="1"/>
  <c r="AA899" i="7" s="1"/>
  <c r="I1259" i="7"/>
  <c r="AA1257" i="7" s="1" a="1"/>
  <c r="AA1257" i="7" s="1"/>
  <c r="X1257" i="7" a="1"/>
  <c r="X1257" i="7" s="1"/>
  <c r="I1438" i="7"/>
  <c r="AA1436" i="7" s="1" a="1"/>
  <c r="AA1436" i="7" s="1"/>
  <c r="X1436" i="7" a="1"/>
  <c r="X1436" i="7" s="1"/>
  <c r="I1617" i="7"/>
  <c r="AA1615" i="7" s="1" a="1"/>
  <c r="AA1615" i="7" s="1"/>
  <c r="X1615" i="7" a="1"/>
  <c r="X1615" i="7" s="1"/>
  <c r="X1085" i="7" a="1"/>
  <c r="X1085" i="7" s="1"/>
  <c r="I1087" i="7"/>
  <c r="AA1085" i="7" s="1" a="1"/>
  <c r="AA1085" i="7" s="1"/>
  <c r="I908" i="7"/>
  <c r="AA906" i="7" s="1" a="1"/>
  <c r="AA906" i="7" s="1"/>
  <c r="X906" i="7" a="1"/>
  <c r="X906" i="7" s="1"/>
  <c r="X1264" i="7" a="1"/>
  <c r="X1264" i="7" s="1"/>
  <c r="I1266" i="7"/>
  <c r="AA1264" i="7" s="1" a="1"/>
  <c r="AA1264" i="7" s="1"/>
  <c r="X1443" i="7" a="1"/>
  <c r="X1443" i="7" s="1"/>
  <c r="I1445" i="7"/>
  <c r="AA1443" i="7" s="1" a="1"/>
  <c r="AA1443" i="7" s="1"/>
  <c r="X1622" i="7" a="1"/>
  <c r="X1622" i="7" s="1"/>
  <c r="I1624" i="7"/>
  <c r="AA1622" i="7" s="1" a="1"/>
  <c r="AA1622" i="7" s="1"/>
  <c r="X1084" i="7" a="1"/>
  <c r="X1084" i="7" s="1"/>
  <c r="I1086" i="7"/>
  <c r="AA1084" i="7" s="1" a="1"/>
  <c r="AA1084" i="7" s="1"/>
  <c r="X905" i="7" a="1"/>
  <c r="X905" i="7" s="1"/>
  <c r="I907" i="7"/>
  <c r="AA905" i="7" s="1" a="1"/>
  <c r="AA905" i="7" s="1"/>
  <c r="I1265" i="7"/>
  <c r="AA1263" i="7" s="1" a="1"/>
  <c r="AA1263" i="7" s="1"/>
  <c r="X1263" i="7" a="1"/>
  <c r="X1263" i="7" s="1"/>
  <c r="X1442" i="7" a="1"/>
  <c r="X1442" i="7" s="1"/>
  <c r="I1444" i="7"/>
  <c r="AA1442" i="7" s="1" a="1"/>
  <c r="AA1442" i="7" s="1"/>
  <c r="I1623" i="7"/>
  <c r="AA1621" i="7" s="1" a="1"/>
  <c r="AA1621" i="7" s="1"/>
  <c r="X1621" i="7" a="1"/>
  <c r="X1621" i="7" s="1"/>
  <c r="X1092" i="7" a="1"/>
  <c r="X1092" i="7" s="1"/>
  <c r="X913" i="7" a="1"/>
  <c r="X913" i="7" s="1"/>
  <c r="X1271" i="7" a="1"/>
  <c r="X1271" i="7" s="1"/>
  <c r="X1450" i="7" a="1"/>
  <c r="X1450" i="7" s="1"/>
  <c r="X1629" i="7" a="1"/>
  <c r="X1629" i="7" s="1"/>
  <c r="X1093" i="7" a="1"/>
  <c r="X1093" i="7" s="1"/>
  <c r="X914" i="7" a="1"/>
  <c r="X914" i="7" s="1"/>
  <c r="X1451" i="7" a="1"/>
  <c r="X1451" i="7" s="1"/>
  <c r="X1272" i="7" a="1"/>
  <c r="X1272" i="7" s="1"/>
  <c r="X1630" i="7" a="1"/>
  <c r="X1630" i="7" s="1"/>
  <c r="X911" i="7" a="1"/>
  <c r="X911" i="7" s="1"/>
  <c r="X1090" i="7" a="1"/>
  <c r="X1090" i="7" s="1"/>
  <c r="X1269" i="7" a="1"/>
  <c r="X1269" i="7" s="1"/>
  <c r="X1448" i="7" a="1"/>
  <c r="X1448" i="7" s="1"/>
  <c r="X1627" i="7" a="1"/>
  <c r="X1627" i="7" s="1"/>
  <c r="X908" i="7" a="1"/>
  <c r="X908" i="7" s="1"/>
  <c r="I910" i="7"/>
  <c r="AA908" i="7" s="1" a="1"/>
  <c r="AA908" i="7" s="1"/>
  <c r="X1087" i="7" a="1"/>
  <c r="X1087" i="7" s="1"/>
  <c r="I1089" i="7"/>
  <c r="AA1087" i="7" s="1" a="1"/>
  <c r="AA1087" i="7" s="1"/>
  <c r="X1266" i="7" a="1"/>
  <c r="X1266" i="7" s="1"/>
  <c r="I1268" i="7"/>
  <c r="AA1266" i="7" s="1" a="1"/>
  <c r="AA1266" i="7" s="1"/>
  <c r="X1445" i="7" a="1"/>
  <c r="X1445" i="7" s="1"/>
  <c r="I1447" i="7"/>
  <c r="AA1445" i="7" s="1" a="1"/>
  <c r="AA1445" i="7" s="1"/>
  <c r="X1624" i="7" a="1"/>
  <c r="X1624" i="7" s="1"/>
  <c r="I1626" i="7"/>
  <c r="AA1624" i="7" s="1" a="1"/>
  <c r="AA1624" i="7" s="1"/>
  <c r="X903" i="7" a="1"/>
  <c r="X903" i="7" s="1"/>
  <c r="I905" i="7"/>
  <c r="AA903" i="7" s="1" a="1"/>
  <c r="AA903" i="7" s="1"/>
  <c r="I1084" i="7"/>
  <c r="AA1082" i="7" s="1" a="1"/>
  <c r="AA1082" i="7" s="1"/>
  <c r="X1082" i="7" a="1"/>
  <c r="X1082" i="7" s="1"/>
  <c r="X1261" i="7" a="1"/>
  <c r="X1261" i="7" s="1"/>
  <c r="I1263" i="7"/>
  <c r="AA1261" i="7" s="1" a="1"/>
  <c r="AA1261" i="7" s="1"/>
  <c r="I1442" i="7"/>
  <c r="AA1440" i="7" s="1" a="1"/>
  <c r="AA1440" i="7" s="1"/>
  <c r="X1440" i="7" a="1"/>
  <c r="X1440" i="7" s="1"/>
  <c r="X1619" i="7" a="1"/>
  <c r="X1619" i="7" s="1"/>
  <c r="I1621" i="7"/>
  <c r="AA1619" i="7" s="1" a="1"/>
  <c r="AA1619" i="7" s="1"/>
  <c r="X904" i="7" a="1"/>
  <c r="X904" i="7" s="1"/>
  <c r="I906" i="7"/>
  <c r="AA904" i="7" s="1" a="1"/>
  <c r="AA904" i="7" s="1"/>
  <c r="X1083" i="7" a="1"/>
  <c r="X1083" i="7" s="1"/>
  <c r="I1085" i="7"/>
  <c r="AA1083" i="7" s="1" a="1"/>
  <c r="AA1083" i="7" s="1"/>
  <c r="X1441" i="7" a="1"/>
  <c r="X1441" i="7" s="1"/>
  <c r="I1443" i="7"/>
  <c r="AA1441" i="7" s="1" a="1"/>
  <c r="AA1441" i="7" s="1"/>
  <c r="I1264" i="7"/>
  <c r="AA1262" i="7" s="1" a="1"/>
  <c r="AA1262" i="7" s="1"/>
  <c r="X1262" i="7" a="1"/>
  <c r="X1262" i="7" s="1"/>
  <c r="I1622" i="7"/>
  <c r="AA1620" i="7" s="1" a="1"/>
  <c r="AA1620" i="7" s="1"/>
  <c r="X1620" i="7" a="1"/>
  <c r="X1620" i="7" s="1"/>
  <c r="X909" i="7" a="1"/>
  <c r="X909" i="7" s="1"/>
  <c r="X1088" i="7" a="1"/>
  <c r="X1088" i="7" s="1"/>
  <c r="X1267" i="7" a="1"/>
  <c r="X1267" i="7" s="1"/>
  <c r="X1446" i="7" a="1"/>
  <c r="X1446" i="7" s="1"/>
  <c r="X1625" i="7" a="1"/>
  <c r="X1625" i="7" s="1"/>
  <c r="X910" i="7" a="1"/>
  <c r="X910" i="7" s="1"/>
  <c r="X1089" i="7" a="1"/>
  <c r="X1089" i="7" s="1"/>
  <c r="X1447" i="7" a="1"/>
  <c r="X1447" i="7" s="1"/>
  <c r="X1268" i="7" a="1"/>
  <c r="X1268" i="7" s="1"/>
  <c r="X1626" i="7" a="1"/>
  <c r="X1626" i="7" s="1"/>
  <c r="X915" i="7" a="1"/>
  <c r="X915" i="7" s="1"/>
  <c r="X1094" i="7" a="1"/>
  <c r="X1094" i="7" s="1"/>
  <c r="X1452" i="7" a="1"/>
  <c r="X1452" i="7" s="1"/>
  <c r="X1273" i="7" a="1"/>
  <c r="X1273" i="7" s="1"/>
  <c r="X1631" i="7" a="1"/>
  <c r="X1631" i="7" s="1"/>
  <c r="I926" i="7"/>
  <c r="I1390" i="7"/>
  <c r="I1484" i="7"/>
  <c r="I1365" i="7"/>
  <c r="I1704" i="7"/>
  <c r="I1637" i="7"/>
  <c r="I1464" i="7"/>
  <c r="I1323" i="7"/>
  <c r="I1708" i="7"/>
  <c r="I1612" i="7"/>
  <c r="I1711" i="7"/>
  <c r="I999" i="7"/>
  <c r="I1309" i="7"/>
  <c r="I499" i="7"/>
  <c r="I1467" i="7"/>
  <c r="I1565" i="7"/>
  <c r="I1592" i="7"/>
  <c r="I1766" i="7"/>
  <c r="T1814" i="7"/>
  <c r="Y1811" i="7" a="1"/>
  <c r="Y1811" i="7" s="1"/>
  <c r="X378" i="7" a="1"/>
  <c r="X378" i="7" s="1"/>
  <c r="T1805" i="7"/>
  <c r="Y1802" i="7" a="1"/>
  <c r="Y1802" i="7" s="1"/>
  <c r="X726" i="7" a="1"/>
  <c r="X726" i="7" s="1"/>
  <c r="X727" i="7" a="1"/>
  <c r="X727" i="7" s="1"/>
  <c r="X723" i="7" a="1"/>
  <c r="X723" i="7" s="1"/>
  <c r="X724" i="7" a="1"/>
  <c r="X724" i="7" s="1"/>
  <c r="X722" i="7" a="1"/>
  <c r="X722" i="7" s="1"/>
  <c r="X368" i="7" a="1"/>
  <c r="X368" i="7" s="1"/>
  <c r="I273" i="7"/>
  <c r="I302" i="7"/>
  <c r="I240" i="7"/>
  <c r="I291" i="7"/>
  <c r="I315" i="7"/>
  <c r="G1841" i="7"/>
  <c r="T1841" i="7" s="1"/>
  <c r="I1569" i="7"/>
  <c r="I1058" i="7"/>
  <c r="I1392" i="7"/>
  <c r="I1712" i="7"/>
  <c r="I1718" i="7"/>
  <c r="I1367" i="7"/>
  <c r="I1655" i="7"/>
  <c r="I989" i="7"/>
  <c r="I1734" i="7"/>
  <c r="I1343" i="7"/>
  <c r="I1779" i="7"/>
  <c r="I1671" i="7"/>
  <c r="I1509" i="7"/>
  <c r="I1676" i="7"/>
  <c r="I1376" i="7"/>
  <c r="I986" i="7"/>
  <c r="I1598" i="7"/>
  <c r="I1188" i="7"/>
  <c r="I1222" i="7"/>
  <c r="I1057" i="7"/>
  <c r="I1764" i="7"/>
  <c r="I1047" i="7"/>
  <c r="I1132" i="7"/>
  <c r="I1185" i="7"/>
  <c r="I1118" i="7"/>
  <c r="I830" i="7"/>
  <c r="I735" i="7"/>
  <c r="AA733" i="7" s="1" a="1"/>
  <c r="AA733" i="7" s="1"/>
  <c r="I880" i="7"/>
  <c r="I891" i="7"/>
  <c r="I1701" i="7"/>
  <c r="I1201" i="7"/>
  <c r="I1537" i="7"/>
  <c r="I949" i="7"/>
  <c r="I422" i="7"/>
  <c r="I1540" i="7"/>
  <c r="I1530" i="7"/>
  <c r="I1092" i="7"/>
  <c r="AA1090" i="7" s="1" a="1"/>
  <c r="AA1090" i="7" s="1"/>
  <c r="I1091" i="7"/>
  <c r="AA1089" i="7" s="1" a="1"/>
  <c r="AA1089" i="7" s="1"/>
  <c r="I1093" i="7"/>
  <c r="AA1091" i="7" s="1" a="1"/>
  <c r="AA1091" i="7" s="1"/>
  <c r="I1094" i="7"/>
  <c r="AA1092" i="7" s="1" a="1"/>
  <c r="AA1092" i="7" s="1"/>
  <c r="I1096" i="7"/>
  <c r="AA1094" i="7" s="1" a="1"/>
  <c r="AA1094" i="7" s="1"/>
  <c r="I1090" i="7"/>
  <c r="AA1088" i="7" s="1" a="1"/>
  <c r="AA1088" i="7" s="1"/>
  <c r="I1095" i="7"/>
  <c r="AA1093" i="7" s="1" a="1"/>
  <c r="AA1093" i="7" s="1"/>
  <c r="I1097" i="7"/>
  <c r="AA1095" i="7" s="1" a="1"/>
  <c r="AA1095" i="7" s="1"/>
  <c r="I1098" i="7"/>
  <c r="I421" i="7"/>
  <c r="I1776" i="7"/>
  <c r="I1448" i="7"/>
  <c r="AA1446" i="7" s="1" a="1"/>
  <c r="AA1446" i="7" s="1"/>
  <c r="I1449" i="7"/>
  <c r="AA1447" i="7" s="1" a="1"/>
  <c r="AA1447" i="7" s="1"/>
  <c r="I1450" i="7"/>
  <c r="AA1448" i="7" s="1" a="1"/>
  <c r="AA1448" i="7" s="1"/>
  <c r="I1451" i="7"/>
  <c r="AA1449" i="7" s="1" a="1"/>
  <c r="AA1449" i="7" s="1"/>
  <c r="I1454" i="7"/>
  <c r="AA1452" i="7" s="1" a="1"/>
  <c r="AA1452" i="7" s="1"/>
  <c r="I1452" i="7"/>
  <c r="AA1450" i="7" s="1" a="1"/>
  <c r="AA1450" i="7" s="1"/>
  <c r="I1456" i="7"/>
  <c r="I1453" i="7"/>
  <c r="AA1451" i="7" s="1" a="1"/>
  <c r="AA1451" i="7" s="1"/>
  <c r="I1455" i="7"/>
  <c r="AA1453" i="7" s="1" a="1"/>
  <c r="AA1453" i="7" s="1"/>
  <c r="I1639" i="7"/>
  <c r="I1519" i="7"/>
  <c r="I1694" i="7"/>
  <c r="I479" i="7"/>
  <c r="I855" i="7"/>
  <c r="I1757" i="7"/>
  <c r="I1300" i="7"/>
  <c r="I1751" i="7"/>
  <c r="I1290" i="7"/>
  <c r="I821" i="7"/>
  <c r="I1685" i="7"/>
  <c r="I1668" i="7"/>
  <c r="I1644" i="7"/>
  <c r="I1306" i="7"/>
  <c r="I1746" i="7"/>
  <c r="I1412" i="7"/>
  <c r="I1297" i="7"/>
  <c r="I1303" i="7"/>
  <c r="I1539" i="7"/>
  <c r="I1205" i="7"/>
  <c r="I1153" i="7"/>
  <c r="I1727" i="7"/>
  <c r="I796" i="7"/>
  <c r="I1140" i="7"/>
  <c r="I1213" i="7"/>
  <c r="I1183" i="7"/>
  <c r="I1462" i="7"/>
  <c r="I1282" i="7"/>
  <c r="I1602" i="7"/>
  <c r="I1176" i="7"/>
  <c r="I1105" i="7"/>
  <c r="I1578" i="7"/>
  <c r="I1234" i="7"/>
  <c r="I1139" i="7"/>
  <c r="I1281" i="7"/>
  <c r="I948" i="7"/>
  <c r="I1214" i="7"/>
  <c r="I1782" i="7"/>
  <c r="I1358" i="7"/>
  <c r="I1434" i="7"/>
  <c r="I1111" i="7"/>
  <c r="I1227" i="7"/>
  <c r="I1687" i="7"/>
  <c r="I924" i="7"/>
  <c r="I1190" i="7"/>
  <c r="I1131" i="7"/>
  <c r="I1286" i="7"/>
  <c r="I1182" i="7"/>
  <c r="I1142" i="7"/>
  <c r="I1336" i="7"/>
  <c r="I1408" i="7"/>
  <c r="I1678" i="7"/>
  <c r="I1351" i="7"/>
  <c r="I1194" i="7"/>
  <c r="I1604" i="7"/>
  <c r="I1666" i="7"/>
  <c r="I1388" i="7"/>
  <c r="I1037" i="7"/>
  <c r="I1319" i="7"/>
  <c r="I1643" i="7"/>
  <c r="I1597" i="7"/>
  <c r="I1681" i="7"/>
  <c r="I1476" i="7"/>
  <c r="I1364" i="7"/>
  <c r="I1492" i="7"/>
  <c r="I1529" i="7"/>
  <c r="I1128" i="7"/>
  <c r="I1479" i="7"/>
  <c r="I1791" i="7"/>
  <c r="I1770" i="7"/>
  <c r="I1669" i="7"/>
  <c r="I1628" i="7"/>
  <c r="AA1626" i="7" s="1" a="1"/>
  <c r="AA1626" i="7" s="1"/>
  <c r="I1629" i="7"/>
  <c r="AA1627" i="7" s="1" a="1"/>
  <c r="AA1627" i="7" s="1"/>
  <c r="I1631" i="7"/>
  <c r="AA1629" i="7" s="1" a="1"/>
  <c r="AA1629" i="7" s="1"/>
  <c r="I1627" i="7"/>
  <c r="AA1625" i="7" s="1" a="1"/>
  <c r="AA1625" i="7" s="1"/>
  <c r="I1630" i="7"/>
  <c r="AA1628" i="7" s="1" a="1"/>
  <c r="AA1628" i="7" s="1"/>
  <c r="I1632" i="7"/>
  <c r="AA1630" i="7" s="1" a="1"/>
  <c r="AA1630" i="7" s="1"/>
  <c r="I1633" i="7"/>
  <c r="AA1631" i="7" s="1" a="1"/>
  <c r="AA1631" i="7" s="1"/>
  <c r="I1634" i="7"/>
  <c r="AA1632" i="7" s="1" a="1"/>
  <c r="AA1632" i="7" s="1"/>
  <c r="I1635" i="7"/>
  <c r="I1532" i="7"/>
  <c r="I1506" i="7"/>
  <c r="I1357" i="7"/>
  <c r="I1482" i="7"/>
  <c r="I1759" i="7"/>
  <c r="I1027" i="7"/>
  <c r="I1362" i="7"/>
  <c r="I1186" i="7"/>
  <c r="I1667" i="7"/>
  <c r="I1380" i="7"/>
  <c r="I1641" i="7"/>
  <c r="I934" i="7"/>
  <c r="I983" i="7"/>
  <c r="I981" i="7"/>
  <c r="I1415" i="7"/>
  <c r="I1330" i="7"/>
  <c r="I1646" i="7"/>
  <c r="I1489" i="7"/>
  <c r="I1744" i="7"/>
  <c r="I1497" i="7"/>
  <c r="I1555" i="7"/>
  <c r="I1384" i="7"/>
  <c r="I970" i="7"/>
  <c r="I1165" i="7"/>
  <c r="I1485" i="7"/>
  <c r="I1679" i="7"/>
  <c r="I1698" i="7"/>
  <c r="I1019" i="7"/>
  <c r="I1332" i="7"/>
  <c r="I1648" i="7"/>
  <c r="I1585" i="7"/>
  <c r="I940" i="7"/>
  <c r="I1405" i="7"/>
  <c r="I1640" i="7"/>
  <c r="I1355" i="7"/>
  <c r="I1284" i="7"/>
  <c r="I1748" i="7"/>
  <c r="I1024" i="7"/>
  <c r="I1099" i="7"/>
  <c r="I1216" i="7"/>
  <c r="I537" i="7"/>
  <c r="I1237" i="7"/>
  <c r="I1498" i="7"/>
  <c r="I1502" i="7"/>
  <c r="I1543" i="7"/>
  <c r="I1046" i="7"/>
  <c r="I1307" i="7"/>
  <c r="I1658" i="7"/>
  <c r="I1571" i="7"/>
  <c r="I957" i="7"/>
  <c r="I1178" i="7"/>
  <c r="I1661" i="7"/>
  <c r="I1580" i="7"/>
  <c r="I944" i="7"/>
  <c r="I1385" i="7"/>
  <c r="I1720" i="7"/>
  <c r="I1723" i="7"/>
  <c r="I1488" i="7"/>
  <c r="I1559" i="7"/>
  <c r="I984" i="7"/>
  <c r="I1113" i="7"/>
  <c r="I1341" i="7"/>
  <c r="I1160" i="7"/>
  <c r="I1236" i="7"/>
  <c r="I1688" i="7"/>
  <c r="I1052" i="7"/>
  <c r="I1016" i="7"/>
  <c r="I1563" i="7"/>
  <c r="I1149" i="7"/>
  <c r="I1344" i="7"/>
  <c r="I1664" i="7"/>
  <c r="I1031" i="7"/>
  <c r="I1377" i="7"/>
  <c r="I1511" i="7"/>
  <c r="I1038" i="7"/>
  <c r="I979" i="7"/>
  <c r="I958" i="7"/>
  <c r="I1049" i="7"/>
  <c r="I1119" i="7"/>
  <c r="I1226" i="7"/>
  <c r="I1546" i="7"/>
  <c r="I1053" i="7"/>
  <c r="I994" i="7"/>
  <c r="I976" i="7"/>
  <c r="I1036" i="7"/>
  <c r="I929" i="7"/>
  <c r="I1241" i="7"/>
  <c r="I1713" i="7"/>
  <c r="I1071" i="7"/>
  <c r="I1012" i="7"/>
  <c r="I991" i="7"/>
  <c r="I941" i="7"/>
  <c r="I1042" i="7"/>
  <c r="I920" i="7"/>
  <c r="I1395" i="7"/>
  <c r="I1722" i="7"/>
  <c r="I1168" i="7"/>
  <c r="I1225" i="7"/>
  <c r="I980" i="7"/>
  <c r="I1136" i="7"/>
  <c r="I1738" i="7"/>
  <c r="I1162" i="7"/>
  <c r="I990" i="7"/>
  <c r="I1001" i="7"/>
  <c r="I1231" i="7"/>
  <c r="I1023" i="7"/>
  <c r="I1690" i="7"/>
  <c r="I1137" i="7"/>
  <c r="I1228" i="7"/>
  <c r="I1477" i="7"/>
  <c r="I1725" i="7"/>
  <c r="I1173" i="7"/>
  <c r="I1422" i="7"/>
  <c r="I1215" i="7"/>
  <c r="I1108" i="7"/>
  <c r="I959" i="7"/>
  <c r="I1463" i="7"/>
  <c r="I1203" i="7"/>
  <c r="I1416" i="7"/>
  <c r="I1677" i="7"/>
  <c r="I1059" i="7"/>
  <c r="I1486" i="7"/>
  <c r="I1074" i="7"/>
  <c r="I954" i="7"/>
  <c r="I1750" i="7"/>
  <c r="I1072" i="7"/>
  <c r="I968" i="7"/>
  <c r="I1715" i="7"/>
  <c r="I946" i="7"/>
  <c r="I1123" i="7"/>
  <c r="I1206" i="7"/>
  <c r="I1541" i="7"/>
  <c r="I1544" i="7"/>
  <c r="I1163" i="7"/>
  <c r="I1292" i="7"/>
  <c r="I1339" i="7"/>
  <c r="I1594" i="7"/>
  <c r="I931" i="7"/>
  <c r="I967" i="7"/>
  <c r="I1195" i="7"/>
  <c r="I956" i="7"/>
  <c r="I1040" i="7"/>
  <c r="I1742" i="7"/>
  <c r="I1328" i="7"/>
  <c r="I1523" i="7"/>
  <c r="I964" i="7"/>
  <c r="I943" i="7"/>
  <c r="I1389" i="7"/>
  <c r="I1198" i="7"/>
  <c r="I1217" i="7"/>
  <c r="I1337" i="7"/>
  <c r="I1763" i="7"/>
  <c r="I1411" i="7"/>
  <c r="I1155" i="7"/>
  <c r="I1657" i="7"/>
  <c r="I1675" i="7"/>
  <c r="I1070" i="7"/>
  <c r="I1331" i="7"/>
  <c r="I1758" i="7"/>
  <c r="I1557" i="7"/>
  <c r="I1775" i="7"/>
  <c r="I1755" i="7"/>
  <c r="I1472" i="7"/>
  <c r="I1223" i="7"/>
  <c r="I1366" i="7"/>
  <c r="I1790" i="7"/>
  <c r="I1696" i="7"/>
  <c r="I1670" i="7"/>
  <c r="I1474" i="7"/>
  <c r="I1788" i="7"/>
  <c r="I1505" i="7"/>
  <c r="I1224" i="7"/>
  <c r="I1542" i="7"/>
  <c r="I1662" i="7"/>
  <c r="I1733" i="7"/>
  <c r="I1767" i="7"/>
  <c r="I922" i="7"/>
  <c r="I1025" i="7"/>
  <c r="I1324" i="7"/>
  <c r="I1785" i="7"/>
  <c r="I975" i="7"/>
  <c r="I1013" i="7"/>
  <c r="I987" i="7"/>
  <c r="I1010" i="7"/>
  <c r="I1706" i="7"/>
  <c r="I1647" i="7"/>
  <c r="I1717" i="7"/>
  <c r="I1535" i="7"/>
  <c r="I1683" i="7"/>
  <c r="I1493" i="7"/>
  <c r="I1577" i="7"/>
  <c r="I1073" i="7"/>
  <c r="I1193" i="7"/>
  <c r="I1391" i="7"/>
  <c r="I1739" i="7"/>
  <c r="I1501" i="7"/>
  <c r="I1480" i="7"/>
  <c r="I1424" i="7"/>
  <c r="I1387" i="7"/>
  <c r="I1737" i="7"/>
  <c r="I1475" i="7"/>
  <c r="I1329" i="7"/>
  <c r="I1141" i="7"/>
  <c r="I1605" i="7"/>
  <c r="I1067" i="7"/>
  <c r="I1129" i="7"/>
  <c r="I1772" i="7"/>
  <c r="I1299" i="7"/>
  <c r="I1317" i="7"/>
  <c r="I973" i="7"/>
  <c r="I1400" i="7"/>
  <c r="I1561" i="7"/>
  <c r="I1278" i="7"/>
  <c r="I1753" i="7"/>
  <c r="I1774" i="7"/>
  <c r="I1199" i="7"/>
  <c r="I1238" i="7"/>
  <c r="I1397" i="7"/>
  <c r="I1114" i="7"/>
  <c r="I1526" i="7"/>
  <c r="I1583" i="7"/>
  <c r="I1008" i="7"/>
  <c r="I1432" i="7"/>
  <c r="I1517" i="7"/>
  <c r="I1312" i="7"/>
  <c r="I1116" i="7"/>
  <c r="I1494" i="7"/>
  <c r="I1430" i="7"/>
  <c r="I1326" i="7"/>
  <c r="I475" i="7"/>
  <c r="I1184" i="7"/>
  <c r="I1304" i="7"/>
  <c r="I1196" i="7"/>
  <c r="I1302" i="7"/>
  <c r="I1743" i="7"/>
  <c r="I1409" i="7"/>
  <c r="I966" i="7"/>
  <c r="I1427" i="7"/>
  <c r="I1521" i="7"/>
  <c r="I1650" i="7"/>
  <c r="I1699" i="7"/>
  <c r="I1697" i="7"/>
  <c r="I1348" i="7"/>
  <c r="I1289" i="7"/>
  <c r="I1359" i="7"/>
  <c r="I1768" i="7"/>
  <c r="I1177" i="7"/>
  <c r="I1325" i="7"/>
  <c r="I1732" i="7"/>
  <c r="I1314" i="7"/>
  <c r="I1398" i="7"/>
  <c r="I1686" i="7"/>
  <c r="I1033" i="7"/>
  <c r="I1202" i="7"/>
  <c r="I1322" i="7"/>
  <c r="I1301" i="7"/>
  <c r="I1568" i="7"/>
  <c r="I1735" i="7"/>
  <c r="I1029" i="7"/>
  <c r="I1200" i="7"/>
  <c r="I1575" i="7"/>
  <c r="I1158" i="7"/>
  <c r="I1495" i="7"/>
  <c r="I1586" i="7"/>
  <c r="I1117" i="7"/>
  <c r="I1656" i="7"/>
  <c r="I1247" i="7"/>
  <c r="I1590" i="7"/>
  <c r="I1531" i="7"/>
  <c r="I1513" i="7"/>
  <c r="I1780" i="7"/>
  <c r="I1573" i="7"/>
  <c r="I1466" i="7"/>
  <c r="I1778" i="7"/>
  <c r="I1235" i="7"/>
  <c r="I1608" i="7"/>
  <c r="I1728" i="7"/>
  <c r="I1707" i="7"/>
  <c r="I1428" i="7"/>
  <c r="I1689" i="7"/>
  <c r="I1063" i="7"/>
  <c r="I921" i="7"/>
  <c r="I977" i="7"/>
  <c r="I1736" i="7"/>
  <c r="I1576" i="7"/>
  <c r="I1651" i="7"/>
  <c r="I1402" i="7"/>
  <c r="I1403" i="7"/>
  <c r="I1721" i="7"/>
  <c r="I1554" i="7"/>
  <c r="I985" i="7"/>
  <c r="I1588" i="7"/>
  <c r="I1101" i="7"/>
  <c r="I1204" i="7"/>
  <c r="I1503" i="7"/>
  <c r="I1606" i="7"/>
  <c r="I1333" i="7"/>
  <c r="I1192" i="7"/>
  <c r="I1345" i="7"/>
  <c r="I1189" i="7"/>
  <c r="I1055" i="7"/>
  <c r="I1714" i="7"/>
  <c r="I928" i="7"/>
  <c r="I1003" i="7"/>
  <c r="I923" i="7"/>
  <c r="I1252" i="7"/>
  <c r="I1372" i="7"/>
  <c r="I1570" i="7"/>
  <c r="I1061" i="7"/>
  <c r="I1035" i="7"/>
  <c r="I1245" i="7"/>
  <c r="I1566" i="7"/>
  <c r="I1558" i="7"/>
  <c r="I978" i="7"/>
  <c r="I1000" i="7"/>
  <c r="I1076" i="7"/>
  <c r="I1050" i="7"/>
  <c r="I1654" i="7"/>
  <c r="I1508" i="7"/>
  <c r="I1320" i="7"/>
  <c r="I1784" i="7"/>
  <c r="I993" i="7"/>
  <c r="I1015" i="7"/>
  <c r="I1065" i="7"/>
  <c r="I1425" i="7"/>
  <c r="I1308" i="7"/>
  <c r="I1593" i="7"/>
  <c r="I1011" i="7"/>
  <c r="I1030" i="7"/>
  <c r="I988" i="7"/>
  <c r="I947" i="7"/>
  <c r="I933" i="7"/>
  <c r="I1724" i="7"/>
  <c r="I1653" i="7"/>
  <c r="I1167" i="7"/>
  <c r="I1249" i="7"/>
  <c r="I1510" i="7"/>
  <c r="I1041" i="7"/>
  <c r="I1421" i="7"/>
  <c r="I1126" i="7"/>
  <c r="I1100" i="7"/>
  <c r="I1156" i="7"/>
  <c r="I927" i="7"/>
  <c r="I1060" i="7"/>
  <c r="I1581" i="7"/>
  <c r="I955" i="7"/>
  <c r="I992" i="7"/>
  <c r="I1112" i="7"/>
  <c r="I1545" i="7"/>
  <c r="I1075" i="7"/>
  <c r="I1054" i="7"/>
  <c r="I953" i="7"/>
  <c r="I996" i="7"/>
  <c r="I912" i="7"/>
  <c r="AA910" i="7" s="1" a="1"/>
  <c r="AA910" i="7" s="1"/>
  <c r="I911" i="7"/>
  <c r="AA909" i="7" s="1" a="1"/>
  <c r="AA909" i="7" s="1"/>
  <c r="I914" i="7"/>
  <c r="AA912" i="7" s="1" a="1"/>
  <c r="AA912" i="7" s="1"/>
  <c r="I918" i="7"/>
  <c r="AA916" i="7" s="1" a="1"/>
  <c r="AA916" i="7" s="1"/>
  <c r="I919" i="7"/>
  <c r="I916" i="7"/>
  <c r="AA914" i="7" s="1" a="1"/>
  <c r="AA914" i="7" s="1"/>
  <c r="I917" i="7"/>
  <c r="AA915" i="7" s="1" a="1"/>
  <c r="AA915" i="7" s="1"/>
  <c r="I913" i="7"/>
  <c r="AA911" i="7" s="1" a="1"/>
  <c r="AA911" i="7" s="1"/>
  <c r="I915" i="7"/>
  <c r="AA913" i="7" s="1" a="1"/>
  <c r="AA913" i="7" s="1"/>
  <c r="I995" i="7"/>
  <c r="I969" i="7"/>
  <c r="I477" i="7"/>
  <c r="I1761" i="7"/>
  <c r="I1164" i="7"/>
  <c r="I1280" i="7"/>
  <c r="I1383" i="7"/>
  <c r="I1682" i="7"/>
  <c r="I1104" i="7"/>
  <c r="I1512" i="7"/>
  <c r="I1371" i="7"/>
  <c r="I1166" i="7"/>
  <c r="I1368" i="7"/>
  <c r="I930" i="7"/>
  <c r="I952" i="7"/>
  <c r="I1028" i="7"/>
  <c r="I1002" i="7"/>
  <c r="I1413" i="7"/>
  <c r="I960" i="7"/>
  <c r="I1107" i="7"/>
  <c r="I1361" i="7"/>
  <c r="I1102" i="7"/>
  <c r="I1431" i="7"/>
  <c r="I1551" i="7"/>
  <c r="I1749" i="7"/>
  <c r="I963" i="7"/>
  <c r="I982" i="7"/>
  <c r="I1240" i="7"/>
  <c r="I1393" i="7"/>
  <c r="I1603" i="7"/>
  <c r="I1745" i="7"/>
  <c r="I936" i="7"/>
  <c r="I1157" i="7"/>
  <c r="I1179" i="7"/>
  <c r="I1255" i="7"/>
  <c r="I1229" i="7"/>
  <c r="I932" i="7"/>
  <c r="I1048" i="7"/>
  <c r="I1150" i="7"/>
  <c r="I1499" i="7"/>
  <c r="I1103" i="7"/>
  <c r="I1172" i="7"/>
  <c r="I1373" i="7"/>
  <c r="I1423" i="7"/>
  <c r="I1246" i="7"/>
  <c r="I1487" i="7"/>
  <c r="I1369" i="7"/>
  <c r="I1209" i="7"/>
  <c r="I770" i="7"/>
  <c r="I806" i="7"/>
  <c r="I876" i="7"/>
  <c r="I781" i="7"/>
  <c r="I812" i="7"/>
  <c r="I813" i="7"/>
  <c r="I790" i="7"/>
  <c r="I1525" i="7"/>
  <c r="I1786" i="7"/>
  <c r="I1211" i="7"/>
  <c r="I1399" i="7"/>
  <c r="I1600" i="7"/>
  <c r="I1663" i="7"/>
  <c r="I1458" i="7"/>
  <c r="I1514" i="7"/>
  <c r="I961" i="7"/>
  <c r="I1285" i="7"/>
  <c r="I1239" i="7"/>
  <c r="I1144" i="7"/>
  <c r="I1313" i="7"/>
  <c r="I1350" i="7"/>
  <c r="I1470" i="7"/>
  <c r="I1121" i="7"/>
  <c r="I1254" i="7"/>
  <c r="I1233" i="7"/>
  <c r="I1311" i="7"/>
  <c r="I1034" i="7"/>
  <c r="I1354" i="7"/>
  <c r="I1269" i="7"/>
  <c r="AA1267" i="7" s="1" a="1"/>
  <c r="AA1267" i="7" s="1"/>
  <c r="I1276" i="7"/>
  <c r="AA1274" i="7" s="1" a="1"/>
  <c r="AA1274" i="7" s="1"/>
  <c r="I1277" i="7"/>
  <c r="I1270" i="7"/>
  <c r="AA1268" i="7" s="1" a="1"/>
  <c r="AA1268" i="7" s="1"/>
  <c r="I1271" i="7"/>
  <c r="AA1269" i="7" s="1" a="1"/>
  <c r="AA1269" i="7" s="1"/>
  <c r="I1272" i="7"/>
  <c r="AA1270" i="7" s="1" a="1"/>
  <c r="AA1270" i="7" s="1"/>
  <c r="I1275" i="7"/>
  <c r="AA1273" i="7" s="1" a="1"/>
  <c r="AA1273" i="7" s="1"/>
  <c r="I1273" i="7"/>
  <c r="AA1271" i="7" s="1" a="1"/>
  <c r="AA1271" i="7" s="1"/>
  <c r="I1274" i="7"/>
  <c r="AA1272" i="7" s="1" a="1"/>
  <c r="AA1272" i="7" s="1"/>
  <c r="I1174" i="7"/>
  <c r="I1327" i="7"/>
  <c r="I1124" i="7"/>
  <c r="I1401" i="7"/>
  <c r="I1522" i="7"/>
  <c r="I1004" i="7"/>
  <c r="I1130" i="7"/>
  <c r="I1638" i="7"/>
  <c r="I1741" i="7"/>
  <c r="I1022" i="7"/>
  <c r="I1283" i="7"/>
  <c r="I1691" i="7"/>
  <c r="I1550" i="7"/>
  <c r="I1703" i="7"/>
  <c r="I1726" i="7"/>
  <c r="I1151" i="7"/>
  <c r="I1288" i="7"/>
  <c r="I1310" i="7"/>
  <c r="I1386" i="7"/>
  <c r="I1360" i="7"/>
  <c r="I1771" i="7"/>
  <c r="I1318" i="7"/>
  <c r="I1465" i="7"/>
  <c r="I1197" i="7"/>
  <c r="I1719" i="7"/>
  <c r="I1026" i="7"/>
  <c r="I1460" i="7"/>
  <c r="I1610" i="7"/>
  <c r="I1127" i="7"/>
  <c r="I1321" i="7"/>
  <c r="I1340" i="7"/>
  <c r="I1777" i="7"/>
  <c r="I1572" i="7"/>
  <c r="I974" i="7"/>
  <c r="I1294" i="7"/>
  <c r="I1515" i="7"/>
  <c r="I1716" i="7"/>
  <c r="I1613" i="7"/>
  <c r="I1587" i="7"/>
  <c r="I1469" i="7"/>
  <c r="I1406" i="7"/>
  <c r="I1009" i="7"/>
  <c r="I1461" i="7"/>
  <c r="I1709" i="7"/>
  <c r="I1552" i="7"/>
  <c r="I1781" i="7"/>
  <c r="I1783" i="7"/>
  <c r="I997" i="7"/>
  <c r="I1548" i="7"/>
  <c r="I1567" i="7"/>
  <c r="G1826" i="7"/>
  <c r="T1826" i="7" s="1"/>
  <c r="I1420" i="7"/>
  <c r="I1534" i="7"/>
  <c r="I1429" i="7"/>
  <c r="I1191" i="7"/>
  <c r="I1349" i="7"/>
  <c r="I1120" i="7"/>
  <c r="I1138" i="7"/>
  <c r="I1642" i="7"/>
  <c r="I1221" i="7"/>
  <c r="I1382" i="7"/>
  <c r="I1457" i="7"/>
  <c r="I1574" i="7"/>
  <c r="I1595" i="7"/>
  <c r="I1020" i="7"/>
  <c r="I1417" i="7"/>
  <c r="I1039" i="7"/>
  <c r="I935" i="7"/>
  <c r="I1347" i="7"/>
  <c r="I1404" i="7"/>
  <c r="I1665" i="7"/>
  <c r="I1253" i="7"/>
  <c r="I1159" i="7"/>
  <c r="I1133" i="7"/>
  <c r="I937" i="7"/>
  <c r="I1315" i="7"/>
  <c r="I1251" i="7"/>
  <c r="I1147" i="7"/>
  <c r="I1536" i="7"/>
  <c r="I1005" i="7"/>
  <c r="I1125" i="7"/>
  <c r="I1017" i="7"/>
  <c r="I1481" i="7"/>
  <c r="I1564" i="7"/>
  <c r="I1051" i="7"/>
  <c r="I1069" i="7"/>
  <c r="I1342" i="7"/>
  <c r="I1471" i="7"/>
  <c r="I1520" i="7"/>
  <c r="I1518" i="7"/>
  <c r="I1773" i="7"/>
  <c r="I1169" i="7"/>
  <c r="I1110" i="7"/>
  <c r="I1180" i="7"/>
  <c r="I1410" i="7"/>
  <c r="I998" i="7"/>
  <c r="I1146" i="7"/>
  <c r="I1374" i="7"/>
  <c r="I1135" i="7"/>
  <c r="I1219" i="7"/>
  <c r="I1507" i="7"/>
  <c r="I1702" i="7"/>
  <c r="I1381" i="7"/>
  <c r="I1143" i="7"/>
  <c r="I1122" i="7"/>
  <c r="I1210" i="7"/>
  <c r="I1556" i="7"/>
  <c r="I1021" i="7"/>
  <c r="I1396" i="7"/>
  <c r="I1516" i="7"/>
  <c r="I1316" i="7"/>
  <c r="I1407" i="7"/>
  <c r="I938" i="7"/>
  <c r="I1298" i="7"/>
  <c r="I1584" i="7"/>
  <c r="I1068" i="7"/>
  <c r="I1232" i="7"/>
  <c r="I1352" i="7"/>
  <c r="I1334" i="7"/>
  <c r="I1243" i="7"/>
  <c r="I1394" i="7"/>
  <c r="I1287" i="7"/>
  <c r="I1599" i="7"/>
  <c r="I1056" i="7"/>
  <c r="I1250" i="7"/>
  <c r="I1370" i="7"/>
  <c r="I1170" i="7"/>
  <c r="I896" i="7"/>
  <c r="I1478" i="7"/>
  <c r="I1496" i="7"/>
  <c r="I1152" i="7"/>
  <c r="I1579" i="7"/>
  <c r="I1740" i="7"/>
  <c r="I1636" i="7"/>
  <c r="I1378" i="7"/>
  <c r="I1596" i="7"/>
  <c r="I1218" i="7"/>
  <c r="I1293" i="7"/>
  <c r="I1044" i="7"/>
  <c r="I1705" i="7"/>
  <c r="I1762" i="7"/>
  <c r="I1187" i="7"/>
  <c r="I1611" i="7"/>
  <c r="I1338" i="7"/>
  <c r="I1491" i="7"/>
  <c r="I1295" i="7"/>
  <c r="I1673" i="7"/>
  <c r="I1609" i="7"/>
  <c r="I1684" i="7"/>
  <c r="I1045" i="7"/>
  <c r="I1363" i="7"/>
  <c r="I1483" i="7"/>
  <c r="I1375" i="7"/>
  <c r="I1660" i="7"/>
  <c r="I1230" i="7"/>
  <c r="I1145" i="7"/>
  <c r="I1248" i="7"/>
  <c r="I1700" i="7"/>
  <c r="I1527" i="7"/>
  <c r="I1468" i="7"/>
  <c r="I1538" i="7"/>
  <c r="I1589" i="7"/>
  <c r="I1356" i="7"/>
  <c r="I1504" i="7"/>
  <c r="I1553" i="7"/>
  <c r="I1672" i="7"/>
  <c r="I1756" i="7"/>
  <c r="I1014" i="7"/>
  <c r="I1212" i="7"/>
  <c r="I1560" i="7"/>
  <c r="I1680" i="7"/>
  <c r="I1659" i="7"/>
  <c r="I1747" i="7"/>
  <c r="I1066" i="7"/>
  <c r="I1208" i="7"/>
  <c r="I1379" i="7"/>
  <c r="I1754" i="7"/>
  <c r="I1695" i="7"/>
  <c r="I1674" i="7"/>
  <c r="I1765" i="7"/>
  <c r="I1296" i="7"/>
  <c r="I971" i="7"/>
  <c r="I538" i="7"/>
  <c r="I962" i="7"/>
  <c r="I1426" i="7"/>
  <c r="I1769" i="7"/>
  <c r="I1710" i="7"/>
  <c r="I1692" i="7"/>
  <c r="I1601" i="7"/>
  <c r="I1752" i="7"/>
  <c r="I1645" i="7"/>
  <c r="I950" i="7"/>
  <c r="I1414" i="7"/>
  <c r="I1787" i="7"/>
  <c r="I1549" i="7"/>
  <c r="I1528" i="7"/>
  <c r="G1808" i="7"/>
  <c r="G1836" i="7"/>
  <c r="T1836" i="7" s="1"/>
  <c r="I92" i="7"/>
  <c r="I332" i="7"/>
  <c r="I160" i="7"/>
  <c r="I210" i="7"/>
  <c r="I254" i="7"/>
  <c r="I135" i="7"/>
  <c r="I346" i="7"/>
  <c r="I5" i="7"/>
  <c r="I60" i="7"/>
  <c r="I158" i="7"/>
  <c r="I102" i="7"/>
  <c r="I27" i="7"/>
  <c r="I250" i="7"/>
  <c r="I255" i="7"/>
  <c r="I149" i="7"/>
  <c r="I294" i="7"/>
  <c r="I121" i="7"/>
  <c r="I67" i="7"/>
  <c r="I324" i="7"/>
  <c r="I162" i="7"/>
  <c r="I33" i="7"/>
  <c r="I296" i="7"/>
  <c r="I125" i="7"/>
  <c r="I249" i="7"/>
  <c r="I109" i="7"/>
  <c r="I309" i="7"/>
  <c r="I50" i="7"/>
  <c r="I270" i="7"/>
  <c r="I226" i="7"/>
  <c r="I144" i="7"/>
  <c r="I110" i="7"/>
  <c r="I85" i="7"/>
  <c r="I148" i="7"/>
  <c r="I195" i="7"/>
  <c r="AA193" i="7" s="1" a="1"/>
  <c r="AA193" i="7" s="1"/>
  <c r="I132" i="7"/>
  <c r="I21" i="7"/>
  <c r="AA19" i="7" s="1" a="1"/>
  <c r="AA19" i="7" s="1"/>
  <c r="I308" i="7"/>
  <c r="I34" i="7"/>
  <c r="I199" i="7"/>
  <c r="AA197" i="7" s="1" a="1"/>
  <c r="AA197" i="7" s="1"/>
  <c r="I192" i="7"/>
  <c r="AA190" i="7" s="1" a="1"/>
  <c r="AA190" i="7" s="1"/>
  <c r="I26" i="7"/>
  <c r="I24" i="7"/>
  <c r="I331" i="7"/>
  <c r="F356" i="10"/>
  <c r="I356" i="7"/>
  <c r="I243" i="7"/>
  <c r="I233" i="7"/>
  <c r="I12" i="7"/>
  <c r="AA10" i="7" s="1" a="1"/>
  <c r="AA10" i="7" s="1"/>
  <c r="I317" i="7"/>
  <c r="I126" i="7"/>
  <c r="I96" i="7"/>
  <c r="I23" i="7"/>
  <c r="AA21" i="7" s="1" a="1"/>
  <c r="AA21" i="7" s="1"/>
  <c r="I105" i="7"/>
  <c r="I41" i="7"/>
  <c r="I44" i="7"/>
  <c r="I107" i="7"/>
  <c r="I117" i="7"/>
  <c r="I318" i="7"/>
  <c r="I218" i="7"/>
  <c r="I87" i="7"/>
  <c r="I251" i="7"/>
  <c r="I214" i="7"/>
  <c r="I40" i="7"/>
  <c r="I17" i="7"/>
  <c r="AA15" i="7" s="1" a="1"/>
  <c r="AA15" i="7" s="1"/>
  <c r="I54" i="7"/>
  <c r="I313" i="7"/>
  <c r="I51" i="7"/>
  <c r="I310" i="7"/>
  <c r="I305" i="7"/>
  <c r="I219" i="7"/>
  <c r="I343" i="7"/>
  <c r="I205" i="7"/>
  <c r="I45" i="7"/>
  <c r="I323" i="7"/>
  <c r="I25" i="7"/>
  <c r="I274" i="7"/>
  <c r="I312" i="7"/>
  <c r="I146" i="7"/>
  <c r="I70" i="7"/>
  <c r="I246" i="7"/>
  <c r="I217" i="7"/>
  <c r="I278" i="7"/>
  <c r="I345" i="7"/>
  <c r="I350" i="7"/>
  <c r="I177" i="7"/>
  <c r="I339" i="7"/>
  <c r="I171" i="7"/>
  <c r="I66" i="7"/>
  <c r="I209" i="7"/>
  <c r="I178" i="7"/>
  <c r="I283" i="7"/>
  <c r="I118" i="7"/>
  <c r="I197" i="7"/>
  <c r="AA195" i="7" s="1" a="1"/>
  <c r="AA195" i="7" s="1"/>
  <c r="I277" i="7"/>
  <c r="I15" i="7"/>
  <c r="AA13" i="7" s="1" a="1"/>
  <c r="AA13" i="7" s="1"/>
  <c r="I202" i="7"/>
  <c r="AA200" i="7" s="1" a="1"/>
  <c r="AA200" i="7" s="1"/>
  <c r="I176" i="7"/>
  <c r="I237" i="7"/>
  <c r="I65" i="7"/>
  <c r="I222" i="7"/>
  <c r="I187" i="7"/>
  <c r="AA185" i="7" s="1" a="1"/>
  <c r="AA185" i="7" s="1"/>
  <c r="X185" i="7" a="1"/>
  <c r="X185" i="7" s="1"/>
  <c r="F358" i="10"/>
  <c r="I358" i="7"/>
  <c r="I253" i="7"/>
  <c r="I168" i="7"/>
  <c r="I59" i="7"/>
  <c r="I355" i="7"/>
  <c r="I231" i="7"/>
  <c r="I208" i="7"/>
  <c r="I37" i="7"/>
  <c r="I68" i="7"/>
  <c r="I71" i="7"/>
  <c r="I238" i="7"/>
  <c r="I306" i="7"/>
  <c r="I242" i="7"/>
  <c r="I90" i="7"/>
  <c r="I234" i="7"/>
  <c r="I89" i="7"/>
  <c r="I285" i="7"/>
  <c r="I215" i="7"/>
  <c r="I344" i="7"/>
  <c r="I164" i="7"/>
  <c r="I247" i="7"/>
  <c r="I140" i="7"/>
  <c r="I275" i="7"/>
  <c r="I241" i="7"/>
  <c r="I174" i="7"/>
  <c r="I166" i="7"/>
  <c r="I16" i="7"/>
  <c r="AA14" i="7" s="1" a="1"/>
  <c r="AA14" i="7" s="1"/>
  <c r="I301" i="7"/>
  <c r="I159" i="7"/>
  <c r="I101" i="7"/>
  <c r="I180" i="7"/>
  <c r="I268" i="7"/>
  <c r="I230" i="7"/>
  <c r="I244" i="7"/>
  <c r="I153" i="7"/>
  <c r="I206" i="7"/>
  <c r="I104" i="7"/>
  <c r="I123" i="7"/>
  <c r="I262" i="7"/>
  <c r="I150" i="7"/>
  <c r="I239" i="7"/>
  <c r="I184" i="7"/>
  <c r="I304" i="7"/>
  <c r="I58" i="7"/>
  <c r="I185" i="7"/>
  <c r="AA183" i="7" s="1" a="1"/>
  <c r="AA183" i="7" s="1"/>
  <c r="X183" i="7" a="1"/>
  <c r="X183" i="7" s="1"/>
  <c r="I53" i="7"/>
  <c r="I211" i="7"/>
  <c r="I38" i="7"/>
  <c r="I156" i="7"/>
  <c r="I169" i="7"/>
  <c r="I260" i="7"/>
  <c r="I338" i="7"/>
  <c r="I322" i="7"/>
  <c r="I56" i="7"/>
  <c r="I108" i="7"/>
  <c r="I128" i="7"/>
  <c r="I13" i="7"/>
  <c r="AA11" i="7" s="1" a="1"/>
  <c r="AA11" i="7" s="1"/>
  <c r="I333" i="7"/>
  <c r="I307" i="7"/>
  <c r="I83" i="7"/>
  <c r="X7" i="7" a="1"/>
  <c r="X7" i="7" s="1"/>
  <c r="I9" i="7"/>
  <c r="AA7" i="7" s="1" a="1"/>
  <c r="AA7" i="7" s="1"/>
  <c r="I228" i="7"/>
  <c r="I295" i="7"/>
  <c r="I212" i="7"/>
  <c r="I170" i="7"/>
  <c r="I349" i="7"/>
  <c r="I337" i="7"/>
  <c r="I335" i="7"/>
  <c r="I75" i="7"/>
  <c r="I19" i="7"/>
  <c r="AA17" i="7" s="1" a="1"/>
  <c r="AA17" i="7" s="1"/>
  <c r="O149" i="14"/>
  <c r="I325" i="7"/>
  <c r="I64" i="7"/>
  <c r="I290" i="7"/>
  <c r="I86" i="7"/>
  <c r="I139" i="7"/>
  <c r="X8" i="7" a="1"/>
  <c r="X8" i="7" s="1"/>
  <c r="I10" i="7"/>
  <c r="AA8" i="7" s="1" a="1"/>
  <c r="AA8" i="7" s="1"/>
  <c r="I52" i="7"/>
  <c r="I354" i="7"/>
  <c r="I284" i="7"/>
  <c r="I204" i="7"/>
  <c r="I46" i="7"/>
  <c r="I112" i="7"/>
  <c r="I311" i="7"/>
  <c r="I29" i="7"/>
  <c r="I154" i="7"/>
  <c r="X4" i="7" a="1"/>
  <c r="X4" i="7" s="1"/>
  <c r="I6" i="7"/>
  <c r="AA4" i="7" s="1" a="1"/>
  <c r="AA4" i="7" s="1"/>
  <c r="I80" i="7"/>
  <c r="I137" i="7"/>
  <c r="I48" i="7"/>
  <c r="I113" i="7"/>
  <c r="I264" i="7"/>
  <c r="I95" i="7"/>
  <c r="I14" i="7"/>
  <c r="AA12" i="7" s="1" a="1"/>
  <c r="AA12" i="7" s="1"/>
  <c r="F361" i="10"/>
  <c r="I361" i="7"/>
  <c r="I114" i="7"/>
  <c r="I42" i="7"/>
  <c r="I334" i="7"/>
  <c r="I183" i="7"/>
  <c r="F359" i="10"/>
  <c r="I359" i="7"/>
  <c r="I77" i="7"/>
  <c r="I145" i="7"/>
  <c r="I73" i="7"/>
  <c r="I267" i="7"/>
  <c r="I352" i="7"/>
  <c r="I155" i="7"/>
  <c r="F360" i="10"/>
  <c r="I360" i="7"/>
  <c r="I143" i="7"/>
  <c r="I120" i="7"/>
  <c r="I272" i="7"/>
  <c r="I79" i="7"/>
  <c r="I299" i="7"/>
  <c r="I119" i="7"/>
  <c r="I329" i="7"/>
  <c r="I207" i="7"/>
  <c r="I326" i="7"/>
  <c r="I191" i="7"/>
  <c r="AA189" i="7" s="1" a="1"/>
  <c r="AA189" i="7" s="1"/>
  <c r="I35" i="7"/>
  <c r="I353" i="7"/>
  <c r="I245" i="7"/>
  <c r="I69" i="7"/>
  <c r="I298" i="7"/>
  <c r="I341" i="7"/>
  <c r="I314" i="7"/>
  <c r="I88" i="7"/>
  <c r="I321" i="7"/>
  <c r="I138" i="7"/>
  <c r="I292" i="7"/>
  <c r="I122" i="7"/>
  <c r="I303" i="7"/>
  <c r="I28" i="7"/>
  <c r="I336" i="7"/>
  <c r="I287" i="7"/>
  <c r="I280" i="7"/>
  <c r="I330" i="7"/>
  <c r="I203" i="7"/>
  <c r="I84" i="7"/>
  <c r="I316" i="7"/>
  <c r="I31" i="7"/>
  <c r="I151" i="7"/>
  <c r="I248" i="7"/>
  <c r="I163" i="7"/>
  <c r="I142" i="7"/>
  <c r="I181" i="7"/>
  <c r="I256" i="7"/>
  <c r="I293" i="7"/>
  <c r="I261" i="7"/>
  <c r="I236" i="7"/>
  <c r="I265" i="7"/>
  <c r="I172" i="7"/>
  <c r="I18" i="7"/>
  <c r="AA16" i="7" s="1" a="1"/>
  <c r="AA16" i="7" s="1"/>
  <c r="I22" i="7"/>
  <c r="AA20" i="7" s="1" a="1"/>
  <c r="AA20" i="7" s="1"/>
  <c r="I134" i="7"/>
  <c r="I175" i="7"/>
  <c r="X188" i="7" a="1"/>
  <c r="X188" i="7" s="1"/>
  <c r="I190" i="7"/>
  <c r="AA188" i="7" s="1" a="1"/>
  <c r="AA188" i="7" s="1"/>
  <c r="I220" i="7"/>
  <c r="I43" i="7"/>
  <c r="X6" i="7" a="1"/>
  <c r="X6" i="7" s="1"/>
  <c r="I8" i="7"/>
  <c r="AA6" i="7" s="1" a="1"/>
  <c r="AA6" i="7" s="1"/>
  <c r="I152" i="7"/>
  <c r="I57" i="7"/>
  <c r="I136" i="7"/>
  <c r="I116" i="7"/>
  <c r="I342" i="7"/>
  <c r="I82" i="7"/>
  <c r="I161" i="7"/>
  <c r="I328" i="7"/>
  <c r="I131" i="7"/>
  <c r="I157" i="7"/>
  <c r="I115" i="7"/>
  <c r="I165" i="7"/>
  <c r="I327" i="7"/>
  <c r="I63" i="7"/>
  <c r="I201" i="7"/>
  <c r="AA199" i="7" s="1" a="1"/>
  <c r="AA199" i="7" s="1"/>
  <c r="I61" i="7"/>
  <c r="I129" i="7"/>
  <c r="I282" i="7"/>
  <c r="I147" i="7"/>
  <c r="I186" i="7"/>
  <c r="AA184" i="7" s="1" a="1"/>
  <c r="AA184" i="7" s="1"/>
  <c r="X184" i="7" a="1"/>
  <c r="X184" i="7" s="1"/>
  <c r="I319" i="7"/>
  <c r="I252" i="7"/>
  <c r="I288" i="7"/>
  <c r="I276" i="7"/>
  <c r="I351" i="7"/>
  <c r="I141" i="7"/>
  <c r="I279" i="7"/>
  <c r="I269" i="7"/>
  <c r="F357" i="10"/>
  <c r="I357" i="7"/>
  <c r="I193" i="7"/>
  <c r="AA191" i="7" s="1" a="1"/>
  <c r="AA191" i="7" s="1"/>
  <c r="I39" i="7"/>
  <c r="I257" i="7"/>
  <c r="I30" i="7"/>
  <c r="I47" i="7"/>
  <c r="I229" i="7"/>
  <c r="I49" i="7"/>
  <c r="I76" i="7"/>
  <c r="I300" i="7"/>
  <c r="I94" i="7"/>
  <c r="I133" i="7"/>
  <c r="I106" i="7"/>
  <c r="I78" i="7"/>
  <c r="I225" i="7"/>
  <c r="I97" i="7"/>
  <c r="I213" i="7"/>
  <c r="I7" i="7"/>
  <c r="AA5" i="7" s="1" a="1"/>
  <c r="AA5" i="7" s="1"/>
  <c r="X5" i="7" a="1"/>
  <c r="X5" i="7" s="1"/>
  <c r="I127" i="7"/>
  <c r="I36" i="7"/>
  <c r="I130" i="7"/>
  <c r="I4" i="7"/>
  <c r="I194" i="7"/>
  <c r="AA192" i="7" s="1" a="1"/>
  <c r="AA192" i="7" s="1"/>
  <c r="I320" i="7"/>
  <c r="I111" i="7"/>
  <c r="I227" i="7"/>
  <c r="I235" i="7"/>
  <c r="I62" i="7"/>
  <c r="I91" i="7"/>
  <c r="I189" i="7"/>
  <c r="AA187" i="7" s="1" a="1"/>
  <c r="AA187" i="7" s="1"/>
  <c r="X187" i="7" a="1"/>
  <c r="X187" i="7" s="1"/>
  <c r="I263" i="7"/>
  <c r="I289" i="7"/>
  <c r="I124" i="7"/>
  <c r="I32" i="7"/>
  <c r="I93" i="7"/>
  <c r="X186" i="7" a="1"/>
  <c r="X186" i="7" s="1"/>
  <c r="I188" i="7"/>
  <c r="AA186" i="7" s="1" a="1"/>
  <c r="AA186" i="7" s="1"/>
  <c r="I99" i="7"/>
  <c r="I286" i="7"/>
  <c r="I224" i="7"/>
  <c r="I216" i="7"/>
  <c r="I20" i="7"/>
  <c r="AA18" i="7" s="1" a="1"/>
  <c r="AA18" i="7" s="1"/>
  <c r="I221" i="7"/>
  <c r="I103" i="7"/>
  <c r="I74" i="7"/>
  <c r="I200" i="7"/>
  <c r="AA198" i="7" s="1" a="1"/>
  <c r="AA198" i="7" s="1"/>
  <c r="I81" i="7"/>
  <c r="I223" i="7"/>
  <c r="I98" i="7"/>
  <c r="I271" i="7"/>
  <c r="I196" i="7"/>
  <c r="AA194" i="7" s="1" a="1"/>
  <c r="AA194" i="7" s="1"/>
  <c r="I72" i="7"/>
  <c r="I259" i="7"/>
  <c r="I198" i="7"/>
  <c r="AA196" i="7" s="1" a="1"/>
  <c r="AA196" i="7" s="1"/>
  <c r="I167" i="7"/>
  <c r="I11" i="7"/>
  <c r="AA9" i="7" s="1" a="1"/>
  <c r="AA9" i="7" s="1"/>
  <c r="X9" i="7" a="1"/>
  <c r="X9" i="7" s="1"/>
  <c r="I100" i="7"/>
  <c r="I232" i="7"/>
  <c r="I348" i="7"/>
  <c r="I297" i="7"/>
  <c r="I55" i="7"/>
  <c r="I266" i="7"/>
  <c r="I173" i="7"/>
  <c r="I340" i="7"/>
  <c r="I281" i="7"/>
  <c r="I347" i="7"/>
  <c r="I767" i="7"/>
  <c r="I769" i="7"/>
  <c r="I787" i="7"/>
  <c r="I816" i="7"/>
  <c r="I881" i="7"/>
  <c r="I780" i="7"/>
  <c r="I804" i="7"/>
  <c r="I877" i="7"/>
  <c r="I897" i="7"/>
  <c r="I839" i="7"/>
  <c r="I739" i="7"/>
  <c r="AA737" i="7" s="1" a="1"/>
  <c r="AA737" i="7" s="1"/>
  <c r="I768" i="7"/>
  <c r="I794" i="7"/>
  <c r="I818" i="7"/>
  <c r="I854" i="7"/>
  <c r="I888" i="7"/>
  <c r="I756" i="7"/>
  <c r="I793" i="7"/>
  <c r="I829" i="7"/>
  <c r="I849" i="7"/>
  <c r="I826" i="7"/>
  <c r="I803" i="7"/>
  <c r="I757" i="7"/>
  <c r="I783" i="7"/>
  <c r="I809" i="7"/>
  <c r="I833" i="7"/>
  <c r="I771" i="7"/>
  <c r="I808" i="7"/>
  <c r="I878" i="7"/>
  <c r="I838" i="7"/>
  <c r="I815" i="7"/>
  <c r="I799" i="7"/>
  <c r="I820" i="7"/>
  <c r="I740" i="7"/>
  <c r="I774" i="7"/>
  <c r="I810" i="7"/>
  <c r="I834" i="7"/>
  <c r="I765" i="7"/>
  <c r="I886" i="7"/>
  <c r="I761" i="7"/>
  <c r="I785" i="7"/>
  <c r="I760" i="7"/>
  <c r="I825" i="7"/>
  <c r="I802" i="7"/>
  <c r="I779" i="7"/>
  <c r="I776" i="7"/>
  <c r="I800" i="7"/>
  <c r="I836" i="7"/>
  <c r="I738" i="7"/>
  <c r="AA736" i="7" s="1" a="1"/>
  <c r="AA736" i="7" s="1"/>
  <c r="I775" i="7"/>
  <c r="I811" i="7"/>
  <c r="I837" i="7"/>
  <c r="I814" i="7"/>
  <c r="I736" i="7"/>
  <c r="AA734" i="7" s="1" a="1"/>
  <c r="AA734" i="7" s="1"/>
  <c r="I798" i="7"/>
  <c r="I824" i="7"/>
  <c r="I884" i="7"/>
  <c r="I762" i="7"/>
  <c r="I786" i="7"/>
  <c r="I823" i="7"/>
  <c r="I859" i="7"/>
  <c r="I893" i="7"/>
  <c r="I885" i="7"/>
  <c r="I850" i="7"/>
  <c r="I827" i="7"/>
  <c r="I784" i="7"/>
  <c r="I805" i="7"/>
  <c r="I831" i="7"/>
  <c r="I857" i="7"/>
  <c r="I759" i="7"/>
  <c r="I795" i="7"/>
  <c r="I819" i="7"/>
  <c r="I856" i="7"/>
  <c r="I892" i="7"/>
  <c r="I753" i="7"/>
  <c r="I874" i="7"/>
  <c r="I851" i="7"/>
  <c r="I817" i="7"/>
  <c r="I835" i="7"/>
  <c r="I890" i="7"/>
  <c r="I758" i="7"/>
  <c r="I792" i="7"/>
  <c r="I828" i="7"/>
  <c r="I852" i="7"/>
  <c r="I889" i="7"/>
  <c r="I764" i="7"/>
  <c r="I777" i="7"/>
  <c r="I754" i="7"/>
  <c r="I875" i="7"/>
  <c r="I832" i="7"/>
  <c r="I853" i="7"/>
  <c r="I879" i="7"/>
  <c r="I737" i="7"/>
  <c r="AA735" i="7" s="1" a="1"/>
  <c r="AA735" i="7" s="1"/>
  <c r="I773" i="7"/>
  <c r="I807" i="7"/>
  <c r="I782" i="7"/>
  <c r="I789" i="7"/>
  <c r="I766" i="7"/>
  <c r="I887" i="7"/>
  <c r="I883" i="7"/>
  <c r="I894" i="7"/>
  <c r="I752" i="7"/>
  <c r="I788" i="7"/>
  <c r="I822" i="7"/>
  <c r="I858" i="7"/>
  <c r="I882" i="7"/>
  <c r="I763" i="7"/>
  <c r="I797" i="7"/>
  <c r="I801" i="7"/>
  <c r="I778" i="7"/>
  <c r="I755" i="7"/>
  <c r="I734" i="7"/>
  <c r="AA732" i="7" s="1" a="1"/>
  <c r="AA732" i="7" s="1"/>
  <c r="G1966" i="7"/>
  <c r="T1966" i="7" s="1"/>
  <c r="G1856" i="7"/>
  <c r="T1856" i="7" s="1"/>
  <c r="G1844" i="7"/>
  <c r="T1844" i="7" s="1"/>
  <c r="G1883" i="7"/>
  <c r="T1883" i="7" s="1"/>
  <c r="G1935" i="7"/>
  <c r="T1935" i="7" s="1"/>
  <c r="G1931" i="7"/>
  <c r="T1931" i="7" s="1"/>
  <c r="G1936" i="7"/>
  <c r="T1936" i="7" s="1"/>
  <c r="G1898" i="7"/>
  <c r="T1898" i="7" s="1"/>
  <c r="G1955" i="7"/>
  <c r="T1955" i="7" s="1"/>
  <c r="G1971" i="7"/>
  <c r="T1971" i="7" s="1"/>
  <c r="G1831" i="7"/>
  <c r="T1831" i="7" s="1"/>
  <c r="G1946" i="7"/>
  <c r="T1946" i="7" s="1"/>
  <c r="G1824" i="7"/>
  <c r="T1824" i="7" s="1"/>
  <c r="G1937" i="7"/>
  <c r="T1937" i="7" s="1"/>
  <c r="G1861" i="7"/>
  <c r="T1861" i="7" s="1"/>
  <c r="G1923" i="7"/>
  <c r="T1923" i="7" s="1"/>
  <c r="G1916" i="7"/>
  <c r="T1916" i="7" s="1"/>
  <c r="G1830" i="7"/>
  <c r="T1830" i="7" s="1"/>
  <c r="G1950" i="7"/>
  <c r="T1950" i="7" s="1"/>
  <c r="G1820" i="7"/>
  <c r="T1820" i="7" s="1"/>
  <c r="G1086" i="7" a="1"/>
  <c r="G1086" i="7" s="1"/>
  <c r="G1915" i="7"/>
  <c r="T1915" i="7" s="1"/>
  <c r="G1850" i="7"/>
  <c r="T1850" i="7" s="1"/>
  <c r="G1866" i="7"/>
  <c r="T1866" i="7" s="1"/>
  <c r="G1812" i="7"/>
  <c r="G1934" i="7"/>
  <c r="T1934" i="7" s="1"/>
  <c r="G1845" i="7"/>
  <c r="T1845" i="7" s="1"/>
  <c r="G1837" i="7"/>
  <c r="T1837" i="7" s="1"/>
  <c r="G1893" i="7"/>
  <c r="T1893" i="7" s="1"/>
  <c r="G1911" i="7"/>
  <c r="T1911" i="7" s="1"/>
  <c r="G1901" i="7"/>
  <c r="T1901" i="7" s="1"/>
  <c r="G1818" i="7"/>
  <c r="T1818" i="7" s="1"/>
  <c r="G1932" i="7"/>
  <c r="T1932" i="7" s="1"/>
  <c r="G1894" i="7"/>
  <c r="T1894" i="7" s="1"/>
  <c r="G1947" i="7"/>
  <c r="T1947" i="7" s="1"/>
  <c r="G1949" i="7"/>
  <c r="T1949" i="7" s="1"/>
  <c r="G1943" i="7"/>
  <c r="T1943" i="7" s="1"/>
  <c r="G1933" i="7"/>
  <c r="T1933" i="7" s="1"/>
  <c r="G1953" i="7"/>
  <c r="T1953" i="7" s="1"/>
  <c r="G1855" i="7"/>
  <c r="T1855" i="7" s="1"/>
  <c r="G1847" i="7"/>
  <c r="T1847" i="7" s="1"/>
  <c r="G1859" i="7"/>
  <c r="T1859" i="7" s="1"/>
  <c r="G1912" i="7"/>
  <c r="T1912" i="7" s="1"/>
  <c r="G1806" i="7"/>
  <c r="G1917" i="7"/>
  <c r="T1917" i="7" s="1"/>
  <c r="G1880" i="7"/>
  <c r="T1880" i="7" s="1"/>
  <c r="G1881" i="7"/>
  <c r="T1881" i="7" s="1"/>
  <c r="G1842" i="7"/>
  <c r="T1842" i="7" s="1"/>
  <c r="G1965" i="7"/>
  <c r="T1965" i="7" s="1"/>
  <c r="G1913" i="7"/>
  <c r="T1913" i="7" s="1"/>
  <c r="G1921" i="7"/>
  <c r="T1921" i="7" s="1"/>
  <c r="G1969" i="7"/>
  <c r="T1969" i="7" s="1"/>
  <c r="G1834" i="7"/>
  <c r="T1834" i="7" s="1"/>
  <c r="G1807" i="7"/>
  <c r="G1862" i="7"/>
  <c r="T1862" i="7" s="1"/>
  <c r="G1952" i="7"/>
  <c r="T1952" i="7" s="1"/>
  <c r="G1865" i="7"/>
  <c r="T1865" i="7" s="1"/>
  <c r="G1889" i="7"/>
  <c r="T1889" i="7" s="1"/>
  <c r="G1907" i="7"/>
  <c r="T1907" i="7" s="1"/>
  <c r="G1914" i="7"/>
  <c r="T1914" i="7" s="1"/>
  <c r="G1938" i="7"/>
  <c r="T1938" i="7" s="1"/>
  <c r="G1858" i="7"/>
  <c r="T1858" i="7" s="1"/>
  <c r="G1835" i="7"/>
  <c r="T1835" i="7" s="1"/>
  <c r="G1973" i="7"/>
  <c r="T1973" i="7" s="1"/>
  <c r="G1825" i="7"/>
  <c r="T1825" i="7" s="1"/>
  <c r="G1849" i="7"/>
  <c r="T1849" i="7" s="1"/>
  <c r="G1871" i="7"/>
  <c r="T1871" i="7" s="1"/>
  <c r="G1906" i="7"/>
  <c r="T1906" i="7" s="1"/>
  <c r="G1895" i="7"/>
  <c r="T1895" i="7" s="1"/>
  <c r="G1815" i="7"/>
  <c r="T1815" i="7" s="1"/>
  <c r="G1930" i="7"/>
  <c r="T1930" i="7" s="1"/>
  <c r="G1954" i="7"/>
  <c r="T1954" i="7" s="1"/>
  <c r="G1821" i="7"/>
  <c r="T1821" i="7" s="1"/>
  <c r="G1873" i="7"/>
  <c r="T1873" i="7" s="1"/>
  <c r="G548" i="7" a="1"/>
  <c r="G548" i="7" s="1"/>
  <c r="Y546" i="7" s="1" a="1"/>
  <c r="Y546" i="7" s="1"/>
  <c r="G1828" i="7"/>
  <c r="T1828" i="7" s="1"/>
  <c r="G1874" i="7"/>
  <c r="T1874" i="7" s="1"/>
  <c r="G1896" i="7"/>
  <c r="T1896" i="7" s="1"/>
  <c r="G1962" i="7"/>
  <c r="T1962" i="7" s="1"/>
  <c r="G1961" i="7"/>
  <c r="T1961" i="7" s="1"/>
  <c r="G1951" i="7"/>
  <c r="T1951" i="7" s="1"/>
  <c r="G1887" i="7"/>
  <c r="T1887" i="7" s="1"/>
  <c r="G1867" i="7"/>
  <c r="T1867" i="7" s="1"/>
  <c r="G1853" i="7"/>
  <c r="T1853" i="7" s="1"/>
  <c r="G1891" i="7"/>
  <c r="T1891" i="7" s="1"/>
  <c r="G1905" i="7"/>
  <c r="T1905" i="7" s="1"/>
  <c r="G1964" i="7"/>
  <c r="T1964" i="7" s="1"/>
  <c r="G1970" i="7"/>
  <c r="T1970" i="7" s="1"/>
  <c r="G1822" i="7"/>
  <c r="T1822" i="7" s="1"/>
  <c r="G906" i="7" a="1"/>
  <c r="G906" i="7" s="1"/>
  <c r="G1942" i="7"/>
  <c r="T1942" i="7" s="1"/>
  <c r="G1918" i="7"/>
  <c r="T1918" i="7" s="1"/>
  <c r="G1851" i="7"/>
  <c r="T1851" i="7" s="1"/>
  <c r="G1809" i="7"/>
  <c r="G1864" i="7"/>
  <c r="T1864" i="7" s="1"/>
  <c r="G1885" i="7"/>
  <c r="T1885" i="7" s="1"/>
  <c r="G1872" i="7"/>
  <c r="T1872" i="7" s="1"/>
  <c r="G1909" i="7"/>
  <c r="T1909" i="7" s="1"/>
  <c r="G1924" i="7"/>
  <c r="T1924" i="7" s="1"/>
  <c r="G1854" i="7"/>
  <c r="T1854" i="7" s="1"/>
  <c r="G1967" i="7"/>
  <c r="T1967" i="7" s="1"/>
  <c r="G1869" i="7"/>
  <c r="T1869" i="7" s="1"/>
  <c r="G1928" i="7"/>
  <c r="T1928" i="7" s="1"/>
  <c r="G1838" i="7"/>
  <c r="T1838" i="7" s="1"/>
  <c r="G1816" i="7"/>
  <c r="T1816" i="7" s="1"/>
  <c r="G1829" i="7"/>
  <c r="T1829" i="7" s="1"/>
  <c r="G1875" i="7"/>
  <c r="T1875" i="7" s="1"/>
  <c r="G1846" i="7"/>
  <c r="T1846" i="7" s="1"/>
  <c r="G1833" i="7"/>
  <c r="T1833" i="7" s="1"/>
  <c r="G1919" i="7"/>
  <c r="T1919" i="7" s="1"/>
  <c r="G1892" i="7"/>
  <c r="T1892" i="7" s="1"/>
  <c r="G1886" i="7"/>
  <c r="T1886" i="7" s="1"/>
  <c r="G1940" i="7"/>
  <c r="T1940" i="7" s="1"/>
  <c r="G1920" i="7"/>
  <c r="T1920" i="7" s="1"/>
  <c r="G1944" i="7"/>
  <c r="T1944" i="7" s="1"/>
  <c r="G1910" i="7"/>
  <c r="T1910" i="7" s="1"/>
  <c r="G1884" i="7"/>
  <c r="T1884" i="7" s="1"/>
  <c r="G1823" i="7"/>
  <c r="T1823" i="7" s="1"/>
  <c r="G1840" i="7"/>
  <c r="T1840" i="7" s="1"/>
  <c r="G1868" i="7"/>
  <c r="T1868" i="7" s="1"/>
  <c r="G1819" i="7"/>
  <c r="T1819" i="7" s="1"/>
  <c r="G1811" i="7"/>
  <c r="G1941" i="7"/>
  <c r="T1941" i="7" s="1"/>
  <c r="G1843" i="7"/>
  <c r="T1843" i="7" s="1"/>
  <c r="G1832" i="7"/>
  <c r="T1832" i="7" s="1"/>
  <c r="G1908" i="7"/>
  <c r="T1908" i="7" s="1"/>
  <c r="G1839" i="7"/>
  <c r="T1839" i="7" s="1"/>
  <c r="G1963" i="7"/>
  <c r="T1963" i="7" s="1"/>
  <c r="G1927" i="7"/>
  <c r="T1927" i="7" s="1"/>
  <c r="G1876" i="7"/>
  <c r="T1876" i="7" s="1"/>
  <c r="G1857" i="7"/>
  <c r="T1857" i="7" s="1"/>
  <c r="G1817" i="7"/>
  <c r="T1817" i="7" s="1"/>
  <c r="G1904" i="7"/>
  <c r="T1904" i="7" s="1"/>
  <c r="G1813" i="7"/>
  <c r="G1926" i="7"/>
  <c r="T1926" i="7" s="1"/>
  <c r="G372" i="7" a="1"/>
  <c r="G372" i="7" s="1"/>
  <c r="Y370" i="7" s="1" a="1"/>
  <c r="Y370" i="7" s="1"/>
  <c r="G1882" i="7"/>
  <c r="T1882" i="7" s="1"/>
  <c r="G1922" i="7"/>
  <c r="T1922" i="7" s="1"/>
  <c r="G1929" i="7"/>
  <c r="T1929" i="7" s="1"/>
  <c r="G1804" i="7"/>
  <c r="G1810" i="7"/>
  <c r="G1902" i="7"/>
  <c r="T1902" i="7" s="1"/>
  <c r="G1957" i="7"/>
  <c r="T1957" i="7" s="1"/>
  <c r="G1860" i="7"/>
  <c r="T1860" i="7" s="1"/>
  <c r="G1900" i="7"/>
  <c r="T1900" i="7" s="1"/>
  <c r="G1972" i="7"/>
  <c r="T1972" i="7" s="1"/>
  <c r="G1959" i="7"/>
  <c r="T1959" i="7" s="1"/>
  <c r="G1879" i="7"/>
  <c r="T1879" i="7" s="1"/>
  <c r="G1939" i="7"/>
  <c r="T1939" i="7" s="1"/>
  <c r="G1827" i="7"/>
  <c r="T1827" i="7" s="1"/>
  <c r="G1945" i="7"/>
  <c r="T1945" i="7" s="1"/>
  <c r="G1878" i="7"/>
  <c r="T1878" i="7" s="1"/>
  <c r="G1852" i="7"/>
  <c r="T1852" i="7" s="1"/>
  <c r="G1848" i="7"/>
  <c r="T1848" i="7" s="1"/>
  <c r="T1794" i="7"/>
  <c r="H1794" i="7"/>
  <c r="E1795" i="7" s="1"/>
  <c r="G727" i="7" a="1"/>
  <c r="G727" i="7" s="1"/>
  <c r="G1078" i="7" a="1"/>
  <c r="G1078" i="7" s="1"/>
  <c r="G362" i="11" s="1"/>
  <c r="H362" i="11" s="1"/>
  <c r="G1799" i="7"/>
  <c r="G190" i="7" a="1"/>
  <c r="G190" i="7" s="1"/>
  <c r="Y188" i="7" s="1" a="1"/>
  <c r="Y188" i="7" s="1"/>
  <c r="G1436" i="7" a="1"/>
  <c r="G1436" i="7" s="1"/>
  <c r="G720" i="11" s="1"/>
  <c r="H720" i="11" s="1"/>
  <c r="G1800" i="7"/>
  <c r="G362" i="7" a="1"/>
  <c r="G362" i="7" s="1"/>
  <c r="G1801" i="7"/>
  <c r="G1257" i="7" a="1"/>
  <c r="G1257" i="7" s="1"/>
  <c r="G541" i="11" s="1"/>
  <c r="H541" i="11" s="1"/>
  <c r="G1802" i="7"/>
  <c r="P73" i="8"/>
  <c r="G183" i="7" a="1"/>
  <c r="G183" i="7" s="1"/>
  <c r="G1615" i="7" a="1"/>
  <c r="G1615" i="7" s="1"/>
  <c r="G899" i="11" s="1"/>
  <c r="H899" i="11" s="1"/>
  <c r="G1622" i="7" a="1"/>
  <c r="G1622" i="7" s="1"/>
  <c r="G1796" i="7"/>
  <c r="T1796" i="7" s="1"/>
  <c r="G1264" i="7" a="1"/>
  <c r="G1264" i="7" s="1"/>
  <c r="G1899" i="7"/>
  <c r="T1899" i="7" s="1"/>
  <c r="G900" i="7" a="1"/>
  <c r="G900" i="7" s="1"/>
  <c r="G184" i="11" s="1"/>
  <c r="H184" i="11" s="1"/>
  <c r="G365" i="7" a="1"/>
  <c r="G365" i="7" s="1"/>
  <c r="G365" i="10" s="1"/>
  <c r="G1442" i="7" a="1"/>
  <c r="G1442" i="7" s="1"/>
  <c r="G720" i="7" a="1"/>
  <c r="G720" i="7" s="1"/>
  <c r="G4" i="11" s="1"/>
  <c r="H4" i="11" s="1"/>
  <c r="G1803" i="7"/>
  <c r="G1621" i="7" a="1"/>
  <c r="G1621" i="7" s="1"/>
  <c r="G1263" i="7" a="1"/>
  <c r="G1263" i="7" s="1"/>
  <c r="G734" i="7" a="1"/>
  <c r="G734" i="7" s="1"/>
  <c r="G18" i="11" s="1"/>
  <c r="H18" i="11" s="1"/>
  <c r="P80" i="8"/>
  <c r="G726" i="7" a="1"/>
  <c r="G726" i="7" s="1"/>
  <c r="G4" i="7" a="1"/>
  <c r="G4" i="7" s="1"/>
  <c r="G1443" i="7" a="1"/>
  <c r="G1443" i="7" s="1"/>
  <c r="P75" i="8"/>
  <c r="P76" i="8"/>
  <c r="G11" i="7" a="1"/>
  <c r="G11" i="7" s="1"/>
  <c r="Y9" i="7" s="1" a="1"/>
  <c r="Y9" i="7" s="1"/>
  <c r="G1795" i="7"/>
  <c r="T1795" i="7" s="1"/>
  <c r="G1798" i="7"/>
  <c r="G1085" i="7" a="1"/>
  <c r="G1085" i="7" s="1"/>
  <c r="L79" i="8"/>
  <c r="G1088" i="7" a="1"/>
  <c r="G1088" i="7" s="1"/>
  <c r="G1624" i="7" a="1"/>
  <c r="G1624" i="7" s="1"/>
  <c r="G908" i="11" s="1"/>
  <c r="H908" i="11" s="1"/>
  <c r="G541" i="7" a="1"/>
  <c r="G541" i="7" s="1"/>
  <c r="G1797" i="7"/>
  <c r="F18" i="10"/>
  <c r="F314" i="10"/>
  <c r="F88" i="10"/>
  <c r="F321" i="10"/>
  <c r="F138" i="10"/>
  <c r="F158" i="10"/>
  <c r="F27" i="10"/>
  <c r="F250" i="10"/>
  <c r="F192" i="10"/>
  <c r="F179" i="10"/>
  <c r="F90" i="10"/>
  <c r="F87" i="10"/>
  <c r="F26" i="10"/>
  <c r="F346" i="10"/>
  <c r="F24" i="10"/>
  <c r="F331" i="10"/>
  <c r="F243" i="10"/>
  <c r="F233" i="10"/>
  <c r="F12" i="10"/>
  <c r="F72" i="10"/>
  <c r="F259" i="10"/>
  <c r="F320" i="10"/>
  <c r="F111" i="10"/>
  <c r="F227" i="10"/>
  <c r="F235" i="10"/>
  <c r="F76" i="10"/>
  <c r="F300" i="10"/>
  <c r="F94" i="10"/>
  <c r="F319" i="10"/>
  <c r="F22" i="10"/>
  <c r="F134" i="10"/>
  <c r="F102" i="10"/>
  <c r="F251" i="10"/>
  <c r="F214" i="10"/>
  <c r="F40" i="10"/>
  <c r="F17" i="10"/>
  <c r="F54" i="10"/>
  <c r="F313" i="10"/>
  <c r="F51" i="10"/>
  <c r="F310" i="10"/>
  <c r="F305" i="10"/>
  <c r="F219" i="10"/>
  <c r="F343" i="10"/>
  <c r="F205" i="10"/>
  <c r="F45" i="10"/>
  <c r="F323" i="10"/>
  <c r="F25" i="10"/>
  <c r="F317" i="10"/>
  <c r="F126" i="10"/>
  <c r="F198" i="10"/>
  <c r="F167" i="10"/>
  <c r="F11" i="10"/>
  <c r="F91" i="10"/>
  <c r="F189" i="10"/>
  <c r="F252" i="10"/>
  <c r="F288" i="10"/>
  <c r="F188" i="10"/>
  <c r="F99" i="10"/>
  <c r="F286" i="10"/>
  <c r="F224" i="10"/>
  <c r="F216" i="10"/>
  <c r="F258" i="10"/>
  <c r="F20" i="10"/>
  <c r="F221" i="10"/>
  <c r="F103" i="10"/>
  <c r="F74" i="10"/>
  <c r="F200" i="10"/>
  <c r="F81" i="10"/>
  <c r="F223" i="10"/>
  <c r="F98" i="10"/>
  <c r="F271" i="10"/>
  <c r="F196" i="10"/>
  <c r="F4" i="10"/>
  <c r="F194" i="10"/>
  <c r="F47" i="10"/>
  <c r="F229" i="10"/>
  <c r="F49" i="10"/>
  <c r="F282" i="10"/>
  <c r="F147" i="10"/>
  <c r="F186" i="10"/>
  <c r="F100" i="10"/>
  <c r="F232" i="10"/>
  <c r="F62" i="10"/>
  <c r="F339" i="10"/>
  <c r="F171" i="10"/>
  <c r="F66" i="10"/>
  <c r="F209" i="10"/>
  <c r="F178" i="10"/>
  <c r="F182" i="10"/>
  <c r="F283" i="10"/>
  <c r="F118" i="10"/>
  <c r="F197" i="10"/>
  <c r="F277" i="10"/>
  <c r="F15" i="10"/>
  <c r="F202" i="10"/>
  <c r="F176" i="10"/>
  <c r="F237" i="10"/>
  <c r="F65" i="10"/>
  <c r="F222" i="10"/>
  <c r="F187" i="10"/>
  <c r="F253" i="10"/>
  <c r="F274" i="10"/>
  <c r="F312" i="10"/>
  <c r="F96" i="10"/>
  <c r="F23" i="10"/>
  <c r="F105" i="10"/>
  <c r="F41" i="10"/>
  <c r="F44" i="10"/>
  <c r="F348" i="10"/>
  <c r="F297" i="10"/>
  <c r="F133" i="10"/>
  <c r="F106" i="10"/>
  <c r="F246" i="10"/>
  <c r="F217" i="10"/>
  <c r="F278" i="10"/>
  <c r="F107" i="10"/>
  <c r="F263" i="10"/>
  <c r="F289" i="10"/>
  <c r="F124" i="10"/>
  <c r="F121" i="10"/>
  <c r="F234" i="10"/>
  <c r="F89" i="10"/>
  <c r="F285" i="10"/>
  <c r="F215" i="10"/>
  <c r="F344" i="10"/>
  <c r="F164" i="10"/>
  <c r="F247" i="10"/>
  <c r="F140" i="10"/>
  <c r="F275" i="10"/>
  <c r="F241" i="10"/>
  <c r="F174" i="10"/>
  <c r="F166" i="10"/>
  <c r="F16" i="10"/>
  <c r="F301" i="10"/>
  <c r="F159" i="10"/>
  <c r="F101" i="10"/>
  <c r="F180" i="10"/>
  <c r="F268" i="10"/>
  <c r="F168" i="10"/>
  <c r="F59" i="10"/>
  <c r="F146" i="10"/>
  <c r="F70" i="10"/>
  <c r="F270" i="10"/>
  <c r="F33" i="10"/>
  <c r="F58" i="10"/>
  <c r="F185" i="10"/>
  <c r="F53" i="10"/>
  <c r="F255" i="10"/>
  <c r="F149" i="10"/>
  <c r="F211" i="10"/>
  <c r="F38" i="10"/>
  <c r="F156" i="10"/>
  <c r="F169" i="10"/>
  <c r="F260" i="10"/>
  <c r="F338" i="10"/>
  <c r="F322" i="10"/>
  <c r="F56" i="10"/>
  <c r="F108" i="10"/>
  <c r="F128" i="10"/>
  <c r="F13" i="10"/>
  <c r="F333" i="10"/>
  <c r="F230" i="10"/>
  <c r="F244" i="10"/>
  <c r="F153" i="10"/>
  <c r="F355" i="10"/>
  <c r="F231" i="10"/>
  <c r="F208" i="10"/>
  <c r="F55" i="10"/>
  <c r="F266" i="10"/>
  <c r="F125" i="10"/>
  <c r="F296" i="10"/>
  <c r="F226" i="10"/>
  <c r="F67" i="10"/>
  <c r="F19" i="10"/>
  <c r="F325" i="10"/>
  <c r="F64" i="10"/>
  <c r="F290" i="10"/>
  <c r="F86" i="10"/>
  <c r="F139" i="10"/>
  <c r="F10" i="10"/>
  <c r="F52" i="10"/>
  <c r="F354" i="10"/>
  <c r="F284" i="10"/>
  <c r="F204" i="10"/>
  <c r="F46" i="10"/>
  <c r="F112" i="10"/>
  <c r="F311" i="10"/>
  <c r="F29" i="10"/>
  <c r="F154" i="10"/>
  <c r="F307" i="10"/>
  <c r="F83" i="10"/>
  <c r="F9" i="10"/>
  <c r="F206" i="10"/>
  <c r="F104" i="10"/>
  <c r="F123" i="10"/>
  <c r="F37" i="10"/>
  <c r="F117" i="10"/>
  <c r="F318" i="10"/>
  <c r="F173" i="10"/>
  <c r="F262" i="10"/>
  <c r="F150" i="10"/>
  <c r="F345" i="10"/>
  <c r="F350" i="10"/>
  <c r="F218" i="10"/>
  <c r="F85" i="10"/>
  <c r="F148" i="10"/>
  <c r="F195" i="10"/>
  <c r="F132" i="10"/>
  <c r="F21" i="10"/>
  <c r="F308" i="10"/>
  <c r="F34" i="10"/>
  <c r="F351" i="10"/>
  <c r="F141" i="10"/>
  <c r="F279" i="10"/>
  <c r="F269" i="10"/>
  <c r="F193" i="10"/>
  <c r="F39" i="10"/>
  <c r="F199" i="10"/>
  <c r="F63" i="10"/>
  <c r="F201" i="10"/>
  <c r="F293" i="10"/>
  <c r="F261" i="10"/>
  <c r="F291" i="10"/>
  <c r="F210" i="10"/>
  <c r="F254" i="10"/>
  <c r="F225" i="10"/>
  <c r="F162" i="10"/>
  <c r="F213" i="10"/>
  <c r="F127" i="10"/>
  <c r="F36" i="10"/>
  <c r="F257" i="10"/>
  <c r="F61" i="10"/>
  <c r="F129" i="10"/>
  <c r="F172" i="10"/>
  <c r="F144" i="10"/>
  <c r="F190" i="10"/>
  <c r="F249" i="10"/>
  <c r="F77" i="10"/>
  <c r="F145" i="10"/>
  <c r="F109" i="10"/>
  <c r="F309" i="10"/>
  <c r="F73" i="10"/>
  <c r="F267" i="10"/>
  <c r="F352" i="10"/>
  <c r="F155" i="10"/>
  <c r="F143" i="10"/>
  <c r="F120" i="10"/>
  <c r="F272" i="10"/>
  <c r="F79" i="10"/>
  <c r="F299" i="10"/>
  <c r="F119" i="10"/>
  <c r="F329" i="10"/>
  <c r="F6" i="10"/>
  <c r="F80" i="10"/>
  <c r="F137" i="10"/>
  <c r="F228" i="10"/>
  <c r="F295" i="10"/>
  <c r="F92" i="10"/>
  <c r="F273" i="10"/>
  <c r="F292" i="10"/>
  <c r="F122" i="10"/>
  <c r="F303" i="10"/>
  <c r="F28" i="10"/>
  <c r="F336" i="10"/>
  <c r="F287" i="10"/>
  <c r="F280" i="10"/>
  <c r="F110" i="10"/>
  <c r="F330" i="10"/>
  <c r="F203" i="10"/>
  <c r="F84" i="10"/>
  <c r="F316" i="10"/>
  <c r="F31" i="10"/>
  <c r="F151" i="10"/>
  <c r="F248" i="10"/>
  <c r="F163" i="10"/>
  <c r="F142" i="10"/>
  <c r="F207" i="10"/>
  <c r="F326" i="10"/>
  <c r="F48" i="10"/>
  <c r="F113" i="10"/>
  <c r="F264" i="10"/>
  <c r="F95" i="10"/>
  <c r="F212" i="10"/>
  <c r="F170" i="10"/>
  <c r="F349" i="10"/>
  <c r="F68" i="10"/>
  <c r="F71" i="10"/>
  <c r="F238" i="10"/>
  <c r="F177" i="10"/>
  <c r="F240" i="10"/>
  <c r="F220" i="10"/>
  <c r="F43" i="10"/>
  <c r="F332" i="10"/>
  <c r="F8" i="10"/>
  <c r="F152" i="10"/>
  <c r="F57" i="10"/>
  <c r="F136" i="10"/>
  <c r="F116" i="10"/>
  <c r="F342" i="10"/>
  <c r="F82" i="10"/>
  <c r="F161" i="10"/>
  <c r="F328" i="10"/>
  <c r="F131" i="10"/>
  <c r="F157" i="10"/>
  <c r="F115" i="10"/>
  <c r="F165" i="10"/>
  <c r="F327" i="10"/>
  <c r="F181" i="10"/>
  <c r="F256" i="10"/>
  <c r="F191" i="10"/>
  <c r="F35" i="10"/>
  <c r="F353" i="10"/>
  <c r="F245" i="10"/>
  <c r="F69" i="10"/>
  <c r="F14" i="10"/>
  <c r="F239" i="10"/>
  <c r="F184" i="10"/>
  <c r="F304" i="10"/>
  <c r="F306" i="10"/>
  <c r="F236" i="10"/>
  <c r="F298" i="10"/>
  <c r="F337" i="10"/>
  <c r="F335" i="10"/>
  <c r="F75" i="10"/>
  <c r="F135" i="10"/>
  <c r="F60" i="10"/>
  <c r="F50" i="10"/>
  <c r="F97" i="10"/>
  <c r="F315" i="10"/>
  <c r="F7" i="10"/>
  <c r="F130" i="10"/>
  <c r="F30" i="10"/>
  <c r="F265" i="10"/>
  <c r="F341" i="10"/>
  <c r="F114" i="10"/>
  <c r="F42" i="10"/>
  <c r="F334" i="10"/>
  <c r="G1682" i="7" a="1"/>
  <c r="G1682" i="7" s="1"/>
  <c r="G966" i="11" s="1"/>
  <c r="H966" i="11" s="1"/>
  <c r="G14" i="7" a="1"/>
  <c r="G14" i="7" s="1"/>
  <c r="Y12" i="7" s="1" a="1"/>
  <c r="Y12" i="7" s="1"/>
  <c r="G1627" i="7" a="1"/>
  <c r="G1627" i="7" s="1"/>
  <c r="G193" i="7" a="1"/>
  <c r="G193" i="7" s="1"/>
  <c r="Y191" i="7" s="1" a="1"/>
  <c r="Y191" i="7" s="1"/>
  <c r="F542" i="10"/>
  <c r="G73" i="7" a="1"/>
  <c r="G73" i="7" s="1"/>
  <c r="G797" i="7" a="1"/>
  <c r="G797" i="7" s="1"/>
  <c r="G81" i="11" s="1"/>
  <c r="G1208" i="7" a="1"/>
  <c r="G1208" i="7" s="1"/>
  <c r="G492" i="11" s="1"/>
  <c r="H492" i="11" s="1"/>
  <c r="G189" i="7" a="1"/>
  <c r="G189" i="7" s="1"/>
  <c r="Y187" i="7" s="1" a="1"/>
  <c r="Y187" i="7" s="1"/>
  <c r="G368" i="7" a="1"/>
  <c r="G368" i="7" s="1"/>
  <c r="Y366" i="7" s="1" a="1"/>
  <c r="Y366" i="7" s="1"/>
  <c r="G1477" i="7" a="1"/>
  <c r="G1477" i="7" s="1"/>
  <c r="G761" i="11" s="1"/>
  <c r="H761" i="11" s="1"/>
  <c r="G905" i="7" a="1"/>
  <c r="G905" i="7" s="1"/>
  <c r="F391" i="10"/>
  <c r="F447" i="10"/>
  <c r="F396" i="10"/>
  <c r="F367" i="10"/>
  <c r="F369" i="10"/>
  <c r="F495" i="10"/>
  <c r="F371" i="10"/>
  <c r="F498" i="10"/>
  <c r="F457" i="10"/>
  <c r="F460" i="10"/>
  <c r="F420" i="10"/>
  <c r="F474" i="10"/>
  <c r="F443" i="10"/>
  <c r="F364" i="10"/>
  <c r="F428" i="10"/>
  <c r="F484" i="10"/>
  <c r="F533" i="10"/>
  <c r="F539" i="10"/>
  <c r="G1261" i="7" a="1"/>
  <c r="G1261" i="7" s="1"/>
  <c r="G545" i="11" s="1"/>
  <c r="H545" i="11" s="1"/>
  <c r="G1446" i="7" a="1"/>
  <c r="G1446" i="7" s="1"/>
  <c r="G6" i="7" a="1"/>
  <c r="G6" i="7" s="1"/>
  <c r="Y4" i="7" s="1" a="1"/>
  <c r="Y4" i="7" s="1"/>
  <c r="G186" i="7" a="1"/>
  <c r="G186" i="7" s="1"/>
  <c r="G721" i="7" a="1"/>
  <c r="G721" i="7" s="1"/>
  <c r="G5" i="11" s="1"/>
  <c r="H5" i="11" s="1"/>
  <c r="G1265" i="7" a="1"/>
  <c r="G1265" i="7" s="1"/>
  <c r="G1441" i="7" a="1"/>
  <c r="G1441" i="7" s="1"/>
  <c r="G725" i="11" s="1"/>
  <c r="H725" i="11" s="1"/>
  <c r="F502" i="10"/>
  <c r="F511" i="10"/>
  <c r="F515" i="10"/>
  <c r="F462" i="10"/>
  <c r="F530" i="10"/>
  <c r="F509" i="10"/>
  <c r="F423" i="10"/>
  <c r="F410" i="10"/>
  <c r="F416" i="10"/>
  <c r="F459" i="10"/>
  <c r="F505" i="10"/>
  <c r="F448" i="10"/>
  <c r="F485" i="10"/>
  <c r="F372" i="10"/>
  <c r="F520" i="10"/>
  <c r="F496" i="10"/>
  <c r="F394" i="10"/>
  <c r="F503" i="10"/>
  <c r="F535" i="10"/>
  <c r="F481" i="10"/>
  <c r="F518" i="10"/>
  <c r="F402" i="10"/>
  <c r="M80" i="8"/>
  <c r="F379" i="10"/>
  <c r="F436" i="10"/>
  <c r="F513" i="10"/>
  <c r="F426" i="10"/>
  <c r="F461" i="10"/>
  <c r="F532" i="10"/>
  <c r="F523" i="10"/>
  <c r="G1683" i="7" a="1"/>
  <c r="G1683" i="7" s="1"/>
  <c r="G967" i="11" s="1"/>
  <c r="H967" i="11" s="1"/>
  <c r="G1176" i="7" a="1"/>
  <c r="G1176" i="7" s="1"/>
  <c r="G460" i="11" s="1"/>
  <c r="H460" i="11" s="1"/>
  <c r="G1194" i="7" a="1"/>
  <c r="G1194" i="7" s="1"/>
  <c r="G478" i="11" s="1"/>
  <c r="H478" i="11" s="1"/>
  <c r="G1084" i="7" a="1"/>
  <c r="G1084" i="7" s="1"/>
  <c r="G903" i="7" a="1"/>
  <c r="G903" i="7" s="1"/>
  <c r="G187" i="11" s="1"/>
  <c r="H187" i="11" s="1"/>
  <c r="G1625" i="7" a="1"/>
  <c r="G1625" i="7" s="1"/>
  <c r="G364" i="7" a="1"/>
  <c r="G364" i="7" s="1"/>
  <c r="Y362" i="7" s="1" a="1"/>
  <c r="Y362" i="7" s="1"/>
  <c r="G902" i="7" a="1"/>
  <c r="G902" i="7" s="1"/>
  <c r="G542" i="7" a="1"/>
  <c r="G542" i="7" s="1"/>
  <c r="G542" i="10" s="1"/>
  <c r="G907" i="7" a="1"/>
  <c r="G907" i="7" s="1"/>
  <c r="G1620" i="7" a="1"/>
  <c r="G1620" i="7" s="1"/>
  <c r="G904" i="11" s="1"/>
  <c r="H904" i="11" s="1"/>
  <c r="G1440" i="7" a="1"/>
  <c r="G1440" i="7" s="1"/>
  <c r="G724" i="11" s="1"/>
  <c r="H724" i="11" s="1"/>
  <c r="G185" i="7" a="1"/>
  <c r="G185" i="7" s="1"/>
  <c r="Y183" i="7" s="1" a="1"/>
  <c r="Y183" i="7" s="1"/>
  <c r="G723" i="7" a="1"/>
  <c r="G723" i="7" s="1"/>
  <c r="G1258" i="7" a="1"/>
  <c r="G1258" i="7" s="1"/>
  <c r="G542" i="11" s="1"/>
  <c r="H542" i="11" s="1"/>
  <c r="G1444" i="7" a="1"/>
  <c r="G1444" i="7" s="1"/>
  <c r="G371" i="7" a="1"/>
  <c r="G371" i="7" s="1"/>
  <c r="Y369" i="7" s="1" a="1"/>
  <c r="Y369" i="7" s="1"/>
  <c r="G1619" i="7" a="1"/>
  <c r="G1619" i="7" s="1"/>
  <c r="G903" i="11" s="1"/>
  <c r="H903" i="11" s="1"/>
  <c r="G901" i="7" a="1"/>
  <c r="G901" i="7" s="1"/>
  <c r="G544" i="7" a="1"/>
  <c r="G544" i="7" s="1"/>
  <c r="G1079" i="7" a="1"/>
  <c r="G1079" i="7" s="1"/>
  <c r="G1623" i="7" a="1"/>
  <c r="G1623" i="7" s="1"/>
  <c r="G192" i="7" a="1"/>
  <c r="G192" i="7" s="1"/>
  <c r="F405" i="10"/>
  <c r="F450" i="10"/>
  <c r="F409" i="10"/>
  <c r="F483" i="10"/>
  <c r="F439" i="10"/>
  <c r="F455" i="10"/>
  <c r="F473" i="10"/>
  <c r="F400" i="10"/>
  <c r="F437" i="10"/>
  <c r="F516" i="10"/>
  <c r="F442" i="10"/>
  <c r="F433" i="10"/>
  <c r="F470" i="10"/>
  <c r="F482" i="10"/>
  <c r="F441" i="10"/>
  <c r="F382" i="10"/>
  <c r="G722" i="7" a="1"/>
  <c r="G722" i="7" s="1"/>
  <c r="G1260" i="7" a="1"/>
  <c r="G1260" i="7" s="1"/>
  <c r="G544" i="11" s="1"/>
  <c r="H544" i="11" s="1"/>
  <c r="G1437" i="7" a="1"/>
  <c r="G1437" i="7" s="1"/>
  <c r="G721" i="11" s="1"/>
  <c r="H721" i="11" s="1"/>
  <c r="G9" i="7" a="1"/>
  <c r="G9" i="7" s="1"/>
  <c r="Y7" i="7" s="1" a="1"/>
  <c r="Y7" i="7" s="1"/>
  <c r="G13" i="7" a="1"/>
  <c r="G13" i="7" s="1"/>
  <c r="G543" i="7" a="1"/>
  <c r="G543" i="7" s="1"/>
  <c r="Y541" i="7" s="1" a="1"/>
  <c r="Y541" i="7" s="1"/>
  <c r="G1081" i="7" a="1"/>
  <c r="G1081" i="7" s="1"/>
  <c r="G365" i="11" s="1"/>
  <c r="H365" i="11" s="1"/>
  <c r="G1616" i="7" a="1"/>
  <c r="G1616" i="7" s="1"/>
  <c r="G900" i="11" s="1"/>
  <c r="H900" i="11" s="1"/>
  <c r="G188" i="7" a="1"/>
  <c r="G188" i="7" s="1"/>
  <c r="Y186" i="7" s="1" a="1"/>
  <c r="Y186" i="7" s="1"/>
  <c r="G729" i="7" a="1"/>
  <c r="G729" i="7" s="1"/>
  <c r="G13" i="11" s="1"/>
  <c r="G1259" i="7" a="1"/>
  <c r="G1259" i="7" s="1"/>
  <c r="G1439" i="7" a="1"/>
  <c r="G1439" i="7" s="1"/>
  <c r="G723" i="11" s="1"/>
  <c r="H723" i="11" s="1"/>
  <c r="G12" i="7" a="1"/>
  <c r="G12" i="7" s="1"/>
  <c r="Y10" i="7" s="1" a="1"/>
  <c r="Y10" i="7" s="1"/>
  <c r="G546" i="7" a="1"/>
  <c r="G546" i="7" s="1"/>
  <c r="Y544" i="7" s="1" a="1"/>
  <c r="Y544" i="7" s="1"/>
  <c r="G908" i="7" a="1"/>
  <c r="G908" i="7" s="1"/>
  <c r="G192" i="11" s="1"/>
  <c r="H192" i="11" s="1"/>
  <c r="F425" i="10"/>
  <c r="F380" i="10"/>
  <c r="F480" i="10"/>
  <c r="F445" i="10"/>
  <c r="F536" i="10"/>
  <c r="F514" i="10"/>
  <c r="F508" i="10"/>
  <c r="F377" i="10"/>
  <c r="F476" i="10"/>
  <c r="G366" i="7" a="1"/>
  <c r="G366" i="7" s="1"/>
  <c r="G1080" i="7" a="1"/>
  <c r="G1080" i="7" s="1"/>
  <c r="G1618" i="7" a="1"/>
  <c r="G1618" i="7" s="1"/>
  <c r="G902" i="11" s="1"/>
  <c r="H902" i="11" s="1"/>
  <c r="G191" i="7" a="1"/>
  <c r="G191" i="7" s="1"/>
  <c r="Y189" i="7" s="1" a="1"/>
  <c r="Y189" i="7" s="1"/>
  <c r="G367" i="7" a="1"/>
  <c r="G367" i="7" s="1"/>
  <c r="Y365" i="7" s="1" a="1"/>
  <c r="Y365" i="7" s="1"/>
  <c r="G550" i="7" a="1"/>
  <c r="G550" i="7" s="1"/>
  <c r="G8" i="7" a="1"/>
  <c r="G8" i="7" s="1"/>
  <c r="F479" i="10"/>
  <c r="F390" i="10"/>
  <c r="F490" i="10"/>
  <c r="F412" i="10"/>
  <c r="F454" i="10"/>
  <c r="F385" i="10"/>
  <c r="F422" i="10"/>
  <c r="F456" i="10"/>
  <c r="F499" i="10"/>
  <c r="F506" i="10"/>
  <c r="F418" i="10"/>
  <c r="F366" i="10"/>
  <c r="F384" i="10"/>
  <c r="F522" i="10"/>
  <c r="G10" i="7" a="1"/>
  <c r="G10" i="7" s="1"/>
  <c r="Y8" i="7" s="1" a="1"/>
  <c r="Y8" i="7" s="1"/>
  <c r="G187" i="7" a="1"/>
  <c r="G187" i="7" s="1"/>
  <c r="G551" i="7" a="1"/>
  <c r="G551" i="7" s="1"/>
  <c r="G1617" i="7" a="1"/>
  <c r="G1617" i="7" s="1"/>
  <c r="G184" i="7" a="1"/>
  <c r="G184" i="7" s="1"/>
  <c r="G370" i="7" a="1"/>
  <c r="G370" i="7" s="1"/>
  <c r="Y368" i="7" s="1" a="1"/>
  <c r="Y368" i="7" s="1"/>
  <c r="G1083" i="7" a="1"/>
  <c r="G1083" i="7" s="1"/>
  <c r="G1266" i="7" a="1"/>
  <c r="G1266" i="7" s="1"/>
  <c r="G550" i="11" s="1"/>
  <c r="H550" i="11" s="1"/>
  <c r="F538" i="10"/>
  <c r="F421" i="10"/>
  <c r="F397" i="10"/>
  <c r="F493" i="10"/>
  <c r="F492" i="10"/>
  <c r="F507" i="10"/>
  <c r="F373" i="10"/>
  <c r="F395" i="10"/>
  <c r="G730" i="7" a="1"/>
  <c r="G730" i="7" s="1"/>
  <c r="S72" i="8"/>
  <c r="F432" i="10"/>
  <c r="F497" i="10"/>
  <c r="F537" i="10"/>
  <c r="F529" i="10"/>
  <c r="F374" i="10"/>
  <c r="F478" i="10"/>
  <c r="F468" i="10"/>
  <c r="F424" i="10"/>
  <c r="F501" i="10"/>
  <c r="F430" i="10"/>
  <c r="F531" i="10"/>
  <c r="F444" i="10"/>
  <c r="F465" i="10"/>
  <c r="F504" i="10"/>
  <c r="F519" i="10"/>
  <c r="F540" i="10"/>
  <c r="F449" i="10"/>
  <c r="F431" i="10"/>
  <c r="F534" i="10"/>
  <c r="F370" i="10"/>
  <c r="F399" i="10"/>
  <c r="F467" i="10"/>
  <c r="F446" i="10"/>
  <c r="G547" i="7" a="1"/>
  <c r="G547" i="7" s="1"/>
  <c r="Y545" i="7" s="1" a="1"/>
  <c r="Y545" i="7" s="1"/>
  <c r="G724" i="7" a="1"/>
  <c r="G724" i="7" s="1"/>
  <c r="G8" i="11" s="1"/>
  <c r="G909" i="7" a="1"/>
  <c r="G909" i="7" s="1"/>
  <c r="G363" i="7" a="1"/>
  <c r="G363" i="7" s="1"/>
  <c r="T363" i="7" s="1"/>
  <c r="N363" i="10" s="1"/>
  <c r="G549" i="7" a="1"/>
  <c r="G549" i="7" s="1"/>
  <c r="Y547" i="7" s="1" a="1"/>
  <c r="Y547" i="7" s="1"/>
  <c r="G904" i="7" a="1"/>
  <c r="G904" i="7" s="1"/>
  <c r="G188" i="11" s="1"/>
  <c r="H188" i="11" s="1"/>
  <c r="G1087" i="7" a="1"/>
  <c r="G1087" i="7" s="1"/>
  <c r="G371" i="11" s="1"/>
  <c r="H371" i="11" s="1"/>
  <c r="F427" i="10"/>
  <c r="F477" i="10"/>
  <c r="F415" i="10"/>
  <c r="F383" i="10"/>
  <c r="F411" i="10"/>
  <c r="F469" i="10"/>
  <c r="F489" i="10"/>
  <c r="F488" i="10"/>
  <c r="G7" i="7" a="1"/>
  <c r="G7" i="7" s="1"/>
  <c r="G5" i="7" a="1"/>
  <c r="G5" i="7" s="1"/>
  <c r="G728" i="7" a="1"/>
  <c r="G728" i="7" s="1"/>
  <c r="G725" i="7" a="1"/>
  <c r="G725" i="7" s="1"/>
  <c r="G1445" i="7" a="1"/>
  <c r="G1445" i="7" s="1"/>
  <c r="G729" i="11" s="1"/>
  <c r="H729" i="11" s="1"/>
  <c r="F393" i="10"/>
  <c r="F494" i="10"/>
  <c r="F408" i="10"/>
  <c r="F417" i="10"/>
  <c r="F527" i="10"/>
  <c r="F438" i="10"/>
  <c r="F404" i="10"/>
  <c r="F386" i="10"/>
  <c r="F365" i="10"/>
  <c r="F471" i="10"/>
  <c r="F524" i="10"/>
  <c r="F401" i="10"/>
  <c r="F510" i="10"/>
  <c r="F512" i="10"/>
  <c r="F419" i="10"/>
  <c r="F398" i="10"/>
  <c r="F453" i="10"/>
  <c r="F414" i="10"/>
  <c r="F376" i="10"/>
  <c r="G545" i="7" a="1"/>
  <c r="G545" i="7" s="1"/>
  <c r="G1267" i="7" a="1"/>
  <c r="G1267" i="7" s="1"/>
  <c r="F440" i="10"/>
  <c r="F403" i="10"/>
  <c r="F381" i="10"/>
  <c r="F486" i="10"/>
  <c r="F491" i="10"/>
  <c r="F517" i="10"/>
  <c r="F368" i="10"/>
  <c r="F500" i="10"/>
  <c r="F464" i="10"/>
  <c r="G631" i="7" a="1"/>
  <c r="G631" i="7" s="1"/>
  <c r="G1465" i="7" a="1"/>
  <c r="G1465" i="7" s="1"/>
  <c r="G749" i="11" s="1"/>
  <c r="H749" i="11" s="1"/>
  <c r="G1716" i="7" a="1"/>
  <c r="G1716" i="7" s="1"/>
  <c r="G1000" i="11" s="1"/>
  <c r="H1000" i="11" s="1"/>
  <c r="G418" i="7" a="1"/>
  <c r="G418" i="7" s="1"/>
  <c r="G1609" i="7" a="1"/>
  <c r="G1609" i="7" s="1"/>
  <c r="G893" i="11" s="1"/>
  <c r="H893" i="11" s="1"/>
  <c r="G828" i="7" a="1"/>
  <c r="G828" i="7" s="1"/>
  <c r="G112" i="11" s="1"/>
  <c r="H112" i="11" s="1"/>
  <c r="G1557" i="7" a="1"/>
  <c r="G1557" i="7" s="1"/>
  <c r="G841" i="11" s="1"/>
  <c r="H841" i="11" s="1"/>
  <c r="G1556" i="7" a="1"/>
  <c r="G1556" i="7" s="1"/>
  <c r="G840" i="11" s="1"/>
  <c r="H840" i="11" s="1"/>
  <c r="G1268" i="7" a="1"/>
  <c r="G1268" i="7" s="1"/>
  <c r="G1287" i="7" a="1"/>
  <c r="G1287" i="7" s="1"/>
  <c r="G571" i="11" s="1"/>
  <c r="H571" i="11" s="1"/>
  <c r="G1506" i="7" a="1"/>
  <c r="G1506" i="7" s="1"/>
  <c r="G790" i="11" s="1"/>
  <c r="H790" i="11" s="1"/>
  <c r="G339" i="7" a="1"/>
  <c r="G339" i="7" s="1"/>
  <c r="G62" i="7" a="1"/>
  <c r="G62" i="7" s="1"/>
  <c r="G456" i="7" a="1"/>
  <c r="G456" i="7" s="1"/>
  <c r="G1221" i="7" a="1"/>
  <c r="G1221" i="7" s="1"/>
  <c r="G505" i="11" s="1"/>
  <c r="H505" i="11" s="1"/>
  <c r="G84" i="7" a="1"/>
  <c r="G84" i="7" s="1"/>
  <c r="G388" i="7" a="1"/>
  <c r="G388" i="7" s="1"/>
  <c r="G834" i="7" a="1"/>
  <c r="G834" i="7" s="1"/>
  <c r="G118" i="11" s="1"/>
  <c r="H118" i="11" s="1"/>
  <c r="G586" i="7" a="1"/>
  <c r="G586" i="7" s="1"/>
  <c r="G816" i="7" a="1"/>
  <c r="G816" i="7" s="1"/>
  <c r="G100" i="11" s="1"/>
  <c r="H100" i="11" s="1"/>
  <c r="G665" i="7" a="1"/>
  <c r="G665" i="7" s="1"/>
  <c r="G120" i="7" a="1"/>
  <c r="G120" i="7" s="1"/>
  <c r="G1702" i="7" a="1"/>
  <c r="G1702" i="7" s="1"/>
  <c r="G986" i="11" s="1"/>
  <c r="H986" i="11" s="1"/>
  <c r="G1026" i="7" a="1"/>
  <c r="G1026" i="7" s="1"/>
  <c r="G310" i="11" s="1"/>
  <c r="H310" i="11" s="1"/>
  <c r="G86" i="7" a="1"/>
  <c r="G86" i="7" s="1"/>
  <c r="G1428" i="7" a="1"/>
  <c r="G1428" i="7" s="1"/>
  <c r="G712" i="11" s="1"/>
  <c r="H712" i="11" s="1"/>
  <c r="G1676" i="7" a="1"/>
  <c r="G1676" i="7" s="1"/>
  <c r="G960" i="11" s="1"/>
  <c r="H960" i="11" s="1"/>
  <c r="G1188" i="7" a="1"/>
  <c r="G1188" i="7" s="1"/>
  <c r="G472" i="11" s="1"/>
  <c r="H472" i="11" s="1"/>
  <c r="G1790" i="7" a="1"/>
  <c r="G1790" i="7" s="1"/>
  <c r="G1074" i="11" s="1"/>
  <c r="H1074" i="11" s="1"/>
  <c r="G1499" i="7" a="1"/>
  <c r="G1499" i="7" s="1"/>
  <c r="G783" i="11" s="1"/>
  <c r="H783" i="11" s="1"/>
  <c r="G223" i="7" a="1"/>
  <c r="G223" i="7" s="1"/>
  <c r="G976" i="7" a="1"/>
  <c r="G976" i="7" s="1"/>
  <c r="G260" i="11" s="1"/>
  <c r="H260" i="11" s="1"/>
  <c r="G253" i="7" a="1"/>
  <c r="G253" i="7" s="1"/>
  <c r="G570" i="7" a="1"/>
  <c r="G570" i="7" s="1"/>
  <c r="G1744" i="7" a="1"/>
  <c r="G1744" i="7" s="1"/>
  <c r="G1028" i="11" s="1"/>
  <c r="H1028" i="11" s="1"/>
  <c r="G1495" i="7" a="1"/>
  <c r="G1495" i="7" s="1"/>
  <c r="G779" i="11" s="1"/>
  <c r="H779" i="11" s="1"/>
  <c r="G925" i="7" a="1"/>
  <c r="G925" i="7" s="1"/>
  <c r="G209" i="11" s="1"/>
  <c r="H209" i="11" s="1"/>
  <c r="G1514" i="7" a="1"/>
  <c r="G1514" i="7" s="1"/>
  <c r="G798" i="11" s="1"/>
  <c r="H798" i="11" s="1"/>
  <c r="G1092" i="7" a="1"/>
  <c r="G1092" i="7" s="1"/>
  <c r="G376" i="11" s="1"/>
  <c r="H376" i="11" s="1"/>
  <c r="G1334" i="7" a="1"/>
  <c r="G1334" i="7" s="1"/>
  <c r="G618" i="11" s="1"/>
  <c r="H618" i="11" s="1"/>
  <c r="G611" i="7" a="1"/>
  <c r="G611" i="7" s="1"/>
  <c r="G1286" i="7" a="1"/>
  <c r="G1286" i="7" s="1"/>
  <c r="G570" i="11" s="1"/>
  <c r="H570" i="11" s="1"/>
  <c r="G256" i="7" a="1"/>
  <c r="G256" i="7" s="1"/>
  <c r="G1460" i="7" a="1"/>
  <c r="G1460" i="7" s="1"/>
  <c r="G744" i="11" s="1"/>
  <c r="H744" i="11" s="1"/>
  <c r="G1527" i="7" a="1"/>
  <c r="G1527" i="7" s="1"/>
  <c r="G811" i="11" s="1"/>
  <c r="H811" i="11" s="1"/>
  <c r="G296" i="7" a="1"/>
  <c r="G296" i="7" s="1"/>
  <c r="G389" i="7" a="1"/>
  <c r="G389" i="7" s="1"/>
  <c r="G913" i="7" a="1"/>
  <c r="G913" i="7" s="1"/>
  <c r="G197" i="11" s="1"/>
  <c r="H197" i="11" s="1"/>
  <c r="G1563" i="7" a="1"/>
  <c r="G1563" i="7" s="1"/>
  <c r="G847" i="11" s="1"/>
  <c r="H847" i="11" s="1"/>
  <c r="G790" i="7" a="1"/>
  <c r="G790" i="7" s="1"/>
  <c r="G74" i="11" s="1"/>
  <c r="H74" i="11" s="1"/>
  <c r="G1107" i="7" a="1"/>
  <c r="G1107" i="7" s="1"/>
  <c r="G391" i="11" s="1"/>
  <c r="H391" i="11" s="1"/>
  <c r="G437" i="7" a="1"/>
  <c r="G437" i="7" s="1"/>
  <c r="G1285" i="7" a="1"/>
  <c r="G1285" i="7" s="1"/>
  <c r="G569" i="11" s="1"/>
  <c r="H569" i="11" s="1"/>
  <c r="G1545" i="7" a="1"/>
  <c r="G1545" i="7" s="1"/>
  <c r="G829" i="11" s="1"/>
  <c r="H829" i="11" s="1"/>
  <c r="G329" i="7" a="1"/>
  <c r="G329" i="7" s="1"/>
  <c r="G1484" i="7" a="1"/>
  <c r="G1484" i="7" s="1"/>
  <c r="G768" i="11" s="1"/>
  <c r="H768" i="11" s="1"/>
  <c r="G475" i="7" a="1"/>
  <c r="G475" i="7" s="1"/>
  <c r="G973" i="7" a="1"/>
  <c r="G973" i="7" s="1"/>
  <c r="G257" i="11" s="1"/>
  <c r="H257" i="11" s="1"/>
  <c r="G853" i="7" a="1"/>
  <c r="G853" i="7" s="1"/>
  <c r="G137" i="11" s="1"/>
  <c r="H137" i="11" s="1"/>
  <c r="G1719" i="7" a="1"/>
  <c r="G1719" i="7" s="1"/>
  <c r="G1003" i="11" s="1"/>
  <c r="H1003" i="11" s="1"/>
  <c r="G175" i="7" a="1"/>
  <c r="G175" i="7" s="1"/>
  <c r="G1148" i="7" a="1"/>
  <c r="G1148" i="7" s="1"/>
  <c r="G432" i="11" s="1"/>
  <c r="H432" i="11" s="1"/>
  <c r="G1391" i="7" a="1"/>
  <c r="G1391" i="7" s="1"/>
  <c r="G675" i="11" s="1"/>
  <c r="H675" i="11" s="1"/>
  <c r="G1585" i="7" a="1"/>
  <c r="G1585" i="7" s="1"/>
  <c r="G869" i="11" s="1"/>
  <c r="H869" i="11" s="1"/>
  <c r="G1193" i="7" a="1"/>
  <c r="G1193" i="7" s="1"/>
  <c r="G477" i="11" s="1"/>
  <c r="H477" i="11" s="1"/>
  <c r="G809" i="7" a="1"/>
  <c r="G809" i="7" s="1"/>
  <c r="G93" i="11" s="1"/>
  <c r="G72" i="7" a="1"/>
  <c r="G72" i="7" s="1"/>
  <c r="G731" i="7" a="1"/>
  <c r="G731" i="7" s="1"/>
  <c r="G891" i="7" a="1"/>
  <c r="G891" i="7" s="1"/>
  <c r="G175" i="11" s="1"/>
  <c r="H175" i="11" s="1"/>
  <c r="G1501" i="7" a="1"/>
  <c r="G1501" i="7" s="1"/>
  <c r="G785" i="11" s="1"/>
  <c r="H785" i="11" s="1"/>
  <c r="G1699" i="7" a="1"/>
  <c r="G1699" i="7" s="1"/>
  <c r="G983" i="11" s="1"/>
  <c r="H983" i="11" s="1"/>
  <c r="G215" i="7" a="1"/>
  <c r="G215" i="7" s="1"/>
  <c r="G1480" i="7" a="1"/>
  <c r="G1480" i="7" s="1"/>
  <c r="G764" i="11" s="1"/>
  <c r="H764" i="11" s="1"/>
  <c r="G1607" i="7" a="1"/>
  <c r="G1607" i="7" s="1"/>
  <c r="G891" i="11" s="1"/>
  <c r="H891" i="11" s="1"/>
  <c r="G251" i="7" a="1"/>
  <c r="G251" i="7" s="1"/>
  <c r="G910" i="7" a="1"/>
  <c r="G910" i="7" s="1"/>
  <c r="G249" i="7" a="1"/>
  <c r="G249" i="7" s="1"/>
  <c r="G1345" i="7" a="1"/>
  <c r="G1345" i="7" s="1"/>
  <c r="G629" i="11" s="1"/>
  <c r="H629" i="11" s="1"/>
  <c r="G1397" i="7" a="1"/>
  <c r="G1397" i="7" s="1"/>
  <c r="G681" i="11" s="1"/>
  <c r="H681" i="11" s="1"/>
  <c r="G856" i="7" a="1"/>
  <c r="G856" i="7" s="1"/>
  <c r="G140" i="11" s="1"/>
  <c r="G1539" i="7" a="1"/>
  <c r="G1539" i="7" s="1"/>
  <c r="G823" i="11" s="1"/>
  <c r="H823" i="11" s="1"/>
  <c r="G1238" i="7" a="1"/>
  <c r="G1238" i="7" s="1"/>
  <c r="G522" i="11" s="1"/>
  <c r="H522" i="11" s="1"/>
  <c r="G1786" i="7" a="1"/>
  <c r="G1786" i="7" s="1"/>
  <c r="G1070" i="11" s="1"/>
  <c r="H1070" i="11" s="1"/>
  <c r="G430" i="7" a="1"/>
  <c r="G430" i="7" s="1"/>
  <c r="G373" i="7" a="1"/>
  <c r="G373" i="7" s="1"/>
  <c r="Y371" i="7" s="1" a="1"/>
  <c r="Y371" i="7" s="1"/>
  <c r="G1206" i="7" a="1"/>
  <c r="G1206" i="7" s="1"/>
  <c r="G490" i="11" s="1"/>
  <c r="H490" i="11" s="1"/>
  <c r="G612" i="7" a="1"/>
  <c r="G612" i="7" s="1"/>
  <c r="G558" i="7" a="1"/>
  <c r="G558" i="7" s="1"/>
  <c r="Y556" i="7" s="1" a="1"/>
  <c r="Y556" i="7" s="1"/>
  <c r="G1668" i="7" a="1"/>
  <c r="G1668" i="7" s="1"/>
  <c r="G952" i="11" s="1"/>
  <c r="H952" i="11" s="1"/>
  <c r="G252" i="7" a="1"/>
  <c r="G252" i="7" s="1"/>
  <c r="G1046" i="7" a="1"/>
  <c r="G1046" i="7" s="1"/>
  <c r="G330" i="11" s="1"/>
  <c r="H330" i="11" s="1"/>
  <c r="G1130" i="7" a="1"/>
  <c r="G1130" i="7" s="1"/>
  <c r="G414" i="11" s="1"/>
  <c r="H414" i="11" s="1"/>
  <c r="G552" i="7" a="1"/>
  <c r="G552" i="7" s="1"/>
  <c r="Y550" i="7" s="1" a="1"/>
  <c r="Y550" i="7" s="1"/>
  <c r="G1177" i="7" a="1"/>
  <c r="G1177" i="7" s="1"/>
  <c r="G461" i="11" s="1"/>
  <c r="H461" i="11" s="1"/>
  <c r="G1763" i="7" a="1"/>
  <c r="G1763" i="7" s="1"/>
  <c r="G1047" i="11" s="1"/>
  <c r="H1047" i="11" s="1"/>
  <c r="G1408" i="7" a="1"/>
  <c r="G1408" i="7" s="1"/>
  <c r="G692" i="11" s="1"/>
  <c r="H692" i="11" s="1"/>
  <c r="G749" i="7" a="1"/>
  <c r="G749" i="7" s="1"/>
  <c r="G33" i="11" s="1"/>
  <c r="H33" i="11" s="1"/>
  <c r="G392" i="7" a="1"/>
  <c r="G392" i="7" s="1"/>
  <c r="G392" i="10" s="1"/>
  <c r="G972" i="7" a="1"/>
  <c r="G972" i="7" s="1"/>
  <c r="G256" i="11" s="1"/>
  <c r="H256" i="11" s="1"/>
  <c r="G1089" i="7" a="1"/>
  <c r="G1089" i="7" s="1"/>
  <c r="G1005" i="7" a="1"/>
  <c r="G1005" i="7" s="1"/>
  <c r="G289" i="11" s="1"/>
  <c r="H289" i="11" s="1"/>
  <c r="G584" i="7" a="1"/>
  <c r="G584" i="7" s="1"/>
  <c r="G1708" i="7" a="1"/>
  <c r="G1708" i="7" s="1"/>
  <c r="G992" i="11" s="1"/>
  <c r="H992" i="11" s="1"/>
  <c r="G1336" i="7" a="1"/>
  <c r="G1336" i="7" s="1"/>
  <c r="G620" i="11" s="1"/>
  <c r="H620" i="11" s="1"/>
  <c r="G1448" i="7" a="1"/>
  <c r="G1448" i="7" s="1"/>
  <c r="G1503" i="7" a="1"/>
  <c r="G1503" i="7" s="1"/>
  <c r="G787" i="11" s="1"/>
  <c r="H787" i="11" s="1"/>
  <c r="G1700" i="7" a="1"/>
  <c r="G1700" i="7" s="1"/>
  <c r="G984" i="11" s="1"/>
  <c r="H984" i="11" s="1"/>
  <c r="G1522" i="7" a="1"/>
  <c r="G1522" i="7" s="1"/>
  <c r="G806" i="11" s="1"/>
  <c r="H806" i="11" s="1"/>
  <c r="G1554" i="7" a="1"/>
  <c r="G1554" i="7" s="1"/>
  <c r="G838" i="11" s="1"/>
  <c r="H838" i="11" s="1"/>
  <c r="G1151" i="7" a="1"/>
  <c r="G1151" i="7" s="1"/>
  <c r="G435" i="11" s="1"/>
  <c r="H435" i="11" s="1"/>
  <c r="G1447" i="7" a="1"/>
  <c r="G1447" i="7" s="1"/>
  <c r="G1351" i="7" a="1"/>
  <c r="G1351" i="7" s="1"/>
  <c r="G635" i="11" s="1"/>
  <c r="H635" i="11" s="1"/>
  <c r="G684" i="7" a="1"/>
  <c r="G684" i="7" s="1"/>
  <c r="G1675" i="7" a="1"/>
  <c r="G1675" i="7" s="1"/>
  <c r="G959" i="11" s="1"/>
  <c r="H959" i="11" s="1"/>
  <c r="G863" i="7" a="1"/>
  <c r="G863" i="7" s="1"/>
  <c r="G147" i="11" s="1"/>
  <c r="G1688" i="7" a="1"/>
  <c r="G1688" i="7" s="1"/>
  <c r="G972" i="11" s="1"/>
  <c r="H972" i="11" s="1"/>
  <c r="G1626" i="7" a="1"/>
  <c r="G1626" i="7" s="1"/>
  <c r="G160" i="7" a="1"/>
  <c r="G160" i="7" s="1"/>
  <c r="G1528" i="7" a="1"/>
  <c r="G1528" i="7" s="1"/>
  <c r="G812" i="11" s="1"/>
  <c r="H812" i="11" s="1"/>
  <c r="G76" i="7" a="1"/>
  <c r="G76" i="7" s="1"/>
  <c r="G241" i="7" a="1"/>
  <c r="G241" i="7" s="1"/>
  <c r="G1154" i="7" a="1"/>
  <c r="G1154" i="7" s="1"/>
  <c r="G438" i="11" s="1"/>
  <c r="H438" i="11" s="1"/>
  <c r="G791" i="7" a="1"/>
  <c r="G791" i="7" s="1"/>
  <c r="G75" i="11" s="1"/>
  <c r="G1742" i="7" a="1"/>
  <c r="G1742" i="7" s="1"/>
  <c r="G1026" i="11" s="1"/>
  <c r="H1026" i="11" s="1"/>
  <c r="G462" i="7" a="1"/>
  <c r="G462" i="7" s="1"/>
  <c r="G1034" i="7" a="1"/>
  <c r="G1034" i="7" s="1"/>
  <c r="G318" i="11" s="1"/>
  <c r="H318" i="11" s="1"/>
  <c r="G938" i="7" a="1"/>
  <c r="G938" i="7" s="1"/>
  <c r="G222" i="11" s="1"/>
  <c r="H222" i="11" s="1"/>
  <c r="G567" i="7" a="1"/>
  <c r="G567" i="7" s="1"/>
  <c r="G505" i="7" a="1"/>
  <c r="G505" i="7" s="1"/>
  <c r="G74" i="7" a="1"/>
  <c r="G74" i="7" s="1"/>
  <c r="G391" i="7" a="1"/>
  <c r="G391" i="7" s="1"/>
  <c r="G433" i="7" a="1"/>
  <c r="G433" i="7" s="1"/>
  <c r="G814" i="7" a="1"/>
  <c r="G814" i="7" s="1"/>
  <c r="G98" i="11" s="1"/>
  <c r="H98" i="11" s="1"/>
  <c r="G1489" i="7" a="1"/>
  <c r="G1489" i="7" s="1"/>
  <c r="G773" i="11" s="1"/>
  <c r="H773" i="11" s="1"/>
  <c r="G36" i="7" a="1"/>
  <c r="G36" i="7" s="1"/>
  <c r="G833" i="7" a="1"/>
  <c r="G833" i="7" s="1"/>
  <c r="G117" i="11" s="1"/>
  <c r="G1013" i="7" a="1"/>
  <c r="G1013" i="7" s="1"/>
  <c r="G297" i="11" s="1"/>
  <c r="H297" i="11" s="1"/>
  <c r="G1373" i="7" a="1"/>
  <c r="G1373" i="7" s="1"/>
  <c r="G657" i="11" s="1"/>
  <c r="H657" i="11" s="1"/>
  <c r="G31" i="7" a="1"/>
  <c r="G31" i="7" s="1"/>
  <c r="G1481" i="7" a="1"/>
  <c r="G1481" i="7" s="1"/>
  <c r="G765" i="11" s="1"/>
  <c r="H765" i="11" s="1"/>
  <c r="G1417" i="7" a="1"/>
  <c r="G1417" i="7" s="1"/>
  <c r="G701" i="11" s="1"/>
  <c r="H701" i="11" s="1"/>
  <c r="G716" i="7" a="1"/>
  <c r="G716" i="7" s="1"/>
  <c r="G1340" i="7" a="1"/>
  <c r="G1340" i="7" s="1"/>
  <c r="G624" i="11" s="1"/>
  <c r="H624" i="11" s="1"/>
  <c r="G805" i="7" a="1"/>
  <c r="G805" i="7" s="1"/>
  <c r="G89" i="11" s="1"/>
  <c r="H89" i="11" s="1"/>
  <c r="G450" i="7" a="1"/>
  <c r="G450" i="7" s="1"/>
  <c r="G981" i="7" a="1"/>
  <c r="G981" i="7" s="1"/>
  <c r="G265" i="11" s="1"/>
  <c r="H265" i="11" s="1"/>
  <c r="G760" i="7" a="1"/>
  <c r="G760" i="7" s="1"/>
  <c r="G44" i="11" s="1"/>
  <c r="G1464" i="7" a="1"/>
  <c r="G1464" i="7" s="1"/>
  <c r="G748" i="11" s="1"/>
  <c r="H748" i="11" s="1"/>
  <c r="G602" i="7" a="1"/>
  <c r="G602" i="7" s="1"/>
  <c r="G144" i="7" a="1"/>
  <c r="G144" i="7" s="1"/>
  <c r="G1281" i="7" a="1"/>
  <c r="G1281" i="7" s="1"/>
  <c r="G565" i="11" s="1"/>
  <c r="H565" i="11" s="1"/>
  <c r="G640" i="7" a="1"/>
  <c r="G640" i="7" s="1"/>
  <c r="G1178" i="7" a="1"/>
  <c r="G1178" i="7" s="1"/>
  <c r="G462" i="11" s="1"/>
  <c r="H462" i="11" s="1"/>
  <c r="G465" i="7" a="1"/>
  <c r="G465" i="7" s="1"/>
  <c r="G248" i="7" a="1"/>
  <c r="G248" i="7" s="1"/>
  <c r="G1658" i="7" a="1"/>
  <c r="G1658" i="7" s="1"/>
  <c r="G942" i="11" s="1"/>
  <c r="H942" i="11" s="1"/>
  <c r="G761" i="7" a="1"/>
  <c r="G761" i="7" s="1"/>
  <c r="G45" i="11" s="1"/>
  <c r="H45" i="11" s="1"/>
  <c r="G1134" i="7" a="1"/>
  <c r="G1134" i="7" s="1"/>
  <c r="G418" i="11" s="1"/>
  <c r="H418" i="11" s="1"/>
  <c r="G1378" i="7" a="1"/>
  <c r="G1378" i="7" s="1"/>
  <c r="G662" i="11" s="1"/>
  <c r="H662" i="11" s="1"/>
  <c r="G1335" i="7" a="1"/>
  <c r="G1335" i="7" s="1"/>
  <c r="G619" i="11" s="1"/>
  <c r="H619" i="11" s="1"/>
  <c r="G1502" i="7" a="1"/>
  <c r="G1502" i="7" s="1"/>
  <c r="G786" i="11" s="1"/>
  <c r="H786" i="11" s="1"/>
  <c r="G974" i="7" a="1"/>
  <c r="G974" i="7" s="1"/>
  <c r="G258" i="11" s="1"/>
  <c r="H258" i="11" s="1"/>
  <c r="G246" i="7" a="1"/>
  <c r="G246" i="7" s="1"/>
  <c r="G1150" i="7" a="1"/>
  <c r="G1150" i="7" s="1"/>
  <c r="G434" i="11" s="1"/>
  <c r="H434" i="11" s="1"/>
  <c r="G986" i="7" a="1"/>
  <c r="G986" i="7" s="1"/>
  <c r="G270" i="11" s="1"/>
  <c r="H270" i="11" s="1"/>
  <c r="G133" i="7" a="1"/>
  <c r="G133" i="7" s="1"/>
  <c r="G138" i="7" a="1"/>
  <c r="G138" i="7" s="1"/>
  <c r="G1572" i="7" a="1"/>
  <c r="G1572" i="7" s="1"/>
  <c r="G856" i="11" s="1"/>
  <c r="H856" i="11" s="1"/>
  <c r="G1706" i="7" a="1"/>
  <c r="G1706" i="7" s="1"/>
  <c r="G990" i="11" s="1"/>
  <c r="H990" i="11" s="1"/>
  <c r="G794" i="7" a="1"/>
  <c r="G794" i="7" s="1"/>
  <c r="G78" i="11" s="1"/>
  <c r="G471" i="7" a="1"/>
  <c r="G471" i="7" s="1"/>
  <c r="G1711" i="7" a="1"/>
  <c r="G1711" i="7" s="1"/>
  <c r="G995" i="11" s="1"/>
  <c r="H995" i="11" s="1"/>
  <c r="G1337" i="7" a="1"/>
  <c r="G1337" i="7" s="1"/>
  <c r="G621" i="11" s="1"/>
  <c r="H621" i="11" s="1"/>
  <c r="G866" i="7" a="1"/>
  <c r="G866" i="7" s="1"/>
  <c r="G150" i="11" s="1"/>
  <c r="G1226" i="7" a="1"/>
  <c r="G1226" i="7" s="1"/>
  <c r="G510" i="11" s="1"/>
  <c r="H510" i="11" s="1"/>
  <c r="G513" i="7" a="1"/>
  <c r="G513" i="7" s="1"/>
  <c r="G291" i="7" a="1"/>
  <c r="G291" i="7" s="1"/>
  <c r="G1530" i="7" a="1"/>
  <c r="G1530" i="7" s="1"/>
  <c r="G814" i="11" s="1"/>
  <c r="H814" i="11" s="1"/>
  <c r="G64" i="7" a="1"/>
  <c r="G64" i="7" s="1"/>
  <c r="G573" i="7" a="1"/>
  <c r="G573" i="7" s="1"/>
  <c r="G1550" i="7" a="1"/>
  <c r="G1550" i="7" s="1"/>
  <c r="G834" i="11" s="1"/>
  <c r="H834" i="11" s="1"/>
  <c r="G1731" i="7" a="1"/>
  <c r="G1731" i="7" s="1"/>
  <c r="G1015" i="11" s="1"/>
  <c r="H1015" i="11" s="1"/>
  <c r="G222" i="7" a="1"/>
  <c r="G222" i="7" s="1"/>
  <c r="G210" i="7" a="1"/>
  <c r="G210" i="7" s="1"/>
  <c r="G714" i="7" a="1"/>
  <c r="G714" i="7" s="1"/>
  <c r="G1775" i="7" a="1"/>
  <c r="G1775" i="7" s="1"/>
  <c r="G1059" i="11" s="1"/>
  <c r="H1059" i="11" s="1"/>
  <c r="G537" i="7" a="1"/>
  <c r="G537" i="7" s="1"/>
  <c r="G267" i="7" a="1"/>
  <c r="G267" i="7" s="1"/>
  <c r="G984" i="7" a="1"/>
  <c r="G984" i="7" s="1"/>
  <c r="G268" i="11" s="1"/>
  <c r="H268" i="11" s="1"/>
  <c r="G92" i="7" a="1"/>
  <c r="G92" i="7" s="1"/>
  <c r="G1697" i="7" a="1"/>
  <c r="G1697" i="7" s="1"/>
  <c r="G981" i="11" s="1"/>
  <c r="H981" i="11" s="1"/>
  <c r="G581" i="7" a="1"/>
  <c r="G581" i="7" s="1"/>
  <c r="G1643" i="7" a="1"/>
  <c r="G1643" i="7" s="1"/>
  <c r="G927" i="11" s="1"/>
  <c r="H927" i="11" s="1"/>
  <c r="G1139" i="7" a="1"/>
  <c r="G1139" i="7" s="1"/>
  <c r="G423" i="11" s="1"/>
  <c r="H423" i="11" s="1"/>
  <c r="G860" i="7" a="1"/>
  <c r="G860" i="7" s="1"/>
  <c r="G144" i="11" s="1"/>
  <c r="H144" i="11" s="1"/>
  <c r="G923" i="7" a="1"/>
  <c r="G923" i="7" s="1"/>
  <c r="G207" i="11" s="1"/>
  <c r="H207" i="11" s="1"/>
  <c r="G819" i="7" a="1"/>
  <c r="G819" i="7" s="1"/>
  <c r="G103" i="11" s="1"/>
  <c r="H103" i="11" s="1"/>
  <c r="G284" i="7" a="1"/>
  <c r="G284" i="7" s="1"/>
  <c r="G1181" i="7" a="1"/>
  <c r="G1181" i="7" s="1"/>
  <c r="G465" i="11" s="1"/>
  <c r="H465" i="11" s="1"/>
  <c r="G69" i="7" a="1"/>
  <c r="G69" i="7" s="1"/>
  <c r="G1479" i="7" a="1"/>
  <c r="G1479" i="7" s="1"/>
  <c r="G763" i="11" s="1"/>
  <c r="H763" i="11" s="1"/>
  <c r="G582" i="7" a="1"/>
  <c r="G582" i="7" s="1"/>
  <c r="G1313" i="7" a="1"/>
  <c r="G1313" i="7" s="1"/>
  <c r="G597" i="11" s="1"/>
  <c r="H597" i="11" s="1"/>
  <c r="G1199" i="7" a="1"/>
  <c r="G1199" i="7" s="1"/>
  <c r="G483" i="11" s="1"/>
  <c r="H483" i="11" s="1"/>
  <c r="G798" i="7" a="1"/>
  <c r="G798" i="7" s="1"/>
  <c r="G82" i="11" s="1"/>
  <c r="H82" i="11" s="1"/>
  <c r="G1681" i="7" a="1"/>
  <c r="G1681" i="7" s="1"/>
  <c r="G965" i="11" s="1"/>
  <c r="H965" i="11" s="1"/>
  <c r="G1332" i="7" a="1"/>
  <c r="G1332" i="7" s="1"/>
  <c r="G616" i="11" s="1"/>
  <c r="H616" i="11" s="1"/>
  <c r="G425" i="7" a="1"/>
  <c r="G425" i="7" s="1"/>
  <c r="G1687" i="7" a="1"/>
  <c r="G1687" i="7" s="1"/>
  <c r="G971" i="11" s="1"/>
  <c r="H971" i="11" s="1"/>
  <c r="G1344" i="7" a="1"/>
  <c r="G1344" i="7" s="1"/>
  <c r="G628" i="11" s="1"/>
  <c r="H628" i="11" s="1"/>
  <c r="G670" i="7" a="1"/>
  <c r="G670" i="7" s="1"/>
  <c r="G675" i="7" a="1"/>
  <c r="G675" i="7" s="1"/>
  <c r="G1751" i="7" a="1"/>
  <c r="G1751" i="7" s="1"/>
  <c r="G1035" i="11" s="1"/>
  <c r="H1035" i="11" s="1"/>
  <c r="G1169" i="7" a="1"/>
  <c r="G1169" i="7" s="1"/>
  <c r="G453" i="11" s="1"/>
  <c r="H453" i="11" s="1"/>
  <c r="G257" i="7" a="1"/>
  <c r="G257" i="7" s="1"/>
  <c r="G829" i="7" a="1"/>
  <c r="G829" i="7" s="1"/>
  <c r="G113" i="11" s="1"/>
  <c r="G303" i="7" a="1"/>
  <c r="G303" i="7" s="1"/>
  <c r="G318" i="7" a="1"/>
  <c r="G318" i="7" s="1"/>
  <c r="G1761" i="7" a="1"/>
  <c r="G1761" i="7" s="1"/>
  <c r="G1045" i="11" s="1"/>
  <c r="H1045" i="11" s="1"/>
  <c r="G1047" i="7" a="1"/>
  <c r="G1047" i="7" s="1"/>
  <c r="G331" i="11" s="1"/>
  <c r="H331" i="11" s="1"/>
  <c r="G334" i="7" a="1"/>
  <c r="G334" i="7" s="1"/>
  <c r="G492" i="7" a="1"/>
  <c r="G492" i="7" s="1"/>
  <c r="G454" i="7" a="1"/>
  <c r="G454" i="7" s="1"/>
  <c r="G649" i="7" a="1"/>
  <c r="G649" i="7" s="1"/>
  <c r="G1042" i="7" a="1"/>
  <c r="G1042" i="7" s="1"/>
  <c r="G326" i="11" s="1"/>
  <c r="H326" i="11" s="1"/>
  <c r="G1709" i="7" a="1"/>
  <c r="G1709" i="7" s="1"/>
  <c r="G993" i="11" s="1"/>
  <c r="H993" i="11" s="1"/>
  <c r="G422" i="7" a="1"/>
  <c r="G422" i="7" s="1"/>
  <c r="G752" i="7" a="1"/>
  <c r="G752" i="7" s="1"/>
  <c r="G36" i="11" s="1"/>
  <c r="G1191" i="7" a="1"/>
  <c r="G1191" i="7" s="1"/>
  <c r="G475" i="11" s="1"/>
  <c r="H475" i="11" s="1"/>
  <c r="G1729" i="7" a="1"/>
  <c r="G1729" i="7" s="1"/>
  <c r="G1013" i="11" s="1"/>
  <c r="H1013" i="11" s="1"/>
  <c r="G1552" i="7" a="1"/>
  <c r="G1552" i="7" s="1"/>
  <c r="G836" i="11" s="1"/>
  <c r="H836" i="11" s="1"/>
  <c r="G43" i="7" a="1"/>
  <c r="G43" i="7" s="1"/>
  <c r="G568" i="7" a="1"/>
  <c r="G568" i="7" s="1"/>
  <c r="G177" i="7" a="1"/>
  <c r="G177" i="7" s="1"/>
  <c r="G895" i="7" a="1"/>
  <c r="G895" i="7" s="1"/>
  <c r="G179" i="11" s="1"/>
  <c r="H179" i="11" s="1"/>
  <c r="G625" i="7" a="1"/>
  <c r="G625" i="7" s="1"/>
  <c r="G1163" i="7" a="1"/>
  <c r="G1163" i="7" s="1"/>
  <c r="G447" i="11" s="1"/>
  <c r="H447" i="11" s="1"/>
  <c r="G271" i="7" a="1"/>
  <c r="G271" i="7" s="1"/>
  <c r="G235" i="7" a="1"/>
  <c r="G235" i="7" s="1"/>
  <c r="G1118" i="7" a="1"/>
  <c r="G1118" i="7" s="1"/>
  <c r="G402" i="11" s="1"/>
  <c r="H402" i="11" s="1"/>
  <c r="G227" i="7" a="1"/>
  <c r="G227" i="7" s="1"/>
  <c r="G1497" i="7" a="1"/>
  <c r="G1497" i="7" s="1"/>
  <c r="G781" i="11" s="1"/>
  <c r="H781" i="11" s="1"/>
  <c r="G502" i="7" a="1"/>
  <c r="G502" i="7" s="1"/>
  <c r="G1356" i="7" a="1"/>
  <c r="G1356" i="7" s="1"/>
  <c r="G640" i="11" s="1"/>
  <c r="H640" i="11" s="1"/>
  <c r="G105" i="7" a="1"/>
  <c r="G105" i="7" s="1"/>
  <c r="G1002" i="7" a="1"/>
  <c r="G1002" i="7" s="1"/>
  <c r="G286" i="11" s="1"/>
  <c r="H286" i="11" s="1"/>
  <c r="G427" i="7" a="1"/>
  <c r="G427" i="7" s="1"/>
  <c r="G80" i="7" a="1"/>
  <c r="G80" i="7" s="1"/>
  <c r="G940" i="7" a="1"/>
  <c r="G940" i="7" s="1"/>
  <c r="G224" i="11" s="1"/>
  <c r="H224" i="11" s="1"/>
  <c r="G656" i="7" a="1"/>
  <c r="G656" i="7" s="1"/>
  <c r="G1736" i="7" a="1"/>
  <c r="G1736" i="7" s="1"/>
  <c r="G1020" i="11" s="1"/>
  <c r="H1020" i="11" s="1"/>
  <c r="G110" i="7" a="1"/>
  <c r="G110" i="7" s="1"/>
  <c r="G977" i="7" a="1"/>
  <c r="G977" i="7" s="1"/>
  <c r="G261" i="11" s="1"/>
  <c r="H261" i="11" s="1"/>
  <c r="G421" i="7" a="1"/>
  <c r="G421" i="7" s="1"/>
  <c r="G1690" i="7" a="1"/>
  <c r="G1690" i="7" s="1"/>
  <c r="G974" i="11" s="1"/>
  <c r="H974" i="11" s="1"/>
  <c r="G783" i="7" a="1"/>
  <c r="G783" i="7" s="1"/>
  <c r="G67" i="11" s="1"/>
  <c r="H67" i="11" s="1"/>
  <c r="G410" i="7" a="1"/>
  <c r="G410" i="7" s="1"/>
  <c r="G1165" i="7" a="1"/>
  <c r="G1165" i="7" s="1"/>
  <c r="G449" i="11" s="1"/>
  <c r="H449" i="11" s="1"/>
  <c r="G491" i="7" a="1"/>
  <c r="G491" i="7" s="1"/>
  <c r="G496" i="7" a="1"/>
  <c r="G496" i="7" s="1"/>
  <c r="G1214" i="7" a="1"/>
  <c r="G1214" i="7" s="1"/>
  <c r="G498" i="11" s="1"/>
  <c r="H498" i="11" s="1"/>
  <c r="G1008" i="7" a="1"/>
  <c r="G1008" i="7" s="1"/>
  <c r="G292" i="11" s="1"/>
  <c r="H292" i="11" s="1"/>
  <c r="G124" i="7" a="1"/>
  <c r="G124" i="7" s="1"/>
  <c r="G139" i="7" a="1"/>
  <c r="G139" i="7" s="1"/>
  <c r="G1403" i="7" a="1"/>
  <c r="G1403" i="7" s="1"/>
  <c r="G687" i="11" s="1"/>
  <c r="H687" i="11" s="1"/>
  <c r="G1584" i="7" a="1"/>
  <c r="G1584" i="7" s="1"/>
  <c r="G868" i="11" s="1"/>
  <c r="H868" i="11" s="1"/>
  <c r="G1229" i="7" a="1"/>
  <c r="G1229" i="7" s="1"/>
  <c r="G513" i="11" s="1"/>
  <c r="H513" i="11" s="1"/>
  <c r="G1029" i="7" a="1"/>
  <c r="G1029" i="7" s="1"/>
  <c r="G313" i="11" s="1"/>
  <c r="H313" i="11" s="1"/>
  <c r="G96" i="7" a="1"/>
  <c r="G96" i="7" s="1"/>
  <c r="G470" i="7" a="1"/>
  <c r="G470" i="7" s="1"/>
  <c r="G518" i="7" a="1"/>
  <c r="G518" i="7" s="1"/>
  <c r="G565" i="7" a="1"/>
  <c r="G565" i="7" s="1"/>
  <c r="G1452" i="7" a="1"/>
  <c r="G1452" i="7" s="1"/>
  <c r="G736" i="11" s="1"/>
  <c r="H736" i="11" s="1"/>
  <c r="G1631" i="7" a="1"/>
  <c r="G1631" i="7" s="1"/>
  <c r="G915" i="11" s="1"/>
  <c r="H915" i="11" s="1"/>
  <c r="G915" i="7" a="1"/>
  <c r="G915" i="7" s="1"/>
  <c r="G199" i="11" s="1"/>
  <c r="H199" i="11" s="1"/>
  <c r="G1094" i="7" a="1"/>
  <c r="G1094" i="7" s="1"/>
  <c r="G378" i="11" s="1"/>
  <c r="H378" i="11" s="1"/>
  <c r="G1273" i="7" a="1"/>
  <c r="G1273" i="7" s="1"/>
  <c r="G736" i="7" a="1"/>
  <c r="G736" i="7" s="1"/>
  <c r="G20" i="11" s="1"/>
  <c r="H20" i="11" s="1"/>
  <c r="G557" i="7" a="1"/>
  <c r="G557" i="7" s="1"/>
  <c r="Y555" i="7" s="1" a="1"/>
  <c r="Y555" i="7" s="1"/>
  <c r="G378" i="7" a="1"/>
  <c r="G378" i="7" s="1"/>
  <c r="Y376" i="7" s="1" a="1"/>
  <c r="Y376" i="7" s="1"/>
  <c r="G199" i="7" a="1"/>
  <c r="G199" i="7" s="1"/>
  <c r="Y197" i="7" s="1" a="1"/>
  <c r="Y197" i="7" s="1"/>
  <c r="G20" i="7" a="1"/>
  <c r="G20" i="7" s="1"/>
  <c r="G632" i="7" a="1"/>
  <c r="G632" i="7" s="1"/>
  <c r="G990" i="7" a="1"/>
  <c r="G990" i="7" s="1"/>
  <c r="G274" i="11" s="1"/>
  <c r="H274" i="11" s="1"/>
  <c r="G453" i="7" a="1"/>
  <c r="G453" i="7" s="1"/>
  <c r="G811" i="7" a="1"/>
  <c r="G811" i="7" s="1"/>
  <c r="G95" i="11" s="1"/>
  <c r="H95" i="11" s="1"/>
  <c r="G1239" i="7" a="1"/>
  <c r="G1239" i="7" s="1"/>
  <c r="G523" i="11" s="1"/>
  <c r="H523" i="11" s="1"/>
  <c r="G1776" i="7" a="1"/>
  <c r="G1776" i="7" s="1"/>
  <c r="G1060" i="11" s="1"/>
  <c r="H1060" i="11" s="1"/>
  <c r="G1597" i="7" a="1"/>
  <c r="G1597" i="7" s="1"/>
  <c r="G881" i="11" s="1"/>
  <c r="H881" i="11" s="1"/>
  <c r="G1418" i="7" a="1"/>
  <c r="G1418" i="7" s="1"/>
  <c r="G702" i="11" s="1"/>
  <c r="H702" i="11" s="1"/>
  <c r="G1060" i="7" a="1"/>
  <c r="G1060" i="7" s="1"/>
  <c r="G344" i="11" s="1"/>
  <c r="H344" i="11" s="1"/>
  <c r="G881" i="7" a="1"/>
  <c r="G881" i="7" s="1"/>
  <c r="G165" i="11" s="1"/>
  <c r="G523" i="7" a="1"/>
  <c r="G523" i="7" s="1"/>
  <c r="G702" i="7" a="1"/>
  <c r="G702" i="7" s="1"/>
  <c r="G344" i="7" a="1"/>
  <c r="G344" i="7" s="1"/>
  <c r="G165" i="7" a="1"/>
  <c r="G165" i="7" s="1"/>
  <c r="G328" i="7" a="1"/>
  <c r="G328" i="7" s="1"/>
  <c r="G686" i="7" a="1"/>
  <c r="G686" i="7" s="1"/>
  <c r="G507" i="7" a="1"/>
  <c r="G507" i="7" s="1"/>
  <c r="G149" i="7" a="1"/>
  <c r="G149" i="7" s="1"/>
  <c r="G1223" i="7" a="1"/>
  <c r="G1223" i="7" s="1"/>
  <c r="G507" i="11" s="1"/>
  <c r="H507" i="11" s="1"/>
  <c r="G1402" i="7" a="1"/>
  <c r="G1402" i="7" s="1"/>
  <c r="G686" i="11" s="1"/>
  <c r="H686" i="11" s="1"/>
  <c r="G1760" i="7" a="1"/>
  <c r="G1760" i="7" s="1"/>
  <c r="G1044" i="11" s="1"/>
  <c r="H1044" i="11" s="1"/>
  <c r="G1581" i="7" a="1"/>
  <c r="G1581" i="7" s="1"/>
  <c r="G865" i="11" s="1"/>
  <c r="H865" i="11" s="1"/>
  <c r="G865" i="7" a="1"/>
  <c r="G865" i="7" s="1"/>
  <c r="G149" i="11" s="1"/>
  <c r="H149" i="11" s="1"/>
  <c r="G1044" i="7" a="1"/>
  <c r="G1044" i="7" s="1"/>
  <c r="G328" i="11" s="1"/>
  <c r="H328" i="11" s="1"/>
  <c r="G1024" i="7" a="1"/>
  <c r="G1024" i="7" s="1"/>
  <c r="G308" i="11" s="1"/>
  <c r="H308" i="11" s="1"/>
  <c r="G308" i="7" a="1"/>
  <c r="G308" i="7" s="1"/>
  <c r="G666" i="7" a="1"/>
  <c r="G666" i="7" s="1"/>
  <c r="G845" i="7" a="1"/>
  <c r="G845" i="7" s="1"/>
  <c r="G129" i="11" s="1"/>
  <c r="H129" i="11" s="1"/>
  <c r="G487" i="7" a="1"/>
  <c r="G487" i="7" s="1"/>
  <c r="G129" i="7" a="1"/>
  <c r="G129" i="7" s="1"/>
  <c r="G1740" i="7" a="1"/>
  <c r="G1740" i="7" s="1"/>
  <c r="G1024" i="11" s="1"/>
  <c r="H1024" i="11" s="1"/>
  <c r="G1561" i="7" a="1"/>
  <c r="G1561" i="7" s="1"/>
  <c r="G845" i="11" s="1"/>
  <c r="H845" i="11" s="1"/>
  <c r="G1382" i="7" a="1"/>
  <c r="G1382" i="7" s="1"/>
  <c r="G666" i="11" s="1"/>
  <c r="H666" i="11" s="1"/>
  <c r="G1203" i="7" a="1"/>
  <c r="G1203" i="7" s="1"/>
  <c r="G487" i="11" s="1"/>
  <c r="H487" i="11" s="1"/>
  <c r="G610" i="7" a="1"/>
  <c r="G610" i="7" s="1"/>
  <c r="G394" i="7" a="1"/>
  <c r="G394" i="7" s="1"/>
  <c r="G1012" i="7" a="1"/>
  <c r="G1012" i="7" s="1"/>
  <c r="G296" i="11" s="1"/>
  <c r="H296" i="11" s="1"/>
  <c r="G1192" i="7" a="1"/>
  <c r="G1192" i="7" s="1"/>
  <c r="G476" i="11" s="1"/>
  <c r="H476" i="11" s="1"/>
  <c r="G759" i="7" a="1"/>
  <c r="G759" i="7" s="1"/>
  <c r="G43" i="11" s="1"/>
  <c r="G926" i="7" a="1"/>
  <c r="G926" i="7" s="1"/>
  <c r="G210" i="11" s="1"/>
  <c r="H210" i="11" s="1"/>
  <c r="G1072" i="7" a="1"/>
  <c r="G1072" i="7" s="1"/>
  <c r="G356" i="11" s="1"/>
  <c r="H356" i="11" s="1"/>
  <c r="G293" i="7" a="1"/>
  <c r="G293" i="7" s="1"/>
  <c r="G1074" i="7" a="1"/>
  <c r="G1074" i="7" s="1"/>
  <c r="G358" i="11" s="1"/>
  <c r="H358" i="11" s="1"/>
  <c r="G446" i="7" a="1"/>
  <c r="G446" i="7" s="1"/>
  <c r="G629" i="7" a="1"/>
  <c r="G629" i="7" s="1"/>
  <c r="G56" i="7" a="1"/>
  <c r="G56" i="7" s="1"/>
  <c r="G939" i="7" a="1"/>
  <c r="G939" i="7" s="1"/>
  <c r="G223" i="11" s="1"/>
  <c r="H223" i="11" s="1"/>
  <c r="G48" i="7" a="1"/>
  <c r="G48" i="7" s="1"/>
  <c r="G681" i="7" a="1"/>
  <c r="G681" i="7" s="1"/>
  <c r="G1639" i="7" a="1"/>
  <c r="G1639" i="7" s="1"/>
  <c r="G923" i="11" s="1"/>
  <c r="H923" i="11" s="1"/>
  <c r="G1714" i="7" a="1"/>
  <c r="G1714" i="7" s="1"/>
  <c r="G998" i="11" s="1"/>
  <c r="H998" i="11" s="1"/>
  <c r="G642" i="7" a="1"/>
  <c r="G642" i="7" s="1"/>
  <c r="G964" i="7" a="1"/>
  <c r="G964" i="7" s="1"/>
  <c r="G248" i="11" s="1"/>
  <c r="H248" i="11" s="1"/>
  <c r="G259" i="7" a="1"/>
  <c r="G259" i="7" s="1"/>
  <c r="G1298" i="7" a="1"/>
  <c r="G1298" i="7" s="1"/>
  <c r="G582" i="11" s="1"/>
  <c r="H582" i="11" s="1"/>
  <c r="G1014" i="7" a="1"/>
  <c r="G1014" i="7" s="1"/>
  <c r="G298" i="11" s="1"/>
  <c r="H298" i="11" s="1"/>
  <c r="G468" i="7" a="1"/>
  <c r="G468" i="7" s="1"/>
  <c r="G619" i="7" a="1"/>
  <c r="G619" i="7" s="1"/>
  <c r="G600" i="7" a="1"/>
  <c r="G600" i="7" s="1"/>
  <c r="G1511" i="7" a="1"/>
  <c r="G1511" i="7" s="1"/>
  <c r="G795" i="11" s="1"/>
  <c r="H795" i="11" s="1"/>
  <c r="G604" i="7" a="1"/>
  <c r="G604" i="7" s="1"/>
  <c r="G768" i="7" a="1"/>
  <c r="G768" i="7" s="1"/>
  <c r="G52" i="11" s="1"/>
  <c r="H52" i="11" s="1"/>
  <c r="G1523" i="7" a="1"/>
  <c r="G1523" i="7" s="1"/>
  <c r="G807" i="11" s="1"/>
  <c r="H807" i="11" s="1"/>
  <c r="G1207" i="7" a="1"/>
  <c r="G1207" i="7" s="1"/>
  <c r="G491" i="11" s="1"/>
  <c r="H491" i="11" s="1"/>
  <c r="G854" i="7" a="1"/>
  <c r="G854" i="7" s="1"/>
  <c r="G138" i="11" s="1"/>
  <c r="H138" i="11" s="1"/>
  <c r="G659" i="7" a="1"/>
  <c r="G659" i="7" s="1"/>
  <c r="G83" i="7" a="1"/>
  <c r="G83" i="7" s="1"/>
  <c r="G273" i="7" a="1"/>
  <c r="G273" i="7" s="1"/>
  <c r="G1187" i="7" a="1"/>
  <c r="G1187" i="7" s="1"/>
  <c r="G471" i="11" s="1"/>
  <c r="H471" i="11" s="1"/>
  <c r="G1019" i="7" a="1"/>
  <c r="G1019" i="7" s="1"/>
  <c r="G303" i="11" s="1"/>
  <c r="H303" i="11" s="1"/>
  <c r="G676" i="7" a="1"/>
  <c r="G676" i="7" s="1"/>
  <c r="G509" i="7" a="1"/>
  <c r="G509" i="7" s="1"/>
  <c r="G1405" i="7" a="1"/>
  <c r="G1405" i="7" s="1"/>
  <c r="G689" i="11" s="1"/>
  <c r="H689" i="11" s="1"/>
  <c r="G1766" i="7" a="1"/>
  <c r="G1766" i="7" s="1"/>
  <c r="G1050" i="11" s="1"/>
  <c r="H1050" i="11" s="1"/>
  <c r="G850" i="7" a="1"/>
  <c r="G850" i="7" s="1"/>
  <c r="G134" i="11" s="1"/>
  <c r="H134" i="11" s="1"/>
  <c r="G1707" i="7" a="1"/>
  <c r="G1707" i="7" s="1"/>
  <c r="G991" i="11" s="1"/>
  <c r="H991" i="11" s="1"/>
  <c r="G1007" i="7" a="1"/>
  <c r="G1007" i="7" s="1"/>
  <c r="G291" i="11" s="1"/>
  <c r="H291" i="11" s="1"/>
  <c r="G34" i="7" a="1"/>
  <c r="G34" i="7" s="1"/>
  <c r="G970" i="7" a="1"/>
  <c r="G970" i="7" s="1"/>
  <c r="G254" i="11" s="1"/>
  <c r="H254" i="11" s="1"/>
  <c r="G1234" i="7" a="1"/>
  <c r="G1234" i="7" s="1"/>
  <c r="G518" i="11" s="1"/>
  <c r="H518" i="11" s="1"/>
  <c r="G1371" i="7" a="1"/>
  <c r="G1371" i="7" s="1"/>
  <c r="G655" i="11" s="1"/>
  <c r="H655" i="11" s="1"/>
  <c r="G580" i="7" a="1"/>
  <c r="G580" i="7" s="1"/>
  <c r="G747" i="7" a="1"/>
  <c r="G747" i="7" s="1"/>
  <c r="G31" i="11" s="1"/>
  <c r="H31" i="11" s="1"/>
  <c r="G228" i="7" a="1"/>
  <c r="G228" i="7" s="1"/>
  <c r="G1251" i="7" a="1"/>
  <c r="G1251" i="7" s="1"/>
  <c r="G535" i="11" s="1"/>
  <c r="H535" i="11" s="1"/>
  <c r="G114" i="7" a="1"/>
  <c r="G114" i="7" s="1"/>
  <c r="G1341" i="7" a="1"/>
  <c r="G1341" i="7" s="1"/>
  <c r="G625" i="11" s="1"/>
  <c r="H625" i="11" s="1"/>
  <c r="G1521" i="7" a="1"/>
  <c r="G1521" i="7" s="1"/>
  <c r="G805" i="11" s="1"/>
  <c r="H805" i="11" s="1"/>
  <c r="G987" i="7" a="1"/>
  <c r="G987" i="7" s="1"/>
  <c r="G271" i="11" s="1"/>
  <c r="H271" i="11" s="1"/>
  <c r="G593" i="7" a="1"/>
  <c r="G593" i="7" s="1"/>
  <c r="G1476" i="7" a="1"/>
  <c r="G1476" i="7" s="1"/>
  <c r="G760" i="11" s="1"/>
  <c r="H760" i="11" s="1"/>
  <c r="G406" i="7" a="1"/>
  <c r="G406" i="7" s="1"/>
  <c r="G379" i="7" a="1"/>
  <c r="G379" i="7" s="1"/>
  <c r="Y377" i="7" s="1" a="1"/>
  <c r="Y377" i="7" s="1"/>
  <c r="G1218" i="7" a="1"/>
  <c r="G1218" i="7" s="1"/>
  <c r="G502" i="11" s="1"/>
  <c r="H502" i="11" s="1"/>
  <c r="G818" i="7" a="1"/>
  <c r="G818" i="7" s="1"/>
  <c r="G102" i="11" s="1"/>
  <c r="G1535" i="7" a="1"/>
  <c r="G1535" i="7" s="1"/>
  <c r="G819" i="11" s="1"/>
  <c r="H819" i="11" s="1"/>
  <c r="G463" i="7" a="1"/>
  <c r="G463" i="7" s="1"/>
  <c r="G1680" i="7" a="1"/>
  <c r="G1680" i="7" s="1"/>
  <c r="G964" i="11" s="1"/>
  <c r="H964" i="11" s="1"/>
  <c r="G796" i="7" a="1"/>
  <c r="G796" i="7" s="1"/>
  <c r="G80" i="11" s="1"/>
  <c r="H80" i="11" s="1"/>
  <c r="G835" i="7" a="1"/>
  <c r="G835" i="7" s="1"/>
  <c r="G119" i="11" s="1"/>
  <c r="G647" i="7" a="1"/>
  <c r="G647" i="7" s="1"/>
  <c r="G958" i="7" a="1"/>
  <c r="G958" i="7" s="1"/>
  <c r="G242" i="11" s="1"/>
  <c r="H242" i="11" s="1"/>
  <c r="G97" i="7" a="1"/>
  <c r="G97" i="7" s="1"/>
  <c r="G1320" i="7" a="1"/>
  <c r="G1320" i="7" s="1"/>
  <c r="G604" i="11" s="1"/>
  <c r="H604" i="11" s="1"/>
  <c r="G589" i="7" a="1"/>
  <c r="G589" i="7" s="1"/>
  <c r="G1212" i="7" a="1"/>
  <c r="G1212" i="7" s="1"/>
  <c r="G496" i="11" s="1"/>
  <c r="H496" i="11" s="1"/>
  <c r="G1196" i="7" a="1"/>
  <c r="G1196" i="7" s="1"/>
  <c r="G480" i="11" s="1"/>
  <c r="H480" i="11" s="1"/>
  <c r="G441" i="7" a="1"/>
  <c r="G441" i="7" s="1"/>
  <c r="G94" i="7" a="1"/>
  <c r="G94" i="7" s="1"/>
  <c r="G1366" i="7" a="1"/>
  <c r="G1366" i="7" s="1"/>
  <c r="G650" i="11" s="1"/>
  <c r="H650" i="11" s="1"/>
  <c r="G1377" i="7" a="1"/>
  <c r="G1377" i="7" s="1"/>
  <c r="G661" i="11" s="1"/>
  <c r="H661" i="11" s="1"/>
  <c r="G497" i="7" a="1"/>
  <c r="G497" i="7" s="1"/>
  <c r="G688" i="7" a="1"/>
  <c r="G688" i="7" s="1"/>
  <c r="G1566" i="7" a="1"/>
  <c r="G1566" i="7" s="1"/>
  <c r="G850" i="11" s="1"/>
  <c r="H850" i="11" s="1"/>
  <c r="G1170" i="7" a="1"/>
  <c r="G1170" i="7" s="1"/>
  <c r="G454" i="11" s="1"/>
  <c r="H454" i="11" s="1"/>
  <c r="G1450" i="7" a="1"/>
  <c r="G1450" i="7" s="1"/>
  <c r="G734" i="11" s="1"/>
  <c r="H734" i="11" s="1"/>
  <c r="G1509" i="7" a="1"/>
  <c r="G1509" i="7" s="1"/>
  <c r="G793" i="11" s="1"/>
  <c r="H793" i="11" s="1"/>
  <c r="G553" i="7" a="1"/>
  <c r="G553" i="7" s="1"/>
  <c r="Y551" i="7" s="1" a="1"/>
  <c r="Y551" i="7" s="1"/>
  <c r="G601" i="7" a="1"/>
  <c r="G601" i="7" s="1"/>
  <c r="G195" i="7" a="1"/>
  <c r="G195" i="7" s="1"/>
  <c r="Y193" i="7" s="1" a="1"/>
  <c r="Y193" i="7" s="1"/>
  <c r="G98" i="7" a="1"/>
  <c r="G98" i="7" s="1"/>
  <c r="G401" i="7" a="1"/>
  <c r="G401" i="7" s="1"/>
  <c r="G1284" i="7" a="1"/>
  <c r="G1284" i="7" s="1"/>
  <c r="G568" i="11" s="1"/>
  <c r="H568" i="11" s="1"/>
  <c r="G1430" i="7" a="1"/>
  <c r="G1430" i="7" s="1"/>
  <c r="G714" i="11" s="1"/>
  <c r="H714" i="11" s="1"/>
  <c r="G651" i="7" a="1"/>
  <c r="G651" i="7" s="1"/>
  <c r="G266" i="7" a="1"/>
  <c r="G266" i="7" s="1"/>
  <c r="G804" i="7" a="1"/>
  <c r="G804" i="7" s="1"/>
  <c r="G88" i="11" s="1"/>
  <c r="H88" i="11" s="1"/>
  <c r="G90" i="7" a="1"/>
  <c r="G90" i="7" s="1"/>
  <c r="G1524" i="7" a="1"/>
  <c r="G1524" i="7" s="1"/>
  <c r="G808" i="11" s="1"/>
  <c r="H808" i="11" s="1"/>
  <c r="G772" i="7" a="1"/>
  <c r="G772" i="7" s="1"/>
  <c r="G56" i="11" s="1"/>
  <c r="G1655" i="7" a="1"/>
  <c r="G1655" i="7" s="1"/>
  <c r="G939" i="11" s="1"/>
  <c r="H939" i="11" s="1"/>
  <c r="G1122" i="7" a="1"/>
  <c r="G1122" i="7" s="1"/>
  <c r="G406" i="11" s="1"/>
  <c r="H406" i="11" s="1"/>
  <c r="G200" i="7" a="1"/>
  <c r="G200" i="7" s="1"/>
  <c r="Y198" i="7" s="1" a="1"/>
  <c r="Y198" i="7" s="1"/>
  <c r="G1039" i="7" a="1"/>
  <c r="G1039" i="7" s="1"/>
  <c r="G323" i="11" s="1"/>
  <c r="H323" i="11" s="1"/>
  <c r="G639" i="7" a="1"/>
  <c r="G639" i="7" s="1"/>
  <c r="G1000" i="7" a="1"/>
  <c r="G1000" i="7" s="1"/>
  <c r="G284" i="11" s="1"/>
  <c r="H284" i="11" s="1"/>
  <c r="G1322" i="7" a="1"/>
  <c r="G1322" i="7" s="1"/>
  <c r="G606" i="11" s="1"/>
  <c r="H606" i="11" s="1"/>
  <c r="G438" i="7" a="1"/>
  <c r="G438" i="7" s="1"/>
  <c r="G60" i="7" a="1"/>
  <c r="G60" i="7" s="1"/>
  <c r="G1372" i="7" a="1"/>
  <c r="G1372" i="7" s="1"/>
  <c r="G656" i="11" s="1"/>
  <c r="H656" i="11" s="1"/>
  <c r="G826" i="7" a="1"/>
  <c r="G826" i="7" s="1"/>
  <c r="G110" i="11" s="1"/>
  <c r="H110" i="11" s="1"/>
  <c r="G70" i="7" a="1"/>
  <c r="G70" i="7" s="1"/>
  <c r="G1137" i="7" a="1"/>
  <c r="G1137" i="7" s="1"/>
  <c r="G421" i="11" s="1"/>
  <c r="H421" i="11" s="1"/>
  <c r="G455" i="7" a="1"/>
  <c r="G455" i="7" s="1"/>
  <c r="G231" i="7" a="1"/>
  <c r="G231" i="7" s="1"/>
  <c r="G132" i="7" a="1"/>
  <c r="G132" i="7" s="1"/>
  <c r="G137" i="7" a="1"/>
  <c r="G137" i="7" s="1"/>
  <c r="G1033" i="7" a="1"/>
  <c r="G1033" i="7" s="1"/>
  <c r="G317" i="11" s="1"/>
  <c r="H317" i="11" s="1"/>
  <c r="G1017" i="7" a="1"/>
  <c r="G1017" i="7" s="1"/>
  <c r="G301" i="11" s="1"/>
  <c r="H301" i="11" s="1"/>
  <c r="G799" i="7" a="1"/>
  <c r="G799" i="7" s="1"/>
  <c r="G83" i="11" s="1"/>
  <c r="H83" i="11" s="1"/>
  <c r="G810" i="7" a="1"/>
  <c r="G810" i="7" s="1"/>
  <c r="G94" i="11" s="1"/>
  <c r="H94" i="11" s="1"/>
  <c r="G1724" i="7" a="1"/>
  <c r="G1724" i="7" s="1"/>
  <c r="G1008" i="11" s="1"/>
  <c r="H1008" i="11" s="1"/>
  <c r="G1735" i="7" a="1"/>
  <c r="G1735" i="7" s="1"/>
  <c r="G1019" i="11" s="1"/>
  <c r="H1019" i="11" s="1"/>
  <c r="G855" i="7" a="1"/>
  <c r="G855" i="7" s="1"/>
  <c r="G139" i="11" s="1"/>
  <c r="H139" i="11" s="1"/>
  <c r="G867" i="7" a="1"/>
  <c r="G867" i="7" s="1"/>
  <c r="G151" i="11" s="1"/>
  <c r="G332" i="7" a="1"/>
  <c r="G332" i="7" s="1"/>
  <c r="G1387" i="7" a="1"/>
  <c r="G1387" i="7" s="1"/>
  <c r="G671" i="11" s="1"/>
  <c r="H671" i="11" s="1"/>
  <c r="G599" i="7" a="1"/>
  <c r="G599" i="7" s="1"/>
  <c r="G49" i="7" a="1"/>
  <c r="G49" i="7" s="1"/>
  <c r="G1283" i="7" a="1"/>
  <c r="G1283" i="7" s="1"/>
  <c r="G567" i="11" s="1"/>
  <c r="H567" i="11" s="1"/>
  <c r="G236" i="7" a="1"/>
  <c r="G236" i="7" s="1"/>
  <c r="G57" i="7" a="1"/>
  <c r="G57" i="7" s="1"/>
  <c r="G1315" i="7" a="1"/>
  <c r="G1315" i="7" s="1"/>
  <c r="G599" i="11" s="1"/>
  <c r="H599" i="11" s="1"/>
  <c r="G787" i="7" a="1"/>
  <c r="G787" i="7" s="1"/>
  <c r="G71" i="11" s="1"/>
  <c r="G299" i="7" a="1"/>
  <c r="G299" i="7" s="1"/>
  <c r="G472" i="7" a="1"/>
  <c r="G472" i="7" s="1"/>
  <c r="G87" i="7" a="1"/>
  <c r="G87" i="7" s="1"/>
  <c r="G983" i="7" a="1"/>
  <c r="G983" i="7" s="1"/>
  <c r="G267" i="11" s="1"/>
  <c r="H267" i="11" s="1"/>
  <c r="G448" i="7" a="1"/>
  <c r="G448" i="7" s="1"/>
  <c r="G414" i="7" a="1"/>
  <c r="G414" i="7" s="1"/>
  <c r="G414" i="10" s="1"/>
  <c r="G1297" i="7" a="1"/>
  <c r="G1297" i="7" s="1"/>
  <c r="G581" i="11" s="1"/>
  <c r="H581" i="11" s="1"/>
  <c r="G1301" i="7" a="1"/>
  <c r="G1301" i="7" s="1"/>
  <c r="G585" i="11" s="1"/>
  <c r="H585" i="11" s="1"/>
  <c r="G21" i="7" a="1"/>
  <c r="G21" i="7" s="1"/>
  <c r="Y19" i="7" s="1" a="1"/>
  <c r="Y19" i="7" s="1"/>
  <c r="G997" i="7" a="1"/>
  <c r="G997" i="7" s="1"/>
  <c r="G281" i="11" s="1"/>
  <c r="H281" i="11" s="1"/>
  <c r="G104" i="7" a="1"/>
  <c r="G104" i="7" s="1"/>
  <c r="G821" i="7" a="1"/>
  <c r="G821" i="7" s="1"/>
  <c r="G105" i="11" s="1"/>
  <c r="H105" i="11" s="1"/>
  <c r="G617" i="7" a="1"/>
  <c r="G617" i="7" s="1"/>
  <c r="G239" i="7" a="1"/>
  <c r="G239" i="7" s="1"/>
  <c r="G1730" i="7" a="1"/>
  <c r="G1730" i="7" s="1"/>
  <c r="G1014" i="11" s="1"/>
  <c r="H1014" i="11" s="1"/>
  <c r="G289" i="7" a="1"/>
  <c r="G289" i="7" s="1"/>
  <c r="G607" i="7" a="1"/>
  <c r="G607" i="7" s="1"/>
  <c r="G1316" i="7" a="1"/>
  <c r="G1316" i="7" s="1"/>
  <c r="G600" i="11" s="1"/>
  <c r="H600" i="11" s="1"/>
  <c r="G634" i="7" a="1"/>
  <c r="G634" i="7" s="1"/>
  <c r="G434" i="7" a="1"/>
  <c r="G434" i="7" s="1"/>
  <c r="G947" i="7" a="1"/>
  <c r="G947" i="7" s="1"/>
  <c r="G231" i="11" s="1"/>
  <c r="H231" i="11" s="1"/>
  <c r="G311" i="7" a="1"/>
  <c r="G311" i="7" s="1"/>
  <c r="G495" i="7" a="1"/>
  <c r="G495" i="7" s="1"/>
  <c r="G1375" i="7" a="1"/>
  <c r="G1375" i="7" s="1"/>
  <c r="G659" i="11" s="1"/>
  <c r="H659" i="11" s="1"/>
  <c r="G620" i="7" a="1"/>
  <c r="G620" i="7" s="1"/>
  <c r="G452" i="7" a="1"/>
  <c r="G452" i="7" s="1"/>
  <c r="G1225" i="7" a="1"/>
  <c r="G1225" i="7" s="1"/>
  <c r="G509" i="11" s="1"/>
  <c r="H509" i="11" s="1"/>
  <c r="G153" i="7" a="1"/>
  <c r="G153" i="7" s="1"/>
  <c r="G1745" i="7" a="1"/>
  <c r="G1745" i="7" s="1"/>
  <c r="G1029" i="11" s="1"/>
  <c r="H1029" i="11" s="1"/>
  <c r="G93" i="7" a="1"/>
  <c r="G93" i="7" s="1"/>
  <c r="G1384" i="7" a="1"/>
  <c r="G1384" i="7" s="1"/>
  <c r="G668" i="11" s="1"/>
  <c r="H668" i="11" s="1"/>
  <c r="G1513" i="7" a="1"/>
  <c r="G1513" i="7" s="1"/>
  <c r="G797" i="11" s="1"/>
  <c r="H797" i="11" s="1"/>
  <c r="G1629" i="7" a="1"/>
  <c r="G1629" i="7" s="1"/>
  <c r="G913" i="11" s="1"/>
  <c r="H913" i="11" s="1"/>
  <c r="G415" i="7" a="1"/>
  <c r="G415" i="7" s="1"/>
  <c r="G1579" i="7" a="1"/>
  <c r="G1579" i="7" s="1"/>
  <c r="G863" i="11" s="1"/>
  <c r="H863" i="11" s="1"/>
  <c r="G931" i="7" a="1"/>
  <c r="G931" i="7" s="1"/>
  <c r="G215" i="11" s="1"/>
  <c r="H215" i="11" s="1"/>
  <c r="G571" i="7" a="1"/>
  <c r="G571" i="7" s="1"/>
  <c r="G243" i="7" a="1"/>
  <c r="G243" i="7" s="1"/>
  <c r="G243" i="10" s="1"/>
  <c r="G1641" i="7" a="1"/>
  <c r="G1641" i="7" s="1"/>
  <c r="G925" i="11" s="1"/>
  <c r="H925" i="11" s="1"/>
  <c r="G1325" i="7" a="1"/>
  <c r="G1325" i="7" s="1"/>
  <c r="G609" i="11" s="1"/>
  <c r="H609" i="11" s="1"/>
  <c r="G1728" i="7" a="1"/>
  <c r="G1728" i="7" s="1"/>
  <c r="G1012" i="11" s="1"/>
  <c r="H1012" i="11" s="1"/>
  <c r="G608" i="7" a="1"/>
  <c r="G608" i="7" s="1"/>
  <c r="T608" i="7" s="1"/>
  <c r="N608" i="10" s="1"/>
  <c r="G1468" i="7" a="1"/>
  <c r="G1468" i="7" s="1"/>
  <c r="G752" i="11" s="1"/>
  <c r="H752" i="11" s="1"/>
  <c r="G985" i="7" a="1"/>
  <c r="G985" i="7" s="1"/>
  <c r="G269" i="11" s="1"/>
  <c r="H269" i="11" s="1"/>
  <c r="G265" i="7" a="1"/>
  <c r="G265" i="7" s="1"/>
  <c r="G951" i="7" a="1"/>
  <c r="G951" i="7" s="1"/>
  <c r="G235" i="11" s="1"/>
  <c r="H235" i="11" s="1"/>
  <c r="G32" i="7" a="1"/>
  <c r="G32" i="7" s="1"/>
  <c r="T32" i="7" s="1"/>
  <c r="N32" i="10" s="1"/>
  <c r="G1659" i="7" a="1"/>
  <c r="G1659" i="7" s="1"/>
  <c r="G943" i="11" s="1"/>
  <c r="H943" i="11" s="1"/>
  <c r="G28" i="7" a="1"/>
  <c r="G28" i="7" s="1"/>
  <c r="G641" i="7" a="1"/>
  <c r="G641" i="7" s="1"/>
  <c r="G47" i="7" a="1"/>
  <c r="G47" i="7" s="1"/>
  <c r="G975" i="7" a="1"/>
  <c r="G975" i="7" s="1"/>
  <c r="G259" i="11" s="1"/>
  <c r="H259" i="11" s="1"/>
  <c r="G597" i="7" a="1"/>
  <c r="G597" i="7" s="1"/>
  <c r="G1551" i="7" a="1"/>
  <c r="G1551" i="7" s="1"/>
  <c r="G835" i="11" s="1"/>
  <c r="H835" i="11" s="1"/>
  <c r="G276" i="7" a="1"/>
  <c r="G276" i="7" s="1"/>
  <c r="G255" i="7" a="1"/>
  <c r="G255" i="7" s="1"/>
  <c r="G1733" i="7" a="1"/>
  <c r="G1733" i="7" s="1"/>
  <c r="G1017" i="11" s="1"/>
  <c r="H1017" i="11" s="1"/>
  <c r="G1515" i="7" a="1"/>
  <c r="G1515" i="7" s="1"/>
  <c r="G799" i="11" s="1"/>
  <c r="H799" i="11" s="1"/>
  <c r="G150" i="7" a="1"/>
  <c r="G150" i="7" s="1"/>
  <c r="G1227" i="7" a="1"/>
  <c r="G1227" i="7" s="1"/>
  <c r="G511" i="11" s="1"/>
  <c r="H511" i="11" s="1"/>
  <c r="G272" i="7" a="1"/>
  <c r="G272" i="7" s="1"/>
  <c r="X552" i="7" a="1"/>
  <c r="X552" i="7" s="1"/>
  <c r="G1449" i="7" a="1"/>
  <c r="G1449" i="7" s="1"/>
  <c r="G733" i="11" s="1"/>
  <c r="H733" i="11" s="1"/>
  <c r="G733" i="7" a="1"/>
  <c r="G733" i="7" s="1"/>
  <c r="G1091" i="7" a="1"/>
  <c r="G1091" i="7" s="1"/>
  <c r="G196" i="7" a="1"/>
  <c r="G196" i="7" s="1"/>
  <c r="G912" i="7" a="1"/>
  <c r="G912" i="7" s="1"/>
  <c r="G554" i="7" a="1"/>
  <c r="G554" i="7" s="1"/>
  <c r="Y552" i="7" s="1" a="1"/>
  <c r="Y552" i="7" s="1"/>
  <c r="G17" i="7" a="1"/>
  <c r="G17" i="7" s="1"/>
  <c r="Y15" i="7" s="1" a="1"/>
  <c r="Y15" i="7" s="1"/>
  <c r="G375" i="7" a="1"/>
  <c r="G375" i="7" s="1"/>
  <c r="Y373" i="7" s="1" a="1"/>
  <c r="Y373" i="7" s="1"/>
  <c r="G1270" i="7" a="1"/>
  <c r="G1270" i="7" s="1"/>
  <c r="G554" i="11" s="1"/>
  <c r="H554" i="11" s="1"/>
  <c r="G1628" i="7" a="1"/>
  <c r="G1628" i="7" s="1"/>
  <c r="G912" i="11" s="1"/>
  <c r="H912" i="11" s="1"/>
  <c r="G1347" i="7" a="1"/>
  <c r="G1347" i="7" s="1"/>
  <c r="G631" i="11" s="1"/>
  <c r="H631" i="11" s="1"/>
  <c r="G1526" i="7" a="1"/>
  <c r="G1526" i="7" s="1"/>
  <c r="G810" i="11" s="1"/>
  <c r="H810" i="11" s="1"/>
  <c r="G637" i="7" a="1"/>
  <c r="G637" i="7" s="1"/>
  <c r="G458" i="7" a="1"/>
  <c r="G458" i="7" s="1"/>
  <c r="G279" i="7" a="1"/>
  <c r="G279" i="7" s="1"/>
  <c r="G100" i="7" a="1"/>
  <c r="G100" i="7" s="1"/>
  <c r="G313" i="7" a="1"/>
  <c r="G313" i="7" s="1"/>
  <c r="G134" i="7" a="1"/>
  <c r="G134" i="7" s="1"/>
  <c r="G671" i="7" a="1"/>
  <c r="G671" i="7" s="1"/>
  <c r="G1367" i="7" a="1"/>
  <c r="G1367" i="7" s="1"/>
  <c r="G651" i="11" s="1"/>
  <c r="H651" i="11" s="1"/>
  <c r="G1009" i="7" a="1"/>
  <c r="G1009" i="7" s="1"/>
  <c r="G293" i="11" s="1"/>
  <c r="H293" i="11" s="1"/>
  <c r="G830" i="7" a="1"/>
  <c r="G830" i="7" s="1"/>
  <c r="G114" i="11" s="1"/>
  <c r="H114" i="11" s="1"/>
  <c r="G347" i="7" a="1"/>
  <c r="G347" i="7" s="1"/>
  <c r="G884" i="7" a="1"/>
  <c r="G884" i="7" s="1"/>
  <c r="G168" i="11" s="1"/>
  <c r="G526" i="7" a="1"/>
  <c r="G526" i="7" s="1"/>
  <c r="G168" i="7" a="1"/>
  <c r="G168" i="7" s="1"/>
  <c r="G1421" i="7" a="1"/>
  <c r="G1421" i="7" s="1"/>
  <c r="G705" i="11" s="1"/>
  <c r="H705" i="11" s="1"/>
  <c r="G1779" i="7" a="1"/>
  <c r="G1779" i="7" s="1"/>
  <c r="G1063" i="11" s="1"/>
  <c r="H1063" i="11" s="1"/>
  <c r="G1600" i="7" a="1"/>
  <c r="G1600" i="7" s="1"/>
  <c r="G884" i="11" s="1"/>
  <c r="H884" i="11" s="1"/>
  <c r="G1242" i="7" a="1"/>
  <c r="G1242" i="7" s="1"/>
  <c r="G526" i="11" s="1"/>
  <c r="H526" i="11" s="1"/>
  <c r="G705" i="7" a="1"/>
  <c r="G705" i="7" s="1"/>
  <c r="G1063" i="7" a="1"/>
  <c r="G1063" i="7" s="1"/>
  <c r="G347" i="11" s="1"/>
  <c r="H347" i="11" s="1"/>
  <c r="G1784" i="7" a="1"/>
  <c r="G1784" i="7" s="1"/>
  <c r="G1068" i="11" s="1"/>
  <c r="H1068" i="11" s="1"/>
  <c r="G1605" i="7" a="1"/>
  <c r="G1605" i="7" s="1"/>
  <c r="G889" i="11" s="1"/>
  <c r="H889" i="11" s="1"/>
  <c r="G889" i="7" a="1"/>
  <c r="G889" i="7" s="1"/>
  <c r="G173" i="11" s="1"/>
  <c r="G1068" i="7" a="1"/>
  <c r="G1068" i="7" s="1"/>
  <c r="G352" i="11" s="1"/>
  <c r="H352" i="11" s="1"/>
  <c r="G531" i="7" a="1"/>
  <c r="G531" i="7" s="1"/>
  <c r="G710" i="7" a="1"/>
  <c r="G710" i="7" s="1"/>
  <c r="G173" i="7" a="1"/>
  <c r="G173" i="7" s="1"/>
  <c r="G352" i="7" a="1"/>
  <c r="G352" i="7" s="1"/>
  <c r="G1247" i="7" a="1"/>
  <c r="G1247" i="7" s="1"/>
  <c r="G531" i="11" s="1"/>
  <c r="H531" i="11" s="1"/>
  <c r="G1426" i="7" a="1"/>
  <c r="G1426" i="7" s="1"/>
  <c r="G710" i="11" s="1"/>
  <c r="H710" i="11" s="1"/>
  <c r="G1611" i="7" a="1"/>
  <c r="G1611" i="7" s="1"/>
  <c r="G895" i="11" s="1"/>
  <c r="H895" i="11" s="1"/>
  <c r="G1432" i="7" a="1"/>
  <c r="G1432" i="7" s="1"/>
  <c r="G716" i="11" s="1"/>
  <c r="H716" i="11" s="1"/>
  <c r="G1253" i="7" a="1"/>
  <c r="G1253" i="7" s="1"/>
  <c r="G537" i="11" s="1"/>
  <c r="H537" i="11" s="1"/>
  <c r="G1141" i="7" a="1"/>
  <c r="G1141" i="7" s="1"/>
  <c r="G425" i="11" s="1"/>
  <c r="H425" i="11" s="1"/>
  <c r="G1678" i="7" a="1"/>
  <c r="G1678" i="7" s="1"/>
  <c r="G962" i="11" s="1"/>
  <c r="H962" i="11" s="1"/>
  <c r="G962" i="7" a="1"/>
  <c r="G962" i="7" s="1"/>
  <c r="G246" i="11" s="1"/>
  <c r="H246" i="11" s="1"/>
  <c r="G383" i="7" a="1"/>
  <c r="G383" i="7" s="1"/>
  <c r="G383" i="10" s="1"/>
  <c r="G204" i="7" a="1"/>
  <c r="G204" i="7" s="1"/>
  <c r="T204" i="7" s="1"/>
  <c r="N204" i="10" s="1"/>
  <c r="G1278" i="7" a="1"/>
  <c r="G1278" i="7" s="1"/>
  <c r="G562" i="11" s="1"/>
  <c r="H562" i="11" s="1"/>
  <c r="G1457" i="7" a="1"/>
  <c r="G1457" i="7" s="1"/>
  <c r="G1636" i="7" a="1"/>
  <c r="G1636" i="7" s="1"/>
  <c r="G920" i="11" s="1"/>
  <c r="H920" i="11" s="1"/>
  <c r="G920" i="7" a="1"/>
  <c r="G920" i="7" s="1"/>
  <c r="G204" i="11" s="1"/>
  <c r="H204" i="11" s="1"/>
  <c r="G1099" i="7" a="1"/>
  <c r="G1099" i="7" s="1"/>
  <c r="G383" i="11" s="1"/>
  <c r="H383" i="11" s="1"/>
  <c r="G562" i="7" a="1"/>
  <c r="G562" i="7" s="1"/>
  <c r="G741" i="7" a="1"/>
  <c r="G741" i="7" s="1"/>
  <c r="G25" i="11" s="1"/>
  <c r="H25" i="11" s="1"/>
  <c r="G25" i="7" a="1"/>
  <c r="G25" i="7" s="1"/>
  <c r="G1649" i="7" a="1"/>
  <c r="G1649" i="7" s="1"/>
  <c r="G933" i="11" s="1"/>
  <c r="H933" i="11" s="1"/>
  <c r="G1470" i="7" a="1"/>
  <c r="G1470" i="7" s="1"/>
  <c r="G754" i="11" s="1"/>
  <c r="H754" i="11" s="1"/>
  <c r="G1112" i="7" a="1"/>
  <c r="G1112" i="7" s="1"/>
  <c r="G396" i="11" s="1"/>
  <c r="H396" i="11" s="1"/>
  <c r="G754" i="7" a="1"/>
  <c r="G754" i="7" s="1"/>
  <c r="G38" i="11" s="1"/>
  <c r="H38" i="11" s="1"/>
  <c r="G1291" i="7" a="1"/>
  <c r="G1291" i="7" s="1"/>
  <c r="G575" i="11" s="1"/>
  <c r="H575" i="11" s="1"/>
  <c r="G933" i="7" a="1"/>
  <c r="G933" i="7" s="1"/>
  <c r="G217" i="11" s="1"/>
  <c r="H217" i="11" s="1"/>
  <c r="G575" i="7" a="1"/>
  <c r="G575" i="7" s="1"/>
  <c r="G217" i="7" a="1"/>
  <c r="G217" i="7" s="1"/>
  <c r="G396" i="7" a="1"/>
  <c r="G396" i="7" s="1"/>
  <c r="G38" i="7" a="1"/>
  <c r="G38" i="7" s="1"/>
  <c r="G924" i="7" a="1"/>
  <c r="G924" i="7" s="1"/>
  <c r="G208" i="11" s="1"/>
  <c r="H208" i="11" s="1"/>
  <c r="G208" i="7" a="1"/>
  <c r="G208" i="7" s="1"/>
  <c r="G745" i="7" a="1"/>
  <c r="G745" i="7" s="1"/>
  <c r="G29" i="11" s="1"/>
  <c r="H29" i="11" s="1"/>
  <c r="G387" i="7" a="1"/>
  <c r="G387" i="7" s="1"/>
  <c r="G387" i="10" s="1"/>
  <c r="G566" i="7" a="1"/>
  <c r="G566" i="7" s="1"/>
  <c r="G566" i="10" s="1"/>
  <c r="G29" i="7" a="1"/>
  <c r="G29" i="7" s="1"/>
  <c r="G1461" i="7" a="1"/>
  <c r="G1461" i="7" s="1"/>
  <c r="G745" i="11" s="1"/>
  <c r="H745" i="11" s="1"/>
  <c r="G1640" i="7" a="1"/>
  <c r="G1640" i="7" s="1"/>
  <c r="G924" i="11" s="1"/>
  <c r="H924" i="11" s="1"/>
  <c r="G1282" i="7" a="1"/>
  <c r="G1282" i="7" s="1"/>
  <c r="G566" i="11" s="1"/>
  <c r="H566" i="11" s="1"/>
  <c r="G1103" i="7" a="1"/>
  <c r="G1103" i="7" s="1"/>
  <c r="G387" i="11" s="1"/>
  <c r="H387" i="11" s="1"/>
  <c r="G1695" i="7" a="1"/>
  <c r="G1695" i="7" s="1"/>
  <c r="G979" i="11" s="1"/>
  <c r="H979" i="11" s="1"/>
  <c r="G1158" i="7" a="1"/>
  <c r="G1158" i="7" s="1"/>
  <c r="G442" i="11" s="1"/>
  <c r="H442" i="11" s="1"/>
  <c r="G979" i="7" a="1"/>
  <c r="G979" i="7" s="1"/>
  <c r="G263" i="11" s="1"/>
  <c r="H263" i="11" s="1"/>
  <c r="G263" i="7" a="1"/>
  <c r="G263" i="7" s="1"/>
  <c r="G771" i="7" a="1"/>
  <c r="G771" i="7" s="1"/>
  <c r="G55" i="11" s="1"/>
  <c r="G592" i="7" a="1"/>
  <c r="G592" i="7" s="1"/>
  <c r="G55" i="7" a="1"/>
  <c r="G55" i="7" s="1"/>
  <c r="G234" i="7" a="1"/>
  <c r="G234" i="7" s="1"/>
  <c r="G234" i="10" s="1"/>
  <c r="G1666" i="7" a="1"/>
  <c r="G1666" i="7" s="1"/>
  <c r="G950" i="11" s="1"/>
  <c r="H950" i="11" s="1"/>
  <c r="G1487" i="7" a="1"/>
  <c r="G1487" i="7" s="1"/>
  <c r="G771" i="11" s="1"/>
  <c r="H771" i="11" s="1"/>
  <c r="G1308" i="7" a="1"/>
  <c r="G1308" i="7" s="1"/>
  <c r="G592" i="11" s="1"/>
  <c r="H592" i="11" s="1"/>
  <c r="G1129" i="7" a="1"/>
  <c r="G1129" i="7" s="1"/>
  <c r="G413" i="11" s="1"/>
  <c r="H413" i="11" s="1"/>
  <c r="G950" i="7" a="1"/>
  <c r="G950" i="7" s="1"/>
  <c r="G234" i="11" s="1"/>
  <c r="H234" i="11" s="1"/>
  <c r="G413" i="7" a="1"/>
  <c r="G413" i="7" s="1"/>
  <c r="G1295" i="7" a="1"/>
  <c r="G1295" i="7" s="1"/>
  <c r="G579" i="11" s="1"/>
  <c r="H579" i="11" s="1"/>
  <c r="G1653" i="7" a="1"/>
  <c r="G1653" i="7" s="1"/>
  <c r="G937" i="11" s="1"/>
  <c r="H937" i="11" s="1"/>
  <c r="G1474" i="7" a="1"/>
  <c r="G1474" i="7" s="1"/>
  <c r="G758" i="11" s="1"/>
  <c r="H758" i="11" s="1"/>
  <c r="G937" i="7" a="1"/>
  <c r="G937" i="7" s="1"/>
  <c r="G221" i="11" s="1"/>
  <c r="H221" i="11" s="1"/>
  <c r="G1116" i="7" a="1"/>
  <c r="G1116" i="7" s="1"/>
  <c r="G400" i="11" s="1"/>
  <c r="H400" i="11" s="1"/>
  <c r="G400" i="7" a="1"/>
  <c r="G400" i="7" s="1"/>
  <c r="G579" i="7" a="1"/>
  <c r="G579" i="7" s="1"/>
  <c r="G758" i="7" a="1"/>
  <c r="G758" i="7" s="1"/>
  <c r="G42" i="11" s="1"/>
  <c r="G42" i="7" a="1"/>
  <c r="G42" i="7" s="1"/>
  <c r="G221" i="7" a="1"/>
  <c r="G221" i="7" s="1"/>
  <c r="G1739" i="7" a="1"/>
  <c r="G1739" i="7" s="1"/>
  <c r="G1023" i="11" s="1"/>
  <c r="H1023" i="11" s="1"/>
  <c r="G1560" i="7" a="1"/>
  <c r="G1560" i="7" s="1"/>
  <c r="G844" i="11" s="1"/>
  <c r="H844" i="11" s="1"/>
  <c r="G1381" i="7" a="1"/>
  <c r="G1381" i="7" s="1"/>
  <c r="G665" i="11" s="1"/>
  <c r="H665" i="11" s="1"/>
  <c r="G1202" i="7" a="1"/>
  <c r="G1202" i="7" s="1"/>
  <c r="G486" i="11" s="1"/>
  <c r="H486" i="11" s="1"/>
  <c r="G1023" i="7" a="1"/>
  <c r="G1023" i="7" s="1"/>
  <c r="G307" i="11" s="1"/>
  <c r="H307" i="11" s="1"/>
  <c r="G486" i="7" a="1"/>
  <c r="G486" i="7" s="1"/>
  <c r="G844" i="7" a="1"/>
  <c r="G844" i="7" s="1"/>
  <c r="G128" i="11" s="1"/>
  <c r="H128" i="11" s="1"/>
  <c r="G307" i="7" a="1"/>
  <c r="G307" i="7" s="1"/>
  <c r="G128" i="7" a="1"/>
  <c r="G128" i="7" s="1"/>
  <c r="G1354" i="7" a="1"/>
  <c r="G1354" i="7" s="1"/>
  <c r="G1533" i="7" a="1"/>
  <c r="G1533" i="7" s="1"/>
  <c r="G817" i="11" s="1"/>
  <c r="H817" i="11" s="1"/>
  <c r="G1712" i="7" a="1"/>
  <c r="G1712" i="7" s="1"/>
  <c r="G996" i="11" s="1"/>
  <c r="H996" i="11" s="1"/>
  <c r="G1175" i="7" a="1"/>
  <c r="G1175" i="7" s="1"/>
  <c r="G459" i="11" s="1"/>
  <c r="H459" i="11" s="1"/>
  <c r="G996" i="7" a="1"/>
  <c r="G996" i="7" s="1"/>
  <c r="G280" i="11" s="1"/>
  <c r="H280" i="11" s="1"/>
  <c r="G817" i="7" a="1"/>
  <c r="G817" i="7" s="1"/>
  <c r="G101" i="11" s="1"/>
  <c r="G638" i="7" a="1"/>
  <c r="G638" i="7" s="1"/>
  <c r="G638" i="10" s="1"/>
  <c r="G459" i="7" a="1"/>
  <c r="G459" i="7" s="1"/>
  <c r="T459" i="7" s="1"/>
  <c r="N459" i="10" s="1"/>
  <c r="G280" i="7" a="1"/>
  <c r="G280" i="7" s="1"/>
  <c r="G280" i="10" s="1"/>
  <c r="G101" i="7" a="1"/>
  <c r="G101" i="7" s="1"/>
  <c r="G145" i="7" a="1"/>
  <c r="G145" i="7" s="1"/>
  <c r="T145" i="7" s="1"/>
  <c r="N145" i="10" s="1"/>
  <c r="G324" i="7" a="1"/>
  <c r="G324" i="7" s="1"/>
  <c r="G324" i="10" s="1"/>
  <c r="G1577" i="7" a="1"/>
  <c r="G1577" i="7" s="1"/>
  <c r="G861" i="11" s="1"/>
  <c r="H861" i="11" s="1"/>
  <c r="G1398" i="7" a="1"/>
  <c r="G1398" i="7" s="1"/>
  <c r="G1756" i="7" a="1"/>
  <c r="G1756" i="7" s="1"/>
  <c r="G1040" i="11" s="1"/>
  <c r="H1040" i="11" s="1"/>
  <c r="G1040" i="7" a="1"/>
  <c r="G1040" i="7" s="1"/>
  <c r="G324" i="11" s="1"/>
  <c r="H324" i="11" s="1"/>
  <c r="G1219" i="7" a="1"/>
  <c r="G1219" i="7" s="1"/>
  <c r="G503" i="11" s="1"/>
  <c r="H503" i="11" s="1"/>
  <c r="G682" i="7" a="1"/>
  <c r="G682" i="7" s="1"/>
  <c r="G682" i="10" s="1"/>
  <c r="G503" i="7" a="1"/>
  <c r="G503" i="7" s="1"/>
  <c r="T503" i="7" s="1"/>
  <c r="N503" i="10" s="1"/>
  <c r="G861" i="7" a="1"/>
  <c r="G861" i="7" s="1"/>
  <c r="G1386" i="7" a="1"/>
  <c r="G1386" i="7" s="1"/>
  <c r="G1565" i="7" a="1"/>
  <c r="G1565" i="7" s="1"/>
  <c r="G849" i="11" s="1"/>
  <c r="H849" i="11" s="1"/>
  <c r="G849" i="7" a="1"/>
  <c r="G849" i="7" s="1"/>
  <c r="G1028" i="7" a="1"/>
  <c r="G1028" i="7" s="1"/>
  <c r="G779" i="7" a="1"/>
  <c r="G779" i="7" s="1"/>
  <c r="G63" i="11" s="1"/>
  <c r="G63" i="7" a="1"/>
  <c r="G63" i="7" s="1"/>
  <c r="G242" i="7" a="1"/>
  <c r="G242" i="7" s="1"/>
  <c r="G242" i="10" s="1"/>
  <c r="G534" i="7" a="1"/>
  <c r="G534" i="7" s="1"/>
  <c r="G176" i="7" a="1"/>
  <c r="G176" i="7" s="1"/>
  <c r="G1071" i="7" a="1"/>
  <c r="G1071" i="7" s="1"/>
  <c r="G355" i="11" s="1"/>
  <c r="H355" i="11" s="1"/>
  <c r="G1787" i="7" a="1"/>
  <c r="G1787" i="7" s="1"/>
  <c r="G1071" i="11" s="1"/>
  <c r="H1071" i="11" s="1"/>
  <c r="G1608" i="7" a="1"/>
  <c r="G1608" i="7" s="1"/>
  <c r="G892" i="11" s="1"/>
  <c r="H892" i="11" s="1"/>
  <c r="G1429" i="7" a="1"/>
  <c r="G1429" i="7" s="1"/>
  <c r="G713" i="11" s="1"/>
  <c r="H713" i="11" s="1"/>
  <c r="G1250" i="7" a="1"/>
  <c r="G1250" i="7" s="1"/>
  <c r="G534" i="11" s="1"/>
  <c r="H534" i="11" s="1"/>
  <c r="G355" i="7" a="1"/>
  <c r="G355" i="7" s="1"/>
  <c r="G892" i="7" a="1"/>
  <c r="G892" i="7" s="1"/>
  <c r="G176" i="11" s="1"/>
  <c r="G713" i="7" a="1"/>
  <c r="G713" i="7" s="1"/>
  <c r="G1693" i="7" a="1"/>
  <c r="G1693" i="7" s="1"/>
  <c r="G977" i="11" s="1"/>
  <c r="H977" i="11" s="1"/>
  <c r="G1156" i="7" a="1"/>
  <c r="G1156" i="7" s="1"/>
  <c r="G16" i="7" a="1"/>
  <c r="G16" i="7" s="1"/>
  <c r="Y14" i="7" s="1" a="1"/>
  <c r="Y14" i="7" s="1"/>
  <c r="G1155" i="7" a="1"/>
  <c r="G1155" i="7" s="1"/>
  <c r="G439" i="11" s="1"/>
  <c r="H439" i="11" s="1"/>
  <c r="G52" i="7" a="1"/>
  <c r="G52" i="7" s="1"/>
  <c r="G1652" i="7" a="1"/>
  <c r="G1652" i="7" s="1"/>
  <c r="G936" i="11" s="1"/>
  <c r="H936" i="11" s="1"/>
  <c r="G1473" i="7" a="1"/>
  <c r="G1473" i="7" s="1"/>
  <c r="G757" i="11" s="1"/>
  <c r="H757" i="11" s="1"/>
  <c r="G1294" i="7" a="1"/>
  <c r="G1294" i="7" s="1"/>
  <c r="G578" i="11" s="1"/>
  <c r="H578" i="11" s="1"/>
  <c r="G936" i="7" a="1"/>
  <c r="G936" i="7" s="1"/>
  <c r="G220" i="11" s="1"/>
  <c r="H220" i="11" s="1"/>
  <c r="G1115" i="7" a="1"/>
  <c r="G1115" i="7" s="1"/>
  <c r="G399" i="11" s="1"/>
  <c r="H399" i="11" s="1"/>
  <c r="G757" i="7" a="1"/>
  <c r="G757" i="7" s="1"/>
  <c r="G41" i="11" s="1"/>
  <c r="H41" i="11" s="1"/>
  <c r="G220" i="7" a="1"/>
  <c r="G220" i="7" s="1"/>
  <c r="G220" i="10" s="1"/>
  <c r="G399" i="7" a="1"/>
  <c r="G399" i="7" s="1"/>
  <c r="G399" i="10" s="1"/>
  <c r="G578" i="7" a="1"/>
  <c r="G578" i="7" s="1"/>
  <c r="G578" i="10" s="1"/>
  <c r="G41" i="7" a="1"/>
  <c r="G41" i="7" s="1"/>
  <c r="G41" i="10" s="1"/>
  <c r="G346" i="7" a="1"/>
  <c r="G346" i="7" s="1"/>
  <c r="G167" i="7" a="1"/>
  <c r="G167" i="7" s="1"/>
  <c r="G1420" i="7" a="1"/>
  <c r="G1420" i="7" s="1"/>
  <c r="G704" i="11" s="1"/>
  <c r="H704" i="11" s="1"/>
  <c r="G1778" i="7" a="1"/>
  <c r="G1778" i="7" s="1"/>
  <c r="G1062" i="11" s="1"/>
  <c r="H1062" i="11" s="1"/>
  <c r="G1599" i="7" a="1"/>
  <c r="G1599" i="7" s="1"/>
  <c r="G883" i="11" s="1"/>
  <c r="H883" i="11" s="1"/>
  <c r="G1241" i="7" a="1"/>
  <c r="G1241" i="7" s="1"/>
  <c r="G525" i="11" s="1"/>
  <c r="H525" i="11" s="1"/>
  <c r="G1062" i="7" a="1"/>
  <c r="G1062" i="7" s="1"/>
  <c r="G346" i="11" s="1"/>
  <c r="H346" i="11" s="1"/>
  <c r="G883" i="7" a="1"/>
  <c r="G883" i="7" s="1"/>
  <c r="G167" i="11" s="1"/>
  <c r="H167" i="11" s="1"/>
  <c r="G525" i="7" a="1"/>
  <c r="G525" i="7" s="1"/>
  <c r="G704" i="7" a="1"/>
  <c r="G704" i="7" s="1"/>
  <c r="G1510" i="7" a="1"/>
  <c r="G1510" i="7" s="1"/>
  <c r="G794" i="11" s="1"/>
  <c r="H794" i="11" s="1"/>
  <c r="G1689" i="7" a="1"/>
  <c r="G1689" i="7" s="1"/>
  <c r="G973" i="11" s="1"/>
  <c r="H973" i="11" s="1"/>
  <c r="G1331" i="7" a="1"/>
  <c r="G1331" i="7" s="1"/>
  <c r="G615" i="11" s="1"/>
  <c r="H615" i="11" s="1"/>
  <c r="G1152" i="7" a="1"/>
  <c r="G1152" i="7" s="1"/>
  <c r="G436" i="11" s="1"/>
  <c r="H436" i="11" s="1"/>
  <c r="G1569" i="7" a="1"/>
  <c r="G1569" i="7" s="1"/>
  <c r="G853" i="11" s="1"/>
  <c r="H853" i="11" s="1"/>
  <c r="G1390" i="7" a="1"/>
  <c r="G1390" i="7" s="1"/>
  <c r="G674" i="11" s="1"/>
  <c r="H674" i="11" s="1"/>
  <c r="G1748" i="7" a="1"/>
  <c r="G1748" i="7" s="1"/>
  <c r="G1032" i="7" a="1"/>
  <c r="G1032" i="7" s="1"/>
  <c r="G466" i="7" a="1"/>
  <c r="G466" i="7" s="1"/>
  <c r="T466" i="7" s="1"/>
  <c r="N466" i="10" s="1"/>
  <c r="G824" i="7" a="1"/>
  <c r="G824" i="7" s="1"/>
  <c r="G108" i="11" s="1"/>
  <c r="G108" i="7" a="1"/>
  <c r="G108" i="7" s="1"/>
  <c r="G287" i="7" a="1"/>
  <c r="G287" i="7" s="1"/>
  <c r="T287" i="7" s="1"/>
  <c r="N287" i="10" s="1"/>
  <c r="G1182" i="7" a="1"/>
  <c r="G1182" i="7" s="1"/>
  <c r="G1271" i="7" a="1"/>
  <c r="G1271" i="7" s="1"/>
  <c r="G555" i="11" s="1"/>
  <c r="H555" i="11" s="1"/>
  <c r="G788" i="7" a="1"/>
  <c r="G788" i="7" s="1"/>
  <c r="G72" i="11" s="1"/>
  <c r="H72" i="11" s="1"/>
  <c r="G1370" i="7" a="1"/>
  <c r="G1370" i="7" s="1"/>
  <c r="G654" i="11" s="1"/>
  <c r="H654" i="11" s="1"/>
  <c r="G1758" i="7" a="1"/>
  <c r="G1758" i="7" s="1"/>
  <c r="G1042" i="11" s="1"/>
  <c r="H1042" i="11" s="1"/>
  <c r="G968" i="7" a="1"/>
  <c r="G968" i="7" s="1"/>
  <c r="G252" i="11" s="1"/>
  <c r="H252" i="11" s="1"/>
  <c r="G1108" i="7" a="1"/>
  <c r="G1108" i="7" s="1"/>
  <c r="G392" i="11" s="1"/>
  <c r="H392" i="11" s="1"/>
  <c r="G1147" i="7" a="1"/>
  <c r="G1147" i="7" s="1"/>
  <c r="G959" i="7" a="1"/>
  <c r="G959" i="7" s="1"/>
  <c r="G243" i="11" s="1"/>
  <c r="H243" i="11" s="1"/>
  <c r="G428" i="7" a="1"/>
  <c r="G428" i="7" s="1"/>
  <c r="G428" i="10" s="1"/>
  <c r="G1703" i="7" a="1"/>
  <c r="G1703" i="7" s="1"/>
  <c r="G987" i="11" s="1"/>
  <c r="H987" i="11" s="1"/>
  <c r="G1166" i="7" a="1"/>
  <c r="G1166" i="7" s="1"/>
  <c r="G450" i="11" s="1"/>
  <c r="H450" i="11" s="1"/>
  <c r="G808" i="7" a="1"/>
  <c r="G808" i="7" s="1"/>
  <c r="G1755" i="7" a="1"/>
  <c r="G1755" i="7" s="1"/>
  <c r="G1576" i="7" a="1"/>
  <c r="G1576" i="7" s="1"/>
  <c r="G319" i="7" a="1"/>
  <c r="G319" i="7" s="1"/>
  <c r="G140" i="7" a="1"/>
  <c r="G140" i="7" s="1"/>
  <c r="G140" i="10" s="1"/>
  <c r="G1718" i="7" a="1"/>
  <c r="G1718" i="7" s="1"/>
  <c r="G1360" i="7" a="1"/>
  <c r="G1360" i="7" s="1"/>
  <c r="G644" i="11" s="1"/>
  <c r="H644" i="11" s="1"/>
  <c r="G1059" i="7" a="1"/>
  <c r="G1059" i="7" s="1"/>
  <c r="G522" i="7" a="1"/>
  <c r="G522" i="7" s="1"/>
  <c r="G522" i="10" s="1"/>
  <c r="G701" i="7" a="1"/>
  <c r="G701" i="7" s="1"/>
  <c r="G701" i="10" s="1"/>
  <c r="G1075" i="7" a="1"/>
  <c r="G1075" i="7" s="1"/>
  <c r="G359" i="11" s="1"/>
  <c r="H359" i="11" s="1"/>
  <c r="G896" i="7" a="1"/>
  <c r="G896" i="7" s="1"/>
  <c r="G717" i="7" a="1"/>
  <c r="G717" i="7" s="1"/>
  <c r="G717" i="10" s="1"/>
  <c r="G538" i="7" a="1"/>
  <c r="G538" i="7" s="1"/>
  <c r="T538" i="7" s="1"/>
  <c r="N538" i="10" s="1"/>
  <c r="G359" i="7" a="1"/>
  <c r="G359" i="7" s="1"/>
  <c r="G359" i="10" s="1"/>
  <c r="G180" i="7" a="1"/>
  <c r="G180" i="7" s="1"/>
  <c r="G180" i="10" s="1"/>
  <c r="G1612" i="7" a="1"/>
  <c r="G1612" i="7" s="1"/>
  <c r="G896" i="11" s="1"/>
  <c r="H896" i="11" s="1"/>
  <c r="G1433" i="7" a="1"/>
  <c r="G1433" i="7" s="1"/>
  <c r="G717" i="11" s="1"/>
  <c r="H717" i="11" s="1"/>
  <c r="G1791" i="7" a="1"/>
  <c r="G1791" i="7" s="1"/>
  <c r="G1075" i="11" s="1"/>
  <c r="H1075" i="11" s="1"/>
  <c r="G1254" i="7" a="1"/>
  <c r="G1254" i="7" s="1"/>
  <c r="G1293" i="7" a="1"/>
  <c r="G1293" i="7" s="1"/>
  <c r="G577" i="11" s="1"/>
  <c r="H577" i="11" s="1"/>
  <c r="G935" i="7" a="1"/>
  <c r="G935" i="7" s="1"/>
  <c r="G219" i="11" s="1"/>
  <c r="H219" i="11" s="1"/>
  <c r="G1114" i="7" a="1"/>
  <c r="G1114" i="7" s="1"/>
  <c r="G398" i="11" s="1"/>
  <c r="H398" i="11" s="1"/>
  <c r="G577" i="7" a="1"/>
  <c r="G577" i="7" s="1"/>
  <c r="G577" i="10" s="1"/>
  <c r="G756" i="7" a="1"/>
  <c r="G756" i="7" s="1"/>
  <c r="G40" i="11" s="1"/>
  <c r="H40" i="11" s="1"/>
  <c r="G219" i="7" a="1"/>
  <c r="G219" i="7" s="1"/>
  <c r="G219" i="10" s="1"/>
  <c r="G398" i="7" a="1"/>
  <c r="G398" i="7" s="1"/>
  <c r="G398" i="10" s="1"/>
  <c r="G40" i="7" a="1"/>
  <c r="G40" i="7" s="1"/>
  <c r="G40" i="10" s="1"/>
  <c r="G1651" i="7" a="1"/>
  <c r="G1651" i="7" s="1"/>
  <c r="G935" i="11" s="1"/>
  <c r="H935" i="11" s="1"/>
  <c r="G1472" i="7" a="1"/>
  <c r="G1472" i="7" s="1"/>
  <c r="G756" i="11" s="1"/>
  <c r="H756" i="11" s="1"/>
  <c r="G556" i="7" a="1"/>
  <c r="G556" i="7" s="1"/>
  <c r="Y554" i="7" s="1" a="1"/>
  <c r="Y554" i="7" s="1"/>
  <c r="G377" i="7" a="1"/>
  <c r="G377" i="7" s="1"/>
  <c r="Y375" i="7" s="1" a="1"/>
  <c r="Y375" i="7" s="1"/>
  <c r="G19" i="7" a="1"/>
  <c r="G19" i="7" s="1"/>
  <c r="Y17" i="7" s="1" a="1"/>
  <c r="Y17" i="7" s="1"/>
  <c r="G198" i="7" a="1"/>
  <c r="G198" i="7" s="1"/>
  <c r="Y196" i="7" s="1" a="1"/>
  <c r="Y196" i="7" s="1"/>
  <c r="G1630" i="7" a="1"/>
  <c r="G1630" i="7" s="1"/>
  <c r="G1451" i="7" a="1"/>
  <c r="G1451" i="7" s="1"/>
  <c r="G1272" i="7" a="1"/>
  <c r="G1272" i="7" s="1"/>
  <c r="G556" i="11" s="1"/>
  <c r="H556" i="11" s="1"/>
  <c r="G914" i="7" a="1"/>
  <c r="G914" i="7" s="1"/>
  <c r="G1093" i="7" a="1"/>
  <c r="G1093" i="7" s="1"/>
  <c r="G735" i="7" a="1"/>
  <c r="G735" i="7" s="1"/>
  <c r="G648" i="7" a="1"/>
  <c r="G648" i="7" s="1"/>
  <c r="G648" i="10" s="1"/>
  <c r="G290" i="7" a="1"/>
  <c r="G290" i="7" s="1"/>
  <c r="G290" i="10" s="1"/>
  <c r="G469" i="7" a="1"/>
  <c r="G469" i="7" s="1"/>
  <c r="G469" i="10" s="1"/>
  <c r="G111" i="7" a="1"/>
  <c r="G111" i="7" s="1"/>
  <c r="G111" i="10" s="1"/>
  <c r="G1185" i="7" a="1"/>
  <c r="G1185" i="7" s="1"/>
  <c r="G469" i="11" s="1"/>
  <c r="H469" i="11" s="1"/>
  <c r="G1543" i="7" a="1"/>
  <c r="G1543" i="7" s="1"/>
  <c r="G1722" i="7" a="1"/>
  <c r="G1722" i="7" s="1"/>
  <c r="G1006" i="11" s="1"/>
  <c r="H1006" i="11" s="1"/>
  <c r="G1364" i="7" a="1"/>
  <c r="G1364" i="7" s="1"/>
  <c r="G648" i="11" s="1"/>
  <c r="H648" i="11" s="1"/>
  <c r="G1006" i="7" a="1"/>
  <c r="G1006" i="7" s="1"/>
  <c r="G827" i="7" a="1"/>
  <c r="G827" i="7" s="1"/>
  <c r="G111" i="11" s="1"/>
  <c r="H111" i="11" s="1"/>
  <c r="G354" i="7" a="1"/>
  <c r="G354" i="7" s="1"/>
  <c r="T354" i="7" s="1"/>
  <c r="N354" i="10" s="1"/>
  <c r="G81" i="7" a="1"/>
  <c r="G81" i="7" s="1"/>
  <c r="G81" i="10" s="1"/>
  <c r="G435" i="7" a="1"/>
  <c r="G435" i="7" s="1"/>
  <c r="T435" i="7" s="1"/>
  <c r="N435" i="10" s="1"/>
  <c r="G118" i="7" a="1"/>
  <c r="G118" i="7" s="1"/>
  <c r="T118" i="7" s="1"/>
  <c r="N118" i="10" s="1"/>
  <c r="G445" i="7" a="1"/>
  <c r="G445" i="7" s="1"/>
  <c r="G151" i="7" a="1"/>
  <c r="G151" i="7" s="1"/>
  <c r="T151" i="7" s="1"/>
  <c r="N151" i="10" s="1"/>
  <c r="G330" i="7" a="1"/>
  <c r="G330" i="7" s="1"/>
  <c r="T330" i="7" s="1"/>
  <c r="N330" i="10" s="1"/>
  <c r="G1109" i="7" a="1"/>
  <c r="G1109" i="7" s="1"/>
  <c r="G214" i="7" a="1"/>
  <c r="G214" i="7" s="1"/>
  <c r="G393" i="7" a="1"/>
  <c r="G393" i="7" s="1"/>
  <c r="G751" i="7" a="1"/>
  <c r="G751" i="7" s="1"/>
  <c r="G572" i="7" a="1"/>
  <c r="G572" i="7" s="1"/>
  <c r="G35" i="7" a="1"/>
  <c r="G35" i="7" s="1"/>
  <c r="G35" i="10" s="1"/>
  <c r="G1288" i="7" a="1"/>
  <c r="G1288" i="7" s="1"/>
  <c r="G572" i="11" s="1"/>
  <c r="H572" i="11" s="1"/>
  <c r="G1646" i="7" a="1"/>
  <c r="G1646" i="7" s="1"/>
  <c r="G930" i="11" s="1"/>
  <c r="H930" i="11" s="1"/>
  <c r="G1467" i="7" a="1"/>
  <c r="G1467" i="7" s="1"/>
  <c r="G751" i="11" s="1"/>
  <c r="H751" i="11" s="1"/>
  <c r="G930" i="7" a="1"/>
  <c r="G930" i="7" s="1"/>
  <c r="G214" i="11" s="1"/>
  <c r="H214" i="11" s="1"/>
  <c r="G404" i="7" a="1"/>
  <c r="G404" i="7" s="1"/>
  <c r="G46" i="7" a="1"/>
  <c r="G46" i="7" s="1"/>
  <c r="G1657" i="7" a="1"/>
  <c r="G1657" i="7" s="1"/>
  <c r="G941" i="11" s="1"/>
  <c r="H941" i="11" s="1"/>
  <c r="G1120" i="7" a="1"/>
  <c r="G1120" i="7" s="1"/>
  <c r="G404" i="11" s="1"/>
  <c r="H404" i="11" s="1"/>
  <c r="G1478" i="7" a="1"/>
  <c r="G1478" i="7" s="1"/>
  <c r="G762" i="11" s="1"/>
  <c r="H762" i="11" s="1"/>
  <c r="G1299" i="7" a="1"/>
  <c r="G1299" i="7" s="1"/>
  <c r="G583" i="11" s="1"/>
  <c r="H583" i="11" s="1"/>
  <c r="G762" i="7" a="1"/>
  <c r="G762" i="7" s="1"/>
  <c r="G46" i="11" s="1"/>
  <c r="H46" i="11" s="1"/>
  <c r="G941" i="7" a="1"/>
  <c r="G941" i="7" s="1"/>
  <c r="G225" i="11" s="1"/>
  <c r="H225" i="11" s="1"/>
  <c r="G583" i="7" a="1"/>
  <c r="G583" i="7" s="1"/>
  <c r="G225" i="7" a="1"/>
  <c r="G225" i="7" s="1"/>
  <c r="G460" i="7" a="1"/>
  <c r="G460" i="7" s="1"/>
  <c r="G460" i="10" s="1"/>
  <c r="G281" i="7" a="1"/>
  <c r="G281" i="7" s="1"/>
  <c r="G281" i="10" s="1"/>
  <c r="G102" i="7" a="1"/>
  <c r="G102" i="7" s="1"/>
  <c r="T102" i="7" s="1"/>
  <c r="N102" i="10" s="1"/>
  <c r="G1363" i="7" a="1"/>
  <c r="G1363" i="7" s="1"/>
  <c r="G647" i="11" s="1"/>
  <c r="H647" i="11" s="1"/>
  <c r="G1542" i="7" a="1"/>
  <c r="G1542" i="7" s="1"/>
  <c r="G826" i="11" s="1"/>
  <c r="H826" i="11" s="1"/>
  <c r="G1721" i="7" a="1"/>
  <c r="G1721" i="7" s="1"/>
  <c r="G1005" i="11" s="1"/>
  <c r="H1005" i="11" s="1"/>
  <c r="G1027" i="7" a="1"/>
  <c r="G1027" i="7" s="1"/>
  <c r="G490" i="7" a="1"/>
  <c r="G490" i="7" s="1"/>
  <c r="G848" i="7" a="1"/>
  <c r="G848" i="7" s="1"/>
  <c r="G132" i="11" s="1"/>
  <c r="G669" i="7" a="1"/>
  <c r="G669" i="7" s="1"/>
  <c r="G669" i="10" s="1"/>
  <c r="G1020" i="7" a="1"/>
  <c r="G1020" i="7" s="1"/>
  <c r="G304" i="11" s="1"/>
  <c r="H304" i="11" s="1"/>
  <c r="G483" i="7" a="1"/>
  <c r="G483" i="7" s="1"/>
  <c r="G483" i="10" s="1"/>
  <c r="G662" i="7" a="1"/>
  <c r="G662" i="7" s="1"/>
  <c r="T662" i="7" s="1"/>
  <c r="N662" i="10" s="1"/>
  <c r="G1292" i="7" a="1"/>
  <c r="G1292" i="7" s="1"/>
  <c r="G934" i="7" a="1"/>
  <c r="G934" i="7" s="1"/>
  <c r="G218" i="11" s="1"/>
  <c r="H218" i="11" s="1"/>
  <c r="G576" i="7" a="1"/>
  <c r="G576" i="7" s="1"/>
  <c r="T576" i="7" s="1"/>
  <c r="N576" i="10" s="1"/>
  <c r="G39" i="7" a="1"/>
  <c r="G39" i="7" s="1"/>
  <c r="G397" i="7" a="1"/>
  <c r="G397" i="7" s="1"/>
  <c r="G397" i="10" s="1"/>
  <c r="G218" i="7" a="1"/>
  <c r="G218" i="7" s="1"/>
  <c r="G1650" i="7" a="1"/>
  <c r="G1650" i="7" s="1"/>
  <c r="G934" i="11" s="1"/>
  <c r="H934" i="11" s="1"/>
  <c r="G1471" i="7" a="1"/>
  <c r="G1471" i="7" s="1"/>
  <c r="G755" i="11" s="1"/>
  <c r="H755" i="11" s="1"/>
  <c r="G1113" i="7" a="1"/>
  <c r="G1113" i="7" s="1"/>
  <c r="G397" i="11" s="1"/>
  <c r="H397" i="11" s="1"/>
  <c r="G755" i="7" a="1"/>
  <c r="G755" i="7" s="1"/>
  <c r="G39" i="11" s="1"/>
  <c r="H39" i="11" s="1"/>
  <c r="G1591" i="7" a="1"/>
  <c r="G1591" i="7" s="1"/>
  <c r="G1233" i="7" a="1"/>
  <c r="G1233" i="7" s="1"/>
  <c r="G517" i="11" s="1"/>
  <c r="H517" i="11" s="1"/>
  <c r="G1054" i="7" a="1"/>
  <c r="G1054" i="7" s="1"/>
  <c r="G338" i="11" s="1"/>
  <c r="H338" i="11" s="1"/>
  <c r="G517" i="7" a="1"/>
  <c r="G517" i="7" s="1"/>
  <c r="G517" i="10" s="1"/>
  <c r="G696" i="7" a="1"/>
  <c r="G696" i="7" s="1"/>
  <c r="G696" i="10" s="1"/>
  <c r="G875" i="7" a="1"/>
  <c r="G875" i="7" s="1"/>
  <c r="G338" i="7" a="1"/>
  <c r="G338" i="7" s="1"/>
  <c r="T338" i="7" s="1"/>
  <c r="N338" i="10" s="1"/>
  <c r="G159" i="7" a="1"/>
  <c r="G159" i="7" s="1"/>
  <c r="G1412" i="7" a="1"/>
  <c r="G1412" i="7" s="1"/>
  <c r="G1770" i="7" a="1"/>
  <c r="G1770" i="7" s="1"/>
  <c r="G1198" i="7" a="1"/>
  <c r="G1198" i="7" s="1"/>
  <c r="G482" i="11" s="1"/>
  <c r="H482" i="11" s="1"/>
  <c r="G840" i="7" a="1"/>
  <c r="G840" i="7" s="1"/>
  <c r="G124" i="11" s="1"/>
  <c r="H124" i="11" s="1"/>
  <c r="G482" i="7" a="1"/>
  <c r="G482" i="7" s="1"/>
  <c r="G661" i="7" a="1"/>
  <c r="G661" i="7" s="1"/>
  <c r="G1133" i="7" a="1"/>
  <c r="G1133" i="7" s="1"/>
  <c r="G417" i="11" s="1"/>
  <c r="H417" i="11" s="1"/>
  <c r="G1670" i="7" a="1"/>
  <c r="G1670" i="7" s="1"/>
  <c r="G954" i="11" s="1"/>
  <c r="H954" i="11" s="1"/>
  <c r="G954" i="7" a="1"/>
  <c r="G954" i="7" s="1"/>
  <c r="G238" i="11" s="1"/>
  <c r="H238" i="11" s="1"/>
  <c r="G238" i="7" a="1"/>
  <c r="G238" i="7" s="1"/>
  <c r="G238" i="10" s="1"/>
  <c r="G775" i="7" a="1"/>
  <c r="G775" i="7" s="1"/>
  <c r="G59" i="11" s="1"/>
  <c r="H59" i="11" s="1"/>
  <c r="G596" i="7" a="1"/>
  <c r="G596" i="7" s="1"/>
  <c r="G417" i="7" a="1"/>
  <c r="G417" i="7" s="1"/>
  <c r="G59" i="7" a="1"/>
  <c r="G59" i="7" s="1"/>
  <c r="G1491" i="7" a="1"/>
  <c r="G1491" i="7" s="1"/>
  <c r="G775" i="11" s="1"/>
  <c r="H775" i="11" s="1"/>
  <c r="G1312" i="7" a="1"/>
  <c r="G1312" i="7" s="1"/>
  <c r="G596" i="11" s="1"/>
  <c r="H596" i="11" s="1"/>
  <c r="G1632" i="7" a="1"/>
  <c r="G1632" i="7" s="1"/>
  <c r="G1095" i="7" a="1"/>
  <c r="G1095" i="7" s="1"/>
  <c r="G379" i="11" s="1"/>
  <c r="H379" i="11" s="1"/>
  <c r="G1274" i="7" a="1"/>
  <c r="G1274" i="7" s="1"/>
  <c r="G1519" i="7" a="1"/>
  <c r="G1519" i="7" s="1"/>
  <c r="G803" i="11" s="1"/>
  <c r="H803" i="11" s="1"/>
  <c r="G1698" i="7" a="1"/>
  <c r="G1698" i="7" s="1"/>
  <c r="G982" i="11" s="1"/>
  <c r="H982" i="11" s="1"/>
  <c r="G1314" i="7" a="1"/>
  <c r="G1314" i="7" s="1"/>
  <c r="G598" i="11" s="1"/>
  <c r="H598" i="11" s="1"/>
  <c r="G1672" i="7" a="1"/>
  <c r="G1672" i="7" s="1"/>
  <c r="G956" i="11" s="1"/>
  <c r="H956" i="11" s="1"/>
  <c r="G1493" i="7" a="1"/>
  <c r="G1493" i="7" s="1"/>
  <c r="G777" i="11" s="1"/>
  <c r="H777" i="11" s="1"/>
  <c r="G777" i="7" a="1"/>
  <c r="G777" i="7" s="1"/>
  <c r="G61" i="11" s="1"/>
  <c r="H61" i="11" s="1"/>
  <c r="G1135" i="7" a="1"/>
  <c r="G1135" i="7" s="1"/>
  <c r="G419" i="11" s="1"/>
  <c r="H419" i="11" s="1"/>
  <c r="G956" i="7" a="1"/>
  <c r="G956" i="7" s="1"/>
  <c r="G240" i="11" s="1"/>
  <c r="H240" i="11" s="1"/>
  <c r="G419" i="7" a="1"/>
  <c r="G419" i="7" s="1"/>
  <c r="G598" i="7" a="1"/>
  <c r="G598" i="7" s="1"/>
  <c r="G61" i="7" a="1"/>
  <c r="G61" i="7" s="1"/>
  <c r="G240" i="7" a="1"/>
  <c r="G240" i="7" s="1"/>
  <c r="G1673" i="7" a="1"/>
  <c r="G1673" i="7" s="1"/>
  <c r="G957" i="11" s="1"/>
  <c r="H957" i="11" s="1"/>
  <c r="G376" i="7" a="1"/>
  <c r="G376" i="7" s="1"/>
  <c r="G1249" i="7" a="1"/>
  <c r="G1249" i="7" s="1"/>
  <c r="G533" i="11" s="1"/>
  <c r="H533" i="11" s="1"/>
  <c r="G911" i="7" a="1"/>
  <c r="G911" i="7" s="1"/>
  <c r="G1466" i="7" a="1"/>
  <c r="G1466" i="7" s="1"/>
  <c r="G750" i="11" s="1"/>
  <c r="H750" i="11" s="1"/>
  <c r="G1413" i="7" a="1"/>
  <c r="G1413" i="7" s="1"/>
  <c r="G260" i="7" a="1"/>
  <c r="G260" i="7" s="1"/>
  <c r="T260" i="7" s="1"/>
  <c r="N260" i="10" s="1"/>
  <c r="G847" i="7" a="1"/>
  <c r="G847" i="7" s="1"/>
  <c r="G131" i="11" s="1"/>
  <c r="G966" i="7" a="1"/>
  <c r="G966" i="7" s="1"/>
  <c r="G1146" i="7" a="1"/>
  <c r="G1146" i="7" s="1"/>
  <c r="G430" i="11" s="1"/>
  <c r="H430" i="11" s="1"/>
  <c r="G1684" i="7" a="1"/>
  <c r="G1684" i="7" s="1"/>
  <c r="G968" i="11" s="1"/>
  <c r="H968" i="11" s="1"/>
  <c r="G77" i="7" a="1"/>
  <c r="G77" i="7" s="1"/>
  <c r="T77" i="7" s="1"/>
  <c r="N77" i="10" s="1"/>
  <c r="G635" i="7" a="1"/>
  <c r="G635" i="7" s="1"/>
  <c r="G635" i="10" s="1"/>
  <c r="G952" i="7" a="1"/>
  <c r="G952" i="7" s="1"/>
  <c r="G236" i="11" s="1"/>
  <c r="H236" i="11" s="1"/>
  <c r="G1317" i="7" a="1"/>
  <c r="G1317" i="7" s="1"/>
  <c r="G1647" i="7" a="1"/>
  <c r="G1647" i="7" s="1"/>
  <c r="G931" i="11" s="1"/>
  <c r="H931" i="11" s="1"/>
  <c r="G297" i="7" a="1"/>
  <c r="G297" i="7" s="1"/>
  <c r="G297" i="10" s="1"/>
  <c r="G478" i="7" a="1"/>
  <c r="G478" i="7" s="1"/>
  <c r="T478" i="7" s="1"/>
  <c r="N478" i="10" s="1"/>
  <c r="G1327" i="7" a="1"/>
  <c r="G1327" i="7" s="1"/>
  <c r="G611" i="11" s="1"/>
  <c r="H611" i="11" s="1"/>
  <c r="G1475" i="7" a="1"/>
  <c r="G1475" i="7" s="1"/>
  <c r="G759" i="11" s="1"/>
  <c r="H759" i="11" s="1"/>
  <c r="G1105" i="7" a="1"/>
  <c r="G1105" i="7" s="1"/>
  <c r="G389" i="11" s="1"/>
  <c r="H389" i="11" s="1"/>
  <c r="G212" i="7" a="1"/>
  <c r="G212" i="7" s="1"/>
  <c r="G1123" i="7" a="1"/>
  <c r="G1123" i="7" s="1"/>
  <c r="G407" i="11" s="1"/>
  <c r="H407" i="11" s="1"/>
  <c r="G164" i="7" a="1"/>
  <c r="G164" i="7" s="1"/>
  <c r="G164" i="10" s="1"/>
  <c r="G1725" i="7" a="1"/>
  <c r="G1725" i="7" s="1"/>
  <c r="G1009" i="11" s="1"/>
  <c r="H1009" i="11" s="1"/>
  <c r="G803" i="7" a="1"/>
  <c r="G803" i="7" s="1"/>
  <c r="G87" i="11" s="1"/>
  <c r="H87" i="11" s="1"/>
  <c r="G1162" i="7" a="1"/>
  <c r="G1162" i="7" s="1"/>
  <c r="G446" i="11" s="1"/>
  <c r="H446" i="11" s="1"/>
  <c r="G806" i="7" a="1"/>
  <c r="G806" i="7" s="1"/>
  <c r="G90" i="11" s="1"/>
  <c r="G1309" i="7" a="1"/>
  <c r="G1309" i="7" s="1"/>
  <c r="G593" i="11" s="1"/>
  <c r="H593" i="11" s="1"/>
  <c r="G1106" i="7" a="1"/>
  <c r="G1106" i="7" s="1"/>
  <c r="G390" i="11" s="1"/>
  <c r="H390" i="11" s="1"/>
  <c r="G737" i="7" a="1"/>
  <c r="G737" i="7" s="1"/>
  <c r="G386" i="7" a="1"/>
  <c r="G386" i="7" s="1"/>
  <c r="G1355" i="7" a="1"/>
  <c r="G1355" i="7" s="1"/>
  <c r="G286" i="7" a="1"/>
  <c r="G286" i="7" s="1"/>
  <c r="G286" i="10" s="1"/>
  <c r="G405" i="7" a="1"/>
  <c r="G405" i="7" s="1"/>
  <c r="G776" i="7" a="1"/>
  <c r="G776" i="7" s="1"/>
  <c r="G60" i="11" s="1"/>
  <c r="G1184" i="7" a="1"/>
  <c r="G1184" i="7" s="1"/>
  <c r="G468" i="11" s="1"/>
  <c r="H468" i="11" s="1"/>
  <c r="G786" i="7" a="1"/>
  <c r="G786" i="7" s="1"/>
  <c r="G70" i="11" s="1"/>
  <c r="G1674" i="7" a="1"/>
  <c r="G1674" i="7" s="1"/>
  <c r="G1529" i="7" a="1"/>
  <c r="G1529" i="7" s="1"/>
  <c r="G813" i="11" s="1"/>
  <c r="H813" i="11" s="1"/>
  <c r="G1663" i="7" a="1"/>
  <c r="G1663" i="7" s="1"/>
  <c r="G947" i="11" s="1"/>
  <c r="H947" i="11" s="1"/>
  <c r="G1564" i="7" a="1"/>
  <c r="G1564" i="7" s="1"/>
  <c r="G848" i="11" s="1"/>
  <c r="H848" i="11" s="1"/>
  <c r="G674" i="7" a="1"/>
  <c r="G674" i="7" s="1"/>
  <c r="G498" i="7" a="1"/>
  <c r="G498" i="7" s="1"/>
  <c r="G498" i="10" s="1"/>
  <c r="G1168" i="7" a="1"/>
  <c r="G1168" i="7" s="1"/>
  <c r="G452" i="11" s="1"/>
  <c r="H452" i="11" s="1"/>
  <c r="G995" i="7" a="1"/>
  <c r="G995" i="7" s="1"/>
  <c r="G279" i="11" s="1"/>
  <c r="H279" i="11" s="1"/>
  <c r="G442" i="7" a="1"/>
  <c r="G442" i="7" s="1"/>
  <c r="G442" i="10" s="1"/>
  <c r="G508" i="7" a="1"/>
  <c r="G508" i="7" s="1"/>
  <c r="G1404" i="7" a="1"/>
  <c r="G1404" i="7" s="1"/>
  <c r="G1003" i="7" a="1"/>
  <c r="G1003" i="7" s="1"/>
  <c r="G1066" i="7" a="1"/>
  <c r="G1066" i="7" s="1"/>
  <c r="G350" i="11" s="1"/>
  <c r="H350" i="11" s="1"/>
  <c r="G708" i="7" a="1"/>
  <c r="G708" i="7" s="1"/>
  <c r="G529" i="7" a="1"/>
  <c r="G529" i="7" s="1"/>
  <c r="T529" i="7" s="1"/>
  <c r="N529" i="10" s="1"/>
  <c r="G887" i="7" a="1"/>
  <c r="G887" i="7" s="1"/>
  <c r="G171" i="11" s="1"/>
  <c r="H171" i="11" s="1"/>
  <c r="G350" i="7" a="1"/>
  <c r="G350" i="7" s="1"/>
  <c r="G171" i="7" a="1"/>
  <c r="G171" i="7" s="1"/>
  <c r="G1424" i="7" a="1"/>
  <c r="G1424" i="7" s="1"/>
  <c r="G1782" i="7" a="1"/>
  <c r="G1782" i="7" s="1"/>
  <c r="G1603" i="7" a="1"/>
  <c r="G1603" i="7" s="1"/>
  <c r="G887" i="11" s="1"/>
  <c r="H887" i="11" s="1"/>
  <c r="G1245" i="7" a="1"/>
  <c r="G1245" i="7" s="1"/>
  <c r="G529" i="11" s="1"/>
  <c r="H529" i="11" s="1"/>
  <c r="G707" i="7" a="1"/>
  <c r="G707" i="7" s="1"/>
  <c r="G707" i="10" s="1"/>
  <c r="G528" i="7" a="1"/>
  <c r="G528" i="7" s="1"/>
  <c r="G528" i="10" s="1"/>
  <c r="G349" i="7" a="1"/>
  <c r="G349" i="7" s="1"/>
  <c r="G349" i="10" s="1"/>
  <c r="G170" i="7" a="1"/>
  <c r="G170" i="7" s="1"/>
  <c r="G170" i="10" s="1"/>
  <c r="G1423" i="7" a="1"/>
  <c r="G1423" i="7" s="1"/>
  <c r="G707" i="11" s="1"/>
  <c r="H707" i="11" s="1"/>
  <c r="G1781" i="7" a="1"/>
  <c r="G1781" i="7" s="1"/>
  <c r="G1602" i="7" a="1"/>
  <c r="G1602" i="7" s="1"/>
  <c r="G1065" i="7" a="1"/>
  <c r="G1065" i="7" s="1"/>
  <c r="G886" i="7" a="1"/>
  <c r="G886" i="7" s="1"/>
  <c r="G170" i="11" s="1"/>
  <c r="H170" i="11" s="1"/>
  <c r="G1244" i="7" a="1"/>
  <c r="G1244" i="7" s="1"/>
  <c r="G528" i="11" s="1"/>
  <c r="H528" i="11" s="1"/>
  <c r="G991" i="7" a="1"/>
  <c r="G991" i="7" s="1"/>
  <c r="G275" i="11" s="1"/>
  <c r="H275" i="11" s="1"/>
  <c r="G812" i="7" a="1"/>
  <c r="G812" i="7" s="1"/>
  <c r="G96" i="11" s="1"/>
  <c r="H96" i="11" s="1"/>
  <c r="G275" i="7" a="1"/>
  <c r="G275" i="7" s="1"/>
  <c r="G633" i="7" a="1"/>
  <c r="G633" i="7" s="1"/>
  <c r="G1349" i="7" a="1"/>
  <c r="G1349" i="7" s="1"/>
  <c r="G633" i="11" s="1"/>
  <c r="H633" i="11" s="1"/>
  <c r="G1329" i="7" a="1"/>
  <c r="G1329" i="7" s="1"/>
  <c r="G1508" i="7" a="1"/>
  <c r="G1508" i="7" s="1"/>
  <c r="G1691" i="7" a="1"/>
  <c r="G1691" i="7" s="1"/>
  <c r="G975" i="11" s="1"/>
  <c r="H975" i="11" s="1"/>
  <c r="G1512" i="7" a="1"/>
  <c r="G1512" i="7" s="1"/>
  <c r="G796" i="11" s="1"/>
  <c r="H796" i="11" s="1"/>
  <c r="G1333" i="7" a="1"/>
  <c r="G1333" i="7" s="1"/>
  <c r="G617" i="11" s="1"/>
  <c r="H617" i="11" s="1"/>
  <c r="G1189" i="7" a="1"/>
  <c r="G1189" i="7" s="1"/>
  <c r="G1010" i="7" a="1"/>
  <c r="G1010" i="7" s="1"/>
  <c r="G473" i="7" a="1"/>
  <c r="G473" i="7" s="1"/>
  <c r="T473" i="7" s="1"/>
  <c r="N473" i="10" s="1"/>
  <c r="G831" i="7" a="1"/>
  <c r="G831" i="7" s="1"/>
  <c r="G115" i="11" s="1"/>
  <c r="G115" i="7" a="1"/>
  <c r="G115" i="7" s="1"/>
  <c r="G115" i="10" s="1"/>
  <c r="G294" i="7" a="1"/>
  <c r="G294" i="7" s="1"/>
  <c r="T294" i="7" s="1"/>
  <c r="N294" i="10" s="1"/>
  <c r="G1726" i="7" a="1"/>
  <c r="G1726" i="7" s="1"/>
  <c r="G1547" i="7" a="1"/>
  <c r="G1547" i="7" s="1"/>
  <c r="G831" i="11" s="1"/>
  <c r="H831" i="11" s="1"/>
  <c r="G1368" i="7" a="1"/>
  <c r="G1368" i="7" s="1"/>
  <c r="G652" i="7" a="1"/>
  <c r="G652" i="7" s="1"/>
  <c r="G652" i="10" s="1"/>
  <c r="G1715" i="7" a="1"/>
  <c r="G1715" i="7" s="1"/>
  <c r="G999" i="11" s="1"/>
  <c r="H999" i="11" s="1"/>
  <c r="G999" i="7" a="1"/>
  <c r="G999" i="7" s="1"/>
  <c r="G283" i="11" s="1"/>
  <c r="H283" i="11" s="1"/>
  <c r="G820" i="7" a="1"/>
  <c r="G820" i="7" s="1"/>
  <c r="G104" i="11" s="1"/>
  <c r="G1098" i="7" a="1"/>
  <c r="G1098" i="7" s="1"/>
  <c r="G1277" i="7" a="1"/>
  <c r="G1277" i="7" s="1"/>
  <c r="G1456" i="7" a="1"/>
  <c r="G1456" i="7" s="1"/>
  <c r="G1635" i="7" a="1"/>
  <c r="G1635" i="7" s="1"/>
  <c r="G740" i="7" a="1"/>
  <c r="G740" i="7" s="1"/>
  <c r="G24" i="11" s="1"/>
  <c r="G919" i="7" a="1"/>
  <c r="G919" i="7" s="1"/>
  <c r="G203" i="11" s="1"/>
  <c r="H203" i="11" s="1"/>
  <c r="G561" i="7" a="1"/>
  <c r="G561" i="7" s="1"/>
  <c r="G561" i="10" s="1"/>
  <c r="G203" i="7" a="1"/>
  <c r="G203" i="7" s="1"/>
  <c r="T203" i="7" s="1"/>
  <c r="N203" i="10" s="1"/>
  <c r="G24" i="7" a="1"/>
  <c r="G24" i="7" s="1"/>
  <c r="G24" i="10" s="1"/>
  <c r="G382" i="7" a="1"/>
  <c r="G382" i="7" s="1"/>
  <c r="T382" i="7" s="1"/>
  <c r="N382" i="10" s="1"/>
  <c r="G1750" i="7" a="1"/>
  <c r="G1750" i="7" s="1"/>
  <c r="G1034" i="11" s="1"/>
  <c r="H1034" i="11" s="1"/>
  <c r="G1571" i="7" a="1"/>
  <c r="G1571" i="7" s="1"/>
  <c r="G855" i="11" s="1"/>
  <c r="H855" i="11" s="1"/>
  <c r="G1392" i="7" a="1"/>
  <c r="G1392" i="7" s="1"/>
  <c r="G676" i="11" s="1"/>
  <c r="H676" i="11" s="1"/>
  <c r="G1213" i="7" a="1"/>
  <c r="G1213" i="7" s="1"/>
  <c r="G497" i="11" s="1"/>
  <c r="H497" i="11" s="1"/>
  <c r="G1416" i="7" a="1"/>
  <c r="G1416" i="7" s="1"/>
  <c r="G700" i="11" s="1"/>
  <c r="H700" i="11" s="1"/>
  <c r="G1774" i="7" a="1"/>
  <c r="G1774" i="7" s="1"/>
  <c r="G1595" i="7" a="1"/>
  <c r="G1595" i="7" s="1"/>
  <c r="G879" i="11" s="1"/>
  <c r="H879" i="11" s="1"/>
  <c r="G1237" i="7" a="1"/>
  <c r="G1237" i="7" s="1"/>
  <c r="G1058" i="7" a="1"/>
  <c r="G1058" i="7" s="1"/>
  <c r="G342" i="11" s="1"/>
  <c r="H342" i="11" s="1"/>
  <c r="G700" i="7" a="1"/>
  <c r="G700" i="7" s="1"/>
  <c r="G700" i="10" s="1"/>
  <c r="G342" i="7" a="1"/>
  <c r="G342" i="7" s="1"/>
  <c r="G342" i="10" s="1"/>
  <c r="G879" i="7" a="1"/>
  <c r="G879" i="7" s="1"/>
  <c r="G163" i="11" s="1"/>
  <c r="H163" i="11" s="1"/>
  <c r="G521" i="7" a="1"/>
  <c r="G521" i="7" s="1"/>
  <c r="G521" i="10" s="1"/>
  <c r="G163" i="7" a="1"/>
  <c r="G163" i="7" s="1"/>
  <c r="G163" i="10" s="1"/>
  <c r="G1610" i="7" a="1"/>
  <c r="G1610" i="7" s="1"/>
  <c r="G894" i="11" s="1"/>
  <c r="H894" i="11" s="1"/>
  <c r="G1789" i="7" a="1"/>
  <c r="G1789" i="7" s="1"/>
  <c r="G1073" i="11" s="1"/>
  <c r="H1073" i="11" s="1"/>
  <c r="G1431" i="7" a="1"/>
  <c r="G1431" i="7" s="1"/>
  <c r="G715" i="11" s="1"/>
  <c r="H715" i="11" s="1"/>
  <c r="G1252" i="7" a="1"/>
  <c r="G1252" i="7" s="1"/>
  <c r="G536" i="11" s="1"/>
  <c r="H536" i="11" s="1"/>
  <c r="G1073" i="7" a="1"/>
  <c r="G1073" i="7" s="1"/>
  <c r="G357" i="11" s="1"/>
  <c r="H357" i="11" s="1"/>
  <c r="G894" i="7" a="1"/>
  <c r="G894" i="7" s="1"/>
  <c r="G178" i="11" s="1"/>
  <c r="H178" i="11" s="1"/>
  <c r="G715" i="7" a="1"/>
  <c r="G715" i="7" s="1"/>
  <c r="G536" i="7" a="1"/>
  <c r="G536" i="7" s="1"/>
  <c r="G536" i="10" s="1"/>
  <c r="G357" i="7" a="1"/>
  <c r="G357" i="7" s="1"/>
  <c r="G178" i="7" a="1"/>
  <c r="G178" i="7" s="1"/>
  <c r="G431" i="7" a="1"/>
  <c r="G431" i="7" s="1"/>
  <c r="T431" i="7" s="1"/>
  <c r="N431" i="10" s="1"/>
  <c r="G746" i="7" a="1"/>
  <c r="G746" i="7" s="1"/>
  <c r="G30" i="11" s="1"/>
  <c r="H30" i="11" s="1"/>
  <c r="G789" i="7" a="1"/>
  <c r="G789" i="7" s="1"/>
  <c r="G420" i="7" a="1"/>
  <c r="G420" i="7" s="1"/>
  <c r="G1055" i="7" a="1"/>
  <c r="G1055" i="7" s="1"/>
  <c r="G339" i="11" s="1"/>
  <c r="H339" i="11" s="1"/>
  <c r="G780" i="7" a="1"/>
  <c r="G780" i="7" s="1"/>
  <c r="G64" i="11" s="1"/>
  <c r="G1692" i="7" a="1"/>
  <c r="G1692" i="7" s="1"/>
  <c r="G976" i="11" s="1"/>
  <c r="H976" i="11" s="1"/>
  <c r="G1686" i="7" a="1"/>
  <c r="G1686" i="7" s="1"/>
  <c r="G970" i="11" s="1"/>
  <c r="H970" i="11" s="1"/>
  <c r="G1231" i="7" a="1"/>
  <c r="G1231" i="7" s="1"/>
  <c r="G515" i="11" s="1"/>
  <c r="H515" i="11" s="1"/>
  <c r="G1410" i="7" a="1"/>
  <c r="G1410" i="7" s="1"/>
  <c r="G694" i="11" s="1"/>
  <c r="H694" i="11" s="1"/>
  <c r="G1768" i="7" a="1"/>
  <c r="G1768" i="7" s="1"/>
  <c r="G1052" i="11" s="1"/>
  <c r="H1052" i="11" s="1"/>
  <c r="G1589" i="7" a="1"/>
  <c r="G1589" i="7" s="1"/>
  <c r="G873" i="11" s="1"/>
  <c r="H873" i="11" s="1"/>
  <c r="G873" i="7" a="1"/>
  <c r="G873" i="7" s="1"/>
  <c r="G157" i="11" s="1"/>
  <c r="H157" i="11" s="1"/>
  <c r="G1052" i="7" a="1"/>
  <c r="G1052" i="7" s="1"/>
  <c r="G515" i="7" a="1"/>
  <c r="G515" i="7" s="1"/>
  <c r="G515" i="10" s="1"/>
  <c r="G694" i="7" a="1"/>
  <c r="G694" i="7" s="1"/>
  <c r="G157" i="7" a="1"/>
  <c r="G157" i="7" s="1"/>
  <c r="G157" i="10" s="1"/>
  <c r="G336" i="7" a="1"/>
  <c r="G336" i="7" s="1"/>
  <c r="G1518" i="7" a="1"/>
  <c r="G1518" i="7" s="1"/>
  <c r="G802" i="11" s="1"/>
  <c r="H802" i="11" s="1"/>
  <c r="G1339" i="7" a="1"/>
  <c r="G1339" i="7" s="1"/>
  <c r="G623" i="11" s="1"/>
  <c r="H623" i="11" s="1"/>
  <c r="G1160" i="7" a="1"/>
  <c r="G1160" i="7" s="1"/>
  <c r="G1656" i="7" a="1"/>
  <c r="G1656" i="7" s="1"/>
  <c r="G940" i="11" s="1"/>
  <c r="H940" i="11" s="1"/>
  <c r="G1119" i="7" a="1"/>
  <c r="G1119" i="7" s="1"/>
  <c r="G403" i="11" s="1"/>
  <c r="H403" i="11" s="1"/>
  <c r="G1777" i="7" a="1"/>
  <c r="G1777" i="7" s="1"/>
  <c r="G1061" i="11" s="1"/>
  <c r="H1061" i="11" s="1"/>
  <c r="G1598" i="7" a="1"/>
  <c r="G1598" i="7" s="1"/>
  <c r="G1419" i="7" a="1"/>
  <c r="G1419" i="7" s="1"/>
  <c r="G703" i="11" s="1"/>
  <c r="H703" i="11" s="1"/>
  <c r="G1061" i="7" a="1"/>
  <c r="G1061" i="7" s="1"/>
  <c r="G345" i="11" s="1"/>
  <c r="H345" i="11" s="1"/>
  <c r="G882" i="7" a="1"/>
  <c r="G882" i="7" s="1"/>
  <c r="G1240" i="7" a="1"/>
  <c r="G1240" i="7" s="1"/>
  <c r="G524" i="11" s="1"/>
  <c r="H524" i="11" s="1"/>
  <c r="G524" i="7" a="1"/>
  <c r="G524" i="7" s="1"/>
  <c r="T524" i="7" s="1"/>
  <c r="N524" i="10" s="1"/>
  <c r="G703" i="7" a="1"/>
  <c r="G703" i="7" s="1"/>
  <c r="T703" i="7" s="1"/>
  <c r="N703" i="10" s="1"/>
  <c r="G345" i="7" a="1"/>
  <c r="G345" i="7" s="1"/>
  <c r="T345" i="7" s="1"/>
  <c r="N345" i="10" s="1"/>
  <c r="G166" i="7" a="1"/>
  <c r="G166" i="7" s="1"/>
  <c r="T166" i="7" s="1"/>
  <c r="N166" i="10" s="1"/>
  <c r="G807" i="7" a="1"/>
  <c r="G807" i="7" s="1"/>
  <c r="G91" i="11" s="1"/>
  <c r="H91" i="11" s="1"/>
  <c r="G628" i="7" a="1"/>
  <c r="G628" i="7" s="1"/>
  <c r="G449" i="7" a="1"/>
  <c r="G449" i="7" s="1"/>
  <c r="G91" i="7" a="1"/>
  <c r="G91" i="7" s="1"/>
  <c r="G1255" i="7" a="1"/>
  <c r="G1255" i="7" s="1"/>
  <c r="G539" i="11" s="1"/>
  <c r="H539" i="11" s="1"/>
  <c r="G1792" i="7" a="1"/>
  <c r="G1792" i="7" s="1"/>
  <c r="G1076" i="11" s="1"/>
  <c r="H1076" i="11" s="1"/>
  <c r="G718" i="7" a="1"/>
  <c r="G718" i="7" s="1"/>
  <c r="T718" i="7" s="1"/>
  <c r="N718" i="10" s="1"/>
  <c r="G897" i="7" a="1"/>
  <c r="G897" i="7" s="1"/>
  <c r="G1076" i="7" a="1"/>
  <c r="G1076" i="7" s="1"/>
  <c r="G360" i="7" a="1"/>
  <c r="G360" i="7" s="1"/>
  <c r="G360" i="10" s="1"/>
  <c r="G539" i="7" a="1"/>
  <c r="G539" i="7" s="1"/>
  <c r="T539" i="7" s="1"/>
  <c r="N539" i="10" s="1"/>
  <c r="G181" i="7" a="1"/>
  <c r="G181" i="7" s="1"/>
  <c r="T181" i="7" s="1"/>
  <c r="N181" i="10" s="1"/>
  <c r="G1613" i="7" a="1"/>
  <c r="G1613" i="7" s="1"/>
  <c r="G1434" i="7" a="1"/>
  <c r="G1434" i="7" s="1"/>
  <c r="G1749" i="7" a="1"/>
  <c r="G1749" i="7" s="1"/>
  <c r="G1033" i="11" s="1"/>
  <c r="H1033" i="11" s="1"/>
  <c r="G1570" i="7" a="1"/>
  <c r="G1570" i="7" s="1"/>
  <c r="G1048" i="7" a="1"/>
  <c r="G1048" i="7" s="1"/>
  <c r="G332" i="11" s="1"/>
  <c r="H332" i="11" s="1"/>
  <c r="G690" i="7" a="1"/>
  <c r="G690" i="7" s="1"/>
  <c r="G690" i="10" s="1"/>
  <c r="G511" i="7" a="1"/>
  <c r="G511" i="7" s="1"/>
  <c r="G511" i="10" s="1"/>
  <c r="G869" i="7" a="1"/>
  <c r="G869" i="7" s="1"/>
  <c r="G477" i="7" a="1"/>
  <c r="G477" i="7" s="1"/>
  <c r="G477" i="10" s="1"/>
  <c r="G298" i="7" a="1"/>
  <c r="G298" i="7" s="1"/>
  <c r="G119" i="7" a="1"/>
  <c r="G119" i="7" s="1"/>
  <c r="G119" i="10" s="1"/>
  <c r="G1704" i="7" a="1"/>
  <c r="G1704" i="7" s="1"/>
  <c r="G988" i="11" s="1"/>
  <c r="H988" i="11" s="1"/>
  <c r="G988" i="7" a="1"/>
  <c r="G988" i="7" s="1"/>
  <c r="G272" i="11" s="1"/>
  <c r="H272" i="11" s="1"/>
  <c r="G1167" i="7" a="1"/>
  <c r="G1167" i="7" s="1"/>
  <c r="G451" i="11" s="1"/>
  <c r="H451" i="11" s="1"/>
  <c r="G630" i="7" a="1"/>
  <c r="G630" i="7" s="1"/>
  <c r="G630" i="10" s="1"/>
  <c r="G1525" i="7" a="1"/>
  <c r="G1525" i="7" s="1"/>
  <c r="G809" i="11" s="1"/>
  <c r="H809" i="11" s="1"/>
  <c r="G1462" i="7" a="1"/>
  <c r="G1462" i="7" s="1"/>
  <c r="G746" i="11" s="1"/>
  <c r="H746" i="11" s="1"/>
  <c r="G429" i="7" a="1"/>
  <c r="G429" i="7" s="1"/>
  <c r="G429" i="10" s="1"/>
  <c r="G1110" i="7" a="1"/>
  <c r="G1110" i="7" s="1"/>
  <c r="G394" i="11" s="1"/>
  <c r="H394" i="11" s="1"/>
  <c r="G893" i="7" a="1"/>
  <c r="G893" i="7" s="1"/>
  <c r="G177" i="11" s="1"/>
  <c r="H177" i="11" s="1"/>
  <c r="G535" i="7" a="1"/>
  <c r="G535" i="7" s="1"/>
  <c r="T535" i="7" s="1"/>
  <c r="N535" i="10" s="1"/>
  <c r="G356" i="7" a="1"/>
  <c r="G356" i="7" s="1"/>
  <c r="G356" i="10" s="1"/>
  <c r="G1318" i="7" a="1"/>
  <c r="G1318" i="7" s="1"/>
  <c r="G602" i="11" s="1"/>
  <c r="H602" i="11" s="1"/>
  <c r="G960" i="7" a="1"/>
  <c r="G960" i="7" s="1"/>
  <c r="G244" i="11" s="1"/>
  <c r="H244" i="11" s="1"/>
  <c r="G244" i="7" a="1"/>
  <c r="G244" i="7" s="1"/>
  <c r="G244" i="10" s="1"/>
  <c r="G232" i="7" a="1"/>
  <c r="G232" i="7" s="1"/>
  <c r="G232" i="10" s="1"/>
  <c r="G590" i="7" a="1"/>
  <c r="G590" i="7" s="1"/>
  <c r="G590" i="10" s="1"/>
  <c r="G53" i="7" a="1"/>
  <c r="G53" i="7" s="1"/>
  <c r="G53" i="10" s="1"/>
  <c r="G411" i="7" a="1"/>
  <c r="G411" i="7" s="1"/>
  <c r="G411" i="10" s="1"/>
  <c r="G1306" i="7" a="1"/>
  <c r="G1306" i="7" s="1"/>
  <c r="G590" i="11" s="1"/>
  <c r="H590" i="11" s="1"/>
  <c r="G1127" i="7" a="1"/>
  <c r="G1127" i="7" s="1"/>
  <c r="G411" i="11" s="1"/>
  <c r="H411" i="11" s="1"/>
  <c r="G1664" i="7" a="1"/>
  <c r="G1664" i="7" s="1"/>
  <c r="G948" i="11" s="1"/>
  <c r="H948" i="11" s="1"/>
  <c r="G1485" i="7" a="1"/>
  <c r="G1485" i="7" s="1"/>
  <c r="G769" i="11" s="1"/>
  <c r="H769" i="11" s="1"/>
  <c r="G769" i="7" a="1"/>
  <c r="G769" i="7" s="1"/>
  <c r="G53" i="11" s="1"/>
  <c r="H53" i="11" s="1"/>
  <c r="G948" i="7" a="1"/>
  <c r="G948" i="7" s="1"/>
  <c r="G232" i="11" s="1"/>
  <c r="H232" i="11" s="1"/>
  <c r="G1143" i="7" a="1"/>
  <c r="G1143" i="7" s="1"/>
  <c r="G427" i="11" s="1"/>
  <c r="H427" i="11" s="1"/>
  <c r="G785" i="7" a="1"/>
  <c r="G785" i="7" s="1"/>
  <c r="G69" i="11" s="1"/>
  <c r="H69" i="11" s="1"/>
  <c r="G606" i="7" a="1"/>
  <c r="G606" i="7" s="1"/>
  <c r="G606" i="10" s="1"/>
  <c r="G109" i="7" a="1"/>
  <c r="G109" i="7" s="1"/>
  <c r="G109" i="10" s="1"/>
  <c r="G467" i="7" a="1"/>
  <c r="G467" i="7" s="1"/>
  <c r="G467" i="10" s="1"/>
  <c r="G1720" i="7" a="1"/>
  <c r="G1720" i="7" s="1"/>
  <c r="G1004" i="11" s="1"/>
  <c r="H1004" i="11" s="1"/>
  <c r="G1362" i="7" a="1"/>
  <c r="G1362" i="7" s="1"/>
  <c r="G1541" i="7" a="1"/>
  <c r="G1541" i="7" s="1"/>
  <c r="G825" i="11" s="1"/>
  <c r="H825" i="11" s="1"/>
  <c r="G1004" i="7" a="1"/>
  <c r="G1004" i="7" s="1"/>
  <c r="G1183" i="7" a="1"/>
  <c r="G1183" i="7" s="1"/>
  <c r="G646" i="7" a="1"/>
  <c r="G646" i="7" s="1"/>
  <c r="T646" i="7" s="1"/>
  <c r="N646" i="10" s="1"/>
  <c r="G288" i="7" a="1"/>
  <c r="G288" i="7" s="1"/>
  <c r="G288" i="10" s="1"/>
  <c r="G825" i="7" a="1"/>
  <c r="G825" i="7" s="1"/>
  <c r="G533" i="7" a="1"/>
  <c r="G533" i="7" s="1"/>
  <c r="G533" i="10" s="1"/>
  <c r="G1400" i="7" a="1"/>
  <c r="G1400" i="7" s="1"/>
  <c r="G684" i="11" s="1"/>
  <c r="H684" i="11" s="1"/>
  <c r="G277" i="7" a="1"/>
  <c r="G277" i="7" s="1"/>
  <c r="G1186" i="7" a="1"/>
  <c r="G1186" i="7" s="1"/>
  <c r="G1544" i="7" a="1"/>
  <c r="G1544" i="7" s="1"/>
  <c r="G1723" i="7" a="1"/>
  <c r="G1723" i="7" s="1"/>
  <c r="G1007" i="11" s="1"/>
  <c r="H1007" i="11" s="1"/>
  <c r="G1365" i="7" a="1"/>
  <c r="G1365" i="7" s="1"/>
  <c r="G649" i="11" s="1"/>
  <c r="H649" i="11" s="1"/>
  <c r="G1455" i="7" a="1"/>
  <c r="G1455" i="7" s="1"/>
  <c r="G739" i="11" s="1"/>
  <c r="H739" i="11" s="1"/>
  <c r="G1634" i="7" a="1"/>
  <c r="G1634" i="7" s="1"/>
  <c r="G918" i="11" s="1"/>
  <c r="H918" i="11" s="1"/>
  <c r="G739" i="7" a="1"/>
  <c r="G739" i="7" s="1"/>
  <c r="G23" i="11" s="1"/>
  <c r="H23" i="11" s="1"/>
  <c r="G1276" i="7" a="1"/>
  <c r="G1276" i="7" s="1"/>
  <c r="G560" i="11" s="1"/>
  <c r="H560" i="11" s="1"/>
  <c r="G918" i="7" a="1"/>
  <c r="G918" i="7" s="1"/>
  <c r="G202" i="11" s="1"/>
  <c r="H202" i="11" s="1"/>
  <c r="G1097" i="7" a="1"/>
  <c r="G1097" i="7" s="1"/>
  <c r="G381" i="11" s="1"/>
  <c r="H381" i="11" s="1"/>
  <c r="G381" i="7" a="1"/>
  <c r="G381" i="7" s="1"/>
  <c r="G202" i="7" a="1"/>
  <c r="G202" i="7" s="1"/>
  <c r="G560" i="7" a="1"/>
  <c r="G560" i="7" s="1"/>
  <c r="G23" i="7" a="1"/>
  <c r="G23" i="7" s="1"/>
  <c r="G1538" i="7" a="1"/>
  <c r="G1538" i="7" s="1"/>
  <c r="G822" i="11" s="1"/>
  <c r="H822" i="11" s="1"/>
  <c r="G1717" i="7" a="1"/>
  <c r="G1717" i="7" s="1"/>
  <c r="G1001" i="11" s="1"/>
  <c r="H1001" i="11" s="1"/>
  <c r="G1359" i="7" a="1"/>
  <c r="G1359" i="7" s="1"/>
  <c r="G643" i="11" s="1"/>
  <c r="H643" i="11" s="1"/>
  <c r="G1180" i="7" a="1"/>
  <c r="G1180" i="7" s="1"/>
  <c r="G464" i="11" s="1"/>
  <c r="H464" i="11" s="1"/>
  <c r="G1001" i="7" a="1"/>
  <c r="G1001" i="7" s="1"/>
  <c r="G285" i="11" s="1"/>
  <c r="H285" i="11" s="1"/>
  <c r="G464" i="7" a="1"/>
  <c r="G464" i="7" s="1"/>
  <c r="G464" i="10" s="1"/>
  <c r="G643" i="7" a="1"/>
  <c r="G643" i="7" s="1"/>
  <c r="T643" i="7" s="1"/>
  <c r="N643" i="10" s="1"/>
  <c r="G822" i="7" a="1"/>
  <c r="G822" i="7" s="1"/>
  <c r="G106" i="11" s="1"/>
  <c r="H106" i="11" s="1"/>
  <c r="G106" i="7" a="1"/>
  <c r="G106" i="7" s="1"/>
  <c r="G106" i="10" s="1"/>
  <c r="G285" i="7" a="1"/>
  <c r="G285" i="7" s="1"/>
  <c r="T285" i="7" s="1"/>
  <c r="N285" i="10" s="1"/>
  <c r="G1494" i="7" a="1"/>
  <c r="G1494" i="7" s="1"/>
  <c r="G778" i="11" s="1"/>
  <c r="H778" i="11" s="1"/>
  <c r="G929" i="7" a="1"/>
  <c r="G929" i="7" s="1"/>
  <c r="G213" i="11" s="1"/>
  <c r="H213" i="11" s="1"/>
  <c r="G967" i="7" a="1"/>
  <c r="G967" i="7" s="1"/>
  <c r="G251" i="11" s="1"/>
  <c r="H251" i="11" s="1"/>
  <c r="G773" i="7" a="1"/>
  <c r="G773" i="7" s="1"/>
  <c r="G57" i="11" s="1"/>
  <c r="H57" i="11" s="1"/>
  <c r="G432" i="7" a="1"/>
  <c r="G432" i="7" s="1"/>
  <c r="G407" i="7" a="1"/>
  <c r="G407" i="7" s="1"/>
  <c r="G407" i="10" s="1"/>
  <c r="G30" i="7" a="1"/>
  <c r="G30" i="7" s="1"/>
  <c r="G30" i="10" s="1"/>
  <c r="G18" i="7" a="1"/>
  <c r="G18" i="7" s="1"/>
  <c r="G1070" i="7" a="1"/>
  <c r="G1070" i="7" s="1"/>
  <c r="G732" i="7" a="1"/>
  <c r="G732" i="7" s="1"/>
  <c r="G16" i="11" s="1"/>
  <c r="H16" i="11" s="1"/>
  <c r="G1645" i="7" a="1"/>
  <c r="G1645" i="7" s="1"/>
  <c r="G929" i="11" s="1"/>
  <c r="H929" i="11" s="1"/>
  <c r="G147" i="7" a="1"/>
  <c r="G147" i="7" s="1"/>
  <c r="G618" i="7" a="1"/>
  <c r="G618" i="7" s="1"/>
  <c r="T618" i="7" s="1"/>
  <c r="N618" i="10" s="1"/>
  <c r="G489" i="7" a="1"/>
  <c r="G489" i="7" s="1"/>
  <c r="T489" i="7" s="1"/>
  <c r="N489" i="10" s="1"/>
  <c r="G1145" i="7" a="1"/>
  <c r="G1145" i="7" s="1"/>
  <c r="G429" i="11" s="1"/>
  <c r="H429" i="11" s="1"/>
  <c r="G1504" i="7" a="1"/>
  <c r="G1504" i="7" s="1"/>
  <c r="G788" i="11" s="1"/>
  <c r="H788" i="11" s="1"/>
  <c r="G254" i="7" a="1"/>
  <c r="G254" i="7" s="1"/>
  <c r="G254" i="10" s="1"/>
  <c r="G614" i="7" a="1"/>
  <c r="G614" i="7" s="1"/>
  <c r="T614" i="7" s="1"/>
  <c r="N614" i="10" s="1"/>
  <c r="G993" i="7" a="1"/>
  <c r="G993" i="7" s="1"/>
  <c r="G277" i="11" s="1"/>
  <c r="H277" i="11" s="1"/>
  <c r="G1310" i="7" a="1"/>
  <c r="G1310" i="7" s="1"/>
  <c r="G594" i="11" s="1"/>
  <c r="H594" i="11" s="1"/>
  <c r="G1496" i="7" a="1"/>
  <c r="G1496" i="7" s="1"/>
  <c r="G117" i="7" a="1"/>
  <c r="G117" i="7" s="1"/>
  <c r="G655" i="7" a="1"/>
  <c r="G655" i="7" s="1"/>
  <c r="T655" i="7" s="1"/>
  <c r="N655" i="10" s="1"/>
  <c r="G1015" i="7" a="1"/>
  <c r="G1015" i="7" s="1"/>
  <c r="G299" i="11" s="1"/>
  <c r="H299" i="11" s="1"/>
  <c r="G969" i="7" a="1"/>
  <c r="G969" i="7" s="1"/>
  <c r="G253" i="11" s="1"/>
  <c r="H253" i="11" s="1"/>
  <c r="G1654" i="7" a="1"/>
  <c r="G1654" i="7" s="1"/>
  <c r="G938" i="11" s="1"/>
  <c r="H938" i="11" s="1"/>
  <c r="G15" i="7" a="1"/>
  <c r="G15" i="7" s="1"/>
  <c r="Y13" i="7" s="1" a="1"/>
  <c r="Y13" i="7" s="1"/>
  <c r="G33" i="7" a="1"/>
  <c r="G33" i="7" s="1"/>
  <c r="G33" i="10" s="1"/>
  <c r="G1302" i="7" a="1"/>
  <c r="G1302" i="7" s="1"/>
  <c r="G586" i="11" s="1"/>
  <c r="H586" i="11" s="1"/>
  <c r="G343" i="7" a="1"/>
  <c r="G343" i="7" s="1"/>
  <c r="T343" i="7" s="1"/>
  <c r="N343" i="10" s="1"/>
  <c r="G1546" i="7" a="1"/>
  <c r="G1546" i="7" s="1"/>
  <c r="G830" i="11" s="1"/>
  <c r="H830" i="11" s="1"/>
  <c r="G624" i="7" a="1"/>
  <c r="G624" i="7" s="1"/>
  <c r="G1520" i="7" a="1"/>
  <c r="G1520" i="7" s="1"/>
  <c r="G444" i="7" a="1"/>
  <c r="G444" i="7" s="1"/>
  <c r="T444" i="7" s="1"/>
  <c r="N444" i="10" s="1"/>
  <c r="G423" i="7" a="1"/>
  <c r="G423" i="7" s="1"/>
  <c r="T423" i="7" s="1"/>
  <c r="N423" i="10" s="1"/>
  <c r="G916" i="7" a="1"/>
  <c r="G916" i="7" s="1"/>
  <c r="G744" i="7" a="1"/>
  <c r="G744" i="7" s="1"/>
  <c r="G28" i="11" s="1"/>
  <c r="G1713" i="7" a="1"/>
  <c r="G1713" i="7" s="1"/>
  <c r="G997" i="11" s="1"/>
  <c r="H997" i="11" s="1"/>
  <c r="G283" i="7" a="1"/>
  <c r="G283" i="7" s="1"/>
  <c r="G107" i="7" a="1"/>
  <c r="G107" i="7" s="1"/>
  <c r="G107" i="10" s="1"/>
  <c r="G226" i="7" a="1"/>
  <c r="G226" i="7" s="1"/>
  <c r="T226" i="7" s="1"/>
  <c r="N226" i="10" s="1"/>
  <c r="G403" i="7" a="1"/>
  <c r="G403" i="7" s="1"/>
  <c r="G955" i="7" a="1"/>
  <c r="G955" i="7" s="1"/>
  <c r="G239" i="11" s="1"/>
  <c r="H239" i="11" s="1"/>
  <c r="G304" i="7" a="1"/>
  <c r="G304" i="7" s="1"/>
  <c r="T304" i="7" s="1"/>
  <c r="N304" i="10" s="1"/>
  <c r="G82" i="7" a="1"/>
  <c r="G82" i="7" s="1"/>
  <c r="G82" i="10" s="1"/>
  <c r="G965" i="7" a="1"/>
  <c r="G965" i="7" s="1"/>
  <c r="G613" i="7" a="1"/>
  <c r="G613" i="7" s="1"/>
  <c r="G613" i="10" s="1"/>
  <c r="G1126" i="7" a="1"/>
  <c r="G1126" i="7" s="1"/>
  <c r="G410" i="11" s="1"/>
  <c r="H410" i="11" s="1"/>
  <c r="G1385" i="7" a="1"/>
  <c r="G1385" i="7" s="1"/>
  <c r="G669" i="11" s="1"/>
  <c r="H669" i="11" s="1"/>
  <c r="G316" i="7" a="1"/>
  <c r="G316" i="7" s="1"/>
  <c r="G316" i="10" s="1"/>
  <c r="G1035" i="7" a="1"/>
  <c r="G1035" i="7" s="1"/>
  <c r="G319" i="11" s="1"/>
  <c r="H319" i="11" s="1"/>
  <c r="G274" i="7" a="1"/>
  <c r="G274" i="7" s="1"/>
  <c r="T274" i="7" s="1"/>
  <c r="N274" i="10" s="1"/>
  <c r="G78" i="7" a="1"/>
  <c r="G78" i="7" s="1"/>
  <c r="T78" i="7" s="1"/>
  <c r="N78" i="10" s="1"/>
  <c r="G989" i="7" a="1"/>
  <c r="G989" i="7" s="1"/>
  <c r="G1174" i="7" a="1"/>
  <c r="G1174" i="7" s="1"/>
  <c r="G458" i="11" s="1"/>
  <c r="H458" i="11" s="1"/>
  <c r="G800" i="7" a="1"/>
  <c r="G800" i="7" s="1"/>
  <c r="G687" i="7" a="1"/>
  <c r="G687" i="7" s="1"/>
  <c r="G1583" i="7" a="1"/>
  <c r="G1583" i="7" s="1"/>
  <c r="G1406" i="7" a="1"/>
  <c r="G1406" i="7" s="1"/>
  <c r="G690" i="11" s="1"/>
  <c r="H690" i="11" s="1"/>
  <c r="G645" i="7" a="1"/>
  <c r="G645" i="7" s="1"/>
  <c r="T645" i="7" s="1"/>
  <c r="N645" i="10" s="1"/>
  <c r="G451" i="7" a="1"/>
  <c r="G451" i="7" s="1"/>
  <c r="G451" i="10" s="1"/>
  <c r="G876" i="7" a="1"/>
  <c r="G876" i="7" s="1"/>
  <c r="G160" i="11" s="1"/>
  <c r="G1710" i="7" a="1"/>
  <c r="G1710" i="7" s="1"/>
  <c r="G994" i="11" s="1"/>
  <c r="H994" i="11" s="1"/>
  <c r="G1352" i="7" a="1"/>
  <c r="G1352" i="7" s="1"/>
  <c r="G636" i="11" s="1"/>
  <c r="H636" i="11" s="1"/>
  <c r="G1531" i="7" a="1"/>
  <c r="G1531" i="7" s="1"/>
  <c r="G815" i="11" s="1"/>
  <c r="H815" i="11" s="1"/>
  <c r="G1173" i="7" a="1"/>
  <c r="G1173" i="7" s="1"/>
  <c r="G457" i="11" s="1"/>
  <c r="H457" i="11" s="1"/>
  <c r="G994" i="7" a="1"/>
  <c r="G994" i="7" s="1"/>
  <c r="G278" i="11" s="1"/>
  <c r="H278" i="11" s="1"/>
  <c r="G815" i="7" a="1"/>
  <c r="G815" i="7" s="1"/>
  <c r="G99" i="11" s="1"/>
  <c r="H99" i="11" s="1"/>
  <c r="G636" i="7" a="1"/>
  <c r="G636" i="7" s="1"/>
  <c r="G457" i="7" a="1"/>
  <c r="G457" i="7" s="1"/>
  <c r="G278" i="7" a="1"/>
  <c r="G278" i="7" s="1"/>
  <c r="G278" i="10" s="1"/>
  <c r="G99" i="7" a="1"/>
  <c r="G99" i="7" s="1"/>
  <c r="G1153" i="7" a="1"/>
  <c r="G1153" i="7" s="1"/>
  <c r="G616" i="7" a="1"/>
  <c r="G616" i="7" s="1"/>
  <c r="G616" i="10" s="1"/>
  <c r="G79" i="7" a="1"/>
  <c r="G79" i="7" s="1"/>
  <c r="G79" i="10" s="1"/>
  <c r="G569" i="7" a="1"/>
  <c r="G569" i="7" s="1"/>
  <c r="G569" i="10" s="1"/>
  <c r="G211" i="7" a="1"/>
  <c r="G211" i="7" s="1"/>
  <c r="G211" i="10" s="1"/>
  <c r="G390" i="7" a="1"/>
  <c r="G390" i="7" s="1"/>
  <c r="G750" i="7" a="1"/>
  <c r="G750" i="7" s="1"/>
  <c r="G34" i="11" s="1"/>
  <c r="H34" i="11" s="1"/>
  <c r="G71" i="7" a="1"/>
  <c r="G71" i="7" s="1"/>
  <c r="T71" i="7" s="1"/>
  <c r="N71" i="10" s="1"/>
  <c r="G213" i="7" a="1"/>
  <c r="G213" i="7" s="1"/>
  <c r="G1326" i="7" a="1"/>
  <c r="G1326" i="7" s="1"/>
  <c r="G1136" i="7" a="1"/>
  <c r="G1136" i="7" s="1"/>
  <c r="G420" i="11" s="1"/>
  <c r="H420" i="11" s="1"/>
  <c r="G131" i="7" a="1"/>
  <c r="G131" i="7" s="1"/>
  <c r="T131" i="7" s="1"/>
  <c r="N131" i="10" s="1"/>
  <c r="G1507" i="7" a="1"/>
  <c r="G1507" i="7" s="1"/>
  <c r="G791" i="11" s="1"/>
  <c r="H791" i="11" s="1"/>
  <c r="G1592" i="7" a="1"/>
  <c r="G1592" i="7" s="1"/>
  <c r="G1328" i="7" a="1"/>
  <c r="G1328" i="7" s="1"/>
  <c r="G612" i="11" s="1"/>
  <c r="H612" i="11" s="1"/>
  <c r="G1289" i="7" a="1"/>
  <c r="G1289" i="7" s="1"/>
  <c r="G573" i="11" s="1"/>
  <c r="H573" i="11" s="1"/>
  <c r="G1463" i="7" a="1"/>
  <c r="G1463" i="7" s="1"/>
  <c r="G747" i="11" s="1"/>
  <c r="H747" i="11" s="1"/>
  <c r="G1090" i="7" a="1"/>
  <c r="G1090" i="7" s="1"/>
  <c r="G374" i="11" s="1"/>
  <c r="H374" i="11" s="1"/>
  <c r="G668" i="7" a="1"/>
  <c r="G668" i="7" s="1"/>
  <c r="T668" i="7" s="1"/>
  <c r="N668" i="10" s="1"/>
  <c r="G657" i="7" a="1"/>
  <c r="G657" i="7" s="1"/>
  <c r="T657" i="7" s="1"/>
  <c r="N657" i="10" s="1"/>
  <c r="G1642" i="7" a="1"/>
  <c r="G1642" i="7" s="1"/>
  <c r="G926" i="11" s="1"/>
  <c r="H926" i="11" s="1"/>
  <c r="G1303" i="7" a="1"/>
  <c r="G1303" i="7" s="1"/>
  <c r="G587" i="11" s="1"/>
  <c r="H587" i="11" s="1"/>
  <c r="G766" i="7" a="1"/>
  <c r="G766" i="7" s="1"/>
  <c r="G50" i="11" s="1"/>
  <c r="H50" i="11" s="1"/>
  <c r="G587" i="7" a="1"/>
  <c r="G587" i="7" s="1"/>
  <c r="G587" i="10" s="1"/>
  <c r="G50" i="7" a="1"/>
  <c r="G50" i="7" s="1"/>
  <c r="G408" i="7" a="1"/>
  <c r="G408" i="7" s="1"/>
  <c r="G408" i="10" s="1"/>
  <c r="G229" i="7" a="1"/>
  <c r="G229" i="7" s="1"/>
  <c r="G1661" i="7" a="1"/>
  <c r="G1661" i="7" s="1"/>
  <c r="G945" i="11" s="1"/>
  <c r="H945" i="11" s="1"/>
  <c r="G1482" i="7" a="1"/>
  <c r="G1482" i="7" s="1"/>
  <c r="G766" i="11" s="1"/>
  <c r="H766" i="11" s="1"/>
  <c r="G945" i="7" a="1"/>
  <c r="G945" i="7" s="1"/>
  <c r="G229" i="11" s="1"/>
  <c r="H229" i="11" s="1"/>
  <c r="G1124" i="7" a="1"/>
  <c r="G1124" i="7" s="1"/>
  <c r="G408" i="11" s="1"/>
  <c r="H408" i="11" s="1"/>
  <c r="G1350" i="7" a="1"/>
  <c r="G1350" i="7" s="1"/>
  <c r="G634" i="11" s="1"/>
  <c r="H634" i="11" s="1"/>
  <c r="G813" i="7" a="1"/>
  <c r="G813" i="7" s="1"/>
  <c r="G992" i="7" a="1"/>
  <c r="G992" i="7" s="1"/>
  <c r="G1694" i="7" a="1"/>
  <c r="G1694" i="7" s="1"/>
  <c r="G978" i="11" s="1"/>
  <c r="H978" i="11" s="1"/>
  <c r="G1157" i="7" a="1"/>
  <c r="G1157" i="7" s="1"/>
  <c r="G441" i="11" s="1"/>
  <c r="H441" i="11" s="1"/>
  <c r="G978" i="7" a="1"/>
  <c r="G978" i="7" s="1"/>
  <c r="G262" i="11" s="1"/>
  <c r="H262" i="11" s="1"/>
  <c r="G262" i="7" a="1"/>
  <c r="G262" i="7" s="1"/>
  <c r="G340" i="7" a="1"/>
  <c r="G340" i="7" s="1"/>
  <c r="G161" i="7" a="1"/>
  <c r="G161" i="7" s="1"/>
  <c r="G1414" i="7" a="1"/>
  <c r="G1414" i="7" s="1"/>
  <c r="G698" i="11" s="1"/>
  <c r="H698" i="11" s="1"/>
  <c r="G1772" i="7" a="1"/>
  <c r="G1772" i="7" s="1"/>
  <c r="G1056" i="11" s="1"/>
  <c r="H1056" i="11" s="1"/>
  <c r="G1593" i="7" a="1"/>
  <c r="G1593" i="7" s="1"/>
  <c r="G877" i="11" s="1"/>
  <c r="H877" i="11" s="1"/>
  <c r="G698" i="7" a="1"/>
  <c r="G698" i="7" s="1"/>
  <c r="G1235" i="7" a="1"/>
  <c r="G1235" i="7" s="1"/>
  <c r="G519" i="11" s="1"/>
  <c r="H519" i="11" s="1"/>
  <c r="G1056" i="7" a="1"/>
  <c r="G1056" i="7" s="1"/>
  <c r="G340" i="11" s="1"/>
  <c r="H340" i="11" s="1"/>
  <c r="G877" i="7" a="1"/>
  <c r="G877" i="7" s="1"/>
  <c r="G161" i="11" s="1"/>
  <c r="H161" i="11" s="1"/>
  <c r="G519" i="7" a="1"/>
  <c r="G519" i="7" s="1"/>
  <c r="G626" i="7" a="1"/>
  <c r="G626" i="7" s="1"/>
  <c r="G626" i="10" s="1"/>
  <c r="G89" i="7" a="1"/>
  <c r="G89" i="7" s="1"/>
  <c r="T89" i="7" s="1"/>
  <c r="N89" i="10" s="1"/>
  <c r="G268" i="7" a="1"/>
  <c r="G268" i="7" s="1"/>
  <c r="G268" i="10" s="1"/>
  <c r="G1343" i="7" a="1"/>
  <c r="G1343" i="7" s="1"/>
  <c r="G627" i="11" s="1"/>
  <c r="H627" i="11" s="1"/>
  <c r="G269" i="7" a="1"/>
  <c r="G269" i="7" s="1"/>
  <c r="T269" i="7" s="1"/>
  <c r="N269" i="10" s="1"/>
  <c r="G627" i="7" a="1"/>
  <c r="G627" i="7" s="1"/>
  <c r="T627" i="7" s="1"/>
  <c r="N627" i="10" s="1"/>
  <c r="G230" i="7" a="1"/>
  <c r="G230" i="7" s="1"/>
  <c r="G230" i="10" s="1"/>
  <c r="G51" i="7" a="1"/>
  <c r="G51" i="7" s="1"/>
  <c r="G1304" i="7" a="1"/>
  <c r="G1304" i="7" s="1"/>
  <c r="G588" i="11" s="1"/>
  <c r="H588" i="11" s="1"/>
  <c r="G1662" i="7" a="1"/>
  <c r="G1662" i="7" s="1"/>
  <c r="G946" i="11" s="1"/>
  <c r="H946" i="11" s="1"/>
  <c r="G1483" i="7" a="1"/>
  <c r="G1483" i="7" s="1"/>
  <c r="G946" i="7" a="1"/>
  <c r="G946" i="7" s="1"/>
  <c r="G230" i="11" s="1"/>
  <c r="H230" i="11" s="1"/>
  <c r="G1125" i="7" a="1"/>
  <c r="G1125" i="7" s="1"/>
  <c r="G409" i="11" s="1"/>
  <c r="H409" i="11" s="1"/>
  <c r="G588" i="7" a="1"/>
  <c r="G588" i="7" s="1"/>
  <c r="T588" i="7" s="1"/>
  <c r="N588" i="10" s="1"/>
  <c r="G767" i="7" a="1"/>
  <c r="G767" i="7" s="1"/>
  <c r="G51" i="11" s="1"/>
  <c r="H51" i="11" s="1"/>
  <c r="G409" i="7" a="1"/>
  <c r="G409" i="7" s="1"/>
  <c r="G409" i="10" s="1"/>
  <c r="G1248" i="7" a="1"/>
  <c r="G1248" i="7" s="1"/>
  <c r="G532" i="11" s="1"/>
  <c r="H532" i="11" s="1"/>
  <c r="G1785" i="7" a="1"/>
  <c r="G1785" i="7" s="1"/>
  <c r="G1427" i="7" a="1"/>
  <c r="G1427" i="7" s="1"/>
  <c r="G711" i="11" s="1"/>
  <c r="H711" i="11" s="1"/>
  <c r="G1606" i="7" a="1"/>
  <c r="G1606" i="7" s="1"/>
  <c r="G890" i="7" a="1"/>
  <c r="G890" i="7" s="1"/>
  <c r="G711" i="7" a="1"/>
  <c r="G711" i="7" s="1"/>
  <c r="T711" i="7" s="1"/>
  <c r="N711" i="10" s="1"/>
  <c r="G1069" i="7" a="1"/>
  <c r="G1069" i="7" s="1"/>
  <c r="G532" i="7" a="1"/>
  <c r="G532" i="7" s="1"/>
  <c r="T532" i="7" s="1"/>
  <c r="N532" i="10" s="1"/>
  <c r="G174" i="7" a="1"/>
  <c r="G174" i="7" s="1"/>
  <c r="G174" i="10" s="1"/>
  <c r="G353" i="7" a="1"/>
  <c r="G353" i="7" s="1"/>
  <c r="G353" i="10" s="1"/>
  <c r="G301" i="7" a="1"/>
  <c r="G301" i="7" s="1"/>
  <c r="G301" i="10" s="1"/>
  <c r="G838" i="7" a="1"/>
  <c r="G838" i="7" s="1"/>
  <c r="G480" i="7" a="1"/>
  <c r="G480" i="7" s="1"/>
  <c r="G480" i="10" s="1"/>
  <c r="G122" i="7" a="1"/>
  <c r="G122" i="7" s="1"/>
  <c r="G122" i="10" s="1"/>
  <c r="G488" i="7" a="1"/>
  <c r="G488" i="7" s="1"/>
  <c r="G130" i="7" a="1"/>
  <c r="G130" i="7" s="1"/>
  <c r="G1741" i="7" a="1"/>
  <c r="G1741" i="7" s="1"/>
  <c r="G1025" i="11" s="1"/>
  <c r="H1025" i="11" s="1"/>
  <c r="G1562" i="7" a="1"/>
  <c r="G1562" i="7" s="1"/>
  <c r="G846" i="11" s="1"/>
  <c r="H846" i="11" s="1"/>
  <c r="G1383" i="7" a="1"/>
  <c r="G1383" i="7" s="1"/>
  <c r="G667" i="11" s="1"/>
  <c r="H667" i="11" s="1"/>
  <c r="G1025" i="7" a="1"/>
  <c r="G1025" i="7" s="1"/>
  <c r="G309" i="11" s="1"/>
  <c r="H309" i="11" s="1"/>
  <c r="G1204" i="7" a="1"/>
  <c r="G1204" i="7" s="1"/>
  <c r="G488" i="11" s="1"/>
  <c r="H488" i="11" s="1"/>
  <c r="G309" i="7" a="1"/>
  <c r="G309" i="7" s="1"/>
  <c r="G667" i="7" a="1"/>
  <c r="G667" i="7" s="1"/>
  <c r="G846" i="7" a="1"/>
  <c r="G846" i="7" s="1"/>
  <c r="G130" i="11" s="1"/>
  <c r="G1575" i="7" a="1"/>
  <c r="G1575" i="7" s="1"/>
  <c r="G859" i="11" s="1"/>
  <c r="H859" i="11" s="1"/>
  <c r="G1217" i="7" a="1"/>
  <c r="G1217" i="7" s="1"/>
  <c r="G501" i="11" s="1"/>
  <c r="H501" i="11" s="1"/>
  <c r="G859" i="7" a="1"/>
  <c r="G859" i="7" s="1"/>
  <c r="G143" i="11" s="1"/>
  <c r="G1038" i="7" a="1"/>
  <c r="G1038" i="7" s="1"/>
  <c r="G322" i="11" s="1"/>
  <c r="H322" i="11" s="1"/>
  <c r="G322" i="7" a="1"/>
  <c r="G322" i="7" s="1"/>
  <c r="G680" i="7" a="1"/>
  <c r="G680" i="7" s="1"/>
  <c r="G501" i="7" a="1"/>
  <c r="G501" i="7" s="1"/>
  <c r="G143" i="7" a="1"/>
  <c r="G143" i="7" s="1"/>
  <c r="G1754" i="7" a="1"/>
  <c r="G1754" i="7" s="1"/>
  <c r="G1038" i="11" s="1"/>
  <c r="H1038" i="11" s="1"/>
  <c r="G1396" i="7" a="1"/>
  <c r="G1396" i="7" s="1"/>
  <c r="G680" i="11" s="1"/>
  <c r="H680" i="11" s="1"/>
  <c r="G54" i="7" a="1"/>
  <c r="G54" i="7" s="1"/>
  <c r="G233" i="7" a="1"/>
  <c r="G233" i="7" s="1"/>
  <c r="G1665" i="7" a="1"/>
  <c r="G1665" i="7" s="1"/>
  <c r="G949" i="11" s="1"/>
  <c r="H949" i="11" s="1"/>
  <c r="G1486" i="7" a="1"/>
  <c r="G1486" i="7" s="1"/>
  <c r="G770" i="11" s="1"/>
  <c r="H770" i="11" s="1"/>
  <c r="G770" i="7" a="1"/>
  <c r="G770" i="7" s="1"/>
  <c r="G54" i="11" s="1"/>
  <c r="H54" i="11" s="1"/>
  <c r="G1128" i="7" a="1"/>
  <c r="G1128" i="7" s="1"/>
  <c r="G412" i="11" s="1"/>
  <c r="H412" i="11" s="1"/>
  <c r="G1307" i="7" a="1"/>
  <c r="G1307" i="7" s="1"/>
  <c r="G591" i="11" s="1"/>
  <c r="H591" i="11" s="1"/>
  <c r="G949" i="7" a="1"/>
  <c r="G949" i="7" s="1"/>
  <c r="G233" i="11" s="1"/>
  <c r="H233" i="11" s="1"/>
  <c r="G412" i="7" a="1"/>
  <c r="G412" i="7" s="1"/>
  <c r="G591" i="7" a="1"/>
  <c r="G591" i="7" s="1"/>
  <c r="G209" i="7" a="1"/>
  <c r="G209" i="7" s="1"/>
  <c r="G209" i="10" s="1"/>
  <c r="G555" i="7" a="1"/>
  <c r="G555" i="7" s="1"/>
  <c r="G712" i="7" a="1"/>
  <c r="G712" i="7" s="1"/>
  <c r="T712" i="7" s="1"/>
  <c r="N712" i="10" s="1"/>
  <c r="G1269" i="7" a="1"/>
  <c r="G1269" i="7" s="1"/>
  <c r="G553" i="11" s="1"/>
  <c r="H553" i="11" s="1"/>
  <c r="G326" i="7" a="1"/>
  <c r="G326" i="7" s="1"/>
  <c r="G326" i="10" s="1"/>
  <c r="G439" i="7" a="1"/>
  <c r="G439" i="7" s="1"/>
  <c r="T439" i="7" s="1"/>
  <c r="N439" i="10" s="1"/>
  <c r="G1205" i="7" a="1"/>
  <c r="G1205" i="7" s="1"/>
  <c r="G489" i="11" s="1"/>
  <c r="H489" i="11" s="1"/>
  <c r="G1324" i="7" a="1"/>
  <c r="G1324" i="7" s="1"/>
  <c r="G75" i="7" a="1"/>
  <c r="G75" i="7" s="1"/>
  <c r="G75" i="10" s="1"/>
  <c r="G793" i="7" a="1"/>
  <c r="G793" i="7" s="1"/>
  <c r="G77" i="11" s="1"/>
  <c r="G1172" i="7" a="1"/>
  <c r="G1172" i="7" s="1"/>
  <c r="G456" i="11" s="1"/>
  <c r="H456" i="11" s="1"/>
  <c r="G1131" i="7" a="1"/>
  <c r="G1131" i="7" s="1"/>
  <c r="G415" i="11" s="1"/>
  <c r="H415" i="11" s="1"/>
  <c r="G654" i="7" a="1"/>
  <c r="G654" i="7" s="1"/>
  <c r="G476" i="7" a="1"/>
  <c r="G476" i="7" s="1"/>
  <c r="T476" i="7" s="1"/>
  <c r="N476" i="10" s="1"/>
  <c r="G836" i="7" a="1"/>
  <c r="G836" i="7" s="1"/>
  <c r="G1685" i="7" a="1"/>
  <c r="G1685" i="7" s="1"/>
  <c r="G969" i="11" s="1"/>
  <c r="H969" i="11" s="1"/>
  <c r="G1296" i="7" a="1"/>
  <c r="G1296" i="7" s="1"/>
  <c r="G580" i="11" s="1"/>
  <c r="H580" i="11" s="1"/>
  <c r="G194" i="7" a="1"/>
  <c r="G194" i="7" s="1"/>
  <c r="Y192" i="7" s="1" a="1"/>
  <c r="Y192" i="7" s="1"/>
  <c r="G944" i="7" a="1"/>
  <c r="G944" i="7" s="1"/>
  <c r="G228" i="11" s="1"/>
  <c r="H228" i="11" s="1"/>
  <c r="G880" i="7" a="1"/>
  <c r="G880" i="7" s="1"/>
  <c r="G164" i="11" s="1"/>
  <c r="H164" i="11" s="1"/>
  <c r="G179" i="7" a="1"/>
  <c r="G179" i="7" s="1"/>
  <c r="G179" i="10" s="1"/>
  <c r="G982" i="7" a="1"/>
  <c r="G982" i="7" s="1"/>
  <c r="G266" i="11" s="1"/>
  <c r="H266" i="11" s="1"/>
  <c r="G447" i="7" a="1"/>
  <c r="G447" i="7" s="1"/>
  <c r="G447" i="10" s="1"/>
  <c r="G1701" i="7" a="1"/>
  <c r="G1701" i="7" s="1"/>
  <c r="G802" i="7" a="1"/>
  <c r="G802" i="7" s="1"/>
  <c r="G86" i="11" s="1"/>
  <c r="H86" i="11" s="1"/>
  <c r="G402" i="7" a="1"/>
  <c r="G402" i="7" s="1"/>
  <c r="G927" i="7" a="1"/>
  <c r="G927" i="7" s="1"/>
  <c r="G211" i="11" s="1"/>
  <c r="H211" i="11" s="1"/>
  <c r="G65" i="7" a="1"/>
  <c r="G65" i="7" s="1"/>
  <c r="G65" i="10" s="1"/>
  <c r="G1453" i="7" a="1"/>
  <c r="G1453" i="7" s="1"/>
  <c r="G737" i="11" s="1"/>
  <c r="H737" i="11" s="1"/>
  <c r="G207" i="7" a="1"/>
  <c r="G207" i="7" s="1"/>
  <c r="G207" i="10" s="1"/>
  <c r="G1534" i="7" a="1"/>
  <c r="G1534" i="7" s="1"/>
  <c r="G1357" i="7" a="1"/>
  <c r="G1357" i="7" s="1"/>
  <c r="G641" i="11" s="1"/>
  <c r="H641" i="11" s="1"/>
  <c r="G823" i="7" a="1"/>
  <c r="G823" i="7" s="1"/>
  <c r="G107" i="11" s="1"/>
  <c r="H107" i="11" s="1"/>
  <c r="G45" i="7" a="1"/>
  <c r="G45" i="7" s="1"/>
  <c r="G1492" i="7" a="1"/>
  <c r="G1492" i="7" s="1"/>
  <c r="G776" i="11" s="1"/>
  <c r="H776" i="11" s="1"/>
  <c r="G125" i="7" a="1"/>
  <c r="G125" i="7" s="1"/>
  <c r="T125" i="7" s="1"/>
  <c r="N125" i="10" s="1"/>
  <c r="G261" i="7" a="1"/>
  <c r="G261" i="7" s="1"/>
  <c r="G261" i="10" s="1"/>
  <c r="G1144" i="7" a="1"/>
  <c r="G1144" i="7" s="1"/>
  <c r="G428" i="11" s="1"/>
  <c r="H428" i="11" s="1"/>
  <c r="G258" i="7" a="1"/>
  <c r="G258" i="7" s="1"/>
  <c r="G258" i="10" s="1"/>
  <c r="G1171" i="7" a="1"/>
  <c r="G1171" i="7" s="1"/>
  <c r="G455" i="11" s="1"/>
  <c r="H455" i="11" s="1"/>
  <c r="G792" i="7" a="1"/>
  <c r="G792" i="7" s="1"/>
  <c r="G76" i="11" s="1"/>
  <c r="G1305" i="7" a="1"/>
  <c r="G1305" i="7" s="1"/>
  <c r="G589" i="11" s="1"/>
  <c r="H589" i="11" s="1"/>
  <c r="G1743" i="7" a="1"/>
  <c r="G1743" i="7" s="1"/>
  <c r="G1027" i="11" s="1"/>
  <c r="H1027" i="11" s="1"/>
  <c r="G1211" i="7" a="1"/>
  <c r="G1211" i="7" s="1"/>
  <c r="G495" i="11" s="1"/>
  <c r="H495" i="11" s="1"/>
  <c r="G677" i="7" a="1"/>
  <c r="G677" i="7" s="1"/>
  <c r="G95" i="7" a="1"/>
  <c r="G95" i="7" s="1"/>
  <c r="G95" i="10" s="1"/>
  <c r="G436" i="7" a="1"/>
  <c r="G436" i="7" s="1"/>
  <c r="T436" i="7" s="1"/>
  <c r="N436" i="10" s="1"/>
  <c r="G1705" i="7" a="1"/>
  <c r="G1705" i="7" s="1"/>
  <c r="G989" i="11" s="1"/>
  <c r="H989" i="11" s="1"/>
  <c r="G1532" i="7" a="1"/>
  <c r="G1532" i="7" s="1"/>
  <c r="G816" i="11" s="1"/>
  <c r="H816" i="11" s="1"/>
  <c r="G621" i="7" a="1"/>
  <c r="G621" i="7" s="1"/>
  <c r="T621" i="7" s="1"/>
  <c r="N621" i="10" s="1"/>
  <c r="G1762" i="7" a="1"/>
  <c r="G1762" i="7" s="1"/>
  <c r="G1764" i="7" a="1"/>
  <c r="G1764" i="7" s="1"/>
  <c r="G1540" i="7" a="1"/>
  <c r="G1540" i="7" s="1"/>
  <c r="G824" i="11" s="1"/>
  <c r="H824" i="11" s="1"/>
  <c r="G1346" i="7" a="1"/>
  <c r="G1346" i="7" s="1"/>
  <c r="G630" i="11" s="1"/>
  <c r="G778" i="7" a="1"/>
  <c r="G778" i="7" s="1"/>
  <c r="G62" i="11" s="1"/>
  <c r="H62" i="11" s="1"/>
  <c r="G1149" i="7" a="1"/>
  <c r="G1149" i="7" s="1"/>
  <c r="G433" i="11" s="1"/>
  <c r="H433" i="11" s="1"/>
  <c r="G1104" i="7" a="1"/>
  <c r="G1104" i="7" s="1"/>
  <c r="G388" i="11" s="1"/>
  <c r="H388" i="11" s="1"/>
  <c r="G1601" i="7" a="1"/>
  <c r="G1601" i="7" s="1"/>
  <c r="G885" i="11" s="1"/>
  <c r="H885" i="11" s="1"/>
  <c r="G1064" i="7" a="1"/>
  <c r="G1064" i="7" s="1"/>
  <c r="G1243" i="7" a="1"/>
  <c r="G1243" i="7" s="1"/>
  <c r="G527" i="11" s="1"/>
  <c r="H527" i="11" s="1"/>
  <c r="G348" i="7" a="1"/>
  <c r="G348" i="7" s="1"/>
  <c r="T348" i="7" s="1"/>
  <c r="N348" i="10" s="1"/>
  <c r="G706" i="7" a="1"/>
  <c r="G706" i="7" s="1"/>
  <c r="G706" i="10" s="1"/>
  <c r="G885" i="7" a="1"/>
  <c r="G885" i="7" s="1"/>
  <c r="G169" i="11" s="1"/>
  <c r="G527" i="7" a="1"/>
  <c r="G527" i="7" s="1"/>
  <c r="T527" i="7" s="1"/>
  <c r="N527" i="10" s="1"/>
  <c r="G169" i="7" a="1"/>
  <c r="G169" i="7" s="1"/>
  <c r="G1422" i="7" a="1"/>
  <c r="G1422" i="7" s="1"/>
  <c r="G706" i="11" s="1"/>
  <c r="H706" i="11" s="1"/>
  <c r="G1780" i="7" a="1"/>
  <c r="G1780" i="7" s="1"/>
  <c r="G1064" i="11" s="1"/>
  <c r="H1064" i="11" s="1"/>
  <c r="G1498" i="7" a="1"/>
  <c r="G1498" i="7" s="1"/>
  <c r="G782" i="11" s="1"/>
  <c r="H782" i="11" s="1"/>
  <c r="G1140" i="7" a="1"/>
  <c r="G1140" i="7" s="1"/>
  <c r="G1677" i="7" a="1"/>
  <c r="G1677" i="7" s="1"/>
  <c r="G961" i="11" s="1"/>
  <c r="H961" i="11" s="1"/>
  <c r="G961" i="7" a="1"/>
  <c r="G961" i="7" s="1"/>
  <c r="G1319" i="7" a="1"/>
  <c r="G1319" i="7" s="1"/>
  <c r="G603" i="11" s="1"/>
  <c r="H603" i="11" s="1"/>
  <c r="G603" i="7" a="1"/>
  <c r="G603" i="7" s="1"/>
  <c r="G603" i="10" s="1"/>
  <c r="G782" i="7" a="1"/>
  <c r="G782" i="7" s="1"/>
  <c r="G66" i="7" a="1"/>
  <c r="G66" i="7" s="1"/>
  <c r="T66" i="7" s="1"/>
  <c r="N66" i="10" s="1"/>
  <c r="G245" i="7" a="1"/>
  <c r="G245" i="7" s="1"/>
  <c r="G245" i="10" s="1"/>
  <c r="G424" i="7" a="1"/>
  <c r="G424" i="7" s="1"/>
  <c r="G424" i="10" s="1"/>
  <c r="G384" i="7" a="1"/>
  <c r="G384" i="7" s="1"/>
  <c r="G384" i="10" s="1"/>
  <c r="G205" i="7" a="1"/>
  <c r="G205" i="7" s="1"/>
  <c r="G205" i="10" s="1"/>
  <c r="G1279" i="7" a="1"/>
  <c r="G1279" i="7" s="1"/>
  <c r="G563" i="11" s="1"/>
  <c r="H563" i="11" s="1"/>
  <c r="G1458" i="7" a="1"/>
  <c r="G1458" i="7" s="1"/>
  <c r="G742" i="11" s="1"/>
  <c r="H742" i="11" s="1"/>
  <c r="G1637" i="7" a="1"/>
  <c r="G1637" i="7" s="1"/>
  <c r="G921" i="11" s="1"/>
  <c r="H921" i="11" s="1"/>
  <c r="G921" i="7" a="1"/>
  <c r="G921" i="7" s="1"/>
  <c r="G205" i="11" s="1"/>
  <c r="H205" i="11" s="1"/>
  <c r="G1100" i="7" a="1"/>
  <c r="G1100" i="7" s="1"/>
  <c r="G384" i="11" s="1"/>
  <c r="H384" i="11" s="1"/>
  <c r="G563" i="7" a="1"/>
  <c r="G563" i="7" s="1"/>
  <c r="G563" i="10" s="1"/>
  <c r="G742" i="7" a="1"/>
  <c r="G742" i="7" s="1"/>
  <c r="G26" i="11" s="1"/>
  <c r="G26" i="7" a="1"/>
  <c r="G26" i="7" s="1"/>
  <c r="G26" i="10" s="1"/>
  <c r="G292" i="7" a="1"/>
  <c r="G292" i="7" s="1"/>
  <c r="T292" i="7" s="1"/>
  <c r="N292" i="10" s="1"/>
  <c r="G113" i="7" a="1"/>
  <c r="G113" i="7" s="1"/>
  <c r="T113" i="7" s="1"/>
  <c r="N113" i="10" s="1"/>
  <c r="G1096" i="7" a="1"/>
  <c r="G1096" i="7" s="1"/>
  <c r="G380" i="11" s="1"/>
  <c r="H380" i="11" s="1"/>
  <c r="G1275" i="7" a="1"/>
  <c r="G1275" i="7" s="1"/>
  <c r="G559" i="11" s="1"/>
  <c r="H559" i="11" s="1"/>
  <c r="G917" i="7" a="1"/>
  <c r="G917" i="7" s="1"/>
  <c r="G201" i="11" s="1"/>
  <c r="H201" i="11" s="1"/>
  <c r="G380" i="7" a="1"/>
  <c r="G380" i="7" s="1"/>
  <c r="G201" i="7" a="1"/>
  <c r="G201" i="7" s="1"/>
  <c r="G738" i="7" a="1"/>
  <c r="G738" i="7" s="1"/>
  <c r="G22" i="11" s="1"/>
  <c r="H22" i="11" s="1"/>
  <c r="G559" i="7" a="1"/>
  <c r="G559" i="7" s="1"/>
  <c r="G22" i="7" a="1"/>
  <c r="G22" i="7" s="1"/>
  <c r="G1633" i="7" a="1"/>
  <c r="G1633" i="7" s="1"/>
  <c r="G917" i="11" s="1"/>
  <c r="H917" i="11" s="1"/>
  <c r="G1454" i="7" a="1"/>
  <c r="G1454" i="7" s="1"/>
  <c r="G738" i="11" s="1"/>
  <c r="H738" i="11" s="1"/>
  <c r="G1746" i="7" a="1"/>
  <c r="G1746" i="7" s="1"/>
  <c r="G1567" i="7" a="1"/>
  <c r="G1567" i="7" s="1"/>
  <c r="G851" i="11" s="1"/>
  <c r="H851" i="11" s="1"/>
  <c r="G1388" i="7" a="1"/>
  <c r="G1388" i="7" s="1"/>
  <c r="G672" i="11" s="1"/>
  <c r="H672" i="11" s="1"/>
  <c r="G1209" i="7" a="1"/>
  <c r="G1209" i="7" s="1"/>
  <c r="G851" i="7" a="1"/>
  <c r="G851" i="7" s="1"/>
  <c r="G1030" i="7" a="1"/>
  <c r="G1030" i="7" s="1"/>
  <c r="G314" i="7" a="1"/>
  <c r="G314" i="7" s="1"/>
  <c r="G314" i="10" s="1"/>
  <c r="G672" i="7" a="1"/>
  <c r="G672" i="7" s="1"/>
  <c r="G672" i="10" s="1"/>
  <c r="G493" i="7" a="1"/>
  <c r="G493" i="7" s="1"/>
  <c r="G493" i="10" s="1"/>
  <c r="G135" i="7" a="1"/>
  <c r="G135" i="7" s="1"/>
  <c r="G135" i="10" s="1"/>
  <c r="G1224" i="7" a="1"/>
  <c r="G1224" i="7" s="1"/>
  <c r="G508" i="11" s="1"/>
  <c r="H508" i="11" s="1"/>
  <c r="G1582" i="7" a="1"/>
  <c r="G1582" i="7" s="1"/>
  <c r="G866" i="11" s="1"/>
  <c r="H866" i="11" s="1"/>
  <c r="G957" i="7" a="1"/>
  <c r="G957" i="7" s="1"/>
  <c r="G241" i="11" s="1"/>
  <c r="H241" i="11" s="1"/>
  <c r="G250" i="7" a="1"/>
  <c r="G250" i="7" s="1"/>
  <c r="T250" i="7" s="1"/>
  <c r="N250" i="10" s="1"/>
  <c r="G1330" i="7" a="1"/>
  <c r="G1330" i="7" s="1"/>
  <c r="G697" i="7" a="1"/>
  <c r="G697" i="7" s="1"/>
  <c r="T697" i="7" s="1"/>
  <c r="N697" i="10" s="1"/>
  <c r="G609" i="7" a="1"/>
  <c r="G609" i="7" s="1"/>
  <c r="G1549" i="7" a="1"/>
  <c r="G1549" i="7" s="1"/>
  <c r="G833" i="11" s="1"/>
  <c r="H833" i="11" s="1"/>
  <c r="G88" i="7" a="1"/>
  <c r="G88" i="7" s="1"/>
  <c r="G88" i="10" s="1"/>
  <c r="G864" i="7" a="1"/>
  <c r="G864" i="7" s="1"/>
  <c r="G1043" i="7" a="1"/>
  <c r="G1043" i="7" s="1"/>
  <c r="G327" i="11" s="1"/>
  <c r="H327" i="11" s="1"/>
  <c r="G327" i="7" a="1"/>
  <c r="G327" i="7" s="1"/>
  <c r="G327" i="10" s="1"/>
  <c r="G685" i="7" a="1"/>
  <c r="G685" i="7" s="1"/>
  <c r="G685" i="10" s="1"/>
  <c r="G506" i="7" a="1"/>
  <c r="G506" i="7" s="1"/>
  <c r="G506" i="10" s="1"/>
  <c r="G148" i="7" a="1"/>
  <c r="G148" i="7" s="1"/>
  <c r="G148" i="10" s="1"/>
  <c r="G1222" i="7" a="1"/>
  <c r="G1222" i="7" s="1"/>
  <c r="G506" i="11" s="1"/>
  <c r="H506" i="11" s="1"/>
  <c r="G1401" i="7" a="1"/>
  <c r="G1401" i="7" s="1"/>
  <c r="G685" i="11" s="1"/>
  <c r="H685" i="11" s="1"/>
  <c r="G1759" i="7" a="1"/>
  <c r="G1759" i="7" s="1"/>
  <c r="G1580" i="7" a="1"/>
  <c r="G1580" i="7" s="1"/>
  <c r="G864" i="11" s="1"/>
  <c r="H864" i="11" s="1"/>
  <c r="G512" i="7" a="1"/>
  <c r="G512" i="7" s="1"/>
  <c r="T512" i="7" s="1"/>
  <c r="N512" i="10" s="1"/>
  <c r="G870" i="7" a="1"/>
  <c r="G870" i="7" s="1"/>
  <c r="G154" i="11" s="1"/>
  <c r="G154" i="7" a="1"/>
  <c r="G154" i="7" s="1"/>
  <c r="T154" i="7" s="1"/>
  <c r="N154" i="10" s="1"/>
  <c r="G333" i="7" a="1"/>
  <c r="G333" i="7" s="1"/>
  <c r="T333" i="7" s="1"/>
  <c r="N333" i="10" s="1"/>
  <c r="G1586" i="7" a="1"/>
  <c r="G1586" i="7" s="1"/>
  <c r="G870" i="11" s="1"/>
  <c r="H870" i="11" s="1"/>
  <c r="G1407" i="7" a="1"/>
  <c r="G1407" i="7" s="1"/>
  <c r="G691" i="11" s="1"/>
  <c r="H691" i="11" s="1"/>
  <c r="G1765" i="7" a="1"/>
  <c r="G1765" i="7" s="1"/>
  <c r="G1049" i="11" s="1"/>
  <c r="H1049" i="11" s="1"/>
  <c r="G1228" i="7" a="1"/>
  <c r="G1228" i="7" s="1"/>
  <c r="G1049" i="7" a="1"/>
  <c r="G1049" i="7" s="1"/>
  <c r="G691" i="7" a="1"/>
  <c r="G691" i="7" s="1"/>
  <c r="G691" i="10" s="1"/>
  <c r="G943" i="7" a="1"/>
  <c r="G943" i="7" s="1"/>
  <c r="G227" i="11" s="1"/>
  <c r="H227" i="11" s="1"/>
  <c r="G764" i="7" a="1"/>
  <c r="G764" i="7" s="1"/>
  <c r="G48" i="11" s="1"/>
  <c r="H48" i="11" s="1"/>
  <c r="G585" i="7" a="1"/>
  <c r="G585" i="7" s="1"/>
  <c r="G585" i="10" s="1"/>
  <c r="G172" i="7" a="1"/>
  <c r="G172" i="7" s="1"/>
  <c r="G172" i="10" s="1"/>
  <c r="G351" i="7" a="1"/>
  <c r="G351" i="7" s="1"/>
  <c r="G351" i="10" s="1"/>
  <c r="G1783" i="7" a="1"/>
  <c r="G1783" i="7" s="1"/>
  <c r="G1067" i="11" s="1"/>
  <c r="H1067" i="11" s="1"/>
  <c r="G1604" i="7" a="1"/>
  <c r="G1604" i="7" s="1"/>
  <c r="G888" i="11" s="1"/>
  <c r="H888" i="11" s="1"/>
  <c r="G1246" i="7" a="1"/>
  <c r="G1246" i="7" s="1"/>
  <c r="G530" i="11" s="1"/>
  <c r="H530" i="11" s="1"/>
  <c r="G1425" i="7" a="1"/>
  <c r="G1425" i="7" s="1"/>
  <c r="G709" i="11" s="1"/>
  <c r="H709" i="11" s="1"/>
  <c r="G1067" i="7" a="1"/>
  <c r="G1067" i="7" s="1"/>
  <c r="G351" i="11" s="1"/>
  <c r="H351" i="11" s="1"/>
  <c r="G888" i="7" a="1"/>
  <c r="G888" i="7" s="1"/>
  <c r="G172" i="11" s="1"/>
  <c r="H172" i="11" s="1"/>
  <c r="G530" i="7" a="1"/>
  <c r="G530" i="7" s="1"/>
  <c r="G530" i="10" s="1"/>
  <c r="G709" i="7" a="1"/>
  <c r="G709" i="7" s="1"/>
  <c r="G709" i="10" s="1"/>
  <c r="G1389" i="7" a="1"/>
  <c r="G1389" i="7" s="1"/>
  <c r="G673" i="11" s="1"/>
  <c r="H673" i="11" s="1"/>
  <c r="G1031" i="7" a="1"/>
  <c r="G1031" i="7" s="1"/>
  <c r="G1210" i="7" a="1"/>
  <c r="G1210" i="7" s="1"/>
  <c r="G494" i="11" s="1"/>
  <c r="H494" i="11" s="1"/>
  <c r="G315" i="7" a="1"/>
  <c r="G315" i="7" s="1"/>
  <c r="G852" i="7" a="1"/>
  <c r="G852" i="7" s="1"/>
  <c r="G673" i="7" a="1"/>
  <c r="G673" i="7" s="1"/>
  <c r="G494" i="7" a="1"/>
  <c r="G494" i="7" s="1"/>
  <c r="T494" i="7" s="1"/>
  <c r="N494" i="10" s="1"/>
  <c r="G136" i="7" a="1"/>
  <c r="G136" i="7" s="1"/>
  <c r="T136" i="7" s="1"/>
  <c r="N136" i="10" s="1"/>
  <c r="G1747" i="7" a="1"/>
  <c r="G1747" i="7" s="1"/>
  <c r="G1568" i="7" a="1"/>
  <c r="G1568" i="7" s="1"/>
  <c r="G852" i="11" s="1"/>
  <c r="H852" i="11" s="1"/>
  <c r="G1338" i="7" a="1"/>
  <c r="G1338" i="7" s="1"/>
  <c r="G622" i="11" s="1"/>
  <c r="H622" i="11" s="1"/>
  <c r="G1517" i="7" a="1"/>
  <c r="G1517" i="7" s="1"/>
  <c r="G801" i="11" s="1"/>
  <c r="H801" i="11" s="1"/>
  <c r="G1696" i="7" a="1"/>
  <c r="G1696" i="7" s="1"/>
  <c r="G1159" i="7" a="1"/>
  <c r="G1159" i="7" s="1"/>
  <c r="G443" i="11" s="1"/>
  <c r="H443" i="11" s="1"/>
  <c r="G980" i="7" a="1"/>
  <c r="G980" i="7" s="1"/>
  <c r="G264" i="11" s="1"/>
  <c r="H264" i="11" s="1"/>
  <c r="G622" i="7" a="1"/>
  <c r="G622" i="7" s="1"/>
  <c r="G801" i="7" a="1"/>
  <c r="G801" i="7" s="1"/>
  <c r="G85" i="11" s="1"/>
  <c r="H85" i="11" s="1"/>
  <c r="G443" i="7" a="1"/>
  <c r="G443" i="7" s="1"/>
  <c r="G85" i="7" a="1"/>
  <c r="G85" i="7" s="1"/>
  <c r="G85" i="10" s="1"/>
  <c r="G264" i="7" a="1"/>
  <c r="G264" i="7" s="1"/>
  <c r="G264" i="10" s="1"/>
  <c r="G374" i="7" a="1"/>
  <c r="G374" i="7" s="1"/>
  <c r="G310" i="7" a="1"/>
  <c r="G310" i="7" s="1"/>
  <c r="G310" i="10" s="1"/>
  <c r="G594" i="7" a="1"/>
  <c r="G594" i="7" s="1"/>
  <c r="G594" i="10" s="1"/>
  <c r="G1117" i="7" a="1"/>
  <c r="G1117" i="7" s="1"/>
  <c r="G401" i="11" s="1"/>
  <c r="H401" i="11" s="1"/>
  <c r="G765" i="7" a="1"/>
  <c r="G765" i="7" s="1"/>
  <c r="G49" i="11" s="1"/>
  <c r="G197" i="7" a="1"/>
  <c r="G197" i="7" s="1"/>
  <c r="G1771" i="7" a="1"/>
  <c r="G1771" i="7" s="1"/>
  <c r="G1505" i="7" a="1"/>
  <c r="G1505" i="7" s="1"/>
  <c r="G789" i="11" s="1"/>
  <c r="H789" i="11" s="1"/>
  <c r="G1138" i="7" a="1"/>
  <c r="G1138" i="7" s="1"/>
  <c r="G422" i="11" s="1"/>
  <c r="H422" i="11" s="1"/>
  <c r="G1788" i="7" a="1"/>
  <c r="G1788" i="7" s="1"/>
  <c r="G763" i="7" a="1"/>
  <c r="G763" i="7" s="1"/>
  <c r="G47" i="11" s="1"/>
  <c r="G1121" i="7" a="1"/>
  <c r="G1121" i="7" s="1"/>
  <c r="G405" i="11" s="1"/>
  <c r="H405" i="11" s="1"/>
  <c r="G942" i="7" a="1"/>
  <c r="G942" i="7" s="1"/>
  <c r="G574" i="7" a="1"/>
  <c r="G574" i="7" s="1"/>
  <c r="G574" i="10" s="1"/>
  <c r="G37" i="7" a="1"/>
  <c r="G37" i="7" s="1"/>
  <c r="G37" i="10" s="1"/>
  <c r="G216" i="7" a="1"/>
  <c r="G216" i="7" s="1"/>
  <c r="G216" i="10" s="1"/>
  <c r="G395" i="7" a="1"/>
  <c r="G395" i="7" s="1"/>
  <c r="G395" i="10" s="1"/>
  <c r="G1648" i="7" a="1"/>
  <c r="G1648" i="7" s="1"/>
  <c r="G932" i="11" s="1"/>
  <c r="H932" i="11" s="1"/>
  <c r="G1469" i="7" a="1"/>
  <c r="G1469" i="7" s="1"/>
  <c r="G753" i="11" s="1"/>
  <c r="H753" i="11" s="1"/>
  <c r="G1111" i="7" a="1"/>
  <c r="G1111" i="7" s="1"/>
  <c r="G395" i="11" s="1"/>
  <c r="H395" i="11" s="1"/>
  <c r="G1290" i="7" a="1"/>
  <c r="G1290" i="7" s="1"/>
  <c r="G574" i="11" s="1"/>
  <c r="H574" i="11" s="1"/>
  <c r="G932" i="7" a="1"/>
  <c r="G932" i="7" s="1"/>
  <c r="G216" i="11" s="1"/>
  <c r="H216" i="11" s="1"/>
  <c r="G753" i="7" a="1"/>
  <c r="G753" i="7" s="1"/>
  <c r="G37" i="11" s="1"/>
  <c r="H37" i="11" s="1"/>
  <c r="G1488" i="7" a="1"/>
  <c r="G1488" i="7" s="1"/>
  <c r="G772" i="11" s="1"/>
  <c r="H772" i="11" s="1"/>
  <c r="G1667" i="7" a="1"/>
  <c r="G1667" i="7" s="1"/>
  <c r="G951" i="11" s="1"/>
  <c r="H951" i="11" s="1"/>
  <c r="G426" i="7" a="1"/>
  <c r="G426" i="7" s="1"/>
  <c r="T426" i="7" s="1"/>
  <c r="N426" i="10" s="1"/>
  <c r="G605" i="7" a="1"/>
  <c r="G605" i="7" s="1"/>
  <c r="G605" i="10" s="1"/>
  <c r="G68" i="7" a="1"/>
  <c r="G68" i="7" s="1"/>
  <c r="G68" i="10" s="1"/>
  <c r="G247" i="7" a="1"/>
  <c r="G247" i="7" s="1"/>
  <c r="G247" i="10" s="1"/>
  <c r="G1500" i="7" a="1"/>
  <c r="G1500" i="7" s="1"/>
  <c r="G784" i="11" s="1"/>
  <c r="H784" i="11" s="1"/>
  <c r="G1321" i="7" a="1"/>
  <c r="G1321" i="7" s="1"/>
  <c r="G1679" i="7" a="1"/>
  <c r="G1679" i="7" s="1"/>
  <c r="G1142" i="7" a="1"/>
  <c r="G1142" i="7" s="1"/>
  <c r="G963" i="7" a="1"/>
  <c r="G963" i="7" s="1"/>
  <c r="G784" i="7" a="1"/>
  <c r="G784" i="7" s="1"/>
  <c r="G68" i="11" s="1"/>
  <c r="H68" i="11" s="1"/>
  <c r="G1553" i="7" a="1"/>
  <c r="G1553" i="7" s="1"/>
  <c r="G837" i="11" s="1"/>
  <c r="H837" i="11" s="1"/>
  <c r="G1732" i="7" a="1"/>
  <c r="G1732" i="7" s="1"/>
  <c r="G1016" i="11" s="1"/>
  <c r="H1016" i="11" s="1"/>
  <c r="G1374" i="7" a="1"/>
  <c r="G1374" i="7" s="1"/>
  <c r="G658" i="11" s="1"/>
  <c r="H658" i="11" s="1"/>
  <c r="G1016" i="7" a="1"/>
  <c r="G1016" i="7" s="1"/>
  <c r="G1195" i="7" a="1"/>
  <c r="G1195" i="7" s="1"/>
  <c r="G479" i="7" a="1"/>
  <c r="G479" i="7" s="1"/>
  <c r="G479" i="10" s="1"/>
  <c r="G658" i="7" a="1"/>
  <c r="G658" i="7" s="1"/>
  <c r="G658" i="10" s="1"/>
  <c r="G837" i="7" a="1"/>
  <c r="G837" i="7" s="1"/>
  <c r="G121" i="11" s="1"/>
  <c r="G300" i="7" a="1"/>
  <c r="G300" i="7" s="1"/>
  <c r="G300" i="10" s="1"/>
  <c r="G121" i="7" a="1"/>
  <c r="G121" i="7" s="1"/>
  <c r="G121" i="10" s="1"/>
  <c r="G484" i="7" a="1"/>
  <c r="G484" i="7" s="1"/>
  <c r="G484" i="10" s="1"/>
  <c r="G663" i="7" a="1"/>
  <c r="G663" i="7" s="1"/>
  <c r="T663" i="7" s="1"/>
  <c r="N663" i="10" s="1"/>
  <c r="G126" i="7" a="1"/>
  <c r="G126" i="7" s="1"/>
  <c r="T126" i="7" s="1"/>
  <c r="N126" i="10" s="1"/>
  <c r="G305" i="7" a="1"/>
  <c r="G305" i="7" s="1"/>
  <c r="T305" i="7" s="1"/>
  <c r="N305" i="10" s="1"/>
  <c r="G1737" i="7" a="1"/>
  <c r="G1737" i="7" s="1"/>
  <c r="G1021" i="11" s="1"/>
  <c r="H1021" i="11" s="1"/>
  <c r="G1558" i="7" a="1"/>
  <c r="G1558" i="7" s="1"/>
  <c r="G1200" i="7" a="1"/>
  <c r="G1200" i="7" s="1"/>
  <c r="G484" i="11" s="1"/>
  <c r="H484" i="11" s="1"/>
  <c r="G1379" i="7" a="1"/>
  <c r="G1379" i="7" s="1"/>
  <c r="G663" i="11" s="1"/>
  <c r="H663" i="11" s="1"/>
  <c r="G842" i="7" a="1"/>
  <c r="G842" i="7" s="1"/>
  <c r="G126" i="11" s="1"/>
  <c r="H126" i="11" s="1"/>
  <c r="G1021" i="7" a="1"/>
  <c r="G1021" i="7" s="1"/>
  <c r="G743" i="7" a="1"/>
  <c r="G743" i="7" s="1"/>
  <c r="G27" i="11" s="1"/>
  <c r="H27" i="11" s="1"/>
  <c r="G385" i="7" a="1"/>
  <c r="G385" i="7" s="1"/>
  <c r="G385" i="10" s="1"/>
  <c r="G206" i="7" a="1"/>
  <c r="G206" i="7" s="1"/>
  <c r="T206" i="7" s="1"/>
  <c r="N206" i="10" s="1"/>
  <c r="G27" i="7" a="1"/>
  <c r="G27" i="7" s="1"/>
  <c r="G27" i="10" s="1"/>
  <c r="G1459" i="7" a="1"/>
  <c r="G1459" i="7" s="1"/>
  <c r="G1638" i="7" a="1"/>
  <c r="G1638" i="7" s="1"/>
  <c r="G922" i="11" s="1"/>
  <c r="H922" i="11" s="1"/>
  <c r="G1280" i="7" a="1"/>
  <c r="G1280" i="7" s="1"/>
  <c r="G922" i="7" a="1"/>
  <c r="G922" i="7" s="1"/>
  <c r="G206" i="11" s="1"/>
  <c r="H206" i="11" s="1"/>
  <c r="G1101" i="7" a="1"/>
  <c r="G1101" i="7" s="1"/>
  <c r="G564" i="7" a="1"/>
  <c r="G564" i="7" s="1"/>
  <c r="G564" i="10" s="1"/>
  <c r="G1215" i="7" a="1"/>
  <c r="G1215" i="7" s="1"/>
  <c r="G1752" i="7" a="1"/>
  <c r="G1752" i="7" s="1"/>
  <c r="G1036" i="11" s="1"/>
  <c r="H1036" i="11" s="1"/>
  <c r="G1394" i="7" a="1"/>
  <c r="G1394" i="7" s="1"/>
  <c r="G678" i="11" s="1"/>
  <c r="H678" i="11" s="1"/>
  <c r="G1573" i="7" a="1"/>
  <c r="G1573" i="7" s="1"/>
  <c r="G857" i="11" s="1"/>
  <c r="H857" i="11" s="1"/>
  <c r="G678" i="7" a="1"/>
  <c r="G678" i="7" s="1"/>
  <c r="T678" i="7" s="1"/>
  <c r="N678" i="10" s="1"/>
  <c r="G857" i="7" a="1"/>
  <c r="G857" i="7" s="1"/>
  <c r="G141" i="11" s="1"/>
  <c r="G1036" i="7" a="1"/>
  <c r="G1036" i="7" s="1"/>
  <c r="G320" i="11" s="1"/>
  <c r="H320" i="11" s="1"/>
  <c r="G499" i="7" a="1"/>
  <c r="G499" i="7" s="1"/>
  <c r="T499" i="7" s="1"/>
  <c r="N499" i="10" s="1"/>
  <c r="G320" i="7" a="1"/>
  <c r="G320" i="7" s="1"/>
  <c r="T320" i="7" s="1"/>
  <c r="N320" i="10" s="1"/>
  <c r="G141" i="7" a="1"/>
  <c r="G141" i="7" s="1"/>
  <c r="T141" i="7" s="1"/>
  <c r="N141" i="10" s="1"/>
  <c r="G998" i="7" a="1"/>
  <c r="G998" i="7" s="1"/>
  <c r="G282" i="11" s="1"/>
  <c r="H282" i="11" s="1"/>
  <c r="G282" i="7" a="1"/>
  <c r="G282" i="7" s="1"/>
  <c r="G282" i="10" s="1"/>
  <c r="G461" i="7" a="1"/>
  <c r="G461" i="7" s="1"/>
  <c r="G872" i="7" a="1"/>
  <c r="G872" i="7" s="1"/>
  <c r="G156" i="11" s="1"/>
  <c r="G1051" i="7" a="1"/>
  <c r="G1051" i="7" s="1"/>
  <c r="G335" i="11" s="1"/>
  <c r="H335" i="11" s="1"/>
  <c r="G335" i="7" a="1"/>
  <c r="G335" i="7" s="1"/>
  <c r="G514" i="7" a="1"/>
  <c r="G514" i="7" s="1"/>
  <c r="G693" i="7" a="1"/>
  <c r="G693" i="7" s="1"/>
  <c r="G156" i="7" a="1"/>
  <c r="G156" i="7" s="1"/>
  <c r="G156" i="10" s="1"/>
  <c r="G1230" i="7" a="1"/>
  <c r="G1230" i="7" s="1"/>
  <c r="G514" i="11" s="1"/>
  <c r="H514" i="11" s="1"/>
  <c r="G1409" i="7" a="1"/>
  <c r="G1409" i="7" s="1"/>
  <c r="G693" i="11" s="1"/>
  <c r="H693" i="11" s="1"/>
  <c r="G1767" i="7" a="1"/>
  <c r="G1767" i="7" s="1"/>
  <c r="G1051" i="11" s="1"/>
  <c r="H1051" i="11" s="1"/>
  <c r="G1588" i="7" a="1"/>
  <c r="G1588" i="7" s="1"/>
  <c r="G872" i="11" s="1"/>
  <c r="H872" i="11" s="1"/>
  <c r="G1232" i="7" a="1"/>
  <c r="G1232" i="7" s="1"/>
  <c r="G1411" i="7" a="1"/>
  <c r="G1411" i="7" s="1"/>
  <c r="G695" i="11" s="1"/>
  <c r="H695" i="11" s="1"/>
  <c r="G1769" i="7" a="1"/>
  <c r="G1769" i="7" s="1"/>
  <c r="G1590" i="7" a="1"/>
  <c r="G1590" i="7" s="1"/>
  <c r="G874" i="7" a="1"/>
  <c r="G874" i="7" s="1"/>
  <c r="G158" i="11" s="1"/>
  <c r="H158" i="11" s="1"/>
  <c r="G1053" i="7" a="1"/>
  <c r="G1053" i="7" s="1"/>
  <c r="G516" i="7" a="1"/>
  <c r="G516" i="7" s="1"/>
  <c r="T516" i="7" s="1"/>
  <c r="N516" i="10" s="1"/>
  <c r="G695" i="7" a="1"/>
  <c r="G695" i="7" s="1"/>
  <c r="T695" i="7" s="1"/>
  <c r="N695" i="10" s="1"/>
  <c r="G337" i="7" a="1"/>
  <c r="G337" i="7" s="1"/>
  <c r="T337" i="7" s="1"/>
  <c r="N337" i="10" s="1"/>
  <c r="G158" i="7" a="1"/>
  <c r="G158" i="7" s="1"/>
  <c r="G158" i="10" s="1"/>
  <c r="G689" i="7" a="1"/>
  <c r="G689" i="7" s="1"/>
  <c r="G689" i="10" s="1"/>
  <c r="G510" i="7" a="1"/>
  <c r="G510" i="7" s="1"/>
  <c r="G510" i="10" s="1"/>
  <c r="G331" i="7" a="1"/>
  <c r="G331" i="7" s="1"/>
  <c r="T331" i="7" s="1"/>
  <c r="N331" i="10" s="1"/>
  <c r="G152" i="7" a="1"/>
  <c r="G152" i="7" s="1"/>
  <c r="T152" i="7" s="1"/>
  <c r="N152" i="10" s="1"/>
  <c r="G858" i="7" a="1"/>
  <c r="G858" i="7" s="1"/>
  <c r="G142" i="11" s="1"/>
  <c r="G1037" i="7" a="1"/>
  <c r="G1037" i="7" s="1"/>
  <c r="G321" i="7" a="1"/>
  <c r="G321" i="7" s="1"/>
  <c r="T321" i="7" s="1"/>
  <c r="N321" i="10" s="1"/>
  <c r="G679" i="7" a="1"/>
  <c r="G679" i="7" s="1"/>
  <c r="T679" i="7" s="1"/>
  <c r="N679" i="10" s="1"/>
  <c r="G500" i="7" a="1"/>
  <c r="G500" i="7" s="1"/>
  <c r="T500" i="7" s="1"/>
  <c r="N500" i="10" s="1"/>
  <c r="G142" i="7" a="1"/>
  <c r="G142" i="7" s="1"/>
  <c r="T142" i="7" s="1"/>
  <c r="N142" i="10" s="1"/>
  <c r="G1216" i="7" a="1"/>
  <c r="G1216" i="7" s="1"/>
  <c r="G1753" i="7" a="1"/>
  <c r="G1753" i="7" s="1"/>
  <c r="G1395" i="7" a="1"/>
  <c r="G1395" i="7" s="1"/>
  <c r="G1574" i="7" a="1"/>
  <c r="G1574" i="7" s="1"/>
  <c r="G858" i="11" s="1"/>
  <c r="H858" i="11" s="1"/>
  <c r="G1587" i="7" a="1"/>
  <c r="G1587" i="7" s="1"/>
  <c r="G871" i="11" s="1"/>
  <c r="H871" i="11" s="1"/>
  <c r="G692" i="7" a="1"/>
  <c r="G692" i="7" s="1"/>
  <c r="G692" i="10" s="1"/>
  <c r="G871" i="7" a="1"/>
  <c r="G871" i="7" s="1"/>
  <c r="G1050" i="7" a="1"/>
  <c r="G1050" i="7" s="1"/>
  <c r="G334" i="11" s="1"/>
  <c r="H334" i="11" s="1"/>
  <c r="G1644" i="7" a="1"/>
  <c r="G1644" i="7" s="1"/>
  <c r="G928" i="11" s="1"/>
  <c r="H928" i="11" s="1"/>
  <c r="G1578" i="7" a="1"/>
  <c r="G1578" i="7" s="1"/>
  <c r="G1399" i="7" a="1"/>
  <c r="G1399" i="7" s="1"/>
  <c r="G683" i="11" s="1"/>
  <c r="H683" i="11" s="1"/>
  <c r="G1757" i="7" a="1"/>
  <c r="G1757" i="7" s="1"/>
  <c r="G1220" i="7" a="1"/>
  <c r="G1220" i="7" s="1"/>
  <c r="G504" i="11" s="1"/>
  <c r="H504" i="11" s="1"/>
  <c r="G1041" i="7" a="1"/>
  <c r="G1041" i="7" s="1"/>
  <c r="G504" i="7" a="1"/>
  <c r="G504" i="7" s="1"/>
  <c r="G504" i="10" s="1"/>
  <c r="G862" i="7" a="1"/>
  <c r="G862" i="7" s="1"/>
  <c r="G146" i="11" s="1"/>
  <c r="G683" i="7" a="1"/>
  <c r="G683" i="7" s="1"/>
  <c r="T683" i="7" s="1"/>
  <c r="N683" i="10" s="1"/>
  <c r="G325" i="7" a="1"/>
  <c r="G325" i="7" s="1"/>
  <c r="T325" i="7" s="1"/>
  <c r="N325" i="10" s="1"/>
  <c r="G146" i="7" a="1"/>
  <c r="G146" i="7" s="1"/>
  <c r="T146" i="7" s="1"/>
  <c r="N146" i="10" s="1"/>
  <c r="G570" i="10"/>
  <c r="G843" i="7" a="1"/>
  <c r="G843" i="7" s="1"/>
  <c r="G1022" i="7" a="1"/>
  <c r="G1022" i="7" s="1"/>
  <c r="G485" i="7" a="1"/>
  <c r="G485" i="7" s="1"/>
  <c r="T485" i="7" s="1"/>
  <c r="N485" i="10" s="1"/>
  <c r="G664" i="7" a="1"/>
  <c r="G664" i="7" s="1"/>
  <c r="G664" i="10" s="1"/>
  <c r="G127" i="7" a="1"/>
  <c r="G127" i="7" s="1"/>
  <c r="T127" i="7" s="1"/>
  <c r="N127" i="10" s="1"/>
  <c r="G306" i="7" a="1"/>
  <c r="G306" i="7" s="1"/>
  <c r="T306" i="7" s="1"/>
  <c r="N306" i="10" s="1"/>
  <c r="G1559" i="7" a="1"/>
  <c r="G1559" i="7" s="1"/>
  <c r="G843" i="11" s="1"/>
  <c r="H843" i="11" s="1"/>
  <c r="G1380" i="7" a="1"/>
  <c r="G1380" i="7" s="1"/>
  <c r="G664" i="11" s="1"/>
  <c r="H664" i="11" s="1"/>
  <c r="G1738" i="7" a="1"/>
  <c r="G1738" i="7" s="1"/>
  <c r="G1022" i="11" s="1"/>
  <c r="H1022" i="11" s="1"/>
  <c r="G1201" i="7" a="1"/>
  <c r="G1201" i="7" s="1"/>
  <c r="G1793" i="7" a="1"/>
  <c r="G1793" i="7" s="1"/>
  <c r="G1077" i="11" s="1"/>
  <c r="H1077" i="11" s="1"/>
  <c r="G1435" i="7" a="1"/>
  <c r="G1435" i="7" s="1"/>
  <c r="G719" i="11" s="1"/>
  <c r="H719" i="11" s="1"/>
  <c r="G1614" i="7" a="1"/>
  <c r="G1614" i="7" s="1"/>
  <c r="G898" i="11" s="1"/>
  <c r="H898" i="11" s="1"/>
  <c r="G1256" i="7" a="1"/>
  <c r="G1256" i="7" s="1"/>
  <c r="G540" i="11" s="1"/>
  <c r="H540" i="11" s="1"/>
  <c r="G719" i="7" a="1"/>
  <c r="G719" i="7" s="1"/>
  <c r="T719" i="7" s="1"/>
  <c r="N719" i="10" s="1"/>
  <c r="G898" i="7" a="1"/>
  <c r="G898" i="7" s="1"/>
  <c r="G182" i="11" s="1"/>
  <c r="H182" i="11" s="1"/>
  <c r="G1077" i="7" a="1"/>
  <c r="G1077" i="7" s="1"/>
  <c r="G361" i="11" s="1"/>
  <c r="H361" i="11" s="1"/>
  <c r="G361" i="7" a="1"/>
  <c r="G361" i="7" s="1"/>
  <c r="G361" i="10" s="1"/>
  <c r="G540" i="7" a="1"/>
  <c r="G540" i="7" s="1"/>
  <c r="G540" i="10" s="1"/>
  <c r="G182" i="7" a="1"/>
  <c r="G182" i="7" s="1"/>
  <c r="T182" i="7" s="1"/>
  <c r="N182" i="10" s="1"/>
  <c r="G1537" i="7" a="1"/>
  <c r="G1537" i="7" s="1"/>
  <c r="G821" i="11" s="1"/>
  <c r="H821" i="11" s="1"/>
  <c r="G1358" i="7" a="1"/>
  <c r="G1358" i="7" s="1"/>
  <c r="G642" i="11" s="1"/>
  <c r="H642" i="11" s="1"/>
  <c r="G1179" i="7" a="1"/>
  <c r="G1179" i="7" s="1"/>
  <c r="G463" i="11" s="1"/>
  <c r="H463" i="11" s="1"/>
  <c r="G1132" i="7" a="1"/>
  <c r="G1132" i="7" s="1"/>
  <c r="G416" i="11" s="1"/>
  <c r="H416" i="11" s="1"/>
  <c r="G237" i="7" a="1"/>
  <c r="G237" i="7" s="1"/>
  <c r="G237" i="10" s="1"/>
  <c r="G774" i="7" a="1"/>
  <c r="G774" i="7" s="1"/>
  <c r="G58" i="11" s="1"/>
  <c r="G595" i="7" a="1"/>
  <c r="G595" i="7" s="1"/>
  <c r="G595" i="10" s="1"/>
  <c r="G416" i="7" a="1"/>
  <c r="G416" i="7" s="1"/>
  <c r="G416" i="10" s="1"/>
  <c r="G58" i="7" a="1"/>
  <c r="G58" i="7" s="1"/>
  <c r="G58" i="10" s="1"/>
  <c r="G1490" i="7" a="1"/>
  <c r="G1490" i="7" s="1"/>
  <c r="G774" i="11" s="1"/>
  <c r="H774" i="11" s="1"/>
  <c r="G1669" i="7" a="1"/>
  <c r="G1669" i="7" s="1"/>
  <c r="G953" i="11" s="1"/>
  <c r="H953" i="11" s="1"/>
  <c r="G1311" i="7" a="1"/>
  <c r="G1311" i="7" s="1"/>
  <c r="G595" i="11" s="1"/>
  <c r="H595" i="11" s="1"/>
  <c r="G953" i="7" a="1"/>
  <c r="G953" i="7" s="1"/>
  <c r="G237" i="11" s="1"/>
  <c r="H237" i="11" s="1"/>
  <c r="G1369" i="7" a="1"/>
  <c r="G1369" i="7" s="1"/>
  <c r="G1190" i="7" a="1"/>
  <c r="G1190" i="7" s="1"/>
  <c r="G474" i="11" s="1"/>
  <c r="H474" i="11" s="1"/>
  <c r="G1011" i="7" a="1"/>
  <c r="G1011" i="7" s="1"/>
  <c r="G295" i="11" s="1"/>
  <c r="H295" i="11" s="1"/>
  <c r="G653" i="7" a="1"/>
  <c r="G653" i="7" s="1"/>
  <c r="G653" i="10" s="1"/>
  <c r="G295" i="7" a="1"/>
  <c r="G295" i="7" s="1"/>
  <c r="G832" i="7" a="1"/>
  <c r="G832" i="7" s="1"/>
  <c r="G474" i="7" a="1"/>
  <c r="G474" i="7" s="1"/>
  <c r="G474" i="10" s="1"/>
  <c r="G116" i="7" a="1"/>
  <c r="G116" i="7" s="1"/>
  <c r="T116" i="7" s="1"/>
  <c r="N116" i="10" s="1"/>
  <c r="G1727" i="7" a="1"/>
  <c r="G1727" i="7" s="1"/>
  <c r="G1548" i="7" a="1"/>
  <c r="G1548" i="7" s="1"/>
  <c r="G481" i="7" a="1"/>
  <c r="G481" i="7" s="1"/>
  <c r="G481" i="10" s="1"/>
  <c r="G123" i="7" a="1"/>
  <c r="G123" i="7" s="1"/>
  <c r="G1555" i="7" a="1"/>
  <c r="G1555" i="7" s="1"/>
  <c r="G839" i="11" s="1"/>
  <c r="H839" i="11" s="1"/>
  <c r="G1734" i="7" a="1"/>
  <c r="G1734" i="7" s="1"/>
  <c r="G1018" i="11" s="1"/>
  <c r="H1018" i="11" s="1"/>
  <c r="G1376" i="7" a="1"/>
  <c r="G1376" i="7" s="1"/>
  <c r="G660" i="11" s="1"/>
  <c r="H660" i="11" s="1"/>
  <c r="G1018" i="7" a="1"/>
  <c r="G1018" i="7" s="1"/>
  <c r="G302" i="11" s="1"/>
  <c r="H302" i="11" s="1"/>
  <c r="G1197" i="7" a="1"/>
  <c r="G1197" i="7" s="1"/>
  <c r="G481" i="11" s="1"/>
  <c r="H481" i="11" s="1"/>
  <c r="G660" i="7" a="1"/>
  <c r="G660" i="7" s="1"/>
  <c r="G660" i="10" s="1"/>
  <c r="G302" i="7" a="1"/>
  <c r="G302" i="7" s="1"/>
  <c r="G302" i="10" s="1"/>
  <c r="G839" i="7" a="1"/>
  <c r="G839" i="7" s="1"/>
  <c r="G123" i="11" s="1"/>
  <c r="H123" i="11" s="1"/>
  <c r="G1773" i="7" a="1"/>
  <c r="G1773" i="7" s="1"/>
  <c r="G1057" i="11" s="1"/>
  <c r="H1057" i="11" s="1"/>
  <c r="G1594" i="7" a="1"/>
  <c r="G1594" i="7" s="1"/>
  <c r="G878" i="11" s="1"/>
  <c r="H878" i="11" s="1"/>
  <c r="G1415" i="7" a="1"/>
  <c r="G1415" i="7" s="1"/>
  <c r="G1236" i="7" a="1"/>
  <c r="G1236" i="7" s="1"/>
  <c r="G520" i="11" s="1"/>
  <c r="H520" i="11" s="1"/>
  <c r="G1057" i="7" a="1"/>
  <c r="G1057" i="7" s="1"/>
  <c r="G699" i="7" a="1"/>
  <c r="G699" i="7" s="1"/>
  <c r="G699" i="10" s="1"/>
  <c r="G341" i="7" a="1"/>
  <c r="G341" i="7" s="1"/>
  <c r="G341" i="10" s="1"/>
  <c r="G878" i="7" a="1"/>
  <c r="G878" i="7" s="1"/>
  <c r="G520" i="7" a="1"/>
  <c r="G520" i="7" s="1"/>
  <c r="T520" i="7" s="1"/>
  <c r="N520" i="10" s="1"/>
  <c r="G162" i="7" a="1"/>
  <c r="G162" i="7" s="1"/>
  <c r="G162" i="10" s="1"/>
  <c r="G928" i="7" a="1"/>
  <c r="G928" i="7" s="1"/>
  <c r="G212" i="11" s="1"/>
  <c r="H212" i="11" s="1"/>
  <c r="G1660" i="7" a="1"/>
  <c r="G1660" i="7" s="1"/>
  <c r="G944" i="11" s="1"/>
  <c r="H944" i="11" s="1"/>
  <c r="G1596" i="7" a="1"/>
  <c r="G1596" i="7" s="1"/>
  <c r="G358" i="7" a="1"/>
  <c r="G358" i="7" s="1"/>
  <c r="G1161" i="7" a="1"/>
  <c r="G1161" i="7" s="1"/>
  <c r="G445" i="11" s="1"/>
  <c r="H445" i="11" s="1"/>
  <c r="G1342" i="7" a="1"/>
  <c r="G1342" i="7" s="1"/>
  <c r="G626" i="11" s="1"/>
  <c r="H626" i="11" s="1"/>
  <c r="G1164" i="7" a="1"/>
  <c r="G1164" i="7" s="1"/>
  <c r="G448" i="11" s="1"/>
  <c r="H448" i="11" s="1"/>
  <c r="G623" i="7" a="1"/>
  <c r="G623" i="7" s="1"/>
  <c r="G623" i="10" s="1"/>
  <c r="G44" i="7" a="1"/>
  <c r="G44" i="7" s="1"/>
  <c r="G748" i="7" a="1"/>
  <c r="G748" i="7" s="1"/>
  <c r="G32" i="11" s="1"/>
  <c r="G781" i="7" a="1"/>
  <c r="G781" i="7" s="1"/>
  <c r="G323" i="7" a="1"/>
  <c r="G323" i="7" s="1"/>
  <c r="G323" i="10" s="1"/>
  <c r="G1102" i="7" a="1"/>
  <c r="G1102" i="7" s="1"/>
  <c r="G386" i="11" s="1"/>
  <c r="H386" i="11" s="1"/>
  <c r="G103" i="7" a="1"/>
  <c r="G103" i="7" s="1"/>
  <c r="G1536" i="7" a="1"/>
  <c r="G1536" i="7" s="1"/>
  <c r="G820" i="11" s="1"/>
  <c r="H820" i="11" s="1"/>
  <c r="G644" i="7" a="1"/>
  <c r="G644" i="7" s="1"/>
  <c r="T644" i="7" s="1"/>
  <c r="N644" i="10" s="1"/>
  <c r="G1300" i="7" a="1"/>
  <c r="G1300" i="7" s="1"/>
  <c r="G584" i="11" s="1"/>
  <c r="H584" i="11" s="1"/>
  <c r="G224" i="7" a="1"/>
  <c r="G224" i="7" s="1"/>
  <c r="G1671" i="7" a="1"/>
  <c r="G1671" i="7" s="1"/>
  <c r="G955" i="11" s="1"/>
  <c r="H955" i="11" s="1"/>
  <c r="G841" i="7" a="1"/>
  <c r="G841" i="7" s="1"/>
  <c r="G125" i="11" s="1"/>
  <c r="H125" i="11" s="1"/>
  <c r="G440" i="7" a="1"/>
  <c r="G440" i="7" s="1"/>
  <c r="G440" i="10" s="1"/>
  <c r="G1323" i="7" a="1"/>
  <c r="G1323" i="7" s="1"/>
  <c r="G607" i="11" s="1"/>
  <c r="H607" i="11" s="1"/>
  <c r="G795" i="7" a="1"/>
  <c r="G795" i="7" s="1"/>
  <c r="G79" i="11" s="1"/>
  <c r="H79" i="11" s="1"/>
  <c r="G67" i="7" a="1"/>
  <c r="G67" i="7" s="1"/>
  <c r="G67" i="10" s="1"/>
  <c r="G971" i="7" a="1"/>
  <c r="G971" i="7" s="1"/>
  <c r="G270" i="7" a="1"/>
  <c r="G270" i="7" s="1"/>
  <c r="G312" i="7" a="1"/>
  <c r="G312" i="7" s="1"/>
  <c r="T312" i="7" s="1"/>
  <c r="N312" i="10" s="1"/>
  <c r="G317" i="7" a="1"/>
  <c r="G317" i="7" s="1"/>
  <c r="T317" i="7" s="1"/>
  <c r="N317" i="10" s="1"/>
  <c r="G1393" i="7" a="1"/>
  <c r="G1393" i="7" s="1"/>
  <c r="G677" i="11" s="1"/>
  <c r="H677" i="11" s="1"/>
  <c r="G1348" i="7" a="1"/>
  <c r="G1348" i="7" s="1"/>
  <c r="G615" i="7" a="1"/>
  <c r="G615" i="7" s="1"/>
  <c r="G615" i="10" s="1"/>
  <c r="G650" i="7" a="1"/>
  <c r="G650" i="7" s="1"/>
  <c r="G650" i="10" s="1"/>
  <c r="G1353" i="7" a="1"/>
  <c r="G1353" i="7" s="1"/>
  <c r="G637" i="11" s="1"/>
  <c r="H637" i="11" s="1"/>
  <c r="G1516" i="7" a="1"/>
  <c r="G1516" i="7" s="1"/>
  <c r="G1045" i="7" a="1"/>
  <c r="G1045" i="7" s="1"/>
  <c r="G329" i="11" s="1"/>
  <c r="H329" i="11" s="1"/>
  <c r="G868" i="7" a="1"/>
  <c r="G868" i="7" s="1"/>
  <c r="G152" i="11" s="1"/>
  <c r="H152" i="11" s="1"/>
  <c r="G155" i="7" a="1"/>
  <c r="G155" i="7" s="1"/>
  <c r="G155" i="10" s="1"/>
  <c r="G1361" i="7" a="1"/>
  <c r="G1361" i="7" s="1"/>
  <c r="G645" i="11" s="1"/>
  <c r="H645" i="11" s="1"/>
  <c r="G112" i="7" a="1"/>
  <c r="G112" i="7" s="1"/>
  <c r="T112" i="7" s="1"/>
  <c r="N112" i="10" s="1"/>
  <c r="O102" i="14"/>
  <c r="O7" i="14"/>
  <c r="P7" i="14" s="1"/>
  <c r="O70" i="14"/>
  <c r="O85" i="14"/>
  <c r="O181" i="14"/>
  <c r="O8" i="14"/>
  <c r="Q8" i="14" s="1"/>
  <c r="F5" i="10"/>
  <c r="J50" i="14"/>
  <c r="J54" i="14"/>
  <c r="J144" i="14"/>
  <c r="J138" i="14"/>
  <c r="J183" i="14"/>
  <c r="J11" i="14"/>
  <c r="J36" i="14"/>
  <c r="J28" i="14"/>
  <c r="J171" i="14"/>
  <c r="J199" i="14"/>
  <c r="J145" i="14"/>
  <c r="J67" i="14"/>
  <c r="J58" i="14"/>
  <c r="J123" i="14"/>
  <c r="J133" i="14"/>
  <c r="J73" i="14"/>
  <c r="J72" i="14"/>
  <c r="J18" i="14"/>
  <c r="J188" i="14"/>
  <c r="J47" i="14"/>
  <c r="J95" i="14"/>
  <c r="J162" i="14"/>
  <c r="J187" i="14"/>
  <c r="J116" i="14"/>
  <c r="J155" i="14"/>
  <c r="J204" i="14"/>
  <c r="J111" i="14"/>
  <c r="J190" i="14"/>
  <c r="J85" i="14"/>
  <c r="J202" i="14"/>
  <c r="J157" i="14"/>
  <c r="J17" i="14"/>
  <c r="J42" i="14"/>
  <c r="J114" i="14"/>
  <c r="J156" i="14"/>
  <c r="J26" i="14"/>
  <c r="J101" i="14"/>
  <c r="J131" i="14"/>
  <c r="J91" i="14"/>
  <c r="J154" i="14"/>
  <c r="J16" i="14"/>
  <c r="J40" i="14"/>
  <c r="J78" i="14"/>
  <c r="J206" i="14"/>
  <c r="J61" i="14"/>
  <c r="J189" i="14"/>
  <c r="J115" i="14"/>
  <c r="J146" i="14"/>
  <c r="J137" i="14"/>
  <c r="J113" i="14"/>
  <c r="J89" i="14"/>
  <c r="J181" i="14"/>
  <c r="J120" i="14"/>
  <c r="J100" i="14"/>
  <c r="J161" i="14"/>
  <c r="J48" i="14"/>
  <c r="J13" i="14"/>
  <c r="J112" i="14"/>
  <c r="J88" i="14"/>
  <c r="J32" i="14"/>
  <c r="J102" i="14"/>
  <c r="J198" i="14"/>
  <c r="J119" i="14"/>
  <c r="J139" i="14"/>
  <c r="J132" i="14"/>
  <c r="J39" i="14"/>
  <c r="J175" i="14"/>
  <c r="J37" i="14"/>
  <c r="J55" i="14"/>
  <c r="J14" i="14"/>
  <c r="J159" i="14"/>
  <c r="J64" i="14"/>
  <c r="J179" i="14"/>
  <c r="J174" i="14"/>
  <c r="J129" i="14"/>
  <c r="J141" i="14"/>
  <c r="J19" i="14"/>
  <c r="J10" i="14"/>
  <c r="J76" i="14"/>
  <c r="J165" i="14"/>
  <c r="J43" i="14"/>
  <c r="J193" i="14"/>
  <c r="J136" i="14"/>
  <c r="J52" i="14"/>
  <c r="J163" i="14"/>
  <c r="J109" i="14"/>
  <c r="J121" i="14"/>
  <c r="J57" i="14"/>
  <c r="J80" i="14"/>
  <c r="J168" i="14"/>
  <c r="J49" i="14"/>
  <c r="J96" i="14"/>
  <c r="J107" i="14"/>
  <c r="J184" i="14"/>
  <c r="J128" i="14"/>
  <c r="J35" i="14"/>
  <c r="J103" i="14"/>
  <c r="J158" i="14"/>
  <c r="J68" i="14"/>
  <c r="J152" i="14"/>
  <c r="J150" i="14"/>
  <c r="J130" i="14"/>
  <c r="J192" i="14"/>
  <c r="J9" i="14"/>
  <c r="J70" i="14"/>
  <c r="J173" i="14"/>
  <c r="J99" i="14"/>
  <c r="J205" i="14"/>
  <c r="J93" i="14"/>
  <c r="J34" i="14"/>
  <c r="J172" i="14"/>
  <c r="J8" i="14"/>
  <c r="J196" i="14"/>
  <c r="J177" i="14"/>
  <c r="J160" i="14"/>
  <c r="J110" i="14"/>
  <c r="J143" i="14"/>
  <c r="J45" i="14"/>
  <c r="J164" i="14"/>
  <c r="J166" i="14"/>
  <c r="J12" i="14"/>
  <c r="J176" i="14"/>
  <c r="J53" i="14"/>
  <c r="J23" i="14"/>
  <c r="J140" i="14"/>
  <c r="J77" i="14"/>
  <c r="J27" i="14"/>
  <c r="J97" i="14"/>
  <c r="J63" i="14"/>
  <c r="J71" i="14"/>
  <c r="J104" i="14"/>
  <c r="J59" i="14"/>
  <c r="J86" i="14"/>
  <c r="J20" i="14"/>
  <c r="J46" i="14"/>
  <c r="J98" i="14"/>
  <c r="J149" i="14"/>
  <c r="J24" i="14"/>
  <c r="J200" i="14"/>
  <c r="J82" i="14"/>
  <c r="J30" i="14"/>
  <c r="J167" i="14"/>
  <c r="J38" i="14"/>
  <c r="J117" i="14"/>
  <c r="J185" i="14"/>
  <c r="J87" i="14"/>
  <c r="J135" i="14"/>
  <c r="J60" i="14"/>
  <c r="J25" i="14"/>
  <c r="J203" i="14"/>
  <c r="J186" i="14"/>
  <c r="J92" i="14"/>
  <c r="J194" i="14"/>
  <c r="J56" i="14"/>
  <c r="J201" i="14"/>
  <c r="J180" i="14"/>
  <c r="J90" i="14"/>
  <c r="J79" i="14"/>
  <c r="J94" i="14"/>
  <c r="J148" i="14"/>
  <c r="J84" i="14"/>
  <c r="J195" i="14"/>
  <c r="J178" i="14"/>
  <c r="J65" i="14"/>
  <c r="J31" i="14"/>
  <c r="J22" i="14"/>
  <c r="J41" i="14"/>
  <c r="J75" i="14"/>
  <c r="J7" i="14"/>
  <c r="J127" i="14"/>
  <c r="J147" i="14"/>
  <c r="J74" i="14"/>
  <c r="J142" i="14"/>
  <c r="J108" i="14"/>
  <c r="J182" i="14"/>
  <c r="J21" i="14"/>
  <c r="J170" i="14"/>
  <c r="J83" i="14"/>
  <c r="J51" i="14"/>
  <c r="J124" i="14"/>
  <c r="J125" i="14"/>
  <c r="J122" i="14"/>
  <c r="J62" i="14"/>
  <c r="J33" i="14"/>
  <c r="J29" i="14"/>
  <c r="J134" i="14"/>
  <c r="J66" i="14"/>
  <c r="J15" i="14"/>
  <c r="J126" i="14"/>
  <c r="J153" i="14"/>
  <c r="J81" i="14"/>
  <c r="J106" i="14"/>
  <c r="J44" i="14"/>
  <c r="J118" i="14"/>
  <c r="J151" i="14"/>
  <c r="J191" i="14"/>
  <c r="J69" i="14"/>
  <c r="J169" i="14"/>
  <c r="J105" i="14"/>
  <c r="J197" i="14"/>
  <c r="G318" i="10"/>
  <c r="G435" i="10"/>
  <c r="L76" i="8"/>
  <c r="S74" i="8"/>
  <c r="G253" i="10"/>
  <c r="S71" i="8"/>
  <c r="G363" i="10"/>
  <c r="G94" i="10"/>
  <c r="G659" i="10"/>
  <c r="G437" i="10"/>
  <c r="P71" i="8"/>
  <c r="S76" i="8"/>
  <c r="I79" i="8"/>
  <c r="X543" i="7" a="1"/>
  <c r="X543" i="7" s="1"/>
  <c r="X557" i="7" a="1"/>
  <c r="X557" i="7" s="1"/>
  <c r="G465" i="10"/>
  <c r="G608" i="10"/>
  <c r="X551" i="7" a="1"/>
  <c r="X551" i="7" s="1"/>
  <c r="G553" i="10"/>
  <c r="G108" i="10"/>
  <c r="G466" i="10"/>
  <c r="G287" i="10"/>
  <c r="G159" i="10"/>
  <c r="G221" i="10"/>
  <c r="G42" i="10"/>
  <c r="G579" i="10"/>
  <c r="G400" i="10"/>
  <c r="G666" i="10"/>
  <c r="G487" i="10"/>
  <c r="G308" i="10"/>
  <c r="G129" i="10"/>
  <c r="G629" i="10"/>
  <c r="G271" i="10"/>
  <c r="G450" i="10"/>
  <c r="G92" i="10"/>
  <c r="G509" i="10"/>
  <c r="G151" i="10"/>
  <c r="G688" i="10"/>
  <c r="G714" i="10"/>
  <c r="G177" i="10"/>
  <c r="I751" i="7"/>
  <c r="P74" i="8"/>
  <c r="I873" i="7"/>
  <c r="G634" i="10"/>
  <c r="G455" i="10"/>
  <c r="G276" i="10"/>
  <c r="G97" i="10"/>
  <c r="G406" i="10"/>
  <c r="G227" i="10"/>
  <c r="G48" i="10"/>
  <c r="G518" i="10"/>
  <c r="G339" i="10"/>
  <c r="G160" i="10"/>
  <c r="G471" i="10"/>
  <c r="G671" i="10"/>
  <c r="G313" i="10"/>
  <c r="G492" i="10"/>
  <c r="G134" i="10"/>
  <c r="G249" i="10"/>
  <c r="G70" i="10"/>
  <c r="G607" i="10"/>
  <c r="G434" i="10"/>
  <c r="G255" i="10"/>
  <c r="G76" i="10"/>
  <c r="G256" i="10"/>
  <c r="G391" i="10"/>
  <c r="G311" i="10"/>
  <c r="G257" i="10"/>
  <c r="G686" i="10"/>
  <c r="G507" i="10"/>
  <c r="G328" i="10"/>
  <c r="G149" i="10"/>
  <c r="G562" i="10"/>
  <c r="G204" i="10"/>
  <c r="G25" i="10"/>
  <c r="I719" i="7"/>
  <c r="G63" i="10"/>
  <c r="P78" i="8"/>
  <c r="G619" i="10"/>
  <c r="G138" i="10"/>
  <c r="G675" i="10"/>
  <c r="G496" i="10"/>
  <c r="X542" i="7" a="1"/>
  <c r="X542" i="7" s="1"/>
  <c r="L77" i="8"/>
  <c r="G425" i="10"/>
  <c r="G120" i="10"/>
  <c r="G299" i="10"/>
  <c r="G84" i="10"/>
  <c r="G263" i="10"/>
  <c r="X558" i="7" a="1"/>
  <c r="X558" i="7" s="1"/>
  <c r="G175" i="10"/>
  <c r="G415" i="10"/>
  <c r="G57" i="10"/>
  <c r="G236" i="10"/>
  <c r="G601" i="10"/>
  <c r="G422" i="10"/>
  <c r="G64" i="10"/>
  <c r="G670" i="10"/>
  <c r="G491" i="10"/>
  <c r="G133" i="10"/>
  <c r="G208" i="10"/>
  <c r="G29" i="10"/>
  <c r="L73" i="8"/>
  <c r="L75" i="8"/>
  <c r="G586" i="10"/>
  <c r="G228" i="10"/>
  <c r="G49" i="10"/>
  <c r="G632" i="10"/>
  <c r="G453" i="10"/>
  <c r="G639" i="10"/>
  <c r="G101" i="10"/>
  <c r="G421" i="10"/>
  <c r="G139" i="10"/>
  <c r="L80" i="8"/>
  <c r="G74" i="10"/>
  <c r="S80" i="8"/>
  <c r="G203" i="10"/>
  <c r="G649" i="10"/>
  <c r="G291" i="10"/>
  <c r="G470" i="10"/>
  <c r="X556" i="7" a="1"/>
  <c r="X556" i="7" s="1"/>
  <c r="G200" i="10"/>
  <c r="G21" i="10"/>
  <c r="G610" i="10"/>
  <c r="G252" i="10"/>
  <c r="G73" i="10"/>
  <c r="G495" i="10"/>
  <c r="G137" i="10"/>
  <c r="G265" i="10"/>
  <c r="G86" i="10"/>
  <c r="G602" i="10"/>
  <c r="G90" i="10"/>
  <c r="X548" i="7" a="1"/>
  <c r="X548" i="7" s="1"/>
  <c r="X547" i="7" a="1"/>
  <c r="X547" i="7" s="1"/>
  <c r="G191" i="10"/>
  <c r="G12" i="10"/>
  <c r="G625" i="10"/>
  <c r="G446" i="10"/>
  <c r="G267" i="10"/>
  <c r="G334" i="10"/>
  <c r="G55" i="10"/>
  <c r="G319" i="10"/>
  <c r="G379" i="10"/>
  <c r="G195" i="10"/>
  <c r="G235" i="10"/>
  <c r="G56" i="10"/>
  <c r="G93" i="10"/>
  <c r="G529" i="10"/>
  <c r="G347" i="10"/>
  <c r="G580" i="10"/>
  <c r="G222" i="10"/>
  <c r="G43" i="10"/>
  <c r="S78" i="8"/>
  <c r="G438" i="10"/>
  <c r="G647" i="10"/>
  <c r="G468" i="10"/>
  <c r="G110" i="10"/>
  <c r="G69" i="10"/>
  <c r="G248" i="10"/>
  <c r="G567" i="10"/>
  <c r="G611" i="10"/>
  <c r="X550" i="7" a="1"/>
  <c r="X550" i="7" s="1"/>
  <c r="X546" i="7" a="1"/>
  <c r="X546" i="7" s="1"/>
  <c r="G251" i="10"/>
  <c r="G596" i="10"/>
  <c r="P72" i="8"/>
  <c r="S73" i="8"/>
  <c r="X554" i="7" a="1"/>
  <c r="X554" i="7" s="1"/>
  <c r="I848" i="7"/>
  <c r="G4" i="10"/>
  <c r="G541" i="10"/>
  <c r="G362" i="10"/>
  <c r="G183" i="10"/>
  <c r="G716" i="10"/>
  <c r="G52" i="10"/>
  <c r="G665" i="10"/>
  <c r="X545" i="7" a="1"/>
  <c r="X545" i="7" s="1"/>
  <c r="G547" i="10"/>
  <c r="G189" i="10"/>
  <c r="G10" i="10"/>
  <c r="X544" i="7" a="1"/>
  <c r="X544" i="7" s="1"/>
  <c r="S77" i="8"/>
  <c r="X549" i="7" a="1"/>
  <c r="X549" i="7" s="1"/>
  <c r="J72" i="8"/>
  <c r="J75" i="8"/>
  <c r="T900" i="7"/>
  <c r="N184" i="11" s="1"/>
  <c r="T1612" i="7"/>
  <c r="N896" i="11" s="1"/>
  <c r="T1075" i="7"/>
  <c r="N359" i="11" s="1"/>
  <c r="J76" i="8"/>
  <c r="J78" i="8"/>
  <c r="T1405" i="7"/>
  <c r="N689" i="11" s="1"/>
  <c r="T1226" i="7"/>
  <c r="N510" i="11" s="1"/>
  <c r="T1763" i="7"/>
  <c r="N1047" i="11" s="1"/>
  <c r="T1584" i="7"/>
  <c r="N868" i="11" s="1"/>
  <c r="I75" i="8"/>
  <c r="I80" i="8"/>
  <c r="I78" i="8"/>
  <c r="I76" i="8"/>
  <c r="I77" i="8"/>
  <c r="T1658" i="7"/>
  <c r="N942" i="11" s="1"/>
  <c r="J80" i="8"/>
  <c r="T1736" i="7"/>
  <c r="N1020" i="11" s="1"/>
  <c r="T1378" i="7"/>
  <c r="N662" i="11" s="1"/>
  <c r="T1199" i="7"/>
  <c r="N483" i="11" s="1"/>
  <c r="T1521" i="7"/>
  <c r="N805" i="11" s="1"/>
  <c r="T984" i="7"/>
  <c r="N268" i="11" s="1"/>
  <c r="T805" i="7"/>
  <c r="N89" i="11" s="1"/>
  <c r="T1163" i="7"/>
  <c r="N447" i="11" s="1"/>
  <c r="T659" i="7"/>
  <c r="N659" i="10" s="1"/>
  <c r="T1017" i="7"/>
  <c r="N301" i="11" s="1"/>
  <c r="T1554" i="7"/>
  <c r="N838" i="11" s="1"/>
  <c r="T1733" i="7"/>
  <c r="N1017" i="11" s="1"/>
  <c r="T1375" i="7"/>
  <c r="N659" i="11" s="1"/>
  <c r="T1196" i="7"/>
  <c r="N480" i="11" s="1"/>
  <c r="J77" i="8"/>
  <c r="J71" i="8"/>
  <c r="T139" i="7"/>
  <c r="N139" i="10" s="1"/>
  <c r="T318" i="7"/>
  <c r="N318" i="10" s="1"/>
  <c r="T1034" i="7"/>
  <c r="N318" i="11" s="1"/>
  <c r="T855" i="7"/>
  <c r="N139" i="11" s="1"/>
  <c r="T94" i="7"/>
  <c r="N94" i="10" s="1"/>
  <c r="T1526" i="7"/>
  <c r="N810" i="11" s="1"/>
  <c r="T1347" i="7"/>
  <c r="N631" i="11" s="1"/>
  <c r="T810" i="7"/>
  <c r="N94" i="11" s="1"/>
  <c r="T809" i="7"/>
  <c r="N93" i="11" s="1"/>
  <c r="M77" i="8"/>
  <c r="M71" i="8"/>
  <c r="M72" i="8"/>
  <c r="T1002" i="7"/>
  <c r="N286" i="11" s="1"/>
  <c r="T1181" i="7"/>
  <c r="N465" i="11" s="1"/>
  <c r="T465" i="7"/>
  <c r="N465" i="10" s="1"/>
  <c r="T1539" i="7"/>
  <c r="N823" i="11" s="1"/>
  <c r="T1360" i="7"/>
  <c r="N644" i="11" s="1"/>
  <c r="T1577" i="7"/>
  <c r="N861" i="11" s="1"/>
  <c r="T1756" i="7"/>
  <c r="N1040" i="11" s="1"/>
  <c r="T1040" i="7"/>
  <c r="N324" i="11" s="1"/>
  <c r="T1219" i="7"/>
  <c r="N503" i="11" s="1"/>
  <c r="J74" i="8"/>
  <c r="I18" i="9" s="1"/>
  <c r="K18" i="9" s="1"/>
  <c r="J73" i="8"/>
  <c r="I72" i="8"/>
  <c r="T1387" i="7"/>
  <c r="N671" i="11" s="1"/>
  <c r="T1029" i="7"/>
  <c r="N313" i="11" s="1"/>
  <c r="T492" i="7"/>
  <c r="N492" i="10" s="1"/>
  <c r="T850" i="7"/>
  <c r="N134" i="11" s="1"/>
  <c r="T671" i="7"/>
  <c r="N671" i="10" s="1"/>
  <c r="T313" i="7"/>
  <c r="N313" i="10" s="1"/>
  <c r="T134" i="7"/>
  <c r="N134" i="10" s="1"/>
  <c r="T1566" i="7"/>
  <c r="N850" i="11" s="1"/>
  <c r="T1745" i="7"/>
  <c r="N1029" i="11" s="1"/>
  <c r="T1208" i="7"/>
  <c r="N492" i="11" s="1"/>
  <c r="T428" i="7"/>
  <c r="N428" i="10" s="1"/>
  <c r="T786" i="7"/>
  <c r="N70" i="11" s="1"/>
  <c r="T607" i="7"/>
  <c r="N607" i="10" s="1"/>
  <c r="T249" i="7"/>
  <c r="N249" i="10" s="1"/>
  <c r="T70" i="7"/>
  <c r="N70" i="10" s="1"/>
  <c r="T1502" i="7"/>
  <c r="N786" i="11" s="1"/>
  <c r="T1681" i="7"/>
  <c r="N965" i="11" s="1"/>
  <c r="T434" i="7"/>
  <c r="N434" i="10" s="1"/>
  <c r="T1687" i="7"/>
  <c r="N971" i="11" s="1"/>
  <c r="T1150" i="7"/>
  <c r="N434" i="11" s="1"/>
  <c r="T255" i="7"/>
  <c r="N255" i="10" s="1"/>
  <c r="T76" i="7"/>
  <c r="N76" i="10" s="1"/>
  <c r="T1744" i="7"/>
  <c r="N1028" i="11" s="1"/>
  <c r="T1557" i="7"/>
  <c r="N841" i="11" s="1"/>
  <c r="T1495" i="7"/>
  <c r="N779" i="11" s="1"/>
  <c r="T517" i="7"/>
  <c r="N517" i="10" s="1"/>
  <c r="T159" i="7"/>
  <c r="N159" i="10" s="1"/>
  <c r="T666" i="7"/>
  <c r="N666" i="10" s="1"/>
  <c r="T308" i="7"/>
  <c r="N308" i="10" s="1"/>
  <c r="T129" i="7"/>
  <c r="N129" i="10" s="1"/>
  <c r="T1382" i="7"/>
  <c r="N666" i="11" s="1"/>
  <c r="T1561" i="7"/>
  <c r="N845" i="11" s="1"/>
  <c r="T1740" i="7"/>
  <c r="N1024" i="11" s="1"/>
  <c r="T1024" i="7"/>
  <c r="N308" i="11" s="1"/>
  <c r="T1203" i="7"/>
  <c r="N487" i="11" s="1"/>
  <c r="T487" i="7"/>
  <c r="N487" i="10" s="1"/>
  <c r="T845" i="7"/>
  <c r="N129" i="11" s="1"/>
  <c r="T1703" i="7"/>
  <c r="N987" i="11" s="1"/>
  <c r="T1524" i="7"/>
  <c r="N808" i="11" s="1"/>
  <c r="T1345" i="7"/>
  <c r="N629" i="11" s="1"/>
  <c r="T629" i="7"/>
  <c r="N629" i="10" s="1"/>
  <c r="T450" i="7"/>
  <c r="N450" i="10" s="1"/>
  <c r="T271" i="7"/>
  <c r="N271" i="10" s="1"/>
  <c r="T92" i="7"/>
  <c r="N92" i="10" s="1"/>
  <c r="T1225" i="7"/>
  <c r="N509" i="11" s="1"/>
  <c r="T1430" i="7"/>
  <c r="N714" i="11" s="1"/>
  <c r="T1609" i="7"/>
  <c r="N893" i="11" s="1"/>
  <c r="T1072" i="7"/>
  <c r="N356" i="11" s="1"/>
  <c r="T1251" i="7"/>
  <c r="N535" i="11" s="1"/>
  <c r="T714" i="7"/>
  <c r="N714" i="10" s="1"/>
  <c r="T177" i="7"/>
  <c r="N177" i="10" s="1"/>
  <c r="T1760" i="7"/>
  <c r="N1044" i="11" s="1"/>
  <c r="T1397" i="7"/>
  <c r="N681" i="11" s="1"/>
  <c r="T149" i="7"/>
  <c r="N149" i="10" s="1"/>
  <c r="T865" i="7"/>
  <c r="N149" i="11" s="1"/>
  <c r="T160" i="7"/>
  <c r="N160" i="10" s="1"/>
  <c r="T339" i="7"/>
  <c r="N339" i="10" s="1"/>
  <c r="T1234" i="7"/>
  <c r="N518" i="11" s="1"/>
  <c r="T518" i="7"/>
  <c r="N518" i="10" s="1"/>
  <c r="T1513" i="7"/>
  <c r="N797" i="11" s="1"/>
  <c r="T379" i="7"/>
  <c r="N379" i="10" s="1"/>
  <c r="T21" i="7"/>
  <c r="N21" i="10" s="1"/>
  <c r="T200" i="7"/>
  <c r="N200" i="10" s="1"/>
  <c r="T686" i="7"/>
  <c r="N686" i="10" s="1"/>
  <c r="T328" i="7"/>
  <c r="N328" i="10" s="1"/>
  <c r="T507" i="7"/>
  <c r="N507" i="10" s="1"/>
  <c r="T972" i="7"/>
  <c r="N256" i="11" s="1"/>
  <c r="T1151" i="7"/>
  <c r="N435" i="11" s="1"/>
  <c r="T256" i="7"/>
  <c r="N256" i="10" s="1"/>
  <c r="T1688" i="7"/>
  <c r="N972" i="11" s="1"/>
  <c r="T267" i="7"/>
  <c r="N267" i="10" s="1"/>
  <c r="T1341" i="7"/>
  <c r="N625" i="11" s="1"/>
  <c r="T1162" i="7"/>
  <c r="N446" i="11" s="1"/>
  <c r="T446" i="7"/>
  <c r="N446" i="10" s="1"/>
  <c r="T1229" i="7"/>
  <c r="N513" i="11" s="1"/>
  <c r="T1408" i="7"/>
  <c r="N692" i="11" s="1"/>
  <c r="T1751" i="7"/>
  <c r="N1035" i="11" s="1"/>
  <c r="T1572" i="7"/>
  <c r="N856" i="11" s="1"/>
  <c r="P77" i="8"/>
  <c r="T570" i="7"/>
  <c r="N570" i="10" s="1"/>
  <c r="T1218" i="7"/>
  <c r="N502" i="11" s="1"/>
  <c r="T1585" i="7"/>
  <c r="N869" i="11" s="1"/>
  <c r="P79" i="8"/>
  <c r="L72" i="8"/>
  <c r="S75" i="8"/>
  <c r="T90" i="7"/>
  <c r="N90" i="10" s="1"/>
  <c r="T1689" i="7"/>
  <c r="N973" i="11" s="1"/>
  <c r="T74" i="7"/>
  <c r="N74" i="10" s="1"/>
  <c r="T73" i="7"/>
  <c r="N73" i="10" s="1"/>
  <c r="T1320" i="7"/>
  <c r="N604" i="11" s="1"/>
  <c r="T1678" i="7"/>
  <c r="N962" i="11" s="1"/>
  <c r="T962" i="7"/>
  <c r="N246" i="11" s="1"/>
  <c r="T1026" i="7"/>
  <c r="N310" i="11" s="1"/>
  <c r="T1552" i="7"/>
  <c r="N836" i="11" s="1"/>
  <c r="T1731" i="7"/>
  <c r="N1015" i="11" s="1"/>
  <c r="T84" i="7"/>
  <c r="N84" i="10" s="1"/>
  <c r="T175" i="7"/>
  <c r="N175" i="10" s="1"/>
  <c r="T1428" i="7"/>
  <c r="N712" i="11" s="1"/>
  <c r="T1786" i="7"/>
  <c r="N1070" i="11" s="1"/>
  <c r="T1607" i="7"/>
  <c r="N891" i="11" s="1"/>
  <c r="T299" i="7"/>
  <c r="N299" i="10" s="1"/>
  <c r="T1033" i="7"/>
  <c r="N317" i="11" s="1"/>
  <c r="T675" i="7"/>
  <c r="N675" i="10" s="1"/>
  <c r="T496" i="7"/>
  <c r="N496" i="10" s="1"/>
  <c r="T138" i="7"/>
  <c r="N138" i="10" s="1"/>
  <c r="T1391" i="7"/>
  <c r="N675" i="11" s="1"/>
  <c r="T854" i="7"/>
  <c r="N138" i="11" s="1"/>
  <c r="T1212" i="7"/>
  <c r="N496" i="11" s="1"/>
  <c r="L71" i="8"/>
  <c r="T228" i="7"/>
  <c r="N228" i="10" s="1"/>
  <c r="T49" i="7"/>
  <c r="N49" i="10" s="1"/>
  <c r="T1706" i="7"/>
  <c r="N990" i="11" s="1"/>
  <c r="T1176" i="7"/>
  <c r="N460" i="11" s="1"/>
  <c r="T997" i="7"/>
  <c r="N281" i="11" s="1"/>
  <c r="T818" i="7"/>
  <c r="N102" i="11" s="1"/>
  <c r="T639" i="7"/>
  <c r="N639" i="10" s="1"/>
  <c r="T741" i="7"/>
  <c r="N25" i="11" s="1"/>
  <c r="T562" i="7"/>
  <c r="N562" i="10" s="1"/>
  <c r="T1099" i="7"/>
  <c r="N383" i="11" s="1"/>
  <c r="T1550" i="7"/>
  <c r="N834" i="11" s="1"/>
  <c r="T1729" i="7"/>
  <c r="N1013" i="11" s="1"/>
  <c r="T1371" i="7"/>
  <c r="N655" i="11" s="1"/>
  <c r="T1192" i="7"/>
  <c r="N476" i="11" s="1"/>
  <c r="T1013" i="7"/>
  <c r="N297" i="11" s="1"/>
  <c r="T834" i="7"/>
  <c r="N118" i="11" s="1"/>
  <c r="T297" i="7"/>
  <c r="N297" i="10" s="1"/>
  <c r="T101" i="7"/>
  <c r="N101" i="10" s="1"/>
  <c r="T1044" i="7"/>
  <c r="N328" i="11" s="1"/>
  <c r="T1611" i="7"/>
  <c r="N895" i="11" s="1"/>
  <c r="T1384" i="7"/>
  <c r="N668" i="11" s="1"/>
  <c r="T1676" i="7"/>
  <c r="N960" i="11" s="1"/>
  <c r="T1139" i="7"/>
  <c r="N423" i="11" s="1"/>
  <c r="T602" i="7"/>
  <c r="N602" i="10" s="1"/>
  <c r="T191" i="7"/>
  <c r="N191" i="10" s="1"/>
  <c r="T280" i="7"/>
  <c r="N280" i="10" s="1"/>
  <c r="T1742" i="7"/>
  <c r="N1026" i="11" s="1"/>
  <c r="T828" i="7"/>
  <c r="N112" i="11" s="1"/>
  <c r="T438" i="7"/>
  <c r="N438" i="10" s="1"/>
  <c r="T1403" i="7"/>
  <c r="N687" i="11" s="1"/>
  <c r="T1242" i="7"/>
  <c r="N526" i="11" s="1"/>
  <c r="T1563" i="7"/>
  <c r="N847" i="11" s="1"/>
  <c r="T798" i="7"/>
  <c r="N82" i="11" s="1"/>
  <c r="T797" i="7"/>
  <c r="N81" i="11" s="1"/>
  <c r="T108" i="7"/>
  <c r="N108" i="10" s="1"/>
  <c r="I71" i="8"/>
  <c r="T970" i="7"/>
  <c r="N254" i="11" s="1"/>
  <c r="T817" i="7"/>
  <c r="N101" i="11" s="1"/>
  <c r="T996" i="7"/>
  <c r="N280" i="11" s="1"/>
  <c r="T453" i="7"/>
  <c r="N453" i="10" s="1"/>
  <c r="T242" i="7"/>
  <c r="N242" i="10" s="1"/>
  <c r="T632" i="7"/>
  <c r="N632" i="10" s="1"/>
  <c r="T1175" i="7"/>
  <c r="N459" i="11" s="1"/>
  <c r="T990" i="7"/>
  <c r="N274" i="11" s="1"/>
  <c r="T811" i="7"/>
  <c r="N95" i="11" s="1"/>
  <c r="T1169" i="7"/>
  <c r="N453" i="11" s="1"/>
  <c r="T1719" i="7"/>
  <c r="N1003" i="11" s="1"/>
  <c r="T1533" i="7"/>
  <c r="N817" i="11" s="1"/>
  <c r="T311" i="7"/>
  <c r="N311" i="10" s="1"/>
  <c r="T1527" i="7"/>
  <c r="N811" i="11" s="1"/>
  <c r="T1712" i="7"/>
  <c r="N996" i="11" s="1"/>
  <c r="T669" i="7"/>
  <c r="N669" i="10" s="1"/>
  <c r="T63" i="7"/>
  <c r="N63" i="10" s="1"/>
  <c r="T824" i="7"/>
  <c r="N108" i="11" s="1"/>
  <c r="T1206" i="7"/>
  <c r="N490" i="11" s="1"/>
  <c r="T1514" i="7"/>
  <c r="N798" i="11" s="1"/>
  <c r="M78" i="8"/>
  <c r="T1047" i="7"/>
  <c r="N331" i="11" s="1"/>
  <c r="T509" i="7"/>
  <c r="N509" i="10" s="1"/>
  <c r="T133" i="7"/>
  <c r="N133" i="10" s="1"/>
  <c r="T491" i="7"/>
  <c r="N491" i="10" s="1"/>
  <c r="T253" i="7"/>
  <c r="N253" i="10" s="1"/>
  <c r="T64" i="7"/>
  <c r="N64" i="10" s="1"/>
  <c r="T257" i="7"/>
  <c r="N257" i="10" s="1"/>
  <c r="T421" i="7"/>
  <c r="N421" i="10" s="1"/>
  <c r="T959" i="7"/>
  <c r="N243" i="11" s="1"/>
  <c r="T1335" i="7"/>
  <c r="N619" i="11" s="1"/>
  <c r="T1506" i="7"/>
  <c r="N790" i="11" s="1"/>
  <c r="T586" i="7"/>
  <c r="N586" i="10" s="1"/>
  <c r="T794" i="7"/>
  <c r="N78" i="11" s="1"/>
  <c r="T779" i="7"/>
  <c r="N63" i="11" s="1"/>
  <c r="T973" i="7"/>
  <c r="N257" i="11" s="1"/>
  <c r="T137" i="7"/>
  <c r="N137" i="10" s="1"/>
  <c r="T1207" i="7"/>
  <c r="N491" i="11" s="1"/>
  <c r="T1332" i="7"/>
  <c r="N616" i="11" s="1"/>
  <c r="T110" i="7"/>
  <c r="N110" i="10" s="1"/>
  <c r="T97" i="7"/>
  <c r="N97" i="10" s="1"/>
  <c r="T1511" i="7"/>
  <c r="N795" i="11" s="1"/>
  <c r="T495" i="7"/>
  <c r="N495" i="10" s="1"/>
  <c r="T425" i="7"/>
  <c r="N425" i="10" s="1"/>
  <c r="T471" i="7"/>
  <c r="N471" i="10" s="1"/>
  <c r="T276" i="7"/>
  <c r="N276" i="10" s="1"/>
  <c r="T1690" i="7"/>
  <c r="N974" i="11" s="1"/>
  <c r="T1697" i="7"/>
  <c r="N981" i="11" s="1"/>
  <c r="T455" i="7"/>
  <c r="N455" i="10" s="1"/>
  <c r="T1390" i="7"/>
  <c r="N674" i="11" s="1"/>
  <c r="T1008" i="7"/>
  <c r="N292" i="11" s="1"/>
  <c r="T1569" i="7"/>
  <c r="N853" i="11" s="1"/>
  <c r="T829" i="7"/>
  <c r="N113" i="11" s="1"/>
  <c r="T86" i="7"/>
  <c r="N86" i="10" s="1"/>
  <c r="T634" i="7"/>
  <c r="N634" i="10" s="1"/>
  <c r="T1187" i="7"/>
  <c r="N471" i="11" s="1"/>
  <c r="T265" i="7"/>
  <c r="N265" i="10" s="1"/>
  <c r="T1675" i="7"/>
  <c r="N959" i="11" s="1"/>
  <c r="T1695" i="7"/>
  <c r="N979" i="11" s="1"/>
  <c r="T1366" i="7"/>
  <c r="N650" i="11" s="1"/>
  <c r="T437" i="7"/>
  <c r="N437" i="10" s="1"/>
  <c r="T470" i="7"/>
  <c r="N470" i="10" s="1"/>
  <c r="T1545" i="7"/>
  <c r="N829" i="11" s="1"/>
  <c r="T974" i="7"/>
  <c r="N258" i="11" s="1"/>
  <c r="T649" i="7"/>
  <c r="N649" i="10" s="1"/>
  <c r="T981" i="7"/>
  <c r="N265" i="11" s="1"/>
  <c r="T611" i="7"/>
  <c r="N611" i="10" s="1"/>
  <c r="T670" i="7"/>
  <c r="N670" i="10" s="1"/>
  <c r="T1007" i="7"/>
  <c r="N291" i="11" s="1"/>
  <c r="T1708" i="7"/>
  <c r="N992" i="11" s="1"/>
  <c r="O157" i="14"/>
  <c r="O47" i="14"/>
  <c r="O142" i="14"/>
  <c r="O159" i="14"/>
  <c r="O23" i="14"/>
  <c r="O154" i="14"/>
  <c r="O111" i="14"/>
  <c r="O97" i="14"/>
  <c r="O40" i="14"/>
  <c r="O16" i="14"/>
  <c r="Q16" i="14" s="1"/>
  <c r="O136" i="14"/>
  <c r="O86" i="14"/>
  <c r="O140" i="14"/>
  <c r="O29" i="14"/>
  <c r="O52" i="14"/>
  <c r="O184" i="14"/>
  <c r="O24" i="14"/>
  <c r="O148" i="14"/>
  <c r="O63" i="14"/>
  <c r="O44" i="14"/>
  <c r="O160" i="14"/>
  <c r="O90" i="14"/>
  <c r="O11" i="14"/>
  <c r="Q11" i="14" s="1"/>
  <c r="O168" i="14"/>
  <c r="O71" i="14"/>
  <c r="O9" i="14"/>
  <c r="O165" i="14"/>
  <c r="O100" i="14"/>
  <c r="O49" i="14"/>
  <c r="O62" i="14"/>
  <c r="O180" i="14"/>
  <c r="O108" i="14"/>
  <c r="O68" i="14"/>
  <c r="O61" i="14"/>
  <c r="O98" i="14"/>
  <c r="O104" i="14"/>
  <c r="O50" i="14"/>
  <c r="O56" i="14"/>
  <c r="O82" i="14"/>
  <c r="O131" i="14"/>
  <c r="T1775" i="7"/>
  <c r="N1059" i="11" s="1"/>
  <c r="O32" i="14"/>
  <c r="O153" i="14"/>
  <c r="O147" i="14"/>
  <c r="O48" i="14"/>
  <c r="O182" i="14"/>
  <c r="O13" i="14"/>
  <c r="Q13" i="14" s="1"/>
  <c r="O10" i="14"/>
  <c r="Q10" i="14" s="1"/>
  <c r="O117" i="14"/>
  <c r="O112" i="14"/>
  <c r="O83" i="14"/>
  <c r="O138" i="14"/>
  <c r="O120" i="14"/>
  <c r="O74" i="14"/>
  <c r="O135" i="14"/>
  <c r="O41" i="14"/>
  <c r="O26" i="14"/>
  <c r="O126" i="14"/>
  <c r="O37" i="14"/>
  <c r="O28" i="14"/>
  <c r="O57" i="14"/>
  <c r="O94" i="14"/>
  <c r="O58" i="14"/>
  <c r="O78" i="14"/>
  <c r="O38" i="14"/>
  <c r="O88" i="14"/>
  <c r="O81" i="14"/>
  <c r="R75" i="8"/>
  <c r="Q78" i="8"/>
  <c r="O15" i="14"/>
  <c r="Q15" i="14" s="1"/>
  <c r="O76" i="14"/>
  <c r="O123" i="14"/>
  <c r="O65" i="14"/>
  <c r="O170" i="14"/>
  <c r="O99" i="14"/>
  <c r="O36" i="14"/>
  <c r="O175" i="14"/>
  <c r="O169" i="14"/>
  <c r="O64" i="14"/>
  <c r="O172" i="14"/>
  <c r="O75" i="14"/>
  <c r="O51" i="14"/>
  <c r="O124" i="14"/>
  <c r="O105" i="14"/>
  <c r="O127" i="14"/>
  <c r="K72" i="8"/>
  <c r="K77" i="8"/>
  <c r="K75" i="8"/>
  <c r="K80" i="8"/>
  <c r="K78" i="8"/>
  <c r="K76" i="8"/>
  <c r="K74" i="8"/>
  <c r="K79" i="8"/>
  <c r="K73" i="8"/>
  <c r="K71" i="8"/>
  <c r="N80" i="8"/>
  <c r="N73" i="8"/>
  <c r="T553" i="7"/>
  <c r="N553" i="10" s="1"/>
  <c r="N78" i="8"/>
  <c r="N71" i="8"/>
  <c r="N76" i="8"/>
  <c r="T195" i="7"/>
  <c r="N195" i="10" s="1"/>
  <c r="N74" i="8"/>
  <c r="N79" i="8"/>
  <c r="T16" i="7"/>
  <c r="N16" i="10" s="1"/>
  <c r="N77" i="8"/>
  <c r="N72" i="8"/>
  <c r="N75" i="8"/>
  <c r="O80" i="8"/>
  <c r="O73" i="8"/>
  <c r="O78" i="8"/>
  <c r="O71" i="8"/>
  <c r="O76" i="8"/>
  <c r="O74" i="8"/>
  <c r="O79" i="8"/>
  <c r="O77" i="8"/>
  <c r="O75" i="8"/>
  <c r="O72" i="8"/>
  <c r="T977" i="7"/>
  <c r="N261" i="11" s="1"/>
  <c r="O163" i="14"/>
  <c r="O101" i="14"/>
  <c r="O43" i="14"/>
  <c r="R77" i="8"/>
  <c r="I180" i="14"/>
  <c r="H180" i="14"/>
  <c r="K180" i="14" a="1"/>
  <c r="K180" i="14" s="1"/>
  <c r="I134" i="14"/>
  <c r="H134" i="14"/>
  <c r="K134" i="14" a="1"/>
  <c r="K134" i="14" s="1"/>
  <c r="T772" i="7"/>
  <c r="N56" i="11" s="1"/>
  <c r="H117" i="14"/>
  <c r="I117" i="14"/>
  <c r="K117" i="14" a="1"/>
  <c r="K117" i="14" s="1"/>
  <c r="K51" i="14" a="1"/>
  <c r="K51" i="14" s="1"/>
  <c r="I51" i="14"/>
  <c r="H51" i="14"/>
  <c r="I152" i="14"/>
  <c r="K152" i="14" a="1"/>
  <c r="K152" i="14" s="1"/>
  <c r="H152" i="14"/>
  <c r="H39" i="14"/>
  <c r="K39" i="14" a="1"/>
  <c r="K39" i="14" s="1"/>
  <c r="I39" i="14"/>
  <c r="I124" i="14"/>
  <c r="K124" i="14" a="1"/>
  <c r="K124" i="14" s="1"/>
  <c r="H124" i="14"/>
  <c r="I162" i="14"/>
  <c r="H162" i="14"/>
  <c r="K162" i="14" a="1"/>
  <c r="K162" i="14" s="1"/>
  <c r="I161" i="14"/>
  <c r="K161" i="14" a="1"/>
  <c r="K161" i="14" s="1"/>
  <c r="H161" i="14"/>
  <c r="H125" i="14"/>
  <c r="K125" i="14" a="1"/>
  <c r="K125" i="14" s="1"/>
  <c r="I125" i="14"/>
  <c r="I99" i="14"/>
  <c r="H99" i="14"/>
  <c r="K99" i="14" a="1"/>
  <c r="K99" i="14" s="1"/>
  <c r="I118" i="14"/>
  <c r="K118" i="14" a="1"/>
  <c r="K118" i="14" s="1"/>
  <c r="H118" i="14"/>
  <c r="H156" i="14"/>
  <c r="K156" i="14" a="1"/>
  <c r="K156" i="14" s="1"/>
  <c r="I156" i="14"/>
  <c r="I85" i="14"/>
  <c r="K85" i="14" a="1"/>
  <c r="K85" i="14" s="1"/>
  <c r="H85" i="14"/>
  <c r="H202" i="14"/>
  <c r="I202" i="14"/>
  <c r="K202" i="14" a="1"/>
  <c r="K202" i="14" s="1"/>
  <c r="K203" i="14" a="1"/>
  <c r="K203" i="14" s="1"/>
  <c r="I203" i="14"/>
  <c r="H203" i="14"/>
  <c r="T252" i="7"/>
  <c r="N252" i="10" s="1"/>
  <c r="I102" i="14"/>
  <c r="H102" i="14"/>
  <c r="K102" i="14" a="1"/>
  <c r="K102" i="14" s="1"/>
  <c r="I55" i="14"/>
  <c r="H55" i="14"/>
  <c r="K55" i="14" a="1"/>
  <c r="K55" i="14" s="1"/>
  <c r="K177" i="14" a="1"/>
  <c r="K177" i="14" s="1"/>
  <c r="I177" i="14"/>
  <c r="H177" i="14"/>
  <c r="I46" i="14"/>
  <c r="H46" i="14"/>
  <c r="K46" i="14" a="1"/>
  <c r="K46" i="14" s="1"/>
  <c r="I171" i="14"/>
  <c r="K171" i="14" a="1"/>
  <c r="K171" i="14" s="1"/>
  <c r="H171" i="14"/>
  <c r="I181" i="14"/>
  <c r="K181" i="14" a="1"/>
  <c r="K181" i="14" s="1"/>
  <c r="H181" i="14"/>
  <c r="O106" i="14"/>
  <c r="T783" i="7"/>
  <c r="N67" i="11" s="1"/>
  <c r="O92" i="14"/>
  <c r="R79" i="8"/>
  <c r="O54" i="14"/>
  <c r="T1503" i="7"/>
  <c r="N787" i="11" s="1"/>
  <c r="I166" i="14"/>
  <c r="K166" i="14" a="1"/>
  <c r="K166" i="14" s="1"/>
  <c r="H166" i="14"/>
  <c r="K176" i="14" a="1"/>
  <c r="K176" i="14" s="1"/>
  <c r="I176" i="14"/>
  <c r="H176" i="14"/>
  <c r="K53" i="14" a="1"/>
  <c r="K53" i="14" s="1"/>
  <c r="I53" i="14"/>
  <c r="H53" i="14"/>
  <c r="H95" i="14"/>
  <c r="K95" i="14" a="1"/>
  <c r="K95" i="14" s="1"/>
  <c r="I95" i="14"/>
  <c r="K154" i="14" a="1"/>
  <c r="K154" i="14" s="1"/>
  <c r="I154" i="14"/>
  <c r="H154" i="14"/>
  <c r="T1194" i="7"/>
  <c r="N478" i="11" s="1"/>
  <c r="I96" i="14"/>
  <c r="H96" i="14"/>
  <c r="K96" i="14" a="1"/>
  <c r="K96" i="14" s="1"/>
  <c r="O152" i="14"/>
  <c r="O143" i="14"/>
  <c r="O34" i="14"/>
  <c r="H4" i="14"/>
  <c r="I69" i="14"/>
  <c r="H69" i="14"/>
  <c r="K69" i="14" a="1"/>
  <c r="K69" i="14" s="1"/>
  <c r="I169" i="14"/>
  <c r="H169" i="14"/>
  <c r="K169" i="14" a="1"/>
  <c r="K169" i="14" s="1"/>
  <c r="K103" i="14" a="1"/>
  <c r="K103" i="14" s="1"/>
  <c r="H103" i="14"/>
  <c r="I103" i="14"/>
  <c r="K199" i="14" a="1"/>
  <c r="K199" i="14" s="1"/>
  <c r="H199" i="14"/>
  <c r="I199" i="14"/>
  <c r="I145" i="14"/>
  <c r="H145" i="14"/>
  <c r="K145" i="14" a="1"/>
  <c r="K145" i="14" s="1"/>
  <c r="O167" i="14"/>
  <c r="T1522" i="7"/>
  <c r="N806" i="11" s="1"/>
  <c r="Q72" i="8"/>
  <c r="O109" i="14"/>
  <c r="R74" i="8"/>
  <c r="O59" i="14"/>
  <c r="T951" i="7"/>
  <c r="N235" i="11" s="1"/>
  <c r="T263" i="7"/>
  <c r="N263" i="10" s="1"/>
  <c r="T716" i="7"/>
  <c r="N716" i="10" s="1"/>
  <c r="T1682" i="7"/>
  <c r="N966" i="11" s="1"/>
  <c r="O139" i="14"/>
  <c r="I48" i="14"/>
  <c r="K48" i="14" a="1"/>
  <c r="K48" i="14" s="1"/>
  <c r="H48" i="14"/>
  <c r="T1373" i="7"/>
  <c r="N657" i="11" s="1"/>
  <c r="I112" i="14"/>
  <c r="K112" i="14" a="1"/>
  <c r="K112" i="14" s="1"/>
  <c r="H112" i="14"/>
  <c r="P4" i="17"/>
  <c r="T1278" i="7"/>
  <c r="N562" i="11" s="1"/>
  <c r="O55" i="14"/>
  <c r="O53" i="14"/>
  <c r="T610" i="7"/>
  <c r="N610" i="10" s="1"/>
  <c r="K191" i="14" a="1"/>
  <c r="K191" i="14" s="1"/>
  <c r="I191" i="14"/>
  <c r="H191" i="14"/>
  <c r="K127" i="14" a="1"/>
  <c r="K127" i="14" s="1"/>
  <c r="I127" i="14"/>
  <c r="H127" i="14"/>
  <c r="K139" i="14" a="1"/>
  <c r="K139" i="14" s="1"/>
  <c r="I139" i="14"/>
  <c r="H139" i="14"/>
  <c r="H158" i="14"/>
  <c r="I158" i="14"/>
  <c r="K158" i="14" a="1"/>
  <c r="K158" i="14" s="1"/>
  <c r="H42" i="14"/>
  <c r="I42" i="14"/>
  <c r="K42" i="14" a="1"/>
  <c r="K42" i="14" s="1"/>
  <c r="O130" i="14"/>
  <c r="O114" i="14"/>
  <c r="T1141" i="7"/>
  <c r="N425" i="11" s="1"/>
  <c r="O46" i="14"/>
  <c r="Q73" i="8"/>
  <c r="R76" i="8"/>
  <c r="O33" i="14"/>
  <c r="T1074" i="7"/>
  <c r="N358" i="11" s="1"/>
  <c r="O103" i="14"/>
  <c r="H126" i="14"/>
  <c r="I126" i="14"/>
  <c r="K126" i="14" a="1"/>
  <c r="K126" i="14" s="1"/>
  <c r="K90" i="14" a="1"/>
  <c r="K90" i="14" s="1"/>
  <c r="I90" i="14"/>
  <c r="H90" i="14"/>
  <c r="H140" i="14"/>
  <c r="K140" i="14" a="1"/>
  <c r="K140" i="14" s="1"/>
  <c r="I140" i="14"/>
  <c r="K195" i="14" a="1"/>
  <c r="K195" i="14" s="1"/>
  <c r="H195" i="14"/>
  <c r="I195" i="14"/>
  <c r="O151" i="14"/>
  <c r="H71" i="14"/>
  <c r="K71" i="14" a="1"/>
  <c r="K71" i="14" s="1"/>
  <c r="I71" i="14"/>
  <c r="O162" i="14"/>
  <c r="O164" i="14"/>
  <c r="H179" i="14"/>
  <c r="K179" i="14" a="1"/>
  <c r="K179" i="14" s="1"/>
  <c r="I179" i="14"/>
  <c r="I174" i="14"/>
  <c r="H174" i="14"/>
  <c r="K174" i="14" a="1"/>
  <c r="K174" i="14" s="1"/>
  <c r="K68" i="14" a="1"/>
  <c r="K68" i="14" s="1"/>
  <c r="I68" i="14"/>
  <c r="H68" i="14"/>
  <c r="O137" i="14"/>
  <c r="Q80" i="8"/>
  <c r="R71" i="8"/>
  <c r="I123" i="14"/>
  <c r="H123" i="14"/>
  <c r="K123" i="14" a="1"/>
  <c r="K123" i="14" s="1"/>
  <c r="I133" i="14"/>
  <c r="K133" i="14" a="1"/>
  <c r="K133" i="14" s="1"/>
  <c r="H133" i="14"/>
  <c r="H73" i="14"/>
  <c r="K73" i="14" a="1"/>
  <c r="K73" i="14" s="1"/>
  <c r="I73" i="14"/>
  <c r="I50" i="14"/>
  <c r="H50" i="14"/>
  <c r="K50" i="14" a="1"/>
  <c r="K50" i="14" s="1"/>
  <c r="T895" i="7"/>
  <c r="N179" i="11" s="1"/>
  <c r="I182" i="14"/>
  <c r="K182" i="14" a="1"/>
  <c r="K182" i="14" s="1"/>
  <c r="H182" i="14"/>
  <c r="I170" i="14"/>
  <c r="H170" i="14"/>
  <c r="K170" i="14" a="1"/>
  <c r="K170" i="14" s="1"/>
  <c r="H83" i="14"/>
  <c r="K83" i="14" a="1"/>
  <c r="K83" i="14" s="1"/>
  <c r="I83" i="14"/>
  <c r="I121" i="14"/>
  <c r="H121" i="14"/>
  <c r="K121" i="14" a="1"/>
  <c r="K121" i="14" s="1"/>
  <c r="K91" i="14" a="1"/>
  <c r="K91" i="14" s="1"/>
  <c r="I91" i="14"/>
  <c r="H91" i="14"/>
  <c r="K70" i="14" a="1"/>
  <c r="K70" i="14" s="1"/>
  <c r="H70" i="14"/>
  <c r="I70" i="14"/>
  <c r="I77" i="14"/>
  <c r="H77" i="14"/>
  <c r="K77" i="14" a="1"/>
  <c r="K77" i="14" s="1"/>
  <c r="K155" i="14" a="1"/>
  <c r="K155" i="14" s="1"/>
  <c r="H155" i="14"/>
  <c r="I155" i="14"/>
  <c r="I204" i="14"/>
  <c r="H204" i="14"/>
  <c r="K204" i="14" a="1"/>
  <c r="K204" i="14" s="1"/>
  <c r="O45" i="14"/>
  <c r="T863" i="7"/>
  <c r="N147" i="11" s="1"/>
  <c r="H206" i="14"/>
  <c r="I206" i="14"/>
  <c r="K206" i="14" a="1"/>
  <c r="K206" i="14" s="1"/>
  <c r="I61" i="14"/>
  <c r="H61" i="14"/>
  <c r="K61" i="14" a="1"/>
  <c r="K61" i="14" s="1"/>
  <c r="T1636" i="7"/>
  <c r="N920" i="11" s="1"/>
  <c r="O166" i="14"/>
  <c r="O161" i="14"/>
  <c r="T968" i="7"/>
  <c r="N252" i="11" s="1"/>
  <c r="K184" i="14" a="1"/>
  <c r="K184" i="14" s="1"/>
  <c r="I184" i="14"/>
  <c r="H184" i="14"/>
  <c r="I159" i="14"/>
  <c r="H159" i="14"/>
  <c r="K159" i="14" a="1"/>
  <c r="K159" i="14" s="1"/>
  <c r="I98" i="14"/>
  <c r="H98" i="14"/>
  <c r="K98" i="14" a="1"/>
  <c r="K98" i="14" s="1"/>
  <c r="O155" i="14"/>
  <c r="O133" i="14"/>
  <c r="T1499" i="7"/>
  <c r="N783" i="11" s="1"/>
  <c r="Q75" i="8"/>
  <c r="O17" i="14"/>
  <c r="Q17" i="14" s="1"/>
  <c r="O174" i="14"/>
  <c r="O77" i="14"/>
  <c r="T1253" i="7"/>
  <c r="N537" i="11" s="1"/>
  <c r="O67" i="14"/>
  <c r="I131" i="14"/>
  <c r="H131" i="14"/>
  <c r="K131" i="14" a="1"/>
  <c r="K131" i="14" s="1"/>
  <c r="I54" i="14"/>
  <c r="H54" i="14"/>
  <c r="K54" i="14" a="1"/>
  <c r="K54" i="14" s="1"/>
  <c r="I173" i="14"/>
  <c r="H173" i="14"/>
  <c r="K173" i="14" a="1"/>
  <c r="K173" i="14" s="1"/>
  <c r="K44" i="14" a="1"/>
  <c r="K44" i="14" s="1"/>
  <c r="I44" i="14"/>
  <c r="H44" i="14"/>
  <c r="O115" i="14"/>
  <c r="H63" i="14"/>
  <c r="K63" i="14" a="1"/>
  <c r="K63" i="14" s="1"/>
  <c r="I63" i="14"/>
  <c r="K183" i="14" a="1"/>
  <c r="K183" i="14" s="1"/>
  <c r="I183" i="14"/>
  <c r="H183" i="14"/>
  <c r="I88" i="14"/>
  <c r="K88" i="14" a="1"/>
  <c r="K88" i="14" s="1"/>
  <c r="H88" i="14"/>
  <c r="I75" i="14"/>
  <c r="H75" i="14"/>
  <c r="K75" i="14" a="1"/>
  <c r="K75" i="14" s="1"/>
  <c r="O95" i="14"/>
  <c r="H128" i="14"/>
  <c r="K128" i="14" a="1"/>
  <c r="K128" i="14" s="1"/>
  <c r="I128" i="14"/>
  <c r="K115" i="14" a="1"/>
  <c r="K115" i="14" s="1"/>
  <c r="H115" i="14"/>
  <c r="I115" i="14"/>
  <c r="I146" i="14"/>
  <c r="H146" i="14"/>
  <c r="K146" i="14" a="1"/>
  <c r="K146" i="14" s="1"/>
  <c r="I137" i="14"/>
  <c r="H137" i="14"/>
  <c r="K137" i="14" a="1"/>
  <c r="K137" i="14" s="1"/>
  <c r="H201" i="14"/>
  <c r="I201" i="14"/>
  <c r="K201" i="14" a="1"/>
  <c r="K201" i="14" s="1"/>
  <c r="H129" i="14"/>
  <c r="K129" i="14" a="1"/>
  <c r="K129" i="14" s="1"/>
  <c r="I129" i="14"/>
  <c r="H141" i="14"/>
  <c r="K141" i="14" a="1"/>
  <c r="K141" i="14" s="1"/>
  <c r="I141" i="14"/>
  <c r="O113" i="14"/>
  <c r="O93" i="14"/>
  <c r="Q77" i="8"/>
  <c r="O89" i="14"/>
  <c r="T1238" i="7"/>
  <c r="N522" i="11" s="1"/>
  <c r="T979" i="7"/>
  <c r="N263" i="11" s="1"/>
  <c r="T1432" i="7"/>
  <c r="N716" i="11" s="1"/>
  <c r="K101" i="14" a="1"/>
  <c r="K101" i="14" s="1"/>
  <c r="I101" i="14"/>
  <c r="H101" i="14"/>
  <c r="I120" i="14"/>
  <c r="H120" i="14"/>
  <c r="K120" i="14" a="1"/>
  <c r="K120" i="14" s="1"/>
  <c r="I80" i="14"/>
  <c r="H80" i="14"/>
  <c r="K80" i="14" a="1"/>
  <c r="K80" i="14" s="1"/>
  <c r="I37" i="14"/>
  <c r="H37" i="14"/>
  <c r="K37" i="14" a="1"/>
  <c r="K37" i="14" s="1"/>
  <c r="I59" i="14"/>
  <c r="H59" i="14"/>
  <c r="K59" i="14" a="1"/>
  <c r="K59" i="14" s="1"/>
  <c r="T1381" i="7"/>
  <c r="N665" i="11" s="1"/>
  <c r="K189" i="14" a="1"/>
  <c r="K189" i="14" s="1"/>
  <c r="H189" i="14"/>
  <c r="I189" i="14"/>
  <c r="O177" i="14"/>
  <c r="I62" i="14"/>
  <c r="H62" i="14"/>
  <c r="K62" i="14" a="1"/>
  <c r="K62" i="14" s="1"/>
  <c r="I86" i="14"/>
  <c r="H86" i="14"/>
  <c r="K86" i="14" a="1"/>
  <c r="K86" i="14" s="1"/>
  <c r="H149" i="14"/>
  <c r="I149" i="14"/>
  <c r="K149" i="14" a="1"/>
  <c r="K149" i="14" s="1"/>
  <c r="I82" i="14"/>
  <c r="H82" i="14"/>
  <c r="K82" i="14" a="1"/>
  <c r="K82" i="14" s="1"/>
  <c r="H114" i="14"/>
  <c r="I114" i="14"/>
  <c r="K114" i="14" a="1"/>
  <c r="K114" i="14" s="1"/>
  <c r="J79" i="8"/>
  <c r="O14" i="14"/>
  <c r="Q14" i="14" s="1"/>
  <c r="O150" i="14"/>
  <c r="O146" i="14"/>
  <c r="M79" i="8"/>
  <c r="T1223" i="7"/>
  <c r="N507" i="11" s="1"/>
  <c r="O72" i="14"/>
  <c r="T976" i="7"/>
  <c r="N260" i="11" s="1"/>
  <c r="T867" i="7"/>
  <c r="N151" i="11" s="1"/>
  <c r="O73" i="14"/>
  <c r="T422" i="7"/>
  <c r="N422" i="10" s="1"/>
  <c r="T1565" i="7"/>
  <c r="N849" i="11" s="1"/>
  <c r="T1529" i="7"/>
  <c r="N813" i="11" s="1"/>
  <c r="O31" i="14"/>
  <c r="O79" i="14"/>
  <c r="Q79" i="8"/>
  <c r="T1724" i="7"/>
  <c r="N1008" i="11" s="1"/>
  <c r="O25" i="14"/>
  <c r="R73" i="8"/>
  <c r="I132" i="14"/>
  <c r="H132" i="14"/>
  <c r="K132" i="14" a="1"/>
  <c r="K132" i="14" s="1"/>
  <c r="H167" i="14"/>
  <c r="K167" i="14" a="1"/>
  <c r="K167" i="14" s="1"/>
  <c r="I167" i="14"/>
  <c r="H110" i="14"/>
  <c r="K110" i="14" a="1"/>
  <c r="K110" i="14" s="1"/>
  <c r="I110" i="14"/>
  <c r="I76" i="14"/>
  <c r="K76" i="14" a="1"/>
  <c r="K76" i="14" s="1"/>
  <c r="H76" i="14"/>
  <c r="T1417" i="7"/>
  <c r="N701" i="11" s="1"/>
  <c r="T1158" i="7"/>
  <c r="N442" i="11" s="1"/>
  <c r="I72" i="14"/>
  <c r="H72" i="14"/>
  <c r="K72" i="14" a="1"/>
  <c r="K72" i="14" s="1"/>
  <c r="H188" i="14"/>
  <c r="I188" i="14"/>
  <c r="K188" i="14" a="1"/>
  <c r="K188" i="14" s="1"/>
  <c r="K47" i="14" a="1"/>
  <c r="K47" i="14" s="1"/>
  <c r="I47" i="14"/>
  <c r="H47" i="14"/>
  <c r="I185" i="14"/>
  <c r="H185" i="14"/>
  <c r="K185" i="14" a="1"/>
  <c r="K185" i="14" s="1"/>
  <c r="I135" i="14"/>
  <c r="K135" i="14" a="1"/>
  <c r="K135" i="14" s="1"/>
  <c r="H135" i="14"/>
  <c r="H205" i="14"/>
  <c r="I205" i="14"/>
  <c r="K205" i="14" a="1"/>
  <c r="K205" i="14" s="1"/>
  <c r="I49" i="14"/>
  <c r="H49" i="14"/>
  <c r="K49" i="14" a="1"/>
  <c r="K49" i="14" s="1"/>
  <c r="T120" i="7"/>
  <c r="N120" i="10" s="1"/>
  <c r="K78" i="14" a="1"/>
  <c r="K78" i="14" s="1"/>
  <c r="H78" i="14"/>
  <c r="I78" i="14"/>
  <c r="H104" i="14"/>
  <c r="K104" i="14" a="1"/>
  <c r="K104" i="14" s="1"/>
  <c r="I104" i="14"/>
  <c r="I157" i="14"/>
  <c r="H157" i="14"/>
  <c r="K157" i="14" a="1"/>
  <c r="K157" i="14" s="1"/>
  <c r="I34" i="14"/>
  <c r="K34" i="14" a="1"/>
  <c r="K34" i="14" s="1"/>
  <c r="H34" i="14"/>
  <c r="T25" i="7"/>
  <c r="N25" i="10" s="1"/>
  <c r="K172" i="14" a="1"/>
  <c r="K172" i="14" s="1"/>
  <c r="H172" i="14"/>
  <c r="I172" i="14"/>
  <c r="H92" i="14"/>
  <c r="K92" i="14" a="1"/>
  <c r="K92" i="14" s="1"/>
  <c r="I92" i="14"/>
  <c r="O80" i="14"/>
  <c r="O42" i="14"/>
  <c r="M74" i="8"/>
  <c r="T1402" i="7"/>
  <c r="N686" i="11" s="1"/>
  <c r="O122" i="14"/>
  <c r="O110" i="14"/>
  <c r="T891" i="7"/>
  <c r="N175" i="11" s="1"/>
  <c r="T1331" i="7"/>
  <c r="N615" i="11" s="1"/>
  <c r="T93" i="7"/>
  <c r="N93" i="10" s="1"/>
  <c r="O39" i="14"/>
  <c r="O27" i="14"/>
  <c r="T1155" i="7"/>
  <c r="N439" i="11" s="1"/>
  <c r="T688" i="7"/>
  <c r="N688" i="10" s="1"/>
  <c r="T1481" i="7"/>
  <c r="N765" i="11" s="1"/>
  <c r="O35" i="14"/>
  <c r="T601" i="7"/>
  <c r="N601" i="10" s="1"/>
  <c r="O21" i="14"/>
  <c r="O119" i="14"/>
  <c r="T853" i="7"/>
  <c r="N137" i="11" s="1"/>
  <c r="Q74" i="8"/>
  <c r="O118" i="14"/>
  <c r="R72" i="8"/>
  <c r="T1340" i="7"/>
  <c r="N624" i="11" s="1"/>
  <c r="I38" i="14"/>
  <c r="H38" i="14"/>
  <c r="K38" i="14" a="1"/>
  <c r="K38" i="14" s="1"/>
  <c r="T1337" i="7"/>
  <c r="N621" i="11" s="1"/>
  <c r="O179" i="14"/>
  <c r="T1790" i="7"/>
  <c r="N1074" i="11" s="1"/>
  <c r="H52" i="14"/>
  <c r="K52" i="14" a="1"/>
  <c r="K52" i="14" s="1"/>
  <c r="I52" i="14"/>
  <c r="H163" i="14"/>
  <c r="I163" i="14"/>
  <c r="K163" i="14" a="1"/>
  <c r="K163" i="14" s="1"/>
  <c r="K79" i="14" a="1"/>
  <c r="K79" i="14" s="1"/>
  <c r="I79" i="14"/>
  <c r="H79" i="14"/>
  <c r="I100" i="14"/>
  <c r="H100" i="14"/>
  <c r="K100" i="14" a="1"/>
  <c r="K100" i="14" s="1"/>
  <c r="H94" i="14"/>
  <c r="I94" i="14"/>
  <c r="K94" i="14" a="1"/>
  <c r="K94" i="14" s="1"/>
  <c r="I187" i="14"/>
  <c r="H187" i="14"/>
  <c r="K187" i="14" a="1"/>
  <c r="K187" i="14" s="1"/>
  <c r="K148" i="14" a="1"/>
  <c r="K148" i="14" s="1"/>
  <c r="I148" i="14"/>
  <c r="H148" i="14"/>
  <c r="I84" i="14"/>
  <c r="K84" i="14" a="1"/>
  <c r="K84" i="14" s="1"/>
  <c r="H84" i="14"/>
  <c r="H60" i="14"/>
  <c r="K60" i="14" a="1"/>
  <c r="K60" i="14" s="1"/>
  <c r="I60" i="14"/>
  <c r="H150" i="14"/>
  <c r="I150" i="14"/>
  <c r="K150" i="14" a="1"/>
  <c r="K150" i="14" s="1"/>
  <c r="O144" i="14"/>
  <c r="K107" i="14" a="1"/>
  <c r="K107" i="14" s="1"/>
  <c r="I107" i="14"/>
  <c r="H107" i="14"/>
  <c r="O185" i="14"/>
  <c r="O141" i="14"/>
  <c r="O20" i="14"/>
  <c r="Q20" i="14" s="1"/>
  <c r="I186" i="14"/>
  <c r="H186" i="14"/>
  <c r="K186" i="14" a="1"/>
  <c r="K186" i="14" s="1"/>
  <c r="K196" i="14" a="1"/>
  <c r="K196" i="14" s="1"/>
  <c r="I196" i="14"/>
  <c r="H196" i="14"/>
  <c r="I35" i="14"/>
  <c r="K35" i="14" a="1"/>
  <c r="K35" i="14" s="1"/>
  <c r="H35" i="14"/>
  <c r="I147" i="14"/>
  <c r="H147" i="14"/>
  <c r="K147" i="14" a="1"/>
  <c r="K147" i="14" s="1"/>
  <c r="H105" i="14"/>
  <c r="K105" i="14" a="1"/>
  <c r="K105" i="14" s="1"/>
  <c r="I105" i="14"/>
  <c r="I74" i="14"/>
  <c r="H74" i="14"/>
  <c r="K74" i="14" a="1"/>
  <c r="K74" i="14" s="1"/>
  <c r="I200" i="14"/>
  <c r="H200" i="14"/>
  <c r="K200" i="14" a="1"/>
  <c r="K200" i="14" s="1"/>
  <c r="K160" i="14" a="1"/>
  <c r="K160" i="14" s="1"/>
  <c r="I160" i="14"/>
  <c r="H160" i="14"/>
  <c r="O96" i="14"/>
  <c r="O158" i="14"/>
  <c r="O87" i="14"/>
  <c r="M76" i="8"/>
  <c r="T1581" i="7"/>
  <c r="N865" i="11" s="1"/>
  <c r="I73" i="8"/>
  <c r="T1510" i="7"/>
  <c r="N794" i="11" s="1"/>
  <c r="T1334" i="7"/>
  <c r="N618" i="11" s="1"/>
  <c r="T1046" i="7"/>
  <c r="N330" i="11" s="1"/>
  <c r="O30" i="14"/>
  <c r="O132" i="14"/>
  <c r="O60" i="14"/>
  <c r="O173" i="14"/>
  <c r="T291" i="7"/>
  <c r="N291" i="10" s="1"/>
  <c r="Q76" i="8"/>
  <c r="O107" i="14"/>
  <c r="R78" i="8"/>
  <c r="O12" i="14"/>
  <c r="Q12" i="14" s="1"/>
  <c r="H130" i="14"/>
  <c r="K130" i="14" a="1"/>
  <c r="K130" i="14" s="1"/>
  <c r="I130" i="14"/>
  <c r="O69" i="14"/>
  <c r="O18" i="14"/>
  <c r="Q18" i="14" s="1"/>
  <c r="H193" i="14"/>
  <c r="K193" i="14" a="1"/>
  <c r="K193" i="14" s="1"/>
  <c r="I193" i="14"/>
  <c r="I136" i="14"/>
  <c r="K136" i="14" a="1"/>
  <c r="K136" i="14" s="1"/>
  <c r="H136" i="14"/>
  <c r="I109" i="14"/>
  <c r="H109" i="14"/>
  <c r="K109" i="14" a="1"/>
  <c r="K109" i="14" s="1"/>
  <c r="K192" i="14" a="1"/>
  <c r="K192" i="14" s="1"/>
  <c r="H192" i="14"/>
  <c r="I192" i="14"/>
  <c r="I40" i="14"/>
  <c r="H40" i="14"/>
  <c r="K40" i="14" a="1"/>
  <c r="K40" i="14" s="1"/>
  <c r="O66" i="14"/>
  <c r="O178" i="14"/>
  <c r="O22" i="14"/>
  <c r="K198" i="14" a="1"/>
  <c r="K198" i="14" s="1"/>
  <c r="I198" i="14"/>
  <c r="H198" i="14"/>
  <c r="I64" i="14"/>
  <c r="K64" i="14" a="1"/>
  <c r="K64" i="14" s="1"/>
  <c r="H64" i="14"/>
  <c r="I119" i="14"/>
  <c r="K119" i="14" a="1"/>
  <c r="K119" i="14" s="1"/>
  <c r="H119" i="14"/>
  <c r="I197" i="14"/>
  <c r="H197" i="14"/>
  <c r="K197" i="14" a="1"/>
  <c r="K197" i="14" s="1"/>
  <c r="O134" i="14"/>
  <c r="O183" i="14"/>
  <c r="O171" i="14"/>
  <c r="O125" i="14"/>
  <c r="O91" i="14"/>
  <c r="T619" i="7"/>
  <c r="N619" i="10" s="1"/>
  <c r="O121" i="14"/>
  <c r="Q71" i="8"/>
  <c r="R80" i="8"/>
  <c r="I143" i="14"/>
  <c r="H143" i="14"/>
  <c r="K143" i="14" a="1"/>
  <c r="K143" i="14" s="1"/>
  <c r="I45" i="14"/>
  <c r="H45" i="14"/>
  <c r="K45" i="14" a="1"/>
  <c r="K45" i="14" s="1"/>
  <c r="O84" i="14"/>
  <c r="T787" i="7"/>
  <c r="N71" i="11" s="1"/>
  <c r="K165" i="14" a="1"/>
  <c r="K165" i="14" s="1"/>
  <c r="I165" i="14"/>
  <c r="H165" i="14"/>
  <c r="H81" i="14"/>
  <c r="I81" i="14"/>
  <c r="K81" i="14" a="1"/>
  <c r="K81" i="14" s="1"/>
  <c r="I87" i="14"/>
  <c r="K87" i="14" a="1"/>
  <c r="K87" i="14" s="1"/>
  <c r="H87" i="14"/>
  <c r="H43" i="14"/>
  <c r="I43" i="14"/>
  <c r="K43" i="14" a="1"/>
  <c r="K43" i="14" s="1"/>
  <c r="I106" i="14"/>
  <c r="H106" i="14"/>
  <c r="K106" i="14" a="1"/>
  <c r="K106" i="14" s="1"/>
  <c r="H116" i="14"/>
  <c r="I116" i="14"/>
  <c r="K116" i="14" a="1"/>
  <c r="K116" i="14" s="1"/>
  <c r="H168" i="14"/>
  <c r="I168" i="14"/>
  <c r="K168" i="14" a="1"/>
  <c r="K168" i="14" s="1"/>
  <c r="O145" i="14"/>
  <c r="H178" i="14"/>
  <c r="K178" i="14" a="1"/>
  <c r="K178" i="14" s="1"/>
  <c r="I178" i="14"/>
  <c r="K65" i="14" a="1"/>
  <c r="K65" i="14" s="1"/>
  <c r="I65" i="14"/>
  <c r="H65" i="14"/>
  <c r="H190" i="14"/>
  <c r="I190" i="14"/>
  <c r="K190" i="14" a="1"/>
  <c r="K190" i="14" s="1"/>
  <c r="H122" i="14"/>
  <c r="K122" i="14" a="1"/>
  <c r="K122" i="14" s="1"/>
  <c r="I122" i="14"/>
  <c r="T920" i="7"/>
  <c r="N204" i="11" s="1"/>
  <c r="K151" i="14" a="1"/>
  <c r="K151" i="14" s="1"/>
  <c r="I151" i="14"/>
  <c r="H151" i="14"/>
  <c r="K194" i="14" a="1"/>
  <c r="K194" i="14" s="1"/>
  <c r="I194" i="14"/>
  <c r="H194" i="14"/>
  <c r="H56" i="14"/>
  <c r="I56" i="14"/>
  <c r="K56" i="14" a="1"/>
  <c r="K56" i="14" s="1"/>
  <c r="H113" i="14"/>
  <c r="I113" i="14"/>
  <c r="K113" i="14" a="1"/>
  <c r="K113" i="14" s="1"/>
  <c r="I142" i="14"/>
  <c r="H142" i="14"/>
  <c r="K142" i="14" a="1"/>
  <c r="K142" i="14" s="1"/>
  <c r="I67" i="14"/>
  <c r="H67" i="14"/>
  <c r="K67" i="14" a="1"/>
  <c r="K67" i="14" s="1"/>
  <c r="O116" i="14"/>
  <c r="I66" i="14"/>
  <c r="H66" i="14"/>
  <c r="K66" i="14" a="1"/>
  <c r="K66" i="14" s="1"/>
  <c r="O176" i="14"/>
  <c r="H164" i="14"/>
  <c r="I164" i="14"/>
  <c r="K164" i="14" a="1"/>
  <c r="K164" i="14" s="1"/>
  <c r="K153" i="14" a="1"/>
  <c r="K153" i="14" s="1"/>
  <c r="I153" i="14"/>
  <c r="H153" i="14"/>
  <c r="I57" i="14"/>
  <c r="H57" i="14"/>
  <c r="K57" i="14" a="1"/>
  <c r="K57" i="14" s="1"/>
  <c r="K175" i="14" a="1"/>
  <c r="K175" i="14" s="1"/>
  <c r="I175" i="14"/>
  <c r="H175" i="14"/>
  <c r="K144" i="14" a="1"/>
  <c r="K144" i="14" s="1"/>
  <c r="I144" i="14"/>
  <c r="H144" i="14"/>
  <c r="H138" i="14"/>
  <c r="I138" i="14"/>
  <c r="K138" i="14" a="1"/>
  <c r="K138" i="14" s="1"/>
  <c r="K97" i="14" a="1"/>
  <c r="K97" i="14" s="1"/>
  <c r="H97" i="14"/>
  <c r="I97" i="14"/>
  <c r="O128" i="14"/>
  <c r="H111" i="14"/>
  <c r="K111" i="14" a="1"/>
  <c r="K111" i="14" s="1"/>
  <c r="I111" i="14"/>
  <c r="H93" i="14"/>
  <c r="I93" i="14"/>
  <c r="K93" i="14" a="1"/>
  <c r="K93" i="14" s="1"/>
  <c r="K41" i="14" a="1"/>
  <c r="K41" i="14" s="1"/>
  <c r="I41" i="14"/>
  <c r="H41" i="14"/>
  <c r="O129" i="14"/>
  <c r="O19" i="14"/>
  <c r="Q19" i="14" s="1"/>
  <c r="O156" i="14"/>
  <c r="K36" i="14" a="1"/>
  <c r="K36" i="14" s="1"/>
  <c r="I36" i="14"/>
  <c r="H36" i="14"/>
  <c r="I89" i="14"/>
  <c r="H89" i="14"/>
  <c r="K89" i="14" a="1"/>
  <c r="K89" i="14" s="1"/>
  <c r="H108" i="14"/>
  <c r="I108" i="14"/>
  <c r="K108" i="14" a="1"/>
  <c r="K108" i="14" s="1"/>
  <c r="N33" i="13" l="1"/>
  <c r="S7" i="14" a="1"/>
  <c r="S7" i="14" s="1"/>
  <c r="G7" i="14" s="1"/>
  <c r="H7" i="14" s="1"/>
  <c r="I7" i="14" s="1"/>
  <c r="L7" i="14" s="1"/>
  <c r="G27" i="14"/>
  <c r="G24" i="14"/>
  <c r="G29" i="14"/>
  <c r="G9" i="14"/>
  <c r="G8" i="14"/>
  <c r="G28" i="14"/>
  <c r="G32" i="14"/>
  <c r="G14" i="14"/>
  <c r="G20" i="14"/>
  <c r="G25" i="14"/>
  <c r="G23" i="14"/>
  <c r="G15" i="14"/>
  <c r="G11" i="14"/>
  <c r="G31" i="14"/>
  <c r="G21" i="14"/>
  <c r="G17" i="14"/>
  <c r="G18" i="14"/>
  <c r="G26" i="14"/>
  <c r="G13" i="14"/>
  <c r="G10" i="14"/>
  <c r="G19" i="14"/>
  <c r="G33" i="14"/>
  <c r="G22" i="14"/>
  <c r="G16" i="14"/>
  <c r="G30" i="14"/>
  <c r="G12" i="14"/>
  <c r="H142" i="11"/>
  <c r="H64" i="11"/>
  <c r="H151" i="11"/>
  <c r="H102" i="11"/>
  <c r="H81" i="11"/>
  <c r="H146" i="11"/>
  <c r="H115" i="11"/>
  <c r="H168" i="11"/>
  <c r="H56" i="11"/>
  <c r="H165" i="11"/>
  <c r="H117" i="11"/>
  <c r="H121" i="11"/>
  <c r="H130" i="11"/>
  <c r="H55" i="11"/>
  <c r="H173" i="11"/>
  <c r="H44" i="11"/>
  <c r="H75" i="11"/>
  <c r="H169" i="11"/>
  <c r="H71" i="11"/>
  <c r="H78" i="11"/>
  <c r="H49" i="11"/>
  <c r="H141" i="11"/>
  <c r="H47" i="11"/>
  <c r="H26" i="11"/>
  <c r="H160" i="11"/>
  <c r="H104" i="11"/>
  <c r="H101" i="11"/>
  <c r="H58" i="11"/>
  <c r="H28" i="11"/>
  <c r="H131" i="11"/>
  <c r="H36" i="11"/>
  <c r="H113" i="11"/>
  <c r="H8" i="11"/>
  <c r="H156" i="11"/>
  <c r="H154" i="11"/>
  <c r="H32" i="11"/>
  <c r="H132" i="11"/>
  <c r="H119" i="11"/>
  <c r="H77" i="11"/>
  <c r="H43" i="11"/>
  <c r="F76" i="11"/>
  <c r="H76" i="11" s="1"/>
  <c r="H90" i="11"/>
  <c r="H42" i="11"/>
  <c r="H140" i="11"/>
  <c r="H108" i="11"/>
  <c r="H176" i="11"/>
  <c r="H147" i="11"/>
  <c r="H143" i="11"/>
  <c r="H24" i="11"/>
  <c r="H70" i="11"/>
  <c r="H150" i="11"/>
  <c r="H93" i="11"/>
  <c r="H13" i="11"/>
  <c r="I452" i="7"/>
  <c r="I390" i="7"/>
  <c r="Y1265" i="7" a="1"/>
  <c r="Y1265" i="7" s="1"/>
  <c r="G551" i="11"/>
  <c r="H551" i="11" s="1"/>
  <c r="Y907" i="7" a="1"/>
  <c r="Y907" i="7" s="1"/>
  <c r="G193" i="11"/>
  <c r="H193" i="11" s="1"/>
  <c r="Y728" i="7" a="1"/>
  <c r="Y728" i="7" s="1"/>
  <c r="G14" i="11"/>
  <c r="H14" i="11" s="1"/>
  <c r="Y1615" i="7" a="1"/>
  <c r="Y1615" i="7" s="1"/>
  <c r="G901" i="11"/>
  <c r="H901" i="11" s="1"/>
  <c r="Y1078" i="7" a="1"/>
  <c r="Y1078" i="7" s="1"/>
  <c r="G364" i="11"/>
  <c r="H364" i="11" s="1"/>
  <c r="Y1257" i="7" a="1"/>
  <c r="Y1257" i="7" s="1"/>
  <c r="G543" i="11"/>
  <c r="H543" i="11" s="1"/>
  <c r="Y720" i="7" a="1"/>
  <c r="Y720" i="7" s="1"/>
  <c r="G6" i="11"/>
  <c r="H6" i="11" s="1"/>
  <c r="T1079" i="7"/>
  <c r="N363" i="11" s="1"/>
  <c r="G363" i="11"/>
  <c r="H363" i="11" s="1"/>
  <c r="Y899" i="7" a="1"/>
  <c r="Y899" i="7" s="1"/>
  <c r="G185" i="11"/>
  <c r="H185" i="11" s="1"/>
  <c r="Y1623" i="7" a="1"/>
  <c r="Y1623" i="7" s="1"/>
  <c r="G909" i="11"/>
  <c r="H909" i="11" s="1"/>
  <c r="Y1444" i="7" a="1"/>
  <c r="Y1444" i="7" s="1"/>
  <c r="G730" i="11"/>
  <c r="H730" i="11" s="1"/>
  <c r="Y1086" i="7" a="1"/>
  <c r="Y1086" i="7" s="1"/>
  <c r="G372" i="11"/>
  <c r="H372" i="11" s="1"/>
  <c r="T2154" i="7"/>
  <c r="N900" i="10" s="1"/>
  <c r="G900" i="10"/>
  <c r="H900" i="10" s="1"/>
  <c r="T1975" i="7"/>
  <c r="N721" i="10" s="1"/>
  <c r="G721" i="10"/>
  <c r="H721" i="10" s="1"/>
  <c r="T1759" i="7"/>
  <c r="N1043" i="11" s="1"/>
  <c r="G1043" i="11"/>
  <c r="H1043" i="11" s="1"/>
  <c r="T1534" i="7"/>
  <c r="N818" i="11" s="1"/>
  <c r="G818" i="11"/>
  <c r="H818" i="11" s="1"/>
  <c r="T1003" i="7"/>
  <c r="N287" i="11" s="1"/>
  <c r="G287" i="11"/>
  <c r="H287" i="11" s="1"/>
  <c r="T849" i="7"/>
  <c r="N133" i="11" s="1"/>
  <c r="G133" i="11"/>
  <c r="H133" i="11" s="1"/>
  <c r="Y731" i="7" a="1"/>
  <c r="Y731" i="7" s="1"/>
  <c r="G17" i="11"/>
  <c r="H17" i="11" s="1"/>
  <c r="X729" i="7" a="1"/>
  <c r="X729" i="7" s="1"/>
  <c r="F15" i="11"/>
  <c r="T2178" i="7"/>
  <c r="N924" i="10" s="1"/>
  <c r="G924" i="10"/>
  <c r="H924" i="10" s="1"/>
  <c r="T2228" i="7"/>
  <c r="N974" i="10" s="1"/>
  <c r="G974" i="10"/>
  <c r="H974" i="10" s="1"/>
  <c r="T2152" i="7"/>
  <c r="N898" i="10" s="1"/>
  <c r="G898" i="10"/>
  <c r="H898" i="10" s="1"/>
  <c r="T2177" i="7"/>
  <c r="N923" i="10" s="1"/>
  <c r="G923" i="10"/>
  <c r="H923" i="10" s="1"/>
  <c r="T1998" i="7"/>
  <c r="N744" i="10" s="1"/>
  <c r="G744" i="10"/>
  <c r="H744" i="10" s="1"/>
  <c r="T2008" i="7"/>
  <c r="N754" i="10" s="1"/>
  <c r="G754" i="10"/>
  <c r="H754" i="10" s="1"/>
  <c r="T2052" i="7"/>
  <c r="N798" i="10" s="1"/>
  <c r="G798" i="10"/>
  <c r="H798" i="10" s="1"/>
  <c r="T2265" i="7"/>
  <c r="N1011" i="10" s="1"/>
  <c r="G1011" i="10"/>
  <c r="H1011" i="10" s="1"/>
  <c r="T2238" i="7"/>
  <c r="N984" i="10" s="1"/>
  <c r="G984" i="10"/>
  <c r="H984" i="10" s="1"/>
  <c r="T2270" i="7"/>
  <c r="N1016" i="10" s="1"/>
  <c r="G1016" i="10"/>
  <c r="H1016" i="10" s="1"/>
  <c r="T2192" i="7"/>
  <c r="N938" i="10" s="1"/>
  <c r="G938" i="10"/>
  <c r="H938" i="10" s="1"/>
  <c r="T2301" i="7"/>
  <c r="N1047" i="10" s="1"/>
  <c r="G1047" i="10"/>
  <c r="H1047" i="10" s="1"/>
  <c r="T2005" i="7"/>
  <c r="N751" i="10" s="1"/>
  <c r="G751" i="10"/>
  <c r="H751" i="10" s="1"/>
  <c r="T2273" i="7"/>
  <c r="N1019" i="10" s="1"/>
  <c r="G1019" i="10"/>
  <c r="H1019" i="10" s="1"/>
  <c r="T2188" i="7"/>
  <c r="N934" i="10" s="1"/>
  <c r="G934" i="10"/>
  <c r="H934" i="10" s="1"/>
  <c r="T2114" i="7"/>
  <c r="N860" i="10" s="1"/>
  <c r="G860" i="10"/>
  <c r="H860" i="10" s="1"/>
  <c r="T2303" i="7"/>
  <c r="N1049" i="10" s="1"/>
  <c r="G1049" i="10"/>
  <c r="H1049" i="10" s="1"/>
  <c r="T2079" i="7"/>
  <c r="N825" i="10" s="1"/>
  <c r="G825" i="10"/>
  <c r="H825" i="10" s="1"/>
  <c r="T2015" i="7"/>
  <c r="N761" i="10" s="1"/>
  <c r="G761" i="10"/>
  <c r="H761" i="10" s="1"/>
  <c r="D38" i="18" a="1"/>
  <c r="D38" i="18" s="1"/>
  <c r="G7" i="12" s="1"/>
  <c r="D39" i="18" a="1"/>
  <c r="D39" i="18" s="1"/>
  <c r="H7" i="12" s="1"/>
  <c r="H5" i="15" a="1"/>
  <c r="H5" i="15" s="1"/>
  <c r="T2107" i="7"/>
  <c r="N853" i="10" s="1"/>
  <c r="G853" i="10"/>
  <c r="H853" i="10" s="1"/>
  <c r="T1232" i="7"/>
  <c r="N516" i="11" s="1"/>
  <c r="G516" i="11"/>
  <c r="H516" i="11" s="1"/>
  <c r="T1209" i="7"/>
  <c r="N493" i="11" s="1"/>
  <c r="G493" i="11"/>
  <c r="H493" i="11" s="1"/>
  <c r="T1558" i="7"/>
  <c r="N842" i="11" s="1"/>
  <c r="G842" i="11"/>
  <c r="H842" i="11" s="1"/>
  <c r="T1016" i="7"/>
  <c r="N300" i="11" s="1"/>
  <c r="G300" i="11"/>
  <c r="H300" i="11" s="1"/>
  <c r="T1330" i="7"/>
  <c r="N614" i="11" s="1"/>
  <c r="G614" i="11"/>
  <c r="H614" i="11" s="1"/>
  <c r="T1785" i="7"/>
  <c r="N1069" i="11" s="1"/>
  <c r="G1069" i="11"/>
  <c r="H1069" i="11" s="1"/>
  <c r="T989" i="7"/>
  <c r="N273" i="11" s="1"/>
  <c r="G273" i="11"/>
  <c r="H273" i="11" s="1"/>
  <c r="T1183" i="7"/>
  <c r="N467" i="11" s="1"/>
  <c r="G467" i="11"/>
  <c r="H467" i="11" s="1"/>
  <c r="T1076" i="7"/>
  <c r="N360" i="11" s="1"/>
  <c r="G360" i="11"/>
  <c r="H360" i="11" s="1"/>
  <c r="T1774" i="7"/>
  <c r="N1058" i="11" s="1"/>
  <c r="G1058" i="11"/>
  <c r="H1058" i="11" s="1"/>
  <c r="T1635" i="7"/>
  <c r="N919" i="11" s="1"/>
  <c r="G919" i="11"/>
  <c r="H919" i="11" s="1"/>
  <c r="T1404" i="7"/>
  <c r="N688" i="11" s="1"/>
  <c r="G688" i="11"/>
  <c r="H688" i="11" s="1"/>
  <c r="T1254" i="7"/>
  <c r="N538" i="11" s="1"/>
  <c r="G538" i="11"/>
  <c r="H538" i="11" s="1"/>
  <c r="T1059" i="7"/>
  <c r="N343" i="11" s="1"/>
  <c r="G343" i="11"/>
  <c r="H343" i="11" s="1"/>
  <c r="T1147" i="7"/>
  <c r="N431" i="11" s="1"/>
  <c r="G431" i="11"/>
  <c r="H431" i="11" s="1"/>
  <c r="T1032" i="7"/>
  <c r="N316" i="11" s="1"/>
  <c r="G316" i="11"/>
  <c r="H316" i="11" s="1"/>
  <c r="I510" i="7"/>
  <c r="T2084" i="7"/>
  <c r="N830" i="10" s="1"/>
  <c r="G830" i="10"/>
  <c r="H830" i="10" s="1"/>
  <c r="T2319" i="7"/>
  <c r="N1065" i="10" s="1"/>
  <c r="G1065" i="10"/>
  <c r="H1065" i="10" s="1"/>
  <c r="T2000" i="7"/>
  <c r="N746" i="10" s="1"/>
  <c r="G746" i="10"/>
  <c r="H746" i="10" s="1"/>
  <c r="T2283" i="7"/>
  <c r="N1029" i="10" s="1"/>
  <c r="G1029" i="10"/>
  <c r="H1029" i="10" s="1"/>
  <c r="T2140" i="7"/>
  <c r="N886" i="10" s="1"/>
  <c r="G886" i="10"/>
  <c r="H886" i="10" s="1"/>
  <c r="T2181" i="7"/>
  <c r="N927" i="10" s="1"/>
  <c r="G927" i="10"/>
  <c r="H927" i="10" s="1"/>
  <c r="T2002" i="7"/>
  <c r="N748" i="10" s="1"/>
  <c r="G748" i="10"/>
  <c r="H748" i="10" s="1"/>
  <c r="T1995" i="7"/>
  <c r="N741" i="10" s="1"/>
  <c r="G741" i="10"/>
  <c r="H741" i="10" s="1"/>
  <c r="T2030" i="7"/>
  <c r="N776" i="10" s="1"/>
  <c r="G776" i="10"/>
  <c r="H776" i="10" s="1"/>
  <c r="T2296" i="7"/>
  <c r="N1042" i="10" s="1"/>
  <c r="G1042" i="10"/>
  <c r="H1042" i="10" s="1"/>
  <c r="T2223" i="7"/>
  <c r="N969" i="10" s="1"/>
  <c r="G969" i="10"/>
  <c r="H969" i="10" s="1"/>
  <c r="T2144" i="7"/>
  <c r="N890" i="10" s="1"/>
  <c r="G890" i="10"/>
  <c r="H890" i="10" s="1"/>
  <c r="T2132" i="7"/>
  <c r="N878" i="10" s="1"/>
  <c r="G878" i="10"/>
  <c r="H878" i="10" s="1"/>
  <c r="T2111" i="7"/>
  <c r="N857" i="10" s="1"/>
  <c r="G857" i="10"/>
  <c r="H857" i="10" s="1"/>
  <c r="T2184" i="7"/>
  <c r="N930" i="10" s="1"/>
  <c r="G930" i="10"/>
  <c r="H930" i="10" s="1"/>
  <c r="T2009" i="7"/>
  <c r="N755" i="10" s="1"/>
  <c r="G755" i="10"/>
  <c r="H755" i="10" s="1"/>
  <c r="T2147" i="7"/>
  <c r="N893" i="10" s="1"/>
  <c r="G893" i="10"/>
  <c r="H893" i="10" s="1"/>
  <c r="T2003" i="7"/>
  <c r="N749" i="10" s="1"/>
  <c r="G749" i="10"/>
  <c r="H749" i="10" s="1"/>
  <c r="T2124" i="7"/>
  <c r="N870" i="10" s="1"/>
  <c r="G870" i="10"/>
  <c r="H870" i="10" s="1"/>
  <c r="T2297" i="7"/>
  <c r="N1043" i="10" s="1"/>
  <c r="G1043" i="10"/>
  <c r="H1043" i="10" s="1"/>
  <c r="T2039" i="7"/>
  <c r="N785" i="10" s="1"/>
  <c r="G785" i="10"/>
  <c r="H785" i="10" s="1"/>
  <c r="T2127" i="7"/>
  <c r="N873" i="10" s="1"/>
  <c r="G873" i="10"/>
  <c r="H873" i="10" s="1"/>
  <c r="T2280" i="7"/>
  <c r="N1026" i="10" s="1"/>
  <c r="G1026" i="10"/>
  <c r="H1026" i="10" s="1"/>
  <c r="T2318" i="7"/>
  <c r="N1064" i="10" s="1"/>
  <c r="G1064" i="10"/>
  <c r="H1064" i="10" s="1"/>
  <c r="T2050" i="7"/>
  <c r="N796" i="10" s="1"/>
  <c r="G796" i="10"/>
  <c r="H796" i="10" s="1"/>
  <c r="D50" i="18" a="1"/>
  <c r="D50" i="18" s="1"/>
  <c r="D8" i="12" s="1"/>
  <c r="D51" i="18" a="1"/>
  <c r="D51" i="18" s="1"/>
  <c r="E8" i="12" s="1"/>
  <c r="G5" i="15" a="1"/>
  <c r="G5" i="15" s="1"/>
  <c r="T1324" i="7"/>
  <c r="N608" i="11" s="1"/>
  <c r="G608" i="11"/>
  <c r="H608" i="11" s="1"/>
  <c r="T1004" i="7"/>
  <c r="N288" i="11" s="1"/>
  <c r="G288" i="11"/>
  <c r="H288" i="11" s="1"/>
  <c r="T869" i="7"/>
  <c r="N153" i="11" s="1"/>
  <c r="G153" i="11"/>
  <c r="H153" i="11" s="1"/>
  <c r="T897" i="7"/>
  <c r="N181" i="11" s="1"/>
  <c r="G181" i="11"/>
  <c r="H181" i="11" s="1"/>
  <c r="T1456" i="7"/>
  <c r="N740" i="11" s="1"/>
  <c r="G740" i="11"/>
  <c r="H740" i="11" s="1"/>
  <c r="Y1272" i="7" a="1"/>
  <c r="Y1272" i="7" s="1"/>
  <c r="G558" i="11"/>
  <c r="H558" i="11" s="1"/>
  <c r="T1292" i="7"/>
  <c r="N576" i="11" s="1"/>
  <c r="G576" i="11"/>
  <c r="H576" i="11" s="1"/>
  <c r="T1748" i="7"/>
  <c r="N1032" i="11" s="1"/>
  <c r="G1032" i="11"/>
  <c r="H1032" i="11" s="1"/>
  <c r="T1386" i="7"/>
  <c r="N670" i="11" s="1"/>
  <c r="G670" i="11"/>
  <c r="H670" i="11" s="1"/>
  <c r="Y1087" i="7" a="1"/>
  <c r="Y1087" i="7" s="1"/>
  <c r="G373" i="11"/>
  <c r="H373" i="11" s="1"/>
  <c r="Y908" i="7" a="1"/>
  <c r="Y908" i="7" s="1"/>
  <c r="G194" i="11"/>
  <c r="H194" i="11" s="1"/>
  <c r="T2143" i="7"/>
  <c r="N889" i="10" s="1"/>
  <c r="G889" i="10"/>
  <c r="H889" i="10" s="1"/>
  <c r="T2097" i="7"/>
  <c r="N843" i="10" s="1"/>
  <c r="G843" i="10"/>
  <c r="H843" i="10" s="1"/>
  <c r="T2149" i="7"/>
  <c r="N895" i="10" s="1"/>
  <c r="G895" i="10"/>
  <c r="H895" i="10" s="1"/>
  <c r="T2146" i="7"/>
  <c r="N892" i="10" s="1"/>
  <c r="G892" i="10"/>
  <c r="H892" i="10" s="1"/>
  <c r="T2196" i="7"/>
  <c r="N942" i="10" s="1"/>
  <c r="G942" i="10"/>
  <c r="H942" i="10" s="1"/>
  <c r="T2117" i="7"/>
  <c r="N863" i="10" s="1"/>
  <c r="G863" i="10"/>
  <c r="H863" i="10" s="1"/>
  <c r="T2327" i="7"/>
  <c r="N1073" i="10" s="1"/>
  <c r="G1073" i="10"/>
  <c r="H1073" i="10" s="1"/>
  <c r="T2186" i="7"/>
  <c r="N932" i="10" s="1"/>
  <c r="G932" i="10"/>
  <c r="H932" i="10" s="1"/>
  <c r="T2311" i="7"/>
  <c r="N1057" i="10" s="1"/>
  <c r="G1057" i="10"/>
  <c r="H1057" i="10" s="1"/>
  <c r="T2307" i="7"/>
  <c r="N1053" i="10" s="1"/>
  <c r="G1053" i="10"/>
  <c r="H1053" i="10" s="1"/>
  <c r="T2251" i="7"/>
  <c r="N997" i="10" s="1"/>
  <c r="G997" i="10"/>
  <c r="H997" i="10" s="1"/>
  <c r="T2042" i="7"/>
  <c r="N788" i="10" s="1"/>
  <c r="G788" i="10"/>
  <c r="H788" i="10" s="1"/>
  <c r="T2209" i="7"/>
  <c r="N955" i="10" s="1"/>
  <c r="G955" i="10"/>
  <c r="H955" i="10" s="1"/>
  <c r="T2094" i="7"/>
  <c r="N840" i="10" s="1"/>
  <c r="G840" i="10"/>
  <c r="H840" i="10" s="1"/>
  <c r="T2304" i="7"/>
  <c r="N1050" i="10" s="1"/>
  <c r="G1050" i="10"/>
  <c r="H1050" i="10" s="1"/>
  <c r="T2134" i="7"/>
  <c r="N880" i="10" s="1"/>
  <c r="G880" i="10"/>
  <c r="H880" i="10" s="1"/>
  <c r="T2035" i="7"/>
  <c r="N781" i="10" s="1"/>
  <c r="G781" i="10"/>
  <c r="H781" i="10" s="1"/>
  <c r="T2031" i="7"/>
  <c r="N777" i="10" s="1"/>
  <c r="G777" i="10"/>
  <c r="H777" i="10" s="1"/>
  <c r="T2118" i="7"/>
  <c r="N864" i="10" s="1"/>
  <c r="G864" i="10"/>
  <c r="H864" i="10" s="1"/>
  <c r="T2218" i="7"/>
  <c r="N964" i="10" s="1"/>
  <c r="G964" i="10"/>
  <c r="H964" i="10" s="1"/>
  <c r="T2306" i="7"/>
  <c r="N1052" i="10" s="1"/>
  <c r="G1052" i="10"/>
  <c r="H1052" i="10" s="1"/>
  <c r="T1996" i="7"/>
  <c r="N742" i="10" s="1"/>
  <c r="G742" i="10"/>
  <c r="H742" i="10" s="1"/>
  <c r="D44" i="18" a="1"/>
  <c r="D44" i="18" s="1"/>
  <c r="M7" i="12" s="1"/>
  <c r="D43" i="18" a="1"/>
  <c r="D43" i="18" s="1"/>
  <c r="L7" i="12" s="1"/>
  <c r="D62" i="18" a="1"/>
  <c r="D62" i="18" s="1"/>
  <c r="P8" i="12" s="1"/>
  <c r="H10" i="15" a="1"/>
  <c r="H10" i="15" s="1"/>
  <c r="T2302" i="7"/>
  <c r="N1048" i="10" s="1"/>
  <c r="G1048" i="10"/>
  <c r="H1048" i="10" s="1"/>
  <c r="T2027" i="7"/>
  <c r="N773" i="10" s="1"/>
  <c r="G773" i="10"/>
  <c r="H773" i="10" s="1"/>
  <c r="T1348" i="7"/>
  <c r="N632" i="11" s="1"/>
  <c r="G632" i="11"/>
  <c r="H632" i="11" s="1"/>
  <c r="T851" i="7"/>
  <c r="N135" i="11" s="1"/>
  <c r="G135" i="11"/>
  <c r="H135" i="11" s="1"/>
  <c r="T1606" i="7"/>
  <c r="N890" i="11" s="1"/>
  <c r="G890" i="11"/>
  <c r="H890" i="11" s="1"/>
  <c r="T1415" i="7"/>
  <c r="N699" i="11" s="1"/>
  <c r="G699" i="11"/>
  <c r="H699" i="11" s="1"/>
  <c r="T1101" i="7"/>
  <c r="N385" i="11" s="1"/>
  <c r="G385" i="11"/>
  <c r="H385" i="11" s="1"/>
  <c r="T1041" i="7"/>
  <c r="N325" i="11" s="1"/>
  <c r="G325" i="11"/>
  <c r="H325" i="11" s="1"/>
  <c r="T1747" i="7"/>
  <c r="N1031" i="11" s="1"/>
  <c r="G1031" i="11"/>
  <c r="H1031" i="11" s="1"/>
  <c r="T882" i="7"/>
  <c r="N166" i="11" s="1"/>
  <c r="G166" i="11"/>
  <c r="H166" i="11" s="1"/>
  <c r="T1277" i="7"/>
  <c r="N561" i="11" s="1"/>
  <c r="G561" i="11"/>
  <c r="H561" i="11" s="1"/>
  <c r="T1718" i="7"/>
  <c r="N1002" i="11" s="1"/>
  <c r="G1002" i="11"/>
  <c r="H1002" i="11" s="1"/>
  <c r="T861" i="7"/>
  <c r="N145" i="11" s="1"/>
  <c r="G145" i="11"/>
  <c r="H145" i="11" s="1"/>
  <c r="Y1445" i="7" a="1"/>
  <c r="Y1445" i="7" s="1"/>
  <c r="G731" i="11"/>
  <c r="H731" i="11" s="1"/>
  <c r="T2263" i="7"/>
  <c r="N1009" i="10" s="1"/>
  <c r="G1009" i="10"/>
  <c r="H1009" i="10" s="1"/>
  <c r="T2001" i="7"/>
  <c r="N747" i="10" s="1"/>
  <c r="G747" i="10"/>
  <c r="H747" i="10" s="1"/>
  <c r="T2249" i="7"/>
  <c r="N995" i="10" s="1"/>
  <c r="G995" i="10"/>
  <c r="H995" i="10" s="1"/>
  <c r="T2312" i="7"/>
  <c r="N1058" i="10" s="1"/>
  <c r="G1058" i="10"/>
  <c r="H1058" i="10" s="1"/>
  <c r="T2106" i="7"/>
  <c r="N852" i="10" s="1"/>
  <c r="G852" i="10"/>
  <c r="H852" i="10" s="1"/>
  <c r="T2222" i="7"/>
  <c r="N968" i="10" s="1"/>
  <c r="G968" i="10"/>
  <c r="H968" i="10" s="1"/>
  <c r="T2285" i="7"/>
  <c r="N1031" i="10" s="1"/>
  <c r="G1031" i="10"/>
  <c r="H1031" i="10" s="1"/>
  <c r="T2100" i="7"/>
  <c r="N846" i="10" s="1"/>
  <c r="G846" i="10"/>
  <c r="H846" i="10" s="1"/>
  <c r="T2021" i="7"/>
  <c r="N767" i="10" s="1"/>
  <c r="G767" i="10"/>
  <c r="H767" i="10" s="1"/>
  <c r="T2275" i="7"/>
  <c r="N1021" i="10" s="1"/>
  <c r="G1021" i="10"/>
  <c r="H1021" i="10" s="1"/>
  <c r="T2128" i="7"/>
  <c r="N874" i="10" s="1"/>
  <c r="G874" i="10"/>
  <c r="H874" i="10" s="1"/>
  <c r="T2072" i="7"/>
  <c r="N818" i="10" s="1"/>
  <c r="G818" i="10"/>
  <c r="H818" i="10" s="1"/>
  <c r="T2221" i="7"/>
  <c r="N967" i="10" s="1"/>
  <c r="G967" i="10"/>
  <c r="H967" i="10" s="1"/>
  <c r="H60" i="11"/>
  <c r="T2240" i="7"/>
  <c r="N986" i="10" s="1"/>
  <c r="G986" i="10"/>
  <c r="H986" i="10" s="1"/>
  <c r="T2125" i="7"/>
  <c r="N871" i="10" s="1"/>
  <c r="G871" i="10"/>
  <c r="H871" i="10" s="1"/>
  <c r="T2313" i="7"/>
  <c r="N1059" i="10" s="1"/>
  <c r="G1059" i="10"/>
  <c r="H1059" i="10" s="1"/>
  <c r="T2293" i="7"/>
  <c r="N1039" i="10" s="1"/>
  <c r="G1039" i="10"/>
  <c r="H1039" i="10" s="1"/>
  <c r="T2214" i="7"/>
  <c r="N960" i="10" s="1"/>
  <c r="G960" i="10"/>
  <c r="H960" i="10" s="1"/>
  <c r="D37" i="18" a="1"/>
  <c r="D37" i="18" s="1"/>
  <c r="F7" i="12" s="1"/>
  <c r="D36" i="18" a="1"/>
  <c r="D36" i="18" s="1"/>
  <c r="E7" i="12" s="1"/>
  <c r="D55" i="18" a="1"/>
  <c r="D55" i="18" s="1"/>
  <c r="I8" i="12" s="1"/>
  <c r="H4" i="15" a="1"/>
  <c r="H4" i="15" s="1"/>
  <c r="T1596" i="7"/>
  <c r="N880" i="11" s="1"/>
  <c r="G880" i="11"/>
  <c r="H880" i="11" s="1"/>
  <c r="T1228" i="7"/>
  <c r="N512" i="11" s="1"/>
  <c r="G512" i="11"/>
  <c r="H512" i="11" s="1"/>
  <c r="T1764" i="7"/>
  <c r="N1048" i="11" s="1"/>
  <c r="G1048" i="11"/>
  <c r="H1048" i="11" s="1"/>
  <c r="T838" i="7"/>
  <c r="N122" i="11" s="1"/>
  <c r="G122" i="11"/>
  <c r="H122" i="11" s="1"/>
  <c r="T1762" i="7"/>
  <c r="N1046" i="11" s="1"/>
  <c r="G1046" i="11"/>
  <c r="H1046" i="11" s="1"/>
  <c r="T1362" i="7"/>
  <c r="N646" i="11" s="1"/>
  <c r="G646" i="11"/>
  <c r="H646" i="11" s="1"/>
  <c r="T789" i="7"/>
  <c r="N73" i="11" s="1"/>
  <c r="G73" i="11"/>
  <c r="H73" i="11" s="1"/>
  <c r="T1098" i="7"/>
  <c r="N382" i="11" s="1"/>
  <c r="G382" i="11"/>
  <c r="H382" i="11" s="1"/>
  <c r="T1010" i="7"/>
  <c r="N294" i="11" s="1"/>
  <c r="G294" i="11"/>
  <c r="H294" i="11" s="1"/>
  <c r="T1782" i="7"/>
  <c r="N1066" i="11" s="1"/>
  <c r="G1066" i="11"/>
  <c r="H1066" i="11" s="1"/>
  <c r="Y1630" i="7" a="1"/>
  <c r="Y1630" i="7" s="1"/>
  <c r="G916" i="11"/>
  <c r="H916" i="11" s="1"/>
  <c r="T1591" i="7"/>
  <c r="N875" i="11" s="1"/>
  <c r="G875" i="11"/>
  <c r="H875" i="11" s="1"/>
  <c r="T2087" i="7"/>
  <c r="N833" i="10" s="1"/>
  <c r="G833" i="10"/>
  <c r="H833" i="10" s="1"/>
  <c r="T2276" i="7"/>
  <c r="N1022" i="10" s="1"/>
  <c r="G1022" i="10"/>
  <c r="H1022" i="10" s="1"/>
  <c r="T2047" i="7"/>
  <c r="N793" i="10" s="1"/>
  <c r="G793" i="10"/>
  <c r="H793" i="10" s="1"/>
  <c r="T2191" i="7"/>
  <c r="N937" i="10" s="1"/>
  <c r="G937" i="10"/>
  <c r="H937" i="10" s="1"/>
  <c r="T2227" i="7"/>
  <c r="N973" i="10" s="1"/>
  <c r="G973" i="10"/>
  <c r="H973" i="10" s="1"/>
  <c r="T2081" i="7"/>
  <c r="N827" i="10" s="1"/>
  <c r="G827" i="10"/>
  <c r="H827" i="10" s="1"/>
  <c r="T2309" i="7"/>
  <c r="N1055" i="10" s="1"/>
  <c r="G1055" i="10"/>
  <c r="H1055" i="10" s="1"/>
  <c r="T2130" i="7"/>
  <c r="N876" i="10" s="1"/>
  <c r="G876" i="10"/>
  <c r="H876" i="10" s="1"/>
  <c r="T2095" i="7"/>
  <c r="N841" i="10" s="1"/>
  <c r="G841" i="10"/>
  <c r="H841" i="10" s="1"/>
  <c r="T2044" i="7"/>
  <c r="N790" i="10" s="1"/>
  <c r="G790" i="10"/>
  <c r="H790" i="10" s="1"/>
  <c r="T2274" i="7"/>
  <c r="N1020" i="10" s="1"/>
  <c r="G1020" i="10"/>
  <c r="H1020" i="10" s="1"/>
  <c r="T2268" i="7"/>
  <c r="N1014" i="10" s="1"/>
  <c r="G1014" i="10"/>
  <c r="H1014" i="10" s="1"/>
  <c r="T2290" i="7"/>
  <c r="N1036" i="10" s="1"/>
  <c r="G1036" i="10"/>
  <c r="H1036" i="10" s="1"/>
  <c r="T2034" i="7"/>
  <c r="N780" i="10" s="1"/>
  <c r="G780" i="10"/>
  <c r="H780" i="10" s="1"/>
  <c r="T2102" i="7"/>
  <c r="N848" i="10" s="1"/>
  <c r="G848" i="10"/>
  <c r="H848" i="10" s="1"/>
  <c r="T2010" i="7"/>
  <c r="N756" i="10" s="1"/>
  <c r="G756" i="10"/>
  <c r="H756" i="10" s="1"/>
  <c r="T2062" i="7"/>
  <c r="N808" i="10" s="1"/>
  <c r="G808" i="10"/>
  <c r="H808" i="10" s="1"/>
  <c r="T2326" i="7"/>
  <c r="N1072" i="10" s="1"/>
  <c r="G1072" i="10"/>
  <c r="H1072" i="10" s="1"/>
  <c r="T2330" i="7"/>
  <c r="N1076" i="10" s="1"/>
  <c r="G1076" i="10"/>
  <c r="H1076" i="10" s="1"/>
  <c r="D49" i="18" a="1"/>
  <c r="D49" i="18" s="1"/>
  <c r="C8" i="12" s="1"/>
  <c r="D48" i="18" a="1"/>
  <c r="D48" i="18" s="1"/>
  <c r="Q7" i="12" s="1"/>
  <c r="D60" i="18" a="1"/>
  <c r="D60" i="18" s="1"/>
  <c r="N8" i="12" s="1"/>
  <c r="G10" i="15" a="1"/>
  <c r="G10" i="15" s="1"/>
  <c r="T1195" i="7"/>
  <c r="N479" i="11" s="1"/>
  <c r="G479" i="11"/>
  <c r="H479" i="11" s="1"/>
  <c r="T1753" i="7"/>
  <c r="N1037" i="11" s="1"/>
  <c r="G1037" i="11"/>
  <c r="H1037" i="11" s="1"/>
  <c r="T782" i="7"/>
  <c r="N66" i="11" s="1"/>
  <c r="G66" i="11"/>
  <c r="H66" i="11" s="1"/>
  <c r="T1544" i="7"/>
  <c r="N828" i="11" s="1"/>
  <c r="G828" i="11"/>
  <c r="H828" i="11" s="1"/>
  <c r="T1189" i="7"/>
  <c r="N473" i="11" s="1"/>
  <c r="G473" i="11"/>
  <c r="H473" i="11" s="1"/>
  <c r="T1424" i="7"/>
  <c r="N708" i="11" s="1"/>
  <c r="G708" i="11"/>
  <c r="H708" i="11" s="1"/>
  <c r="T1355" i="7"/>
  <c r="N639" i="11" s="1"/>
  <c r="G639" i="11"/>
  <c r="H639" i="11" s="1"/>
  <c r="T966" i="7"/>
  <c r="N250" i="11" s="1"/>
  <c r="G250" i="11"/>
  <c r="H250" i="11" s="1"/>
  <c r="Y733" i="7" a="1"/>
  <c r="Y733" i="7" s="1"/>
  <c r="G19" i="11"/>
  <c r="H19" i="11" s="1"/>
  <c r="Y1271" i="7" a="1"/>
  <c r="Y1271" i="7" s="1"/>
  <c r="G557" i="11"/>
  <c r="H557" i="11" s="1"/>
  <c r="I508" i="7"/>
  <c r="T2180" i="7"/>
  <c r="N926" i="10" s="1"/>
  <c r="G926" i="10"/>
  <c r="H926" i="10" s="1"/>
  <c r="I523" i="7"/>
  <c r="T2051" i="7"/>
  <c r="N797" i="10" s="1"/>
  <c r="G797" i="10"/>
  <c r="H797" i="10" s="1"/>
  <c r="T2257" i="7"/>
  <c r="N1003" i="10" s="1"/>
  <c r="G1003" i="10"/>
  <c r="H1003" i="10" s="1"/>
  <c r="T2137" i="7"/>
  <c r="N883" i="10" s="1"/>
  <c r="G883" i="10"/>
  <c r="H883" i="10" s="1"/>
  <c r="T2075" i="7"/>
  <c r="N821" i="10" s="1"/>
  <c r="G821" i="10"/>
  <c r="H821" i="10" s="1"/>
  <c r="T2294" i="7"/>
  <c r="N1040" i="10" s="1"/>
  <c r="G1040" i="10"/>
  <c r="H1040" i="10" s="1"/>
  <c r="I501" i="7"/>
  <c r="T2032" i="7"/>
  <c r="N778" i="10" s="1"/>
  <c r="G778" i="10"/>
  <c r="H778" i="10" s="1"/>
  <c r="I476" i="7"/>
  <c r="T2131" i="7"/>
  <c r="N877" i="10" s="1"/>
  <c r="G877" i="10"/>
  <c r="H877" i="10" s="1"/>
  <c r="T2232" i="7"/>
  <c r="N978" i="10" s="1"/>
  <c r="G978" i="10"/>
  <c r="H978" i="10" s="1"/>
  <c r="T2096" i="7"/>
  <c r="N842" i="10" s="1"/>
  <c r="G842" i="10"/>
  <c r="H842" i="10" s="1"/>
  <c r="T2217" i="7"/>
  <c r="N963" i="10" s="1"/>
  <c r="G963" i="10"/>
  <c r="H963" i="10" s="1"/>
  <c r="T2112" i="7"/>
  <c r="N858" i="10" s="1"/>
  <c r="G858" i="10"/>
  <c r="H858" i="10" s="1"/>
  <c r="T1997" i="7"/>
  <c r="N743" i="10" s="1"/>
  <c r="G743" i="10"/>
  <c r="H743" i="10" s="1"/>
  <c r="T2213" i="7"/>
  <c r="N959" i="10" s="1"/>
  <c r="G959" i="10"/>
  <c r="H959" i="10" s="1"/>
  <c r="T2089" i="7"/>
  <c r="N835" i="10" s="1"/>
  <c r="G835" i="10"/>
  <c r="H835" i="10" s="1"/>
  <c r="T2189" i="7"/>
  <c r="N935" i="10" s="1"/>
  <c r="G935" i="10"/>
  <c r="H935" i="10" s="1"/>
  <c r="T2210" i="7"/>
  <c r="N956" i="10" s="1"/>
  <c r="G956" i="10"/>
  <c r="H956" i="10" s="1"/>
  <c r="T2058" i="7"/>
  <c r="N804" i="10" s="1"/>
  <c r="G804" i="10"/>
  <c r="H804" i="10" s="1"/>
  <c r="T2136" i="7"/>
  <c r="N882" i="10" s="1"/>
  <c r="G882" i="10"/>
  <c r="H882" i="10" s="1"/>
  <c r="T2151" i="7"/>
  <c r="N897" i="10" s="1"/>
  <c r="G897" i="10"/>
  <c r="H897" i="10" s="1"/>
  <c r="T2175" i="7"/>
  <c r="N921" i="10" s="1"/>
  <c r="G921" i="10"/>
  <c r="H921" i="10" s="1"/>
  <c r="D54" i="18" a="1"/>
  <c r="D54" i="18" s="1"/>
  <c r="H8" i="12" s="1"/>
  <c r="D59" i="18" a="1"/>
  <c r="D59" i="18" s="1"/>
  <c r="M8" i="12" s="1"/>
  <c r="D63" i="18" a="1"/>
  <c r="D63" i="18" s="1"/>
  <c r="Q8" i="12" s="1"/>
  <c r="G4" i="15" a="1"/>
  <c r="G4" i="15" s="1"/>
  <c r="T2133" i="7"/>
  <c r="N879" i="10" s="1"/>
  <c r="G879" i="10"/>
  <c r="H879" i="10" s="1"/>
  <c r="T1395" i="7"/>
  <c r="N679" i="11" s="1"/>
  <c r="G679" i="11"/>
  <c r="H679" i="11" s="1"/>
  <c r="T1052" i="7"/>
  <c r="N336" i="11" s="1"/>
  <c r="G336" i="11"/>
  <c r="H336" i="11" s="1"/>
  <c r="T781" i="7"/>
  <c r="N65" i="11" s="1"/>
  <c r="G65" i="11"/>
  <c r="H65" i="11" s="1"/>
  <c r="T1022" i="7"/>
  <c r="N306" i="11" s="1"/>
  <c r="G306" i="11"/>
  <c r="H306" i="11" s="1"/>
  <c r="T1578" i="7"/>
  <c r="N862" i="11" s="1"/>
  <c r="G862" i="11"/>
  <c r="H862" i="11" s="1"/>
  <c r="T1053" i="7"/>
  <c r="N337" i="11" s="1"/>
  <c r="G337" i="11"/>
  <c r="H337" i="11" s="1"/>
  <c r="T963" i="7"/>
  <c r="N247" i="11" s="1"/>
  <c r="G247" i="11"/>
  <c r="H247" i="11" s="1"/>
  <c r="T1788" i="7"/>
  <c r="N1072" i="11" s="1"/>
  <c r="G1072" i="11"/>
  <c r="H1072" i="11" s="1"/>
  <c r="T1153" i="7"/>
  <c r="N437" i="11" s="1"/>
  <c r="G437" i="11"/>
  <c r="H437" i="11" s="1"/>
  <c r="T1186" i="7"/>
  <c r="N470" i="11" s="1"/>
  <c r="G470" i="11"/>
  <c r="H470" i="11" s="1"/>
  <c r="T1570" i="7"/>
  <c r="N854" i="11" s="1"/>
  <c r="G854" i="11"/>
  <c r="H854" i="11" s="1"/>
  <c r="T1598" i="7"/>
  <c r="N882" i="11" s="1"/>
  <c r="G882" i="11"/>
  <c r="H882" i="11" s="1"/>
  <c r="T1065" i="7"/>
  <c r="N349" i="11" s="1"/>
  <c r="G349" i="11"/>
  <c r="H349" i="11" s="1"/>
  <c r="Y1091" i="7" a="1"/>
  <c r="Y1091" i="7" s="1"/>
  <c r="G377" i="11"/>
  <c r="H377" i="11" s="1"/>
  <c r="T1576" i="7"/>
  <c r="N860" i="11" s="1"/>
  <c r="G860" i="11"/>
  <c r="H860" i="11" s="1"/>
  <c r="I471" i="7"/>
  <c r="T2226" i="7"/>
  <c r="N972" i="10" s="1"/>
  <c r="G972" i="10"/>
  <c r="H972" i="10" s="1"/>
  <c r="T2004" i="7"/>
  <c r="N750" i="10" s="1"/>
  <c r="G750" i="10"/>
  <c r="H750" i="10" s="1"/>
  <c r="T2123" i="7"/>
  <c r="N869" i="10" s="1"/>
  <c r="G869" i="10"/>
  <c r="H869" i="10" s="1"/>
  <c r="T2197" i="7"/>
  <c r="N943" i="10" s="1"/>
  <c r="G943" i="10"/>
  <c r="H943" i="10" s="1"/>
  <c r="T2242" i="7"/>
  <c r="N988" i="10" s="1"/>
  <c r="G988" i="10"/>
  <c r="H988" i="10" s="1"/>
  <c r="T2331" i="7"/>
  <c r="N1077" i="10" s="1"/>
  <c r="G1077" i="10"/>
  <c r="H1077" i="10" s="1"/>
  <c r="T2028" i="7"/>
  <c r="N774" i="10" s="1"/>
  <c r="G774" i="10"/>
  <c r="H774" i="10" s="1"/>
  <c r="T2141" i="7"/>
  <c r="N887" i="10" s="1"/>
  <c r="G887" i="10"/>
  <c r="H887" i="10" s="1"/>
  <c r="T2320" i="7"/>
  <c r="N1066" i="10" s="1"/>
  <c r="G1066" i="10"/>
  <c r="H1066" i="10" s="1"/>
  <c r="I512" i="7"/>
  <c r="T2279" i="7"/>
  <c r="N1025" i="10" s="1"/>
  <c r="G1025" i="10"/>
  <c r="H1025" i="10" s="1"/>
  <c r="T2200" i="7"/>
  <c r="N946" i="10" s="1"/>
  <c r="G946" i="10"/>
  <c r="H946" i="10" s="1"/>
  <c r="T2038" i="7"/>
  <c r="N784" i="10" s="1"/>
  <c r="G784" i="10"/>
  <c r="H784" i="10" s="1"/>
  <c r="T2305" i="7"/>
  <c r="N1051" i="10" s="1"/>
  <c r="G1051" i="10"/>
  <c r="H1051" i="10" s="1"/>
  <c r="T2016" i="7"/>
  <c r="N762" i="10" s="1"/>
  <c r="G762" i="10"/>
  <c r="H762" i="10" s="1"/>
  <c r="T2045" i="7"/>
  <c r="N791" i="10" s="1"/>
  <c r="G791" i="10"/>
  <c r="H791" i="10" s="1"/>
  <c r="T2006" i="7"/>
  <c r="N752" i="10" s="1"/>
  <c r="G752" i="10"/>
  <c r="H752" i="10" s="1"/>
  <c r="T2256" i="7"/>
  <c r="N1002" i="10" s="1"/>
  <c r="G1002" i="10"/>
  <c r="H1002" i="10" s="1"/>
  <c r="T2057" i="7"/>
  <c r="N803" i="10" s="1"/>
  <c r="G803" i="10"/>
  <c r="H803" i="10" s="1"/>
  <c r="T2237" i="7"/>
  <c r="N983" i="10" s="1"/>
  <c r="G983" i="10"/>
  <c r="H983" i="10" s="1"/>
  <c r="T2056" i="7"/>
  <c r="N802" i="10" s="1"/>
  <c r="G802" i="10"/>
  <c r="H802" i="10" s="1"/>
  <c r="T2108" i="7"/>
  <c r="N854" i="10" s="1"/>
  <c r="G854" i="10"/>
  <c r="H854" i="10" s="1"/>
  <c r="T2219" i="7"/>
  <c r="N965" i="10" s="1"/>
  <c r="G965" i="10"/>
  <c r="H965" i="10" s="1"/>
  <c r="D42" i="18" a="1"/>
  <c r="D42" i="18" s="1"/>
  <c r="K7" i="12" s="1"/>
  <c r="D41" i="18" a="1"/>
  <c r="D41" i="18" s="1"/>
  <c r="J7" i="12" s="1"/>
  <c r="H7" i="15" a="1"/>
  <c r="H7" i="15" s="1"/>
  <c r="H9" i="15" a="1"/>
  <c r="H9" i="15" s="1"/>
  <c r="T2260" i="7"/>
  <c r="N1006" i="10" s="1"/>
  <c r="G1006" i="10"/>
  <c r="H1006" i="10" s="1"/>
  <c r="T2109" i="7"/>
  <c r="N855" i="10" s="1"/>
  <c r="G855" i="10"/>
  <c r="H855" i="10" s="1"/>
  <c r="T1727" i="7"/>
  <c r="N1011" i="11" s="1"/>
  <c r="G1011" i="11"/>
  <c r="H1011" i="11" s="1"/>
  <c r="T1216" i="7"/>
  <c r="N500" i="11" s="1"/>
  <c r="G500" i="11"/>
  <c r="H500" i="11" s="1"/>
  <c r="T971" i="7"/>
  <c r="N255" i="11" s="1"/>
  <c r="G255" i="11"/>
  <c r="H255" i="11" s="1"/>
  <c r="T1592" i="7"/>
  <c r="N876" i="11" s="1"/>
  <c r="G876" i="11"/>
  <c r="H876" i="11" s="1"/>
  <c r="T1516" i="7"/>
  <c r="N800" i="11" s="1"/>
  <c r="G800" i="11"/>
  <c r="H800" i="11" s="1"/>
  <c r="T878" i="7"/>
  <c r="N162" i="11" s="1"/>
  <c r="G162" i="11"/>
  <c r="H162" i="11" s="1"/>
  <c r="T843" i="7"/>
  <c r="N127" i="11" s="1"/>
  <c r="G127" i="11"/>
  <c r="H127" i="11" s="1"/>
  <c r="T1142" i="7"/>
  <c r="N426" i="11" s="1"/>
  <c r="G426" i="11"/>
  <c r="H426" i="11" s="1"/>
  <c r="T852" i="7"/>
  <c r="N136" i="11" s="1"/>
  <c r="G136" i="11"/>
  <c r="H136" i="11" s="1"/>
  <c r="T1701" i="7"/>
  <c r="N985" i="11" s="1"/>
  <c r="G985" i="11"/>
  <c r="H985" i="11" s="1"/>
  <c r="Y914" i="7" a="1"/>
  <c r="Y914" i="7" s="1"/>
  <c r="G200" i="11"/>
  <c r="H200" i="11" s="1"/>
  <c r="T1602" i="7"/>
  <c r="N886" i="11" s="1"/>
  <c r="G886" i="11"/>
  <c r="H886" i="11" s="1"/>
  <c r="Y735" i="7" a="1"/>
  <c r="Y735" i="7" s="1"/>
  <c r="G21" i="11"/>
  <c r="H21" i="11" s="1"/>
  <c r="T1770" i="7"/>
  <c r="N1054" i="11" s="1"/>
  <c r="G1054" i="11"/>
  <c r="H1054" i="11" s="1"/>
  <c r="Y912" i="7" a="1"/>
  <c r="Y912" i="7" s="1"/>
  <c r="G198" i="11"/>
  <c r="H198" i="11" s="1"/>
  <c r="T1755" i="7"/>
  <c r="N1039" i="11" s="1"/>
  <c r="G1039" i="11"/>
  <c r="H1039" i="11" s="1"/>
  <c r="I503" i="7"/>
  <c r="T2314" i="7"/>
  <c r="N1060" i="10" s="1"/>
  <c r="G1060" i="10"/>
  <c r="H1060" i="10" s="1"/>
  <c r="T2198" i="7"/>
  <c r="N944" i="10" s="1"/>
  <c r="G944" i="10"/>
  <c r="H944" i="10" s="1"/>
  <c r="T2230" i="7"/>
  <c r="N976" i="10" s="1"/>
  <c r="G976" i="10"/>
  <c r="H976" i="10" s="1"/>
  <c r="T2299" i="7"/>
  <c r="N1045" i="10" s="1"/>
  <c r="G1045" i="10"/>
  <c r="H1045" i="10" s="1"/>
  <c r="T2104" i="7"/>
  <c r="N850" i="10" s="1"/>
  <c r="G850" i="10"/>
  <c r="H850" i="10" s="1"/>
  <c r="I527" i="7"/>
  <c r="T2179" i="7"/>
  <c r="N925" i="10" s="1"/>
  <c r="G925" i="10"/>
  <c r="H925" i="10" s="1"/>
  <c r="T2071" i="7"/>
  <c r="N817" i="10" s="1"/>
  <c r="G817" i="10"/>
  <c r="H817" i="10" s="1"/>
  <c r="T2250" i="7"/>
  <c r="N996" i="10" s="1"/>
  <c r="G996" i="10"/>
  <c r="H996" i="10" s="1"/>
  <c r="T2264" i="7"/>
  <c r="N1010" i="10" s="1"/>
  <c r="G1010" i="10"/>
  <c r="H1010" i="10" s="1"/>
  <c r="T2212" i="7"/>
  <c r="N958" i="10" s="1"/>
  <c r="G958" i="10"/>
  <c r="H958" i="10" s="1"/>
  <c r="T2272" i="7"/>
  <c r="N1018" i="10" s="1"/>
  <c r="G1018" i="10"/>
  <c r="H1018" i="10" s="1"/>
  <c r="T2310" i="7"/>
  <c r="N1056" i="10" s="1"/>
  <c r="G1056" i="10"/>
  <c r="H1056" i="10" s="1"/>
  <c r="T2014" i="7"/>
  <c r="N760" i="10" s="1"/>
  <c r="G760" i="10"/>
  <c r="H760" i="10" s="1"/>
  <c r="T2092" i="7"/>
  <c r="N838" i="10" s="1"/>
  <c r="G838" i="10"/>
  <c r="H838" i="10" s="1"/>
  <c r="T2060" i="7"/>
  <c r="N806" i="10" s="1"/>
  <c r="G806" i="10"/>
  <c r="H806" i="10" s="1"/>
  <c r="T2076" i="7"/>
  <c r="N822" i="10" s="1"/>
  <c r="G822" i="10"/>
  <c r="H822" i="10" s="1"/>
  <c r="T2282" i="7"/>
  <c r="N1028" i="10" s="1"/>
  <c r="G1028" i="10"/>
  <c r="H1028" i="10" s="1"/>
  <c r="T2126" i="7"/>
  <c r="N872" i="10" s="1"/>
  <c r="G872" i="10"/>
  <c r="H872" i="10" s="1"/>
  <c r="T2300" i="7"/>
  <c r="N1046" i="10" s="1"/>
  <c r="G1046" i="10"/>
  <c r="H1046" i="10" s="1"/>
  <c r="T2224" i="7"/>
  <c r="N970" i="10" s="1"/>
  <c r="G970" i="10"/>
  <c r="H970" i="10" s="1"/>
  <c r="T2281" i="7"/>
  <c r="N1027" i="10" s="1"/>
  <c r="G1027" i="10"/>
  <c r="H1027" i="10" s="1"/>
  <c r="T2077" i="7"/>
  <c r="N823" i="10" s="1"/>
  <c r="G823" i="10"/>
  <c r="H823" i="10" s="1"/>
  <c r="T2241" i="7"/>
  <c r="N987" i="10" s="1"/>
  <c r="G987" i="10"/>
  <c r="H987" i="10" s="1"/>
  <c r="T2295" i="7"/>
  <c r="N1041" i="10" s="1"/>
  <c r="G1041" i="10"/>
  <c r="H1041" i="10" s="1"/>
  <c r="T2284" i="7"/>
  <c r="N1030" i="10" s="1"/>
  <c r="G1030" i="10"/>
  <c r="H1030" i="10" s="1"/>
  <c r="T2022" i="7"/>
  <c r="N768" i="10" s="1"/>
  <c r="G768" i="10"/>
  <c r="H768" i="10" s="1"/>
  <c r="T2088" i="7"/>
  <c r="N834" i="10" s="1"/>
  <c r="G834" i="10"/>
  <c r="H834" i="10" s="1"/>
  <c r="T2201" i="7"/>
  <c r="N947" i="10" s="1"/>
  <c r="G947" i="10"/>
  <c r="H947" i="10" s="1"/>
  <c r="T2080" i="7"/>
  <c r="N826" i="10" s="1"/>
  <c r="G826" i="10"/>
  <c r="H826" i="10" s="1"/>
  <c r="D47" i="18" a="1"/>
  <c r="D47" i="18" s="1"/>
  <c r="P7" i="12" s="1"/>
  <c r="D53" i="18" a="1"/>
  <c r="D53" i="18" s="1"/>
  <c r="G8" i="12" s="1"/>
  <c r="D58" i="18" a="1"/>
  <c r="D58" i="18" s="1"/>
  <c r="L8" i="12" s="1"/>
  <c r="G9" i="15" a="1"/>
  <c r="G9" i="15" s="1"/>
  <c r="T1280" i="7"/>
  <c r="N564" i="11" s="1"/>
  <c r="G564" i="11"/>
  <c r="H564" i="11" s="1"/>
  <c r="T1049" i="7"/>
  <c r="N333" i="11" s="1"/>
  <c r="G333" i="11"/>
  <c r="H333" i="11" s="1"/>
  <c r="T942" i="7"/>
  <c r="N226" i="11" s="1"/>
  <c r="G226" i="11"/>
  <c r="H226" i="11" s="1"/>
  <c r="T1746" i="7"/>
  <c r="N1030" i="11" s="1"/>
  <c r="G1030" i="11"/>
  <c r="H1030" i="11" s="1"/>
  <c r="T1459" i="7"/>
  <c r="N743" i="11" s="1"/>
  <c r="G743" i="11"/>
  <c r="H743" i="11" s="1"/>
  <c r="T836" i="7"/>
  <c r="N120" i="11" s="1"/>
  <c r="G120" i="11"/>
  <c r="H120" i="11" s="1"/>
  <c r="T832" i="7"/>
  <c r="N116" i="11" s="1"/>
  <c r="G116" i="11"/>
  <c r="H116" i="11" s="1"/>
  <c r="T1037" i="7"/>
  <c r="N321" i="11" s="1"/>
  <c r="G321" i="11"/>
  <c r="H321" i="11" s="1"/>
  <c r="T1590" i="7"/>
  <c r="N874" i="11" s="1"/>
  <c r="G874" i="11"/>
  <c r="H874" i="11" s="1"/>
  <c r="T1679" i="7"/>
  <c r="N963" i="11" s="1"/>
  <c r="G963" i="11"/>
  <c r="H963" i="11" s="1"/>
  <c r="T864" i="7"/>
  <c r="N148" i="11" s="1"/>
  <c r="G148" i="11"/>
  <c r="H148" i="11" s="1"/>
  <c r="T961" i="7"/>
  <c r="N245" i="11" s="1"/>
  <c r="G245" i="11"/>
  <c r="H245" i="11" s="1"/>
  <c r="T1064" i="7"/>
  <c r="N348" i="11" s="1"/>
  <c r="G348" i="11"/>
  <c r="H348" i="11" s="1"/>
  <c r="T1069" i="7"/>
  <c r="N353" i="11" s="1"/>
  <c r="G353" i="11"/>
  <c r="H353" i="11" s="1"/>
  <c r="T1483" i="7"/>
  <c r="N767" i="11" s="1"/>
  <c r="G767" i="11"/>
  <c r="H767" i="11" s="1"/>
  <c r="T1434" i="7"/>
  <c r="N718" i="11" s="1"/>
  <c r="G718" i="11"/>
  <c r="H718" i="11" s="1"/>
  <c r="T1781" i="7"/>
  <c r="N1065" i="11" s="1"/>
  <c r="G1065" i="11"/>
  <c r="H1065" i="11" s="1"/>
  <c r="T1413" i="7"/>
  <c r="N697" i="11" s="1"/>
  <c r="G697" i="11"/>
  <c r="H697" i="11" s="1"/>
  <c r="T1412" i="7"/>
  <c r="N696" i="11" s="1"/>
  <c r="G696" i="11"/>
  <c r="H696" i="11" s="1"/>
  <c r="T751" i="7"/>
  <c r="N35" i="11" s="1"/>
  <c r="G35" i="11"/>
  <c r="H35" i="11" s="1"/>
  <c r="T1006" i="7"/>
  <c r="N290" i="11" s="1"/>
  <c r="G290" i="11"/>
  <c r="H290" i="11" s="1"/>
  <c r="T808" i="7"/>
  <c r="N92" i="11" s="1"/>
  <c r="G92" i="11"/>
  <c r="H92" i="11" s="1"/>
  <c r="T1182" i="7"/>
  <c r="N466" i="11" s="1"/>
  <c r="G466" i="11"/>
  <c r="H466" i="11" s="1"/>
  <c r="T1156" i="7"/>
  <c r="N440" i="11" s="1"/>
  <c r="G440" i="11"/>
  <c r="H440" i="11" s="1"/>
  <c r="I389" i="7"/>
  <c r="T2138" i="7"/>
  <c r="N884" i="10" s="1"/>
  <c r="G884" i="10"/>
  <c r="H884" i="10" s="1"/>
  <c r="T2183" i="7"/>
  <c r="N929" i="10" s="1"/>
  <c r="G929" i="10"/>
  <c r="H929" i="10" s="1"/>
  <c r="T2120" i="7"/>
  <c r="N866" i="10" s="1"/>
  <c r="G866" i="10"/>
  <c r="H866" i="10" s="1"/>
  <c r="T2025" i="7"/>
  <c r="N771" i="10" s="1"/>
  <c r="G771" i="10"/>
  <c r="H771" i="10" s="1"/>
  <c r="T2064" i="7"/>
  <c r="N810" i="10" s="1"/>
  <c r="G810" i="10"/>
  <c r="H810" i="10" s="1"/>
  <c r="T2142" i="7"/>
  <c r="N888" i="10" s="1"/>
  <c r="G888" i="10"/>
  <c r="H888" i="10" s="1"/>
  <c r="T2321" i="7"/>
  <c r="N1067" i="10" s="1"/>
  <c r="G1067" i="10"/>
  <c r="H1067" i="10" s="1"/>
  <c r="T2288" i="7"/>
  <c r="N1034" i="10" s="1"/>
  <c r="G1034" i="10"/>
  <c r="H1034" i="10" s="1"/>
  <c r="T2277" i="7"/>
  <c r="N1023" i="10" s="1"/>
  <c r="G1023" i="10"/>
  <c r="H1023" i="10" s="1"/>
  <c r="T2099" i="7"/>
  <c r="N845" i="10" s="1"/>
  <c r="G845" i="10"/>
  <c r="H845" i="10" s="1"/>
  <c r="T2098" i="7"/>
  <c r="N844" i="10" s="1"/>
  <c r="G844" i="10"/>
  <c r="H844" i="10" s="1"/>
  <c r="I772" i="7"/>
  <c r="F63" i="11"/>
  <c r="T2093" i="7"/>
  <c r="N839" i="10" s="1"/>
  <c r="G839" i="10"/>
  <c r="H839" i="10" s="1"/>
  <c r="T2053" i="7"/>
  <c r="N799" i="10" s="1"/>
  <c r="G799" i="10"/>
  <c r="H799" i="10" s="1"/>
  <c r="T2239" i="7"/>
  <c r="N985" i="10" s="1"/>
  <c r="G985" i="10"/>
  <c r="H985" i="10" s="1"/>
  <c r="T2291" i="7"/>
  <c r="N1037" i="10" s="1"/>
  <c r="G1037" i="10"/>
  <c r="H1037" i="10" s="1"/>
  <c r="T2176" i="7"/>
  <c r="N922" i="10" s="1"/>
  <c r="G922" i="10"/>
  <c r="H922" i="10" s="1"/>
  <c r="T2121" i="7"/>
  <c r="N867" i="10" s="1"/>
  <c r="G867" i="10"/>
  <c r="H867" i="10" s="1"/>
  <c r="T2113" i="7"/>
  <c r="N859" i="10" s="1"/>
  <c r="G859" i="10"/>
  <c r="H859" i="10" s="1"/>
  <c r="T2029" i="7"/>
  <c r="N775" i="10" s="1"/>
  <c r="G775" i="10"/>
  <c r="H775" i="10" s="1"/>
  <c r="T2129" i="7"/>
  <c r="N875" i="10" s="1"/>
  <c r="G875" i="10"/>
  <c r="H875" i="10" s="1"/>
  <c r="T2024" i="7"/>
  <c r="N770" i="10" s="1"/>
  <c r="G770" i="10"/>
  <c r="H770" i="10" s="1"/>
  <c r="T2150" i="7"/>
  <c r="N896" i="10" s="1"/>
  <c r="G896" i="10"/>
  <c r="H896" i="10" s="1"/>
  <c r="T2110" i="7"/>
  <c r="N856" i="10" s="1"/>
  <c r="G856" i="10"/>
  <c r="H856" i="10" s="1"/>
  <c r="T2023" i="7"/>
  <c r="N769" i="10" s="1"/>
  <c r="G769" i="10"/>
  <c r="H769" i="10" s="1"/>
  <c r="T2116" i="7"/>
  <c r="N862" i="10" s="1"/>
  <c r="G862" i="10"/>
  <c r="H862" i="10" s="1"/>
  <c r="T2105" i="7"/>
  <c r="N851" i="10" s="1"/>
  <c r="G851" i="10"/>
  <c r="H851" i="10" s="1"/>
  <c r="T2061" i="7"/>
  <c r="N807" i="10" s="1"/>
  <c r="G807" i="10"/>
  <c r="H807" i="10" s="1"/>
  <c r="T2315" i="7"/>
  <c r="N1061" i="10" s="1"/>
  <c r="G1061" i="10"/>
  <c r="H1061" i="10" s="1"/>
  <c r="T2036" i="7"/>
  <c r="N782" i="10" s="1"/>
  <c r="G782" i="10"/>
  <c r="H782" i="10" s="1"/>
  <c r="T2229" i="7"/>
  <c r="N975" i="10" s="1"/>
  <c r="G975" i="10"/>
  <c r="H975" i="10" s="1"/>
  <c r="D57" i="18" a="1"/>
  <c r="D57" i="18" s="1"/>
  <c r="K8" i="12" s="1"/>
  <c r="D34" i="18" a="1"/>
  <c r="D34" i="18" s="1"/>
  <c r="C7" i="12" s="1"/>
  <c r="D61" i="18" a="1"/>
  <c r="D61" i="18" s="1"/>
  <c r="O8" i="12" s="1"/>
  <c r="H8" i="15" a="1"/>
  <c r="H8" i="15" s="1"/>
  <c r="T2266" i="7"/>
  <c r="N1012" i="10" s="1"/>
  <c r="G1012" i="10"/>
  <c r="H1012" i="10" s="1"/>
  <c r="T2063" i="7"/>
  <c r="N809" i="10" s="1"/>
  <c r="G809" i="10"/>
  <c r="H809" i="10" s="1"/>
  <c r="T2017" i="7"/>
  <c r="N763" i="10" s="1"/>
  <c r="G763" i="10"/>
  <c r="H763" i="10" s="1"/>
  <c r="T2040" i="7"/>
  <c r="N786" i="10" s="1"/>
  <c r="G786" i="10"/>
  <c r="H786" i="10" s="1"/>
  <c r="T1548" i="7"/>
  <c r="N832" i="11" s="1"/>
  <c r="G832" i="11"/>
  <c r="H832" i="11" s="1"/>
  <c r="T1757" i="7"/>
  <c r="N1041" i="11" s="1"/>
  <c r="G1041" i="11"/>
  <c r="H1041" i="11" s="1"/>
  <c r="T871" i="7"/>
  <c r="N155" i="11" s="1"/>
  <c r="G155" i="11"/>
  <c r="H155" i="11" s="1"/>
  <c r="T1769" i="7"/>
  <c r="N1053" i="11" s="1"/>
  <c r="G1053" i="11"/>
  <c r="H1053" i="11" s="1"/>
  <c r="T1021" i="7"/>
  <c r="N305" i="11" s="1"/>
  <c r="G305" i="11"/>
  <c r="H305" i="11" s="1"/>
  <c r="T1321" i="7"/>
  <c r="N605" i="11" s="1"/>
  <c r="G605" i="11"/>
  <c r="H605" i="11" s="1"/>
  <c r="T1771" i="7"/>
  <c r="N1055" i="11" s="1"/>
  <c r="G1055" i="11"/>
  <c r="H1055" i="11" s="1"/>
  <c r="T992" i="7"/>
  <c r="N276" i="11" s="1"/>
  <c r="G276" i="11"/>
  <c r="H276" i="11" s="1"/>
  <c r="T1326" i="7"/>
  <c r="N610" i="11" s="1"/>
  <c r="G610" i="11"/>
  <c r="H610" i="11" s="1"/>
  <c r="T1583" i="7"/>
  <c r="N867" i="11" s="1"/>
  <c r="G867" i="11"/>
  <c r="H867" i="11" s="1"/>
  <c r="T965" i="7"/>
  <c r="N249" i="11" s="1"/>
  <c r="G249" i="11"/>
  <c r="H249" i="11" s="1"/>
  <c r="T1613" i="7"/>
  <c r="N897" i="11" s="1"/>
  <c r="G897" i="11"/>
  <c r="H897" i="11" s="1"/>
  <c r="T1368" i="7"/>
  <c r="N652" i="11" s="1"/>
  <c r="G652" i="11"/>
  <c r="H652" i="11" s="1"/>
  <c r="T1508" i="7"/>
  <c r="N792" i="11" s="1"/>
  <c r="G792" i="11"/>
  <c r="H792" i="11" s="1"/>
  <c r="T1027" i="7"/>
  <c r="N311" i="11" s="1"/>
  <c r="G311" i="11"/>
  <c r="H311" i="11" s="1"/>
  <c r="Y1449" i="7" a="1"/>
  <c r="Y1449" i="7" s="1"/>
  <c r="G735" i="11"/>
  <c r="H735" i="11" s="1"/>
  <c r="T896" i="7"/>
  <c r="N180" i="11" s="1"/>
  <c r="G180" i="11"/>
  <c r="H180" i="11" s="1"/>
  <c r="T1398" i="7"/>
  <c r="N682" i="11" s="1"/>
  <c r="G682" i="11"/>
  <c r="H682" i="11" s="1"/>
  <c r="Y910" i="7" a="1"/>
  <c r="Y910" i="7" s="1"/>
  <c r="G196" i="11"/>
  <c r="H196" i="11" s="1"/>
  <c r="Y1624" i="7" a="1"/>
  <c r="Y1624" i="7" s="1"/>
  <c r="G910" i="11"/>
  <c r="H910" i="11" s="1"/>
  <c r="Y1446" i="7" a="1"/>
  <c r="Y1446" i="7" s="1"/>
  <c r="G732" i="11"/>
  <c r="H732" i="11" s="1"/>
  <c r="Y1266" i="7" a="1"/>
  <c r="Y1266" i="7" s="1"/>
  <c r="G552" i="11"/>
  <c r="H552" i="11" s="1"/>
  <c r="I506" i="7"/>
  <c r="I435" i="7"/>
  <c r="T2135" i="7"/>
  <c r="N881" i="10" s="1"/>
  <c r="G881" i="10"/>
  <c r="H881" i="10" s="1"/>
  <c r="T2322" i="7"/>
  <c r="N1068" i="10" s="1"/>
  <c r="G1068" i="10"/>
  <c r="H1068" i="10" s="1"/>
  <c r="T2065" i="7"/>
  <c r="N811" i="10" s="1"/>
  <c r="G811" i="10"/>
  <c r="H811" i="10" s="1"/>
  <c r="I457" i="7"/>
  <c r="T2070" i="7"/>
  <c r="N816" i="10" s="1"/>
  <c r="G816" i="10"/>
  <c r="H816" i="10" s="1"/>
  <c r="T2190" i="7"/>
  <c r="N936" i="10" s="1"/>
  <c r="G936" i="10"/>
  <c r="H936" i="10" s="1"/>
  <c r="T2011" i="7"/>
  <c r="N757" i="10" s="1"/>
  <c r="G757" i="10"/>
  <c r="H757" i="10" s="1"/>
  <c r="T2245" i="7"/>
  <c r="N991" i="10" s="1"/>
  <c r="G991" i="10"/>
  <c r="H991" i="10" s="1"/>
  <c r="T2231" i="7"/>
  <c r="N977" i="10" s="1"/>
  <c r="G977" i="10"/>
  <c r="H977" i="10" s="1"/>
  <c r="T2041" i="7"/>
  <c r="N787" i="10" s="1"/>
  <c r="G787" i="10"/>
  <c r="H787" i="10" s="1"/>
  <c r="T2246" i="7"/>
  <c r="N992" i="10" s="1"/>
  <c r="G992" i="10"/>
  <c r="H992" i="10" s="1"/>
  <c r="T2020" i="7"/>
  <c r="N766" i="10" s="1"/>
  <c r="G766" i="10"/>
  <c r="H766" i="10" s="1"/>
  <c r="T2026" i="7"/>
  <c r="N772" i="10" s="1"/>
  <c r="G772" i="10"/>
  <c r="H772" i="10" s="1"/>
  <c r="T2013" i="7"/>
  <c r="N759" i="10" s="1"/>
  <c r="G759" i="10"/>
  <c r="H759" i="10" s="1"/>
  <c r="T2122" i="7"/>
  <c r="N868" i="10" s="1"/>
  <c r="G868" i="10"/>
  <c r="H868" i="10" s="1"/>
  <c r="T2073" i="7"/>
  <c r="N819" i="10" s="1"/>
  <c r="G819" i="10"/>
  <c r="H819" i="10" s="1"/>
  <c r="T2259" i="7"/>
  <c r="N1005" i="10" s="1"/>
  <c r="G1005" i="10"/>
  <c r="H1005" i="10" s="1"/>
  <c r="T2195" i="7"/>
  <c r="N941" i="10" s="1"/>
  <c r="G941" i="10"/>
  <c r="H941" i="10" s="1"/>
  <c r="T2308" i="7"/>
  <c r="N1054" i="10" s="1"/>
  <c r="G1054" i="10"/>
  <c r="H1054" i="10" s="1"/>
  <c r="T2203" i="7"/>
  <c r="N949" i="10" s="1"/>
  <c r="G949" i="10"/>
  <c r="H949" i="10" s="1"/>
  <c r="T2202" i="7"/>
  <c r="N948" i="10" s="1"/>
  <c r="G948" i="10"/>
  <c r="H948" i="10" s="1"/>
  <c r="T2145" i="7"/>
  <c r="N891" i="10" s="1"/>
  <c r="G891" i="10"/>
  <c r="H891" i="10" s="1"/>
  <c r="T2236" i="7"/>
  <c r="N982" i="10" s="1"/>
  <c r="G982" i="10"/>
  <c r="H982" i="10" s="1"/>
  <c r="T2258" i="7"/>
  <c r="N1004" i="10" s="1"/>
  <c r="G1004" i="10"/>
  <c r="H1004" i="10" s="1"/>
  <c r="T2235" i="7"/>
  <c r="N981" i="10" s="1"/>
  <c r="G981" i="10"/>
  <c r="H981" i="10" s="1"/>
  <c r="T2287" i="7"/>
  <c r="N1033" i="10" s="1"/>
  <c r="G1033" i="10"/>
  <c r="H1033" i="10" s="1"/>
  <c r="T2068" i="7"/>
  <c r="N814" i="10" s="1"/>
  <c r="G814" i="10"/>
  <c r="H814" i="10" s="1"/>
  <c r="T2215" i="7"/>
  <c r="N961" i="10" s="1"/>
  <c r="G961" i="10"/>
  <c r="H961" i="10" s="1"/>
  <c r="D40" i="18" a="1"/>
  <c r="D40" i="18" s="1"/>
  <c r="I7" i="12" s="1"/>
  <c r="D46" i="18" a="1"/>
  <c r="D46" i="18" s="1"/>
  <c r="O7" i="12" s="1"/>
  <c r="G7" i="15" a="1"/>
  <c r="G7" i="15" s="1"/>
  <c r="G8" i="15" a="1"/>
  <c r="G8" i="15" s="1"/>
  <c r="T2286" i="7"/>
  <c r="N1032" i="10" s="1"/>
  <c r="G1032" i="10"/>
  <c r="H1032" i="10" s="1"/>
  <c r="T2078" i="7"/>
  <c r="N824" i="10" s="1"/>
  <c r="G824" i="10"/>
  <c r="H824" i="10" s="1"/>
  <c r="T2019" i="7"/>
  <c r="N765" i="10" s="1"/>
  <c r="G765" i="10"/>
  <c r="H765" i="10" s="1"/>
  <c r="T1057" i="7"/>
  <c r="N341" i="11" s="1"/>
  <c r="G341" i="11"/>
  <c r="H341" i="11" s="1"/>
  <c r="T1369" i="7"/>
  <c r="N653" i="11" s="1"/>
  <c r="G653" i="11"/>
  <c r="H653" i="11" s="1"/>
  <c r="T1201" i="7"/>
  <c r="N485" i="11" s="1"/>
  <c r="G485" i="11"/>
  <c r="H485" i="11" s="1"/>
  <c r="T1215" i="7"/>
  <c r="N499" i="11" s="1"/>
  <c r="G499" i="11"/>
  <c r="H499" i="11" s="1"/>
  <c r="T1031" i="7"/>
  <c r="N315" i="11" s="1"/>
  <c r="G315" i="11"/>
  <c r="H315" i="11" s="1"/>
  <c r="T1030" i="7"/>
  <c r="N314" i="11" s="1"/>
  <c r="G314" i="11"/>
  <c r="H314" i="11" s="1"/>
  <c r="T1140" i="7"/>
  <c r="N424" i="11" s="1"/>
  <c r="G424" i="11"/>
  <c r="H424" i="11" s="1"/>
  <c r="T890" i="7"/>
  <c r="N174" i="11" s="1"/>
  <c r="G174" i="11"/>
  <c r="H174" i="11" s="1"/>
  <c r="T813" i="7"/>
  <c r="N97" i="11" s="1"/>
  <c r="G97" i="11"/>
  <c r="H97" i="11" s="1"/>
  <c r="T1520" i="7"/>
  <c r="N804" i="11" s="1"/>
  <c r="G804" i="11"/>
  <c r="H804" i="11" s="1"/>
  <c r="T1496" i="7"/>
  <c r="N780" i="11" s="1"/>
  <c r="G780" i="11"/>
  <c r="H780" i="11" s="1"/>
  <c r="T1070" i="7"/>
  <c r="N354" i="11" s="1"/>
  <c r="G354" i="11"/>
  <c r="H354" i="11" s="1"/>
  <c r="T825" i="7"/>
  <c r="N109" i="11" s="1"/>
  <c r="G109" i="11"/>
  <c r="H109" i="11" s="1"/>
  <c r="T1160" i="7"/>
  <c r="N444" i="11" s="1"/>
  <c r="G444" i="11"/>
  <c r="H444" i="11" s="1"/>
  <c r="T1329" i="7"/>
  <c r="N613" i="11" s="1"/>
  <c r="G613" i="11"/>
  <c r="H613" i="11" s="1"/>
  <c r="Y909" i="7" a="1"/>
  <c r="Y909" i="7" s="1"/>
  <c r="G195" i="11"/>
  <c r="H195" i="11" s="1"/>
  <c r="Y1628" i="7" a="1"/>
  <c r="Y1628" i="7" s="1"/>
  <c r="G914" i="11"/>
  <c r="H914" i="11" s="1"/>
  <c r="H63" i="11"/>
  <c r="T1354" i="7"/>
  <c r="N638" i="11" s="1"/>
  <c r="G638" i="11"/>
  <c r="H638" i="11" s="1"/>
  <c r="T1457" i="7"/>
  <c r="N741" i="11" s="1"/>
  <c r="G741" i="11"/>
  <c r="H741" i="11" s="1"/>
  <c r="Y729" i="7" a="1"/>
  <c r="Y729" i="7" s="1"/>
  <c r="G15" i="11"/>
  <c r="H15" i="11" s="1"/>
  <c r="I539" i="7"/>
  <c r="T2204" i="7"/>
  <c r="N950" i="10" s="1"/>
  <c r="G950" i="10"/>
  <c r="H950" i="10" s="1"/>
  <c r="T1999" i="7"/>
  <c r="N745" i="10" s="1"/>
  <c r="G745" i="10"/>
  <c r="H745" i="10" s="1"/>
  <c r="T2046" i="7"/>
  <c r="N792" i="10" s="1"/>
  <c r="G792" i="10"/>
  <c r="H792" i="10" s="1"/>
  <c r="T2012" i="7"/>
  <c r="N758" i="10" s="1"/>
  <c r="G758" i="10"/>
  <c r="H758" i="10" s="1"/>
  <c r="T2048" i="7"/>
  <c r="N794" i="10" s="1"/>
  <c r="G794" i="10"/>
  <c r="H794" i="10" s="1"/>
  <c r="T2069" i="7"/>
  <c r="N815" i="10" s="1"/>
  <c r="G815" i="10"/>
  <c r="H815" i="10" s="1"/>
  <c r="T2054" i="7"/>
  <c r="N800" i="10" s="1"/>
  <c r="G800" i="10"/>
  <c r="H800" i="10" s="1"/>
  <c r="T2220" i="7"/>
  <c r="N966" i="10" s="1"/>
  <c r="G966" i="10"/>
  <c r="H966" i="10" s="1"/>
  <c r="T2067" i="7"/>
  <c r="N813" i="10" s="1"/>
  <c r="G813" i="10"/>
  <c r="H813" i="10" s="1"/>
  <c r="T2199" i="7"/>
  <c r="N945" i="10" s="1"/>
  <c r="G945" i="10"/>
  <c r="H945" i="10" s="1"/>
  <c r="T2193" i="7"/>
  <c r="N939" i="10" s="1"/>
  <c r="G939" i="10"/>
  <c r="H939" i="10" s="1"/>
  <c r="T2271" i="7"/>
  <c r="N1017" i="10" s="1"/>
  <c r="G1017" i="10"/>
  <c r="H1017" i="10" s="1"/>
  <c r="T2205" i="7"/>
  <c r="N951" i="10" s="1"/>
  <c r="G951" i="10"/>
  <c r="H951" i="10" s="1"/>
  <c r="T2255" i="7"/>
  <c r="N1001" i="10" s="1"/>
  <c r="G1001" i="10"/>
  <c r="H1001" i="10" s="1"/>
  <c r="T2082" i="7"/>
  <c r="N828" i="10" s="1"/>
  <c r="G828" i="10"/>
  <c r="H828" i="10" s="1"/>
  <c r="T2252" i="7"/>
  <c r="N998" i="10" s="1"/>
  <c r="G998" i="10"/>
  <c r="H998" i="10" s="1"/>
  <c r="T2090" i="7"/>
  <c r="N836" i="10" s="1"/>
  <c r="G836" i="10"/>
  <c r="H836" i="10" s="1"/>
  <c r="T2033" i="7"/>
  <c r="N779" i="10" s="1"/>
  <c r="G779" i="10"/>
  <c r="H779" i="10" s="1"/>
  <c r="T2324" i="7"/>
  <c r="N1070" i="10" s="1"/>
  <c r="G1070" i="10"/>
  <c r="H1070" i="10" s="1"/>
  <c r="T2182" i="7"/>
  <c r="N928" i="10" s="1"/>
  <c r="G928" i="10"/>
  <c r="H928" i="10" s="1"/>
  <c r="T2267" i="7"/>
  <c r="N1013" i="10" s="1"/>
  <c r="G1013" i="10"/>
  <c r="H1013" i="10" s="1"/>
  <c r="T2101" i="7"/>
  <c r="N847" i="10" s="1"/>
  <c r="G847" i="10"/>
  <c r="H847" i="10" s="1"/>
  <c r="T2083" i="7"/>
  <c r="N829" i="10" s="1"/>
  <c r="G829" i="10"/>
  <c r="H829" i="10" s="1"/>
  <c r="T2037" i="7"/>
  <c r="N783" i="10" s="1"/>
  <c r="G783" i="10"/>
  <c r="H783" i="10" s="1"/>
  <c r="D52" i="18" a="1"/>
  <c r="D52" i="18" s="1"/>
  <c r="F8" i="12" s="1"/>
  <c r="D56" i="18" a="1"/>
  <c r="D56" i="18" s="1"/>
  <c r="J8" i="12" s="1"/>
  <c r="H6" i="15" a="1"/>
  <c r="H6" i="15" s="1"/>
  <c r="T2316" i="7"/>
  <c r="N1062" i="10" s="1"/>
  <c r="G1062" i="10"/>
  <c r="H1062" i="10" s="1"/>
  <c r="T2248" i="7"/>
  <c r="N994" i="10" s="1"/>
  <c r="G994" i="10"/>
  <c r="H994" i="10" s="1"/>
  <c r="H630" i="11"/>
  <c r="T2216" i="7"/>
  <c r="N962" i="10" s="1"/>
  <c r="G962" i="10"/>
  <c r="H962" i="10" s="1"/>
  <c r="T1696" i="7"/>
  <c r="N980" i="11" s="1"/>
  <c r="G980" i="11"/>
  <c r="H980" i="11" s="1"/>
  <c r="T800" i="7"/>
  <c r="N84" i="11" s="1"/>
  <c r="G84" i="11"/>
  <c r="H84" i="11" s="1"/>
  <c r="T1237" i="7"/>
  <c r="N521" i="11" s="1"/>
  <c r="G521" i="11"/>
  <c r="H521" i="11" s="1"/>
  <c r="T1726" i="7"/>
  <c r="N1010" i="11" s="1"/>
  <c r="G1010" i="11"/>
  <c r="H1010" i="11" s="1"/>
  <c r="T1674" i="7"/>
  <c r="N958" i="11" s="1"/>
  <c r="G958" i="11"/>
  <c r="H958" i="11" s="1"/>
  <c r="T1317" i="7"/>
  <c r="N601" i="11" s="1"/>
  <c r="G601" i="11"/>
  <c r="H601" i="11" s="1"/>
  <c r="T875" i="7"/>
  <c r="N159" i="11" s="1"/>
  <c r="G159" i="11"/>
  <c r="H159" i="11" s="1"/>
  <c r="T1109" i="7"/>
  <c r="N393" i="11" s="1"/>
  <c r="G393" i="11"/>
  <c r="H393" i="11" s="1"/>
  <c r="T1543" i="7"/>
  <c r="N827" i="11" s="1"/>
  <c r="G827" i="11"/>
  <c r="H827" i="11" s="1"/>
  <c r="T1028" i="7"/>
  <c r="N312" i="11" s="1"/>
  <c r="G312" i="11"/>
  <c r="H312" i="11" s="1"/>
  <c r="Y1089" i="7" a="1"/>
  <c r="Y1089" i="7" s="1"/>
  <c r="G375" i="11"/>
  <c r="H375" i="11" s="1"/>
  <c r="Y1625" i="7" a="1"/>
  <c r="Y1625" i="7" s="1"/>
  <c r="G911" i="11"/>
  <c r="H911" i="11" s="1"/>
  <c r="T2225" i="7"/>
  <c r="N971" i="10" s="1"/>
  <c r="G971" i="10"/>
  <c r="H971" i="10" s="1"/>
  <c r="T2173" i="7"/>
  <c r="N919" i="10" s="1"/>
  <c r="G919" i="10"/>
  <c r="H919" i="10" s="1"/>
  <c r="T2049" i="7"/>
  <c r="N795" i="10" s="1"/>
  <c r="G795" i="10"/>
  <c r="H795" i="10" s="1"/>
  <c r="T2055" i="7"/>
  <c r="N801" i="10" s="1"/>
  <c r="G801" i="10"/>
  <c r="H801" i="10" s="1"/>
  <c r="T2298" i="7"/>
  <c r="N1044" i="10" s="1"/>
  <c r="G1044" i="10"/>
  <c r="H1044" i="10" s="1"/>
  <c r="T2074" i="7"/>
  <c r="N820" i="10" s="1"/>
  <c r="G820" i="10"/>
  <c r="H820" i="10" s="1"/>
  <c r="T2119" i="7"/>
  <c r="N865" i="10" s="1"/>
  <c r="G865" i="10"/>
  <c r="H865" i="10" s="1"/>
  <c r="T2086" i="7"/>
  <c r="N832" i="10" s="1"/>
  <c r="G832" i="10"/>
  <c r="H832" i="10" s="1"/>
  <c r="T2148" i="7"/>
  <c r="N894" i="10" s="1"/>
  <c r="G894" i="10"/>
  <c r="H894" i="10" s="1"/>
  <c r="T2323" i="7"/>
  <c r="N1069" i="10" s="1"/>
  <c r="G1069" i="10"/>
  <c r="H1069" i="10" s="1"/>
  <c r="T2059" i="7"/>
  <c r="N805" i="10" s="1"/>
  <c r="G805" i="10"/>
  <c r="H805" i="10" s="1"/>
  <c r="T2091" i="7"/>
  <c r="N837" i="10" s="1"/>
  <c r="G837" i="10"/>
  <c r="H837" i="10" s="1"/>
  <c r="T2007" i="7"/>
  <c r="N753" i="10" s="1"/>
  <c r="G753" i="10"/>
  <c r="H753" i="10" s="1"/>
  <c r="T2261" i="7"/>
  <c r="N1007" i="10" s="1"/>
  <c r="G1007" i="10"/>
  <c r="H1007" i="10" s="1"/>
  <c r="T2269" i="7"/>
  <c r="N1015" i="10" s="1"/>
  <c r="G1015" i="10"/>
  <c r="H1015" i="10" s="1"/>
  <c r="T2292" i="7"/>
  <c r="N1038" i="10" s="1"/>
  <c r="G1038" i="10"/>
  <c r="H1038" i="10" s="1"/>
  <c r="T2208" i="7"/>
  <c r="N954" i="10" s="1"/>
  <c r="G954" i="10"/>
  <c r="H954" i="10" s="1"/>
  <c r="T2329" i="7"/>
  <c r="N1075" i="10" s="1"/>
  <c r="G1075" i="10"/>
  <c r="H1075" i="10" s="1"/>
  <c r="T2289" i="7"/>
  <c r="N1035" i="10" s="1"/>
  <c r="G1035" i="10"/>
  <c r="H1035" i="10" s="1"/>
  <c r="T2194" i="7"/>
  <c r="N940" i="10" s="1"/>
  <c r="G940" i="10"/>
  <c r="H940" i="10" s="1"/>
  <c r="T2262" i="7"/>
  <c r="N1008" i="10" s="1"/>
  <c r="G1008" i="10"/>
  <c r="H1008" i="10" s="1"/>
  <c r="T2139" i="7"/>
  <c r="N885" i="10" s="1"/>
  <c r="G885" i="10"/>
  <c r="H885" i="10" s="1"/>
  <c r="D45" i="18" a="1"/>
  <c r="D45" i="18" s="1"/>
  <c r="N7" i="12" s="1"/>
  <c r="D35" i="18" a="1"/>
  <c r="D35" i="18" s="1"/>
  <c r="D7" i="12" s="1"/>
  <c r="G6" i="15" a="1"/>
  <c r="G6" i="15" s="1"/>
  <c r="L6" i="15" s="1"/>
  <c r="T2103" i="7"/>
  <c r="N849" i="10" s="1"/>
  <c r="G849" i="10"/>
  <c r="H849" i="10" s="1"/>
  <c r="Y723" i="7" a="1"/>
  <c r="Y723" i="7" s="1"/>
  <c r="G9" i="11"/>
  <c r="H9" i="11" s="1"/>
  <c r="Y726" i="7" a="1"/>
  <c r="Y726" i="7" s="1"/>
  <c r="G12" i="11"/>
  <c r="H12" i="11" s="1"/>
  <c r="Y1081" i="7" a="1"/>
  <c r="Y1081" i="7" s="1"/>
  <c r="G367" i="11"/>
  <c r="H367" i="11" s="1"/>
  <c r="Y1621" i="7" a="1"/>
  <c r="Y1621" i="7" s="1"/>
  <c r="G907" i="11"/>
  <c r="H907" i="11" s="1"/>
  <c r="Y1442" i="7" a="1"/>
  <c r="Y1442" i="7" s="1"/>
  <c r="G728" i="11"/>
  <c r="H728" i="11" s="1"/>
  <c r="Y905" i="7" a="1"/>
  <c r="Y905" i="7" s="1"/>
  <c r="G191" i="11"/>
  <c r="H191" i="11" s="1"/>
  <c r="Y1082" i="7" a="1"/>
  <c r="Y1082" i="7" s="1"/>
  <c r="G368" i="11"/>
  <c r="H368" i="11" s="1"/>
  <c r="Y1263" i="7" a="1"/>
  <c r="Y1263" i="7" s="1"/>
  <c r="G549" i="11"/>
  <c r="H549" i="11" s="1"/>
  <c r="Y903" i="7" a="1"/>
  <c r="Y903" i="7" s="1"/>
  <c r="G189" i="11"/>
  <c r="H189" i="11" s="1"/>
  <c r="Y1083" i="7" a="1"/>
  <c r="Y1083" i="7" s="1"/>
  <c r="G369" i="11"/>
  <c r="H369" i="11" s="1"/>
  <c r="Y1441" i="7" a="1"/>
  <c r="Y1441" i="7" s="1"/>
  <c r="G727" i="11"/>
  <c r="H727" i="11" s="1"/>
  <c r="Y724" i="7" a="1"/>
  <c r="Y724" i="7" s="1"/>
  <c r="G10" i="11"/>
  <c r="H10" i="11" s="1"/>
  <c r="Y1261" i="7" a="1"/>
  <c r="Y1261" i="7" s="1"/>
  <c r="G547" i="11"/>
  <c r="H547" i="11" s="1"/>
  <c r="Y1619" i="7" a="1"/>
  <c r="Y1619" i="7" s="1"/>
  <c r="G905" i="11"/>
  <c r="H905" i="11" s="1"/>
  <c r="Y1440" i="7" a="1"/>
  <c r="Y1440" i="7" s="1"/>
  <c r="G726" i="11"/>
  <c r="H726" i="11" s="1"/>
  <c r="Y1262" i="7" a="1"/>
  <c r="Y1262" i="7" s="1"/>
  <c r="G548" i="11"/>
  <c r="H548" i="11" s="1"/>
  <c r="Y1620" i="7" a="1"/>
  <c r="Y1620" i="7" s="1"/>
  <c r="G906" i="11"/>
  <c r="H906" i="11" s="1"/>
  <c r="Y725" i="7" a="1"/>
  <c r="Y725" i="7" s="1"/>
  <c r="G11" i="11"/>
  <c r="H11" i="11" s="1"/>
  <c r="Y904" i="7" a="1"/>
  <c r="Y904" i="7" s="1"/>
  <c r="G190" i="11"/>
  <c r="H190" i="11" s="1"/>
  <c r="Y1084" i="7" a="1"/>
  <c r="Y1084" i="7" s="1"/>
  <c r="G370" i="11"/>
  <c r="H370" i="11" s="1"/>
  <c r="Y1260" i="7" a="1"/>
  <c r="Y1260" i="7" s="1"/>
  <c r="G546" i="11"/>
  <c r="H546" i="11" s="1"/>
  <c r="T723" i="7"/>
  <c r="N7" i="11" s="1"/>
  <c r="G7" i="11"/>
  <c r="H7" i="11" s="1"/>
  <c r="T902" i="7"/>
  <c r="N186" i="11" s="1"/>
  <c r="G186" i="11"/>
  <c r="H186" i="11" s="1"/>
  <c r="E60" i="18" a="1"/>
  <c r="E60" i="18" s="1"/>
  <c r="AF8" i="12" s="1"/>
  <c r="AF23" i="12" s="1"/>
  <c r="E48" i="18" a="1"/>
  <c r="E48" i="18" s="1"/>
  <c r="AI7" i="12" s="1"/>
  <c r="AI22" i="12" s="1"/>
  <c r="E36" i="18" a="1"/>
  <c r="E36" i="18" s="1"/>
  <c r="W7" i="12" s="1"/>
  <c r="W22" i="12" s="1"/>
  <c r="E59" i="18" a="1"/>
  <c r="E59" i="18" s="1"/>
  <c r="AE8" i="12" s="1"/>
  <c r="AE23" i="12" s="1"/>
  <c r="E47" i="18" a="1"/>
  <c r="E47" i="18" s="1"/>
  <c r="AH7" i="12" s="1"/>
  <c r="AH22" i="12" s="1"/>
  <c r="E35" i="18" a="1"/>
  <c r="E35" i="18" s="1"/>
  <c r="V7" i="12" s="1"/>
  <c r="V22" i="12" s="1"/>
  <c r="E61" i="18" a="1"/>
  <c r="E61" i="18" s="1"/>
  <c r="AG8" i="12" s="1"/>
  <c r="AG23" i="12" s="1"/>
  <c r="E58" i="18" a="1"/>
  <c r="E58" i="18" s="1"/>
  <c r="AD8" i="12" s="1"/>
  <c r="AD23" i="12" s="1"/>
  <c r="E46" i="18" a="1"/>
  <c r="E46" i="18" s="1"/>
  <c r="AG7" i="12" s="1"/>
  <c r="AG22" i="12" s="1"/>
  <c r="E34" i="18" a="1"/>
  <c r="E34" i="18" s="1"/>
  <c r="U7" i="12" s="1"/>
  <c r="U22" i="12" s="1"/>
  <c r="E57" i="18" a="1"/>
  <c r="E57" i="18" s="1"/>
  <c r="AC8" i="12" s="1"/>
  <c r="AC23" i="12" s="1"/>
  <c r="E45" i="18" a="1"/>
  <c r="E45" i="18" s="1"/>
  <c r="AF7" i="12" s="1"/>
  <c r="AF22" i="12" s="1"/>
  <c r="E38" i="18" a="1"/>
  <c r="E38" i="18" s="1"/>
  <c r="Y7" i="12" s="1"/>
  <c r="Y22" i="12" s="1"/>
  <c r="E56" i="18" a="1"/>
  <c r="E56" i="18" s="1"/>
  <c r="AB8" i="12" s="1"/>
  <c r="AB23" i="12" s="1"/>
  <c r="E44" i="18" a="1"/>
  <c r="E44" i="18" s="1"/>
  <c r="AE7" i="12" s="1"/>
  <c r="AE22" i="12" s="1"/>
  <c r="E55" i="18" a="1"/>
  <c r="E55" i="18" s="1"/>
  <c r="AA8" i="12" s="1"/>
  <c r="AA23" i="12" s="1"/>
  <c r="E43" i="18" a="1"/>
  <c r="E43" i="18" s="1"/>
  <c r="AD7" i="12" s="1"/>
  <c r="AD22" i="12" s="1"/>
  <c r="E39" i="18" a="1"/>
  <c r="E39" i="18" s="1"/>
  <c r="Z7" i="12" s="1"/>
  <c r="Z22" i="12" s="1"/>
  <c r="E54" i="18" a="1"/>
  <c r="E54" i="18" s="1"/>
  <c r="Z8" i="12" s="1"/>
  <c r="Z23" i="12" s="1"/>
  <c r="E42" i="18" a="1"/>
  <c r="E42" i="18" s="1"/>
  <c r="AC7" i="12" s="1"/>
  <c r="AC22" i="12" s="1"/>
  <c r="E53" i="18" a="1"/>
  <c r="E53" i="18" s="1"/>
  <c r="Y8" i="12" s="1"/>
  <c r="Y23" i="12" s="1"/>
  <c r="E41" i="18" a="1"/>
  <c r="E41" i="18" s="1"/>
  <c r="AB7" i="12" s="1"/>
  <c r="AB22" i="12" s="1"/>
  <c r="E37" i="18" a="1"/>
  <c r="E37" i="18" s="1"/>
  <c r="X7" i="12" s="1"/>
  <c r="X22" i="12" s="1"/>
  <c r="E52" i="18" a="1"/>
  <c r="E52" i="18" s="1"/>
  <c r="X8" i="12" s="1"/>
  <c r="X23" i="12" s="1"/>
  <c r="E40" i="18" a="1"/>
  <c r="E40" i="18" s="1"/>
  <c r="AA7" i="12" s="1"/>
  <c r="AA22" i="12" s="1"/>
  <c r="E63" i="18" a="1"/>
  <c r="E63" i="18" s="1"/>
  <c r="AI8" i="12" s="1"/>
  <c r="AI23" i="12" s="1"/>
  <c r="E51" i="18" a="1"/>
  <c r="E51" i="18" s="1"/>
  <c r="W8" i="12" s="1"/>
  <c r="W23" i="12" s="1"/>
  <c r="E49" i="18" a="1"/>
  <c r="E49" i="18" s="1"/>
  <c r="U8" i="12" s="1"/>
  <c r="U23" i="12" s="1"/>
  <c r="E62" i="18" a="1"/>
  <c r="E62" i="18" s="1"/>
  <c r="AH8" i="12" s="1"/>
  <c r="AH23" i="12" s="1"/>
  <c r="E50" i="18" a="1"/>
  <c r="E50" i="18" s="1"/>
  <c r="V8" i="12" s="1"/>
  <c r="V23" i="12" s="1"/>
  <c r="Y1080" i="7" a="1"/>
  <c r="Y1080" i="7" s="1"/>
  <c r="G366" i="11"/>
  <c r="H366" i="11" s="1"/>
  <c r="J7" i="15"/>
  <c r="L7" i="15"/>
  <c r="T1547" i="7"/>
  <c r="N831" i="11" s="1"/>
  <c r="T775" i="7"/>
  <c r="N59" i="11" s="1"/>
  <c r="G294" i="10"/>
  <c r="I511" i="7"/>
  <c r="I507" i="7"/>
  <c r="I382" i="7"/>
  <c r="I391" i="7"/>
  <c r="T483" i="7"/>
  <c r="N483" i="10" s="1"/>
  <c r="T1471" i="7"/>
  <c r="N755" i="11" s="1"/>
  <c r="T847" i="7"/>
  <c r="N131" i="11" s="1"/>
  <c r="T848" i="7"/>
  <c r="N132" i="11" s="1"/>
  <c r="T359" i="7"/>
  <c r="N359" i="10" s="1"/>
  <c r="I528" i="7"/>
  <c r="T1168" i="7"/>
  <c r="N452" i="11" s="1"/>
  <c r="T286" i="7"/>
  <c r="N286" i="10" s="1"/>
  <c r="T648" i="7"/>
  <c r="N648" i="10" s="1"/>
  <c r="T1054" i="7"/>
  <c r="N338" i="11" s="1"/>
  <c r="T469" i="7"/>
  <c r="N469" i="10" s="1"/>
  <c r="I410" i="7"/>
  <c r="I489" i="7"/>
  <c r="I473" i="7"/>
  <c r="I474" i="7"/>
  <c r="I365" i="7"/>
  <c r="AA363" i="7" s="1" a="1"/>
  <c r="AA363" i="7" s="1"/>
  <c r="T460" i="7"/>
  <c r="N460" i="10" s="1"/>
  <c r="I495" i="7"/>
  <c r="I441" i="7"/>
  <c r="I398" i="7"/>
  <c r="T164" i="7"/>
  <c r="N164" i="10" s="1"/>
  <c r="G459" i="10"/>
  <c r="I487" i="7"/>
  <c r="I419" i="7"/>
  <c r="T1791" i="7"/>
  <c r="N1075" i="11" s="1"/>
  <c r="T638" i="7"/>
  <c r="N638" i="10" s="1"/>
  <c r="T324" i="7"/>
  <c r="N324" i="10" s="1"/>
  <c r="T1058" i="7"/>
  <c r="N342" i="11" s="1"/>
  <c r="T383" i="7"/>
  <c r="N383" i="10" s="1"/>
  <c r="T1423" i="7"/>
  <c r="N707" i="11" s="1"/>
  <c r="T701" i="7"/>
  <c r="N701" i="10" s="1"/>
  <c r="G503" i="10"/>
  <c r="T1684" i="7"/>
  <c r="N968" i="11" s="1"/>
  <c r="T170" i="7"/>
  <c r="N170" i="10" s="1"/>
  <c r="T442" i="7"/>
  <c r="N442" i="10" s="1"/>
  <c r="T414" i="7"/>
  <c r="N414" i="10" s="1"/>
  <c r="T1244" i="7"/>
  <c r="N528" i="11" s="1"/>
  <c r="T243" i="7"/>
  <c r="N243" i="10" s="1"/>
  <c r="T696" i="7"/>
  <c r="N696" i="10" s="1"/>
  <c r="F487" i="10"/>
  <c r="I448" i="7"/>
  <c r="I533" i="7"/>
  <c r="I470" i="7"/>
  <c r="G478" i="10"/>
  <c r="G330" i="10"/>
  <c r="G338" i="10"/>
  <c r="I491" i="7"/>
  <c r="I376" i="7"/>
  <c r="AA374" i="7" s="1" a="1"/>
  <c r="AA374" i="7" s="1"/>
  <c r="I436" i="7"/>
  <c r="T1185" i="7"/>
  <c r="N469" i="11" s="1"/>
  <c r="T522" i="7"/>
  <c r="N522" i="10" s="1"/>
  <c r="T1693" i="7"/>
  <c r="N977" i="11" s="1"/>
  <c r="T1364" i="7"/>
  <c r="N648" i="11" s="1"/>
  <c r="G354" i="10"/>
  <c r="G576" i="10"/>
  <c r="I525" i="7"/>
  <c r="I486" i="7"/>
  <c r="I414" i="7"/>
  <c r="T1722" i="7"/>
  <c r="N1006" i="11" s="1"/>
  <c r="G145" i="10"/>
  <c r="F389" i="10"/>
  <c r="I369" i="7"/>
  <c r="AA367" i="7" s="1" a="1"/>
  <c r="AA367" i="7" s="1"/>
  <c r="I442" i="7"/>
  <c r="I520" i="7"/>
  <c r="I408" i="7"/>
  <c r="T911" i="7"/>
  <c r="N195" i="11" s="1"/>
  <c r="T1249" i="7"/>
  <c r="N533" i="11" s="1"/>
  <c r="F452" i="10"/>
  <c r="I366" i="7"/>
  <c r="AA364" i="7" s="1" a="1"/>
  <c r="AA364" i="7" s="1"/>
  <c r="I485" i="7"/>
  <c r="I478" i="7"/>
  <c r="I403" i="7"/>
  <c r="I439" i="7"/>
  <c r="I502" i="7"/>
  <c r="I399" i="7"/>
  <c r="I418" i="7"/>
  <c r="T652" i="7"/>
  <c r="N652" i="10" s="1"/>
  <c r="T717" i="7"/>
  <c r="N717" i="10" s="1"/>
  <c r="G538" i="10"/>
  <c r="G118" i="10"/>
  <c r="F458" i="10"/>
  <c r="F435" i="10"/>
  <c r="I483" i="7"/>
  <c r="I534" i="7"/>
  <c r="T1020" i="7"/>
  <c r="N304" i="11" s="1"/>
  <c r="T281" i="7"/>
  <c r="N281" i="10" s="1"/>
  <c r="F472" i="10"/>
  <c r="F526" i="10"/>
  <c r="I407" i="7"/>
  <c r="I526" i="7"/>
  <c r="I396" i="7"/>
  <c r="T1152" i="7"/>
  <c r="N436" i="11" s="1"/>
  <c r="T1123" i="7"/>
  <c r="N407" i="11" s="1"/>
  <c r="T1274" i="7"/>
  <c r="N558" i="11" s="1"/>
  <c r="I378" i="7"/>
  <c r="AA376" i="7" s="1" a="1"/>
  <c r="AA376" i="7" s="1"/>
  <c r="I505" i="7"/>
  <c r="I453" i="7"/>
  <c r="T930" i="7"/>
  <c r="N214" i="11" s="1"/>
  <c r="G102" i="10"/>
  <c r="I443" i="7"/>
  <c r="I535" i="7"/>
  <c r="I524" i="7"/>
  <c r="I364" i="7"/>
  <c r="AA362" i="7" s="1" a="1"/>
  <c r="AA362" i="7" s="1"/>
  <c r="T349" i="7"/>
  <c r="N349" i="10" s="1"/>
  <c r="T682" i="7"/>
  <c r="N682" i="10" s="1"/>
  <c r="I395" i="7"/>
  <c r="I513" i="7"/>
  <c r="G662" i="10"/>
  <c r="I375" i="7"/>
  <c r="AA373" i="7" s="1" a="1"/>
  <c r="AA373" i="7" s="1"/>
  <c r="I515" i="7"/>
  <c r="I472" i="7"/>
  <c r="I531" i="7"/>
  <c r="I434" i="7"/>
  <c r="I519" i="7"/>
  <c r="I429" i="7"/>
  <c r="I455" i="7"/>
  <c r="I402" i="7"/>
  <c r="I446" i="7"/>
  <c r="I412" i="7"/>
  <c r="I490" i="7"/>
  <c r="I459" i="7"/>
  <c r="T873" i="7"/>
  <c r="N157" i="11" s="1"/>
  <c r="F378" i="10"/>
  <c r="I458" i="7"/>
  <c r="I373" i="7"/>
  <c r="AA371" i="7" s="1" a="1"/>
  <c r="AA371" i="7" s="1"/>
  <c r="I392" i="7"/>
  <c r="I521" i="7"/>
  <c r="I423" i="7"/>
  <c r="I394" i="7"/>
  <c r="I464" i="7"/>
  <c r="I393" i="7"/>
  <c r="I424" i="7"/>
  <c r="I438" i="7"/>
  <c r="T1233" i="7"/>
  <c r="N517" i="11" s="1"/>
  <c r="T1650" i="7"/>
  <c r="N934" i="11" s="1"/>
  <c r="T827" i="7"/>
  <c r="N111" i="11" s="1"/>
  <c r="T1433" i="7"/>
  <c r="N717" i="11" s="1"/>
  <c r="G473" i="10"/>
  <c r="I372" i="7"/>
  <c r="AA370" i="7" s="1" a="1"/>
  <c r="AA370" i="7" s="1"/>
  <c r="I488" i="7"/>
  <c r="I469" i="7"/>
  <c r="I530" i="7"/>
  <c r="I500" i="7"/>
  <c r="I404" i="7"/>
  <c r="I497" i="7"/>
  <c r="I406" i="7"/>
  <c r="I377" i="7"/>
  <c r="AA375" i="7" s="1" a="1"/>
  <c r="AA375" i="7" s="1"/>
  <c r="I363" i="7"/>
  <c r="J363" i="7" s="1"/>
  <c r="I368" i="7"/>
  <c r="AA366" i="7" s="1" a="1"/>
  <c r="AA366" i="7" s="1"/>
  <c r="I411" i="7"/>
  <c r="I518" i="7"/>
  <c r="I496" i="7"/>
  <c r="I362" i="7"/>
  <c r="T290" i="7"/>
  <c r="N290" i="10" s="1"/>
  <c r="G260" i="10"/>
  <c r="T1564" i="7"/>
  <c r="N848" i="11" s="1"/>
  <c r="T81" i="7"/>
  <c r="N81" i="10" s="1"/>
  <c r="T115" i="7"/>
  <c r="N115" i="10" s="1"/>
  <c r="T111" i="7"/>
  <c r="N111" i="10" s="1"/>
  <c r="T180" i="7"/>
  <c r="N180" i="10" s="1"/>
  <c r="G77" i="10"/>
  <c r="F521" i="10"/>
  <c r="I367" i="7"/>
  <c r="AA365" i="7" s="1" a="1"/>
  <c r="AA365" i="7" s="1"/>
  <c r="I492" i="7"/>
  <c r="I462" i="7"/>
  <c r="I481" i="7"/>
  <c r="I447" i="7"/>
  <c r="I401" i="7"/>
  <c r="I504" i="7"/>
  <c r="I445" i="7"/>
  <c r="I370" i="7"/>
  <c r="AA368" i="7" s="1" a="1"/>
  <c r="AA368" i="7" s="1"/>
  <c r="I451" i="7"/>
  <c r="I388" i="7"/>
  <c r="T2169" i="7"/>
  <c r="N915" i="10" s="1"/>
  <c r="Y2167" i="7" a="1"/>
  <c r="Y2167" i="7" s="1"/>
  <c r="T1977" i="7"/>
  <c r="N723" i="10" s="1"/>
  <c r="Y1975" i="7" a="1"/>
  <c r="Y1975" i="7" s="1"/>
  <c r="T1986" i="7"/>
  <c r="N732" i="10" s="1"/>
  <c r="Y1984" i="7" a="1"/>
  <c r="Y1984" i="7" s="1"/>
  <c r="T1991" i="7"/>
  <c r="N737" i="10" s="1"/>
  <c r="Y1989" i="7" a="1"/>
  <c r="Y1989" i="7" s="1"/>
  <c r="I397" i="7"/>
  <c r="T1984" i="7"/>
  <c r="N730" i="10" s="1"/>
  <c r="Y1982" i="7" a="1"/>
  <c r="Y1982" i="7" s="1"/>
  <c r="T2158" i="7"/>
  <c r="N904" i="10" s="1"/>
  <c r="Y2156" i="7" a="1"/>
  <c r="Y2156" i="7" s="1"/>
  <c r="T2162" i="7"/>
  <c r="N908" i="10" s="1"/>
  <c r="Y2160" i="7" a="1"/>
  <c r="Y2160" i="7" s="1"/>
  <c r="T2166" i="7"/>
  <c r="N912" i="10" s="1"/>
  <c r="Y2164" i="7" a="1"/>
  <c r="Y2164" i="7" s="1"/>
  <c r="T1981" i="7"/>
  <c r="N727" i="10" s="1"/>
  <c r="Y1979" i="7" a="1"/>
  <c r="Y1979" i="7" s="1"/>
  <c r="I427" i="7"/>
  <c r="I381" i="7"/>
  <c r="AA379" i="7" s="1" a="1"/>
  <c r="AA379" i="7" s="1"/>
  <c r="I426" i="7"/>
  <c r="I468" i="7"/>
  <c r="I431" i="7"/>
  <c r="T2159" i="7"/>
  <c r="N905" i="10" s="1"/>
  <c r="Y2157" i="7" a="1"/>
  <c r="Y2157" i="7" s="1"/>
  <c r="T1980" i="7"/>
  <c r="N726" i="10" s="1"/>
  <c r="Y1978" i="7" a="1"/>
  <c r="Y1978" i="7" s="1"/>
  <c r="Y2163" i="7" a="1"/>
  <c r="Y2163" i="7" s="1"/>
  <c r="T2165" i="7"/>
  <c r="N911" i="10" s="1"/>
  <c r="I430" i="7"/>
  <c r="T2161" i="7"/>
  <c r="N907" i="10" s="1"/>
  <c r="Y2159" i="7" a="1"/>
  <c r="Y2159" i="7" s="1"/>
  <c r="I465" i="7"/>
  <c r="T2153" i="7"/>
  <c r="N899" i="10" s="1"/>
  <c r="H2153" i="7"/>
  <c r="E2154" i="7" s="1"/>
  <c r="I449" i="7"/>
  <c r="T2155" i="7"/>
  <c r="N901" i="10" s="1"/>
  <c r="Y2153" i="7" a="1"/>
  <c r="Y2153" i="7" s="1"/>
  <c r="I514" i="7"/>
  <c r="T1974" i="7"/>
  <c r="N720" i="10" s="1"/>
  <c r="H1974" i="7"/>
  <c r="E1975" i="7" s="1"/>
  <c r="T2163" i="7"/>
  <c r="N909" i="10" s="1"/>
  <c r="Y2161" i="7" a="1"/>
  <c r="Y2161" i="7" s="1"/>
  <c r="T1983" i="7"/>
  <c r="N729" i="10" s="1"/>
  <c r="Y1981" i="7" a="1"/>
  <c r="Y1981" i="7" s="1"/>
  <c r="I456" i="7"/>
  <c r="I386" i="7"/>
  <c r="C13" i="17" a="1"/>
  <c r="C13" i="17" s="1"/>
  <c r="C14" i="17" a="1"/>
  <c r="C14" i="17" s="1"/>
  <c r="F362" i="10"/>
  <c r="T1988" i="7"/>
  <c r="N734" i="10" s="1"/>
  <c r="Y1986" i="7" a="1"/>
  <c r="Y1986" i="7" s="1"/>
  <c r="Y1983" i="7" a="1"/>
  <c r="Y1983" i="7" s="1"/>
  <c r="T1985" i="7"/>
  <c r="N731" i="10" s="1"/>
  <c r="T2172" i="7"/>
  <c r="N918" i="10" s="1"/>
  <c r="Y2170" i="7" a="1"/>
  <c r="Y2170" i="7" s="1"/>
  <c r="Y1980" i="7" a="1"/>
  <c r="Y1980" i="7" s="1"/>
  <c r="T1982" i="7"/>
  <c r="N728" i="10" s="1"/>
  <c r="T2156" i="7"/>
  <c r="N902" i="10" s="1"/>
  <c r="Y2154" i="7" a="1"/>
  <c r="Y2154" i="7" s="1"/>
  <c r="I480" i="7"/>
  <c r="T1993" i="7"/>
  <c r="N739" i="10" s="1"/>
  <c r="Y1991" i="7" a="1"/>
  <c r="Y1991" i="7" s="1"/>
  <c r="I387" i="7"/>
  <c r="I385" i="7"/>
  <c r="Y2165" i="7" a="1"/>
  <c r="Y2165" i="7" s="1"/>
  <c r="T2167" i="7"/>
  <c r="N913" i="10" s="1"/>
  <c r="T1987" i="7"/>
  <c r="N733" i="10" s="1"/>
  <c r="Y1985" i="7" a="1"/>
  <c r="Y1985" i="7" s="1"/>
  <c r="I454" i="7"/>
  <c r="I379" i="7"/>
  <c r="AA377" i="7" s="1" a="1"/>
  <c r="AA377" i="7" s="1"/>
  <c r="I484" i="7"/>
  <c r="I405" i="7"/>
  <c r="I433" i="7"/>
  <c r="I437" i="7"/>
  <c r="I428" i="7"/>
  <c r="I517" i="7"/>
  <c r="I384" i="7"/>
  <c r="I380" i="7"/>
  <c r="AA378" i="7" s="1" a="1"/>
  <c r="AA378" i="7" s="1"/>
  <c r="T2164" i="7"/>
  <c r="N910" i="10" s="1"/>
  <c r="Y2162" i="7" a="1"/>
  <c r="Y2162" i="7" s="1"/>
  <c r="I467" i="7"/>
  <c r="T1989" i="7"/>
  <c r="N735" i="10" s="1"/>
  <c r="Y1987" i="7" a="1"/>
  <c r="Y1987" i="7" s="1"/>
  <c r="T831" i="7"/>
  <c r="N115" i="11" s="1"/>
  <c r="T477" i="7"/>
  <c r="N477" i="10" s="1"/>
  <c r="T934" i="7"/>
  <c r="N218" i="11" s="1"/>
  <c r="T707" i="7"/>
  <c r="N707" i="10" s="1"/>
  <c r="T528" i="7"/>
  <c r="N528" i="10" s="1"/>
  <c r="F387" i="10"/>
  <c r="I460" i="7"/>
  <c r="I466" i="7"/>
  <c r="I383" i="7"/>
  <c r="I409" i="7"/>
  <c r="I400" i="7"/>
  <c r="I463" i="7"/>
  <c r="I432" i="7"/>
  <c r="I444" i="7"/>
  <c r="X728" i="7" a="1"/>
  <c r="X728" i="7" s="1"/>
  <c r="T1992" i="7"/>
  <c r="N738" i="10" s="1"/>
  <c r="Y1990" i="7" a="1"/>
  <c r="Y1990" i="7" s="1"/>
  <c r="T2168" i="7"/>
  <c r="N914" i="10" s="1"/>
  <c r="Y2166" i="7" a="1"/>
  <c r="Y2166" i="7" s="1"/>
  <c r="T690" i="7"/>
  <c r="N690" i="10" s="1"/>
  <c r="F375" i="10"/>
  <c r="F434" i="10"/>
  <c r="F528" i="10"/>
  <c r="I415" i="7"/>
  <c r="I450" i="7"/>
  <c r="I461" i="7"/>
  <c r="I416" i="7"/>
  <c r="I417" i="7"/>
  <c r="I374" i="7"/>
  <c r="AA372" i="7" s="1" a="1"/>
  <c r="AA372" i="7" s="1"/>
  <c r="I413" i="7"/>
  <c r="Y1988" i="7" a="1"/>
  <c r="Y1988" i="7" s="1"/>
  <c r="T1990" i="7"/>
  <c r="N736" i="10" s="1"/>
  <c r="T1978" i="7"/>
  <c r="N724" i="10" s="1"/>
  <c r="Y1976" i="7" a="1"/>
  <c r="Y1976" i="7" s="1"/>
  <c r="T2160" i="7"/>
  <c r="N906" i="10" s="1"/>
  <c r="Y2158" i="7" a="1"/>
  <c r="Y2158" i="7" s="1"/>
  <c r="T2170" i="7"/>
  <c r="N916" i="10" s="1"/>
  <c r="Y2168" i="7" a="1"/>
  <c r="Y2168" i="7" s="1"/>
  <c r="T1976" i="7"/>
  <c r="N722" i="10" s="1"/>
  <c r="Y1974" i="7" a="1"/>
  <c r="Y1974" i="7" s="1"/>
  <c r="T2171" i="7"/>
  <c r="N917" i="10" s="1"/>
  <c r="Y2169" i="7" a="1"/>
  <c r="Y2169" i="7" s="1"/>
  <c r="T515" i="7"/>
  <c r="N515" i="10" s="1"/>
  <c r="T1603" i="7"/>
  <c r="N887" i="11" s="1"/>
  <c r="T1632" i="7"/>
  <c r="N916" i="11" s="1"/>
  <c r="T780" i="7"/>
  <c r="N64" i="11" s="1"/>
  <c r="G16" i="10"/>
  <c r="I498" i="7"/>
  <c r="I371" i="7"/>
  <c r="AA369" i="7" s="1" a="1"/>
  <c r="AA369" i="7" s="1"/>
  <c r="I493" i="7"/>
  <c r="I425" i="7"/>
  <c r="I529" i="7"/>
  <c r="T2157" i="7"/>
  <c r="N903" i="10" s="1"/>
  <c r="Y2155" i="7" a="1"/>
  <c r="Y2155" i="7" s="1"/>
  <c r="I536" i="7"/>
  <c r="I522" i="7"/>
  <c r="T1979" i="7"/>
  <c r="N725" i="10" s="1"/>
  <c r="Y1977" i="7" a="1"/>
  <c r="Y1977" i="7" s="1"/>
  <c r="T1749" i="7"/>
  <c r="N1033" i="11" s="1"/>
  <c r="D13" i="17" a="1"/>
  <c r="D13" i="17" s="1"/>
  <c r="D14" i="17" a="1"/>
  <c r="D14" i="17" s="1"/>
  <c r="I639" i="7"/>
  <c r="I628" i="7"/>
  <c r="I564" i="7"/>
  <c r="I720" i="7"/>
  <c r="I749" i="7"/>
  <c r="I717" i="7"/>
  <c r="I542" i="7"/>
  <c r="F541" i="10"/>
  <c r="I541" i="7"/>
  <c r="X541" i="7" a="1"/>
  <c r="X541" i="7" s="1"/>
  <c r="I543" i="7"/>
  <c r="AA541" i="7" s="1" a="1"/>
  <c r="AA541" i="7" s="1"/>
  <c r="I667" i="7"/>
  <c r="I611" i="7"/>
  <c r="G374" i="10"/>
  <c r="Y372" i="7" a="1"/>
  <c r="Y372" i="7" s="1"/>
  <c r="T1269" i="7"/>
  <c r="N553" i="11" s="1"/>
  <c r="Y1267" i="7" a="1"/>
  <c r="Y1267" i="7" s="1"/>
  <c r="T1455" i="7"/>
  <c r="N739" i="11" s="1"/>
  <c r="Y1453" i="7" a="1"/>
  <c r="Y1453" i="7" s="1"/>
  <c r="Y1450" i="7" a="1"/>
  <c r="Y1450" i="7" s="1"/>
  <c r="Y1452" i="7" a="1"/>
  <c r="Y1452" i="7" s="1"/>
  <c r="G196" i="10"/>
  <c r="Y194" i="7" a="1"/>
  <c r="Y194" i="7" s="1"/>
  <c r="I733" i="7"/>
  <c r="AA731" i="7" s="1" a="1"/>
  <c r="AA731" i="7" s="1"/>
  <c r="X731" i="7" a="1"/>
  <c r="X731" i="7" s="1"/>
  <c r="Y1631" i="7" a="1"/>
  <c r="Y1631" i="7" s="1"/>
  <c r="G555" i="10"/>
  <c r="Y553" i="7" a="1"/>
  <c r="Y553" i="7" s="1"/>
  <c r="T1095" i="7"/>
  <c r="N379" i="11" s="1"/>
  <c r="Y1093" i="7" a="1"/>
  <c r="Y1093" i="7" s="1"/>
  <c r="G22" i="10"/>
  <c r="Y20" i="7" a="1"/>
  <c r="Y20" i="7" s="1"/>
  <c r="T23" i="7"/>
  <c r="N23" i="10" s="1"/>
  <c r="Y21" i="7" a="1"/>
  <c r="Y21" i="7" s="1"/>
  <c r="G20" i="10"/>
  <c r="Y18" i="7" a="1"/>
  <c r="Y18" i="7" s="1"/>
  <c r="Y732" i="7" a="1"/>
  <c r="Y732" i="7" s="1"/>
  <c r="T1813" i="7"/>
  <c r="Y1810" i="7" a="1"/>
  <c r="Y1810" i="7" s="1"/>
  <c r="T1811" i="7"/>
  <c r="Y1808" i="7" a="1"/>
  <c r="Y1808" i="7" s="1"/>
  <c r="G560" i="10"/>
  <c r="Y558" i="7" a="1"/>
  <c r="Y558" i="7" s="1"/>
  <c r="Y1447" i="7" a="1"/>
  <c r="Y1447" i="7" s="1"/>
  <c r="T1812" i="7"/>
  <c r="Y1809" i="7" a="1"/>
  <c r="Y1809" i="7" s="1"/>
  <c r="I555" i="7"/>
  <c r="AA553" i="7" s="1" a="1"/>
  <c r="AA553" i="7" s="1"/>
  <c r="X553" i="7" a="1"/>
  <c r="X553" i="7" s="1"/>
  <c r="I607" i="7"/>
  <c r="I608" i="7"/>
  <c r="G559" i="10"/>
  <c r="Y557" i="7" a="1"/>
  <c r="Y557" i="7" s="1"/>
  <c r="G202" i="10"/>
  <c r="Y200" i="7" a="1"/>
  <c r="Y200" i="7" s="1"/>
  <c r="G381" i="10"/>
  <c r="Y379" i="7" a="1"/>
  <c r="Y379" i="7" s="1"/>
  <c r="Y1090" i="7" a="1"/>
  <c r="Y1090" i="7" s="1"/>
  <c r="G197" i="10"/>
  <c r="Y195" i="7" a="1"/>
  <c r="Y195" i="7" s="1"/>
  <c r="Y730" i="7" a="1"/>
  <c r="Y730" i="7" s="1"/>
  <c r="T1628" i="7"/>
  <c r="N912" i="11" s="1"/>
  <c r="Y1626" i="7" a="1"/>
  <c r="Y1626" i="7" s="1"/>
  <c r="Y1448" i="7" a="1"/>
  <c r="Y1448" i="7" s="1"/>
  <c r="T736" i="7"/>
  <c r="N20" i="11" s="1"/>
  <c r="Y734" i="7" a="1"/>
  <c r="Y734" i="7" s="1"/>
  <c r="T1809" i="7"/>
  <c r="Y1806" i="7" a="1"/>
  <c r="Y1806" i="7" s="1"/>
  <c r="Y736" i="7" a="1"/>
  <c r="Y736" i="7" s="1"/>
  <c r="I681" i="7"/>
  <c r="Y915" i="7" a="1"/>
  <c r="Y915" i="7" s="1"/>
  <c r="T918" i="7"/>
  <c r="N202" i="11" s="1"/>
  <c r="Y916" i="7" a="1"/>
  <c r="Y916" i="7" s="1"/>
  <c r="Y1269" i="7" a="1"/>
  <c r="Y1269" i="7" s="1"/>
  <c r="Y1268" i="7" a="1"/>
  <c r="Y1268" i="7" s="1"/>
  <c r="T1810" i="7"/>
  <c r="Y1807" i="7" a="1"/>
  <c r="Y1807" i="7" s="1"/>
  <c r="G201" i="10"/>
  <c r="Y199" i="7" a="1"/>
  <c r="Y199" i="7" s="1"/>
  <c r="G380" i="10"/>
  <c r="Y378" i="7" a="1"/>
  <c r="Y378" i="7" s="1"/>
  <c r="T1097" i="7"/>
  <c r="N381" i="11" s="1"/>
  <c r="Y1095" i="7" a="1"/>
  <c r="Y1095" i="7" s="1"/>
  <c r="T511" i="7"/>
  <c r="N511" i="10" s="1"/>
  <c r="I716" i="7"/>
  <c r="I606" i="7"/>
  <c r="I593" i="7"/>
  <c r="I706" i="7"/>
  <c r="Y1273" i="7" a="1"/>
  <c r="Y1273" i="7" s="1"/>
  <c r="G18" i="10"/>
  <c r="Y16" i="7" a="1"/>
  <c r="Y16" i="7" s="1"/>
  <c r="T1276" i="7"/>
  <c r="N560" i="11" s="1"/>
  <c r="Y1274" i="7" a="1"/>
  <c r="Y1274" i="7" s="1"/>
  <c r="Y1270" i="7" a="1"/>
  <c r="Y1270" i="7" s="1"/>
  <c r="T1094" i="7"/>
  <c r="N378" i="11" s="1"/>
  <c r="Y1092" i="7" a="1"/>
  <c r="Y1092" i="7" s="1"/>
  <c r="Y911" i="7" a="1"/>
  <c r="Y911" i="7" s="1"/>
  <c r="T1806" i="7"/>
  <c r="Y1803" i="7" a="1"/>
  <c r="Y1803" i="7" s="1"/>
  <c r="T1808" i="7"/>
  <c r="Y1805" i="7" a="1"/>
  <c r="Y1805" i="7" s="1"/>
  <c r="Y1094" i="7" a="1"/>
  <c r="Y1094" i="7" s="1"/>
  <c r="Y1088" i="7" a="1"/>
  <c r="Y1088" i="7" s="1"/>
  <c r="Y737" i="7" a="1"/>
  <c r="Y737" i="7" s="1"/>
  <c r="Y1627" i="7" a="1"/>
  <c r="Y1627" i="7" s="1"/>
  <c r="Y913" i="7" a="1"/>
  <c r="Y913" i="7" s="1"/>
  <c r="I574" i="7"/>
  <c r="I650" i="7"/>
  <c r="I696" i="7"/>
  <c r="I584" i="7"/>
  <c r="I588" i="7"/>
  <c r="Y1451" i="7" a="1"/>
  <c r="Y1451" i="7" s="1"/>
  <c r="T1634" i="7"/>
  <c r="N918" i="11" s="1"/>
  <c r="Y1632" i="7" a="1"/>
  <c r="Y1632" i="7" s="1"/>
  <c r="G376" i="10"/>
  <c r="Y374" i="7" a="1"/>
  <c r="Y374" i="7" s="1"/>
  <c r="T1631" i="7"/>
  <c r="N915" i="11" s="1"/>
  <c r="Y1629" i="7" a="1"/>
  <c r="Y1629" i="7" s="1"/>
  <c r="G551" i="10"/>
  <c r="Y549" i="7" a="1"/>
  <c r="Y549" i="7" s="1"/>
  <c r="T1807" i="7"/>
  <c r="Y1804" i="7" a="1"/>
  <c r="Y1804" i="7" s="1"/>
  <c r="G9" i="10"/>
  <c r="Y1443" i="7" a="1"/>
  <c r="Y1443" i="7" s="1"/>
  <c r="Y1085" i="7" a="1"/>
  <c r="Y1085" i="7" s="1"/>
  <c r="Y1264" i="7" a="1"/>
  <c r="Y1264" i="7" s="1"/>
  <c r="G550" i="10"/>
  <c r="Y548" i="7" a="1"/>
  <c r="Y548" i="7" s="1"/>
  <c r="T908" i="7"/>
  <c r="N192" i="11" s="1"/>
  <c r="Y906" i="7" a="1"/>
  <c r="Y906" i="7" s="1"/>
  <c r="Y727" i="7" a="1"/>
  <c r="Y727" i="7" s="1"/>
  <c r="G13" i="10"/>
  <c r="Y11" i="7" a="1"/>
  <c r="Y11" i="7" s="1"/>
  <c r="G192" i="10"/>
  <c r="Y190" i="7" a="1"/>
  <c r="Y190" i="7" s="1"/>
  <c r="T1624" i="7"/>
  <c r="N908" i="11" s="1"/>
  <c r="Y1622" i="7" a="1"/>
  <c r="Y1622" i="7" s="1"/>
  <c r="T1804" i="7"/>
  <c r="Y1801" i="7" a="1"/>
  <c r="Y1801" i="7" s="1"/>
  <c r="X721" i="7" a="1"/>
  <c r="X721" i="7" s="1"/>
  <c r="T1085" i="7"/>
  <c r="N369" i="11" s="1"/>
  <c r="G11" i="10"/>
  <c r="I723" i="7"/>
  <c r="AA721" i="7" s="1" a="1"/>
  <c r="AA721" i="7" s="1"/>
  <c r="I724" i="7"/>
  <c r="AA722" i="7" s="1" a="1"/>
  <c r="AA722" i="7" s="1"/>
  <c r="T11" i="7"/>
  <c r="N11" i="10" s="1"/>
  <c r="T906" i="7"/>
  <c r="N190" i="11" s="1"/>
  <c r="I722" i="7"/>
  <c r="AA720" i="7" s="1" a="1"/>
  <c r="AA720" i="7" s="1"/>
  <c r="I721" i="7"/>
  <c r="X725" i="7" a="1"/>
  <c r="X725" i="7" s="1"/>
  <c r="T907" i="7"/>
  <c r="N191" i="11" s="1"/>
  <c r="T1623" i="7"/>
  <c r="N907" i="11" s="1"/>
  <c r="T1803" i="7"/>
  <c r="Y1800" i="7" a="1"/>
  <c r="Y1800" i="7" s="1"/>
  <c r="T12" i="7"/>
  <c r="N12" i="10" s="1"/>
  <c r="T1265" i="7"/>
  <c r="N549" i="11" s="1"/>
  <c r="T1444" i="7"/>
  <c r="N728" i="11" s="1"/>
  <c r="T549" i="7"/>
  <c r="N549" i="10" s="1"/>
  <c r="G370" i="10"/>
  <c r="T728" i="7"/>
  <c r="N12" i="11" s="1"/>
  <c r="G549" i="10"/>
  <c r="I868" i="7"/>
  <c r="G544" i="10"/>
  <c r="Y542" i="7" a="1"/>
  <c r="Y542" i="7" s="1"/>
  <c r="Y900" i="7" a="1"/>
  <c r="Y900" i="7" s="1"/>
  <c r="I732" i="7"/>
  <c r="AA730" i="7" s="1" a="1"/>
  <c r="AA730" i="7" s="1"/>
  <c r="I689" i="7"/>
  <c r="Y1439" i="7" a="1"/>
  <c r="Y1439" i="7" s="1"/>
  <c r="I731" i="7"/>
  <c r="AA729" i="7" s="1" a="1"/>
  <c r="AA729" i="7" s="1"/>
  <c r="I572" i="7"/>
  <c r="G187" i="10"/>
  <c r="Y185" i="7" a="1"/>
  <c r="Y185" i="7" s="1"/>
  <c r="T1618" i="7"/>
  <c r="N902" i="11" s="1"/>
  <c r="Y1616" i="7" a="1"/>
  <c r="Y1616" i="7" s="1"/>
  <c r="T1081" i="7"/>
  <c r="N365" i="11" s="1"/>
  <c r="Y1079" i="7" a="1"/>
  <c r="Y1079" i="7" s="1"/>
  <c r="Y1617" i="7" a="1"/>
  <c r="Y1617" i="7" s="1"/>
  <c r="T365" i="7"/>
  <c r="N365" i="10" s="1"/>
  <c r="Y363" i="7" a="1"/>
  <c r="Y363" i="7" s="1"/>
  <c r="I730" i="7"/>
  <c r="AA728" i="7" s="1" a="1"/>
  <c r="AA728" i="7" s="1"/>
  <c r="Y901" i="7" a="1"/>
  <c r="Y901" i="7" s="1"/>
  <c r="I729" i="7"/>
  <c r="AA727" i="7" s="1" a="1"/>
  <c r="AA727" i="7" s="1"/>
  <c r="I661" i="7"/>
  <c r="I684" i="7"/>
  <c r="I712" i="7"/>
  <c r="I668" i="7"/>
  <c r="I603" i="7"/>
  <c r="I575" i="7"/>
  <c r="G7" i="10"/>
  <c r="Y5" i="7" a="1"/>
  <c r="Y5" i="7" s="1"/>
  <c r="Y902" i="7" a="1"/>
  <c r="Y902" i="7" s="1"/>
  <c r="G366" i="10"/>
  <c r="Y364" i="7" a="1"/>
  <c r="Y364" i="7" s="1"/>
  <c r="G186" i="10"/>
  <c r="Y184" i="7" a="1"/>
  <c r="Y184" i="7" s="1"/>
  <c r="T1801" i="7"/>
  <c r="Y1798" i="7" a="1"/>
  <c r="Y1798" i="7" s="1"/>
  <c r="I580" i="7"/>
  <c r="I605" i="7"/>
  <c r="I621" i="7"/>
  <c r="I631" i="7"/>
  <c r="I715" i="7"/>
  <c r="I692" i="7"/>
  <c r="I638" i="7"/>
  <c r="I559" i="7"/>
  <c r="AA557" i="7" s="1" a="1"/>
  <c r="AA557" i="7" s="1"/>
  <c r="I570" i="7"/>
  <c r="I693" i="7"/>
  <c r="I651" i="7"/>
  <c r="I622" i="7"/>
  <c r="I583" i="7"/>
  <c r="I596" i="7"/>
  <c r="I690" i="7"/>
  <c r="I567" i="7"/>
  <c r="I647" i="7"/>
  <c r="I670" i="7"/>
  <c r="I718" i="7"/>
  <c r="I604" i="7"/>
  <c r="I637" i="7"/>
  <c r="Y721" i="7" a="1"/>
  <c r="Y721" i="7" s="1"/>
  <c r="T1800" i="7"/>
  <c r="Y1797" i="7" a="1"/>
  <c r="Y1797" i="7" s="1"/>
  <c r="I675" i="7"/>
  <c r="I663" i="7"/>
  <c r="I666" i="7"/>
  <c r="I579" i="7"/>
  <c r="I642" i="7"/>
  <c r="I698" i="7"/>
  <c r="I599" i="7"/>
  <c r="I636" i="7"/>
  <c r="I571" i="7"/>
  <c r="I630" i="7"/>
  <c r="I673" i="7"/>
  <c r="I649" i="7"/>
  <c r="I586" i="7"/>
  <c r="I701" i="7"/>
  <c r="I671" i="7"/>
  <c r="I664" i="7"/>
  <c r="I634" i="7"/>
  <c r="I629" i="7"/>
  <c r="I672" i="7"/>
  <c r="I554" i="7"/>
  <c r="AA552" i="7" s="1" a="1"/>
  <c r="AA552" i="7" s="1"/>
  <c r="Y1258" i="7" a="1"/>
  <c r="Y1258" i="7" s="1"/>
  <c r="Y1259" i="7" a="1"/>
  <c r="Y1259" i="7" s="1"/>
  <c r="I728" i="7"/>
  <c r="AA726" i="7" s="1" a="1"/>
  <c r="AA726" i="7" s="1"/>
  <c r="I660" i="7"/>
  <c r="I674" i="7"/>
  <c r="I665" i="7"/>
  <c r="I591" i="7"/>
  <c r="I633" i="7"/>
  <c r="I569" i="7"/>
  <c r="I615" i="7"/>
  <c r="I662" i="7"/>
  <c r="I653" i="7"/>
  <c r="I640" i="7"/>
  <c r="I545" i="7"/>
  <c r="AA543" i="7" s="1" a="1"/>
  <c r="AA543" i="7" s="1"/>
  <c r="I546" i="7"/>
  <c r="AA544" i="7" s="1" a="1"/>
  <c r="AA544" i="7" s="1"/>
  <c r="I547" i="7"/>
  <c r="AA545" i="7" s="1" a="1"/>
  <c r="AA545" i="7" s="1"/>
  <c r="I544" i="7"/>
  <c r="AA542" i="7" s="1" a="1"/>
  <c r="AA542" i="7" s="1"/>
  <c r="I548" i="7"/>
  <c r="AA546" i="7" s="1" a="1"/>
  <c r="AA546" i="7" s="1"/>
  <c r="I549" i="7"/>
  <c r="AA547" i="7" s="1" a="1"/>
  <c r="AA547" i="7" s="1"/>
  <c r="I552" i="7"/>
  <c r="AA550" i="7" s="1" a="1"/>
  <c r="AA550" i="7" s="1"/>
  <c r="I550" i="7"/>
  <c r="AA548" i="7" s="1" a="1"/>
  <c r="AA548" i="7" s="1"/>
  <c r="I551" i="7"/>
  <c r="AA549" i="7" s="1" a="1"/>
  <c r="AA549" i="7" s="1"/>
  <c r="I627" i="7"/>
  <c r="I710" i="7"/>
  <c r="I573" i="7"/>
  <c r="I600" i="7"/>
  <c r="I568" i="7"/>
  <c r="I617" i="7"/>
  <c r="I641" i="7"/>
  <c r="I709" i="7"/>
  <c r="I610" i="7"/>
  <c r="I618" i="7"/>
  <c r="I561" i="7"/>
  <c r="I632" i="7"/>
  <c r="I648" i="7"/>
  <c r="I679" i="7"/>
  <c r="I697" i="7"/>
  <c r="I688" i="7"/>
  <c r="Y722" i="7" a="1"/>
  <c r="Y722" i="7" s="1"/>
  <c r="Y1438" i="7" a="1"/>
  <c r="Y1438" i="7" s="1"/>
  <c r="I726" i="7"/>
  <c r="AA724" i="7" s="1" a="1"/>
  <c r="AA724" i="7" s="1"/>
  <c r="I560" i="7"/>
  <c r="AA558" i="7" s="1" a="1"/>
  <c r="AA558" i="7" s="1"/>
  <c r="I619" i="7"/>
  <c r="I695" i="7"/>
  <c r="I590" i="7"/>
  <c r="I565" i="7"/>
  <c r="I687" i="7"/>
  <c r="I612" i="7"/>
  <c r="I676" i="7"/>
  <c r="I677" i="7"/>
  <c r="I594" i="7"/>
  <c r="I703" i="7"/>
  <c r="I620" i="7"/>
  <c r="I705" i="7"/>
  <c r="I711" i="7"/>
  <c r="I678" i="7"/>
  <c r="I578" i="7"/>
  <c r="I613" i="7"/>
  <c r="I585" i="7"/>
  <c r="I577" i="7"/>
  <c r="I646" i="7"/>
  <c r="I685" i="7"/>
  <c r="I589" i="7"/>
  <c r="I624" i="7"/>
  <c r="I587" i="7"/>
  <c r="I557" i="7"/>
  <c r="AA555" i="7" s="1" a="1"/>
  <c r="AA555" i="7" s="1"/>
  <c r="I691" i="7"/>
  <c r="I566" i="7"/>
  <c r="I657" i="7"/>
  <c r="I682" i="7"/>
  <c r="I626" i="7"/>
  <c r="T1439" i="7"/>
  <c r="N723" i="11" s="1"/>
  <c r="Y1437" i="7" a="1"/>
  <c r="Y1437" i="7" s="1"/>
  <c r="Y1618" i="7" a="1"/>
  <c r="Y1618" i="7" s="1"/>
  <c r="T1798" i="7"/>
  <c r="Y1795" i="7" a="1"/>
  <c r="Y1795" i="7" s="1"/>
  <c r="T1802" i="7"/>
  <c r="Y1799" i="7" a="1"/>
  <c r="Y1799" i="7" s="1"/>
  <c r="T1799" i="7"/>
  <c r="Y1796" i="7" a="1"/>
  <c r="Y1796" i="7" s="1"/>
  <c r="I727" i="7"/>
  <c r="AA725" i="7" s="1" a="1"/>
  <c r="AA725" i="7" s="1"/>
  <c r="I725" i="7"/>
  <c r="AA723" i="7" s="1" a="1"/>
  <c r="AA723" i="7" s="1"/>
  <c r="I654" i="7"/>
  <c r="I702" i="7"/>
  <c r="I582" i="7"/>
  <c r="I563" i="7"/>
  <c r="I623" i="7"/>
  <c r="I652" i="7"/>
  <c r="I645" i="7"/>
  <c r="I659" i="7"/>
  <c r="I581" i="7"/>
  <c r="I597" i="7"/>
  <c r="I635" i="7"/>
  <c r="I609" i="7"/>
  <c r="I592" i="7"/>
  <c r="I601" i="7"/>
  <c r="I655" i="7"/>
  <c r="I562" i="7"/>
  <c r="I686" i="7"/>
  <c r="I595" i="7"/>
  <c r="I700" i="7"/>
  <c r="I707" i="7"/>
  <c r="I553" i="7"/>
  <c r="AA551" i="7" s="1" a="1"/>
  <c r="AA551" i="7" s="1"/>
  <c r="I704" i="7"/>
  <c r="G545" i="10"/>
  <c r="Y543" i="7" a="1"/>
  <c r="Y543" i="7" s="1"/>
  <c r="G8" i="10"/>
  <c r="Y6" i="7" a="1"/>
  <c r="Y6" i="7" s="1"/>
  <c r="I598" i="7"/>
  <c r="I713" i="7"/>
  <c r="I556" i="7"/>
  <c r="AA554" i="7" s="1" a="1"/>
  <c r="AA554" i="7" s="1"/>
  <c r="I680" i="7"/>
  <c r="I656" i="7"/>
  <c r="I576" i="7"/>
  <c r="I708" i="7"/>
  <c r="I625" i="7"/>
  <c r="I602" i="7"/>
  <c r="I558" i="7"/>
  <c r="AA556" i="7" s="1" a="1"/>
  <c r="AA556" i="7" s="1"/>
  <c r="I614" i="7"/>
  <c r="I699" i="7"/>
  <c r="I683" i="7"/>
  <c r="I643" i="7"/>
  <c r="I658" i="7"/>
  <c r="I714" i="7"/>
  <c r="I644" i="7"/>
  <c r="I616" i="7"/>
  <c r="I694" i="7"/>
  <c r="I669" i="7"/>
  <c r="T1797" i="7"/>
  <c r="Y1794" i="7" a="1"/>
  <c r="Y1794" i="7" s="1"/>
  <c r="I846" i="7"/>
  <c r="I744" i="7"/>
  <c r="I847" i="7"/>
  <c r="I863" i="7"/>
  <c r="I864" i="7"/>
  <c r="I866" i="7"/>
  <c r="I870" i="7"/>
  <c r="I842" i="7"/>
  <c r="I743" i="7"/>
  <c r="I742" i="7"/>
  <c r="I861" i="7"/>
  <c r="I871" i="7"/>
  <c r="I862" i="7"/>
  <c r="I750" i="7"/>
  <c r="I844" i="7"/>
  <c r="I860" i="7"/>
  <c r="I748" i="7"/>
  <c r="I741" i="7"/>
  <c r="I745" i="7"/>
  <c r="I867" i="7"/>
  <c r="I840" i="7"/>
  <c r="I843" i="7"/>
  <c r="I747" i="7"/>
  <c r="I841" i="7"/>
  <c r="I746" i="7"/>
  <c r="I845" i="7"/>
  <c r="I872" i="7"/>
  <c r="I869" i="7"/>
  <c r="I865" i="7"/>
  <c r="G32" i="10"/>
  <c r="T1106" i="7"/>
  <c r="N390" i="11" s="1"/>
  <c r="T1285" i="7"/>
  <c r="N569" i="11" s="1"/>
  <c r="T1643" i="7"/>
  <c r="N927" i="11" s="1"/>
  <c r="T20" i="7"/>
  <c r="N20" i="10" s="1"/>
  <c r="T13" i="7"/>
  <c r="N13" i="10" s="1"/>
  <c r="T729" i="7"/>
  <c r="N13" i="11" s="1"/>
  <c r="T1266" i="7"/>
  <c r="N550" i="11" s="1"/>
  <c r="T550" i="7"/>
  <c r="N550" i="10" s="1"/>
  <c r="T192" i="7"/>
  <c r="N192" i="10" s="1"/>
  <c r="T544" i="7"/>
  <c r="N544" i="10" s="1"/>
  <c r="T1260" i="7"/>
  <c r="N544" i="11" s="1"/>
  <c r="T7" i="7"/>
  <c r="N7" i="10" s="1"/>
  <c r="T186" i="7"/>
  <c r="N186" i="10" s="1"/>
  <c r="T1258" i="7"/>
  <c r="N542" i="11" s="1"/>
  <c r="T1437" i="7"/>
  <c r="N721" i="11" s="1"/>
  <c r="T1616" i="7"/>
  <c r="N900" i="11" s="1"/>
  <c r="D127" i="18" a="1"/>
  <c r="D127" i="18" s="1"/>
  <c r="D91" i="18" a="1"/>
  <c r="D91" i="18" s="1"/>
  <c r="D111" i="18" a="1"/>
  <c r="D111" i="18" s="1"/>
  <c r="D14" i="18" a="1"/>
  <c r="D14" i="18" s="1"/>
  <c r="D24" i="18" a="1"/>
  <c r="D24" i="18" s="1"/>
  <c r="D152" i="18" a="1"/>
  <c r="D152" i="18" s="1"/>
  <c r="D11" i="18" a="1"/>
  <c r="D11" i="18" s="1"/>
  <c r="J5" i="12" s="1"/>
  <c r="D147" i="18" a="1"/>
  <c r="D147" i="18" s="1"/>
  <c r="D154" i="18" a="1"/>
  <c r="D154" i="18" s="1"/>
  <c r="B40" i="17" a="1"/>
  <c r="B40" i="17" s="1"/>
  <c r="D187" i="18" a="1"/>
  <c r="D187" i="18" s="1"/>
  <c r="D177" i="18" a="1"/>
  <c r="D177" i="18" s="1"/>
  <c r="D118" i="18" a="1"/>
  <c r="D118" i="18" s="1"/>
  <c r="B29" i="17" a="1"/>
  <c r="B29" i="17" s="1"/>
  <c r="D88" i="18" a="1"/>
  <c r="D88" i="18" s="1"/>
  <c r="D97" i="18" a="1"/>
  <c r="D97" i="18" s="1"/>
  <c r="D198" i="18" a="1"/>
  <c r="D198" i="18" s="1"/>
  <c r="D5" i="18" a="1"/>
  <c r="D5" i="18" s="1"/>
  <c r="D94" i="18" a="1"/>
  <c r="D94" i="18" s="1"/>
  <c r="C11" i="12" s="1"/>
  <c r="D119" i="18" a="1"/>
  <c r="D119" i="18" s="1"/>
  <c r="D18" i="18" a="1"/>
  <c r="D18" i="18" s="1"/>
  <c r="D67" i="18" a="1"/>
  <c r="D67" i="18" s="1"/>
  <c r="D80" i="18" a="1"/>
  <c r="D80" i="18" s="1"/>
  <c r="D30" i="18" a="1"/>
  <c r="D30" i="18" s="1"/>
  <c r="N6" i="12" s="1"/>
  <c r="D157" i="18" a="1"/>
  <c r="D157" i="18" s="1"/>
  <c r="F15" i="12" s="1"/>
  <c r="D159" i="18" a="1"/>
  <c r="D159" i="18" s="1"/>
  <c r="B42" i="17" a="1"/>
  <c r="B42" i="17" s="1"/>
  <c r="D190" i="18" a="1"/>
  <c r="D190" i="18" s="1"/>
  <c r="D181" i="18" a="1"/>
  <c r="D181" i="18" s="1"/>
  <c r="O16" i="12" s="1"/>
  <c r="D126" i="18" a="1"/>
  <c r="D126" i="18" s="1"/>
  <c r="B31" i="17" a="1"/>
  <c r="B31" i="17" s="1"/>
  <c r="D92" i="18" a="1"/>
  <c r="D92" i="18" s="1"/>
  <c r="D120" i="18" a="1"/>
  <c r="D120" i="18" s="1"/>
  <c r="N12" i="12" s="1"/>
  <c r="C16" i="17" a="1"/>
  <c r="C16" i="17" s="1"/>
  <c r="J1616" i="7"/>
  <c r="J900" i="11" s="1"/>
  <c r="K1616" i="7"/>
  <c r="K900" i="11" s="1"/>
  <c r="D71" i="18" a="1"/>
  <c r="D71" i="18" s="1"/>
  <c r="D124" i="18" a="1"/>
  <c r="D124" i="18" s="1"/>
  <c r="C13" i="12" s="1"/>
  <c r="D122" i="18" a="1"/>
  <c r="D122" i="18" s="1"/>
  <c r="D26" i="18" a="1"/>
  <c r="D26" i="18" s="1"/>
  <c r="J6" i="12" s="1"/>
  <c r="D76" i="18" a="1"/>
  <c r="D76" i="18" s="1"/>
  <c r="D106" i="18" a="1"/>
  <c r="D106" i="18" s="1"/>
  <c r="O11" i="12" s="1"/>
  <c r="D32" i="18" a="1"/>
  <c r="D32" i="18" s="1"/>
  <c r="P6" i="12" s="1"/>
  <c r="D173" i="18" a="1"/>
  <c r="D173" i="18" s="1"/>
  <c r="D163" i="18" a="1"/>
  <c r="D163" i="18" s="1"/>
  <c r="B44" i="17" a="1"/>
  <c r="B44" i="17" s="1"/>
  <c r="D196" i="18" a="1"/>
  <c r="D196" i="18" s="1"/>
  <c r="D105" i="18" a="1"/>
  <c r="D105" i="18" s="1"/>
  <c r="D136" i="18" a="1"/>
  <c r="D136" i="18" s="1"/>
  <c r="B33" i="17" a="1"/>
  <c r="B33" i="17" s="1"/>
  <c r="D110" i="18" a="1"/>
  <c r="D110" i="18" s="1"/>
  <c r="D141" i="18" a="1"/>
  <c r="D141" i="18" s="1"/>
  <c r="E14" i="12" s="1"/>
  <c r="C20" i="17" a="1"/>
  <c r="C20" i="17" s="1"/>
  <c r="D21" i="18" a="1"/>
  <c r="D21" i="18" s="1"/>
  <c r="E6" i="12" s="1"/>
  <c r="D130" i="18" a="1"/>
  <c r="D130" i="18" s="1"/>
  <c r="I13" i="12" s="1"/>
  <c r="D140" i="18" a="1"/>
  <c r="D140" i="18" s="1"/>
  <c r="D82" i="18" a="1"/>
  <c r="D82" i="18" s="1"/>
  <c r="D100" i="18" a="1"/>
  <c r="D100" i="18" s="1"/>
  <c r="D112" i="18" a="1"/>
  <c r="D112" i="18" s="1"/>
  <c r="F12" i="12" s="1"/>
  <c r="D66" i="18" a="1"/>
  <c r="D66" i="18" s="1"/>
  <c r="E9" i="12" s="1"/>
  <c r="D178" i="18" a="1"/>
  <c r="D178" i="18" s="1"/>
  <c r="C11" i="17" a="1"/>
  <c r="C11" i="17" s="1"/>
  <c r="B46" i="17" a="1"/>
  <c r="B46" i="17" s="1"/>
  <c r="D149" i="18" a="1"/>
  <c r="D149" i="18" s="1"/>
  <c r="M14" i="12" s="1"/>
  <c r="D113" i="18" a="1"/>
  <c r="D113" i="18" s="1"/>
  <c r="G12" i="12" s="1"/>
  <c r="D153" i="18" a="1"/>
  <c r="D153" i="18" s="1"/>
  <c r="Q14" i="12" s="1"/>
  <c r="B35" i="17" a="1"/>
  <c r="B35" i="17" s="1"/>
  <c r="D123" i="18" a="1"/>
  <c r="D123" i="18" s="1"/>
  <c r="Q12" i="12" s="1"/>
  <c r="D164" i="18" a="1"/>
  <c r="D164" i="18" s="1"/>
  <c r="M15" i="12" s="1"/>
  <c r="D27" i="18" a="1"/>
  <c r="D27" i="18" s="1"/>
  <c r="D7" i="18" a="1"/>
  <c r="D7" i="18" s="1"/>
  <c r="D150" i="18" a="1"/>
  <c r="D150" i="18" s="1"/>
  <c r="N14" i="12" s="1"/>
  <c r="D84" i="18" a="1"/>
  <c r="D84" i="18" s="1"/>
  <c r="H10" i="12" s="1"/>
  <c r="D117" i="18" a="1"/>
  <c r="D117" i="18" s="1"/>
  <c r="K12" i="12" s="1"/>
  <c r="D146" i="18" a="1"/>
  <c r="D146" i="18" s="1"/>
  <c r="J14" i="12" s="1"/>
  <c r="D75" i="18" a="1"/>
  <c r="D75" i="18" s="1"/>
  <c r="N9" i="12" s="1"/>
  <c r="D180" i="18" a="1"/>
  <c r="D180" i="18" s="1"/>
  <c r="N16" i="12" s="1"/>
  <c r="C17" i="17" a="1"/>
  <c r="C17" i="17" s="1"/>
  <c r="B48" i="17" a="1"/>
  <c r="B48" i="17" s="1"/>
  <c r="D156" i="18" a="1"/>
  <c r="D156" i="18" s="1"/>
  <c r="E15" i="12" s="1"/>
  <c r="D116" i="18" a="1"/>
  <c r="D116" i="18" s="1"/>
  <c r="D160" i="18" a="1"/>
  <c r="D160" i="18" s="1"/>
  <c r="B37" i="17" a="1"/>
  <c r="B37" i="17" s="1"/>
  <c r="D143" i="18" a="1"/>
  <c r="D143" i="18" s="1"/>
  <c r="G14" i="12" s="1"/>
  <c r="D169" i="18" a="1"/>
  <c r="D169" i="18" s="1"/>
  <c r="C16" i="12" s="1"/>
  <c r="J1079" i="7"/>
  <c r="J363" i="11" s="1"/>
  <c r="K1079" i="7"/>
  <c r="K363" i="11" s="1"/>
  <c r="D6" i="18" a="1"/>
  <c r="D6" i="18" s="1"/>
  <c r="E5" i="12" s="1"/>
  <c r="D13" i="18" a="1"/>
  <c r="D13" i="18" s="1"/>
  <c r="L5" i="12" s="1"/>
  <c r="D28" i="18" a="1"/>
  <c r="D28" i="18" s="1"/>
  <c r="L6" i="12" s="1"/>
  <c r="D86" i="18" a="1"/>
  <c r="D86" i="18" s="1"/>
  <c r="J10" i="12" s="1"/>
  <c r="D125" i="18" a="1"/>
  <c r="D125" i="18" s="1"/>
  <c r="D13" i="12" s="1"/>
  <c r="D73" i="18" a="1"/>
  <c r="D73" i="18" s="1"/>
  <c r="L9" i="12" s="1"/>
  <c r="D85" i="18" a="1"/>
  <c r="D85" i="18" s="1"/>
  <c r="I10" i="12" s="1"/>
  <c r="D186" i="18" a="1"/>
  <c r="D186" i="18" s="1"/>
  <c r="C21" i="17" a="1"/>
  <c r="C21" i="17" s="1"/>
  <c r="B50" i="17" a="1"/>
  <c r="B50" i="17" s="1"/>
  <c r="D165" i="18" a="1"/>
  <c r="D165" i="18" s="1"/>
  <c r="N15" i="12" s="1"/>
  <c r="D121" i="18" a="1"/>
  <c r="D121" i="18" s="1"/>
  <c r="D162" i="18" a="1"/>
  <c r="D162" i="18" s="1"/>
  <c r="K15" i="12" s="1"/>
  <c r="B39" i="17" a="1"/>
  <c r="B39" i="17" s="1"/>
  <c r="D148" i="18" a="1"/>
  <c r="D148" i="18" s="1"/>
  <c r="L14" i="12" s="1"/>
  <c r="D171" i="18" a="1"/>
  <c r="D171" i="18" s="1"/>
  <c r="E16" i="12" s="1"/>
  <c r="J1437" i="7"/>
  <c r="J721" i="11" s="1"/>
  <c r="K1437" i="7"/>
  <c r="K721" i="11" s="1"/>
  <c r="D8" i="18" a="1"/>
  <c r="D8" i="18" s="1"/>
  <c r="G5" i="12" s="1"/>
  <c r="D23" i="18" a="1"/>
  <c r="D23" i="18" s="1"/>
  <c r="G6" i="12" s="1"/>
  <c r="D64" i="18" a="1"/>
  <c r="D64" i="18" s="1"/>
  <c r="C9" i="12" s="1"/>
  <c r="D108" i="18" a="1"/>
  <c r="D108" i="18" s="1"/>
  <c r="Q11" i="12" s="1"/>
  <c r="D137" i="18" a="1"/>
  <c r="D137" i="18" s="1"/>
  <c r="P13" i="12" s="1"/>
  <c r="D87" i="18" a="1"/>
  <c r="D87" i="18" s="1"/>
  <c r="K10" i="12" s="1"/>
  <c r="D90" i="18" a="1"/>
  <c r="D90" i="18" s="1"/>
  <c r="N10" i="12" s="1"/>
  <c r="D189" i="18" a="1"/>
  <c r="D189" i="18" s="1"/>
  <c r="B28" i="17" a="1"/>
  <c r="B28" i="17" s="1"/>
  <c r="D170" i="18" a="1"/>
  <c r="D170" i="18" s="1"/>
  <c r="D16" i="12" s="1"/>
  <c r="D179" i="18" a="1"/>
  <c r="D179" i="18" s="1"/>
  <c r="M16" i="12" s="1"/>
  <c r="D131" i="18" a="1"/>
  <c r="D131" i="18" s="1"/>
  <c r="J13" i="12" s="1"/>
  <c r="D167" i="18" a="1"/>
  <c r="D167" i="18" s="1"/>
  <c r="P15" i="12" s="1"/>
  <c r="B41" i="17" a="1"/>
  <c r="B41" i="17" s="1"/>
  <c r="D155" i="18" a="1"/>
  <c r="D155" i="18" s="1"/>
  <c r="D15" i="12" s="1"/>
  <c r="D176" i="18" a="1"/>
  <c r="D176" i="18" s="1"/>
  <c r="J16" i="12" s="1"/>
  <c r="J1258" i="7"/>
  <c r="J542" i="11" s="1"/>
  <c r="K1258" i="7"/>
  <c r="K542" i="11" s="1"/>
  <c r="D9" i="18" a="1"/>
  <c r="D9" i="18" s="1"/>
  <c r="H5" i="12" s="1"/>
  <c r="D10" i="18" a="1"/>
  <c r="D10" i="18" s="1"/>
  <c r="I5" i="12" s="1"/>
  <c r="D12" i="18" a="1"/>
  <c r="D12" i="18" s="1"/>
  <c r="K5" i="12" s="1"/>
  <c r="D15" i="18" a="1"/>
  <c r="D15" i="18" s="1"/>
  <c r="N5" i="12" s="1"/>
  <c r="D114" i="18" a="1"/>
  <c r="D114" i="18" s="1"/>
  <c r="H12" i="12" s="1"/>
  <c r="D151" i="18" a="1"/>
  <c r="D151" i="18" s="1"/>
  <c r="O14" i="12" s="1"/>
  <c r="D101" i="18" a="1"/>
  <c r="D101" i="18" s="1"/>
  <c r="J11" i="12" s="1"/>
  <c r="D98" i="18" a="1"/>
  <c r="D98" i="18" s="1"/>
  <c r="G11" i="12" s="1"/>
  <c r="D161" i="18" a="1"/>
  <c r="D161" i="18" s="1"/>
  <c r="J15" i="12" s="1"/>
  <c r="B30" i="17" a="1"/>
  <c r="B30" i="17" s="1"/>
  <c r="D175" i="18" a="1"/>
  <c r="D175" i="18" s="1"/>
  <c r="I16" i="12" s="1"/>
  <c r="D193" i="18" a="1"/>
  <c r="D193" i="18" s="1"/>
  <c r="D139" i="18" a="1"/>
  <c r="D139" i="18" s="1"/>
  <c r="C14" i="12" s="1"/>
  <c r="D183" i="18" a="1"/>
  <c r="D183" i="18" s="1"/>
  <c r="Q16" i="12" s="1"/>
  <c r="B43" i="17" a="1"/>
  <c r="B43" i="17" s="1"/>
  <c r="D188" i="18" a="1"/>
  <c r="D188" i="18" s="1"/>
  <c r="D99" i="18" a="1"/>
  <c r="D99" i="18" s="1"/>
  <c r="H11" i="12" s="1"/>
  <c r="D93" i="18" a="1"/>
  <c r="D93" i="18" s="1"/>
  <c r="Q10" i="12" s="1"/>
  <c r="D29" i="18" a="1"/>
  <c r="D29" i="18" s="1"/>
  <c r="M6" i="12" s="1"/>
  <c r="D16" i="18" a="1"/>
  <c r="D16" i="18" s="1"/>
  <c r="O5" i="12" s="1"/>
  <c r="D25" i="18" a="1"/>
  <c r="D25" i="18" s="1"/>
  <c r="I6" i="12" s="1"/>
  <c r="D69" i="18" a="1"/>
  <c r="D69" i="18" s="1"/>
  <c r="H9" i="12" s="1"/>
  <c r="D78" i="18" a="1"/>
  <c r="D78" i="18" s="1"/>
  <c r="Q9" i="12" s="1"/>
  <c r="D104" i="18" a="1"/>
  <c r="D104" i="18" s="1"/>
  <c r="M11" i="12" s="1"/>
  <c r="D107" i="18" a="1"/>
  <c r="D107" i="18" s="1"/>
  <c r="P11" i="12" s="1"/>
  <c r="D166" i="18" a="1"/>
  <c r="D166" i="18" s="1"/>
  <c r="O15" i="12" s="1"/>
  <c r="B32" i="17" a="1"/>
  <c r="B32" i="17" s="1"/>
  <c r="D184" i="18" a="1"/>
  <c r="D184" i="18" s="1"/>
  <c r="C12" i="17" a="1"/>
  <c r="C12" i="17" s="1"/>
  <c r="D174" i="18" a="1"/>
  <c r="D174" i="18" s="1"/>
  <c r="H16" i="12" s="1"/>
  <c r="D185" i="18" a="1"/>
  <c r="D185" i="18" s="1"/>
  <c r="B45" i="17" a="1"/>
  <c r="B45" i="17" s="1"/>
  <c r="D191" i="18" a="1"/>
  <c r="D191" i="18" s="1"/>
  <c r="D115" i="18" a="1"/>
  <c r="D115" i="18" s="1"/>
  <c r="I12" i="12" s="1"/>
  <c r="E176" i="18" a="1"/>
  <c r="E176" i="18" s="1"/>
  <c r="AB16" i="12" s="1"/>
  <c r="AB31" i="12" s="1"/>
  <c r="E171" i="18" a="1"/>
  <c r="E171" i="18" s="1"/>
  <c r="W16" i="12" s="1"/>
  <c r="W31" i="12" s="1"/>
  <c r="E169" i="18" a="1"/>
  <c r="E169" i="18" s="1"/>
  <c r="U16" i="12" s="1"/>
  <c r="U31" i="12" s="1"/>
  <c r="E164" i="18" a="1"/>
  <c r="E164" i="18" s="1"/>
  <c r="AE15" i="12" s="1"/>
  <c r="AE30" i="12" s="1"/>
  <c r="E148" i="18" a="1"/>
  <c r="E148" i="18" s="1"/>
  <c r="AD14" i="12" s="1"/>
  <c r="AD29" i="12" s="1"/>
  <c r="E141" i="18" a="1"/>
  <c r="E141" i="18" s="1"/>
  <c r="W14" i="12" s="1"/>
  <c r="W29" i="12" s="1"/>
  <c r="E123" i="18" a="1"/>
  <c r="E123" i="18" s="1"/>
  <c r="AI12" i="12" s="1"/>
  <c r="AI27" i="12" s="1"/>
  <c r="E110" i="18" a="1"/>
  <c r="E110" i="18" s="1"/>
  <c r="V12" i="12" s="1"/>
  <c r="V27" i="12" s="1"/>
  <c r="E97" i="18" a="1"/>
  <c r="E97" i="18" s="1"/>
  <c r="X11" i="12" s="1"/>
  <c r="X26" i="12" s="1"/>
  <c r="E92" i="18" a="1"/>
  <c r="E92" i="18" s="1"/>
  <c r="AH10" i="12" s="1"/>
  <c r="AH25" i="12" s="1"/>
  <c r="E81" i="18" a="1"/>
  <c r="E81" i="18" s="1"/>
  <c r="W10" i="12" s="1"/>
  <c r="W25" i="12" s="1"/>
  <c r="E194" i="18" a="1"/>
  <c r="E194" i="18" s="1"/>
  <c r="E191" i="18" a="1"/>
  <c r="E191" i="18" s="1"/>
  <c r="E188" i="18" a="1"/>
  <c r="E188" i="18" s="1"/>
  <c r="E185" i="18" a="1"/>
  <c r="E185" i="18" s="1"/>
  <c r="E183" i="18" a="1"/>
  <c r="E183" i="18" s="1"/>
  <c r="AI16" i="12" s="1"/>
  <c r="AI31" i="12" s="1"/>
  <c r="E155" i="18" a="1"/>
  <c r="E155" i="18" s="1"/>
  <c r="E143" i="18" a="1"/>
  <c r="E143" i="18" s="1"/>
  <c r="Y14" i="12" s="1"/>
  <c r="Y29" i="12" s="1"/>
  <c r="E136" i="18" a="1"/>
  <c r="E136" i="18" s="1"/>
  <c r="AG13" i="12" s="1"/>
  <c r="AG28" i="12" s="1"/>
  <c r="E126" i="18" a="1"/>
  <c r="E126" i="18" s="1"/>
  <c r="W13" i="12" s="1"/>
  <c r="W28" i="12" s="1"/>
  <c r="E102" i="18" a="1"/>
  <c r="E102" i="18" s="1"/>
  <c r="AC11" i="12" s="1"/>
  <c r="AC26" i="12" s="1"/>
  <c r="E95" i="18" a="1"/>
  <c r="E95" i="18" s="1"/>
  <c r="V11" i="12" s="1"/>
  <c r="V26" i="12" s="1"/>
  <c r="E90" i="18" a="1"/>
  <c r="E90" i="18" s="1"/>
  <c r="AF10" i="12" s="1"/>
  <c r="AF25" i="12" s="1"/>
  <c r="E88" i="18" a="1"/>
  <c r="E88" i="18" s="1"/>
  <c r="AD10" i="12" s="1"/>
  <c r="AD25" i="12" s="1"/>
  <c r="E79" i="18" a="1"/>
  <c r="E79" i="18" s="1"/>
  <c r="U10" i="12" s="1"/>
  <c r="U25" i="12" s="1"/>
  <c r="E74" i="18" a="1"/>
  <c r="E74" i="18" s="1"/>
  <c r="AE9" i="12" s="1"/>
  <c r="AE24" i="12" s="1"/>
  <c r="D23" i="17" a="1"/>
  <c r="D23" i="17" s="1"/>
  <c r="C49" i="17" a="1"/>
  <c r="C49" i="17" s="1"/>
  <c r="C47" i="17" a="1"/>
  <c r="C47" i="17" s="1"/>
  <c r="C45" i="17" a="1"/>
  <c r="C45" i="17" s="1"/>
  <c r="C43" i="17" a="1"/>
  <c r="C43" i="17" s="1"/>
  <c r="C41" i="17" a="1"/>
  <c r="C41" i="17" s="1"/>
  <c r="C39" i="17" a="1"/>
  <c r="C39" i="17" s="1"/>
  <c r="C37" i="17" a="1"/>
  <c r="C37" i="17" s="1"/>
  <c r="C35" i="17" a="1"/>
  <c r="C35" i="17" s="1"/>
  <c r="C33" i="17" a="1"/>
  <c r="C33" i="17" s="1"/>
  <c r="C31" i="17" a="1"/>
  <c r="C31" i="17" s="1"/>
  <c r="C29" i="17" a="1"/>
  <c r="C29" i="17" s="1"/>
  <c r="C27" i="17" a="1"/>
  <c r="C27" i="17" s="1"/>
  <c r="D19" i="17" a="1"/>
  <c r="D19" i="17" s="1"/>
  <c r="D15" i="17" a="1"/>
  <c r="D15" i="17" s="1"/>
  <c r="E174" i="18" a="1"/>
  <c r="E174" i="18" s="1"/>
  <c r="Z16" i="12" s="1"/>
  <c r="Z31" i="12" s="1"/>
  <c r="E167" i="18" a="1"/>
  <c r="E167" i="18" s="1"/>
  <c r="AH15" i="12" s="1"/>
  <c r="AH30" i="12" s="1"/>
  <c r="E162" i="18" a="1"/>
  <c r="E162" i="18" s="1"/>
  <c r="AC15" i="12" s="1"/>
  <c r="AC30" i="12" s="1"/>
  <c r="E160" i="18" a="1"/>
  <c r="E160" i="18" s="1"/>
  <c r="AA15" i="12" s="1"/>
  <c r="AA30" i="12" s="1"/>
  <c r="E153" i="18" a="1"/>
  <c r="E153" i="18" s="1"/>
  <c r="AI14" i="12" s="1"/>
  <c r="AI29" i="12" s="1"/>
  <c r="E139" i="18" a="1"/>
  <c r="E139" i="18" s="1"/>
  <c r="U14" i="12" s="1"/>
  <c r="U29" i="12" s="1"/>
  <c r="E118" i="18" a="1"/>
  <c r="E118" i="18" s="1"/>
  <c r="AD12" i="12" s="1"/>
  <c r="AD27" i="12" s="1"/>
  <c r="E113" i="18" a="1"/>
  <c r="E113" i="18" s="1"/>
  <c r="Y12" i="12" s="1"/>
  <c r="Y27" i="12" s="1"/>
  <c r="E105" i="18" a="1"/>
  <c r="E105" i="18" s="1"/>
  <c r="AF11" i="12" s="1"/>
  <c r="AF26" i="12" s="1"/>
  <c r="E197" i="18" a="1"/>
  <c r="E197" i="18" s="1"/>
  <c r="E181" i="18" a="1"/>
  <c r="E181" i="18" s="1"/>
  <c r="AG16" i="12" s="1"/>
  <c r="AG31" i="12" s="1"/>
  <c r="E151" i="18" a="1"/>
  <c r="E151" i="18" s="1"/>
  <c r="AG14" i="12" s="1"/>
  <c r="AG29" i="12" s="1"/>
  <c r="E131" i="18" a="1"/>
  <c r="E131" i="18" s="1"/>
  <c r="AB13" i="12" s="1"/>
  <c r="AB28" i="12" s="1"/>
  <c r="E121" i="18" a="1"/>
  <c r="E121" i="18" s="1"/>
  <c r="AG12" i="12" s="1"/>
  <c r="AG27" i="12" s="1"/>
  <c r="E116" i="18" a="1"/>
  <c r="E116" i="18" s="1"/>
  <c r="AB12" i="12" s="1"/>
  <c r="AB27" i="12" s="1"/>
  <c r="E108" i="18" a="1"/>
  <c r="E108" i="18" s="1"/>
  <c r="AI11" i="12" s="1"/>
  <c r="AI26" i="12" s="1"/>
  <c r="E177" i="18" a="1"/>
  <c r="E177" i="18" s="1"/>
  <c r="AC16" i="12" s="1"/>
  <c r="AC31" i="12" s="1"/>
  <c r="E165" i="18" a="1"/>
  <c r="E165" i="18" s="1"/>
  <c r="AF15" i="12" s="1"/>
  <c r="AF30" i="12" s="1"/>
  <c r="E158" i="18" a="1"/>
  <c r="E158" i="18" s="1"/>
  <c r="Y15" i="12" s="1"/>
  <c r="Y30" i="12" s="1"/>
  <c r="E146" i="18" a="1"/>
  <c r="E146" i="18" s="1"/>
  <c r="AB14" i="12" s="1"/>
  <c r="AB29" i="12" s="1"/>
  <c r="E134" i="18" a="1"/>
  <c r="E134" i="18" s="1"/>
  <c r="AE13" i="12" s="1"/>
  <c r="AE28" i="12" s="1"/>
  <c r="E129" i="18" a="1"/>
  <c r="E129" i="18" s="1"/>
  <c r="Z13" i="12" s="1"/>
  <c r="Z28" i="12" s="1"/>
  <c r="E124" i="18" a="1"/>
  <c r="E124" i="18" s="1"/>
  <c r="U13" i="12" s="1"/>
  <c r="U28" i="12" s="1"/>
  <c r="E100" i="18" a="1"/>
  <c r="E100" i="18" s="1"/>
  <c r="AA11" i="12" s="1"/>
  <c r="AA26" i="12" s="1"/>
  <c r="E98" i="18" a="1"/>
  <c r="E98" i="18" s="1"/>
  <c r="Y11" i="12" s="1"/>
  <c r="Y26" i="12" s="1"/>
  <c r="D22" i="17" a="1"/>
  <c r="D22" i="17" s="1"/>
  <c r="D18" i="17" a="1"/>
  <c r="D18" i="17" s="1"/>
  <c r="D12" i="17" a="1"/>
  <c r="D12" i="17" s="1"/>
  <c r="E193" i="18" a="1"/>
  <c r="E193" i="18" s="1"/>
  <c r="E187" i="18" a="1"/>
  <c r="E187" i="18" s="1"/>
  <c r="E179" i="18" a="1"/>
  <c r="E179" i="18" s="1"/>
  <c r="AE16" i="12" s="1"/>
  <c r="AE31" i="12" s="1"/>
  <c r="E172" i="18" a="1"/>
  <c r="E172" i="18" s="1"/>
  <c r="X16" i="12" s="1"/>
  <c r="X31" i="12" s="1"/>
  <c r="E156" i="18" a="1"/>
  <c r="E156" i="18" s="1"/>
  <c r="W15" i="12" s="1"/>
  <c r="W30" i="12" s="1"/>
  <c r="E196" i="18" a="1"/>
  <c r="E196" i="18" s="1"/>
  <c r="E190" i="18" a="1"/>
  <c r="E190" i="18" s="1"/>
  <c r="E184" i="18" a="1"/>
  <c r="E184" i="18" s="1"/>
  <c r="E175" i="18" a="1"/>
  <c r="E175" i="18" s="1"/>
  <c r="AA16" i="12" s="1"/>
  <c r="AA31" i="12" s="1"/>
  <c r="E168" i="18" a="1"/>
  <c r="E168" i="18" s="1"/>
  <c r="AI15" i="12" s="1"/>
  <c r="AI30" i="12" s="1"/>
  <c r="E170" i="18" a="1"/>
  <c r="E170" i="18" s="1"/>
  <c r="V16" i="12" s="1"/>
  <c r="V31" i="12" s="1"/>
  <c r="E163" i="18" a="1"/>
  <c r="E163" i="18" s="1"/>
  <c r="AD15" i="12" s="1"/>
  <c r="AD30" i="12" s="1"/>
  <c r="E154" i="18" a="1"/>
  <c r="E154" i="18" s="1"/>
  <c r="U15" i="12" s="1"/>
  <c r="U30" i="12" s="1"/>
  <c r="E147" i="18" a="1"/>
  <c r="E147" i="18" s="1"/>
  <c r="AC14" i="12" s="1"/>
  <c r="AC29" i="12" s="1"/>
  <c r="E142" i="18" a="1"/>
  <c r="E142" i="18" s="1"/>
  <c r="X14" i="12" s="1"/>
  <c r="X29" i="12" s="1"/>
  <c r="E140" i="18" a="1"/>
  <c r="E140" i="18" s="1"/>
  <c r="V14" i="12" s="1"/>
  <c r="V29" i="12" s="1"/>
  <c r="E137" i="18" a="1"/>
  <c r="E137" i="18" s="1"/>
  <c r="AH13" i="12" s="1"/>
  <c r="AH28" i="12" s="1"/>
  <c r="C50" i="17" a="1"/>
  <c r="C50" i="17" s="1"/>
  <c r="C48" i="17" a="1"/>
  <c r="C48" i="17" s="1"/>
  <c r="C46" i="17" a="1"/>
  <c r="C46" i="17" s="1"/>
  <c r="C44" i="17" a="1"/>
  <c r="C44" i="17" s="1"/>
  <c r="C42" i="17" a="1"/>
  <c r="C42" i="17" s="1"/>
  <c r="C40" i="17" a="1"/>
  <c r="C40" i="17" s="1"/>
  <c r="C38" i="17" a="1"/>
  <c r="C38" i="17" s="1"/>
  <c r="C36" i="17" a="1"/>
  <c r="C36" i="17" s="1"/>
  <c r="C34" i="17" a="1"/>
  <c r="C34" i="17" s="1"/>
  <c r="C32" i="17" a="1"/>
  <c r="C32" i="17" s="1"/>
  <c r="C30" i="17" a="1"/>
  <c r="C30" i="17" s="1"/>
  <c r="C28" i="17" a="1"/>
  <c r="C28" i="17" s="1"/>
  <c r="D21" i="17" a="1"/>
  <c r="D21" i="17" s="1"/>
  <c r="D17" i="17" a="1"/>
  <c r="D17" i="17" s="1"/>
  <c r="D11" i="17" a="1"/>
  <c r="D11" i="17" s="1"/>
  <c r="E166" i="18" a="1"/>
  <c r="E166" i="18" s="1"/>
  <c r="AG15" i="12" s="1"/>
  <c r="AG30" i="12" s="1"/>
  <c r="E159" i="18" a="1"/>
  <c r="E159" i="18" s="1"/>
  <c r="Z15" i="12" s="1"/>
  <c r="Z30" i="12" s="1"/>
  <c r="E195" i="18" a="1"/>
  <c r="E195" i="18" s="1"/>
  <c r="E192" i="18" a="1"/>
  <c r="E192" i="18" s="1"/>
  <c r="E182" i="18" a="1"/>
  <c r="E182" i="18" s="1"/>
  <c r="AH16" i="12" s="1"/>
  <c r="AH31" i="12" s="1"/>
  <c r="E161" i="18" a="1"/>
  <c r="E161" i="18" s="1"/>
  <c r="AB15" i="12" s="1"/>
  <c r="AB30" i="12" s="1"/>
  <c r="E157" i="18" a="1"/>
  <c r="E157" i="18" s="1"/>
  <c r="X15" i="12" s="1"/>
  <c r="X30" i="12" s="1"/>
  <c r="E150" i="18" a="1"/>
  <c r="E150" i="18" s="1"/>
  <c r="AF14" i="12" s="1"/>
  <c r="AF29" i="12" s="1"/>
  <c r="E189" i="18" a="1"/>
  <c r="E189" i="18" s="1"/>
  <c r="E186" i="18" a="1"/>
  <c r="E186" i="18" s="1"/>
  <c r="E180" i="18" a="1"/>
  <c r="E180" i="18" s="1"/>
  <c r="AF16" i="12" s="1"/>
  <c r="AF31" i="12" s="1"/>
  <c r="E178" i="18" a="1"/>
  <c r="E178" i="18" s="1"/>
  <c r="AD16" i="12" s="1"/>
  <c r="AD31" i="12" s="1"/>
  <c r="E173" i="18" a="1"/>
  <c r="E173" i="18" s="1"/>
  <c r="Y16" i="12" s="1"/>
  <c r="Y31" i="12" s="1"/>
  <c r="D20" i="17" a="1"/>
  <c r="D20" i="17" s="1"/>
  <c r="D16" i="17" a="1"/>
  <c r="D16" i="17" s="1"/>
  <c r="E198" i="18" a="1"/>
  <c r="E198" i="18" s="1"/>
  <c r="E104" i="18" a="1"/>
  <c r="E104" i="18" s="1"/>
  <c r="AE11" i="12" s="1"/>
  <c r="AE26" i="12" s="1"/>
  <c r="E101" i="18" a="1"/>
  <c r="E101" i="18" s="1"/>
  <c r="AB11" i="12" s="1"/>
  <c r="AB26" i="12" s="1"/>
  <c r="E138" i="18" a="1"/>
  <c r="E138" i="18" s="1"/>
  <c r="AI13" i="12" s="1"/>
  <c r="AI28" i="12" s="1"/>
  <c r="E115" i="18" a="1"/>
  <c r="E115" i="18" s="1"/>
  <c r="AA12" i="12" s="1"/>
  <c r="AA27" i="12" s="1"/>
  <c r="E87" i="18" a="1"/>
  <c r="E87" i="18" s="1"/>
  <c r="AC10" i="12" s="1"/>
  <c r="AC25" i="12" s="1"/>
  <c r="E73" i="18" a="1"/>
  <c r="E73" i="18" s="1"/>
  <c r="AD9" i="12" s="1"/>
  <c r="AD24" i="12" s="1"/>
  <c r="E71" i="18" a="1"/>
  <c r="E71" i="18" s="1"/>
  <c r="AB9" i="12" s="1"/>
  <c r="AB24" i="12" s="1"/>
  <c r="E69" i="18" a="1"/>
  <c r="E69" i="18" s="1"/>
  <c r="Z9" i="12" s="1"/>
  <c r="Z24" i="12" s="1"/>
  <c r="E64" i="18" a="1"/>
  <c r="E64" i="18" s="1"/>
  <c r="U9" i="12" s="1"/>
  <c r="U24" i="12" s="1"/>
  <c r="E28" i="18" a="1"/>
  <c r="E28" i="18" s="1"/>
  <c r="AD6" i="12" s="1"/>
  <c r="AD21" i="12" s="1"/>
  <c r="E112" i="18" a="1"/>
  <c r="E112" i="18" s="1"/>
  <c r="X12" i="12" s="1"/>
  <c r="X27" i="12" s="1"/>
  <c r="E106" i="18" a="1"/>
  <c r="E106" i="18" s="1"/>
  <c r="AG11" i="12" s="1"/>
  <c r="AG26" i="12" s="1"/>
  <c r="E80" i="18" a="1"/>
  <c r="E80" i="18" s="1"/>
  <c r="V10" i="12" s="1"/>
  <c r="V25" i="12" s="1"/>
  <c r="E152" i="18" a="1"/>
  <c r="E152" i="18" s="1"/>
  <c r="AH14" i="12" s="1"/>
  <c r="AH29" i="12" s="1"/>
  <c r="E117" i="18" a="1"/>
  <c r="E117" i="18" s="1"/>
  <c r="AC12" i="12" s="1"/>
  <c r="AC27" i="12" s="1"/>
  <c r="E109" i="18" a="1"/>
  <c r="E109" i="18" s="1"/>
  <c r="U12" i="12" s="1"/>
  <c r="U27" i="12" s="1"/>
  <c r="E103" i="18" a="1"/>
  <c r="E103" i="18" s="1"/>
  <c r="AD11" i="12" s="1"/>
  <c r="AD26" i="12" s="1"/>
  <c r="E89" i="18" a="1"/>
  <c r="E89" i="18" s="1"/>
  <c r="AE10" i="12" s="1"/>
  <c r="AE25" i="12" s="1"/>
  <c r="E78" i="18" a="1"/>
  <c r="E78" i="18" s="1"/>
  <c r="AI9" i="12" s="1"/>
  <c r="AI24" i="12" s="1"/>
  <c r="E67" i="18" a="1"/>
  <c r="E67" i="18" s="1"/>
  <c r="X9" i="12" s="1"/>
  <c r="X24" i="12" s="1"/>
  <c r="E22" i="18" a="1"/>
  <c r="E22" i="18" s="1"/>
  <c r="X6" i="12" s="1"/>
  <c r="X21" i="12" s="1"/>
  <c r="E128" i="18" a="1"/>
  <c r="E128" i="18" s="1"/>
  <c r="Y13" i="12" s="1"/>
  <c r="Y28" i="12" s="1"/>
  <c r="E125" i="18" a="1"/>
  <c r="E125" i="18" s="1"/>
  <c r="V13" i="12" s="1"/>
  <c r="V28" i="12" s="1"/>
  <c r="E120" i="18" a="1"/>
  <c r="E120" i="18" s="1"/>
  <c r="AF12" i="12" s="1"/>
  <c r="AF27" i="12" s="1"/>
  <c r="E114" i="18" a="1"/>
  <c r="E114" i="18" s="1"/>
  <c r="Z12" i="12" s="1"/>
  <c r="Z27" i="12" s="1"/>
  <c r="E84" i="18" a="1"/>
  <c r="E84" i="18" s="1"/>
  <c r="Z10" i="12" s="1"/>
  <c r="Z25" i="12" s="1"/>
  <c r="E76" i="18" a="1"/>
  <c r="E76" i="18" s="1"/>
  <c r="AG9" i="12" s="1"/>
  <c r="AG24" i="12" s="1"/>
  <c r="E26" i="18" a="1"/>
  <c r="E26" i="18" s="1"/>
  <c r="AB6" i="12" s="1"/>
  <c r="AB21" i="12" s="1"/>
  <c r="E145" i="18" a="1"/>
  <c r="E145" i="18" s="1"/>
  <c r="AA14" i="12" s="1"/>
  <c r="AA29" i="12" s="1"/>
  <c r="E122" i="18" a="1"/>
  <c r="E122" i="18" s="1"/>
  <c r="AH12" i="12" s="1"/>
  <c r="AH27" i="12" s="1"/>
  <c r="E119" i="18" a="1"/>
  <c r="E119" i="18" s="1"/>
  <c r="AE12" i="12" s="1"/>
  <c r="AE27" i="12" s="1"/>
  <c r="E111" i="18" a="1"/>
  <c r="E111" i="18" s="1"/>
  <c r="W12" i="12" s="1"/>
  <c r="W27" i="12" s="1"/>
  <c r="E86" i="18" a="1"/>
  <c r="E86" i="18" s="1"/>
  <c r="AB10" i="12" s="1"/>
  <c r="AB25" i="12" s="1"/>
  <c r="E82" i="18" a="1"/>
  <c r="E82" i="18" s="1"/>
  <c r="X10" i="12" s="1"/>
  <c r="X25" i="12" s="1"/>
  <c r="E18" i="18" a="1"/>
  <c r="E18" i="18" s="1"/>
  <c r="AI5" i="12" s="1"/>
  <c r="AI20" i="12" s="1"/>
  <c r="E14" i="18" a="1"/>
  <c r="E14" i="18" s="1"/>
  <c r="AE5" i="12" s="1"/>
  <c r="AE20" i="12" s="1"/>
  <c r="E27" i="18" a="1"/>
  <c r="E27" i="18" s="1"/>
  <c r="AC6" i="12" s="1"/>
  <c r="AC21" i="12" s="1"/>
  <c r="E19" i="18" a="1"/>
  <c r="E19" i="18" s="1"/>
  <c r="U6" i="12" s="1"/>
  <c r="U21" i="12" s="1"/>
  <c r="E25" i="18" a="1"/>
  <c r="E25" i="18" s="1"/>
  <c r="AA6" i="12" s="1"/>
  <c r="AA21" i="12" s="1"/>
  <c r="E15" i="18" a="1"/>
  <c r="E15" i="18" s="1"/>
  <c r="AF5" i="12" s="1"/>
  <c r="AF20" i="12" s="1"/>
  <c r="E94" i="18" a="1"/>
  <c r="E94" i="18" s="1"/>
  <c r="U11" i="12" s="1"/>
  <c r="U26" i="12" s="1"/>
  <c r="E65" i="18" a="1"/>
  <c r="E65" i="18" s="1"/>
  <c r="V9" i="12" s="1"/>
  <c r="V24" i="12" s="1"/>
  <c r="E33" i="18" a="1"/>
  <c r="E33" i="18" s="1"/>
  <c r="AI6" i="12" s="1"/>
  <c r="AI21" i="12" s="1"/>
  <c r="E31" i="18" a="1"/>
  <c r="E31" i="18" s="1"/>
  <c r="AG6" i="12" s="1"/>
  <c r="AG21" i="12" s="1"/>
  <c r="E29" i="18" a="1"/>
  <c r="E29" i="18" s="1"/>
  <c r="AE6" i="12" s="1"/>
  <c r="AE21" i="12" s="1"/>
  <c r="E16" i="18" a="1"/>
  <c r="E16" i="18" s="1"/>
  <c r="AG5" i="12" s="1"/>
  <c r="AG20" i="12" s="1"/>
  <c r="E12" i="18" a="1"/>
  <c r="E12" i="18" s="1"/>
  <c r="AC5" i="12" s="1"/>
  <c r="AC20" i="12" s="1"/>
  <c r="E10" i="18" a="1"/>
  <c r="E10" i="18" s="1"/>
  <c r="AA5" i="12" s="1"/>
  <c r="AA20" i="12" s="1"/>
  <c r="E8" i="18" a="1"/>
  <c r="E8" i="18" s="1"/>
  <c r="Y5" i="12" s="1"/>
  <c r="Y20" i="12" s="1"/>
  <c r="E21" i="18" a="1"/>
  <c r="E21" i="18" s="1"/>
  <c r="W6" i="12" s="1"/>
  <c r="W21" i="12" s="1"/>
  <c r="E66" i="18" a="1"/>
  <c r="E66" i="18" s="1"/>
  <c r="W9" i="12" s="1"/>
  <c r="W24" i="12" s="1"/>
  <c r="E13" i="18" a="1"/>
  <c r="E13" i="18" s="1"/>
  <c r="AD5" i="12" s="1"/>
  <c r="AD20" i="12" s="1"/>
  <c r="E9" i="18" a="1"/>
  <c r="E9" i="18" s="1"/>
  <c r="Z5" i="12" s="1"/>
  <c r="Z20" i="12" s="1"/>
  <c r="E20" i="18" a="1"/>
  <c r="E20" i="18" s="1"/>
  <c r="V6" i="12" s="1"/>
  <c r="V21" i="12" s="1"/>
  <c r="E133" i="18" a="1"/>
  <c r="E133" i="18" s="1"/>
  <c r="AD13" i="12" s="1"/>
  <c r="AD28" i="12" s="1"/>
  <c r="E130" i="18" a="1"/>
  <c r="E130" i="18" s="1"/>
  <c r="AA13" i="12" s="1"/>
  <c r="AA28" i="12" s="1"/>
  <c r="E91" i="18" a="1"/>
  <c r="E91" i="18" s="1"/>
  <c r="AG10" i="12" s="1"/>
  <c r="AG25" i="12" s="1"/>
  <c r="E72" i="18" a="1"/>
  <c r="E72" i="18" s="1"/>
  <c r="AC9" i="12" s="1"/>
  <c r="AC24" i="12" s="1"/>
  <c r="E70" i="18" a="1"/>
  <c r="E70" i="18" s="1"/>
  <c r="AA9" i="12" s="1"/>
  <c r="AA24" i="12" s="1"/>
  <c r="E68" i="18" a="1"/>
  <c r="E68" i="18" s="1"/>
  <c r="Y9" i="12" s="1"/>
  <c r="Y24" i="12" s="1"/>
  <c r="E6" i="18" a="1"/>
  <c r="E6" i="18" s="1"/>
  <c r="W5" i="12" s="1"/>
  <c r="W20" i="12" s="1"/>
  <c r="E4" i="18" a="1"/>
  <c r="E4" i="18" s="1"/>
  <c r="U5" i="12" s="1"/>
  <c r="U20" i="12" s="1"/>
  <c r="E11" i="18" a="1"/>
  <c r="E11" i="18" s="1"/>
  <c r="AB5" i="12" s="1"/>
  <c r="AB20" i="12" s="1"/>
  <c r="E32" i="18" a="1"/>
  <c r="E32" i="18" s="1"/>
  <c r="AH6" i="12" s="1"/>
  <c r="AH21" i="12" s="1"/>
  <c r="E149" i="18" a="1"/>
  <c r="E149" i="18" s="1"/>
  <c r="AE14" i="12" s="1"/>
  <c r="AE29" i="12" s="1"/>
  <c r="E144" i="18" a="1"/>
  <c r="E144" i="18" s="1"/>
  <c r="Z14" i="12" s="1"/>
  <c r="Z29" i="12" s="1"/>
  <c r="E127" i="18" a="1"/>
  <c r="E127" i="18" s="1"/>
  <c r="X13" i="12" s="1"/>
  <c r="X28" i="12" s="1"/>
  <c r="E96" i="18" a="1"/>
  <c r="E96" i="18" s="1"/>
  <c r="W11" i="12" s="1"/>
  <c r="W26" i="12" s="1"/>
  <c r="E77" i="18" a="1"/>
  <c r="E77" i="18" s="1"/>
  <c r="AH9" i="12" s="1"/>
  <c r="AH24" i="12" s="1"/>
  <c r="E23" i="18" a="1"/>
  <c r="E23" i="18" s="1"/>
  <c r="Y6" i="12" s="1"/>
  <c r="Y21" i="12" s="1"/>
  <c r="E30" i="18" a="1"/>
  <c r="E30" i="18" s="1"/>
  <c r="AF6" i="12" s="1"/>
  <c r="AF21" i="12" s="1"/>
  <c r="E24" i="18" a="1"/>
  <c r="E24" i="18" s="1"/>
  <c r="Z6" i="12" s="1"/>
  <c r="Z21" i="12" s="1"/>
  <c r="E93" i="18" a="1"/>
  <c r="E93" i="18" s="1"/>
  <c r="AI10" i="12" s="1"/>
  <c r="AI25" i="12" s="1"/>
  <c r="E17" i="18" a="1"/>
  <c r="E17" i="18" s="1"/>
  <c r="AH5" i="12" s="1"/>
  <c r="AH20" i="12" s="1"/>
  <c r="E99" i="18" a="1"/>
  <c r="E99" i="18" s="1"/>
  <c r="Z11" i="12" s="1"/>
  <c r="Z26" i="12" s="1"/>
  <c r="E135" i="18" a="1"/>
  <c r="E135" i="18" s="1"/>
  <c r="AF13" i="12" s="1"/>
  <c r="AF28" i="12" s="1"/>
  <c r="E132" i="18" a="1"/>
  <c r="E132" i="18" s="1"/>
  <c r="AC13" i="12" s="1"/>
  <c r="AC28" i="12" s="1"/>
  <c r="E107" i="18" a="1"/>
  <c r="E107" i="18" s="1"/>
  <c r="AH11" i="12" s="1"/>
  <c r="AH26" i="12" s="1"/>
  <c r="E85" i="18" a="1"/>
  <c r="E85" i="18" s="1"/>
  <c r="AA10" i="12" s="1"/>
  <c r="AA25" i="12" s="1"/>
  <c r="E83" i="18" a="1"/>
  <c r="E83" i="18" s="1"/>
  <c r="Y10" i="12" s="1"/>
  <c r="Y25" i="12" s="1"/>
  <c r="E75" i="18" a="1"/>
  <c r="E75" i="18" s="1"/>
  <c r="AF9" i="12" s="1"/>
  <c r="AF24" i="12" s="1"/>
  <c r="E5" i="18" a="1"/>
  <c r="E5" i="18" s="1"/>
  <c r="V5" i="12" s="1"/>
  <c r="V20" i="12" s="1"/>
  <c r="E7" i="18" a="1"/>
  <c r="E7" i="18" s="1"/>
  <c r="X5" i="12" s="1"/>
  <c r="X20" i="12" s="1"/>
  <c r="J900" i="7"/>
  <c r="J184" i="11" s="1"/>
  <c r="K900" i="7"/>
  <c r="K184" i="11" s="1"/>
  <c r="D19" i="18" a="1"/>
  <c r="D19" i="18" s="1"/>
  <c r="C6" i="12" s="1"/>
  <c r="D65" i="18" a="1"/>
  <c r="D65" i="18" s="1"/>
  <c r="D9" i="12" s="1"/>
  <c r="D31" i="18" a="1"/>
  <c r="D31" i="18" s="1"/>
  <c r="O6" i="12" s="1"/>
  <c r="D68" i="18" a="1"/>
  <c r="D68" i="18" s="1"/>
  <c r="G9" i="12" s="1"/>
  <c r="D17" i="18" a="1"/>
  <c r="D17" i="18" s="1"/>
  <c r="P5" i="12" s="1"/>
  <c r="D89" i="18" a="1"/>
  <c r="D89" i="18" s="1"/>
  <c r="M10" i="12" s="1"/>
  <c r="D134" i="18" a="1"/>
  <c r="D134" i="18" s="1"/>
  <c r="M13" i="12" s="1"/>
  <c r="D129" i="18" a="1"/>
  <c r="D129" i="18" s="1"/>
  <c r="H13" i="12" s="1"/>
  <c r="D182" i="18" a="1"/>
  <c r="D182" i="18" s="1"/>
  <c r="P16" i="12" s="1"/>
  <c r="B34" i="17" a="1"/>
  <c r="B34" i="17" s="1"/>
  <c r="D144" i="18" a="1"/>
  <c r="D144" i="18" s="1"/>
  <c r="H14" i="12" s="1"/>
  <c r="C18" i="17" a="1"/>
  <c r="C18" i="17" s="1"/>
  <c r="D197" i="18" a="1"/>
  <c r="D197" i="18" s="1"/>
  <c r="C15" i="17" a="1"/>
  <c r="C15" i="17" s="1"/>
  <c r="B47" i="17" a="1"/>
  <c r="B47" i="17" s="1"/>
  <c r="D194" i="18" a="1"/>
  <c r="D194" i="18" s="1"/>
  <c r="D128" i="18" a="1"/>
  <c r="D128" i="18" s="1"/>
  <c r="G13" i="12" s="1"/>
  <c r="D77" i="18" a="1"/>
  <c r="D77" i="18" s="1"/>
  <c r="P9" i="12" s="1"/>
  <c r="D70" i="18" a="1"/>
  <c r="D70" i="18" s="1"/>
  <c r="I9" i="12" s="1"/>
  <c r="D33" i="18" a="1"/>
  <c r="D33" i="18" s="1"/>
  <c r="Q6" i="12" s="1"/>
  <c r="D79" i="18" a="1"/>
  <c r="D79" i="18" s="1"/>
  <c r="C10" i="12" s="1"/>
  <c r="D20" i="18" a="1"/>
  <c r="D20" i="18" s="1"/>
  <c r="D6" i="12" s="1"/>
  <c r="D103" i="18" a="1"/>
  <c r="D103" i="18" s="1"/>
  <c r="L11" i="12" s="1"/>
  <c r="D138" i="18" a="1"/>
  <c r="D138" i="18" s="1"/>
  <c r="Q13" i="12" s="1"/>
  <c r="D132" i="18" a="1"/>
  <c r="D132" i="18" s="1"/>
  <c r="K13" i="12" s="1"/>
  <c r="D192" i="18" a="1"/>
  <c r="D192" i="18" s="1"/>
  <c r="B36" i="17" a="1"/>
  <c r="B36" i="17" s="1"/>
  <c r="D168" i="18" a="1"/>
  <c r="D168" i="18" s="1"/>
  <c r="Q15" i="12" s="1"/>
  <c r="C22" i="17" a="1"/>
  <c r="C22" i="17" s="1"/>
  <c r="D95" i="18" a="1"/>
  <c r="D95" i="18" s="1"/>
  <c r="D11" i="12" s="1"/>
  <c r="C19" i="17" a="1"/>
  <c r="C19" i="17" s="1"/>
  <c r="B49" i="17" a="1"/>
  <c r="B49" i="17" s="1"/>
  <c r="D81" i="18" a="1"/>
  <c r="D81" i="18" s="1"/>
  <c r="E10" i="12" s="1"/>
  <c r="D133" i="18" a="1"/>
  <c r="D133" i="18" s="1"/>
  <c r="L13" i="12" s="1"/>
  <c r="K1794" i="7"/>
  <c r="J1794" i="7"/>
  <c r="L1794" i="7" s="1"/>
  <c r="H1795" i="7"/>
  <c r="E1796" i="7" s="1"/>
  <c r="D96" i="18" a="1"/>
  <c r="D96" i="18" s="1"/>
  <c r="E11" i="12" s="1"/>
  <c r="D72" i="18" a="1"/>
  <c r="D72" i="18" s="1"/>
  <c r="K9" i="12" s="1"/>
  <c r="D74" i="18" a="1"/>
  <c r="D74" i="18" s="1"/>
  <c r="M9" i="12" s="1"/>
  <c r="D4" i="18" a="1"/>
  <c r="D4" i="18" s="1"/>
  <c r="C5" i="12" s="1"/>
  <c r="D22" i="18" a="1"/>
  <c r="D22" i="18" s="1"/>
  <c r="F6" i="12" s="1"/>
  <c r="D109" i="18" a="1"/>
  <c r="D109" i="18" s="1"/>
  <c r="C12" i="12" s="1"/>
  <c r="D142" i="18" a="1"/>
  <c r="D142" i="18" s="1"/>
  <c r="F14" i="12" s="1"/>
  <c r="D135" i="18" a="1"/>
  <c r="D135" i="18" s="1"/>
  <c r="N13" i="12" s="1"/>
  <c r="D195" i="18" a="1"/>
  <c r="D195" i="18" s="1"/>
  <c r="B38" i="17" a="1"/>
  <c r="B38" i="17" s="1"/>
  <c r="D172" i="18" a="1"/>
  <c r="D172" i="18" s="1"/>
  <c r="F16" i="12" s="1"/>
  <c r="D158" i="18" a="1"/>
  <c r="D158" i="18" s="1"/>
  <c r="G15" i="12" s="1"/>
  <c r="D102" i="18" a="1"/>
  <c r="D102" i="18" s="1"/>
  <c r="K11" i="12" s="1"/>
  <c r="B27" i="17" a="1"/>
  <c r="B27" i="17" s="1"/>
  <c r="C23" i="17" a="1"/>
  <c r="C23" i="17" s="1"/>
  <c r="D83" i="18" a="1"/>
  <c r="D83" i="18" s="1"/>
  <c r="G10" i="12" s="1"/>
  <c r="D145" i="18" a="1"/>
  <c r="D145" i="18" s="1"/>
  <c r="I14" i="12" s="1"/>
  <c r="J184" i="7"/>
  <c r="K184" i="7"/>
  <c r="J5" i="7"/>
  <c r="K5" i="7"/>
  <c r="G697" i="10"/>
  <c r="T521" i="7"/>
  <c r="N521" i="10" s="1"/>
  <c r="T1777" i="7"/>
  <c r="N1061" i="11" s="1"/>
  <c r="T163" i="7"/>
  <c r="N163" i="10" s="1"/>
  <c r="T342" i="7"/>
  <c r="N342" i="10" s="1"/>
  <c r="T1419" i="7"/>
  <c r="N703" i="11" s="1"/>
  <c r="T879" i="7"/>
  <c r="N163" i="11" s="1"/>
  <c r="T960" i="7"/>
  <c r="N244" i="11" s="1"/>
  <c r="G304" i="10"/>
  <c r="H304" i="10" s="1"/>
  <c r="T1720" i="7"/>
  <c r="N1004" i="11" s="1"/>
  <c r="G71" i="10"/>
  <c r="H71" i="10" s="1"/>
  <c r="T822" i="7"/>
  <c r="N106" i="11" s="1"/>
  <c r="F570" i="10"/>
  <c r="H570" i="10" s="1"/>
  <c r="F608" i="10"/>
  <c r="F615" i="10"/>
  <c r="H615" i="10" s="1"/>
  <c r="F551" i="10"/>
  <c r="H551" i="10" s="1"/>
  <c r="F546" i="10"/>
  <c r="F620" i="10"/>
  <c r="F571" i="10"/>
  <c r="F580" i="10"/>
  <c r="H580" i="10" s="1"/>
  <c r="F593" i="10"/>
  <c r="F605" i="10"/>
  <c r="H605" i="10" s="1"/>
  <c r="F564" i="10"/>
  <c r="H564" i="10" s="1"/>
  <c r="F667" i="10"/>
  <c r="F573" i="10"/>
  <c r="F596" i="10"/>
  <c r="H596" i="10" s="1"/>
  <c r="F630" i="10"/>
  <c r="H630" i="10" s="1"/>
  <c r="F592" i="10"/>
  <c r="F550" i="10"/>
  <c r="H550" i="10" s="1"/>
  <c r="F566" i="10"/>
  <c r="H566" i="10" s="1"/>
  <c r="F560" i="10"/>
  <c r="H560" i="10" s="1"/>
  <c r="F668" i="10"/>
  <c r="F675" i="10"/>
  <c r="H675" i="10" s="1"/>
  <c r="F719" i="10"/>
  <c r="F699" i="10"/>
  <c r="H699" i="10" s="1"/>
  <c r="F683" i="10"/>
  <c r="F697" i="10"/>
  <c r="F645" i="10"/>
  <c r="F659" i="10"/>
  <c r="H659" i="10" s="1"/>
  <c r="F662" i="10"/>
  <c r="H662" i="10" s="1"/>
  <c r="F622" i="10"/>
  <c r="F583" i="10"/>
  <c r="F548" i="10"/>
  <c r="F674" i="10"/>
  <c r="F558" i="10"/>
  <c r="F632" i="10"/>
  <c r="F621" i="10"/>
  <c r="F613" i="10"/>
  <c r="H613" i="10" s="1"/>
  <c r="F590" i="10"/>
  <c r="H590" i="10" s="1"/>
  <c r="F628" i="10"/>
  <c r="F587" i="10"/>
  <c r="H587" i="10" s="1"/>
  <c r="F640" i="10"/>
  <c r="F690" i="10"/>
  <c r="H690" i="10" s="1"/>
  <c r="F567" i="10"/>
  <c r="H567" i="10" s="1"/>
  <c r="F631" i="10"/>
  <c r="F625" i="10"/>
  <c r="F649" i="10"/>
  <c r="H649" i="10" s="1"/>
  <c r="F711" i="10"/>
  <c r="F574" i="10"/>
  <c r="H574" i="10" s="1"/>
  <c r="F595" i="10"/>
  <c r="H595" i="10" s="1"/>
  <c r="F577" i="10"/>
  <c r="H577" i="10" s="1"/>
  <c r="F685" i="10"/>
  <c r="H685" i="10" s="1"/>
  <c r="F693" i="10"/>
  <c r="F642" i="10"/>
  <c r="T315" i="7"/>
  <c r="N315" i="10" s="1"/>
  <c r="G315" i="10"/>
  <c r="H315" i="10" s="1"/>
  <c r="F648" i="10"/>
  <c r="H648" i="10" s="1"/>
  <c r="F718" i="10"/>
  <c r="F655" i="10"/>
  <c r="F562" i="10"/>
  <c r="H562" i="10" s="1"/>
  <c r="F686" i="10"/>
  <c r="H686" i="10" s="1"/>
  <c r="F585" i="10"/>
  <c r="T841" i="7"/>
  <c r="N125" i="11" s="1"/>
  <c r="T1394" i="7"/>
  <c r="N678" i="11" s="1"/>
  <c r="F589" i="10"/>
  <c r="F582" i="10"/>
  <c r="F716" i="10"/>
  <c r="H716" i="10" s="1"/>
  <c r="F576" i="10"/>
  <c r="H576" i="10" s="1"/>
  <c r="F691" i="10"/>
  <c r="H691" i="10" s="1"/>
  <c r="F717" i="10"/>
  <c r="H717" i="10" s="1"/>
  <c r="F614" i="10"/>
  <c r="F629" i="10"/>
  <c r="H629" i="10" s="1"/>
  <c r="F672" i="10"/>
  <c r="H672" i="10" s="1"/>
  <c r="F559" i="10"/>
  <c r="F572" i="10"/>
  <c r="T732" i="7"/>
  <c r="N16" i="11" s="1"/>
  <c r="F581" i="10"/>
  <c r="F569" i="10"/>
  <c r="H569" i="10" s="1"/>
  <c r="F636" i="10"/>
  <c r="F606" i="10"/>
  <c r="H606" i="10" s="1"/>
  <c r="F708" i="10"/>
  <c r="F602" i="10"/>
  <c r="H602" i="10" s="1"/>
  <c r="F670" i="10"/>
  <c r="H670" i="10" s="1"/>
  <c r="F594" i="10"/>
  <c r="H594" i="10" s="1"/>
  <c r="F712" i="10"/>
  <c r="F575" i="10"/>
  <c r="F637" i="10"/>
  <c r="F554" i="10"/>
  <c r="F597" i="10"/>
  <c r="F635" i="10"/>
  <c r="H635" i="10" s="1"/>
  <c r="F543" i="10"/>
  <c r="F552" i="10"/>
  <c r="F647" i="10"/>
  <c r="H647" i="10" s="1"/>
  <c r="F715" i="10"/>
  <c r="F549" i="10"/>
  <c r="H549" i="10" s="1"/>
  <c r="F623" i="10"/>
  <c r="H623" i="10" s="1"/>
  <c r="F639" i="10"/>
  <c r="H639" i="10" s="1"/>
  <c r="F601" i="10"/>
  <c r="H601" i="10" s="1"/>
  <c r="F703" i="10"/>
  <c r="F643" i="10"/>
  <c r="F700" i="10"/>
  <c r="H700" i="10" s="1"/>
  <c r="F688" i="10"/>
  <c r="H688" i="10" s="1"/>
  <c r="F646" i="10"/>
  <c r="F653" i="10"/>
  <c r="H653" i="10" s="1"/>
  <c r="F598" i="10"/>
  <c r="F713" i="10"/>
  <c r="F568" i="10"/>
  <c r="F687" i="10"/>
  <c r="F612" i="10"/>
  <c r="F706" i="10"/>
  <c r="H706" i="10" s="1"/>
  <c r="F604" i="10"/>
  <c r="F619" i="10"/>
  <c r="H619" i="10" s="1"/>
  <c r="F650" i="10"/>
  <c r="H650" i="10" s="1"/>
  <c r="F658" i="10"/>
  <c r="F626" i="10"/>
  <c r="H626" i="10" s="1"/>
  <c r="L25" i="9"/>
  <c r="N25" i="9" s="1"/>
  <c r="F702" i="10"/>
  <c r="F584" i="10"/>
  <c r="F588" i="10"/>
  <c r="F609" i="10"/>
  <c r="F586" i="10"/>
  <c r="H586" i="10" s="1"/>
  <c r="F678" i="10"/>
  <c r="F578" i="10"/>
  <c r="H578" i="10" s="1"/>
  <c r="F555" i="10"/>
  <c r="H555" i="10" s="1"/>
  <c r="F544" i="10"/>
  <c r="H544" i="10" s="1"/>
  <c r="F663" i="10"/>
  <c r="F707" i="10"/>
  <c r="H707" i="10" s="1"/>
  <c r="F682" i="10"/>
  <c r="H682" i="10" s="1"/>
  <c r="F704" i="10"/>
  <c r="F661" i="10"/>
  <c r="F684" i="10"/>
  <c r="F617" i="10"/>
  <c r="F705" i="10"/>
  <c r="F676" i="10"/>
  <c r="F692" i="10"/>
  <c r="H692" i="10" s="1"/>
  <c r="F627" i="10"/>
  <c r="F638" i="10"/>
  <c r="H638" i="10" s="1"/>
  <c r="F701" i="10"/>
  <c r="H701" i="10" s="1"/>
  <c r="F679" i="10"/>
  <c r="F671" i="10"/>
  <c r="F664" i="10"/>
  <c r="H664" i="10" s="1"/>
  <c r="F714" i="10"/>
  <c r="H714" i="10" s="1"/>
  <c r="F553" i="10"/>
  <c r="H553" i="10" s="1"/>
  <c r="F616" i="10"/>
  <c r="H616" i="10" s="1"/>
  <c r="F689" i="10"/>
  <c r="H689" i="10" s="1"/>
  <c r="F694" i="10"/>
  <c r="F669" i="10"/>
  <c r="H669" i="10" s="1"/>
  <c r="F656" i="10"/>
  <c r="F641" i="10"/>
  <c r="F709" i="10"/>
  <c r="H709" i="10" s="1"/>
  <c r="F563" i="10"/>
  <c r="H563" i="10" s="1"/>
  <c r="F652" i="10"/>
  <c r="H652" i="10" s="1"/>
  <c r="F651" i="10"/>
  <c r="F657" i="10"/>
  <c r="F607" i="10"/>
  <c r="H607" i="10" s="1"/>
  <c r="F603" i="10"/>
  <c r="H603" i="10" s="1"/>
  <c r="F634" i="10"/>
  <c r="H634" i="10" s="1"/>
  <c r="F696" i="10"/>
  <c r="H696" i="10" s="1"/>
  <c r="F633" i="10"/>
  <c r="F681" i="10"/>
  <c r="F677" i="10"/>
  <c r="F610" i="10"/>
  <c r="H610" i="10" s="1"/>
  <c r="F618" i="10"/>
  <c r="F561" i="10"/>
  <c r="H561" i="10" s="1"/>
  <c r="F695" i="10"/>
  <c r="F666" i="10"/>
  <c r="H666" i="10" s="1"/>
  <c r="F579" i="10"/>
  <c r="H579" i="10" s="1"/>
  <c r="F644" i="10"/>
  <c r="F545" i="10"/>
  <c r="H545" i="10" s="1"/>
  <c r="T121" i="7"/>
  <c r="N121" i="10" s="1"/>
  <c r="T300" i="7"/>
  <c r="N300" i="10" s="1"/>
  <c r="G703" i="10"/>
  <c r="T288" i="7"/>
  <c r="N288" i="10" s="1"/>
  <c r="T893" i="7"/>
  <c r="N177" i="11" s="1"/>
  <c r="T1541" i="7"/>
  <c r="N825" i="11" s="1"/>
  <c r="T672" i="7"/>
  <c r="N672" i="10" s="1"/>
  <c r="T1538" i="7"/>
  <c r="N822" i="11" s="1"/>
  <c r="T561" i="7"/>
  <c r="N561" i="10" s="1"/>
  <c r="T157" i="7"/>
  <c r="N157" i="10" s="1"/>
  <c r="T1416" i="7"/>
  <c r="N700" i="11" s="1"/>
  <c r="G718" i="10"/>
  <c r="T886" i="7"/>
  <c r="N170" i="11" s="1"/>
  <c r="T1240" i="7"/>
  <c r="N524" i="11" s="1"/>
  <c r="T1595" i="7"/>
  <c r="N879" i="11" s="1"/>
  <c r="G23" i="10"/>
  <c r="H23" i="10" s="1"/>
  <c r="T1365" i="7"/>
  <c r="N649" i="11" s="1"/>
  <c r="T1061" i="7"/>
  <c r="N345" i="11" s="1"/>
  <c r="T1792" i="7"/>
  <c r="N1076" i="11" s="1"/>
  <c r="T1055" i="7"/>
  <c r="N339" i="11" s="1"/>
  <c r="T1015" i="7"/>
  <c r="N299" i="11" s="1"/>
  <c r="T1255" i="7"/>
  <c r="N539" i="11" s="1"/>
  <c r="T1138" i="7"/>
  <c r="N422" i="11" s="1"/>
  <c r="T1318" i="7"/>
  <c r="N602" i="11" s="1"/>
  <c r="T743" i="7"/>
  <c r="N27" i="11" s="1"/>
  <c r="T857" i="7"/>
  <c r="N141" i="11" s="1"/>
  <c r="T1145" i="7"/>
  <c r="N429" i="11" s="1"/>
  <c r="G532" i="10"/>
  <c r="H532" i="10" s="1"/>
  <c r="T1723" i="7"/>
  <c r="N1007" i="11" s="1"/>
  <c r="T447" i="7"/>
  <c r="N447" i="10" s="1"/>
  <c r="T615" i="7"/>
  <c r="N615" i="10" s="1"/>
  <c r="T353" i="7"/>
  <c r="N353" i="10" s="1"/>
  <c r="T626" i="7"/>
  <c r="N626" i="10" s="1"/>
  <c r="T316" i="7"/>
  <c r="N316" i="10" s="1"/>
  <c r="T1319" i="7"/>
  <c r="N603" i="11" s="1"/>
  <c r="G539" i="10"/>
  <c r="H539" i="10" s="1"/>
  <c r="G146" i="10"/>
  <c r="H146" i="10" s="1"/>
  <c r="G588" i="10"/>
  <c r="T1323" i="7"/>
  <c r="N607" i="11" s="1"/>
  <c r="T1586" i="7"/>
  <c r="N870" i="11" s="1"/>
  <c r="T327" i="7"/>
  <c r="N327" i="10" s="1"/>
  <c r="T135" i="7"/>
  <c r="N135" i="10" s="1"/>
  <c r="T650" i="7"/>
  <c r="N650" i="10" s="1"/>
  <c r="T385" i="7"/>
  <c r="N385" i="10" s="1"/>
  <c r="T374" i="7"/>
  <c r="N374" i="10" s="1"/>
  <c r="T1793" i="7"/>
  <c r="N1077" i="11" s="1"/>
  <c r="T876" i="7"/>
  <c r="N160" i="11" s="1"/>
  <c r="T301" i="7"/>
  <c r="N301" i="10" s="1"/>
  <c r="G348" i="10"/>
  <c r="H348" i="10" s="1"/>
  <c r="G131" i="10"/>
  <c r="H131" i="10" s="1"/>
  <c r="G489" i="10"/>
  <c r="H489" i="10" s="1"/>
  <c r="T1713" i="7"/>
  <c r="N997" i="11" s="1"/>
  <c r="T874" i="7"/>
  <c r="N158" i="11" s="1"/>
  <c r="T1435" i="7"/>
  <c r="N719" i="11" s="1"/>
  <c r="T1614" i="7"/>
  <c r="N898" i="11" s="1"/>
  <c r="G206" i="10"/>
  <c r="H206" i="10" s="1"/>
  <c r="T1043" i="7"/>
  <c r="N327" i="11" s="1"/>
  <c r="T1505" i="7"/>
  <c r="N789" i="11" s="1"/>
  <c r="G678" i="10"/>
  <c r="T1256" i="7"/>
  <c r="N540" i="11" s="1"/>
  <c r="G516" i="10"/>
  <c r="H516" i="10" s="1"/>
  <c r="T1090" i="7"/>
  <c r="N374" i="11" s="1"/>
  <c r="T623" i="7"/>
  <c r="N623" i="10" s="1"/>
  <c r="T85" i="7"/>
  <c r="N85" i="10" s="1"/>
  <c r="G618" i="10"/>
  <c r="G154" i="10"/>
  <c r="H154" i="10" s="1"/>
  <c r="T261" i="7"/>
  <c r="N261" i="10" s="1"/>
  <c r="T699" i="7"/>
  <c r="N699" i="10" s="1"/>
  <c r="T174" i="7"/>
  <c r="N174" i="10" s="1"/>
  <c r="T763" i="7"/>
  <c r="N47" i="11" s="1"/>
  <c r="G333" i="10"/>
  <c r="G494" i="10"/>
  <c r="H494" i="10" s="1"/>
  <c r="T1498" i="7"/>
  <c r="N782" i="11" s="1"/>
  <c r="T202" i="7"/>
  <c r="N202" i="10" s="1"/>
  <c r="T24" i="7"/>
  <c r="N24" i="10" s="1"/>
  <c r="T1350" i="7"/>
  <c r="N634" i="11" s="1"/>
  <c r="T211" i="7"/>
  <c r="N211" i="10" s="1"/>
  <c r="T793" i="7"/>
  <c r="N77" i="11" s="1"/>
  <c r="T564" i="7"/>
  <c r="N564" i="10" s="1"/>
  <c r="T122" i="7"/>
  <c r="N122" i="10" s="1"/>
  <c r="T1388" i="7"/>
  <c r="N672" i="11" s="1"/>
  <c r="G423" i="10"/>
  <c r="H423" i="10" s="1"/>
  <c r="G181" i="10"/>
  <c r="H181" i="10" s="1"/>
  <c r="G520" i="10"/>
  <c r="H520" i="10" s="1"/>
  <c r="T79" i="7"/>
  <c r="N79" i="10" s="1"/>
  <c r="T1567" i="7"/>
  <c r="N851" i="11" s="1"/>
  <c r="T613" i="7"/>
  <c r="N613" i="10" s="1"/>
  <c r="G345" i="10"/>
  <c r="H345" i="10" s="1"/>
  <c r="T700" i="7"/>
  <c r="N700" i="10" s="1"/>
  <c r="T264" i="7"/>
  <c r="N264" i="10" s="1"/>
  <c r="T109" i="7"/>
  <c r="N109" i="10" s="1"/>
  <c r="G382" i="10"/>
  <c r="H382" i="10" s="1"/>
  <c r="G524" i="10"/>
  <c r="H524" i="10" s="1"/>
  <c r="G643" i="10"/>
  <c r="T464" i="7"/>
  <c r="N464" i="10" s="1"/>
  <c r="G226" i="10"/>
  <c r="H226" i="10" s="1"/>
  <c r="T691" i="7"/>
  <c r="N691" i="10" s="1"/>
  <c r="T1780" i="7"/>
  <c r="N1064" i="11" s="1"/>
  <c r="T268" i="7"/>
  <c r="N268" i="10" s="1"/>
  <c r="G285" i="10"/>
  <c r="H285" i="10" s="1"/>
  <c r="T880" i="7"/>
  <c r="N164" i="11" s="1"/>
  <c r="T823" i="7"/>
  <c r="N107" i="11" s="1"/>
  <c r="T409" i="7"/>
  <c r="N409" i="10" s="1"/>
  <c r="T1001" i="7"/>
  <c r="N285" i="11" s="1"/>
  <c r="T107" i="7"/>
  <c r="N107" i="10" s="1"/>
  <c r="G431" i="10"/>
  <c r="H431" i="10" s="1"/>
  <c r="G78" i="10"/>
  <c r="H78" i="10" s="1"/>
  <c r="G317" i="10"/>
  <c r="H317" i="10" s="1"/>
  <c r="T540" i="7"/>
  <c r="N540" i="10" s="1"/>
  <c r="G439" i="10"/>
  <c r="H439" i="10" s="1"/>
  <c r="T440" i="7"/>
  <c r="N440" i="10" s="1"/>
  <c r="G668" i="10"/>
  <c r="T82" i="7"/>
  <c r="N82" i="10" s="1"/>
  <c r="T356" i="7"/>
  <c r="N356" i="10" s="1"/>
  <c r="G166" i="10"/>
  <c r="T1594" i="7"/>
  <c r="N878" i="11" s="1"/>
  <c r="G512" i="10"/>
  <c r="H512" i="10" s="1"/>
  <c r="T1677" i="7"/>
  <c r="N961" i="11" s="1"/>
  <c r="T88" i="7"/>
  <c r="N88" i="10" s="1"/>
  <c r="T842" i="7"/>
  <c r="N126" i="11" s="1"/>
  <c r="T1580" i="7"/>
  <c r="N864" i="11" s="1"/>
  <c r="T1236" i="7"/>
  <c r="N520" i="11" s="1"/>
  <c r="T1205" i="7"/>
  <c r="N489" i="11" s="1"/>
  <c r="T1559" i="7"/>
  <c r="N843" i="11" s="1"/>
  <c r="T658" i="7"/>
  <c r="N658" i="10" s="1"/>
  <c r="T870" i="7"/>
  <c r="N154" i="11" s="1"/>
  <c r="T1379" i="7"/>
  <c r="N663" i="11" s="1"/>
  <c r="T765" i="7"/>
  <c r="N49" i="11" s="1"/>
  <c r="T247" i="7"/>
  <c r="N247" i="10" s="1"/>
  <c r="T95" i="7"/>
  <c r="N95" i="10" s="1"/>
  <c r="T1380" i="7"/>
  <c r="N664" i="11" s="1"/>
  <c r="T106" i="7"/>
  <c r="N106" i="10" s="1"/>
  <c r="T740" i="7"/>
  <c r="N24" i="11" s="1"/>
  <c r="T1574" i="7"/>
  <c r="N858" i="11" s="1"/>
  <c r="T533" i="7"/>
  <c r="N533" i="10" s="1"/>
  <c r="T314" i="7"/>
  <c r="N314" i="10" s="1"/>
  <c r="T510" i="7"/>
  <c r="N510" i="10" s="1"/>
  <c r="T360" i="7"/>
  <c r="N360" i="10" s="1"/>
  <c r="T381" i="7"/>
  <c r="N381" i="10" s="1"/>
  <c r="T407" i="7"/>
  <c r="N407" i="10" s="1"/>
  <c r="T1453" i="7"/>
  <c r="N737" i="11" s="1"/>
  <c r="G657" i="10"/>
  <c r="T862" i="7"/>
  <c r="N146" i="11" s="1"/>
  <c r="T1752" i="7"/>
  <c r="N1036" i="11" s="1"/>
  <c r="T479" i="7"/>
  <c r="N479" i="10" s="1"/>
  <c r="G627" i="10"/>
  <c r="G614" i="10"/>
  <c r="G683" i="10"/>
  <c r="T230" i="7"/>
  <c r="N230" i="10" s="1"/>
  <c r="T504" i="7"/>
  <c r="N504" i="10" s="1"/>
  <c r="T1738" i="7"/>
  <c r="N1022" i="11" s="1"/>
  <c r="T837" i="7"/>
  <c r="N121" i="11" s="1"/>
  <c r="G444" i="10"/>
  <c r="H444" i="10" s="1"/>
  <c r="T919" i="7"/>
  <c r="N203" i="11" s="1"/>
  <c r="T1692" i="7"/>
  <c r="N976" i="11" s="1"/>
  <c r="G711" i="10"/>
  <c r="G331" i="10"/>
  <c r="H331" i="10" s="1"/>
  <c r="G644" i="10"/>
  <c r="T1180" i="7"/>
  <c r="N464" i="11" s="1"/>
  <c r="T944" i="7"/>
  <c r="N228" i="11" s="1"/>
  <c r="T68" i="7"/>
  <c r="N68" i="10" s="1"/>
  <c r="G646" i="10"/>
  <c r="T1422" i="7"/>
  <c r="N706" i="11" s="1"/>
  <c r="T1401" i="7"/>
  <c r="N685" i="11" s="1"/>
  <c r="T1200" i="7"/>
  <c r="N484" i="11" s="1"/>
  <c r="T1773" i="7"/>
  <c r="N1057" i="11" s="1"/>
  <c r="T1517" i="7"/>
  <c r="N801" i="11" s="1"/>
  <c r="T481" i="7"/>
  <c r="N481" i="10" s="1"/>
  <c r="T689" i="7"/>
  <c r="N689" i="10" s="1"/>
  <c r="T1077" i="7"/>
  <c r="N361" i="11" s="1"/>
  <c r="T605" i="7"/>
  <c r="N605" i="10" s="1"/>
  <c r="T927" i="7"/>
  <c r="N211" i="11" s="1"/>
  <c r="T258" i="7"/>
  <c r="N258" i="10" s="1"/>
  <c r="T1248" i="7"/>
  <c r="N532" i="11" s="1"/>
  <c r="T1638" i="7"/>
  <c r="N922" i="11" s="1"/>
  <c r="G269" i="10"/>
  <c r="H269" i="10" s="1"/>
  <c r="G312" i="10"/>
  <c r="H312" i="10" s="1"/>
  <c r="G712" i="10"/>
  <c r="G182" i="10"/>
  <c r="H182" i="10" s="1"/>
  <c r="G695" i="10"/>
  <c r="T361" i="7"/>
  <c r="N361" i="10" s="1"/>
  <c r="T922" i="7"/>
  <c r="N206" i="11" s="1"/>
  <c r="T1587" i="7"/>
  <c r="N871" i="11" s="1"/>
  <c r="G141" i="10"/>
  <c r="H141" i="10" s="1"/>
  <c r="G337" i="10"/>
  <c r="H337" i="10" s="1"/>
  <c r="T424" i="7"/>
  <c r="N424" i="10" s="1"/>
  <c r="T1361" i="7"/>
  <c r="N645" i="11" s="1"/>
  <c r="T1427" i="7"/>
  <c r="N711" i="11" s="1"/>
  <c r="G136" i="10"/>
  <c r="H136" i="10" s="1"/>
  <c r="G116" i="10"/>
  <c r="H116" i="10" s="1"/>
  <c r="G127" i="10"/>
  <c r="H127" i="10" s="1"/>
  <c r="T1531" i="7"/>
  <c r="N815" i="11" s="1"/>
  <c r="T784" i="7"/>
  <c r="N68" i="11" s="1"/>
  <c r="T1302" i="7"/>
  <c r="N586" i="11" s="1"/>
  <c r="T858" i="7"/>
  <c r="N142" i="11" s="1"/>
  <c r="G112" i="10"/>
  <c r="H112" i="10" s="1"/>
  <c r="G325" i="10"/>
  <c r="G306" i="10"/>
  <c r="H306" i="10" s="1"/>
  <c r="T1220" i="7"/>
  <c r="N504" i="11" s="1"/>
  <c r="T1660" i="7"/>
  <c r="N944" i="11" s="1"/>
  <c r="T792" i="7"/>
  <c r="N76" i="11" s="1"/>
  <c r="G113" i="10"/>
  <c r="H113" i="10" s="1"/>
  <c r="T506" i="7"/>
  <c r="N506" i="10" s="1"/>
  <c r="T1411" i="7"/>
  <c r="N695" i="11" s="1"/>
  <c r="T1549" i="7"/>
  <c r="N833" i="11" s="1"/>
  <c r="T480" i="7"/>
  <c r="N480" i="10" s="1"/>
  <c r="G663" i="10"/>
  <c r="T685" i="7"/>
  <c r="N685" i="10" s="1"/>
  <c r="T310" i="7"/>
  <c r="N310" i="10" s="1"/>
  <c r="T162" i="7"/>
  <c r="N162" i="10" s="1"/>
  <c r="T323" i="7"/>
  <c r="N323" i="10" s="1"/>
  <c r="T474" i="7"/>
  <c r="N474" i="10" s="1"/>
  <c r="G499" i="10"/>
  <c r="H499" i="10" s="1"/>
  <c r="T1144" i="7"/>
  <c r="N428" i="11" s="1"/>
  <c r="G320" i="10"/>
  <c r="H320" i="10" s="1"/>
  <c r="T148" i="7"/>
  <c r="N148" i="10" s="1"/>
  <c r="T341" i="7"/>
  <c r="N341" i="10" s="1"/>
  <c r="T1685" i="7"/>
  <c r="N969" i="11" s="1"/>
  <c r="T1036" i="7"/>
  <c r="N320" i="11" s="1"/>
  <c r="T1374" i="7"/>
  <c r="N658" i="11" s="1"/>
  <c r="G66" i="10"/>
  <c r="H66" i="10" s="1"/>
  <c r="G292" i="10"/>
  <c r="H292" i="10" s="1"/>
  <c r="G485" i="10"/>
  <c r="H485" i="10" s="1"/>
  <c r="G476" i="10"/>
  <c r="H476" i="10" s="1"/>
  <c r="T660" i="7"/>
  <c r="N660" i="10" s="1"/>
  <c r="T493" i="7"/>
  <c r="N493" i="10" s="1"/>
  <c r="T1705" i="7"/>
  <c r="N989" i="11" s="1"/>
  <c r="G527" i="10"/>
  <c r="G142" i="10"/>
  <c r="H142" i="10" s="1"/>
  <c r="G645" i="10"/>
  <c r="G436" i="10"/>
  <c r="H436" i="10" s="1"/>
  <c r="T1343" i="7"/>
  <c r="N627" i="11" s="1"/>
  <c r="T802" i="7"/>
  <c r="N86" i="11" s="1"/>
  <c r="T616" i="7"/>
  <c r="N616" i="10" s="1"/>
  <c r="T302" i="7"/>
  <c r="N302" i="10" s="1"/>
  <c r="T1573" i="7"/>
  <c r="N857" i="11" s="1"/>
  <c r="T664" i="7"/>
  <c r="N664" i="10" s="1"/>
  <c r="T1190" i="7"/>
  <c r="N474" i="11" s="1"/>
  <c r="T868" i="7"/>
  <c r="N152" i="11" s="1"/>
  <c r="G426" i="10"/>
  <c r="H426" i="10" s="1"/>
  <c r="G274" i="10"/>
  <c r="H274" i="10" s="1"/>
  <c r="G343" i="10"/>
  <c r="H343" i="10" s="1"/>
  <c r="G321" i="10"/>
  <c r="H321" i="10" s="1"/>
  <c r="G655" i="10"/>
  <c r="G719" i="10"/>
  <c r="G125" i="10"/>
  <c r="H125" i="10" s="1"/>
  <c r="T245" i="7"/>
  <c r="N245" i="10" s="1"/>
  <c r="T484" i="7"/>
  <c r="N484" i="10" s="1"/>
  <c r="T795" i="7"/>
  <c r="N79" i="11" s="1"/>
  <c r="T1171" i="7"/>
  <c r="N455" i="11" s="1"/>
  <c r="T1540" i="7"/>
  <c r="N824" i="11" s="1"/>
  <c r="T706" i="7"/>
  <c r="N706" i="10" s="1"/>
  <c r="T603" i="7"/>
  <c r="N603" i="10" s="1"/>
  <c r="T1164" i="7"/>
  <c r="N448" i="11" s="1"/>
  <c r="L19" i="9"/>
  <c r="N19" i="9" s="1"/>
  <c r="T739" i="7"/>
  <c r="N23" i="11" s="1"/>
  <c r="T467" i="7"/>
  <c r="N467" i="10" s="1"/>
  <c r="G500" i="10"/>
  <c r="H500" i="10" s="1"/>
  <c r="G152" i="10"/>
  <c r="H152" i="10" s="1"/>
  <c r="G126" i="10"/>
  <c r="H126" i="10" s="1"/>
  <c r="G535" i="10"/>
  <c r="H535" i="10" s="1"/>
  <c r="G250" i="10"/>
  <c r="H250" i="10" s="1"/>
  <c r="G89" i="10"/>
  <c r="H89" i="10" s="1"/>
  <c r="T898" i="7"/>
  <c r="N182" i="11" s="1"/>
  <c r="T1737" i="7"/>
  <c r="N1021" i="11" s="1"/>
  <c r="T1765" i="7"/>
  <c r="N1049" i="11" s="1"/>
  <c r="T1553" i="7"/>
  <c r="N837" i="11" s="1"/>
  <c r="T885" i="7"/>
  <c r="N169" i="11" s="1"/>
  <c r="T158" i="7"/>
  <c r="N158" i="10" s="1"/>
  <c r="T1407" i="7"/>
  <c r="N691" i="11" s="1"/>
  <c r="T1359" i="7"/>
  <c r="N643" i="11" s="1"/>
  <c r="T429" i="7"/>
  <c r="N429" i="10" s="1"/>
  <c r="T560" i="7"/>
  <c r="N560" i="10" s="1"/>
  <c r="T1399" i="7"/>
  <c r="N683" i="11" s="1"/>
  <c r="T1717" i="7"/>
  <c r="N1001" i="11" s="1"/>
  <c r="T1342" i="7"/>
  <c r="N626" i="11" s="1"/>
  <c r="G621" i="10"/>
  <c r="G679" i="10"/>
  <c r="G305" i="10"/>
  <c r="T1222" i="7"/>
  <c r="N506" i="11" s="1"/>
  <c r="T27" i="7"/>
  <c r="N27" i="10" s="1"/>
  <c r="T1667" i="7"/>
  <c r="N951" i="11" s="1"/>
  <c r="T964" i="7"/>
  <c r="N248" i="11" s="1"/>
  <c r="T630" i="7"/>
  <c r="N630" i="10" s="1"/>
  <c r="T254" i="7"/>
  <c r="N254" i="10" s="1"/>
  <c r="T1067" i="7"/>
  <c r="N351" i="11" s="1"/>
  <c r="T244" i="7"/>
  <c r="N244" i="10" s="1"/>
  <c r="T347" i="7"/>
  <c r="N347" i="10" s="1"/>
  <c r="T988" i="7"/>
  <c r="N272" i="11" s="1"/>
  <c r="T1121" i="7"/>
  <c r="N405" i="11" s="1"/>
  <c r="T56" i="7"/>
  <c r="N56" i="10" s="1"/>
  <c r="T235" i="7"/>
  <c r="N235" i="10" s="1"/>
  <c r="T69" i="7"/>
  <c r="N69" i="10" s="1"/>
  <c r="T319" i="7"/>
  <c r="N319" i="10" s="1"/>
  <c r="T67" i="7"/>
  <c r="N67" i="10" s="1"/>
  <c r="T498" i="7"/>
  <c r="N498" i="10" s="1"/>
  <c r="T1018" i="7"/>
  <c r="N302" i="11" s="1"/>
  <c r="T877" i="7"/>
  <c r="N161" i="11" s="1"/>
  <c r="T248" i="7"/>
  <c r="N248" i="10" s="1"/>
  <c r="T1105" i="7"/>
  <c r="N389" i="11" s="1"/>
  <c r="T856" i="7"/>
  <c r="N140" i="11" s="1"/>
  <c r="T530" i="7"/>
  <c r="N530" i="10" s="1"/>
  <c r="T119" i="7"/>
  <c r="N119" i="10" s="1"/>
  <c r="T884" i="7"/>
  <c r="N168" i="11" s="1"/>
  <c r="T155" i="7"/>
  <c r="N155" i="10" s="1"/>
  <c r="T1488" i="7"/>
  <c r="N772" i="11" s="1"/>
  <c r="T551" i="7"/>
  <c r="N551" i="10" s="1"/>
  <c r="T692" i="7"/>
  <c r="N692" i="10" s="1"/>
  <c r="T397" i="7"/>
  <c r="N397" i="10" s="1"/>
  <c r="T65" i="7"/>
  <c r="N65" i="10" s="1"/>
  <c r="T1288" i="7"/>
  <c r="N572" i="11" s="1"/>
  <c r="T1210" i="7"/>
  <c r="N494" i="11" s="1"/>
  <c r="T536" i="7"/>
  <c r="N536" i="10" s="1"/>
  <c r="T1421" i="7"/>
  <c r="N705" i="11" s="1"/>
  <c r="T278" i="7"/>
  <c r="N278" i="10" s="1"/>
  <c r="T1385" i="7"/>
  <c r="N669" i="11" s="1"/>
  <c r="T1173" i="7"/>
  <c r="N457" i="11" s="1"/>
  <c r="T1555" i="7"/>
  <c r="N839" i="11" s="1"/>
  <c r="T1178" i="7"/>
  <c r="N462" i="11" s="1"/>
  <c r="T1680" i="7"/>
  <c r="N964" i="11" s="1"/>
  <c r="T179" i="7"/>
  <c r="N179" i="10" s="1"/>
  <c r="T804" i="7"/>
  <c r="N88" i="11" s="1"/>
  <c r="T1600" i="7"/>
  <c r="N884" i="11" s="1"/>
  <c r="T859" i="7"/>
  <c r="N143" i="11" s="1"/>
  <c r="T326" i="7"/>
  <c r="N326" i="10" s="1"/>
  <c r="T1035" i="7"/>
  <c r="N319" i="11" s="1"/>
  <c r="T1700" i="7"/>
  <c r="N984" i="11" s="1"/>
  <c r="T1730" i="7"/>
  <c r="N1014" i="11" s="1"/>
  <c r="T1551" i="7"/>
  <c r="N835" i="11" s="1"/>
  <c r="T140" i="7"/>
  <c r="N140" i="10" s="1"/>
  <c r="T999" i="7"/>
  <c r="N283" i="11" s="1"/>
  <c r="T569" i="7"/>
  <c r="N569" i="10" s="1"/>
  <c r="T915" i="7"/>
  <c r="N199" i="11" s="1"/>
  <c r="T1710" i="7"/>
  <c r="N994" i="11" s="1"/>
  <c r="T812" i="7"/>
  <c r="N96" i="11" s="1"/>
  <c r="T351" i="7"/>
  <c r="N351" i="10" s="1"/>
  <c r="T1309" i="7"/>
  <c r="N593" i="11" s="1"/>
  <c r="T1130" i="7"/>
  <c r="N414" i="11" s="1"/>
  <c r="T172" i="7"/>
  <c r="N172" i="10" s="1"/>
  <c r="T196" i="7"/>
  <c r="N196" i="10" s="1"/>
  <c r="T1087" i="7"/>
  <c r="N371" i="11" s="1"/>
  <c r="T985" i="7"/>
  <c r="N269" i="11" s="1"/>
  <c r="T1507" i="7"/>
  <c r="N791" i="11" s="1"/>
  <c r="T653" i="7"/>
  <c r="N653" i="10" s="1"/>
  <c r="T1086" i="7"/>
  <c r="N370" i="11" s="1"/>
  <c r="T1213" i="7"/>
  <c r="N497" i="11" s="1"/>
  <c r="T1050" i="7"/>
  <c r="N334" i="11" s="1"/>
  <c r="T1217" i="7"/>
  <c r="N501" i="11" s="1"/>
  <c r="T1184" i="7"/>
  <c r="N468" i="11" s="1"/>
  <c r="T282" i="7"/>
  <c r="N282" i="10" s="1"/>
  <c r="T75" i="7"/>
  <c r="N75" i="10" s="1"/>
  <c r="T969" i="7"/>
  <c r="N253" i="11" s="1"/>
  <c r="T1691" i="7"/>
  <c r="N975" i="11" s="1"/>
  <c r="T727" i="7"/>
  <c r="N11" i="11" s="1"/>
  <c r="T1536" i="7"/>
  <c r="N820" i="11" s="1"/>
  <c r="T1518" i="7"/>
  <c r="N802" i="11" s="1"/>
  <c r="T1601" i="7"/>
  <c r="N885" i="11" s="1"/>
  <c r="T744" i="7"/>
  <c r="N28" i="11" s="1"/>
  <c r="T1243" i="7"/>
  <c r="N527" i="11" s="1"/>
  <c r="T1604" i="7"/>
  <c r="N888" i="11" s="1"/>
  <c r="T1272" i="7"/>
  <c r="N556" i="11" s="1"/>
  <c r="T1445" i="7"/>
  <c r="N729" i="11" s="1"/>
  <c r="T1211" i="7"/>
  <c r="N495" i="11" s="1"/>
  <c r="T647" i="7"/>
  <c r="N647" i="10" s="1"/>
  <c r="T468" i="7"/>
  <c r="N468" i="10" s="1"/>
  <c r="T451" i="7"/>
  <c r="N451" i="10" s="1"/>
  <c r="T1500" i="7"/>
  <c r="N784" i="11" s="1"/>
  <c r="T1328" i="7"/>
  <c r="N612" i="11" s="1"/>
  <c r="T709" i="7"/>
  <c r="N709" i="10" s="1"/>
  <c r="T1464" i="7"/>
  <c r="N748" i="11" s="1"/>
  <c r="T806" i="7"/>
  <c r="N90" i="11" s="1"/>
  <c r="T1766" i="7"/>
  <c r="N1050" i="11" s="1"/>
  <c r="T839" i="7"/>
  <c r="N123" i="11" s="1"/>
  <c r="T1732" i="7"/>
  <c r="N1016" i="11" s="1"/>
  <c r="T1157" i="7"/>
  <c r="N441" i="11" s="1"/>
  <c r="T1392" i="7"/>
  <c r="N676" i="11" s="1"/>
  <c r="I24" i="9"/>
  <c r="K24" i="9" s="1"/>
  <c r="T251" i="7"/>
  <c r="N251" i="10" s="1"/>
  <c r="T994" i="7"/>
  <c r="N278" i="11" s="1"/>
  <c r="T606" i="7"/>
  <c r="N606" i="10" s="1"/>
  <c r="T755" i="7"/>
  <c r="N39" i="11" s="1"/>
  <c r="T1246" i="7"/>
  <c r="N530" i="11" s="1"/>
  <c r="T370" i="7"/>
  <c r="N370" i="10" s="1"/>
  <c r="T1193" i="7"/>
  <c r="N477" i="11" s="1"/>
  <c r="T625" i="7"/>
  <c r="N625" i="10" s="1"/>
  <c r="T1376" i="7"/>
  <c r="N660" i="11" s="1"/>
  <c r="T334" i="7"/>
  <c r="N334" i="10" s="1"/>
  <c r="T1653" i="7"/>
  <c r="N937" i="11" s="1"/>
  <c r="T1295" i="7"/>
  <c r="N579" i="11" s="1"/>
  <c r="T1116" i="7"/>
  <c r="N400" i="11" s="1"/>
  <c r="T221" i="7"/>
  <c r="N221" i="10" s="1"/>
  <c r="T758" i="7"/>
  <c r="N42" i="11" s="1"/>
  <c r="T400" i="7"/>
  <c r="N400" i="10" s="1"/>
  <c r="T1474" i="7"/>
  <c r="N758" i="11" s="1"/>
  <c r="T579" i="7"/>
  <c r="N579" i="10" s="1"/>
  <c r="T937" i="7"/>
  <c r="N221" i="11" s="1"/>
  <c r="T42" i="7"/>
  <c r="N42" i="10" s="1"/>
  <c r="T10" i="7"/>
  <c r="N10" i="10" s="1"/>
  <c r="T1589" i="7"/>
  <c r="N873" i="11" s="1"/>
  <c r="T665" i="7"/>
  <c r="N665" i="10" s="1"/>
  <c r="T923" i="7"/>
  <c r="N207" i="11" s="1"/>
  <c r="T207" i="7"/>
  <c r="N207" i="10" s="1"/>
  <c r="T635" i="7"/>
  <c r="N635" i="10" s="1"/>
  <c r="T1452" i="7"/>
  <c r="N736" i="11" s="1"/>
  <c r="T816" i="7"/>
  <c r="N100" i="11" s="1"/>
  <c r="T1593" i="7"/>
  <c r="N877" i="11" s="1"/>
  <c r="T1270" i="7"/>
  <c r="N554" i="11" s="1"/>
  <c r="T1311" i="7"/>
  <c r="N595" i="11" s="1"/>
  <c r="T416" i="7"/>
  <c r="N416" i="10" s="1"/>
  <c r="T58" i="7"/>
  <c r="N58" i="10" s="1"/>
  <c r="T953" i="7"/>
  <c r="N237" i="11" s="1"/>
  <c r="T1490" i="7"/>
  <c r="N774" i="11" s="1"/>
  <c r="T774" i="7"/>
  <c r="N58" i="11" s="1"/>
  <c r="T237" i="7"/>
  <c r="N237" i="10" s="1"/>
  <c r="T595" i="7"/>
  <c r="N595" i="10" s="1"/>
  <c r="T1669" i="7"/>
  <c r="N953" i="11" s="1"/>
  <c r="T1132" i="7"/>
  <c r="N416" i="11" s="1"/>
  <c r="T1477" i="7"/>
  <c r="N761" i="11" s="1"/>
  <c r="T940" i="7"/>
  <c r="N224" i="11" s="1"/>
  <c r="T1119" i="7"/>
  <c r="N403" i="11" s="1"/>
  <c r="T935" i="7"/>
  <c r="N219" i="11" s="1"/>
  <c r="T219" i="7"/>
  <c r="N219" i="10" s="1"/>
  <c r="T1114" i="7"/>
  <c r="N398" i="11" s="1"/>
  <c r="T1651" i="7"/>
  <c r="N935" i="11" s="1"/>
  <c r="T1472" i="7"/>
  <c r="N756" i="11" s="1"/>
  <c r="T1293" i="7"/>
  <c r="N577" i="11" s="1"/>
  <c r="T577" i="7"/>
  <c r="N577" i="10" s="1"/>
  <c r="T40" i="7"/>
  <c r="N40" i="10" s="1"/>
  <c r="T398" i="7"/>
  <c r="N398" i="10" s="1"/>
  <c r="T756" i="7"/>
  <c r="N40" i="11" s="1"/>
  <c r="T216" i="7"/>
  <c r="N216" i="10" s="1"/>
  <c r="T1469" i="7"/>
  <c r="N753" i="11" s="1"/>
  <c r="T574" i="7"/>
  <c r="N574" i="10" s="1"/>
  <c r="T753" i="7"/>
  <c r="N37" i="11" s="1"/>
  <c r="T1648" i="7"/>
  <c r="N932" i="11" s="1"/>
  <c r="T395" i="7"/>
  <c r="N395" i="10" s="1"/>
  <c r="T1290" i="7"/>
  <c r="N574" i="11" s="1"/>
  <c r="T932" i="7"/>
  <c r="N216" i="11" s="1"/>
  <c r="T37" i="7"/>
  <c r="N37" i="10" s="1"/>
  <c r="T1111" i="7"/>
  <c r="N395" i="11" s="1"/>
  <c r="T392" i="7"/>
  <c r="N392" i="10" s="1"/>
  <c r="T1645" i="7"/>
  <c r="N929" i="11" s="1"/>
  <c r="T1287" i="7"/>
  <c r="N571" i="11" s="1"/>
  <c r="T209" i="7"/>
  <c r="N209" i="10" s="1"/>
  <c r="T1104" i="7"/>
  <c r="N388" i="11" s="1"/>
  <c r="T30" i="7"/>
  <c r="N30" i="10" s="1"/>
  <c r="T567" i="7"/>
  <c r="N567" i="10" s="1"/>
  <c r="T1096" i="7"/>
  <c r="N380" i="11" s="1"/>
  <c r="T22" i="7"/>
  <c r="N22" i="10" s="1"/>
  <c r="T1454" i="7"/>
  <c r="N738" i="11" s="1"/>
  <c r="T201" i="7"/>
  <c r="N201" i="10" s="1"/>
  <c r="T559" i="7"/>
  <c r="N559" i="10" s="1"/>
  <c r="T380" i="7"/>
  <c r="N380" i="10" s="1"/>
  <c r="T917" i="7"/>
  <c r="N201" i="11" s="1"/>
  <c r="T1275" i="7"/>
  <c r="N559" i="11" s="1"/>
  <c r="T738" i="7"/>
  <c r="N22" i="11" s="1"/>
  <c r="T1633" i="7"/>
  <c r="N917" i="11" s="1"/>
  <c r="T1494" i="7"/>
  <c r="N778" i="11" s="1"/>
  <c r="T957" i="7"/>
  <c r="N241" i="11" s="1"/>
  <c r="T596" i="7"/>
  <c r="N596" i="10" s="1"/>
  <c r="T238" i="7"/>
  <c r="N238" i="10" s="1"/>
  <c r="T1670" i="7"/>
  <c r="N954" i="11" s="1"/>
  <c r="T236" i="7"/>
  <c r="N236" i="10" s="1"/>
  <c r="T1668" i="7"/>
  <c r="N952" i="11" s="1"/>
  <c r="T952" i="7"/>
  <c r="N236" i="11" s="1"/>
  <c r="T415" i="7"/>
  <c r="N415" i="10" s="1"/>
  <c r="T1310" i="7"/>
  <c r="N594" i="11" s="1"/>
  <c r="T1131" i="7"/>
  <c r="N415" i="11" s="1"/>
  <c r="T773" i="7"/>
  <c r="N57" i="11" s="1"/>
  <c r="T594" i="7"/>
  <c r="N594" i="10" s="1"/>
  <c r="T1489" i="7"/>
  <c r="N773" i="11" s="1"/>
  <c r="T57" i="7"/>
  <c r="N57" i="10" s="1"/>
  <c r="T55" i="7"/>
  <c r="N55" i="10" s="1"/>
  <c r="T234" i="7"/>
  <c r="N234" i="10" s="1"/>
  <c r="T1666" i="7"/>
  <c r="N950" i="11" s="1"/>
  <c r="T771" i="7"/>
  <c r="N55" i="11" s="1"/>
  <c r="T1664" i="7"/>
  <c r="N948" i="11" s="1"/>
  <c r="T1306" i="7"/>
  <c r="N590" i="11" s="1"/>
  <c r="T769" i="7"/>
  <c r="N53" i="11" s="1"/>
  <c r="T1485" i="7"/>
  <c r="N769" i="11" s="1"/>
  <c r="T53" i="7"/>
  <c r="N53" i="10" s="1"/>
  <c r="T948" i="7"/>
  <c r="N232" i="11" s="1"/>
  <c r="T1127" i="7"/>
  <c r="N411" i="11" s="1"/>
  <c r="T232" i="7"/>
  <c r="N232" i="10" s="1"/>
  <c r="T411" i="7"/>
  <c r="N411" i="10" s="1"/>
  <c r="T590" i="7"/>
  <c r="N590" i="10" s="1"/>
  <c r="T1126" i="7"/>
  <c r="N410" i="11" s="1"/>
  <c r="T587" i="7"/>
  <c r="N587" i="10" s="1"/>
  <c r="T408" i="7"/>
  <c r="N408" i="10" s="1"/>
  <c r="T766" i="7"/>
  <c r="N50" i="11" s="1"/>
  <c r="T1480" i="7"/>
  <c r="N764" i="11" s="1"/>
  <c r="T48" i="7"/>
  <c r="N48" i="10" s="1"/>
  <c r="T1659" i="7"/>
  <c r="N943" i="11" s="1"/>
  <c r="T1301" i="7"/>
  <c r="N585" i="11" s="1"/>
  <c r="T764" i="7"/>
  <c r="N48" i="11" s="1"/>
  <c r="T585" i="7"/>
  <c r="N585" i="10" s="1"/>
  <c r="T227" i="7"/>
  <c r="N227" i="10" s="1"/>
  <c r="T1122" i="7"/>
  <c r="N406" i="11" s="1"/>
  <c r="T406" i="7"/>
  <c r="N406" i="10" s="1"/>
  <c r="T943" i="7"/>
  <c r="N227" i="11" s="1"/>
  <c r="T1657" i="7"/>
  <c r="N941" i="11" s="1"/>
  <c r="T580" i="7"/>
  <c r="N580" i="10" s="1"/>
  <c r="T1654" i="7"/>
  <c r="N938" i="11" s="1"/>
  <c r="T938" i="7"/>
  <c r="N222" i="11" s="1"/>
  <c r="T43" i="7"/>
  <c r="N43" i="10" s="1"/>
  <c r="T222" i="7"/>
  <c r="N222" i="10" s="1"/>
  <c r="T1117" i="7"/>
  <c r="N401" i="11" s="1"/>
  <c r="T220" i="7"/>
  <c r="N220" i="10" s="1"/>
  <c r="T757" i="7"/>
  <c r="N41" i="11" s="1"/>
  <c r="T578" i="7"/>
  <c r="N578" i="10" s="1"/>
  <c r="T936" i="7"/>
  <c r="N220" i="11" s="1"/>
  <c r="T1473" i="7"/>
  <c r="N757" i="11" s="1"/>
  <c r="T1115" i="7"/>
  <c r="N399" i="11" s="1"/>
  <c r="T399" i="7"/>
  <c r="N399" i="10" s="1"/>
  <c r="T41" i="7"/>
  <c r="N41" i="10" s="1"/>
  <c r="T1294" i="7"/>
  <c r="N578" i="11" s="1"/>
  <c r="T1652" i="7"/>
  <c r="N936" i="11" s="1"/>
  <c r="T752" i="7"/>
  <c r="N36" i="11" s="1"/>
  <c r="T928" i="7"/>
  <c r="N212" i="11" s="1"/>
  <c r="T33" i="7"/>
  <c r="N33" i="10" s="1"/>
  <c r="T391" i="7"/>
  <c r="N391" i="10" s="1"/>
  <c r="T749" i="7"/>
  <c r="N33" i="11" s="1"/>
  <c r="T1107" i="7"/>
  <c r="N391" i="11" s="1"/>
  <c r="T924" i="7"/>
  <c r="N208" i="11" s="1"/>
  <c r="T29" i="7"/>
  <c r="N29" i="10" s="1"/>
  <c r="T1640" i="7"/>
  <c r="N924" i="11" s="1"/>
  <c r="T1461" i="7"/>
  <c r="N745" i="11" s="1"/>
  <c r="T745" i="7"/>
  <c r="N29" i="11" s="1"/>
  <c r="T387" i="7"/>
  <c r="N387" i="10" s="1"/>
  <c r="T1282" i="7"/>
  <c r="N566" i="11" s="1"/>
  <c r="T208" i="7"/>
  <c r="N208" i="10" s="1"/>
  <c r="T566" i="7"/>
  <c r="N566" i="10" s="1"/>
  <c r="T1103" i="7"/>
  <c r="N387" i="11" s="1"/>
  <c r="T384" i="7"/>
  <c r="N384" i="10" s="1"/>
  <c r="T563" i="7"/>
  <c r="N563" i="10" s="1"/>
  <c r="T1637" i="7"/>
  <c r="N921" i="11" s="1"/>
  <c r="T26" i="7"/>
  <c r="N26" i="10" s="1"/>
  <c r="T205" i="7"/>
  <c r="N205" i="10" s="1"/>
  <c r="T742" i="7"/>
  <c r="N26" i="11" s="1"/>
  <c r="T1279" i="7"/>
  <c r="N563" i="11" s="1"/>
  <c r="T921" i="7"/>
  <c r="N205" i="11" s="1"/>
  <c r="T1449" i="7"/>
  <c r="N733" i="11" s="1"/>
  <c r="T189" i="7"/>
  <c r="N189" i="10" s="1"/>
  <c r="T1406" i="7"/>
  <c r="N690" i="11" s="1"/>
  <c r="T156" i="7"/>
  <c r="N156" i="10" s="1"/>
  <c r="T547" i="7"/>
  <c r="N547" i="10" s="1"/>
  <c r="T35" i="7"/>
  <c r="N35" i="10" s="1"/>
  <c r="T1304" i="7"/>
  <c r="N588" i="11" s="1"/>
  <c r="T949" i="7"/>
  <c r="N233" i="11" s="1"/>
  <c r="T1071" i="7"/>
  <c r="N355" i="11" s="1"/>
  <c r="T1484" i="7"/>
  <c r="N768" i="11" s="1"/>
  <c r="T52" i="7"/>
  <c r="N52" i="10" s="1"/>
  <c r="T1728" i="7"/>
  <c r="N1012" i="11" s="1"/>
  <c r="T1784" i="7"/>
  <c r="N1068" i="11" s="1"/>
  <c r="T1644" i="7"/>
  <c r="N928" i="11" s="1"/>
  <c r="T542" i="7"/>
  <c r="N542" i="10" s="1"/>
  <c r="T637" i="7"/>
  <c r="N637" i="10" s="1"/>
  <c r="G637" i="10"/>
  <c r="T346" i="7"/>
  <c r="N346" i="10" s="1"/>
  <c r="G346" i="10"/>
  <c r="H346" i="10" s="1"/>
  <c r="T396" i="7"/>
  <c r="N396" i="10" s="1"/>
  <c r="G396" i="10"/>
  <c r="H396" i="10" s="1"/>
  <c r="T458" i="7"/>
  <c r="N458" i="10" s="1"/>
  <c r="G458" i="10"/>
  <c r="H458" i="10" s="1"/>
  <c r="T167" i="7"/>
  <c r="N167" i="10" s="1"/>
  <c r="G167" i="10"/>
  <c r="H167" i="10" s="1"/>
  <c r="T1768" i="7"/>
  <c r="N1052" i="11" s="1"/>
  <c r="T572" i="7"/>
  <c r="N572" i="10" s="1"/>
  <c r="G572" i="10"/>
  <c r="T212" i="7"/>
  <c r="N212" i="10" s="1"/>
  <c r="G212" i="10"/>
  <c r="H212" i="10" s="1"/>
  <c r="T721" i="7"/>
  <c r="N5" i="11" s="1"/>
  <c r="T1663" i="7"/>
  <c r="N947" i="11" s="1"/>
  <c r="T217" i="7"/>
  <c r="N217" i="10" s="1"/>
  <c r="G217" i="10"/>
  <c r="H217" i="10" s="1"/>
  <c r="T393" i="7"/>
  <c r="N393" i="10" s="1"/>
  <c r="G393" i="10"/>
  <c r="H393" i="10" s="1"/>
  <c r="T132" i="7"/>
  <c r="N132" i="10" s="1"/>
  <c r="G132" i="10"/>
  <c r="H132" i="10" s="1"/>
  <c r="T1305" i="7"/>
  <c r="N589" i="11" s="1"/>
  <c r="T1739" i="7"/>
  <c r="N1023" i="11" s="1"/>
  <c r="T279" i="7"/>
  <c r="N279" i="10" s="1"/>
  <c r="G279" i="10"/>
  <c r="H279" i="10" s="1"/>
  <c r="T1778" i="7"/>
  <c r="N1062" i="11" s="1"/>
  <c r="T38" i="7"/>
  <c r="N38" i="10" s="1"/>
  <c r="G38" i="10"/>
  <c r="H38" i="10" s="1"/>
  <c r="T1231" i="7"/>
  <c r="N515" i="11" s="1"/>
  <c r="T214" i="7"/>
  <c r="N214" i="10" s="1"/>
  <c r="G214" i="10"/>
  <c r="H214" i="10" s="1"/>
  <c r="T410" i="7"/>
  <c r="N410" i="10" s="1"/>
  <c r="G410" i="10"/>
  <c r="H410" i="10" s="1"/>
  <c r="T231" i="7"/>
  <c r="N231" i="10" s="1"/>
  <c r="G231" i="10"/>
  <c r="H231" i="10" s="1"/>
  <c r="T402" i="7"/>
  <c r="N402" i="10" s="1"/>
  <c r="G402" i="10"/>
  <c r="H402" i="10" s="1"/>
  <c r="T581" i="7"/>
  <c r="N581" i="10" s="1"/>
  <c r="G581" i="10"/>
  <c r="T760" i="7"/>
  <c r="N44" i="11" s="1"/>
  <c r="T939" i="7"/>
  <c r="N223" i="11" s="1"/>
  <c r="T1118" i="7"/>
  <c r="N402" i="11" s="1"/>
  <c r="T1297" i="7"/>
  <c r="N581" i="11" s="1"/>
  <c r="T1476" i="7"/>
  <c r="N760" i="11" s="1"/>
  <c r="T1655" i="7"/>
  <c r="N939" i="11" s="1"/>
  <c r="T44" i="7"/>
  <c r="N44" i="10" s="1"/>
  <c r="G44" i="10"/>
  <c r="H44" i="10" s="1"/>
  <c r="T223" i="7"/>
  <c r="N223" i="10" s="1"/>
  <c r="G223" i="10"/>
  <c r="H223" i="10" s="1"/>
  <c r="T1767" i="7"/>
  <c r="N1051" i="11" s="1"/>
  <c r="T693" i="7"/>
  <c r="N693" i="10" s="1"/>
  <c r="G693" i="10"/>
  <c r="T872" i="7"/>
  <c r="N156" i="11" s="1"/>
  <c r="T1051" i="7"/>
  <c r="N335" i="11" s="1"/>
  <c r="T1230" i="7"/>
  <c r="N514" i="11" s="1"/>
  <c r="T1409" i="7"/>
  <c r="N693" i="11" s="1"/>
  <c r="T1588" i="7"/>
  <c r="N872" i="11" s="1"/>
  <c r="T514" i="7"/>
  <c r="N514" i="10" s="1"/>
  <c r="G514" i="10"/>
  <c r="H514" i="10" s="1"/>
  <c r="T335" i="7"/>
  <c r="N335" i="10" s="1"/>
  <c r="G335" i="10"/>
  <c r="H335" i="10" s="1"/>
  <c r="T1383" i="7"/>
  <c r="N667" i="11" s="1"/>
  <c r="T1741" i="7"/>
  <c r="N1025" i="11" s="1"/>
  <c r="T1562" i="7"/>
  <c r="N846" i="11" s="1"/>
  <c r="T130" i="7"/>
  <c r="N130" i="10" s="1"/>
  <c r="G130" i="10"/>
  <c r="H130" i="10" s="1"/>
  <c r="T309" i="7"/>
  <c r="N309" i="10" s="1"/>
  <c r="G309" i="10"/>
  <c r="H309" i="10" s="1"/>
  <c r="T488" i="7"/>
  <c r="N488" i="10" s="1"/>
  <c r="G488" i="10"/>
  <c r="H488" i="10" s="1"/>
  <c r="T667" i="7"/>
  <c r="N667" i="10" s="1"/>
  <c r="G667" i="10"/>
  <c r="T846" i="7"/>
  <c r="N130" i="11" s="1"/>
  <c r="T1025" i="7"/>
  <c r="N309" i="11" s="1"/>
  <c r="T1204" i="7"/>
  <c r="N488" i="11" s="1"/>
  <c r="T449" i="7"/>
  <c r="N449" i="10" s="1"/>
  <c r="G449" i="10"/>
  <c r="H449" i="10" s="1"/>
  <c r="T628" i="7"/>
  <c r="N628" i="10" s="1"/>
  <c r="G628" i="10"/>
  <c r="T807" i="7"/>
  <c r="N91" i="11" s="1"/>
  <c r="T986" i="7"/>
  <c r="N270" i="11" s="1"/>
  <c r="T1165" i="7"/>
  <c r="N449" i="11" s="1"/>
  <c r="T1344" i="7"/>
  <c r="N628" i="11" s="1"/>
  <c r="T1523" i="7"/>
  <c r="N807" i="11" s="1"/>
  <c r="T1702" i="7"/>
  <c r="N986" i="11" s="1"/>
  <c r="T91" i="7"/>
  <c r="N91" i="10" s="1"/>
  <c r="G91" i="10"/>
  <c r="H91" i="10" s="1"/>
  <c r="T270" i="7"/>
  <c r="N270" i="10" s="1"/>
  <c r="G270" i="10"/>
  <c r="H270" i="10" s="1"/>
  <c r="T1000" i="7"/>
  <c r="N284" i="11" s="1"/>
  <c r="T1179" i="7"/>
  <c r="N463" i="11" s="1"/>
  <c r="T1358" i="7"/>
  <c r="N642" i="11" s="1"/>
  <c r="T1537" i="7"/>
  <c r="N821" i="11" s="1"/>
  <c r="T1716" i="7"/>
  <c r="N1000" i="11" s="1"/>
  <c r="T105" i="7"/>
  <c r="N105" i="10" s="1"/>
  <c r="G105" i="10"/>
  <c r="H105" i="10" s="1"/>
  <c r="T463" i="7"/>
  <c r="N463" i="10" s="1"/>
  <c r="G463" i="10"/>
  <c r="H463" i="10" s="1"/>
  <c r="T284" i="7"/>
  <c r="N284" i="10" s="1"/>
  <c r="G284" i="10"/>
  <c r="H284" i="10" s="1"/>
  <c r="T642" i="7"/>
  <c r="N642" i="10" s="1"/>
  <c r="G642" i="10"/>
  <c r="T821" i="7"/>
  <c r="N105" i="11" s="1"/>
  <c r="T654" i="7"/>
  <c r="N654" i="10" s="1"/>
  <c r="G654" i="10"/>
  <c r="T833" i="7"/>
  <c r="N117" i="11" s="1"/>
  <c r="T1191" i="7"/>
  <c r="N475" i="11" s="1"/>
  <c r="T1560" i="7"/>
  <c r="N844" i="11" s="1"/>
  <c r="T100" i="7"/>
  <c r="N100" i="10" s="1"/>
  <c r="G100" i="10"/>
  <c r="H100" i="10" s="1"/>
  <c r="T1599" i="7"/>
  <c r="N883" i="11" s="1"/>
  <c r="T1410" i="7"/>
  <c r="N694" i="11" s="1"/>
  <c r="T1743" i="7"/>
  <c r="N1027" i="11" s="1"/>
  <c r="T472" i="7"/>
  <c r="N472" i="10" s="1"/>
  <c r="G472" i="10"/>
  <c r="H472" i="10" s="1"/>
  <c r="T651" i="7"/>
  <c r="N651" i="10" s="1"/>
  <c r="G651" i="10"/>
  <c r="T830" i="7"/>
  <c r="N114" i="11" s="1"/>
  <c r="T1009" i="7"/>
  <c r="N293" i="11" s="1"/>
  <c r="T1188" i="7"/>
  <c r="N472" i="11" s="1"/>
  <c r="T1367" i="7"/>
  <c r="N651" i="11" s="1"/>
  <c r="T1546" i="7"/>
  <c r="N830" i="11" s="1"/>
  <c r="T1725" i="7"/>
  <c r="N1009" i="11" s="1"/>
  <c r="T114" i="7"/>
  <c r="N114" i="10" s="1"/>
  <c r="G114" i="10"/>
  <c r="H114" i="10" s="1"/>
  <c r="T293" i="7"/>
  <c r="N293" i="10" s="1"/>
  <c r="G293" i="10"/>
  <c r="H293" i="10" s="1"/>
  <c r="T710" i="7"/>
  <c r="N710" i="10" s="1"/>
  <c r="G710" i="10"/>
  <c r="T889" i="7"/>
  <c r="N173" i="11" s="1"/>
  <c r="T1068" i="7"/>
  <c r="N352" i="11" s="1"/>
  <c r="T1247" i="7"/>
  <c r="N531" i="11" s="1"/>
  <c r="T1426" i="7"/>
  <c r="N710" i="11" s="1"/>
  <c r="T1605" i="7"/>
  <c r="N889" i="11" s="1"/>
  <c r="T352" i="7"/>
  <c r="N352" i="10" s="1"/>
  <c r="G352" i="10"/>
  <c r="T531" i="7"/>
  <c r="N531" i="10" s="1"/>
  <c r="G531" i="10"/>
  <c r="H531" i="10" s="1"/>
  <c r="T173" i="7"/>
  <c r="N173" i="10" s="1"/>
  <c r="G173" i="10"/>
  <c r="H173" i="10" s="1"/>
  <c r="T1161" i="7"/>
  <c r="N445" i="11" s="1"/>
  <c r="T1698" i="7"/>
  <c r="N982" i="11" s="1"/>
  <c r="T1519" i="7"/>
  <c r="N803" i="11" s="1"/>
  <c r="T87" i="7"/>
  <c r="N87" i="10" s="1"/>
  <c r="G87" i="10"/>
  <c r="H87" i="10" s="1"/>
  <c r="T266" i="7"/>
  <c r="N266" i="10" s="1"/>
  <c r="G266" i="10"/>
  <c r="H266" i="10" s="1"/>
  <c r="T445" i="7"/>
  <c r="N445" i="10" s="1"/>
  <c r="G445" i="10"/>
  <c r="H445" i="10" s="1"/>
  <c r="T624" i="7"/>
  <c r="N624" i="10" s="1"/>
  <c r="G624" i="10"/>
  <c r="T803" i="7"/>
  <c r="N87" i="11" s="1"/>
  <c r="T982" i="7"/>
  <c r="N266" i="11" s="1"/>
  <c r="T368" i="7"/>
  <c r="N368" i="10" s="1"/>
  <c r="G368" i="10"/>
  <c r="H368" i="10" s="1"/>
  <c r="T726" i="7"/>
  <c r="N10" i="11" s="1"/>
  <c r="T905" i="7"/>
  <c r="N189" i="11" s="1"/>
  <c r="T1084" i="7"/>
  <c r="N368" i="11" s="1"/>
  <c r="T1263" i="7"/>
  <c r="N547" i="11" s="1"/>
  <c r="T1442" i="7"/>
  <c r="N726" i="11" s="1"/>
  <c r="T1621" i="7"/>
  <c r="N905" i="11" s="1"/>
  <c r="T1056" i="7"/>
  <c r="N340" i="11" s="1"/>
  <c r="T1235" i="7"/>
  <c r="N519" i="11" s="1"/>
  <c r="T1414" i="7"/>
  <c r="N698" i="11" s="1"/>
  <c r="T1772" i="7"/>
  <c r="N1056" i="11" s="1"/>
  <c r="T161" i="7"/>
  <c r="N161" i="10" s="1"/>
  <c r="G161" i="10"/>
  <c r="H161" i="10" s="1"/>
  <c r="T519" i="7"/>
  <c r="N519" i="10" s="1"/>
  <c r="G519" i="10"/>
  <c r="H519" i="10" s="1"/>
  <c r="T340" i="7"/>
  <c r="N340" i="10" s="1"/>
  <c r="G340" i="10"/>
  <c r="H340" i="10" s="1"/>
  <c r="T698" i="7"/>
  <c r="N698" i="10" s="1"/>
  <c r="G698" i="10"/>
  <c r="T1202" i="7"/>
  <c r="N486" i="11" s="1"/>
  <c r="T486" i="7"/>
  <c r="N486" i="10" s="1"/>
  <c r="G486" i="10"/>
  <c r="H486" i="10" s="1"/>
  <c r="T844" i="7"/>
  <c r="N128" i="11" s="1"/>
  <c r="T1060" i="7"/>
  <c r="N344" i="11" s="1"/>
  <c r="T1418" i="7"/>
  <c r="N702" i="11" s="1"/>
  <c r="T1239" i="7"/>
  <c r="N523" i="11" s="1"/>
  <c r="T1776" i="7"/>
  <c r="N1060" i="11" s="1"/>
  <c r="T1597" i="7"/>
  <c r="N881" i="11" s="1"/>
  <c r="T165" i="7"/>
  <c r="N165" i="10" s="1"/>
  <c r="G165" i="10"/>
  <c r="H165" i="10" s="1"/>
  <c r="T344" i="7"/>
  <c r="N344" i="10" s="1"/>
  <c r="G344" i="10"/>
  <c r="H344" i="10" s="1"/>
  <c r="T523" i="7"/>
  <c r="N523" i="10" s="1"/>
  <c r="G523" i="10"/>
  <c r="H523" i="10" s="1"/>
  <c r="T702" i="7"/>
  <c r="N702" i="10" s="1"/>
  <c r="G702" i="10"/>
  <c r="T881" i="7"/>
  <c r="N165" i="11" s="1"/>
  <c r="T947" i="7"/>
  <c r="N231" i="11" s="1"/>
  <c r="T1370" i="7"/>
  <c r="N654" i="11" s="1"/>
  <c r="T1420" i="7"/>
  <c r="N704" i="11" s="1"/>
  <c r="T1649" i="7"/>
  <c r="N933" i="11" s="1"/>
  <c r="T768" i="7"/>
  <c r="N52" i="11" s="1"/>
  <c r="T1023" i="7"/>
  <c r="N307" i="11" s="1"/>
  <c r="T1012" i="7"/>
  <c r="N296" i="11" s="1"/>
  <c r="T1532" i="7"/>
  <c r="N816" i="11" s="1"/>
  <c r="T1241" i="7"/>
  <c r="N525" i="11" s="1"/>
  <c r="T1470" i="7"/>
  <c r="N754" i="11" s="1"/>
  <c r="T589" i="7"/>
  <c r="N589" i="10" s="1"/>
  <c r="G589" i="10"/>
  <c r="T475" i="7"/>
  <c r="N475" i="10" s="1"/>
  <c r="G475" i="10"/>
  <c r="H475" i="10" s="1"/>
  <c r="T1711" i="7"/>
  <c r="N995" i="11" s="1"/>
  <c r="T1062" i="7"/>
  <c r="N346" i="11" s="1"/>
  <c r="T1291" i="7"/>
  <c r="N575" i="11" s="1"/>
  <c r="T296" i="7"/>
  <c r="N296" i="10" s="1"/>
  <c r="G296" i="10"/>
  <c r="H296" i="10" s="1"/>
  <c r="T1353" i="7"/>
  <c r="N637" i="11" s="1"/>
  <c r="T883" i="7"/>
  <c r="N167" i="11" s="1"/>
  <c r="T933" i="7"/>
  <c r="N217" i="11" s="1"/>
  <c r="T307" i="7"/>
  <c r="N307" i="10" s="1"/>
  <c r="G307" i="10"/>
  <c r="T1174" i="7"/>
  <c r="N458" i="11" s="1"/>
  <c r="T704" i="7"/>
  <c r="N704" i="10" s="1"/>
  <c r="G704" i="10"/>
  <c r="T1112" i="7"/>
  <c r="N396" i="11" s="1"/>
  <c r="T128" i="7"/>
  <c r="N128" i="10" s="1"/>
  <c r="G128" i="10"/>
  <c r="H128" i="10" s="1"/>
  <c r="T117" i="7"/>
  <c r="N117" i="10" s="1"/>
  <c r="G117" i="10"/>
  <c r="H117" i="10" s="1"/>
  <c r="T995" i="7"/>
  <c r="N279" i="11" s="1"/>
  <c r="T525" i="7"/>
  <c r="N525" i="10" s="1"/>
  <c r="G525" i="10"/>
  <c r="H525" i="10" s="1"/>
  <c r="T754" i="7"/>
  <c r="N38" i="11" s="1"/>
  <c r="T575" i="7"/>
  <c r="N575" i="10" s="1"/>
  <c r="G575" i="10"/>
  <c r="T1312" i="7"/>
  <c r="N596" i="11" s="1"/>
  <c r="T1124" i="7"/>
  <c r="N408" i="11" s="1"/>
  <c r="T1166" i="7"/>
  <c r="N450" i="11" s="1"/>
  <c r="T1627" i="7"/>
  <c r="N911" i="11" s="1"/>
  <c r="T694" i="7"/>
  <c r="N694" i="10" s="1"/>
  <c r="G694" i="10"/>
  <c r="T1066" i="7"/>
  <c r="N350" i="11" s="1"/>
  <c r="T1338" i="7"/>
  <c r="N622" i="11" s="1"/>
  <c r="T1646" i="7"/>
  <c r="N930" i="11" s="1"/>
  <c r="T1316" i="7"/>
  <c r="N600" i="11" s="1"/>
  <c r="T604" i="7"/>
  <c r="N604" i="10" s="1"/>
  <c r="G604" i="10"/>
  <c r="T1479" i="7"/>
  <c r="N763" i="11" s="1"/>
  <c r="T1039" i="7"/>
  <c r="N323" i="11" s="1"/>
  <c r="T1327" i="7"/>
  <c r="N611" i="11" s="1"/>
  <c r="T1671" i="7"/>
  <c r="N955" i="11" s="1"/>
  <c r="T1492" i="7"/>
  <c r="N776" i="11" s="1"/>
  <c r="T60" i="7"/>
  <c r="N60" i="10" s="1"/>
  <c r="G60" i="10"/>
  <c r="H60" i="10" s="1"/>
  <c r="T418" i="7"/>
  <c r="N418" i="10" s="1"/>
  <c r="G418" i="10"/>
  <c r="H418" i="10" s="1"/>
  <c r="T239" i="7"/>
  <c r="N239" i="10" s="1"/>
  <c r="G239" i="10"/>
  <c r="H239" i="10" s="1"/>
  <c r="T597" i="7"/>
  <c r="N597" i="10" s="1"/>
  <c r="G597" i="10"/>
  <c r="T776" i="7"/>
  <c r="N60" i="11" s="1"/>
  <c r="T955" i="7"/>
  <c r="N239" i="11" s="1"/>
  <c r="T1134" i="7"/>
  <c r="N418" i="11" s="1"/>
  <c r="T1313" i="7"/>
  <c r="N597" i="11" s="1"/>
  <c r="T61" i="7"/>
  <c r="N61" i="10" s="1"/>
  <c r="G61" i="10"/>
  <c r="H61" i="10" s="1"/>
  <c r="T240" i="7"/>
  <c r="N240" i="10" s="1"/>
  <c r="G240" i="10"/>
  <c r="T419" i="7"/>
  <c r="N419" i="10" s="1"/>
  <c r="G419" i="10"/>
  <c r="H419" i="10" s="1"/>
  <c r="T598" i="7"/>
  <c r="N598" i="10" s="1"/>
  <c r="G598" i="10"/>
  <c r="T777" i="7"/>
  <c r="N61" i="11" s="1"/>
  <c r="T956" i="7"/>
  <c r="N240" i="11" s="1"/>
  <c r="T1135" i="7"/>
  <c r="N419" i="11" s="1"/>
  <c r="T1314" i="7"/>
  <c r="N598" i="11" s="1"/>
  <c r="T1493" i="7"/>
  <c r="N777" i="11" s="1"/>
  <c r="T1672" i="7"/>
  <c r="N956" i="11" s="1"/>
  <c r="T47" i="7"/>
  <c r="N47" i="10" s="1"/>
  <c r="G47" i="10"/>
  <c r="H47" i="10" s="1"/>
  <c r="T405" i="7"/>
  <c r="N405" i="10" s="1"/>
  <c r="G405" i="10"/>
  <c r="H405" i="10" s="1"/>
  <c r="T584" i="7"/>
  <c r="N584" i="10" s="1"/>
  <c r="G584" i="10"/>
  <c r="T1662" i="7"/>
  <c r="N946" i="11" s="1"/>
  <c r="T51" i="7"/>
  <c r="N51" i="10" s="1"/>
  <c r="G51" i="10"/>
  <c r="H51" i="10" s="1"/>
  <c r="T767" i="7"/>
  <c r="N51" i="11" s="1"/>
  <c r="T946" i="7"/>
  <c r="N230" i="11" s="1"/>
  <c r="T1125" i="7"/>
  <c r="N409" i="11" s="1"/>
  <c r="T482" i="7"/>
  <c r="N482" i="10" s="1"/>
  <c r="G482" i="10"/>
  <c r="H482" i="10" s="1"/>
  <c r="T661" i="7"/>
  <c r="N661" i="10" s="1"/>
  <c r="G661" i="10"/>
  <c r="T840" i="7"/>
  <c r="N124" i="11" s="1"/>
  <c r="T1019" i="7"/>
  <c r="N303" i="11" s="1"/>
  <c r="T1198" i="7"/>
  <c r="N482" i="11" s="1"/>
  <c r="T1377" i="7"/>
  <c r="N661" i="11" s="1"/>
  <c r="T1556" i="7"/>
  <c r="N840" i="11" s="1"/>
  <c r="T1735" i="7"/>
  <c r="N1019" i="11" s="1"/>
  <c r="T124" i="7"/>
  <c r="N124" i="10" s="1"/>
  <c r="G124" i="10"/>
  <c r="H124" i="10" s="1"/>
  <c r="T303" i="7"/>
  <c r="N303" i="10" s="1"/>
  <c r="G303" i="10"/>
  <c r="H303" i="10" s="1"/>
  <c r="T490" i="7"/>
  <c r="N490" i="10" s="1"/>
  <c r="G490" i="10"/>
  <c r="H490" i="10" s="1"/>
  <c r="T954" i="7"/>
  <c r="N238" i="11" s="1"/>
  <c r="T945" i="7"/>
  <c r="N229" i="11" s="1"/>
  <c r="T987" i="7"/>
  <c r="N271" i="11" s="1"/>
  <c r="T1448" i="7"/>
  <c r="N732" i="11" s="1"/>
  <c r="T336" i="7"/>
  <c r="N336" i="10" s="1"/>
  <c r="G336" i="10"/>
  <c r="H336" i="10" s="1"/>
  <c r="T887" i="7"/>
  <c r="N171" i="11" s="1"/>
  <c r="T1159" i="7"/>
  <c r="N443" i="11" s="1"/>
  <c r="T1467" i="7"/>
  <c r="N751" i="11" s="1"/>
  <c r="T1465" i="7"/>
  <c r="N749" i="11" s="1"/>
  <c r="T676" i="7"/>
  <c r="N676" i="10" s="1"/>
  <c r="G676" i="10"/>
  <c r="T1227" i="7"/>
  <c r="N511" i="11" s="1"/>
  <c r="T1137" i="7"/>
  <c r="N421" i="11" s="1"/>
  <c r="T860" i="7"/>
  <c r="N144" i="11" s="1"/>
  <c r="T1148" i="7"/>
  <c r="N432" i="11" s="1"/>
  <c r="T184" i="7"/>
  <c r="N184" i="10" s="1"/>
  <c r="G184" i="10"/>
  <c r="H184" i="10" s="1"/>
  <c r="T412" i="7"/>
  <c r="N412" i="10" s="1"/>
  <c r="G412" i="10"/>
  <c r="H412" i="10" s="1"/>
  <c r="T591" i="7"/>
  <c r="N591" i="10" s="1"/>
  <c r="G591" i="10"/>
  <c r="T770" i="7"/>
  <c r="N54" i="11" s="1"/>
  <c r="T1128" i="7"/>
  <c r="N412" i="11" s="1"/>
  <c r="T1307" i="7"/>
  <c r="N591" i="11" s="1"/>
  <c r="T1486" i="7"/>
  <c r="N770" i="11" s="1"/>
  <c r="T1665" i="7"/>
  <c r="N949" i="11" s="1"/>
  <c r="T54" i="7"/>
  <c r="N54" i="10" s="1"/>
  <c r="G54" i="10"/>
  <c r="H54" i="10" s="1"/>
  <c r="T233" i="7"/>
  <c r="N233" i="10" s="1"/>
  <c r="G233" i="10"/>
  <c r="H233" i="10" s="1"/>
  <c r="T28" i="7"/>
  <c r="N28" i="10" s="1"/>
  <c r="G28" i="10"/>
  <c r="H28" i="10" s="1"/>
  <c r="T386" i="7"/>
  <c r="N386" i="10" s="1"/>
  <c r="G386" i="10"/>
  <c r="H386" i="10" s="1"/>
  <c r="T565" i="7"/>
  <c r="N565" i="10" s="1"/>
  <c r="G565" i="10"/>
  <c r="T1102" i="7"/>
  <c r="N386" i="11" s="1"/>
  <c r="T1281" i="7"/>
  <c r="N565" i="11" s="1"/>
  <c r="T1460" i="7"/>
  <c r="N744" i="11" s="1"/>
  <c r="T1639" i="7"/>
  <c r="N923" i="11" s="1"/>
  <c r="T443" i="7"/>
  <c r="N443" i="10" s="1"/>
  <c r="G443" i="10"/>
  <c r="H443" i="10" s="1"/>
  <c r="T622" i="7"/>
  <c r="N622" i="10" s="1"/>
  <c r="G622" i="10"/>
  <c r="T801" i="7"/>
  <c r="N85" i="11" s="1"/>
  <c r="T980" i="7"/>
  <c r="N264" i="11" s="1"/>
  <c r="T931" i="7"/>
  <c r="N215" i="11" s="1"/>
  <c r="T1110" i="7"/>
  <c r="N394" i="11" s="1"/>
  <c r="T1289" i="7"/>
  <c r="N573" i="11" s="1"/>
  <c r="T1468" i="7"/>
  <c r="N752" i="11" s="1"/>
  <c r="T1647" i="7"/>
  <c r="N931" i="11" s="1"/>
  <c r="T36" i="7"/>
  <c r="N36" i="10" s="1"/>
  <c r="G36" i="10"/>
  <c r="H36" i="10" s="1"/>
  <c r="T215" i="7"/>
  <c r="N215" i="10" s="1"/>
  <c r="G215" i="10"/>
  <c r="H215" i="10" s="1"/>
  <c r="T394" i="7"/>
  <c r="N394" i="10" s="1"/>
  <c r="G394" i="10"/>
  <c r="H394" i="10" s="1"/>
  <c r="T573" i="7"/>
  <c r="N573" i="10" s="1"/>
  <c r="G573" i="10"/>
  <c r="T229" i="7"/>
  <c r="N229" i="10" s="1"/>
  <c r="G229" i="10"/>
  <c r="H229" i="10" s="1"/>
  <c r="T1303" i="7"/>
  <c r="N587" i="11" s="1"/>
  <c r="T1482" i="7"/>
  <c r="N766" i="11" s="1"/>
  <c r="T1661" i="7"/>
  <c r="N945" i="11" s="1"/>
  <c r="T50" i="7"/>
  <c r="N50" i="10" s="1"/>
  <c r="G50" i="10"/>
  <c r="H50" i="10" s="1"/>
  <c r="T1787" i="7"/>
  <c r="N1071" i="11" s="1"/>
  <c r="T176" i="7"/>
  <c r="N176" i="10" s="1"/>
  <c r="G176" i="10"/>
  <c r="H176" i="10" s="1"/>
  <c r="T355" i="7"/>
  <c r="N355" i="10" s="1"/>
  <c r="G355" i="10"/>
  <c r="H355" i="10" s="1"/>
  <c r="T534" i="7"/>
  <c r="N534" i="10" s="1"/>
  <c r="G534" i="10"/>
  <c r="H534" i="10" s="1"/>
  <c r="T713" i="7"/>
  <c r="N713" i="10" s="1"/>
  <c r="G713" i="10"/>
  <c r="T892" i="7"/>
  <c r="N176" i="11" s="1"/>
  <c r="T1250" i="7"/>
  <c r="N534" i="11" s="1"/>
  <c r="T1429" i="7"/>
  <c r="N713" i="11" s="1"/>
  <c r="T1608" i="7"/>
  <c r="N892" i="11" s="1"/>
  <c r="T684" i="7"/>
  <c r="N684" i="10" s="1"/>
  <c r="G684" i="10"/>
  <c r="T1042" i="7"/>
  <c r="N326" i="11" s="1"/>
  <c r="T1221" i="7"/>
  <c r="N505" i="11" s="1"/>
  <c r="T1400" i="7"/>
  <c r="N684" i="11" s="1"/>
  <c r="T1758" i="7"/>
  <c r="N1042" i="11" s="1"/>
  <c r="T1579" i="7"/>
  <c r="N863" i="11" s="1"/>
  <c r="T147" i="7"/>
  <c r="N147" i="10" s="1"/>
  <c r="G147" i="10"/>
  <c r="H147" i="10" s="1"/>
  <c r="T505" i="7"/>
  <c r="N505" i="10" s="1"/>
  <c r="G505" i="10"/>
  <c r="T1349" i="7"/>
  <c r="N633" i="11" s="1"/>
  <c r="T1170" i="7"/>
  <c r="N454" i="11" s="1"/>
  <c r="T1528" i="7"/>
  <c r="N812" i="11" s="1"/>
  <c r="T1707" i="7"/>
  <c r="N991" i="11" s="1"/>
  <c r="T96" i="7"/>
  <c r="N96" i="10" s="1"/>
  <c r="G96" i="10"/>
  <c r="H96" i="10" s="1"/>
  <c r="T454" i="7"/>
  <c r="N454" i="10" s="1"/>
  <c r="G454" i="10"/>
  <c r="H454" i="10" s="1"/>
  <c r="T275" i="7"/>
  <c r="N275" i="10" s="1"/>
  <c r="G275" i="10"/>
  <c r="H275" i="10" s="1"/>
  <c r="T633" i="7"/>
  <c r="N633" i="10" s="1"/>
  <c r="G633" i="10"/>
  <c r="T991" i="7"/>
  <c r="N275" i="11" s="1"/>
  <c r="T582" i="7"/>
  <c r="N582" i="10" s="1"/>
  <c r="G582" i="10"/>
  <c r="T1298" i="7"/>
  <c r="N582" i="11" s="1"/>
  <c r="T1656" i="7"/>
  <c r="N940" i="11" s="1"/>
  <c r="T45" i="7"/>
  <c r="N45" i="10" s="1"/>
  <c r="G45" i="10"/>
  <c r="H45" i="10" s="1"/>
  <c r="T224" i="7"/>
  <c r="N224" i="10" s="1"/>
  <c r="G224" i="10"/>
  <c r="H224" i="10" s="1"/>
  <c r="T403" i="7"/>
  <c r="N403" i="10" s="1"/>
  <c r="G403" i="10"/>
  <c r="H403" i="10" s="1"/>
  <c r="T761" i="7"/>
  <c r="N45" i="11" s="1"/>
  <c r="T1478" i="7"/>
  <c r="N762" i="11" s="1"/>
  <c r="T46" i="7"/>
  <c r="N46" i="10" s="1"/>
  <c r="G46" i="10"/>
  <c r="H46" i="10" s="1"/>
  <c r="T404" i="7"/>
  <c r="N404" i="10" s="1"/>
  <c r="G404" i="10"/>
  <c r="H404" i="10" s="1"/>
  <c r="T225" i="7"/>
  <c r="N225" i="10" s="1"/>
  <c r="G225" i="10"/>
  <c r="H225" i="10" s="1"/>
  <c r="T583" i="7"/>
  <c r="N583" i="10" s="1"/>
  <c r="G583" i="10"/>
  <c r="T762" i="7"/>
  <c r="N46" i="11" s="1"/>
  <c r="T941" i="7"/>
  <c r="N225" i="11" s="1"/>
  <c r="T1120" i="7"/>
  <c r="N404" i="11" s="1"/>
  <c r="T1299" i="7"/>
  <c r="N583" i="11" s="1"/>
  <c r="T1336" i="7"/>
  <c r="N620" i="11" s="1"/>
  <c r="T1515" i="7"/>
  <c r="N799" i="11" s="1"/>
  <c r="T1694" i="7"/>
  <c r="N978" i="11" s="1"/>
  <c r="T83" i="7"/>
  <c r="N83" i="10" s="1"/>
  <c r="G83" i="10"/>
  <c r="H83" i="10" s="1"/>
  <c r="T441" i="7"/>
  <c r="N441" i="10" s="1"/>
  <c r="G441" i="10"/>
  <c r="H441" i="10" s="1"/>
  <c r="T262" i="7"/>
  <c r="N262" i="10" s="1"/>
  <c r="G262" i="10"/>
  <c r="H262" i="10" s="1"/>
  <c r="T620" i="7"/>
  <c r="N620" i="10" s="1"/>
  <c r="G620" i="10"/>
  <c r="T799" i="7"/>
  <c r="N83" i="11" s="1"/>
  <c r="T978" i="7"/>
  <c r="N262" i="11" s="1"/>
  <c r="T600" i="7"/>
  <c r="N600" i="10" s="1"/>
  <c r="G600" i="10"/>
  <c r="T958" i="7"/>
  <c r="N242" i="11" s="1"/>
  <c r="T814" i="7"/>
  <c r="N98" i="11" s="1"/>
  <c r="T993" i="7"/>
  <c r="N277" i="11" s="1"/>
  <c r="T1172" i="7"/>
  <c r="N456" i="11" s="1"/>
  <c r="T1351" i="7"/>
  <c r="N635" i="11" s="1"/>
  <c r="T1530" i="7"/>
  <c r="N814" i="11" s="1"/>
  <c r="T1709" i="7"/>
  <c r="N993" i="11" s="1"/>
  <c r="T98" i="7"/>
  <c r="N98" i="10" s="1"/>
  <c r="G98" i="10"/>
  <c r="H98" i="10" s="1"/>
  <c r="T277" i="7"/>
  <c r="N277" i="10" s="1"/>
  <c r="G277" i="10"/>
  <c r="H277" i="10" s="1"/>
  <c r="T456" i="7"/>
  <c r="N456" i="10" s="1"/>
  <c r="G456" i="10"/>
  <c r="H456" i="10" s="1"/>
  <c r="T1451" i="7"/>
  <c r="N735" i="11" s="1"/>
  <c r="T1630" i="7"/>
  <c r="N914" i="11" s="1"/>
  <c r="T19" i="7"/>
  <c r="N19" i="10" s="1"/>
  <c r="G19" i="10"/>
  <c r="H19" i="10" s="1"/>
  <c r="T198" i="7"/>
  <c r="N198" i="10" s="1"/>
  <c r="G198" i="10"/>
  <c r="T377" i="7"/>
  <c r="N377" i="10" s="1"/>
  <c r="G377" i="10"/>
  <c r="T556" i="7"/>
  <c r="N556" i="10" s="1"/>
  <c r="G556" i="10"/>
  <c r="T735" i="7"/>
  <c r="N19" i="11" s="1"/>
  <c r="T1093" i="7"/>
  <c r="N377" i="11" s="1"/>
  <c r="T914" i="7"/>
  <c r="N198" i="11" s="1"/>
  <c r="T420" i="7"/>
  <c r="N420" i="10" s="1"/>
  <c r="G420" i="10"/>
  <c r="H420" i="10" s="1"/>
  <c r="T599" i="7"/>
  <c r="N599" i="10" s="1"/>
  <c r="G599" i="10"/>
  <c r="T778" i="7"/>
  <c r="N62" i="11" s="1"/>
  <c r="T1136" i="7"/>
  <c r="N420" i="11" s="1"/>
  <c r="T1315" i="7"/>
  <c r="N599" i="11" s="1"/>
  <c r="T1673" i="7"/>
  <c r="N957" i="11" s="1"/>
  <c r="T62" i="7"/>
  <c r="N62" i="10" s="1"/>
  <c r="G62" i="10"/>
  <c r="H62" i="10" s="1"/>
  <c r="T241" i="7"/>
  <c r="N241" i="10" s="1"/>
  <c r="G241" i="10"/>
  <c r="H241" i="10" s="1"/>
  <c r="T390" i="7"/>
  <c r="N390" i="10" s="1"/>
  <c r="G390" i="10"/>
  <c r="H390" i="10" s="1"/>
  <c r="T748" i="7"/>
  <c r="N32" i="11" s="1"/>
  <c r="T1133" i="7"/>
  <c r="N417" i="11" s="1"/>
  <c r="T1491" i="7"/>
  <c r="N775" i="11" s="1"/>
  <c r="T59" i="7"/>
  <c r="N59" i="10" s="1"/>
  <c r="G59" i="10"/>
  <c r="H59" i="10" s="1"/>
  <c r="T417" i="7"/>
  <c r="N417" i="10" s="1"/>
  <c r="G417" i="10"/>
  <c r="H417" i="10" s="1"/>
  <c r="T998" i="7"/>
  <c r="N282" i="11" s="1"/>
  <c r="T461" i="7"/>
  <c r="N461" i="10" s="1"/>
  <c r="G461" i="10"/>
  <c r="H461" i="10" s="1"/>
  <c r="T640" i="7"/>
  <c r="N640" i="10" s="1"/>
  <c r="G640" i="10"/>
  <c r="T819" i="7"/>
  <c r="N103" i="11" s="1"/>
  <c r="T1177" i="7"/>
  <c r="N461" i="11" s="1"/>
  <c r="T1356" i="7"/>
  <c r="N640" i="11" s="1"/>
  <c r="T1714" i="7"/>
  <c r="N998" i="11" s="1"/>
  <c r="T1535" i="7"/>
  <c r="N819" i="11" s="1"/>
  <c r="T103" i="7"/>
  <c r="N103" i="10" s="1"/>
  <c r="G103" i="10"/>
  <c r="H103" i="10" s="1"/>
  <c r="T1080" i="7"/>
  <c r="N364" i="11" s="1"/>
  <c r="T1438" i="7"/>
  <c r="N722" i="11" s="1"/>
  <c r="T185" i="7"/>
  <c r="N185" i="10" s="1"/>
  <c r="G185" i="10"/>
  <c r="T364" i="7"/>
  <c r="N364" i="10" s="1"/>
  <c r="G364" i="10"/>
  <c r="H364" i="10" s="1"/>
  <c r="T543" i="7"/>
  <c r="N543" i="10" s="1"/>
  <c r="G543" i="10"/>
  <c r="T722" i="7"/>
  <c r="N6" i="11" s="1"/>
  <c r="T609" i="7"/>
  <c r="N609" i="10" s="1"/>
  <c r="G609" i="10"/>
  <c r="T788" i="7"/>
  <c r="N72" i="11" s="1"/>
  <c r="T967" i="7"/>
  <c r="N251" i="11" s="1"/>
  <c r="T1146" i="7"/>
  <c r="N430" i="11" s="1"/>
  <c r="T1325" i="7"/>
  <c r="N609" i="11" s="1"/>
  <c r="T1504" i="7"/>
  <c r="N788" i="11" s="1"/>
  <c r="T1683" i="7"/>
  <c r="N967" i="11" s="1"/>
  <c r="T72" i="7"/>
  <c r="N72" i="10" s="1"/>
  <c r="G72" i="10"/>
  <c r="H72" i="10" s="1"/>
  <c r="T430" i="7"/>
  <c r="N430" i="10" s="1"/>
  <c r="G430" i="10"/>
  <c r="H430" i="10" s="1"/>
  <c r="T1754" i="7"/>
  <c r="N1038" i="11" s="1"/>
  <c r="T1396" i="7"/>
  <c r="N680" i="11" s="1"/>
  <c r="T1575" i="7"/>
  <c r="N859" i="11" s="1"/>
  <c r="T143" i="7"/>
  <c r="N143" i="10" s="1"/>
  <c r="G143" i="10"/>
  <c r="H143" i="10" s="1"/>
  <c r="T322" i="7"/>
  <c r="N322" i="10" s="1"/>
  <c r="G322" i="10"/>
  <c r="T501" i="7"/>
  <c r="N501" i="10" s="1"/>
  <c r="G501" i="10"/>
  <c r="H501" i="10" s="1"/>
  <c r="T680" i="7"/>
  <c r="N680" i="10" s="1"/>
  <c r="G680" i="10"/>
  <c r="T1038" i="7"/>
  <c r="N322" i="11" s="1"/>
  <c r="T1264" i="7"/>
  <c r="N548" i="11" s="1"/>
  <c r="T369" i="7"/>
  <c r="N369" i="10" s="1"/>
  <c r="G369" i="10"/>
  <c r="H369" i="10" s="1"/>
  <c r="T548" i="7"/>
  <c r="N548" i="10" s="1"/>
  <c r="G548" i="10"/>
  <c r="T1443" i="7"/>
  <c r="N727" i="11" s="1"/>
  <c r="T1622" i="7"/>
  <c r="N906" i="11" s="1"/>
  <c r="T190" i="7"/>
  <c r="N190" i="10" s="1"/>
  <c r="G190" i="10"/>
  <c r="H190" i="10" s="1"/>
  <c r="T708" i="7"/>
  <c r="N708" i="10" s="1"/>
  <c r="G708" i="10"/>
  <c r="T1286" i="7"/>
  <c r="N570" i="11" s="1"/>
  <c r="T497" i="7"/>
  <c r="N497" i="10" s="1"/>
  <c r="G497" i="10"/>
  <c r="H497" i="10" s="1"/>
  <c r="T1048" i="7"/>
  <c r="N332" i="11" s="1"/>
  <c r="T246" i="7"/>
  <c r="N246" i="10" s="1"/>
  <c r="G246" i="10"/>
  <c r="H246" i="10" s="1"/>
  <c r="T1300" i="7"/>
  <c r="N584" i="11" s="1"/>
  <c r="T681" i="7"/>
  <c r="N681" i="10" s="1"/>
  <c r="G681" i="10"/>
  <c r="T790" i="7"/>
  <c r="N74" i="11" s="1"/>
  <c r="T5" i="7"/>
  <c r="N5" i="10" s="1"/>
  <c r="G5" i="10"/>
  <c r="H5" i="10" s="1"/>
  <c r="T153" i="7"/>
  <c r="N153" i="10" s="1"/>
  <c r="G153" i="10"/>
  <c r="H153" i="10" s="1"/>
  <c r="T332" i="7"/>
  <c r="N332" i="10" s="1"/>
  <c r="G332" i="10"/>
  <c r="H332" i="10" s="1"/>
  <c r="T1626" i="7"/>
  <c r="N910" i="11" s="1"/>
  <c r="T15" i="7"/>
  <c r="N15" i="10" s="1"/>
  <c r="G15" i="10"/>
  <c r="H15" i="10" s="1"/>
  <c r="T194" i="7"/>
  <c r="N194" i="10" s="1"/>
  <c r="G194" i="10"/>
  <c r="H194" i="10" s="1"/>
  <c r="T373" i="7"/>
  <c r="N373" i="10" s="1"/>
  <c r="G373" i="10"/>
  <c r="H373" i="10" s="1"/>
  <c r="T552" i="7"/>
  <c r="N552" i="10" s="1"/>
  <c r="G552" i="10"/>
  <c r="T731" i="7"/>
  <c r="N15" i="11" s="1"/>
  <c r="T910" i="7"/>
  <c r="N194" i="11" s="1"/>
  <c r="T1089" i="7"/>
  <c r="N373" i="11" s="1"/>
  <c r="T1268" i="7"/>
  <c r="N552" i="11" s="1"/>
  <c r="T1447" i="7"/>
  <c r="N731" i="11" s="1"/>
  <c r="T835" i="7"/>
  <c r="N119" i="11" s="1"/>
  <c r="T1372" i="7"/>
  <c r="N656" i="11" s="1"/>
  <c r="T298" i="7"/>
  <c r="N298" i="10" s="1"/>
  <c r="G298" i="10"/>
  <c r="H298" i="10" s="1"/>
  <c r="T656" i="7"/>
  <c r="N656" i="10" s="1"/>
  <c r="G656" i="10"/>
  <c r="T1014" i="7"/>
  <c r="N298" i="11" s="1"/>
  <c r="T144" i="7"/>
  <c r="N144" i="10" s="1"/>
  <c r="G144" i="10"/>
  <c r="H144" i="10" s="1"/>
  <c r="T502" i="7"/>
  <c r="N502" i="10" s="1"/>
  <c r="G502" i="10"/>
  <c r="H502" i="10" s="1"/>
  <c r="T358" i="7"/>
  <c r="N358" i="10" s="1"/>
  <c r="G358" i="10"/>
  <c r="H358" i="10" s="1"/>
  <c r="T537" i="7"/>
  <c r="N537" i="10" s="1"/>
  <c r="G537" i="10"/>
  <c r="H537" i="10" s="1"/>
  <c r="T99" i="7"/>
  <c r="N99" i="10" s="1"/>
  <c r="G99" i="10"/>
  <c r="H99" i="10" s="1"/>
  <c r="T457" i="7"/>
  <c r="N457" i="10" s="1"/>
  <c r="G457" i="10"/>
  <c r="H457" i="10" s="1"/>
  <c r="T636" i="7"/>
  <c r="N636" i="10" s="1"/>
  <c r="G636" i="10"/>
  <c r="T815" i="7"/>
  <c r="N99" i="11" s="1"/>
  <c r="T1352" i="7"/>
  <c r="N636" i="11" s="1"/>
  <c r="T432" i="7"/>
  <c r="N432" i="10" s="1"/>
  <c r="G432" i="10"/>
  <c r="H432" i="10" s="1"/>
  <c r="T388" i="7"/>
  <c r="N388" i="10" s="1"/>
  <c r="G388" i="10"/>
  <c r="H388" i="10" s="1"/>
  <c r="T746" i="7"/>
  <c r="N30" i="11" s="1"/>
  <c r="T925" i="7"/>
  <c r="N209" i="11" s="1"/>
  <c r="T1283" i="7"/>
  <c r="N567" i="11" s="1"/>
  <c r="T1641" i="7"/>
  <c r="N925" i="11" s="1"/>
  <c r="T1462" i="7"/>
  <c r="N746" i="11" s="1"/>
  <c r="T1284" i="7"/>
  <c r="N568" i="11" s="1"/>
  <c r="T1463" i="7"/>
  <c r="N747" i="11" s="1"/>
  <c r="T1642" i="7"/>
  <c r="N926" i="11" s="1"/>
  <c r="T31" i="7"/>
  <c r="N31" i="10" s="1"/>
  <c r="G31" i="10"/>
  <c r="H31" i="10" s="1"/>
  <c r="T210" i="7"/>
  <c r="N210" i="10" s="1"/>
  <c r="G210" i="10"/>
  <c r="H210" i="10" s="1"/>
  <c r="T389" i="7"/>
  <c r="N389" i="10" s="1"/>
  <c r="G389" i="10"/>
  <c r="H389" i="10" s="1"/>
  <c r="T747" i="7"/>
  <c r="N31" i="11" s="1"/>
  <c r="T568" i="7"/>
  <c r="N568" i="10" s="1"/>
  <c r="G568" i="10"/>
  <c r="T926" i="7"/>
  <c r="N210" i="11" s="1"/>
  <c r="T1143" i="7"/>
  <c r="N427" i="11" s="1"/>
  <c r="T1322" i="7"/>
  <c r="N606" i="11" s="1"/>
  <c r="T1501" i="7"/>
  <c r="N785" i="11" s="1"/>
  <c r="T785" i="7"/>
  <c r="N69" i="11" s="1"/>
  <c r="T427" i="7"/>
  <c r="N427" i="10" s="1"/>
  <c r="G427" i="10"/>
  <c r="H427" i="10" s="1"/>
  <c r="T289" i="7"/>
  <c r="N289" i="10" s="1"/>
  <c r="G289" i="10"/>
  <c r="H289" i="10" s="1"/>
  <c r="T826" i="7"/>
  <c r="N110" i="11" s="1"/>
  <c r="T1005" i="7"/>
  <c r="N289" i="11" s="1"/>
  <c r="T1363" i="7"/>
  <c r="N647" i="11" s="1"/>
  <c r="T1542" i="7"/>
  <c r="N826" i="11" s="1"/>
  <c r="T1721" i="7"/>
  <c r="N1005" i="11" s="1"/>
  <c r="T259" i="7"/>
  <c r="N259" i="10" s="1"/>
  <c r="G259" i="10"/>
  <c r="H259" i="10" s="1"/>
  <c r="T975" i="7"/>
  <c r="N259" i="11" s="1"/>
  <c r="T1333" i="7"/>
  <c r="N617" i="11" s="1"/>
  <c r="T80" i="7"/>
  <c r="N80" i="10" s="1"/>
  <c r="G80" i="10"/>
  <c r="H80" i="10" s="1"/>
  <c r="T1512" i="7"/>
  <c r="N796" i="11" s="1"/>
  <c r="T617" i="7"/>
  <c r="N617" i="10" s="1"/>
  <c r="G617" i="10"/>
  <c r="T796" i="7"/>
  <c r="N80" i="11" s="1"/>
  <c r="T1154" i="7"/>
  <c r="N438" i="11" s="1"/>
  <c r="T1113" i="7"/>
  <c r="N397" i="11" s="1"/>
  <c r="T39" i="7"/>
  <c r="N39" i="10" s="1"/>
  <c r="G39" i="10"/>
  <c r="H39" i="10" s="1"/>
  <c r="T218" i="7"/>
  <c r="N218" i="10" s="1"/>
  <c r="G218" i="10"/>
  <c r="H218" i="10" s="1"/>
  <c r="T571" i="7"/>
  <c r="N571" i="10" s="1"/>
  <c r="G571" i="10"/>
  <c r="T750" i="7"/>
  <c r="N34" i="11" s="1"/>
  <c r="T1108" i="7"/>
  <c r="N392" i="11" s="1"/>
  <c r="T1466" i="7"/>
  <c r="N750" i="11" s="1"/>
  <c r="T929" i="7"/>
  <c r="N213" i="11" s="1"/>
  <c r="T34" i="7"/>
  <c r="N34" i="10" s="1"/>
  <c r="G34" i="10"/>
  <c r="H34" i="10" s="1"/>
  <c r="T213" i="7"/>
  <c r="N213" i="10" s="1"/>
  <c r="G213" i="10"/>
  <c r="H213" i="10" s="1"/>
  <c r="T1625" i="7"/>
  <c r="N909" i="11" s="1"/>
  <c r="T14" i="7"/>
  <c r="N14" i="10" s="1"/>
  <c r="G14" i="10"/>
  <c r="H14" i="10" s="1"/>
  <c r="T193" i="7"/>
  <c r="N193" i="10" s="1"/>
  <c r="G193" i="10"/>
  <c r="H193" i="10" s="1"/>
  <c r="T372" i="7"/>
  <c r="N372" i="10" s="1"/>
  <c r="G372" i="10"/>
  <c r="H372" i="10" s="1"/>
  <c r="T730" i="7"/>
  <c r="N14" i="11" s="1"/>
  <c r="T909" i="7"/>
  <c r="N193" i="11" s="1"/>
  <c r="T1088" i="7"/>
  <c r="N372" i="11" s="1"/>
  <c r="T1267" i="7"/>
  <c r="N551" i="11" s="1"/>
  <c r="T1446" i="7"/>
  <c r="N730" i="11" s="1"/>
  <c r="T1761" i="7"/>
  <c r="N1045" i="11" s="1"/>
  <c r="T1582" i="7"/>
  <c r="N866" i="11" s="1"/>
  <c r="T150" i="7"/>
  <c r="N150" i="10" s="1"/>
  <c r="G150" i="10"/>
  <c r="H150" i="10" s="1"/>
  <c r="T329" i="7"/>
  <c r="N329" i="10" s="1"/>
  <c r="G329" i="10"/>
  <c r="H329" i="10" s="1"/>
  <c r="T508" i="7"/>
  <c r="N508" i="10" s="1"/>
  <c r="G508" i="10"/>
  <c r="H508" i="10" s="1"/>
  <c r="T687" i="7"/>
  <c r="N687" i="10" s="1"/>
  <c r="G687" i="10"/>
  <c r="T866" i="7"/>
  <c r="N150" i="11" s="1"/>
  <c r="T1045" i="7"/>
  <c r="N329" i="11" s="1"/>
  <c r="T1224" i="7"/>
  <c r="N508" i="11" s="1"/>
  <c r="T820" i="7"/>
  <c r="N104" i="11" s="1"/>
  <c r="T1357" i="7"/>
  <c r="N641" i="11" s="1"/>
  <c r="T1715" i="7"/>
  <c r="N999" i="11" s="1"/>
  <c r="T104" i="7"/>
  <c r="N104" i="10" s="1"/>
  <c r="G104" i="10"/>
  <c r="H104" i="10" s="1"/>
  <c r="T283" i="7"/>
  <c r="N283" i="10" s="1"/>
  <c r="G283" i="10"/>
  <c r="H283" i="10" s="1"/>
  <c r="T462" i="7"/>
  <c r="N462" i="10" s="1"/>
  <c r="G462" i="10"/>
  <c r="H462" i="10" s="1"/>
  <c r="T641" i="7"/>
  <c r="N641" i="10" s="1"/>
  <c r="G641" i="10"/>
  <c r="T401" i="7"/>
  <c r="N401" i="10" s="1"/>
  <c r="G401" i="10"/>
  <c r="H401" i="10" s="1"/>
  <c r="T759" i="7"/>
  <c r="N43" i="11" s="1"/>
  <c r="T1296" i="7"/>
  <c r="N580" i="11" s="1"/>
  <c r="T1475" i="7"/>
  <c r="N759" i="11" s="1"/>
  <c r="T1779" i="7"/>
  <c r="N1063" i="11" s="1"/>
  <c r="T168" i="7"/>
  <c r="N168" i="10" s="1"/>
  <c r="G168" i="10"/>
  <c r="T526" i="7"/>
  <c r="N526" i="10" s="1"/>
  <c r="G526" i="10"/>
  <c r="H526" i="10" s="1"/>
  <c r="T705" i="7"/>
  <c r="N705" i="10" s="1"/>
  <c r="G705" i="10"/>
  <c r="T1063" i="7"/>
  <c r="N347" i="11" s="1"/>
  <c r="T1783" i="7"/>
  <c r="N1067" i="11" s="1"/>
  <c r="T888" i="7"/>
  <c r="N172" i="11" s="1"/>
  <c r="T1425" i="7"/>
  <c r="N709" i="11" s="1"/>
  <c r="T1245" i="7"/>
  <c r="N529" i="11" s="1"/>
  <c r="T171" i="7"/>
  <c r="N171" i="10" s="1"/>
  <c r="G171" i="10"/>
  <c r="H171" i="10" s="1"/>
  <c r="T350" i="7"/>
  <c r="N350" i="10" s="1"/>
  <c r="G350" i="10"/>
  <c r="H350" i="10" s="1"/>
  <c r="T1167" i="7"/>
  <c r="N451" i="11" s="1"/>
  <c r="T1346" i="7"/>
  <c r="N630" i="11" s="1"/>
  <c r="T1525" i="7"/>
  <c r="N809" i="11" s="1"/>
  <c r="T1704" i="7"/>
  <c r="N988" i="11" s="1"/>
  <c r="T272" i="7"/>
  <c r="N272" i="10" s="1"/>
  <c r="G272" i="10"/>
  <c r="H272" i="10" s="1"/>
  <c r="T452" i="7"/>
  <c r="N452" i="10" s="1"/>
  <c r="G452" i="10"/>
  <c r="H452" i="10" s="1"/>
  <c r="T273" i="7"/>
  <c r="N273" i="10" s="1"/>
  <c r="G273" i="10"/>
  <c r="H273" i="10" s="1"/>
  <c r="T631" i="7"/>
  <c r="N631" i="10" s="1"/>
  <c r="G631" i="10"/>
  <c r="T612" i="7"/>
  <c r="N612" i="10" s="1"/>
  <c r="G612" i="10"/>
  <c r="T791" i="7"/>
  <c r="N75" i="11" s="1"/>
  <c r="T1149" i="7"/>
  <c r="N433" i="11" s="1"/>
  <c r="T1686" i="7"/>
  <c r="N970" i="11" s="1"/>
  <c r="T433" i="7"/>
  <c r="N433" i="10" s="1"/>
  <c r="G433" i="10"/>
  <c r="H433" i="10" s="1"/>
  <c r="T593" i="7"/>
  <c r="N593" i="10" s="1"/>
  <c r="G593" i="10"/>
  <c r="T1568" i="7"/>
  <c r="N852" i="11" s="1"/>
  <c r="T673" i="7"/>
  <c r="N673" i="10" s="1"/>
  <c r="G673" i="10"/>
  <c r="T1389" i="7"/>
  <c r="N673" i="11" s="1"/>
  <c r="T1252" i="7"/>
  <c r="N536" i="11" s="1"/>
  <c r="T1431" i="7"/>
  <c r="N715" i="11" s="1"/>
  <c r="T1789" i="7"/>
  <c r="N1073" i="11" s="1"/>
  <c r="T715" i="7"/>
  <c r="N715" i="10" s="1"/>
  <c r="G715" i="10"/>
  <c r="T1073" i="7"/>
  <c r="N357" i="11" s="1"/>
  <c r="T894" i="7"/>
  <c r="N178" i="11" s="1"/>
  <c r="T1610" i="7"/>
  <c r="N894" i="11" s="1"/>
  <c r="T178" i="7"/>
  <c r="N178" i="10" s="1"/>
  <c r="G178" i="10"/>
  <c r="H178" i="10" s="1"/>
  <c r="T357" i="7"/>
  <c r="N357" i="10" s="1"/>
  <c r="G357" i="10"/>
  <c r="H357" i="10" s="1"/>
  <c r="T1571" i="7"/>
  <c r="N855" i="11" s="1"/>
  <c r="T1750" i="7"/>
  <c r="N1034" i="11" s="1"/>
  <c r="T1259" i="7"/>
  <c r="N543" i="11" s="1"/>
  <c r="T1509" i="7"/>
  <c r="N793" i="11" s="1"/>
  <c r="T1393" i="7"/>
  <c r="N677" i="11" s="1"/>
  <c r="T1214" i="7"/>
  <c r="N498" i="11" s="1"/>
  <c r="T677" i="7"/>
  <c r="N677" i="10" s="1"/>
  <c r="G677" i="10"/>
  <c r="T413" i="7"/>
  <c r="N413" i="10" s="1"/>
  <c r="G413" i="10"/>
  <c r="H413" i="10" s="1"/>
  <c r="T592" i="7"/>
  <c r="N592" i="10" s="1"/>
  <c r="G592" i="10"/>
  <c r="T950" i="7"/>
  <c r="N234" i="11" s="1"/>
  <c r="T1129" i="7"/>
  <c r="N413" i="11" s="1"/>
  <c r="T1308" i="7"/>
  <c r="N592" i="11" s="1"/>
  <c r="T1487" i="7"/>
  <c r="N771" i="11" s="1"/>
  <c r="T513" i="7"/>
  <c r="N513" i="10" s="1"/>
  <c r="G513" i="10"/>
  <c r="H513" i="10" s="1"/>
  <c r="T1458" i="7"/>
  <c r="N742" i="11" s="1"/>
  <c r="T1100" i="7"/>
  <c r="N384" i="11" s="1"/>
  <c r="T1699" i="7"/>
  <c r="N983" i="11" s="1"/>
  <c r="T983" i="7"/>
  <c r="N267" i="11" s="1"/>
  <c r="T1197" i="7"/>
  <c r="N481" i="11" s="1"/>
  <c r="T1734" i="7"/>
  <c r="N1018" i="11" s="1"/>
  <c r="T123" i="7"/>
  <c r="N123" i="10" s="1"/>
  <c r="G123" i="10"/>
  <c r="H123" i="10" s="1"/>
  <c r="T169" i="7"/>
  <c r="N169" i="10" s="1"/>
  <c r="G169" i="10"/>
  <c r="H169" i="10" s="1"/>
  <c r="T371" i="7"/>
  <c r="N371" i="10" s="1"/>
  <c r="G371" i="10"/>
  <c r="H371" i="10" s="1"/>
  <c r="T448" i="7"/>
  <c r="N448" i="10" s="1"/>
  <c r="G448" i="10"/>
  <c r="H448" i="10" s="1"/>
  <c r="T1497" i="7"/>
  <c r="N781" i="11" s="1"/>
  <c r="T295" i="7"/>
  <c r="N295" i="10" s="1"/>
  <c r="G295" i="10"/>
  <c r="H295" i="10" s="1"/>
  <c r="T1011" i="7"/>
  <c r="N295" i="11" s="1"/>
  <c r="T1339" i="7"/>
  <c r="N623" i="11" s="1"/>
  <c r="T674" i="7"/>
  <c r="N674" i="10" s="1"/>
  <c r="G674" i="10"/>
  <c r="T901" i="7"/>
  <c r="N185" i="11" s="1"/>
  <c r="T6" i="7"/>
  <c r="N6" i="10" s="1"/>
  <c r="G6" i="10"/>
  <c r="H6" i="10" s="1"/>
  <c r="T1617" i="7"/>
  <c r="N901" i="11" s="1"/>
  <c r="F600" i="10"/>
  <c r="F611" i="10"/>
  <c r="H611" i="10" s="1"/>
  <c r="F673" i="10"/>
  <c r="F660" i="10"/>
  <c r="H660" i="10" s="1"/>
  <c r="F680" i="10"/>
  <c r="F710" i="10"/>
  <c r="F557" i="10"/>
  <c r="F698" i="10"/>
  <c r="F565" i="10"/>
  <c r="F665" i="10"/>
  <c r="H665" i="10" s="1"/>
  <c r="F599" i="10"/>
  <c r="F654" i="10"/>
  <c r="F547" i="10"/>
  <c r="H547" i="10" s="1"/>
  <c r="F591" i="10"/>
  <c r="F624" i="10"/>
  <c r="F556" i="10"/>
  <c r="T376" i="7"/>
  <c r="N376" i="10" s="1"/>
  <c r="T1450" i="7"/>
  <c r="N734" i="11" s="1"/>
  <c r="T18" i="7"/>
  <c r="N18" i="10" s="1"/>
  <c r="T734" i="7"/>
  <c r="N18" i="11" s="1"/>
  <c r="T1092" i="7"/>
  <c r="N376" i="11" s="1"/>
  <c r="T913" i="7"/>
  <c r="N197" i="11" s="1"/>
  <c r="T1271" i="7"/>
  <c r="N555" i="11" s="1"/>
  <c r="T1629" i="7"/>
  <c r="N913" i="11" s="1"/>
  <c r="T197" i="7"/>
  <c r="N197" i="10" s="1"/>
  <c r="T555" i="7"/>
  <c r="N555" i="10" s="1"/>
  <c r="T1091" i="7"/>
  <c r="N375" i="11" s="1"/>
  <c r="T912" i="7"/>
  <c r="N196" i="11" s="1"/>
  <c r="T733" i="7"/>
  <c r="N17" i="11" s="1"/>
  <c r="T375" i="7"/>
  <c r="N375" i="10" s="1"/>
  <c r="G375" i="10"/>
  <c r="H375" i="10" s="1"/>
  <c r="T17" i="7"/>
  <c r="N17" i="10" s="1"/>
  <c r="G17" i="10"/>
  <c r="H17" i="10" s="1"/>
  <c r="T916" i="7"/>
  <c r="N200" i="11" s="1"/>
  <c r="T554" i="7"/>
  <c r="N554" i="10" s="1"/>
  <c r="G554" i="10"/>
  <c r="T1273" i="7"/>
  <c r="N557" i="11" s="1"/>
  <c r="T558" i="7"/>
  <c r="N558" i="10" s="1"/>
  <c r="G558" i="10"/>
  <c r="T737" i="7"/>
  <c r="N21" i="11" s="1"/>
  <c r="T199" i="7"/>
  <c r="N199" i="10" s="1"/>
  <c r="G199" i="10"/>
  <c r="H199" i="10" s="1"/>
  <c r="T378" i="7"/>
  <c r="N378" i="10" s="1"/>
  <c r="G378" i="10"/>
  <c r="T557" i="7"/>
  <c r="N557" i="10" s="1"/>
  <c r="G557" i="10"/>
  <c r="Q7" i="14"/>
  <c r="P8" i="14"/>
  <c r="P9" i="14" s="1"/>
  <c r="P10" i="14" s="1"/>
  <c r="P11" i="14" s="1"/>
  <c r="P12" i="14" s="1"/>
  <c r="P13" i="14" s="1"/>
  <c r="P14" i="14" s="1"/>
  <c r="P15" i="14" s="1"/>
  <c r="P16" i="14" s="1"/>
  <c r="P17" i="14" s="1"/>
  <c r="P18" i="14" s="1"/>
  <c r="P19" i="14" s="1"/>
  <c r="P20" i="14" s="1"/>
  <c r="P21" i="14" s="1"/>
  <c r="P22" i="14" s="1"/>
  <c r="P23" i="14" s="1"/>
  <c r="P24" i="14" s="1"/>
  <c r="P25" i="14" s="1"/>
  <c r="P26" i="14" s="1"/>
  <c r="P27" i="14" s="1"/>
  <c r="P28" i="14" s="1"/>
  <c r="P29" i="14" s="1"/>
  <c r="P30" i="14" s="1"/>
  <c r="P31" i="14" s="1"/>
  <c r="P32" i="14" s="1"/>
  <c r="P33" i="14" s="1"/>
  <c r="P34" i="14" s="1"/>
  <c r="P35" i="14" s="1"/>
  <c r="P36" i="14" s="1"/>
  <c r="P37" i="14" s="1"/>
  <c r="P38" i="14" s="1"/>
  <c r="P39" i="14" s="1"/>
  <c r="P40" i="14" s="1"/>
  <c r="P41" i="14" s="1"/>
  <c r="P42" i="14" s="1"/>
  <c r="P43" i="14" s="1"/>
  <c r="P44" i="14" s="1"/>
  <c r="P45" i="14" s="1"/>
  <c r="P46" i="14" s="1"/>
  <c r="P47" i="14" s="1"/>
  <c r="P48" i="14" s="1"/>
  <c r="P49" i="14" s="1"/>
  <c r="P50" i="14" s="1"/>
  <c r="P51" i="14" s="1"/>
  <c r="P52" i="14" s="1"/>
  <c r="P53" i="14" s="1"/>
  <c r="P54" i="14" s="1"/>
  <c r="P55" i="14" s="1"/>
  <c r="P56" i="14" s="1"/>
  <c r="P57" i="14" s="1"/>
  <c r="P58" i="14" s="1"/>
  <c r="P59" i="14" s="1"/>
  <c r="P60" i="14" s="1"/>
  <c r="P61" i="14" s="1"/>
  <c r="P62" i="14" s="1"/>
  <c r="P63" i="14" s="1"/>
  <c r="P64" i="14" s="1"/>
  <c r="P65" i="14" s="1"/>
  <c r="P66" i="14" s="1"/>
  <c r="P67" i="14" s="1"/>
  <c r="P68" i="14" s="1"/>
  <c r="P69" i="14" s="1"/>
  <c r="P70" i="14" s="1"/>
  <c r="P71" i="14" s="1"/>
  <c r="P72" i="14" s="1"/>
  <c r="P73" i="14" s="1"/>
  <c r="P74" i="14" s="1"/>
  <c r="P75" i="14" s="1"/>
  <c r="P76" i="14" s="1"/>
  <c r="P77" i="14" s="1"/>
  <c r="P78" i="14" s="1"/>
  <c r="P79" i="14" s="1"/>
  <c r="P80" i="14" s="1"/>
  <c r="P81" i="14" s="1"/>
  <c r="P82" i="14" s="1"/>
  <c r="P83" i="14" s="1"/>
  <c r="P84" i="14" s="1"/>
  <c r="P85" i="14" s="1"/>
  <c r="P86" i="14" s="1"/>
  <c r="P87" i="14" s="1"/>
  <c r="P88" i="14" s="1"/>
  <c r="P89" i="14" s="1"/>
  <c r="P90" i="14" s="1"/>
  <c r="P91" i="14" s="1"/>
  <c r="P92" i="14" s="1"/>
  <c r="P93" i="14" s="1"/>
  <c r="P94" i="14" s="1"/>
  <c r="P95" i="14" s="1"/>
  <c r="P96" i="14" s="1"/>
  <c r="P97" i="14" s="1"/>
  <c r="P98" i="14" s="1"/>
  <c r="P99" i="14" s="1"/>
  <c r="P100" i="14" s="1"/>
  <c r="P101" i="14" s="1"/>
  <c r="P102" i="14" s="1"/>
  <c r="P103" i="14" s="1"/>
  <c r="P104" i="14" s="1"/>
  <c r="P105" i="14" s="1"/>
  <c r="P106" i="14" s="1"/>
  <c r="P107" i="14" s="1"/>
  <c r="P108" i="14" s="1"/>
  <c r="P109" i="14" s="1"/>
  <c r="P110" i="14" s="1"/>
  <c r="P111" i="14" s="1"/>
  <c r="P112" i="14" s="1"/>
  <c r="P113" i="14" s="1"/>
  <c r="P114" i="14" s="1"/>
  <c r="P115" i="14" s="1"/>
  <c r="P116" i="14" s="1"/>
  <c r="P117" i="14" s="1"/>
  <c r="P118" i="14" s="1"/>
  <c r="P119" i="14" s="1"/>
  <c r="P120" i="14" s="1"/>
  <c r="P121" i="14" s="1"/>
  <c r="P122" i="14" s="1"/>
  <c r="P123" i="14" s="1"/>
  <c r="P124" i="14" s="1"/>
  <c r="P125" i="14" s="1"/>
  <c r="P126" i="14" s="1"/>
  <c r="P127" i="14" s="1"/>
  <c r="P128" i="14" s="1"/>
  <c r="P129" i="14" s="1"/>
  <c r="P130" i="14" s="1"/>
  <c r="P131" i="14" s="1"/>
  <c r="P132" i="14" s="1"/>
  <c r="P133" i="14" s="1"/>
  <c r="P134" i="14" s="1"/>
  <c r="P135" i="14" s="1"/>
  <c r="P136" i="14" s="1"/>
  <c r="P137" i="14" s="1"/>
  <c r="P138" i="14" s="1"/>
  <c r="P139" i="14" s="1"/>
  <c r="P140" i="14" s="1"/>
  <c r="P141" i="14" s="1"/>
  <c r="P142" i="14" s="1"/>
  <c r="P143" i="14" s="1"/>
  <c r="P144" i="14" s="1"/>
  <c r="P145" i="14" s="1"/>
  <c r="P146" i="14" s="1"/>
  <c r="P147" i="14" s="1"/>
  <c r="P148" i="14" s="1"/>
  <c r="P149" i="14" s="1"/>
  <c r="P150" i="14" s="1"/>
  <c r="P151" i="14" s="1"/>
  <c r="P152" i="14" s="1"/>
  <c r="P153" i="14" s="1"/>
  <c r="P154" i="14" s="1"/>
  <c r="P155" i="14" s="1"/>
  <c r="P156" i="14" s="1"/>
  <c r="P157" i="14" s="1"/>
  <c r="P158" i="14" s="1"/>
  <c r="P159" i="14" s="1"/>
  <c r="P160" i="14" s="1"/>
  <c r="P161" i="14" s="1"/>
  <c r="P162" i="14" s="1"/>
  <c r="P163" i="14" s="1"/>
  <c r="P164" i="14" s="1"/>
  <c r="P165" i="14" s="1"/>
  <c r="P166" i="14" s="1"/>
  <c r="P167" i="14" s="1"/>
  <c r="P168" i="14" s="1"/>
  <c r="P169" i="14" s="1"/>
  <c r="P170" i="14" s="1"/>
  <c r="P171" i="14" s="1"/>
  <c r="P172" i="14" s="1"/>
  <c r="P173" i="14" s="1"/>
  <c r="P174" i="14" s="1"/>
  <c r="P175" i="14" s="1"/>
  <c r="P176" i="14" s="1"/>
  <c r="P177" i="14" s="1"/>
  <c r="P178" i="14" s="1"/>
  <c r="P179" i="14" s="1"/>
  <c r="P180" i="14" s="1"/>
  <c r="P181" i="14" s="1"/>
  <c r="P182" i="14" s="1"/>
  <c r="P183" i="14" s="1"/>
  <c r="P184" i="14" s="1"/>
  <c r="P185" i="14" s="1"/>
  <c r="P186" i="14" s="1"/>
  <c r="P187" i="14" s="1"/>
  <c r="P188" i="14" s="1"/>
  <c r="P189" i="14" s="1"/>
  <c r="P190" i="14" s="1"/>
  <c r="P191" i="14" s="1"/>
  <c r="P192" i="14" s="1"/>
  <c r="P193" i="14" s="1"/>
  <c r="P194" i="14" s="1"/>
  <c r="P195" i="14" s="1"/>
  <c r="P196" i="14" s="1"/>
  <c r="P197" i="14" s="1"/>
  <c r="P198" i="14" s="1"/>
  <c r="P199" i="14" s="1"/>
  <c r="P200" i="14" s="1"/>
  <c r="P201" i="14" s="1"/>
  <c r="P202" i="14" s="1"/>
  <c r="P203" i="14" s="1"/>
  <c r="P204" i="14" s="1"/>
  <c r="P205" i="14" s="1"/>
  <c r="P206" i="14" s="1"/>
  <c r="T546" i="7"/>
  <c r="N546" i="10" s="1"/>
  <c r="G546" i="10"/>
  <c r="T725" i="7"/>
  <c r="N9" i="11" s="1"/>
  <c r="T1083" i="7"/>
  <c r="N367" i="11" s="1"/>
  <c r="T367" i="7"/>
  <c r="N367" i="10" s="1"/>
  <c r="G367" i="10"/>
  <c r="H367" i="10" s="1"/>
  <c r="T188" i="7"/>
  <c r="N188" i="10" s="1"/>
  <c r="G188" i="10"/>
  <c r="H188" i="10" s="1"/>
  <c r="T1262" i="7"/>
  <c r="N546" i="11" s="1"/>
  <c r="T9" i="7"/>
  <c r="N9" i="10" s="1"/>
  <c r="T1441" i="7"/>
  <c r="N725" i="11" s="1"/>
  <c r="T904" i="7"/>
  <c r="N188" i="11" s="1"/>
  <c r="T1620" i="7"/>
  <c r="N904" i="11" s="1"/>
  <c r="T366" i="7"/>
  <c r="N366" i="10" s="1"/>
  <c r="T903" i="7"/>
  <c r="N187" i="11" s="1"/>
  <c r="T8" i="7"/>
  <c r="N8" i="10" s="1"/>
  <c r="T545" i="7"/>
  <c r="N545" i="10" s="1"/>
  <c r="T187" i="7"/>
  <c r="N187" i="10" s="1"/>
  <c r="T1261" i="7"/>
  <c r="N545" i="11" s="1"/>
  <c r="T1082" i="7"/>
  <c r="N366" i="11" s="1"/>
  <c r="T1440" i="7"/>
  <c r="N724" i="11" s="1"/>
  <c r="T1619" i="7"/>
  <c r="N903" i="11" s="1"/>
  <c r="T724" i="7"/>
  <c r="N8" i="11" s="1"/>
  <c r="H9" i="14"/>
  <c r="I9" i="14" s="1"/>
  <c r="H10" i="14"/>
  <c r="I10" i="14" s="1"/>
  <c r="Q9" i="14"/>
  <c r="H8" i="14"/>
  <c r="I8" i="14" s="1"/>
  <c r="I22" i="9"/>
  <c r="K22" i="9" s="1"/>
  <c r="R20" i="9"/>
  <c r="T20" i="9" s="1"/>
  <c r="I19" i="9"/>
  <c r="K19" i="9" s="1"/>
  <c r="I23" i="9"/>
  <c r="K23" i="9" s="1"/>
  <c r="L20" i="9"/>
  <c r="N20" i="9" s="1"/>
  <c r="L23" i="9"/>
  <c r="N23" i="9" s="1"/>
  <c r="I20" i="9"/>
  <c r="K20" i="9" s="1"/>
  <c r="M5" i="12"/>
  <c r="G16" i="12"/>
  <c r="D10" i="12"/>
  <c r="L15" i="12"/>
  <c r="M12" i="12"/>
  <c r="O13" i="12"/>
  <c r="L10" i="12"/>
  <c r="D12" i="12"/>
  <c r="F11" i="12"/>
  <c r="O12" i="12"/>
  <c r="L16" i="12"/>
  <c r="O10" i="12"/>
  <c r="P12" i="12"/>
  <c r="K14" i="12"/>
  <c r="F9" i="12"/>
  <c r="H6" i="12"/>
  <c r="F5" i="12"/>
  <c r="P10" i="12"/>
  <c r="L5" i="15"/>
  <c r="N11" i="12"/>
  <c r="P14" i="12"/>
  <c r="J9" i="15"/>
  <c r="L10" i="15"/>
  <c r="J4" i="15"/>
  <c r="E12" i="12"/>
  <c r="H15" i="12"/>
  <c r="J12" i="12"/>
  <c r="J8" i="15"/>
  <c r="J9" i="12"/>
  <c r="L12" i="12"/>
  <c r="I15" i="12"/>
  <c r="Q5" i="12"/>
  <c r="C15" i="12"/>
  <c r="D14" i="12"/>
  <c r="K16" i="12"/>
  <c r="E13" i="12"/>
  <c r="F10" i="12"/>
  <c r="O9" i="12"/>
  <c r="I11" i="12"/>
  <c r="D5" i="12"/>
  <c r="K6" i="12"/>
  <c r="F13" i="12"/>
  <c r="R24" i="9"/>
  <c r="T24" i="9" s="1"/>
  <c r="T1436" i="7"/>
  <c r="N720" i="11" s="1"/>
  <c r="H1436" i="7"/>
  <c r="E1437" i="7" s="1"/>
  <c r="H1078" i="7"/>
  <c r="E1079" i="7" s="1"/>
  <c r="T1078" i="7"/>
  <c r="N362" i="11" s="1"/>
  <c r="T1615" i="7"/>
  <c r="N899" i="11" s="1"/>
  <c r="H1615" i="7"/>
  <c r="E1616" i="7" s="1"/>
  <c r="H4" i="7"/>
  <c r="E5" i="7" s="1"/>
  <c r="T4" i="7"/>
  <c r="T183" i="7"/>
  <c r="N183" i="10" s="1"/>
  <c r="H183" i="7"/>
  <c r="E184" i="7" s="1"/>
  <c r="T541" i="7"/>
  <c r="N541" i="10" s="1"/>
  <c r="H541" i="7"/>
  <c r="E542" i="7" s="1"/>
  <c r="R19" i="9"/>
  <c r="T19" i="9" s="1"/>
  <c r="T720" i="7"/>
  <c r="N4" i="11" s="1"/>
  <c r="H720" i="7"/>
  <c r="E721" i="7" s="1"/>
  <c r="T362" i="7"/>
  <c r="N362" i="10" s="1"/>
  <c r="H362" i="7"/>
  <c r="E363" i="7" s="1"/>
  <c r="T899" i="7"/>
  <c r="N183" i="11" s="1"/>
  <c r="H899" i="7"/>
  <c r="E900" i="7" s="1"/>
  <c r="R22" i="9"/>
  <c r="T22" i="9" s="1"/>
  <c r="L22" i="9"/>
  <c r="N22" i="9" s="1"/>
  <c r="T1257" i="7"/>
  <c r="N541" i="11" s="1"/>
  <c r="H1257" i="7"/>
  <c r="E1258" i="7" s="1"/>
  <c r="R21" i="9"/>
  <c r="T21" i="9" s="1"/>
  <c r="O20" i="9"/>
  <c r="Q20" i="9" s="1"/>
  <c r="O25" i="9"/>
  <c r="Q25" i="9" s="1"/>
  <c r="T76" i="8"/>
  <c r="T79" i="8"/>
  <c r="O21" i="9"/>
  <c r="Q21" i="9" s="1"/>
  <c r="T78" i="8"/>
  <c r="T80" i="8"/>
  <c r="O19" i="9"/>
  <c r="Q19" i="9" s="1"/>
  <c r="O22" i="9"/>
  <c r="Q22" i="9" s="1"/>
  <c r="L21" i="9"/>
  <c r="N21" i="9" s="1"/>
  <c r="T77" i="8"/>
  <c r="H90" i="10"/>
  <c r="H57" i="10"/>
  <c r="H186" i="10"/>
  <c r="H205" i="10"/>
  <c r="H245" i="10"/>
  <c r="H232" i="10"/>
  <c r="H191" i="10"/>
  <c r="H495" i="10"/>
  <c r="H197" i="10"/>
  <c r="H370" i="10"/>
  <c r="H108" i="10"/>
  <c r="H468" i="10"/>
  <c r="H53" i="10"/>
  <c r="H281" i="10"/>
  <c r="H318" i="10"/>
  <c r="H349" i="10"/>
  <c r="H26" i="10"/>
  <c r="H308" i="10"/>
  <c r="H180" i="10"/>
  <c r="H414" i="10"/>
  <c r="H518" i="10"/>
  <c r="H442" i="10"/>
  <c r="H187" i="10"/>
  <c r="H428" i="10"/>
  <c r="H474" i="10"/>
  <c r="R23" i="9"/>
  <c r="T23" i="9" s="1"/>
  <c r="I21" i="9"/>
  <c r="K21" i="9" s="1"/>
  <c r="H33" i="10"/>
  <c r="H249" i="10"/>
  <c r="H471" i="10"/>
  <c r="H459" i="10"/>
  <c r="H107" i="10"/>
  <c r="H195" i="10"/>
  <c r="H140" i="10"/>
  <c r="H478" i="10"/>
  <c r="H201" i="10"/>
  <c r="H88" i="10"/>
  <c r="H49" i="10"/>
  <c r="H81" i="10"/>
  <c r="H157" i="10"/>
  <c r="H189" i="10"/>
  <c r="H362" i="10"/>
  <c r="H507" i="10"/>
  <c r="H42" i="10"/>
  <c r="H506" i="10"/>
  <c r="H294" i="10"/>
  <c r="H183" i="10"/>
  <c r="H470" i="10"/>
  <c r="H276" i="10"/>
  <c r="H416" i="10"/>
  <c r="O23" i="9"/>
  <c r="Q23" i="9" s="1"/>
  <c r="L18" i="9"/>
  <c r="N18" i="9" s="1"/>
  <c r="H288" i="10"/>
  <c r="H440" i="10"/>
  <c r="H466" i="10"/>
  <c r="H40" i="10"/>
  <c r="H415" i="10"/>
  <c r="H75" i="10"/>
  <c r="H139" i="10"/>
  <c r="H271" i="10"/>
  <c r="H511" i="10"/>
  <c r="H467" i="10"/>
  <c r="H10" i="10"/>
  <c r="H260" i="10"/>
  <c r="H503" i="10"/>
  <c r="H94" i="10"/>
  <c r="H175" i="10"/>
  <c r="H391" i="10"/>
  <c r="H255" i="10"/>
  <c r="H158" i="10"/>
  <c r="H119" i="10"/>
  <c r="H286" i="10"/>
  <c r="H323" i="10"/>
  <c r="H536" i="10"/>
  <c r="H267" i="10"/>
  <c r="H43" i="10"/>
  <c r="H134" i="10"/>
  <c r="H145" i="10"/>
  <c r="H24" i="10"/>
  <c r="H156" i="10"/>
  <c r="H301" i="10"/>
  <c r="H135" i="10"/>
  <c r="H164" i="10"/>
  <c r="H380" i="10"/>
  <c r="H310" i="10"/>
  <c r="H82" i="10"/>
  <c r="H163" i="10"/>
  <c r="H32" i="10"/>
  <c r="H314" i="10"/>
  <c r="H27" i="10"/>
  <c r="H230" i="10"/>
  <c r="R25" i="9"/>
  <c r="T25" i="9" s="1"/>
  <c r="L24" i="9"/>
  <c r="N24" i="9" s="1"/>
  <c r="H159" i="10"/>
  <c r="H268" i="10"/>
  <c r="H299" i="10"/>
  <c r="H360" i="10"/>
  <c r="H55" i="10"/>
  <c r="H287" i="10"/>
  <c r="H342" i="10"/>
  <c r="H493" i="10"/>
  <c r="H424" i="10"/>
  <c r="H381" i="10"/>
  <c r="H429" i="10"/>
  <c r="H256" i="10"/>
  <c r="H248" i="10"/>
  <c r="H491" i="10"/>
  <c r="H177" i="10"/>
  <c r="H20" i="10"/>
  <c r="H247" i="10"/>
  <c r="H302" i="10"/>
  <c r="H208" i="10"/>
  <c r="H540" i="10"/>
  <c r="H398" i="10"/>
  <c r="H101" i="10"/>
  <c r="H253" i="10"/>
  <c r="T75" i="8"/>
  <c r="T74" i="8"/>
  <c r="H200" i="10"/>
  <c r="H481" i="10"/>
  <c r="H192" i="10"/>
  <c r="H455" i="10"/>
  <c r="H530" i="10"/>
  <c r="H67" i="10"/>
  <c r="H257" i="10"/>
  <c r="H151" i="10"/>
  <c r="H92" i="10"/>
  <c r="H118" i="10"/>
  <c r="H291" i="10"/>
  <c r="H479" i="10"/>
  <c r="H58" i="10"/>
  <c r="H170" i="10"/>
  <c r="H509" i="10"/>
  <c r="H138" i="10"/>
  <c r="H149" i="10"/>
  <c r="H351" i="10"/>
  <c r="H422" i="10"/>
  <c r="H409" i="10"/>
  <c r="H25" i="10"/>
  <c r="H319" i="10"/>
  <c r="H465" i="10"/>
  <c r="H251" i="10"/>
  <c r="H179" i="10"/>
  <c r="H498" i="10"/>
  <c r="H52" i="10"/>
  <c r="H222" i="10"/>
  <c r="H453" i="10"/>
  <c r="H8" i="10"/>
  <c r="H235" i="10"/>
  <c r="V15" i="12"/>
  <c r="V30" i="12" s="1"/>
  <c r="H172" i="10"/>
  <c r="H264" i="10"/>
  <c r="H111" i="10"/>
  <c r="H196" i="10"/>
  <c r="H528" i="10"/>
  <c r="H316" i="10"/>
  <c r="H219" i="10"/>
  <c r="H254" i="10"/>
  <c r="H16" i="10"/>
  <c r="H425" i="10"/>
  <c r="H327" i="10"/>
  <c r="H109" i="10"/>
  <c r="H483" i="10"/>
  <c r="H86" i="10"/>
  <c r="H221" i="10"/>
  <c r="H521" i="10"/>
  <c r="H529" i="10"/>
  <c r="T71" i="8"/>
  <c r="T72" i="8"/>
  <c r="H407" i="10"/>
  <c r="H447" i="10"/>
  <c r="H121" i="10"/>
  <c r="H238" i="10"/>
  <c r="H122" i="10"/>
  <c r="H133" i="10"/>
  <c r="H95" i="10"/>
  <c r="H129" i="10"/>
  <c r="H374" i="10"/>
  <c r="H496" i="10"/>
  <c r="H234" i="10"/>
  <c r="H65" i="10"/>
  <c r="H464" i="10"/>
  <c r="H473" i="10"/>
  <c r="H356" i="10"/>
  <c r="H120" i="10"/>
  <c r="H74" i="10"/>
  <c r="H395" i="10"/>
  <c r="H411" i="10"/>
  <c r="H73" i="10"/>
  <c r="H334" i="10"/>
  <c r="H328" i="10"/>
  <c r="O18" i="9"/>
  <c r="Q18" i="9" s="1"/>
  <c r="H313" i="10"/>
  <c r="H110" i="10"/>
  <c r="H326" i="10"/>
  <c r="H460" i="10"/>
  <c r="H341" i="10"/>
  <c r="H376" i="10"/>
  <c r="H244" i="10"/>
  <c r="H347" i="10"/>
  <c r="H207" i="10"/>
  <c r="H242" i="10"/>
  <c r="H106" i="10"/>
  <c r="H228" i="10"/>
  <c r="H450" i="10"/>
  <c r="H4" i="10"/>
  <c r="H203" i="10"/>
  <c r="H492" i="10"/>
  <c r="H202" i="10"/>
  <c r="H399" i="10"/>
  <c r="H85" i="10"/>
  <c r="H282" i="10"/>
  <c r="H324" i="10"/>
  <c r="H541" i="10"/>
  <c r="H290" i="10"/>
  <c r="H311" i="10"/>
  <c r="H406" i="10"/>
  <c r="H522" i="10"/>
  <c r="H359" i="10"/>
  <c r="I25" i="9"/>
  <c r="K25" i="9" s="1"/>
  <c r="T73" i="8"/>
  <c r="H22" i="10"/>
  <c r="H220" i="10"/>
  <c r="H11" i="10"/>
  <c r="H9" i="10"/>
  <c r="H397" i="10"/>
  <c r="H421" i="10"/>
  <c r="H204" i="10"/>
  <c r="H263" i="10"/>
  <c r="H451" i="10"/>
  <c r="H383" i="10"/>
  <c r="H338" i="10"/>
  <c r="H435" i="10"/>
  <c r="H469" i="10"/>
  <c r="H48" i="10"/>
  <c r="H174" i="10"/>
  <c r="H408" i="10"/>
  <c r="H227" i="10"/>
  <c r="H437" i="10"/>
  <c r="H365" i="10"/>
  <c r="H438" i="10"/>
  <c r="R18" i="9"/>
  <c r="T18" i="9" s="1"/>
  <c r="O24" i="9"/>
  <c r="Q24" i="9" s="1"/>
  <c r="H84" i="10"/>
  <c r="H13" i="10"/>
  <c r="H297" i="10"/>
  <c r="H155" i="10"/>
  <c r="H68" i="10"/>
  <c r="H243" i="10"/>
  <c r="H533" i="10"/>
  <c r="H542" i="10"/>
  <c r="H137" i="10"/>
  <c r="H76" i="10"/>
  <c r="H363" i="10"/>
  <c r="H484" i="10"/>
  <c r="H63" i="10"/>
  <c r="H387" i="10"/>
  <c r="H510" i="10"/>
  <c r="H300" i="10"/>
  <c r="H280" i="10"/>
  <c r="H517" i="10"/>
  <c r="H487" i="10"/>
  <c r="H480" i="10"/>
  <c r="H209" i="10"/>
  <c r="H236" i="10"/>
  <c r="H7" i="10"/>
  <c r="H258" i="10"/>
  <c r="H400" i="10"/>
  <c r="H69" i="10"/>
  <c r="H216" i="10"/>
  <c r="H97" i="10"/>
  <c r="H160" i="10"/>
  <c r="H434" i="10"/>
  <c r="H538" i="10"/>
  <c r="H148" i="10"/>
  <c r="H339" i="10"/>
  <c r="H477" i="10"/>
  <c r="H37" i="10"/>
  <c r="H12" i="10"/>
  <c r="H366" i="10"/>
  <c r="H64" i="10"/>
  <c r="H265" i="10"/>
  <c r="H211" i="10"/>
  <c r="H29" i="10"/>
  <c r="H353" i="10"/>
  <c r="H504" i="10"/>
  <c r="H30" i="10"/>
  <c r="H162" i="10"/>
  <c r="H77" i="10"/>
  <c r="H278" i="10"/>
  <c r="H93" i="10"/>
  <c r="H385" i="10"/>
  <c r="H330" i="10"/>
  <c r="H102" i="10"/>
  <c r="H115" i="10"/>
  <c r="H354" i="10"/>
  <c r="H361" i="10"/>
  <c r="T7" i="14" l="1"/>
  <c r="M7" i="14"/>
  <c r="I899" i="10"/>
  <c r="I4" i="11"/>
  <c r="E5" i="11"/>
  <c r="I362" i="11"/>
  <c r="I720" i="11"/>
  <c r="I720" i="10"/>
  <c r="I183" i="11"/>
  <c r="I541" i="11"/>
  <c r="I899" i="11"/>
  <c r="K363" i="7"/>
  <c r="J6" i="15"/>
  <c r="H719" i="10"/>
  <c r="L1974" i="7"/>
  <c r="L720" i="10" s="1"/>
  <c r="P720" i="10" s="1"/>
  <c r="K1974" i="7"/>
  <c r="K720" i="10" s="1"/>
  <c r="J1974" i="7"/>
  <c r="J720" i="10" s="1"/>
  <c r="K2153" i="7"/>
  <c r="K899" i="10" s="1"/>
  <c r="L2153" i="7"/>
  <c r="L899" i="10" s="1"/>
  <c r="P899" i="10" s="1"/>
  <c r="J2153" i="7"/>
  <c r="J899" i="10" s="1"/>
  <c r="H571" i="10"/>
  <c r="H705" i="10"/>
  <c r="H651" i="10"/>
  <c r="H712" i="10"/>
  <c r="H657" i="10"/>
  <c r="H676" i="10"/>
  <c r="H548" i="10"/>
  <c r="H554" i="10"/>
  <c r="H640" i="10"/>
  <c r="H583" i="10"/>
  <c r="H612" i="10"/>
  <c r="H704" i="10"/>
  <c r="H588" i="10"/>
  <c r="H646" i="10"/>
  <c r="H617" i="10"/>
  <c r="H568" i="10"/>
  <c r="H667" i="10"/>
  <c r="H592" i="10"/>
  <c r="H643" i="10"/>
  <c r="H565" i="10"/>
  <c r="H655" i="10"/>
  <c r="H713" i="10"/>
  <c r="H679" i="10"/>
  <c r="H673" i="10"/>
  <c r="H589" i="10"/>
  <c r="H702" i="10"/>
  <c r="H681" i="10"/>
  <c r="H621" i="10"/>
  <c r="H558" i="10"/>
  <c r="H677" i="10"/>
  <c r="H641" i="10"/>
  <c r="H636" i="10"/>
  <c r="H694" i="10"/>
  <c r="H572" i="10"/>
  <c r="H637" i="10"/>
  <c r="H627" i="10"/>
  <c r="H668" i="10"/>
  <c r="H644" i="10"/>
  <c r="H645" i="10"/>
  <c r="H618" i="10"/>
  <c r="H697" i="10"/>
  <c r="H693" i="10"/>
  <c r="H557" i="10"/>
  <c r="H543" i="10"/>
  <c r="H656" i="10"/>
  <c r="H684" i="10"/>
  <c r="H598" i="10"/>
  <c r="H687" i="10"/>
  <c r="H622" i="10"/>
  <c r="H624" i="10"/>
  <c r="H678" i="10"/>
  <c r="H711" i="10"/>
  <c r="H582" i="10"/>
  <c r="H703" i="10"/>
  <c r="H715" i="10"/>
  <c r="H614" i="10"/>
  <c r="H663" i="10"/>
  <c r="H698" i="10"/>
  <c r="H593" i="10"/>
  <c r="H581" i="10"/>
  <c r="H683" i="10"/>
  <c r="H584" i="10"/>
  <c r="H631" i="10"/>
  <c r="H604" i="10"/>
  <c r="H546" i="10"/>
  <c r="H661" i="10"/>
  <c r="H575" i="10"/>
  <c r="H708" i="10"/>
  <c r="H628" i="10"/>
  <c r="H609" i="10"/>
  <c r="H1796" i="7"/>
  <c r="E1797" i="7" s="1"/>
  <c r="K1795" i="7"/>
  <c r="J1795" i="7"/>
  <c r="L1795" i="7" s="1"/>
  <c r="H642" i="10"/>
  <c r="N4" i="10"/>
  <c r="H50" i="17" a="1"/>
  <c r="H50" i="17" s="1"/>
  <c r="H48" i="17" a="1"/>
  <c r="H48" i="17" s="1"/>
  <c r="H46" i="17" a="1"/>
  <c r="H46" i="17" s="1"/>
  <c r="H44" i="17" a="1"/>
  <c r="H44" i="17" s="1"/>
  <c r="H42" i="17" a="1"/>
  <c r="H42" i="17" s="1"/>
  <c r="H40" i="17" a="1"/>
  <c r="H40" i="17" s="1"/>
  <c r="H38" i="17" a="1"/>
  <c r="H38" i="17" s="1"/>
  <c r="H36" i="17" a="1"/>
  <c r="H36" i="17" s="1"/>
  <c r="H34" i="17" a="1"/>
  <c r="H34" i="17" s="1"/>
  <c r="H32" i="17" a="1"/>
  <c r="H32" i="17" s="1"/>
  <c r="H30" i="17" a="1"/>
  <c r="H30" i="17" s="1"/>
  <c r="H28" i="17" a="1"/>
  <c r="H28" i="17" s="1"/>
  <c r="H49" i="17" a="1"/>
  <c r="H49" i="17" s="1"/>
  <c r="H47" i="17" a="1"/>
  <c r="H47" i="17" s="1"/>
  <c r="H45" i="17" a="1"/>
  <c r="H45" i="17" s="1"/>
  <c r="H43" i="17" a="1"/>
  <c r="H43" i="17" s="1"/>
  <c r="H41" i="17" a="1"/>
  <c r="H41" i="17" s="1"/>
  <c r="H39" i="17" a="1"/>
  <c r="H39" i="17" s="1"/>
  <c r="H37" i="17" a="1"/>
  <c r="H37" i="17" s="1"/>
  <c r="H35" i="17" a="1"/>
  <c r="H35" i="17" s="1"/>
  <c r="H33" i="17" a="1"/>
  <c r="H33" i="17" s="1"/>
  <c r="H31" i="17" a="1"/>
  <c r="H31" i="17" s="1"/>
  <c r="H29" i="17" a="1"/>
  <c r="H29" i="17" s="1"/>
  <c r="H27" i="17" a="1"/>
  <c r="H27" i="17" s="1"/>
  <c r="J4" i="7"/>
  <c r="H620" i="10"/>
  <c r="H633" i="10"/>
  <c r="H573" i="10"/>
  <c r="J721" i="7"/>
  <c r="J5" i="11" s="1"/>
  <c r="K721" i="7"/>
  <c r="K5" i="11" s="1"/>
  <c r="J720" i="7"/>
  <c r="J4" i="11" s="1"/>
  <c r="K720" i="7"/>
  <c r="K4" i="11" s="1"/>
  <c r="J1078" i="7"/>
  <c r="J362" i="11" s="1"/>
  <c r="K1078" i="7"/>
  <c r="K362" i="11" s="1"/>
  <c r="J1436" i="7"/>
  <c r="J720" i="11" s="1"/>
  <c r="K1436" i="7"/>
  <c r="K720" i="11" s="1"/>
  <c r="J1257" i="7"/>
  <c r="J541" i="11" s="1"/>
  <c r="K1257" i="7"/>
  <c r="K541" i="11" s="1"/>
  <c r="K362" i="7"/>
  <c r="K362" i="10" s="1"/>
  <c r="J183" i="7"/>
  <c r="J183" i="10" s="1"/>
  <c r="K183" i="7"/>
  <c r="K183" i="10" s="1"/>
  <c r="J362" i="7"/>
  <c r="J362" i="10" s="1"/>
  <c r="J899" i="7"/>
  <c r="J183" i="11" s="1"/>
  <c r="K899" i="7"/>
  <c r="K183" i="11" s="1"/>
  <c r="K4" i="7"/>
  <c r="J1615" i="7"/>
  <c r="J899" i="11" s="1"/>
  <c r="K1615" i="7"/>
  <c r="K899" i="11" s="1"/>
  <c r="J542" i="7"/>
  <c r="K542" i="7"/>
  <c r="J541" i="7"/>
  <c r="J541" i="10" s="1"/>
  <c r="K541" i="7"/>
  <c r="K541" i="10" s="1"/>
  <c r="H718" i="10"/>
  <c r="H695" i="10"/>
  <c r="H600" i="10"/>
  <c r="H710" i="10"/>
  <c r="H654" i="10"/>
  <c r="H556" i="10"/>
  <c r="H680" i="10"/>
  <c r="U19" i="9"/>
  <c r="H599" i="10"/>
  <c r="U25" i="9"/>
  <c r="J5" i="15"/>
  <c r="L8" i="15"/>
  <c r="J10" i="15"/>
  <c r="L9" i="15"/>
  <c r="L4" i="15"/>
  <c r="H11" i="14"/>
  <c r="I11" i="14" s="1"/>
  <c r="U24" i="9"/>
  <c r="U22" i="9"/>
  <c r="I4" i="10"/>
  <c r="I362" i="10"/>
  <c r="E900" i="11"/>
  <c r="E363" i="11"/>
  <c r="E721" i="11"/>
  <c r="E542" i="11"/>
  <c r="I541" i="10"/>
  <c r="I183" i="10"/>
  <c r="U20" i="9"/>
  <c r="H21" i="10"/>
  <c r="H658" i="10"/>
  <c r="H198" i="10"/>
  <c r="E184" i="11"/>
  <c r="H305" i="10"/>
  <c r="H185" i="10"/>
  <c r="H240" i="10"/>
  <c r="H591" i="10"/>
  <c r="H674" i="10"/>
  <c r="H70" i="10"/>
  <c r="H322" i="10"/>
  <c r="H35" i="10"/>
  <c r="H515" i="10"/>
  <c r="H552" i="10"/>
  <c r="H505" i="10"/>
  <c r="H527" i="10"/>
  <c r="H252" i="10"/>
  <c r="H384" i="10"/>
  <c r="H237" i="10"/>
  <c r="H378" i="10"/>
  <c r="H18" i="10"/>
  <c r="H446" i="10"/>
  <c r="H559" i="10"/>
  <c r="H625" i="10"/>
  <c r="H379" i="10"/>
  <c r="H632" i="10"/>
  <c r="H41" i="10"/>
  <c r="H392" i="10"/>
  <c r="H333" i="10"/>
  <c r="H166" i="10"/>
  <c r="H608" i="10"/>
  <c r="H261" i="10"/>
  <c r="H79" i="10"/>
  <c r="H325" i="10"/>
  <c r="H597" i="10"/>
  <c r="H585" i="10"/>
  <c r="H307" i="10"/>
  <c r="H168" i="10"/>
  <c r="H377" i="10"/>
  <c r="H56" i="10"/>
  <c r="H352" i="10"/>
  <c r="H671" i="10"/>
  <c r="U21" i="9"/>
  <c r="U23" i="9"/>
  <c r="U18" i="9"/>
  <c r="K7" i="14" a="1"/>
  <c r="K7" i="14" s="1"/>
  <c r="K8" i="14" a="1"/>
  <c r="K8" i="14" s="1"/>
  <c r="L8" i="14" s="1"/>
  <c r="M8" i="14" s="1"/>
  <c r="K9" i="14" a="1"/>
  <c r="K9" i="14" s="1"/>
  <c r="L9" i="14" s="1"/>
  <c r="M9" i="14" s="1"/>
  <c r="K10" i="14" a="1"/>
  <c r="K10" i="14" s="1"/>
  <c r="L10" i="14" s="1"/>
  <c r="M10" i="14" s="1"/>
  <c r="H2154" i="7" l="1"/>
  <c r="E2155" i="7" s="1"/>
  <c r="E900" i="10"/>
  <c r="H1975" i="7"/>
  <c r="E1976" i="7" s="1"/>
  <c r="E721" i="10"/>
  <c r="J4" i="10"/>
  <c r="H1797" i="7"/>
  <c r="E1798" i="7" s="1"/>
  <c r="J1796" i="7"/>
  <c r="L1796" i="7" s="1"/>
  <c r="K1796" i="7"/>
  <c r="L1436" i="7"/>
  <c r="L720" i="11" s="1"/>
  <c r="P720" i="11" s="1"/>
  <c r="L183" i="7"/>
  <c r="L183" i="10" s="1"/>
  <c r="P183" i="10" s="1"/>
  <c r="L1257" i="7"/>
  <c r="L541" i="11" s="1"/>
  <c r="P541" i="11" s="1"/>
  <c r="K4" i="10"/>
  <c r="L541" i="7"/>
  <c r="L541" i="10" s="1"/>
  <c r="P541" i="10" s="1"/>
  <c r="L4" i="7"/>
  <c r="L362" i="7"/>
  <c r="L362" i="10" s="1"/>
  <c r="P362" i="10" s="1"/>
  <c r="L899" i="7"/>
  <c r="L183" i="11" s="1"/>
  <c r="P183" i="11" s="1"/>
  <c r="L1615" i="7"/>
  <c r="L899" i="11" s="1"/>
  <c r="P899" i="11" s="1"/>
  <c r="L1078" i="7"/>
  <c r="L362" i="11" s="1"/>
  <c r="P362" i="11" s="1"/>
  <c r="E184" i="10"/>
  <c r="L720" i="7"/>
  <c r="L4" i="11" s="1"/>
  <c r="P4" i="11" s="1"/>
  <c r="E363" i="10"/>
  <c r="E542" i="10"/>
  <c r="E5" i="10"/>
  <c r="K11" i="14" a="1"/>
  <c r="K11" i="14" s="1"/>
  <c r="L11" i="14" s="1"/>
  <c r="M11" i="14" s="1"/>
  <c r="H12" i="14"/>
  <c r="I12" i="14" s="1"/>
  <c r="I721" i="10" l="1"/>
  <c r="I900" i="10"/>
  <c r="H1976" i="7"/>
  <c r="E1977" i="7" s="1"/>
  <c r="J1975" i="7"/>
  <c r="J721" i="10" s="1"/>
  <c r="L1975" i="7"/>
  <c r="L721" i="10" s="1"/>
  <c r="P721" i="10" s="1"/>
  <c r="K1975" i="7"/>
  <c r="K721" i="10" s="1"/>
  <c r="J2154" i="7"/>
  <c r="J900" i="10" s="1"/>
  <c r="K2154" i="7"/>
  <c r="K900" i="10" s="1"/>
  <c r="L2154" i="7"/>
  <c r="L900" i="10" s="1"/>
  <c r="P900" i="10" s="1"/>
  <c r="Z1794" i="7" a="1"/>
  <c r="Z1794" i="7" s="1"/>
  <c r="H1798" i="7"/>
  <c r="E1799" i="7" s="1"/>
  <c r="K1797" i="7"/>
  <c r="J1797" i="7"/>
  <c r="L1797" i="7" s="1"/>
  <c r="F48" i="17" a="1"/>
  <c r="F48" i="17" s="1"/>
  <c r="F45" i="17" a="1"/>
  <c r="F45" i="17" s="1"/>
  <c r="F42" i="17" a="1"/>
  <c r="F42" i="17" s="1"/>
  <c r="F39" i="17" a="1"/>
  <c r="F39" i="17" s="1"/>
  <c r="F36" i="17" a="1"/>
  <c r="F36" i="17" s="1"/>
  <c r="F33" i="17" a="1"/>
  <c r="F33" i="17" s="1"/>
  <c r="F30" i="17" a="1"/>
  <c r="F30" i="17" s="1"/>
  <c r="F27" i="17" a="1"/>
  <c r="F27" i="17" s="1"/>
  <c r="F29" i="17" a="1"/>
  <c r="F29" i="17" s="1"/>
  <c r="F47" i="17" a="1"/>
  <c r="F47" i="17" s="1"/>
  <c r="F44" i="17" a="1"/>
  <c r="F44" i="17" s="1"/>
  <c r="F38" i="17" a="1"/>
  <c r="F38" i="17" s="1"/>
  <c r="F35" i="17" a="1"/>
  <c r="F35" i="17" s="1"/>
  <c r="F50" i="17" a="1"/>
  <c r="F50" i="17" s="1"/>
  <c r="F41" i="17" a="1"/>
  <c r="F41" i="17" s="1"/>
  <c r="F32" i="17" a="1"/>
  <c r="F32" i="17" s="1"/>
  <c r="F49" i="17" a="1"/>
  <c r="F49" i="17" s="1"/>
  <c r="F46" i="17" a="1"/>
  <c r="F46" i="17" s="1"/>
  <c r="F43" i="17" a="1"/>
  <c r="F43" i="17" s="1"/>
  <c r="F40" i="17" a="1"/>
  <c r="F40" i="17" s="1"/>
  <c r="F37" i="17" a="1"/>
  <c r="F37" i="17" s="1"/>
  <c r="F28" i="17" a="1"/>
  <c r="F28" i="17" s="1"/>
  <c r="F34" i="17" a="1"/>
  <c r="F34" i="17" s="1"/>
  <c r="F31" i="17" a="1"/>
  <c r="F31" i="17" s="1"/>
  <c r="L4" i="10"/>
  <c r="P4" i="10" s="1"/>
  <c r="A4" i="16"/>
  <c r="I5" i="10"/>
  <c r="K5" i="10"/>
  <c r="I542" i="10"/>
  <c r="J542" i="10"/>
  <c r="K542" i="10"/>
  <c r="I363" i="10"/>
  <c r="J363" i="10"/>
  <c r="K363" i="10"/>
  <c r="I184" i="10"/>
  <c r="J184" i="10"/>
  <c r="K184" i="10"/>
  <c r="K12" i="14" a="1"/>
  <c r="K12" i="14" s="1"/>
  <c r="L12" i="14" s="1"/>
  <c r="M12" i="14" s="1"/>
  <c r="H13" i="14"/>
  <c r="I13" i="14" s="1"/>
  <c r="Z1795" i="7" l="1" a="1"/>
  <c r="Z1795" i="7" s="1"/>
  <c r="H1799" i="7"/>
  <c r="E1800" i="7" s="1"/>
  <c r="I722" i="10"/>
  <c r="H1977" i="7"/>
  <c r="E1978" i="7" s="1"/>
  <c r="K1976" i="7"/>
  <c r="K722" i="10" s="1"/>
  <c r="J1976" i="7"/>
  <c r="J722" i="10" s="1"/>
  <c r="Z1974" i="7" a="1"/>
  <c r="Z1974" i="7" s="1"/>
  <c r="E722" i="10"/>
  <c r="L1976" i="7"/>
  <c r="L722" i="10" s="1"/>
  <c r="P722" i="10" s="1"/>
  <c r="H2155" i="7"/>
  <c r="E2156" i="7" s="1"/>
  <c r="E901" i="10"/>
  <c r="J1798" i="7"/>
  <c r="L1798" i="7" s="1"/>
  <c r="K1798" i="7"/>
  <c r="L1079" i="7"/>
  <c r="L363" i="11" s="1"/>
  <c r="P363" i="11" s="1"/>
  <c r="L542" i="7"/>
  <c r="L542" i="10" s="1"/>
  <c r="P542" i="10" s="1"/>
  <c r="L900" i="7"/>
  <c r="L184" i="11" s="1"/>
  <c r="P184" i="11" s="1"/>
  <c r="L1258" i="7"/>
  <c r="L542" i="11" s="1"/>
  <c r="P542" i="11" s="1"/>
  <c r="L184" i="7"/>
  <c r="L184" i="10" s="1"/>
  <c r="P184" i="10" s="1"/>
  <c r="L363" i="7"/>
  <c r="L363" i="10" s="1"/>
  <c r="P363" i="10" s="1"/>
  <c r="L721" i="7"/>
  <c r="L5" i="11" s="1"/>
  <c r="P5" i="11" s="1"/>
  <c r="J5" i="10"/>
  <c r="L1616" i="7"/>
  <c r="L900" i="11" s="1"/>
  <c r="P900" i="11" s="1"/>
  <c r="L5" i="7"/>
  <c r="H901" i="7"/>
  <c r="E902" i="7" s="1"/>
  <c r="H1259" i="7"/>
  <c r="E1260" i="7" s="1"/>
  <c r="E6" i="10"/>
  <c r="Z183" i="7" a="1"/>
  <c r="Z183" i="7" s="1"/>
  <c r="E185" i="10"/>
  <c r="Z362" i="7" a="1"/>
  <c r="Z362" i="7" s="1"/>
  <c r="E364" i="10"/>
  <c r="H1080" i="7"/>
  <c r="E1081" i="7" s="1"/>
  <c r="Z541" i="7" a="1"/>
  <c r="Z541" i="7" s="1"/>
  <c r="E543" i="10"/>
  <c r="H1617" i="7"/>
  <c r="E1618" i="7" s="1"/>
  <c r="L1437" i="7"/>
  <c r="L721" i="11" s="1"/>
  <c r="P721" i="11" s="1"/>
  <c r="Z720" i="7" a="1"/>
  <c r="Z720" i="7" s="1"/>
  <c r="H1438" i="7"/>
  <c r="E1439" i="7" s="1"/>
  <c r="K13" i="14" a="1"/>
  <c r="K13" i="14" s="1"/>
  <c r="L13" i="14" s="1"/>
  <c r="M13" i="14" s="1"/>
  <c r="H14" i="14"/>
  <c r="I14" i="14" s="1"/>
  <c r="I723" i="10" l="1"/>
  <c r="Z1436" i="7" a="1"/>
  <c r="Z1436" i="7" s="1"/>
  <c r="I722" i="11"/>
  <c r="Z1615" i="7" a="1"/>
  <c r="Z1615" i="7" s="1"/>
  <c r="I901" i="11"/>
  <c r="Z1078" i="7" a="1"/>
  <c r="Z1078" i="7" s="1"/>
  <c r="I364" i="11"/>
  <c r="Z1257" i="7" a="1"/>
  <c r="Z1257" i="7" s="1"/>
  <c r="I543" i="11"/>
  <c r="Z899" i="7" a="1"/>
  <c r="Z899" i="7" s="1"/>
  <c r="I185" i="11"/>
  <c r="E723" i="10"/>
  <c r="H1978" i="7"/>
  <c r="E1979" i="7" s="1"/>
  <c r="L1977" i="7"/>
  <c r="L723" i="10" s="1"/>
  <c r="P723" i="10" s="1"/>
  <c r="K1977" i="7"/>
  <c r="K723" i="10" s="1"/>
  <c r="Z1975" i="7" a="1"/>
  <c r="Z1975" i="7" s="1"/>
  <c r="J1977" i="7"/>
  <c r="J723" i="10" s="1"/>
  <c r="I901" i="10"/>
  <c r="Z2153" i="7" a="1"/>
  <c r="Z2153" i="7" s="1"/>
  <c r="J2155" i="7"/>
  <c r="J901" i="10" s="1"/>
  <c r="L2155" i="7"/>
  <c r="L901" i="10" s="1"/>
  <c r="P901" i="10" s="1"/>
  <c r="K2155" i="7"/>
  <c r="K901" i="10" s="1"/>
  <c r="Z4" i="7" a="1"/>
  <c r="Z4" i="7" s="1"/>
  <c r="Z1796" i="7" a="1"/>
  <c r="Z1796" i="7" s="1"/>
  <c r="J1799" i="7"/>
  <c r="L1799" i="7" s="1"/>
  <c r="H1800" i="7"/>
  <c r="E1801" i="7" s="1"/>
  <c r="K1799" i="7"/>
  <c r="L5" i="10"/>
  <c r="P5" i="10" s="1"/>
  <c r="J901" i="7"/>
  <c r="J185" i="11" s="1"/>
  <c r="K901" i="7"/>
  <c r="K185" i="11" s="1"/>
  <c r="J543" i="7"/>
  <c r="J543" i="10" s="1"/>
  <c r="K543" i="7"/>
  <c r="K543" i="10" s="1"/>
  <c r="J1080" i="7"/>
  <c r="J364" i="11" s="1"/>
  <c r="K1080" i="7"/>
  <c r="K364" i="11" s="1"/>
  <c r="J1438" i="7"/>
  <c r="J722" i="11" s="1"/>
  <c r="K1438" i="7"/>
  <c r="K722" i="11" s="1"/>
  <c r="J185" i="7"/>
  <c r="J185" i="10" s="1"/>
  <c r="K185" i="7"/>
  <c r="K185" i="10" s="1"/>
  <c r="J6" i="7"/>
  <c r="K6" i="7"/>
  <c r="J364" i="7"/>
  <c r="J364" i="10" s="1"/>
  <c r="K364" i="7"/>
  <c r="K364" i="10" s="1"/>
  <c r="J722" i="7"/>
  <c r="J6" i="11" s="1"/>
  <c r="K722" i="7"/>
  <c r="K6" i="11" s="1"/>
  <c r="J1617" i="7"/>
  <c r="J901" i="11" s="1"/>
  <c r="K1617" i="7"/>
  <c r="K901" i="11" s="1"/>
  <c r="J1259" i="7"/>
  <c r="J543" i="11" s="1"/>
  <c r="K1259" i="7"/>
  <c r="K543" i="11" s="1"/>
  <c r="A5" i="16"/>
  <c r="E7" i="11"/>
  <c r="E723" i="11"/>
  <c r="I364" i="10"/>
  <c r="I185" i="10"/>
  <c r="I6" i="10"/>
  <c r="I543" i="10"/>
  <c r="E186" i="11"/>
  <c r="E544" i="11"/>
  <c r="E902" i="11"/>
  <c r="E365" i="11"/>
  <c r="K14" i="14" a="1"/>
  <c r="K14" i="14" s="1"/>
  <c r="L14" i="14" s="1"/>
  <c r="M14" i="14" s="1"/>
  <c r="H15" i="14"/>
  <c r="I15" i="14" s="1"/>
  <c r="Z1797" i="7" l="1" a="1"/>
  <c r="Z1797" i="7" s="1"/>
  <c r="H1801" i="7"/>
  <c r="E1802" i="7" s="1"/>
  <c r="I724" i="10"/>
  <c r="E725" i="10"/>
  <c r="E724" i="10"/>
  <c r="J1978" i="7"/>
  <c r="J724" i="10" s="1"/>
  <c r="L1978" i="7"/>
  <c r="L724" i="10" s="1"/>
  <c r="P724" i="10" s="1"/>
  <c r="K1978" i="7"/>
  <c r="K724" i="10" s="1"/>
  <c r="Z1976" i="7" a="1"/>
  <c r="Z1976" i="7" s="1"/>
  <c r="H2156" i="7"/>
  <c r="E2157" i="7" s="1"/>
  <c r="E902" i="10"/>
  <c r="K1800" i="7"/>
  <c r="J1800" i="7"/>
  <c r="L1800" i="7" s="1"/>
  <c r="J6" i="10"/>
  <c r="K6" i="10"/>
  <c r="L364" i="7"/>
  <c r="L364" i="10" s="1"/>
  <c r="P364" i="10" s="1"/>
  <c r="L6" i="7"/>
  <c r="L901" i="7"/>
  <c r="L185" i="11" s="1"/>
  <c r="P185" i="11" s="1"/>
  <c r="L1259" i="7"/>
  <c r="L543" i="11" s="1"/>
  <c r="P543" i="11" s="1"/>
  <c r="L1080" i="7"/>
  <c r="L364" i="11" s="1"/>
  <c r="P364" i="11" s="1"/>
  <c r="H1081" i="7"/>
  <c r="E1082" i="7" s="1"/>
  <c r="E7" i="10"/>
  <c r="H7" i="7"/>
  <c r="E8" i="7" s="1"/>
  <c r="H902" i="7"/>
  <c r="E903" i="7" s="1"/>
  <c r="L1438" i="7"/>
  <c r="L722" i="11" s="1"/>
  <c r="P722" i="11" s="1"/>
  <c r="H544" i="7"/>
  <c r="E545" i="7" s="1"/>
  <c r="E544" i="10"/>
  <c r="H1439" i="7"/>
  <c r="E1440" i="7" s="1"/>
  <c r="H723" i="7"/>
  <c r="E724" i="7" s="1"/>
  <c r="L1617" i="7"/>
  <c r="L901" i="11" s="1"/>
  <c r="P901" i="11" s="1"/>
  <c r="H1260" i="7"/>
  <c r="E1261" i="7" s="1"/>
  <c r="L543" i="7"/>
  <c r="L543" i="10" s="1"/>
  <c r="P543" i="10" s="1"/>
  <c r="L185" i="7"/>
  <c r="L185" i="10" s="1"/>
  <c r="P185" i="10" s="1"/>
  <c r="H1618" i="7"/>
  <c r="E1619" i="7" s="1"/>
  <c r="H186" i="7"/>
  <c r="E187" i="7" s="1"/>
  <c r="E186" i="10"/>
  <c r="L722" i="7"/>
  <c r="L6" i="11" s="1"/>
  <c r="P6" i="11" s="1"/>
  <c r="H365" i="7"/>
  <c r="E366" i="7" s="1"/>
  <c r="E365" i="10"/>
  <c r="K15" i="14" a="1"/>
  <c r="K15" i="14" s="1"/>
  <c r="L15" i="14" s="1"/>
  <c r="M15" i="14" s="1"/>
  <c r="H16" i="14"/>
  <c r="I16" i="14" s="1"/>
  <c r="Z363" i="7" l="1" a="1"/>
  <c r="Z363" i="7" s="1"/>
  <c r="Z542" i="7" a="1"/>
  <c r="Z542" i="7" s="1"/>
  <c r="Z184" i="7" a="1"/>
  <c r="Z184" i="7" s="1"/>
  <c r="H1979" i="7"/>
  <c r="E1980" i="7" s="1"/>
  <c r="Z1616" i="7" a="1"/>
  <c r="Z1616" i="7" s="1"/>
  <c r="I902" i="11"/>
  <c r="Z1258" i="7" a="1"/>
  <c r="Z1258" i="7" s="1"/>
  <c r="I544" i="11"/>
  <c r="Z721" i="7" a="1"/>
  <c r="Z721" i="7" s="1"/>
  <c r="I7" i="11"/>
  <c r="Z1437" i="7" a="1"/>
  <c r="Z1437" i="7" s="1"/>
  <c r="I723" i="11"/>
  <c r="Z900" i="7" a="1"/>
  <c r="Z900" i="7" s="1"/>
  <c r="I186" i="11"/>
  <c r="Z1079" i="7" a="1"/>
  <c r="Z1079" i="7" s="1"/>
  <c r="I365" i="11"/>
  <c r="Z5" i="7" a="1"/>
  <c r="Z5" i="7" s="1"/>
  <c r="I902" i="10"/>
  <c r="L2156" i="7"/>
  <c r="L902" i="10" s="1"/>
  <c r="P902" i="10" s="1"/>
  <c r="Z2154" i="7" a="1"/>
  <c r="Z2154" i="7" s="1"/>
  <c r="J2156" i="7"/>
  <c r="J902" i="10" s="1"/>
  <c r="K2156" i="7"/>
  <c r="K902" i="10" s="1"/>
  <c r="Z1798" i="7" a="1"/>
  <c r="Z1798" i="7" s="1"/>
  <c r="K1801" i="7"/>
  <c r="J1801" i="7"/>
  <c r="L1801" i="7" s="1"/>
  <c r="H1802" i="7"/>
  <c r="E1803" i="7" s="1"/>
  <c r="L6" i="10"/>
  <c r="P6" i="10" s="1"/>
  <c r="J1618" i="7"/>
  <c r="J902" i="11" s="1"/>
  <c r="K1618" i="7"/>
  <c r="K902" i="11" s="1"/>
  <c r="J902" i="7"/>
  <c r="J186" i="11" s="1"/>
  <c r="K902" i="7"/>
  <c r="K186" i="11" s="1"/>
  <c r="J365" i="7"/>
  <c r="J365" i="10" s="1"/>
  <c r="K365" i="7"/>
  <c r="K365" i="10" s="1"/>
  <c r="J7" i="7"/>
  <c r="K7" i="7"/>
  <c r="J1260" i="7"/>
  <c r="J544" i="11" s="1"/>
  <c r="K1260" i="7"/>
  <c r="K544" i="11" s="1"/>
  <c r="J1439" i="7"/>
  <c r="J723" i="11" s="1"/>
  <c r="K1439" i="7"/>
  <c r="K723" i="11" s="1"/>
  <c r="J186" i="7"/>
  <c r="J186" i="10" s="1"/>
  <c r="K186" i="7"/>
  <c r="K186" i="10" s="1"/>
  <c r="J1081" i="7"/>
  <c r="J365" i="11" s="1"/>
  <c r="K1081" i="7"/>
  <c r="K365" i="11" s="1"/>
  <c r="J723" i="7"/>
  <c r="J7" i="11" s="1"/>
  <c r="K723" i="7"/>
  <c r="K7" i="11" s="1"/>
  <c r="J544" i="7"/>
  <c r="J544" i="10" s="1"/>
  <c r="K544" i="7"/>
  <c r="K544" i="10" s="1"/>
  <c r="E903" i="11"/>
  <c r="E366" i="11"/>
  <c r="E724" i="11"/>
  <c r="I186" i="10"/>
  <c r="I544" i="10"/>
  <c r="E187" i="11"/>
  <c r="I7" i="10"/>
  <c r="E545" i="11"/>
  <c r="I365" i="10"/>
  <c r="E8" i="11"/>
  <c r="K16" i="14" a="1"/>
  <c r="K16" i="14" s="1"/>
  <c r="L16" i="14" s="1"/>
  <c r="M16" i="14" s="1"/>
  <c r="H17" i="14"/>
  <c r="I17" i="14" s="1"/>
  <c r="I725" i="10" l="1"/>
  <c r="H1980" i="7"/>
  <c r="E1981" i="7" s="1"/>
  <c r="Z1799" i="7" a="1"/>
  <c r="Z1799" i="7" s="1"/>
  <c r="H1803" i="7"/>
  <c r="E1804" i="7" s="1"/>
  <c r="L1979" i="7"/>
  <c r="L725" i="10" s="1"/>
  <c r="P725" i="10" s="1"/>
  <c r="J1979" i="7"/>
  <c r="J725" i="10" s="1"/>
  <c r="Z1977" i="7" a="1"/>
  <c r="Z1977" i="7" s="1"/>
  <c r="K1979" i="7"/>
  <c r="K725" i="10" s="1"/>
  <c r="H2157" i="7"/>
  <c r="E2158" i="7" s="1"/>
  <c r="E903" i="10"/>
  <c r="K1802" i="7"/>
  <c r="J1802" i="7"/>
  <c r="L1802" i="7" s="1"/>
  <c r="K7" i="10"/>
  <c r="J7" i="10"/>
  <c r="L1260" i="7"/>
  <c r="L544" i="11" s="1"/>
  <c r="P544" i="11" s="1"/>
  <c r="L1081" i="7"/>
  <c r="L365" i="11" s="1"/>
  <c r="P365" i="11" s="1"/>
  <c r="L365" i="7"/>
  <c r="L365" i="10" s="1"/>
  <c r="P365" i="10" s="1"/>
  <c r="L1439" i="7"/>
  <c r="L723" i="11" s="1"/>
  <c r="P723" i="11" s="1"/>
  <c r="L186" i="7"/>
  <c r="L186" i="10" s="1"/>
  <c r="P186" i="10" s="1"/>
  <c r="L7" i="7"/>
  <c r="L723" i="7"/>
  <c r="L7" i="11" s="1"/>
  <c r="P7" i="11" s="1"/>
  <c r="H545" i="7"/>
  <c r="E546" i="7" s="1"/>
  <c r="E545" i="10"/>
  <c r="H903" i="7"/>
  <c r="E904" i="7" s="1"/>
  <c r="H1261" i="7"/>
  <c r="E1262" i="7" s="1"/>
  <c r="E8" i="10"/>
  <c r="H8" i="7"/>
  <c r="E9" i="7" s="1"/>
  <c r="H1082" i="7"/>
  <c r="E1083" i="7" s="1"/>
  <c r="L544" i="7"/>
  <c r="L544" i="10" s="1"/>
  <c r="P544" i="10" s="1"/>
  <c r="H187" i="7"/>
  <c r="E188" i="7" s="1"/>
  <c r="E187" i="10"/>
  <c r="L902" i="7"/>
  <c r="L186" i="11" s="1"/>
  <c r="P186" i="11" s="1"/>
  <c r="H1440" i="7"/>
  <c r="E1441" i="7" s="1"/>
  <c r="H366" i="7"/>
  <c r="E367" i="7" s="1"/>
  <c r="E366" i="10"/>
  <c r="H1619" i="7"/>
  <c r="E1620" i="7" s="1"/>
  <c r="L1618" i="7"/>
  <c r="L902" i="11" s="1"/>
  <c r="P902" i="11" s="1"/>
  <c r="H724" i="7"/>
  <c r="E725" i="7" s="1"/>
  <c r="K17" i="14" a="1"/>
  <c r="K17" i="14" s="1"/>
  <c r="L17" i="14" s="1"/>
  <c r="M17" i="14" s="1"/>
  <c r="H18" i="14"/>
  <c r="I18" i="14" s="1"/>
  <c r="I726" i="10" l="1"/>
  <c r="Z364" i="7" a="1"/>
  <c r="Z364" i="7" s="1"/>
  <c r="Z185" i="7" a="1"/>
  <c r="Z185" i="7" s="1"/>
  <c r="Z543" i="7" a="1"/>
  <c r="Z543" i="7" s="1"/>
  <c r="Z1978" i="7" a="1"/>
  <c r="Z1978" i="7" s="1"/>
  <c r="L1980" i="7"/>
  <c r="L726" i="10" s="1"/>
  <c r="P726" i="10" s="1"/>
  <c r="E726" i="10"/>
  <c r="J1980" i="7"/>
  <c r="J726" i="10" s="1"/>
  <c r="K1980" i="7"/>
  <c r="K726" i="10" s="1"/>
  <c r="Z722" i="7" a="1"/>
  <c r="Z722" i="7" s="1"/>
  <c r="I8" i="11"/>
  <c r="Z1617" i="7" a="1"/>
  <c r="Z1617" i="7" s="1"/>
  <c r="I903" i="11"/>
  <c r="Z1438" i="7" a="1"/>
  <c r="Z1438" i="7" s="1"/>
  <c r="I724" i="11"/>
  <c r="Z1080" i="7" a="1"/>
  <c r="Z1080" i="7" s="1"/>
  <c r="I366" i="11"/>
  <c r="Z1259" i="7" a="1"/>
  <c r="Z1259" i="7" s="1"/>
  <c r="I545" i="11"/>
  <c r="Z901" i="7" a="1"/>
  <c r="Z901" i="7" s="1"/>
  <c r="I187" i="11"/>
  <c r="Z6" i="7" a="1"/>
  <c r="Z6" i="7" s="1"/>
  <c r="I903" i="10"/>
  <c r="Z2155" i="7" a="1"/>
  <c r="Z2155" i="7" s="1"/>
  <c r="L2157" i="7"/>
  <c r="L903" i="10" s="1"/>
  <c r="P903" i="10" s="1"/>
  <c r="J2157" i="7"/>
  <c r="J903" i="10" s="1"/>
  <c r="K2157" i="7"/>
  <c r="K903" i="10" s="1"/>
  <c r="H1981" i="7"/>
  <c r="E1982" i="7" s="1"/>
  <c r="E727" i="10"/>
  <c r="Z1800" i="7" a="1"/>
  <c r="Z1800" i="7" s="1"/>
  <c r="J1803" i="7"/>
  <c r="L1803" i="7" s="1"/>
  <c r="K1803" i="7"/>
  <c r="H1804" i="7"/>
  <c r="E1805" i="7" s="1"/>
  <c r="L7" i="10"/>
  <c r="P7" i="10" s="1"/>
  <c r="J366" i="7"/>
  <c r="J366" i="10" s="1"/>
  <c r="K366" i="7"/>
  <c r="K366" i="10" s="1"/>
  <c r="J1261" i="7"/>
  <c r="J545" i="11" s="1"/>
  <c r="K1261" i="7"/>
  <c r="K545" i="11" s="1"/>
  <c r="J903" i="7"/>
  <c r="J187" i="11" s="1"/>
  <c r="K903" i="7"/>
  <c r="K187" i="11" s="1"/>
  <c r="J187" i="7"/>
  <c r="J187" i="10" s="1"/>
  <c r="K187" i="7"/>
  <c r="K187" i="10" s="1"/>
  <c r="J8" i="7"/>
  <c r="K8" i="7"/>
  <c r="J1619" i="7"/>
  <c r="J903" i="11" s="1"/>
  <c r="K1619" i="7"/>
  <c r="K903" i="11" s="1"/>
  <c r="J1440" i="7"/>
  <c r="J724" i="11" s="1"/>
  <c r="K1440" i="7"/>
  <c r="K724" i="11" s="1"/>
  <c r="J545" i="7"/>
  <c r="J545" i="10" s="1"/>
  <c r="K545" i="7"/>
  <c r="K545" i="10" s="1"/>
  <c r="J724" i="7"/>
  <c r="J8" i="11" s="1"/>
  <c r="K724" i="7"/>
  <c r="K8" i="11" s="1"/>
  <c r="J1082" i="7"/>
  <c r="J366" i="11" s="1"/>
  <c r="K1082" i="7"/>
  <c r="K366" i="11" s="1"/>
  <c r="I187" i="10"/>
  <c r="E9" i="11"/>
  <c r="E367" i="11"/>
  <c r="I8" i="10"/>
  <c r="I366" i="10"/>
  <c r="E546" i="11"/>
  <c r="E904" i="11"/>
  <c r="E725" i="11"/>
  <c r="E188" i="11"/>
  <c r="I545" i="10"/>
  <c r="K18" i="14" a="1"/>
  <c r="K18" i="14" s="1"/>
  <c r="H19" i="14"/>
  <c r="I19" i="14" s="1"/>
  <c r="Z1801" i="7" l="1" a="1"/>
  <c r="Z1801" i="7" s="1"/>
  <c r="H2158" i="7"/>
  <c r="E2159" i="7" s="1"/>
  <c r="E904" i="10"/>
  <c r="I727" i="10"/>
  <c r="K1981" i="7"/>
  <c r="K727" i="10" s="1"/>
  <c r="Z1979" i="7" a="1"/>
  <c r="Z1979" i="7" s="1"/>
  <c r="L1981" i="7"/>
  <c r="L727" i="10" s="1"/>
  <c r="P727" i="10" s="1"/>
  <c r="J1981" i="7"/>
  <c r="J727" i="10" s="1"/>
  <c r="K1804" i="7"/>
  <c r="H1805" i="7"/>
  <c r="E1806" i="7" s="1"/>
  <c r="J1804" i="7"/>
  <c r="L1804" i="7" s="1"/>
  <c r="J8" i="10"/>
  <c r="K8" i="10"/>
  <c r="L1440" i="7"/>
  <c r="L724" i="11" s="1"/>
  <c r="P724" i="11" s="1"/>
  <c r="L903" i="7"/>
  <c r="L187" i="11" s="1"/>
  <c r="P187" i="11" s="1"/>
  <c r="L187" i="7"/>
  <c r="L187" i="10" s="1"/>
  <c r="P187" i="10" s="1"/>
  <c r="L1261" i="7"/>
  <c r="L545" i="11" s="1"/>
  <c r="P545" i="11" s="1"/>
  <c r="L545" i="7"/>
  <c r="L545" i="10" s="1"/>
  <c r="P545" i="10" s="1"/>
  <c r="H1441" i="7"/>
  <c r="E1442" i="7" s="1"/>
  <c r="L1082" i="7"/>
  <c r="L366" i="11" s="1"/>
  <c r="P366" i="11" s="1"/>
  <c r="H367" i="7"/>
  <c r="E368" i="7" s="1"/>
  <c r="E367" i="10"/>
  <c r="L366" i="7"/>
  <c r="L366" i="10" s="1"/>
  <c r="P366" i="10" s="1"/>
  <c r="H725" i="7"/>
  <c r="E726" i="7" s="1"/>
  <c r="H1620" i="7"/>
  <c r="E1621" i="7" s="1"/>
  <c r="L1619" i="7"/>
  <c r="L903" i="11" s="1"/>
  <c r="P903" i="11" s="1"/>
  <c r="H9" i="7"/>
  <c r="E10" i="7" s="1"/>
  <c r="E9" i="10"/>
  <c r="L724" i="7"/>
  <c r="L8" i="11" s="1"/>
  <c r="P8" i="11" s="1"/>
  <c r="H1083" i="7"/>
  <c r="E1084" i="7" s="1"/>
  <c r="H904" i="7"/>
  <c r="E905" i="7" s="1"/>
  <c r="H1262" i="7"/>
  <c r="E1263" i="7" s="1"/>
  <c r="L8" i="7"/>
  <c r="H188" i="7"/>
  <c r="E189" i="7" s="1"/>
  <c r="E188" i="10"/>
  <c r="H546" i="7"/>
  <c r="E547" i="7" s="1"/>
  <c r="E546" i="10"/>
  <c r="K19" i="14" a="1"/>
  <c r="K19" i="14" s="1"/>
  <c r="H20" i="14"/>
  <c r="I20" i="14" s="1"/>
  <c r="Z1802" i="7" l="1" a="1"/>
  <c r="Z1802" i="7" s="1"/>
  <c r="H1806" i="7"/>
  <c r="E1807" i="7" s="1"/>
  <c r="Z186" i="7" a="1"/>
  <c r="Z186" i="7" s="1"/>
  <c r="Z365" i="7" a="1"/>
  <c r="Z365" i="7" s="1"/>
  <c r="Z544" i="7" a="1"/>
  <c r="Z544" i="7" s="1"/>
  <c r="Z1260" i="7" a="1"/>
  <c r="Z1260" i="7" s="1"/>
  <c r="I546" i="11"/>
  <c r="Z902" i="7" a="1"/>
  <c r="Z902" i="7" s="1"/>
  <c r="I188" i="11"/>
  <c r="Z1081" i="7" a="1"/>
  <c r="Z1081" i="7" s="1"/>
  <c r="I367" i="11"/>
  <c r="Z1618" i="7" a="1"/>
  <c r="Z1618" i="7" s="1"/>
  <c r="I904" i="11"/>
  <c r="Z723" i="7" a="1"/>
  <c r="Z723" i="7" s="1"/>
  <c r="I9" i="11"/>
  <c r="Z1439" i="7" a="1"/>
  <c r="Z1439" i="7" s="1"/>
  <c r="I725" i="11"/>
  <c r="H1982" i="7"/>
  <c r="E1983" i="7" s="1"/>
  <c r="E728" i="10"/>
  <c r="Z7" i="7" a="1"/>
  <c r="Z7" i="7" s="1"/>
  <c r="I904" i="10"/>
  <c r="Z2156" i="7" a="1"/>
  <c r="Z2156" i="7" s="1"/>
  <c r="J2158" i="7"/>
  <c r="J904" i="10" s="1"/>
  <c r="L2158" i="7"/>
  <c r="L904" i="10" s="1"/>
  <c r="P904" i="10" s="1"/>
  <c r="K2158" i="7"/>
  <c r="K904" i="10" s="1"/>
  <c r="K1805" i="7"/>
  <c r="J1805" i="7"/>
  <c r="L1805" i="7" s="1"/>
  <c r="L8" i="10"/>
  <c r="P8" i="10" s="1"/>
  <c r="J725" i="7"/>
  <c r="J9" i="11" s="1"/>
  <c r="K725" i="7"/>
  <c r="K9" i="11" s="1"/>
  <c r="J1083" i="7"/>
  <c r="J367" i="11" s="1"/>
  <c r="K1083" i="7"/>
  <c r="K367" i="11" s="1"/>
  <c r="J546" i="7"/>
  <c r="J546" i="10" s="1"/>
  <c r="K546" i="7"/>
  <c r="K546" i="10" s="1"/>
  <c r="J1262" i="7"/>
  <c r="J546" i="11" s="1"/>
  <c r="K1262" i="7"/>
  <c r="K546" i="11" s="1"/>
  <c r="J188" i="7"/>
  <c r="J188" i="10" s="1"/>
  <c r="K188" i="7"/>
  <c r="K188" i="10" s="1"/>
  <c r="J904" i="7"/>
  <c r="J188" i="11" s="1"/>
  <c r="K904" i="7"/>
  <c r="K188" i="11" s="1"/>
  <c r="J367" i="7"/>
  <c r="J367" i="10" s="1"/>
  <c r="K367" i="7"/>
  <c r="K367" i="10" s="1"/>
  <c r="J1441" i="7"/>
  <c r="J725" i="11" s="1"/>
  <c r="K1441" i="7"/>
  <c r="K725" i="11" s="1"/>
  <c r="J9" i="7"/>
  <c r="K9" i="7"/>
  <c r="J1620" i="7"/>
  <c r="J904" i="11" s="1"/>
  <c r="K1620" i="7"/>
  <c r="K904" i="11" s="1"/>
  <c r="E726" i="11"/>
  <c r="I546" i="10"/>
  <c r="I9" i="10"/>
  <c r="I188" i="10"/>
  <c r="E905" i="11"/>
  <c r="E547" i="11"/>
  <c r="E10" i="11"/>
  <c r="E189" i="11"/>
  <c r="I367" i="10"/>
  <c r="E368" i="11"/>
  <c r="K20" i="14" a="1"/>
  <c r="K20" i="14" s="1"/>
  <c r="H21" i="14"/>
  <c r="I21" i="14" s="1"/>
  <c r="Z1803" i="7" l="1" a="1"/>
  <c r="Z1803" i="7" s="1"/>
  <c r="H2159" i="7"/>
  <c r="E2160" i="7" s="1"/>
  <c r="E905" i="10"/>
  <c r="I728" i="10"/>
  <c r="K1982" i="7"/>
  <c r="K728" i="10" s="1"/>
  <c r="Z1980" i="7" a="1"/>
  <c r="Z1980" i="7" s="1"/>
  <c r="L1982" i="7"/>
  <c r="L728" i="10" s="1"/>
  <c r="P728" i="10" s="1"/>
  <c r="J1982" i="7"/>
  <c r="J728" i="10" s="1"/>
  <c r="H1807" i="7"/>
  <c r="E1808" i="7" s="1"/>
  <c r="J1806" i="7"/>
  <c r="L1806" i="7" s="1"/>
  <c r="K1806" i="7"/>
  <c r="J9" i="10"/>
  <c r="K9" i="10"/>
  <c r="L9" i="7"/>
  <c r="L9" i="10" s="1"/>
  <c r="P9" i="10" s="1"/>
  <c r="L1620" i="7"/>
  <c r="L904" i="11" s="1"/>
  <c r="P904" i="11" s="1"/>
  <c r="L904" i="7"/>
  <c r="L188" i="11" s="1"/>
  <c r="P188" i="11" s="1"/>
  <c r="L1083" i="7"/>
  <c r="L367" i="11" s="1"/>
  <c r="P367" i="11" s="1"/>
  <c r="L546" i="7"/>
  <c r="L546" i="10" s="1"/>
  <c r="P546" i="10" s="1"/>
  <c r="L188" i="7"/>
  <c r="L188" i="10" s="1"/>
  <c r="P188" i="10" s="1"/>
  <c r="L367" i="7"/>
  <c r="L367" i="10" s="1"/>
  <c r="P367" i="10" s="1"/>
  <c r="H905" i="7"/>
  <c r="E906" i="7" s="1"/>
  <c r="L1262" i="7"/>
  <c r="L546" i="11" s="1"/>
  <c r="P546" i="11" s="1"/>
  <c r="H10" i="7"/>
  <c r="E11" i="7" s="1"/>
  <c r="E10" i="10"/>
  <c r="H1084" i="7"/>
  <c r="E1085" i="7" s="1"/>
  <c r="H1621" i="7"/>
  <c r="E1622" i="7" s="1"/>
  <c r="L725" i="7"/>
  <c r="L9" i="11" s="1"/>
  <c r="P9" i="11" s="1"/>
  <c r="H547" i="7"/>
  <c r="E548" i="7" s="1"/>
  <c r="E547" i="10"/>
  <c r="H189" i="7"/>
  <c r="E190" i="7" s="1"/>
  <c r="E189" i="10"/>
  <c r="H368" i="7"/>
  <c r="E369" i="7" s="1"/>
  <c r="E368" i="10"/>
  <c r="H726" i="7"/>
  <c r="E727" i="7" s="1"/>
  <c r="H1263" i="7"/>
  <c r="E1264" i="7" s="1"/>
  <c r="H1442" i="7"/>
  <c r="E1443" i="7" s="1"/>
  <c r="L1441" i="7"/>
  <c r="L725" i="11" s="1"/>
  <c r="P725" i="11" s="1"/>
  <c r="K21" i="14" a="1"/>
  <c r="K21" i="14" s="1"/>
  <c r="H22" i="14"/>
  <c r="I22" i="14" s="1"/>
  <c r="Z1804" i="7" l="1" a="1"/>
  <c r="Z1804" i="7" s="1"/>
  <c r="H1808" i="7"/>
  <c r="E1809" i="7" s="1"/>
  <c r="Z187" i="7" a="1"/>
  <c r="Z187" i="7" s="1"/>
  <c r="Z366" i="7" a="1"/>
  <c r="Z366" i="7" s="1"/>
  <c r="Z545" i="7" a="1"/>
  <c r="Z545" i="7" s="1"/>
  <c r="Z8" i="7" a="1"/>
  <c r="Z8" i="7" s="1"/>
  <c r="Z1440" i="7" a="1"/>
  <c r="Z1440" i="7" s="1"/>
  <c r="I726" i="11"/>
  <c r="Z1261" i="7" a="1"/>
  <c r="Z1261" i="7" s="1"/>
  <c r="I547" i="11"/>
  <c r="Z724" i="7" a="1"/>
  <c r="Z724" i="7" s="1"/>
  <c r="I10" i="11"/>
  <c r="Z1619" i="7" a="1"/>
  <c r="Z1619" i="7" s="1"/>
  <c r="I905" i="11"/>
  <c r="Z1082" i="7" a="1"/>
  <c r="Z1082" i="7" s="1"/>
  <c r="I368" i="11"/>
  <c r="Z903" i="7" a="1"/>
  <c r="Z903" i="7" s="1"/>
  <c r="I189" i="11"/>
  <c r="H1983" i="7"/>
  <c r="E1984" i="7" s="1"/>
  <c r="E729" i="10"/>
  <c r="I905" i="10"/>
  <c r="Z2157" i="7" a="1"/>
  <c r="Z2157" i="7" s="1"/>
  <c r="K2159" i="7"/>
  <c r="K905" i="10" s="1"/>
  <c r="J2159" i="7"/>
  <c r="J905" i="10" s="1"/>
  <c r="L2159" i="7"/>
  <c r="L905" i="10" s="1"/>
  <c r="P905" i="10" s="1"/>
  <c r="K1807" i="7"/>
  <c r="J1807" i="7"/>
  <c r="L1807" i="7" s="1"/>
  <c r="J10" i="7"/>
  <c r="J10" i="10" s="1"/>
  <c r="K10" i="7"/>
  <c r="K10" i="10" s="1"/>
  <c r="J905" i="7"/>
  <c r="J189" i="11" s="1"/>
  <c r="K905" i="7"/>
  <c r="K189" i="11" s="1"/>
  <c r="J1621" i="7"/>
  <c r="J905" i="11" s="1"/>
  <c r="K1621" i="7"/>
  <c r="K905" i="11" s="1"/>
  <c r="J726" i="7"/>
  <c r="J10" i="11" s="1"/>
  <c r="K726" i="7"/>
  <c r="K10" i="11" s="1"/>
  <c r="J368" i="7"/>
  <c r="J368" i="10" s="1"/>
  <c r="K368" i="7"/>
  <c r="K368" i="10" s="1"/>
  <c r="J189" i="7"/>
  <c r="J189" i="10" s="1"/>
  <c r="K189" i="7"/>
  <c r="K189" i="10" s="1"/>
  <c r="J547" i="7"/>
  <c r="J547" i="10" s="1"/>
  <c r="K547" i="7"/>
  <c r="K547" i="10" s="1"/>
  <c r="J1442" i="7"/>
  <c r="J726" i="11" s="1"/>
  <c r="K1442" i="7"/>
  <c r="K726" i="11" s="1"/>
  <c r="J1263" i="7"/>
  <c r="J547" i="11" s="1"/>
  <c r="K1263" i="7"/>
  <c r="K547" i="11" s="1"/>
  <c r="J1084" i="7"/>
  <c r="J368" i="11" s="1"/>
  <c r="K1084" i="7"/>
  <c r="K368" i="11" s="1"/>
  <c r="I189" i="10"/>
  <c r="E190" i="11"/>
  <c r="I547" i="10"/>
  <c r="E727" i="11"/>
  <c r="E548" i="11"/>
  <c r="E369" i="11"/>
  <c r="I368" i="10"/>
  <c r="E11" i="11"/>
  <c r="E906" i="11"/>
  <c r="I10" i="10"/>
  <c r="K22" i="14" a="1"/>
  <c r="K22" i="14" s="1"/>
  <c r="H23" i="14"/>
  <c r="I23" i="14" s="1"/>
  <c r="Z1805" i="7" l="1" a="1"/>
  <c r="Z1805" i="7" s="1"/>
  <c r="H2160" i="7"/>
  <c r="E2161" i="7" s="1"/>
  <c r="E906" i="10"/>
  <c r="I729" i="10"/>
  <c r="J1983" i="7"/>
  <c r="J729" i="10" s="1"/>
  <c r="L1983" i="7"/>
  <c r="L729" i="10" s="1"/>
  <c r="P729" i="10" s="1"/>
  <c r="K1983" i="7"/>
  <c r="K729" i="10" s="1"/>
  <c r="Z1981" i="7" a="1"/>
  <c r="Z1981" i="7" s="1"/>
  <c r="H1809" i="7"/>
  <c r="E1810" i="7" s="1"/>
  <c r="K1808" i="7"/>
  <c r="J1808" i="7"/>
  <c r="L1808" i="7" s="1"/>
  <c r="L905" i="7"/>
  <c r="L189" i="11" s="1"/>
  <c r="P189" i="11" s="1"/>
  <c r="L1442" i="7"/>
  <c r="L726" i="11" s="1"/>
  <c r="P726" i="11" s="1"/>
  <c r="L1263" i="7"/>
  <c r="L547" i="11" s="1"/>
  <c r="P547" i="11" s="1"/>
  <c r="L10" i="7"/>
  <c r="L10" i="10" s="1"/>
  <c r="P10" i="10" s="1"/>
  <c r="L1084" i="7"/>
  <c r="L368" i="11" s="1"/>
  <c r="P368" i="11" s="1"/>
  <c r="L189" i="7"/>
  <c r="L189" i="10" s="1"/>
  <c r="P189" i="10" s="1"/>
  <c r="L368" i="7"/>
  <c r="L368" i="10" s="1"/>
  <c r="P368" i="10" s="1"/>
  <c r="L726" i="7"/>
  <c r="L10" i="11" s="1"/>
  <c r="P10" i="11" s="1"/>
  <c r="H548" i="7"/>
  <c r="E549" i="7" s="1"/>
  <c r="E548" i="10"/>
  <c r="H11" i="7"/>
  <c r="E12" i="7" s="1"/>
  <c r="E11" i="10"/>
  <c r="L547" i="7"/>
  <c r="L547" i="10" s="1"/>
  <c r="P547" i="10" s="1"/>
  <c r="H1264" i="7"/>
  <c r="E1265" i="7" s="1"/>
  <c r="H190" i="7"/>
  <c r="E191" i="7" s="1"/>
  <c r="E190" i="10"/>
  <c r="H906" i="7"/>
  <c r="E907" i="7" s="1"/>
  <c r="H369" i="7"/>
  <c r="E370" i="7" s="1"/>
  <c r="E369" i="10"/>
  <c r="H1443" i="7"/>
  <c r="E1444" i="7" s="1"/>
  <c r="H1622" i="7"/>
  <c r="E1623" i="7" s="1"/>
  <c r="L1621" i="7"/>
  <c r="L905" i="11" s="1"/>
  <c r="P905" i="11" s="1"/>
  <c r="H1085" i="7"/>
  <c r="E1086" i="7" s="1"/>
  <c r="H727" i="7"/>
  <c r="E728" i="7" s="1"/>
  <c r="K23" i="14" a="1"/>
  <c r="K23" i="14" s="1"/>
  <c r="H24" i="14"/>
  <c r="I24" i="14" s="1"/>
  <c r="Z9" i="7" l="1" a="1"/>
  <c r="Z9" i="7" s="1"/>
  <c r="Z367" i="7" a="1"/>
  <c r="Z367" i="7" s="1"/>
  <c r="Z1806" i="7" a="1"/>
  <c r="Z1806" i="7" s="1"/>
  <c r="Z546" i="7" a="1"/>
  <c r="Z546" i="7" s="1"/>
  <c r="Z188" i="7" a="1"/>
  <c r="Z188" i="7" s="1"/>
  <c r="Z725" i="7" a="1"/>
  <c r="Z725" i="7" s="1"/>
  <c r="I11" i="11"/>
  <c r="Z1083" i="7" a="1"/>
  <c r="Z1083" i="7" s="1"/>
  <c r="I369" i="11"/>
  <c r="Z1620" i="7" a="1"/>
  <c r="Z1620" i="7" s="1"/>
  <c r="I906" i="11"/>
  <c r="Z1441" i="7" a="1"/>
  <c r="Z1441" i="7" s="1"/>
  <c r="I727" i="11"/>
  <c r="Z904" i="7" a="1"/>
  <c r="Z904" i="7" s="1"/>
  <c r="I190" i="11"/>
  <c r="Z1262" i="7" a="1"/>
  <c r="Z1262" i="7" s="1"/>
  <c r="I548" i="11"/>
  <c r="H1984" i="7"/>
  <c r="E1985" i="7" s="1"/>
  <c r="E730" i="10"/>
  <c r="I906" i="10"/>
  <c r="Z2158" i="7" a="1"/>
  <c r="Z2158" i="7" s="1"/>
  <c r="K2160" i="7"/>
  <c r="K906" i="10" s="1"/>
  <c r="J2160" i="7"/>
  <c r="J906" i="10" s="1"/>
  <c r="L2160" i="7"/>
  <c r="L906" i="10" s="1"/>
  <c r="P906" i="10" s="1"/>
  <c r="K1809" i="7"/>
  <c r="H1810" i="7"/>
  <c r="E1811" i="7" s="1"/>
  <c r="J1809" i="7"/>
  <c r="L1809" i="7" s="1"/>
  <c r="J1443" i="7"/>
  <c r="J727" i="11" s="1"/>
  <c r="K1443" i="7"/>
  <c r="K727" i="11" s="1"/>
  <c r="J369" i="7"/>
  <c r="J369" i="10" s="1"/>
  <c r="K369" i="7"/>
  <c r="K369" i="10" s="1"/>
  <c r="J548" i="7"/>
  <c r="J548" i="10" s="1"/>
  <c r="K548" i="7"/>
  <c r="K548" i="10" s="1"/>
  <c r="J1085" i="7"/>
  <c r="J369" i="11" s="1"/>
  <c r="K1085" i="7"/>
  <c r="K369" i="11" s="1"/>
  <c r="J1622" i="7"/>
  <c r="J906" i="11" s="1"/>
  <c r="K1622" i="7"/>
  <c r="K906" i="11" s="1"/>
  <c r="J11" i="7"/>
  <c r="J11" i="10" s="1"/>
  <c r="K11" i="7"/>
  <c r="K11" i="10" s="1"/>
  <c r="J906" i="7"/>
  <c r="J190" i="11" s="1"/>
  <c r="K906" i="7"/>
  <c r="K190" i="11" s="1"/>
  <c r="J190" i="7"/>
  <c r="J190" i="10" s="1"/>
  <c r="K190" i="7"/>
  <c r="K190" i="10" s="1"/>
  <c r="J1264" i="7"/>
  <c r="J548" i="11" s="1"/>
  <c r="K1264" i="7"/>
  <c r="K548" i="11" s="1"/>
  <c r="J727" i="7"/>
  <c r="J11" i="11" s="1"/>
  <c r="K727" i="7"/>
  <c r="K11" i="11" s="1"/>
  <c r="I369" i="10"/>
  <c r="E728" i="11"/>
  <c r="E191" i="11"/>
  <c r="E12" i="11"/>
  <c r="I190" i="10"/>
  <c r="E370" i="11"/>
  <c r="E549" i="11"/>
  <c r="E907" i="11"/>
  <c r="I11" i="10"/>
  <c r="I548" i="10"/>
  <c r="K24" i="14" a="1"/>
  <c r="K24" i="14" s="1"/>
  <c r="H25" i="14"/>
  <c r="I25" i="14" s="1"/>
  <c r="Z1807" i="7" l="1" a="1"/>
  <c r="Z1807" i="7" s="1"/>
  <c r="H1811" i="7"/>
  <c r="E1812" i="7" s="1"/>
  <c r="H2161" i="7"/>
  <c r="E2162" i="7" s="1"/>
  <c r="E907" i="10"/>
  <c r="I730" i="10"/>
  <c r="L1984" i="7"/>
  <c r="L730" i="10" s="1"/>
  <c r="P730" i="10" s="1"/>
  <c r="Z1982" i="7" a="1"/>
  <c r="Z1982" i="7" s="1"/>
  <c r="J1984" i="7"/>
  <c r="J730" i="10" s="1"/>
  <c r="K1984" i="7"/>
  <c r="K730" i="10" s="1"/>
  <c r="K1810" i="7"/>
  <c r="J1810" i="7"/>
  <c r="L1810" i="7" s="1"/>
  <c r="L906" i="7"/>
  <c r="L190" i="11" s="1"/>
  <c r="P190" i="11" s="1"/>
  <c r="L1085" i="7"/>
  <c r="L369" i="11" s="1"/>
  <c r="P369" i="11" s="1"/>
  <c r="L1443" i="7"/>
  <c r="L727" i="11" s="1"/>
  <c r="P727" i="11" s="1"/>
  <c r="L548" i="7"/>
  <c r="L548" i="10" s="1"/>
  <c r="P548" i="10" s="1"/>
  <c r="H12" i="7"/>
  <c r="E13" i="7" s="1"/>
  <c r="E12" i="10"/>
  <c r="H191" i="7"/>
  <c r="E192" i="7" s="1"/>
  <c r="E191" i="10"/>
  <c r="H1265" i="7"/>
  <c r="E1266" i="7" s="1"/>
  <c r="H1444" i="7"/>
  <c r="E1445" i="7" s="1"/>
  <c r="H907" i="7"/>
  <c r="E908" i="7" s="1"/>
  <c r="L190" i="7"/>
  <c r="L190" i="10" s="1"/>
  <c r="P190" i="10" s="1"/>
  <c r="L1264" i="7"/>
  <c r="L548" i="11" s="1"/>
  <c r="P548" i="11" s="1"/>
  <c r="H1086" i="7"/>
  <c r="E1087" i="7" s="1"/>
  <c r="H728" i="7"/>
  <c r="E729" i="7" s="1"/>
  <c r="L11" i="7"/>
  <c r="L11" i="10" s="1"/>
  <c r="P11" i="10" s="1"/>
  <c r="L727" i="7"/>
  <c r="L11" i="11" s="1"/>
  <c r="P11" i="11" s="1"/>
  <c r="H370" i="7"/>
  <c r="E371" i="7" s="1"/>
  <c r="E370" i="10"/>
  <c r="H1623" i="7"/>
  <c r="E1624" i="7" s="1"/>
  <c r="L369" i="7"/>
  <c r="L369" i="10" s="1"/>
  <c r="P369" i="10" s="1"/>
  <c r="H549" i="7"/>
  <c r="E550" i="7" s="1"/>
  <c r="E549" i="10"/>
  <c r="L1622" i="7"/>
  <c r="L906" i="11" s="1"/>
  <c r="P906" i="11" s="1"/>
  <c r="K25" i="14" a="1"/>
  <c r="K25" i="14" s="1"/>
  <c r="H26" i="14"/>
  <c r="I26" i="14" s="1"/>
  <c r="Z547" i="7" l="1" a="1"/>
  <c r="Z547" i="7" s="1"/>
  <c r="Z189" i="7" a="1"/>
  <c r="Z189" i="7" s="1"/>
  <c r="Z368" i="7" a="1"/>
  <c r="Z368" i="7" s="1"/>
  <c r="Z10" i="7" a="1"/>
  <c r="Z10" i="7" s="1"/>
  <c r="Z1808" i="7" a="1"/>
  <c r="Z1808" i="7" s="1"/>
  <c r="H1812" i="7"/>
  <c r="E1813" i="7" s="1"/>
  <c r="Z1621" i="7" a="1"/>
  <c r="Z1621" i="7" s="1"/>
  <c r="I907" i="11"/>
  <c r="Z726" i="7" a="1"/>
  <c r="Z726" i="7" s="1"/>
  <c r="I12" i="11"/>
  <c r="Z1084" i="7" a="1"/>
  <c r="Z1084" i="7" s="1"/>
  <c r="I370" i="11"/>
  <c r="Z905" i="7" a="1"/>
  <c r="Z905" i="7" s="1"/>
  <c r="I191" i="11"/>
  <c r="Z1442" i="7" a="1"/>
  <c r="Z1442" i="7" s="1"/>
  <c r="I728" i="11"/>
  <c r="Z1263" i="7" a="1"/>
  <c r="Z1263" i="7" s="1"/>
  <c r="I549" i="11"/>
  <c r="H1985" i="7"/>
  <c r="E1986" i="7" s="1"/>
  <c r="E731" i="10"/>
  <c r="I907" i="10"/>
  <c r="J2161" i="7"/>
  <c r="J907" i="10" s="1"/>
  <c r="L2161" i="7"/>
  <c r="L907" i="10" s="1"/>
  <c r="P907" i="10" s="1"/>
  <c r="K2161" i="7"/>
  <c r="K907" i="10" s="1"/>
  <c r="Z2159" i="7" a="1"/>
  <c r="Z2159" i="7" s="1"/>
  <c r="J1811" i="7"/>
  <c r="L1811" i="7" s="1"/>
  <c r="K1811" i="7"/>
  <c r="J370" i="7"/>
  <c r="J370" i="10" s="1"/>
  <c r="K370" i="7"/>
  <c r="K370" i="10" s="1"/>
  <c r="J549" i="7"/>
  <c r="J549" i="10" s="1"/>
  <c r="K549" i="7"/>
  <c r="K549" i="10" s="1"/>
  <c r="J1444" i="7"/>
  <c r="J728" i="11" s="1"/>
  <c r="K1444" i="7"/>
  <c r="K728" i="11" s="1"/>
  <c r="J728" i="7"/>
  <c r="J12" i="11" s="1"/>
  <c r="K728" i="7"/>
  <c r="K12" i="11" s="1"/>
  <c r="J1086" i="7"/>
  <c r="J370" i="11" s="1"/>
  <c r="K1086" i="7"/>
  <c r="K370" i="11" s="1"/>
  <c r="J1265" i="7"/>
  <c r="J549" i="11" s="1"/>
  <c r="K1265" i="7"/>
  <c r="K549" i="11" s="1"/>
  <c r="J191" i="7"/>
  <c r="J191" i="10" s="1"/>
  <c r="K191" i="7"/>
  <c r="K191" i="10" s="1"/>
  <c r="J12" i="7"/>
  <c r="J12" i="10" s="1"/>
  <c r="K12" i="7"/>
  <c r="K12" i="10" s="1"/>
  <c r="J1623" i="7"/>
  <c r="J907" i="11" s="1"/>
  <c r="K1623" i="7"/>
  <c r="K907" i="11" s="1"/>
  <c r="J907" i="7"/>
  <c r="J191" i="11" s="1"/>
  <c r="K907" i="7"/>
  <c r="K191" i="11" s="1"/>
  <c r="E371" i="11"/>
  <c r="I12" i="10"/>
  <c r="I549" i="10"/>
  <c r="E908" i="11"/>
  <c r="E192" i="11"/>
  <c r="I370" i="10"/>
  <c r="E729" i="11"/>
  <c r="E13" i="11"/>
  <c r="E550" i="11"/>
  <c r="I191" i="10"/>
  <c r="K26" i="14" a="1"/>
  <c r="K26" i="14" s="1"/>
  <c r="H27" i="14"/>
  <c r="I27" i="14" s="1"/>
  <c r="Z1809" i="7" l="1" a="1"/>
  <c r="Z1809" i="7" s="1"/>
  <c r="H1813" i="7"/>
  <c r="E1814" i="7" s="1"/>
  <c r="H2162" i="7"/>
  <c r="E2163" i="7" s="1"/>
  <c r="E908" i="10"/>
  <c r="I731" i="10"/>
  <c r="J1985" i="7"/>
  <c r="J731" i="10" s="1"/>
  <c r="Z1983" i="7" a="1"/>
  <c r="Z1983" i="7" s="1"/>
  <c r="K1985" i="7"/>
  <c r="K731" i="10" s="1"/>
  <c r="L1985" i="7"/>
  <c r="L731" i="10" s="1"/>
  <c r="P731" i="10" s="1"/>
  <c r="K1812" i="7"/>
  <c r="J1812" i="7"/>
  <c r="L1812" i="7" s="1"/>
  <c r="L907" i="7"/>
  <c r="L191" i="11" s="1"/>
  <c r="P191" i="11" s="1"/>
  <c r="L191" i="7"/>
  <c r="L191" i="10" s="1"/>
  <c r="P191" i="10" s="1"/>
  <c r="L1444" i="7"/>
  <c r="L728" i="11" s="1"/>
  <c r="P728" i="11" s="1"/>
  <c r="L549" i="7"/>
  <c r="L549" i="10" s="1"/>
  <c r="P549" i="10" s="1"/>
  <c r="L728" i="7"/>
  <c r="L12" i="11" s="1"/>
  <c r="P12" i="11" s="1"/>
  <c r="H908" i="7"/>
  <c r="E909" i="7" s="1"/>
  <c r="H1266" i="7"/>
  <c r="E1267" i="7" s="1"/>
  <c r="H1445" i="7"/>
  <c r="E1446" i="7" s="1"/>
  <c r="H13" i="7"/>
  <c r="E14" i="7" s="1"/>
  <c r="E13" i="10"/>
  <c r="H1624" i="7"/>
  <c r="E1625" i="7" s="1"/>
  <c r="L12" i="7"/>
  <c r="L12" i="10" s="1"/>
  <c r="P12" i="10" s="1"/>
  <c r="L1265" i="7"/>
  <c r="L549" i="11" s="1"/>
  <c r="P549" i="11" s="1"/>
  <c r="H371" i="7"/>
  <c r="E372" i="7" s="1"/>
  <c r="E371" i="10"/>
  <c r="L1623" i="7"/>
  <c r="L907" i="11" s="1"/>
  <c r="P907" i="11" s="1"/>
  <c r="H1087" i="7"/>
  <c r="E1088" i="7" s="1"/>
  <c r="H192" i="7"/>
  <c r="E193" i="7" s="1"/>
  <c r="E192" i="10"/>
  <c r="H729" i="7"/>
  <c r="E730" i="7" s="1"/>
  <c r="L370" i="7"/>
  <c r="L370" i="10" s="1"/>
  <c r="P370" i="10" s="1"/>
  <c r="L1086" i="7"/>
  <c r="L370" i="11" s="1"/>
  <c r="P370" i="11" s="1"/>
  <c r="H550" i="7"/>
  <c r="E551" i="7" s="1"/>
  <c r="E550" i="10"/>
  <c r="K27" i="14" a="1"/>
  <c r="K27" i="14" s="1"/>
  <c r="H28" i="14"/>
  <c r="I28" i="14" s="1"/>
  <c r="Z1810" i="7" l="1" a="1"/>
  <c r="Z1810" i="7" s="1"/>
  <c r="Z548" i="7" a="1"/>
  <c r="Z548" i="7" s="1"/>
  <c r="Z11" i="7" a="1"/>
  <c r="Z11" i="7" s="1"/>
  <c r="Z190" i="7" a="1"/>
  <c r="Z190" i="7" s="1"/>
  <c r="Z369" i="7" a="1"/>
  <c r="Z369" i="7" s="1"/>
  <c r="Z727" i="7" a="1"/>
  <c r="Z727" i="7" s="1"/>
  <c r="I13" i="11"/>
  <c r="Z1085" i="7" a="1"/>
  <c r="Z1085" i="7" s="1"/>
  <c r="I371" i="11"/>
  <c r="Z1622" i="7" a="1"/>
  <c r="Z1622" i="7" s="1"/>
  <c r="I908" i="11"/>
  <c r="Z1443" i="7" a="1"/>
  <c r="Z1443" i="7" s="1"/>
  <c r="I729" i="11"/>
  <c r="Z1264" i="7" a="1"/>
  <c r="Z1264" i="7" s="1"/>
  <c r="I550" i="11"/>
  <c r="Z906" i="7" a="1"/>
  <c r="Z906" i="7" s="1"/>
  <c r="I192" i="11"/>
  <c r="H1986" i="7"/>
  <c r="E1987" i="7" s="1"/>
  <c r="E732" i="10"/>
  <c r="I908" i="10"/>
  <c r="K2162" i="7"/>
  <c r="K908" i="10" s="1"/>
  <c r="J2162" i="7"/>
  <c r="J908" i="10" s="1"/>
  <c r="L2162" i="7"/>
  <c r="L908" i="10" s="1"/>
  <c r="P908" i="10" s="1"/>
  <c r="Z2160" i="7" a="1"/>
  <c r="Z2160" i="7" s="1"/>
  <c r="H1814" i="7"/>
  <c r="E1815" i="7" s="1"/>
  <c r="K1813" i="7"/>
  <c r="J1813" i="7"/>
  <c r="L1813" i="7" s="1"/>
  <c r="J1087" i="7"/>
  <c r="J371" i="11" s="1"/>
  <c r="K1087" i="7"/>
  <c r="K371" i="11" s="1"/>
  <c r="J1266" i="7"/>
  <c r="J550" i="11" s="1"/>
  <c r="K1266" i="7"/>
  <c r="K550" i="11" s="1"/>
  <c r="J908" i="7"/>
  <c r="J192" i="11" s="1"/>
  <c r="K908" i="7"/>
  <c r="K192" i="11" s="1"/>
  <c r="J1445" i="7"/>
  <c r="J729" i="11" s="1"/>
  <c r="K1445" i="7"/>
  <c r="K729" i="11" s="1"/>
  <c r="J192" i="7"/>
  <c r="J192" i="10" s="1"/>
  <c r="K192" i="7"/>
  <c r="K192" i="10" s="1"/>
  <c r="J371" i="7"/>
  <c r="J371" i="10" s="1"/>
  <c r="K371" i="7"/>
  <c r="K371" i="10" s="1"/>
  <c r="J550" i="7"/>
  <c r="J550" i="10" s="1"/>
  <c r="K550" i="7"/>
  <c r="K550" i="10" s="1"/>
  <c r="J1624" i="7"/>
  <c r="J908" i="11" s="1"/>
  <c r="K1624" i="7"/>
  <c r="K908" i="11" s="1"/>
  <c r="J729" i="7"/>
  <c r="J13" i="11" s="1"/>
  <c r="K729" i="7"/>
  <c r="K13" i="11" s="1"/>
  <c r="J13" i="7"/>
  <c r="J13" i="10" s="1"/>
  <c r="K13" i="7"/>
  <c r="K13" i="10" s="1"/>
  <c r="E193" i="11"/>
  <c r="I550" i="10"/>
  <c r="I371" i="10"/>
  <c r="E909" i="11"/>
  <c r="I13" i="10"/>
  <c r="E14" i="11"/>
  <c r="I192" i="10"/>
  <c r="E730" i="11"/>
  <c r="E372" i="11"/>
  <c r="E551" i="11"/>
  <c r="K28" i="14" a="1"/>
  <c r="K28" i="14" s="1"/>
  <c r="H29" i="14"/>
  <c r="I29" i="14" s="1"/>
  <c r="Z1811" i="7" l="1" a="1"/>
  <c r="Z1811" i="7" s="1"/>
  <c r="H1815" i="7"/>
  <c r="E1816" i="7" s="1"/>
  <c r="H2163" i="7"/>
  <c r="E2164" i="7" s="1"/>
  <c r="E909" i="10"/>
  <c r="I732" i="10"/>
  <c r="L1986" i="7"/>
  <c r="L732" i="10" s="1"/>
  <c r="P732" i="10" s="1"/>
  <c r="K1986" i="7"/>
  <c r="K732" i="10" s="1"/>
  <c r="Z1984" i="7" a="1"/>
  <c r="Z1984" i="7" s="1"/>
  <c r="J1986" i="7"/>
  <c r="J732" i="10" s="1"/>
  <c r="K29" i="14" a="1"/>
  <c r="K29" i="14" s="1"/>
  <c r="H30" i="14"/>
  <c r="I30" i="14" s="1"/>
  <c r="J1814" i="7"/>
  <c r="L1814" i="7" s="1"/>
  <c r="K1814" i="7"/>
  <c r="L1445" i="7"/>
  <c r="L729" i="11" s="1"/>
  <c r="P729" i="11" s="1"/>
  <c r="L908" i="7"/>
  <c r="L192" i="11" s="1"/>
  <c r="P192" i="11" s="1"/>
  <c r="L1624" i="7"/>
  <c r="L908" i="11" s="1"/>
  <c r="P908" i="11" s="1"/>
  <c r="H1267" i="7"/>
  <c r="E1268" i="7" s="1"/>
  <c r="H14" i="7"/>
  <c r="E15" i="7" s="1"/>
  <c r="E14" i="10"/>
  <c r="L371" i="7"/>
  <c r="L371" i="10" s="1"/>
  <c r="P371" i="10" s="1"/>
  <c r="H909" i="7"/>
  <c r="E910" i="7" s="1"/>
  <c r="L13" i="7"/>
  <c r="L13" i="10" s="1"/>
  <c r="P13" i="10" s="1"/>
  <c r="H551" i="7"/>
  <c r="E552" i="7" s="1"/>
  <c r="E551" i="10"/>
  <c r="H193" i="7"/>
  <c r="E194" i="7" s="1"/>
  <c r="E193" i="10"/>
  <c r="L1266" i="7"/>
  <c r="L550" i="11" s="1"/>
  <c r="P550" i="11" s="1"/>
  <c r="H1088" i="7"/>
  <c r="E1089" i="7" s="1"/>
  <c r="L192" i="7"/>
  <c r="L192" i="10" s="1"/>
  <c r="P192" i="10" s="1"/>
  <c r="H1446" i="7"/>
  <c r="E1447" i="7" s="1"/>
  <c r="L1087" i="7"/>
  <c r="L371" i="11" s="1"/>
  <c r="P371" i="11" s="1"/>
  <c r="H1625" i="7"/>
  <c r="E1626" i="7" s="1"/>
  <c r="L550" i="7"/>
  <c r="L550" i="10" s="1"/>
  <c r="P550" i="10" s="1"/>
  <c r="L729" i="7"/>
  <c r="L13" i="11" s="1"/>
  <c r="P13" i="11" s="1"/>
  <c r="H730" i="7"/>
  <c r="E731" i="7" s="1"/>
  <c r="H372" i="7"/>
  <c r="E373" i="7" s="1"/>
  <c r="E372" i="10"/>
  <c r="Z12" i="7" l="1" a="1"/>
  <c r="Z12" i="7" s="1"/>
  <c r="Z191" i="7" a="1"/>
  <c r="Z191" i="7" s="1"/>
  <c r="Z370" i="7" a="1"/>
  <c r="Z370" i="7" s="1"/>
  <c r="Z549" i="7" a="1"/>
  <c r="Z549" i="7" s="1"/>
  <c r="Z728" i="7" a="1"/>
  <c r="Z728" i="7" s="1"/>
  <c r="I14" i="11"/>
  <c r="Z1623" i="7" a="1"/>
  <c r="Z1623" i="7" s="1"/>
  <c r="I909" i="11"/>
  <c r="Z1444" i="7" a="1"/>
  <c r="Z1444" i="7" s="1"/>
  <c r="I730" i="11"/>
  <c r="Z1086" i="7" a="1"/>
  <c r="Z1086" i="7" s="1"/>
  <c r="I372" i="11"/>
  <c r="Z907" i="7" a="1"/>
  <c r="Z907" i="7" s="1"/>
  <c r="I193" i="11"/>
  <c r="Z1265" i="7" a="1"/>
  <c r="Z1265" i="7" s="1"/>
  <c r="I551" i="11"/>
  <c r="H1987" i="7"/>
  <c r="E1988" i="7" s="1"/>
  <c r="E733" i="10"/>
  <c r="I909" i="10"/>
  <c r="Z2161" i="7" a="1"/>
  <c r="Z2161" i="7" s="1"/>
  <c r="J2163" i="7"/>
  <c r="J909" i="10" s="1"/>
  <c r="L2163" i="7"/>
  <c r="L909" i="10" s="1"/>
  <c r="P909" i="10" s="1"/>
  <c r="K2163" i="7"/>
  <c r="K909" i="10" s="1"/>
  <c r="K30" i="14" a="1"/>
  <c r="K30" i="14" s="1"/>
  <c r="H31" i="14"/>
  <c r="I31" i="14" s="1"/>
  <c r="J1815" i="7"/>
  <c r="L1815" i="7" s="1"/>
  <c r="H1816" i="7"/>
  <c r="E1817" i="7" s="1"/>
  <c r="K1815" i="7"/>
  <c r="J1625" i="7"/>
  <c r="J909" i="11" s="1"/>
  <c r="K1625" i="7"/>
  <c r="K909" i="11" s="1"/>
  <c r="J372" i="7"/>
  <c r="J372" i="10" s="1"/>
  <c r="K372" i="7"/>
  <c r="K372" i="10" s="1"/>
  <c r="J551" i="7"/>
  <c r="J551" i="10" s="1"/>
  <c r="K551" i="7"/>
  <c r="K551" i="10" s="1"/>
  <c r="J909" i="7"/>
  <c r="J193" i="11" s="1"/>
  <c r="K909" i="7"/>
  <c r="K193" i="11" s="1"/>
  <c r="J1446" i="7"/>
  <c r="J730" i="11" s="1"/>
  <c r="K1446" i="7"/>
  <c r="K730" i="11" s="1"/>
  <c r="J14" i="7"/>
  <c r="J14" i="10" s="1"/>
  <c r="K14" i="7"/>
  <c r="K14" i="10" s="1"/>
  <c r="J1088" i="7"/>
  <c r="J372" i="11" s="1"/>
  <c r="K1088" i="7"/>
  <c r="K372" i="11" s="1"/>
  <c r="J1267" i="7"/>
  <c r="J551" i="11" s="1"/>
  <c r="K1267" i="7"/>
  <c r="K551" i="11" s="1"/>
  <c r="J730" i="7"/>
  <c r="J14" i="11" s="1"/>
  <c r="K730" i="7"/>
  <c r="K14" i="11" s="1"/>
  <c r="J193" i="7"/>
  <c r="J193" i="10" s="1"/>
  <c r="K193" i="7"/>
  <c r="K193" i="10" s="1"/>
  <c r="E15" i="11"/>
  <c r="I193" i="10"/>
  <c r="I551" i="10"/>
  <c r="E194" i="11"/>
  <c r="E731" i="11"/>
  <c r="E910" i="11"/>
  <c r="I14" i="10"/>
  <c r="I372" i="10"/>
  <c r="E373" i="11"/>
  <c r="E552" i="11"/>
  <c r="H2164" i="7" l="1"/>
  <c r="E2165" i="7" s="1"/>
  <c r="E910" i="10"/>
  <c r="I733" i="10"/>
  <c r="K1987" i="7"/>
  <c r="K733" i="10" s="1"/>
  <c r="J1987" i="7"/>
  <c r="J733" i="10" s="1"/>
  <c r="Z1985" i="7" a="1"/>
  <c r="Z1985" i="7" s="1"/>
  <c r="L1987" i="7"/>
  <c r="L733" i="10" s="1"/>
  <c r="P733" i="10" s="1"/>
  <c r="K31" i="14" a="1"/>
  <c r="K31" i="14" s="1"/>
  <c r="H32" i="14"/>
  <c r="I32" i="14" s="1"/>
  <c r="J1816" i="7"/>
  <c r="L1816" i="7" s="1"/>
  <c r="H1817" i="7"/>
  <c r="E1818" i="7" s="1"/>
  <c r="K1816" i="7"/>
  <c r="L193" i="7"/>
  <c r="L193" i="10" s="1"/>
  <c r="P193" i="10" s="1"/>
  <c r="L1446" i="7"/>
  <c r="L730" i="11" s="1"/>
  <c r="P730" i="11" s="1"/>
  <c r="L909" i="7"/>
  <c r="L193" i="11" s="1"/>
  <c r="P193" i="11" s="1"/>
  <c r="L1625" i="7"/>
  <c r="L909" i="11" s="1"/>
  <c r="P909" i="11" s="1"/>
  <c r="L14" i="7"/>
  <c r="L14" i="10" s="1"/>
  <c r="P14" i="10" s="1"/>
  <c r="L730" i="7"/>
  <c r="L14" i="11" s="1"/>
  <c r="P14" i="11" s="1"/>
  <c r="H1268" i="7"/>
  <c r="E1269" i="7" s="1"/>
  <c r="H1447" i="7"/>
  <c r="E1448" i="7" s="1"/>
  <c r="L372" i="7"/>
  <c r="L372" i="10" s="1"/>
  <c r="P372" i="10" s="1"/>
  <c r="L551" i="7"/>
  <c r="L551" i="10" s="1"/>
  <c r="P551" i="10" s="1"/>
  <c r="H552" i="7"/>
  <c r="E553" i="7" s="1"/>
  <c r="E552" i="10"/>
  <c r="L1267" i="7"/>
  <c r="L551" i="11" s="1"/>
  <c r="P551" i="11" s="1"/>
  <c r="H15" i="7"/>
  <c r="E16" i="7" s="1"/>
  <c r="E15" i="10"/>
  <c r="H731" i="7"/>
  <c r="E732" i="7" s="1"/>
  <c r="H1089" i="7"/>
  <c r="E1090" i="7" s="1"/>
  <c r="H194" i="7"/>
  <c r="E195" i="7" s="1"/>
  <c r="E194" i="10"/>
  <c r="L1088" i="7"/>
  <c r="L372" i="11" s="1"/>
  <c r="P372" i="11" s="1"/>
  <c r="H910" i="7"/>
  <c r="E911" i="7" s="1"/>
  <c r="H1626" i="7"/>
  <c r="E1627" i="7" s="1"/>
  <c r="H373" i="7"/>
  <c r="E374" i="7" s="1"/>
  <c r="E373" i="10"/>
  <c r="Z192" i="7" l="1" a="1"/>
  <c r="Z192" i="7" s="1"/>
  <c r="Z371" i="7" a="1"/>
  <c r="Z371" i="7" s="1"/>
  <c r="Z550" i="7" a="1"/>
  <c r="Z550" i="7" s="1"/>
  <c r="Z13" i="7" a="1"/>
  <c r="Z13" i="7" s="1"/>
  <c r="Z1624" i="7" a="1"/>
  <c r="Z1624" i="7" s="1"/>
  <c r="I910" i="11"/>
  <c r="Z908" i="7" a="1"/>
  <c r="Z908" i="7" s="1"/>
  <c r="I194" i="11"/>
  <c r="Z1087" i="7" a="1"/>
  <c r="Z1087" i="7" s="1"/>
  <c r="I373" i="11"/>
  <c r="Z729" i="7" a="1"/>
  <c r="Z729" i="7" s="1"/>
  <c r="I15" i="11"/>
  <c r="Z1445" i="7" a="1"/>
  <c r="Z1445" i="7" s="1"/>
  <c r="I731" i="11"/>
  <c r="Z1266" i="7" a="1"/>
  <c r="Z1266" i="7" s="1"/>
  <c r="I552" i="11"/>
  <c r="H1988" i="7"/>
  <c r="E1989" i="7" s="1"/>
  <c r="E734" i="10"/>
  <c r="I910" i="10"/>
  <c r="K2164" i="7"/>
  <c r="K910" i="10" s="1"/>
  <c r="J2164" i="7"/>
  <c r="J910" i="10" s="1"/>
  <c r="L2164" i="7"/>
  <c r="L910" i="10" s="1"/>
  <c r="P910" i="10" s="1"/>
  <c r="Z2162" i="7" a="1"/>
  <c r="Z2162" i="7" s="1"/>
  <c r="K32" i="14" a="1"/>
  <c r="K32" i="14" s="1"/>
  <c r="K33" i="14" a="1"/>
  <c r="K33" i="14" s="1"/>
  <c r="H33" i="14"/>
  <c r="I33" i="14" s="1"/>
  <c r="J1817" i="7"/>
  <c r="L1817" i="7" s="1"/>
  <c r="K1817" i="7"/>
  <c r="H1818" i="7"/>
  <c r="E1819" i="7" s="1"/>
  <c r="J194" i="7"/>
  <c r="J194" i="10" s="1"/>
  <c r="K194" i="7"/>
  <c r="K194" i="10" s="1"/>
  <c r="J1089" i="7"/>
  <c r="J373" i="11" s="1"/>
  <c r="K1089" i="7"/>
  <c r="K373" i="11" s="1"/>
  <c r="J15" i="7"/>
  <c r="J15" i="10" s="1"/>
  <c r="K15" i="7"/>
  <c r="K15" i="10" s="1"/>
  <c r="J1447" i="7"/>
  <c r="J731" i="11" s="1"/>
  <c r="K1447" i="7"/>
  <c r="K731" i="11" s="1"/>
  <c r="J1268" i="7"/>
  <c r="J552" i="11" s="1"/>
  <c r="K1268" i="7"/>
  <c r="K552" i="11" s="1"/>
  <c r="J731" i="7"/>
  <c r="J15" i="11" s="1"/>
  <c r="K731" i="7"/>
  <c r="K15" i="11" s="1"/>
  <c r="J373" i="7"/>
  <c r="J373" i="10" s="1"/>
  <c r="K373" i="7"/>
  <c r="K373" i="10" s="1"/>
  <c r="J1626" i="7"/>
  <c r="J910" i="11" s="1"/>
  <c r="K1626" i="7"/>
  <c r="K910" i="11" s="1"/>
  <c r="J910" i="7"/>
  <c r="J194" i="11" s="1"/>
  <c r="K910" i="7"/>
  <c r="K194" i="11" s="1"/>
  <c r="J552" i="7"/>
  <c r="J552" i="10" s="1"/>
  <c r="K552" i="7"/>
  <c r="K552" i="10" s="1"/>
  <c r="I194" i="10"/>
  <c r="E553" i="11"/>
  <c r="E16" i="11"/>
  <c r="I373" i="10"/>
  <c r="I15" i="10"/>
  <c r="E911" i="11"/>
  <c r="E195" i="11"/>
  <c r="I552" i="10"/>
  <c r="E732" i="11"/>
  <c r="E374" i="11"/>
  <c r="H2165" i="7" l="1"/>
  <c r="E2166" i="7" s="1"/>
  <c r="E911" i="10"/>
  <c r="I734" i="10"/>
  <c r="Z1986" i="7" a="1"/>
  <c r="Z1986" i="7" s="1"/>
  <c r="L1988" i="7"/>
  <c r="L734" i="10" s="1"/>
  <c r="P734" i="10" s="1"/>
  <c r="K1988" i="7"/>
  <c r="K734" i="10" s="1"/>
  <c r="J1988" i="7"/>
  <c r="J734" i="10" s="1"/>
  <c r="F4" i="14"/>
  <c r="J4" i="14" s="1"/>
  <c r="J1818" i="7"/>
  <c r="L1818" i="7" s="1"/>
  <c r="H1819" i="7"/>
  <c r="E1820" i="7" s="1"/>
  <c r="K1818" i="7"/>
  <c r="L552" i="7"/>
  <c r="L552" i="10" s="1"/>
  <c r="P552" i="10" s="1"/>
  <c r="L910" i="7"/>
  <c r="L194" i="11" s="1"/>
  <c r="P194" i="11" s="1"/>
  <c r="L1089" i="7"/>
  <c r="L373" i="11" s="1"/>
  <c r="P373" i="11" s="1"/>
  <c r="L373" i="7"/>
  <c r="L373" i="10" s="1"/>
  <c r="P373" i="10" s="1"/>
  <c r="L1447" i="7"/>
  <c r="L731" i="11" s="1"/>
  <c r="P731" i="11" s="1"/>
  <c r="H1090" i="7"/>
  <c r="E1091" i="7" s="1"/>
  <c r="H16" i="7"/>
  <c r="E17" i="7" s="1"/>
  <c r="E16" i="10"/>
  <c r="L731" i="7"/>
  <c r="L15" i="11" s="1"/>
  <c r="P15" i="11" s="1"/>
  <c r="L15" i="7"/>
  <c r="L15" i="10" s="1"/>
  <c r="P15" i="10" s="1"/>
  <c r="H911" i="7"/>
  <c r="E912" i="7" s="1"/>
  <c r="H1269" i="7"/>
  <c r="E1270" i="7" s="1"/>
  <c r="H1448" i="7"/>
  <c r="E1449" i="7" s="1"/>
  <c r="L1268" i="7"/>
  <c r="L552" i="11" s="1"/>
  <c r="P552" i="11" s="1"/>
  <c r="H374" i="7"/>
  <c r="E375" i="7" s="1"/>
  <c r="E374" i="10"/>
  <c r="H1627" i="7"/>
  <c r="E1628" i="7" s="1"/>
  <c r="H553" i="7"/>
  <c r="E554" i="7" s="1"/>
  <c r="E553" i="10"/>
  <c r="H195" i="7"/>
  <c r="E196" i="7" s="1"/>
  <c r="E195" i="10"/>
  <c r="L1626" i="7"/>
  <c r="L910" i="11" s="1"/>
  <c r="P910" i="11" s="1"/>
  <c r="H732" i="7"/>
  <c r="E733" i="7" s="1"/>
  <c r="L194" i="7"/>
  <c r="L194" i="10" s="1"/>
  <c r="P194" i="10" s="1"/>
  <c r="Z372" i="7" l="1" a="1"/>
  <c r="Z372" i="7" s="1"/>
  <c r="Z193" i="7" a="1"/>
  <c r="Z193" i="7" s="1"/>
  <c r="Z14" i="7" a="1"/>
  <c r="Z14" i="7" s="1"/>
  <c r="Z551" i="7" a="1"/>
  <c r="Z551" i="7" s="1"/>
  <c r="Z730" i="7" a="1"/>
  <c r="Z730" i="7" s="1"/>
  <c r="I16" i="11"/>
  <c r="Z1625" i="7" a="1"/>
  <c r="Z1625" i="7" s="1"/>
  <c r="I911" i="11"/>
  <c r="Z1446" i="7" a="1"/>
  <c r="Z1446" i="7" s="1"/>
  <c r="I732" i="11"/>
  <c r="Z1267" i="7" a="1"/>
  <c r="Z1267" i="7" s="1"/>
  <c r="I553" i="11"/>
  <c r="Z909" i="7" a="1"/>
  <c r="Z909" i="7" s="1"/>
  <c r="I195" i="11"/>
  <c r="Z1088" i="7" a="1"/>
  <c r="Z1088" i="7" s="1"/>
  <c r="I374" i="11"/>
  <c r="H1989" i="7"/>
  <c r="E1990" i="7" s="1"/>
  <c r="E735" i="10"/>
  <c r="I911" i="10"/>
  <c r="L2165" i="7"/>
  <c r="L911" i="10" s="1"/>
  <c r="P911" i="10" s="1"/>
  <c r="Z2163" i="7" a="1"/>
  <c r="Z2163" i="7" s="1"/>
  <c r="J2165" i="7"/>
  <c r="J911" i="10" s="1"/>
  <c r="K2165" i="7"/>
  <c r="K911" i="10" s="1"/>
  <c r="K1819" i="7"/>
  <c r="J1819" i="7"/>
  <c r="L1819" i="7" s="1"/>
  <c r="H1820" i="7"/>
  <c r="E1821" i="7" s="1"/>
  <c r="J911" i="7"/>
  <c r="J195" i="11" s="1"/>
  <c r="K911" i="7"/>
  <c r="K195" i="11" s="1"/>
  <c r="J553" i="7"/>
  <c r="J553" i="10" s="1"/>
  <c r="K553" i="7"/>
  <c r="K553" i="10" s="1"/>
  <c r="J1090" i="7"/>
  <c r="J374" i="11" s="1"/>
  <c r="K1090" i="7"/>
  <c r="K374" i="11" s="1"/>
  <c r="J732" i="7"/>
  <c r="J16" i="11" s="1"/>
  <c r="K732" i="7"/>
  <c r="K16" i="11" s="1"/>
  <c r="J1448" i="7"/>
  <c r="J732" i="11" s="1"/>
  <c r="K1448" i="7"/>
  <c r="K732" i="11" s="1"/>
  <c r="J1627" i="7"/>
  <c r="J911" i="11" s="1"/>
  <c r="K1627" i="7"/>
  <c r="K911" i="11" s="1"/>
  <c r="J16" i="7"/>
  <c r="J16" i="10" s="1"/>
  <c r="K16" i="7"/>
  <c r="K16" i="10" s="1"/>
  <c r="J374" i="7"/>
  <c r="J374" i="10" s="1"/>
  <c r="K374" i="7"/>
  <c r="K374" i="10" s="1"/>
  <c r="J1269" i="7"/>
  <c r="J553" i="11" s="1"/>
  <c r="K1269" i="7"/>
  <c r="K553" i="11" s="1"/>
  <c r="J195" i="7"/>
  <c r="J195" i="10" s="1"/>
  <c r="K195" i="7"/>
  <c r="K195" i="10" s="1"/>
  <c r="E17" i="11"/>
  <c r="E733" i="11"/>
  <c r="E554" i="11"/>
  <c r="E196" i="11"/>
  <c r="I195" i="10"/>
  <c r="I553" i="10"/>
  <c r="E912" i="11"/>
  <c r="I16" i="10"/>
  <c r="I374" i="10"/>
  <c r="E375" i="11"/>
  <c r="H2166" i="7" l="1"/>
  <c r="E2167" i="7" s="1"/>
  <c r="E912" i="10"/>
  <c r="I735" i="10"/>
  <c r="J1989" i="7"/>
  <c r="J735" i="10" s="1"/>
  <c r="K1989" i="7"/>
  <c r="K735" i="10" s="1"/>
  <c r="Z1987" i="7" a="1"/>
  <c r="Z1987" i="7" s="1"/>
  <c r="L1989" i="7"/>
  <c r="L735" i="10" s="1"/>
  <c r="P735" i="10" s="1"/>
  <c r="H1821" i="7"/>
  <c r="E1822" i="7" s="1"/>
  <c r="J1820" i="7"/>
  <c r="L1820" i="7" s="1"/>
  <c r="K1820" i="7"/>
  <c r="L195" i="7"/>
  <c r="L195" i="10" s="1"/>
  <c r="P195" i="10" s="1"/>
  <c r="L1448" i="7"/>
  <c r="L732" i="11" s="1"/>
  <c r="P732" i="11" s="1"/>
  <c r="L911" i="7"/>
  <c r="L195" i="11" s="1"/>
  <c r="P195" i="11" s="1"/>
  <c r="L1090" i="7"/>
  <c r="L374" i="11" s="1"/>
  <c r="P374" i="11" s="1"/>
  <c r="L553" i="7"/>
  <c r="L553" i="10" s="1"/>
  <c r="P553" i="10" s="1"/>
  <c r="H196" i="7"/>
  <c r="E197" i="7" s="1"/>
  <c r="E196" i="10"/>
  <c r="L1269" i="7"/>
  <c r="L553" i="11" s="1"/>
  <c r="P553" i="11" s="1"/>
  <c r="L16" i="7"/>
  <c r="L16" i="10" s="1"/>
  <c r="P16" i="10" s="1"/>
  <c r="H1628" i="7"/>
  <c r="E1629" i="7" s="1"/>
  <c r="H733" i="7"/>
  <c r="E734" i="7" s="1"/>
  <c r="H375" i="7"/>
  <c r="E376" i="7" s="1"/>
  <c r="E375" i="10"/>
  <c r="L1627" i="7"/>
  <c r="L911" i="11" s="1"/>
  <c r="P911" i="11" s="1"/>
  <c r="H1449" i="7"/>
  <c r="E1450" i="7" s="1"/>
  <c r="L374" i="7"/>
  <c r="L374" i="10" s="1"/>
  <c r="P374" i="10" s="1"/>
  <c r="H912" i="7"/>
  <c r="E913" i="7" s="1"/>
  <c r="H554" i="7"/>
  <c r="E555" i="7" s="1"/>
  <c r="E554" i="10"/>
  <c r="H17" i="7"/>
  <c r="E18" i="7" s="1"/>
  <c r="E17" i="10"/>
  <c r="H1270" i="7"/>
  <c r="E1271" i="7" s="1"/>
  <c r="L732" i="7"/>
  <c r="L16" i="11" s="1"/>
  <c r="P16" i="11" s="1"/>
  <c r="H1091" i="7"/>
  <c r="E1092" i="7" s="1"/>
  <c r="Z194" i="7" l="1" a="1"/>
  <c r="Z194" i="7" s="1"/>
  <c r="Z373" i="7" a="1"/>
  <c r="Z373" i="7" s="1"/>
  <c r="Z15" i="7" a="1"/>
  <c r="Z15" i="7" s="1"/>
  <c r="Z552" i="7" a="1"/>
  <c r="Z552" i="7" s="1"/>
  <c r="Z1089" i="7" a="1"/>
  <c r="Z1089" i="7" s="1"/>
  <c r="I375" i="11"/>
  <c r="Z1268" i="7" a="1"/>
  <c r="Z1268" i="7" s="1"/>
  <c r="I554" i="11"/>
  <c r="Z910" i="7" a="1"/>
  <c r="Z910" i="7" s="1"/>
  <c r="I196" i="11"/>
  <c r="Z1447" i="7" a="1"/>
  <c r="Z1447" i="7" s="1"/>
  <c r="I733" i="11"/>
  <c r="Z731" i="7" a="1"/>
  <c r="Z731" i="7" s="1"/>
  <c r="I17" i="11"/>
  <c r="Z1626" i="7" a="1"/>
  <c r="Z1626" i="7" s="1"/>
  <c r="I912" i="11"/>
  <c r="H1990" i="7"/>
  <c r="E1991" i="7" s="1"/>
  <c r="E736" i="10"/>
  <c r="I912" i="10"/>
  <c r="L2166" i="7"/>
  <c r="L912" i="10" s="1"/>
  <c r="P912" i="10" s="1"/>
  <c r="Z2164" i="7" a="1"/>
  <c r="Z2164" i="7" s="1"/>
  <c r="J2166" i="7"/>
  <c r="J912" i="10" s="1"/>
  <c r="K2166" i="7"/>
  <c r="K912" i="10" s="1"/>
  <c r="K1821" i="7"/>
  <c r="H1822" i="7"/>
  <c r="E1823" i="7" s="1"/>
  <c r="J1821" i="7"/>
  <c r="L1821" i="7" s="1"/>
  <c r="J733" i="7"/>
  <c r="J17" i="11" s="1"/>
  <c r="K733" i="7"/>
  <c r="K17" i="11" s="1"/>
  <c r="J1091" i="7"/>
  <c r="J375" i="11" s="1"/>
  <c r="K1091" i="7"/>
  <c r="K375" i="11" s="1"/>
  <c r="J554" i="7"/>
  <c r="J554" i="10" s="1"/>
  <c r="K554" i="7"/>
  <c r="K554" i="10" s="1"/>
  <c r="J1628" i="7"/>
  <c r="J912" i="11" s="1"/>
  <c r="K1628" i="7"/>
  <c r="K912" i="11" s="1"/>
  <c r="J196" i="7"/>
  <c r="J196" i="10" s="1"/>
  <c r="K196" i="7"/>
  <c r="K196" i="10" s="1"/>
  <c r="J1449" i="7"/>
  <c r="J733" i="11" s="1"/>
  <c r="K1449" i="7"/>
  <c r="K733" i="11" s="1"/>
  <c r="J17" i="7"/>
  <c r="J17" i="10" s="1"/>
  <c r="K17" i="7"/>
  <c r="K17" i="10" s="1"/>
  <c r="J912" i="7"/>
  <c r="J196" i="11" s="1"/>
  <c r="K912" i="7"/>
  <c r="K196" i="11" s="1"/>
  <c r="J1270" i="7"/>
  <c r="J554" i="11" s="1"/>
  <c r="K1270" i="7"/>
  <c r="K554" i="11" s="1"/>
  <c r="J375" i="7"/>
  <c r="J375" i="10" s="1"/>
  <c r="K375" i="7"/>
  <c r="K375" i="10" s="1"/>
  <c r="I196" i="10"/>
  <c r="E376" i="11"/>
  <c r="E555" i="11"/>
  <c r="I375" i="10"/>
  <c r="I17" i="10"/>
  <c r="E18" i="11"/>
  <c r="E197" i="11"/>
  <c r="E734" i="11"/>
  <c r="I554" i="10"/>
  <c r="E913" i="11"/>
  <c r="H2167" i="7" l="1"/>
  <c r="E2168" i="7" s="1"/>
  <c r="E913" i="10"/>
  <c r="I736" i="10"/>
  <c r="K1990" i="7"/>
  <c r="K736" i="10" s="1"/>
  <c r="J1990" i="7"/>
  <c r="J736" i="10" s="1"/>
  <c r="L1990" i="7"/>
  <c r="L736" i="10" s="1"/>
  <c r="P736" i="10" s="1"/>
  <c r="Z1988" i="7" a="1"/>
  <c r="Z1988" i="7" s="1"/>
  <c r="H1823" i="7"/>
  <c r="E1824" i="7" s="1"/>
  <c r="K1822" i="7"/>
  <c r="J1822" i="7"/>
  <c r="L1822" i="7" s="1"/>
  <c r="L912" i="7"/>
  <c r="L196" i="11" s="1"/>
  <c r="P196" i="11" s="1"/>
  <c r="L1270" i="7"/>
  <c r="L554" i="11" s="1"/>
  <c r="P554" i="11" s="1"/>
  <c r="L375" i="7"/>
  <c r="L375" i="10" s="1"/>
  <c r="P375" i="10" s="1"/>
  <c r="L1449" i="7"/>
  <c r="L733" i="11" s="1"/>
  <c r="P733" i="11" s="1"/>
  <c r="H18" i="7"/>
  <c r="E19" i="7" s="1"/>
  <c r="E18" i="10"/>
  <c r="L17" i="7"/>
  <c r="L17" i="10" s="1"/>
  <c r="P17" i="10" s="1"/>
  <c r="H1092" i="7"/>
  <c r="E1093" i="7" s="1"/>
  <c r="H555" i="7"/>
  <c r="E556" i="7" s="1"/>
  <c r="E555" i="10"/>
  <c r="L1091" i="7"/>
  <c r="L375" i="11" s="1"/>
  <c r="P375" i="11" s="1"/>
  <c r="L1628" i="7"/>
  <c r="L912" i="11" s="1"/>
  <c r="P912" i="11" s="1"/>
  <c r="H913" i="7"/>
  <c r="E914" i="7" s="1"/>
  <c r="L554" i="7"/>
  <c r="L554" i="10" s="1"/>
  <c r="P554" i="10" s="1"/>
  <c r="H734" i="7"/>
  <c r="E735" i="7" s="1"/>
  <c r="H376" i="7"/>
  <c r="E377" i="7" s="1"/>
  <c r="E376" i="10"/>
  <c r="H1450" i="7"/>
  <c r="E1451" i="7" s="1"/>
  <c r="L733" i="7"/>
  <c r="L17" i="11" s="1"/>
  <c r="P17" i="11" s="1"/>
  <c r="H1271" i="7"/>
  <c r="E1272" i="7" s="1"/>
  <c r="H197" i="7"/>
  <c r="E198" i="7" s="1"/>
  <c r="E197" i="10"/>
  <c r="H1629" i="7"/>
  <c r="E1630" i="7" s="1"/>
  <c r="L196" i="7"/>
  <c r="L196" i="10" s="1"/>
  <c r="P196" i="10" s="1"/>
  <c r="Z195" i="7" l="1" a="1"/>
  <c r="Z195" i="7" s="1"/>
  <c r="Z553" i="7" a="1"/>
  <c r="Z553" i="7" s="1"/>
  <c r="Z16" i="7" a="1"/>
  <c r="Z16" i="7" s="1"/>
  <c r="Z374" i="7" a="1"/>
  <c r="Z374" i="7" s="1"/>
  <c r="Z1627" i="7" a="1"/>
  <c r="Z1627" i="7" s="1"/>
  <c r="I913" i="11"/>
  <c r="Z1269" i="7" a="1"/>
  <c r="Z1269" i="7" s="1"/>
  <c r="I555" i="11"/>
  <c r="Z1448" i="7" a="1"/>
  <c r="Z1448" i="7" s="1"/>
  <c r="I734" i="11"/>
  <c r="Z732" i="7" a="1"/>
  <c r="Z732" i="7" s="1"/>
  <c r="I18" i="11"/>
  <c r="Z911" i="7" a="1"/>
  <c r="Z911" i="7" s="1"/>
  <c r="I197" i="11"/>
  <c r="Z1090" i="7" a="1"/>
  <c r="Z1090" i="7" s="1"/>
  <c r="I376" i="11"/>
  <c r="H1991" i="7"/>
  <c r="E1992" i="7" s="1"/>
  <c r="E737" i="10"/>
  <c r="I913" i="10"/>
  <c r="J2167" i="7"/>
  <c r="J913" i="10" s="1"/>
  <c r="L2167" i="7"/>
  <c r="L913" i="10" s="1"/>
  <c r="P913" i="10" s="1"/>
  <c r="Z2165" i="7" a="1"/>
  <c r="Z2165" i="7" s="1"/>
  <c r="K2167" i="7"/>
  <c r="K913" i="10" s="1"/>
  <c r="J1823" i="7"/>
  <c r="L1823" i="7" s="1"/>
  <c r="K1823" i="7"/>
  <c r="H1824" i="7"/>
  <c r="E1825" i="7" s="1"/>
  <c r="J1271" i="7"/>
  <c r="J555" i="11" s="1"/>
  <c r="K1271" i="7"/>
  <c r="K555" i="11" s="1"/>
  <c r="J1450" i="7"/>
  <c r="J734" i="11" s="1"/>
  <c r="K1450" i="7"/>
  <c r="K734" i="11" s="1"/>
  <c r="J1092" i="7"/>
  <c r="J376" i="11" s="1"/>
  <c r="K1092" i="7"/>
  <c r="K376" i="11" s="1"/>
  <c r="J376" i="7"/>
  <c r="J376" i="10" s="1"/>
  <c r="K376" i="7"/>
  <c r="K376" i="10" s="1"/>
  <c r="J734" i="7"/>
  <c r="J18" i="11" s="1"/>
  <c r="K734" i="7"/>
  <c r="K18" i="11" s="1"/>
  <c r="J18" i="7"/>
  <c r="J18" i="10" s="1"/>
  <c r="K18" i="7"/>
  <c r="K18" i="10" s="1"/>
  <c r="J1629" i="7"/>
  <c r="J913" i="11" s="1"/>
  <c r="K1629" i="7"/>
  <c r="K913" i="11" s="1"/>
  <c r="J913" i="7"/>
  <c r="J197" i="11" s="1"/>
  <c r="K913" i="7"/>
  <c r="K197" i="11" s="1"/>
  <c r="J555" i="7"/>
  <c r="J555" i="10" s="1"/>
  <c r="K555" i="7"/>
  <c r="K555" i="10" s="1"/>
  <c r="J197" i="7"/>
  <c r="J197" i="10" s="1"/>
  <c r="K197" i="7"/>
  <c r="K197" i="10" s="1"/>
  <c r="E914" i="11"/>
  <c r="I197" i="10"/>
  <c r="E198" i="11"/>
  <c r="I555" i="10"/>
  <c r="E735" i="11"/>
  <c r="E556" i="11"/>
  <c r="E377" i="11"/>
  <c r="I376" i="10"/>
  <c r="E19" i="11"/>
  <c r="I18" i="10"/>
  <c r="H2168" i="7" l="1"/>
  <c r="E2169" i="7" s="1"/>
  <c r="E914" i="10"/>
  <c r="I737" i="10"/>
  <c r="L1991" i="7"/>
  <c r="L737" i="10" s="1"/>
  <c r="P737" i="10" s="1"/>
  <c r="Z1989" i="7" a="1"/>
  <c r="Z1989" i="7" s="1"/>
  <c r="J1991" i="7"/>
  <c r="J737" i="10" s="1"/>
  <c r="K1991" i="7"/>
  <c r="K737" i="10" s="1"/>
  <c r="K1824" i="7"/>
  <c r="J1824" i="7"/>
  <c r="L1824" i="7" s="1"/>
  <c r="H1825" i="7"/>
  <c r="E1826" i="7" s="1"/>
  <c r="L913" i="7"/>
  <c r="L197" i="11" s="1"/>
  <c r="P197" i="11" s="1"/>
  <c r="L1450" i="7"/>
  <c r="L734" i="11" s="1"/>
  <c r="P734" i="11" s="1"/>
  <c r="L18" i="7"/>
  <c r="L18" i="10" s="1"/>
  <c r="P18" i="10" s="1"/>
  <c r="L197" i="7"/>
  <c r="L197" i="10" s="1"/>
  <c r="P197" i="10" s="1"/>
  <c r="L1092" i="7"/>
  <c r="L376" i="11" s="1"/>
  <c r="P376" i="11" s="1"/>
  <c r="L376" i="7"/>
  <c r="L376" i="10" s="1"/>
  <c r="P376" i="10" s="1"/>
  <c r="H19" i="7"/>
  <c r="E20" i="7" s="1"/>
  <c r="E19" i="10"/>
  <c r="H1451" i="7"/>
  <c r="E1452" i="7" s="1"/>
  <c r="H1093" i="7"/>
  <c r="E1094" i="7" s="1"/>
  <c r="H198" i="7"/>
  <c r="E199" i="7" s="1"/>
  <c r="E198" i="10"/>
  <c r="H556" i="7"/>
  <c r="E557" i="7" s="1"/>
  <c r="E556" i="10"/>
  <c r="H735" i="7"/>
  <c r="E736" i="7" s="1"/>
  <c r="H1272" i="7"/>
  <c r="E1273" i="7" s="1"/>
  <c r="H1630" i="7"/>
  <c r="E1631" i="7" s="1"/>
  <c r="L734" i="7"/>
  <c r="L18" i="11" s="1"/>
  <c r="P18" i="11" s="1"/>
  <c r="L555" i="7"/>
  <c r="L555" i="10" s="1"/>
  <c r="P555" i="10" s="1"/>
  <c r="H377" i="7"/>
  <c r="E378" i="7" s="1"/>
  <c r="E377" i="10"/>
  <c r="L1271" i="7"/>
  <c r="L555" i="11" s="1"/>
  <c r="P555" i="11" s="1"/>
  <c r="L1629" i="7"/>
  <c r="L913" i="11" s="1"/>
  <c r="P913" i="11" s="1"/>
  <c r="H914" i="7"/>
  <c r="E915" i="7" s="1"/>
  <c r="Z196" i="7" l="1" a="1"/>
  <c r="Z196" i="7" s="1"/>
  <c r="Z375" i="7" a="1"/>
  <c r="Z375" i="7" s="1"/>
  <c r="Z554" i="7" a="1"/>
  <c r="Z554" i="7" s="1"/>
  <c r="Z17" i="7" a="1"/>
  <c r="Z17" i="7" s="1"/>
  <c r="Z912" i="7" a="1"/>
  <c r="Z912" i="7" s="1"/>
  <c r="I198" i="11"/>
  <c r="Z1628" i="7" a="1"/>
  <c r="Z1628" i="7" s="1"/>
  <c r="I914" i="11"/>
  <c r="Z1270" i="7" a="1"/>
  <c r="Z1270" i="7" s="1"/>
  <c r="I556" i="11"/>
  <c r="Z733" i="7" a="1"/>
  <c r="Z733" i="7" s="1"/>
  <c r="I19" i="11"/>
  <c r="Z1091" i="7" a="1"/>
  <c r="Z1091" i="7" s="1"/>
  <c r="I377" i="11"/>
  <c r="Z1449" i="7" a="1"/>
  <c r="Z1449" i="7" s="1"/>
  <c r="I735" i="11"/>
  <c r="H1992" i="7"/>
  <c r="E1993" i="7" s="1"/>
  <c r="E738" i="10"/>
  <c r="I914" i="10"/>
  <c r="L2168" i="7"/>
  <c r="L914" i="10" s="1"/>
  <c r="P914" i="10" s="1"/>
  <c r="Z2166" i="7" a="1"/>
  <c r="Z2166" i="7" s="1"/>
  <c r="K2168" i="7"/>
  <c r="K914" i="10" s="1"/>
  <c r="J2168" i="7"/>
  <c r="J914" i="10" s="1"/>
  <c r="K1825" i="7"/>
  <c r="J1825" i="7"/>
  <c r="L1825" i="7" s="1"/>
  <c r="H1826" i="7"/>
  <c r="E1827" i="7" s="1"/>
  <c r="J1630" i="7"/>
  <c r="J914" i="11" s="1"/>
  <c r="K1630" i="7"/>
  <c r="K914" i="11" s="1"/>
  <c r="J1093" i="7"/>
  <c r="J377" i="11" s="1"/>
  <c r="K1093" i="7"/>
  <c r="K377" i="11" s="1"/>
  <c r="J1272" i="7"/>
  <c r="J556" i="11" s="1"/>
  <c r="K1272" i="7"/>
  <c r="K556" i="11" s="1"/>
  <c r="J19" i="7"/>
  <c r="J19" i="10" s="1"/>
  <c r="K19" i="7"/>
  <c r="K19" i="10" s="1"/>
  <c r="J1451" i="7"/>
  <c r="J735" i="11" s="1"/>
  <c r="K1451" i="7"/>
  <c r="K735" i="11" s="1"/>
  <c r="J914" i="7"/>
  <c r="J198" i="11" s="1"/>
  <c r="K914" i="7"/>
  <c r="K198" i="11" s="1"/>
  <c r="J735" i="7"/>
  <c r="J19" i="11" s="1"/>
  <c r="K735" i="7"/>
  <c r="K19" i="11" s="1"/>
  <c r="J556" i="7"/>
  <c r="J556" i="10" s="1"/>
  <c r="K556" i="7"/>
  <c r="K556" i="10" s="1"/>
  <c r="J377" i="7"/>
  <c r="J377" i="10" s="1"/>
  <c r="K377" i="7"/>
  <c r="K377" i="10" s="1"/>
  <c r="J198" i="7"/>
  <c r="J198" i="10" s="1"/>
  <c r="K198" i="7"/>
  <c r="K198" i="10" s="1"/>
  <c r="E199" i="11"/>
  <c r="E20" i="11"/>
  <c r="I556" i="10"/>
  <c r="I377" i="10"/>
  <c r="I198" i="10"/>
  <c r="E378" i="11"/>
  <c r="E915" i="11"/>
  <c r="E736" i="11"/>
  <c r="E557" i="11"/>
  <c r="I19" i="10"/>
  <c r="H2169" i="7" l="1"/>
  <c r="E2170" i="7" s="1"/>
  <c r="E915" i="10"/>
  <c r="I738" i="10"/>
  <c r="J1992" i="7"/>
  <c r="J738" i="10" s="1"/>
  <c r="K1992" i="7"/>
  <c r="K738" i="10" s="1"/>
  <c r="L1992" i="7"/>
  <c r="L738" i="10" s="1"/>
  <c r="P738" i="10" s="1"/>
  <c r="Z1990" i="7" a="1"/>
  <c r="Z1990" i="7" s="1"/>
  <c r="H1827" i="7"/>
  <c r="E1828" i="7" s="1"/>
  <c r="K1826" i="7"/>
  <c r="J1826" i="7"/>
  <c r="L1826" i="7" s="1"/>
  <c r="L914" i="7"/>
  <c r="L198" i="11" s="1"/>
  <c r="P198" i="11" s="1"/>
  <c r="L735" i="7"/>
  <c r="L19" i="11" s="1"/>
  <c r="P19" i="11" s="1"/>
  <c r="L198" i="7"/>
  <c r="L198" i="10" s="1"/>
  <c r="P198" i="10" s="1"/>
  <c r="L19" i="7"/>
  <c r="L19" i="10" s="1"/>
  <c r="P19" i="10" s="1"/>
  <c r="L1272" i="7"/>
  <c r="L556" i="11" s="1"/>
  <c r="P556" i="11" s="1"/>
  <c r="L556" i="7"/>
  <c r="L556" i="10" s="1"/>
  <c r="P556" i="10" s="1"/>
  <c r="H20" i="7"/>
  <c r="E21" i="7" s="1"/>
  <c r="E20" i="10"/>
  <c r="H736" i="7"/>
  <c r="E737" i="7" s="1"/>
  <c r="H1631" i="7"/>
  <c r="E1632" i="7" s="1"/>
  <c r="H1273" i="7"/>
  <c r="E1274" i="7" s="1"/>
  <c r="L1630" i="7"/>
  <c r="L914" i="11" s="1"/>
  <c r="P914" i="11" s="1"/>
  <c r="H378" i="7"/>
  <c r="E379" i="7" s="1"/>
  <c r="E378" i="10"/>
  <c r="H915" i="7"/>
  <c r="E916" i="7" s="1"/>
  <c r="H1094" i="7"/>
  <c r="E1095" i="7" s="1"/>
  <c r="L377" i="7"/>
  <c r="L377" i="10" s="1"/>
  <c r="P377" i="10" s="1"/>
  <c r="L1093" i="7"/>
  <c r="L377" i="11" s="1"/>
  <c r="P377" i="11" s="1"/>
  <c r="H1452" i="7"/>
  <c r="E1453" i="7" s="1"/>
  <c r="H557" i="7"/>
  <c r="E558" i="7" s="1"/>
  <c r="E557" i="10"/>
  <c r="L1451" i="7"/>
  <c r="L735" i="11" s="1"/>
  <c r="P735" i="11" s="1"/>
  <c r="H199" i="7"/>
  <c r="E200" i="7" s="1"/>
  <c r="E199" i="10"/>
  <c r="Z197" i="7" l="1" a="1"/>
  <c r="Z197" i="7" s="1"/>
  <c r="Z376" i="7" a="1"/>
  <c r="Z376" i="7" s="1"/>
  <c r="Z555" i="7" a="1"/>
  <c r="Z555" i="7" s="1"/>
  <c r="Z18" i="7" a="1"/>
  <c r="Z18" i="7" s="1"/>
  <c r="Z1450" i="7" a="1"/>
  <c r="Z1450" i="7" s="1"/>
  <c r="I736" i="11"/>
  <c r="Z1092" i="7" a="1"/>
  <c r="Z1092" i="7" s="1"/>
  <c r="I378" i="11"/>
  <c r="Z913" i="7" a="1"/>
  <c r="Z913" i="7" s="1"/>
  <c r="I199" i="11"/>
  <c r="Z1271" i="7" a="1"/>
  <c r="Z1271" i="7" s="1"/>
  <c r="I557" i="11"/>
  <c r="Z1629" i="7" a="1"/>
  <c r="Z1629" i="7" s="1"/>
  <c r="I915" i="11"/>
  <c r="Z734" i="7" a="1"/>
  <c r="Z734" i="7" s="1"/>
  <c r="I20" i="11"/>
  <c r="H1993" i="7"/>
  <c r="E1994" i="7" s="1"/>
  <c r="E739" i="10"/>
  <c r="I915" i="10"/>
  <c r="K2169" i="7"/>
  <c r="K915" i="10" s="1"/>
  <c r="J2169" i="7"/>
  <c r="J915" i="10" s="1"/>
  <c r="Z2167" i="7" a="1"/>
  <c r="Z2167" i="7" s="1"/>
  <c r="L2169" i="7"/>
  <c r="L915" i="10" s="1"/>
  <c r="P915" i="10" s="1"/>
  <c r="J1827" i="7"/>
  <c r="L1827" i="7" s="1"/>
  <c r="K1827" i="7"/>
  <c r="H1828" i="7"/>
  <c r="E1829" i="7" s="1"/>
  <c r="J736" i="7"/>
  <c r="J20" i="11" s="1"/>
  <c r="K736" i="7"/>
  <c r="K20" i="11" s="1"/>
  <c r="J1094" i="7"/>
  <c r="J378" i="11" s="1"/>
  <c r="K1094" i="7"/>
  <c r="K378" i="11" s="1"/>
  <c r="J199" i="7"/>
  <c r="J199" i="10" s="1"/>
  <c r="K199" i="7"/>
  <c r="K199" i="10" s="1"/>
  <c r="J1631" i="7"/>
  <c r="J915" i="11" s="1"/>
  <c r="K1631" i="7"/>
  <c r="K915" i="11" s="1"/>
  <c r="J378" i="7"/>
  <c r="J378" i="10" s="1"/>
  <c r="K378" i="7"/>
  <c r="K378" i="10" s="1"/>
  <c r="J1452" i="7"/>
  <c r="J736" i="11" s="1"/>
  <c r="K1452" i="7"/>
  <c r="K736" i="11" s="1"/>
  <c r="J20" i="7"/>
  <c r="J20" i="10" s="1"/>
  <c r="K20" i="7"/>
  <c r="K20" i="10" s="1"/>
  <c r="J915" i="7"/>
  <c r="J199" i="11" s="1"/>
  <c r="K915" i="7"/>
  <c r="K199" i="11" s="1"/>
  <c r="J557" i="7"/>
  <c r="J557" i="10" s="1"/>
  <c r="K557" i="7"/>
  <c r="K557" i="10" s="1"/>
  <c r="J1273" i="7"/>
  <c r="J557" i="11" s="1"/>
  <c r="K1273" i="7"/>
  <c r="K557" i="11" s="1"/>
  <c r="E200" i="11"/>
  <c r="I378" i="10"/>
  <c r="I557" i="10"/>
  <c r="E558" i="11"/>
  <c r="I199" i="10"/>
  <c r="E737" i="11"/>
  <c r="E916" i="11"/>
  <c r="E21" i="11"/>
  <c r="E379" i="11"/>
  <c r="I20" i="10"/>
  <c r="H2170" i="7" l="1"/>
  <c r="E2171" i="7" s="1"/>
  <c r="E916" i="10"/>
  <c r="I739" i="10"/>
  <c r="L1993" i="7"/>
  <c r="L739" i="10" s="1"/>
  <c r="P739" i="10" s="1"/>
  <c r="K1993" i="7"/>
  <c r="K739" i="10" s="1"/>
  <c r="J1993" i="7"/>
  <c r="J739" i="10" s="1"/>
  <c r="Z1991" i="7" a="1"/>
  <c r="Z1991" i="7" s="1"/>
  <c r="J1828" i="7"/>
  <c r="L1828" i="7" s="1"/>
  <c r="K1828" i="7"/>
  <c r="H1829" i="7"/>
  <c r="E1830" i="7" s="1"/>
  <c r="L915" i="7"/>
  <c r="L199" i="11" s="1"/>
  <c r="P199" i="11" s="1"/>
  <c r="L378" i="7"/>
  <c r="L378" i="10" s="1"/>
  <c r="P378" i="10" s="1"/>
  <c r="L20" i="7"/>
  <c r="L20" i="10" s="1"/>
  <c r="P20" i="10" s="1"/>
  <c r="L1273" i="7"/>
  <c r="L557" i="11" s="1"/>
  <c r="P557" i="11" s="1"/>
  <c r="L557" i="7"/>
  <c r="L557" i="10" s="1"/>
  <c r="P557" i="10" s="1"/>
  <c r="L199" i="7"/>
  <c r="L199" i="10" s="1"/>
  <c r="P199" i="10" s="1"/>
  <c r="L1631" i="7"/>
  <c r="L915" i="11" s="1"/>
  <c r="P915" i="11" s="1"/>
  <c r="H200" i="7"/>
  <c r="E201" i="7" s="1"/>
  <c r="E200" i="10"/>
  <c r="H379" i="7"/>
  <c r="E380" i="7" s="1"/>
  <c r="E379" i="10"/>
  <c r="H1095" i="7"/>
  <c r="E1096" i="7" s="1"/>
  <c r="H1274" i="7"/>
  <c r="E1275" i="7" s="1"/>
  <c r="L1094" i="7"/>
  <c r="L378" i="11" s="1"/>
  <c r="P378" i="11" s="1"/>
  <c r="H1453" i="7"/>
  <c r="E1454" i="7" s="1"/>
  <c r="H916" i="7"/>
  <c r="E917" i="7" s="1"/>
  <c r="H21" i="7"/>
  <c r="E22" i="7" s="1"/>
  <c r="E21" i="10"/>
  <c r="H1632" i="7"/>
  <c r="E1633" i="7" s="1"/>
  <c r="H737" i="7"/>
  <c r="E738" i="7" s="1"/>
  <c r="L1452" i="7"/>
  <c r="L736" i="11" s="1"/>
  <c r="P736" i="11" s="1"/>
  <c r="L736" i="7"/>
  <c r="L20" i="11" s="1"/>
  <c r="P20" i="11" s="1"/>
  <c r="H558" i="7"/>
  <c r="E559" i="7" s="1"/>
  <c r="E558" i="10"/>
  <c r="Z377" i="7" l="1" a="1"/>
  <c r="Z377" i="7" s="1"/>
  <c r="Z198" i="7" a="1"/>
  <c r="Z198" i="7" s="1"/>
  <c r="Z556" i="7" a="1"/>
  <c r="Z556" i="7" s="1"/>
  <c r="Z19" i="7" a="1"/>
  <c r="Z19" i="7" s="1"/>
  <c r="Z735" i="7" a="1"/>
  <c r="Z735" i="7" s="1"/>
  <c r="I21" i="11"/>
  <c r="Z1630" i="7" a="1"/>
  <c r="Z1630" i="7" s="1"/>
  <c r="I916" i="11"/>
  <c r="Z914" i="7" a="1"/>
  <c r="Z914" i="7" s="1"/>
  <c r="I200" i="11"/>
  <c r="Z1451" i="7" a="1"/>
  <c r="Z1451" i="7" s="1"/>
  <c r="I737" i="11"/>
  <c r="Z1272" i="7" a="1"/>
  <c r="Z1272" i="7" s="1"/>
  <c r="I558" i="11"/>
  <c r="Z1093" i="7" a="1"/>
  <c r="Z1093" i="7" s="1"/>
  <c r="I379" i="11"/>
  <c r="H1994" i="7"/>
  <c r="E1995" i="7" s="1"/>
  <c r="E740" i="10"/>
  <c r="I916" i="10"/>
  <c r="L2170" i="7"/>
  <c r="L916" i="10" s="1"/>
  <c r="P916" i="10" s="1"/>
  <c r="Z2168" i="7" a="1"/>
  <c r="Z2168" i="7" s="1"/>
  <c r="J2170" i="7"/>
  <c r="J916" i="10" s="1"/>
  <c r="K2170" i="7"/>
  <c r="K916" i="10" s="1"/>
  <c r="K1829" i="7"/>
  <c r="H1830" i="7"/>
  <c r="E1831" i="7" s="1"/>
  <c r="J1829" i="7"/>
  <c r="L1829" i="7" s="1"/>
  <c r="J200" i="7"/>
  <c r="J200" i="10" s="1"/>
  <c r="K200" i="7"/>
  <c r="K200" i="10" s="1"/>
  <c r="J21" i="7"/>
  <c r="J21" i="10" s="1"/>
  <c r="K21" i="7"/>
  <c r="K21" i="10" s="1"/>
  <c r="J558" i="7"/>
  <c r="J558" i="10" s="1"/>
  <c r="K558" i="7"/>
  <c r="K558" i="10" s="1"/>
  <c r="J1453" i="7"/>
  <c r="J737" i="11" s="1"/>
  <c r="K1453" i="7"/>
  <c r="K737" i="11" s="1"/>
  <c r="J1095" i="7"/>
  <c r="J379" i="11" s="1"/>
  <c r="K1095" i="7"/>
  <c r="K379" i="11" s="1"/>
  <c r="J379" i="7"/>
  <c r="J379" i="10" s="1"/>
  <c r="K379" i="7"/>
  <c r="K379" i="10" s="1"/>
  <c r="J916" i="7"/>
  <c r="J200" i="11" s="1"/>
  <c r="K916" i="7"/>
  <c r="K200" i="11" s="1"/>
  <c r="J1632" i="7"/>
  <c r="J916" i="11" s="1"/>
  <c r="K1632" i="7"/>
  <c r="K916" i="11" s="1"/>
  <c r="J1274" i="7"/>
  <c r="J558" i="11" s="1"/>
  <c r="K1274" i="7"/>
  <c r="K558" i="11" s="1"/>
  <c r="J737" i="7"/>
  <c r="J21" i="11" s="1"/>
  <c r="K737" i="7"/>
  <c r="K21" i="11" s="1"/>
  <c r="E738" i="11"/>
  <c r="E201" i="11"/>
  <c r="I558" i="10"/>
  <c r="E559" i="11"/>
  <c r="E22" i="11"/>
  <c r="E380" i="11"/>
  <c r="E917" i="11"/>
  <c r="I379" i="10"/>
  <c r="I21" i="10"/>
  <c r="I200" i="10"/>
  <c r="H2171" i="7" l="1"/>
  <c r="E2172" i="7" s="1"/>
  <c r="E917" i="10"/>
  <c r="I740" i="10"/>
  <c r="K1994" i="7"/>
  <c r="K740" i="10" s="1"/>
  <c r="J1994" i="7"/>
  <c r="J740" i="10" s="1"/>
  <c r="L1994" i="7"/>
  <c r="L740" i="10" s="1"/>
  <c r="P740" i="10" s="1"/>
  <c r="J1830" i="7"/>
  <c r="L1830" i="7" s="1"/>
  <c r="H1831" i="7"/>
  <c r="E1832" i="7" s="1"/>
  <c r="K1830" i="7"/>
  <c r="L916" i="7"/>
  <c r="L200" i="11" s="1"/>
  <c r="P200" i="11" s="1"/>
  <c r="L737" i="7"/>
  <c r="L21" i="11" s="1"/>
  <c r="P21" i="11" s="1"/>
  <c r="L558" i="7"/>
  <c r="L558" i="10" s="1"/>
  <c r="P558" i="10" s="1"/>
  <c r="L200" i="7"/>
  <c r="L200" i="10" s="1"/>
  <c r="P200" i="10" s="1"/>
  <c r="H1633" i="7"/>
  <c r="E1634" i="7" s="1"/>
  <c r="H22" i="7"/>
  <c r="E23" i="7" s="1"/>
  <c r="E22" i="10"/>
  <c r="L1632" i="7"/>
  <c r="L916" i="11" s="1"/>
  <c r="P916" i="11" s="1"/>
  <c r="H917" i="7"/>
  <c r="E918" i="7" s="1"/>
  <c r="H1275" i="7"/>
  <c r="E1276" i="7" s="1"/>
  <c r="L21" i="7"/>
  <c r="L21" i="10" s="1"/>
  <c r="P21" i="10" s="1"/>
  <c r="H1096" i="7"/>
  <c r="E1097" i="7" s="1"/>
  <c r="H1454" i="7"/>
  <c r="E1455" i="7" s="1"/>
  <c r="L1274" i="7"/>
  <c r="L558" i="11" s="1"/>
  <c r="P558" i="11" s="1"/>
  <c r="L1095" i="7"/>
  <c r="L379" i="11" s="1"/>
  <c r="P379" i="11" s="1"/>
  <c r="H380" i="7"/>
  <c r="E381" i="7" s="1"/>
  <c r="E380" i="10"/>
  <c r="L1453" i="7"/>
  <c r="L737" i="11" s="1"/>
  <c r="P737" i="11" s="1"/>
  <c r="H201" i="7"/>
  <c r="E202" i="7" s="1"/>
  <c r="E201" i="10"/>
  <c r="L379" i="7"/>
  <c r="L379" i="10" s="1"/>
  <c r="P379" i="10" s="1"/>
  <c r="H738" i="7"/>
  <c r="E739" i="7" s="1"/>
  <c r="H559" i="7"/>
  <c r="E560" i="7" s="1"/>
  <c r="E559" i="10"/>
  <c r="Z557" i="7" l="1" a="1"/>
  <c r="Z557" i="7" s="1"/>
  <c r="Z199" i="7" a="1"/>
  <c r="Z199" i="7" s="1"/>
  <c r="Z20" i="7" a="1"/>
  <c r="Z20" i="7" s="1"/>
  <c r="Z378" i="7" a="1"/>
  <c r="Z378" i="7" s="1"/>
  <c r="Z736" i="7" a="1"/>
  <c r="Z736" i="7" s="1"/>
  <c r="I22" i="11"/>
  <c r="Z1452" i="7" a="1"/>
  <c r="Z1452" i="7" s="1"/>
  <c r="I738" i="11"/>
  <c r="Z1094" i="7" a="1"/>
  <c r="Z1094" i="7" s="1"/>
  <c r="I380" i="11"/>
  <c r="Z1273" i="7" a="1"/>
  <c r="Z1273" i="7" s="1"/>
  <c r="I559" i="11"/>
  <c r="Z915" i="7" a="1"/>
  <c r="Z915" i="7" s="1"/>
  <c r="I201" i="11"/>
  <c r="Z1631" i="7" a="1"/>
  <c r="Z1631" i="7" s="1"/>
  <c r="I917" i="11"/>
  <c r="H1995" i="7"/>
  <c r="E1996" i="7" s="1"/>
  <c r="E741" i="10"/>
  <c r="I917" i="10"/>
  <c r="K2171" i="7"/>
  <c r="K917" i="10" s="1"/>
  <c r="J2171" i="7"/>
  <c r="J917" i="10" s="1"/>
  <c r="Z2169" i="7" a="1"/>
  <c r="Z2169" i="7" s="1"/>
  <c r="L2171" i="7"/>
  <c r="L917" i="10" s="1"/>
  <c r="P917" i="10" s="1"/>
  <c r="H1832" i="7"/>
  <c r="E1833" i="7" s="1"/>
  <c r="J1831" i="7"/>
  <c r="L1831" i="7" s="1"/>
  <c r="K1831" i="7"/>
  <c r="J917" i="7"/>
  <c r="J201" i="11" s="1"/>
  <c r="K917" i="7"/>
  <c r="K201" i="11" s="1"/>
  <c r="J380" i="7"/>
  <c r="J380" i="10" s="1"/>
  <c r="K380" i="7"/>
  <c r="K380" i="10" s="1"/>
  <c r="J559" i="7"/>
  <c r="J559" i="10" s="1"/>
  <c r="K559" i="7"/>
  <c r="K559" i="10" s="1"/>
  <c r="J1633" i="7"/>
  <c r="J917" i="11" s="1"/>
  <c r="K1633" i="7"/>
  <c r="K917" i="11" s="1"/>
  <c r="J1096" i="7"/>
  <c r="J380" i="11" s="1"/>
  <c r="K1096" i="7"/>
  <c r="K380" i="11" s="1"/>
  <c r="J1275" i="7"/>
  <c r="J559" i="11" s="1"/>
  <c r="K1275" i="7"/>
  <c r="K559" i="11" s="1"/>
  <c r="J22" i="7"/>
  <c r="J22" i="10" s="1"/>
  <c r="K22" i="7"/>
  <c r="K22" i="10" s="1"/>
  <c r="J1454" i="7"/>
  <c r="J738" i="11" s="1"/>
  <c r="K1454" i="7"/>
  <c r="K738" i="11" s="1"/>
  <c r="J201" i="7"/>
  <c r="J201" i="10" s="1"/>
  <c r="K201" i="7"/>
  <c r="K201" i="10" s="1"/>
  <c r="J738" i="7"/>
  <c r="J22" i="11" s="1"/>
  <c r="K738" i="7"/>
  <c r="K22" i="11" s="1"/>
  <c r="E560" i="11"/>
  <c r="E23" i="11"/>
  <c r="E381" i="11"/>
  <c r="I201" i="10"/>
  <c r="E202" i="11"/>
  <c r="I380" i="10"/>
  <c r="I22" i="10"/>
  <c r="I559" i="10"/>
  <c r="E739" i="11"/>
  <c r="E918" i="11"/>
  <c r="H2172" i="7" l="1"/>
  <c r="E2173" i="7" s="1"/>
  <c r="E918" i="10"/>
  <c r="I741" i="10"/>
  <c r="L1995" i="7"/>
  <c r="L741" i="10" s="1"/>
  <c r="P741" i="10" s="1"/>
  <c r="J1995" i="7"/>
  <c r="J741" i="10" s="1"/>
  <c r="K1995" i="7"/>
  <c r="K741" i="10" s="1"/>
  <c r="K1832" i="7"/>
  <c r="J1832" i="7"/>
  <c r="L1832" i="7" s="1"/>
  <c r="H1833" i="7"/>
  <c r="E1834" i="7" s="1"/>
  <c r="L917" i="7"/>
  <c r="L201" i="11" s="1"/>
  <c r="P201" i="11" s="1"/>
  <c r="L1096" i="7"/>
  <c r="L380" i="11" s="1"/>
  <c r="P380" i="11" s="1"/>
  <c r="L559" i="7"/>
  <c r="L559" i="10" s="1"/>
  <c r="P559" i="10" s="1"/>
  <c r="L1633" i="7"/>
  <c r="L917" i="11" s="1"/>
  <c r="P917" i="11" s="1"/>
  <c r="H23" i="7"/>
  <c r="E24" i="7" s="1"/>
  <c r="E23" i="10"/>
  <c r="H739" i="7"/>
  <c r="E740" i="7" s="1"/>
  <c r="L22" i="7"/>
  <c r="L22" i="10" s="1"/>
  <c r="P22" i="10" s="1"/>
  <c r="H202" i="7"/>
  <c r="E203" i="7" s="1"/>
  <c r="E202" i="10"/>
  <c r="L738" i="7"/>
  <c r="L22" i="11" s="1"/>
  <c r="P22" i="11" s="1"/>
  <c r="L1454" i="7"/>
  <c r="L738" i="11" s="1"/>
  <c r="P738" i="11" s="1"/>
  <c r="H1455" i="7"/>
  <c r="E1456" i="7" s="1"/>
  <c r="H381" i="7"/>
  <c r="E382" i="7" s="1"/>
  <c r="E381" i="10"/>
  <c r="L201" i="7"/>
  <c r="L201" i="10" s="1"/>
  <c r="P201" i="10" s="1"/>
  <c r="H1276" i="7"/>
  <c r="E1277" i="7" s="1"/>
  <c r="H560" i="7"/>
  <c r="E561" i="7" s="1"/>
  <c r="E560" i="10"/>
  <c r="L380" i="7"/>
  <c r="L380" i="10" s="1"/>
  <c r="P380" i="10" s="1"/>
  <c r="H1097" i="7"/>
  <c r="E1098" i="7" s="1"/>
  <c r="H1634" i="7"/>
  <c r="E1635" i="7" s="1"/>
  <c r="L1275" i="7"/>
  <c r="L559" i="11" s="1"/>
  <c r="P559" i="11" s="1"/>
  <c r="H918" i="7"/>
  <c r="E919" i="7" s="1"/>
  <c r="Z379" i="7" l="1" a="1"/>
  <c r="Z379" i="7" s="1"/>
  <c r="Z200" i="7" a="1"/>
  <c r="Z200" i="7" s="1"/>
  <c r="Z558" i="7" a="1"/>
  <c r="Z558" i="7" s="1"/>
  <c r="Z21" i="7" a="1"/>
  <c r="Z21" i="7" s="1"/>
  <c r="Z916" i="7" a="1"/>
  <c r="Z916" i="7" s="1"/>
  <c r="I202" i="11"/>
  <c r="Z1632" i="7" a="1"/>
  <c r="Z1632" i="7" s="1"/>
  <c r="I918" i="11"/>
  <c r="Z1095" i="7" a="1"/>
  <c r="Z1095" i="7" s="1"/>
  <c r="I381" i="11"/>
  <c r="Z1274" i="7" a="1"/>
  <c r="Z1274" i="7" s="1"/>
  <c r="I560" i="11"/>
  <c r="Z1453" i="7" a="1"/>
  <c r="Z1453" i="7" s="1"/>
  <c r="I739" i="11"/>
  <c r="Z737" i="7" a="1"/>
  <c r="Z737" i="7" s="1"/>
  <c r="I23" i="11"/>
  <c r="H1996" i="7"/>
  <c r="E1997" i="7" s="1"/>
  <c r="E742" i="10"/>
  <c r="I918" i="10"/>
  <c r="K2172" i="7"/>
  <c r="K918" i="10" s="1"/>
  <c r="J2172" i="7"/>
  <c r="J918" i="10" s="1"/>
  <c r="L2172" i="7"/>
  <c r="L918" i="10" s="1"/>
  <c r="P918" i="10" s="1"/>
  <c r="Z2170" i="7" a="1"/>
  <c r="Z2170" i="7" s="1"/>
  <c r="J1833" i="7"/>
  <c r="L1833" i="7" s="1"/>
  <c r="K1833" i="7"/>
  <c r="H1834" i="7"/>
  <c r="E1835" i="7" s="1"/>
  <c r="J23" i="7"/>
  <c r="J23" i="10" s="1"/>
  <c r="K23" i="7"/>
  <c r="K23" i="10" s="1"/>
  <c r="J1097" i="7"/>
  <c r="J381" i="11" s="1"/>
  <c r="K1097" i="7"/>
  <c r="K381" i="11" s="1"/>
  <c r="J739" i="7"/>
  <c r="J23" i="11" s="1"/>
  <c r="K739" i="7"/>
  <c r="K23" i="11" s="1"/>
  <c r="J381" i="7"/>
  <c r="J381" i="10" s="1"/>
  <c r="K381" i="7"/>
  <c r="K381" i="10" s="1"/>
  <c r="J1634" i="7"/>
  <c r="J918" i="11" s="1"/>
  <c r="K1634" i="7"/>
  <c r="K918" i="11" s="1"/>
  <c r="J1455" i="7"/>
  <c r="J739" i="11" s="1"/>
  <c r="K1455" i="7"/>
  <c r="K739" i="11" s="1"/>
  <c r="J202" i="7"/>
  <c r="J202" i="10" s="1"/>
  <c r="K202" i="7"/>
  <c r="K202" i="10" s="1"/>
  <c r="J560" i="7"/>
  <c r="J560" i="10" s="1"/>
  <c r="K560" i="7"/>
  <c r="K560" i="10" s="1"/>
  <c r="J1276" i="7"/>
  <c r="J560" i="11" s="1"/>
  <c r="K1276" i="7"/>
  <c r="K560" i="11" s="1"/>
  <c r="J918" i="7"/>
  <c r="J202" i="11" s="1"/>
  <c r="K918" i="7"/>
  <c r="K202" i="11" s="1"/>
  <c r="E919" i="11"/>
  <c r="E740" i="11"/>
  <c r="I560" i="10"/>
  <c r="E561" i="11"/>
  <c r="E24" i="11"/>
  <c r="E382" i="11"/>
  <c r="I202" i="10"/>
  <c r="E203" i="11"/>
  <c r="I23" i="10"/>
  <c r="I381" i="10"/>
  <c r="H2173" i="7" l="1"/>
  <c r="E2174" i="7" s="1"/>
  <c r="E919" i="10"/>
  <c r="I742" i="10"/>
  <c r="L1996" i="7"/>
  <c r="L742" i="10" s="1"/>
  <c r="P742" i="10" s="1"/>
  <c r="J1996" i="7"/>
  <c r="J742" i="10" s="1"/>
  <c r="K1996" i="7"/>
  <c r="K742" i="10" s="1"/>
  <c r="J1834" i="7"/>
  <c r="L1834" i="7" s="1"/>
  <c r="H1835" i="7"/>
  <c r="E1836" i="7" s="1"/>
  <c r="K1834" i="7"/>
  <c r="L918" i="7"/>
  <c r="L202" i="11" s="1"/>
  <c r="P202" i="11" s="1"/>
  <c r="L202" i="7"/>
  <c r="L202" i="10" s="1"/>
  <c r="P202" i="10" s="1"/>
  <c r="L560" i="7"/>
  <c r="L560" i="10" s="1"/>
  <c r="P560" i="10" s="1"/>
  <c r="L381" i="7"/>
  <c r="L381" i="10" s="1"/>
  <c r="P381" i="10" s="1"/>
  <c r="H1456" i="7"/>
  <c r="E1457" i="7" s="1"/>
  <c r="H1277" i="7"/>
  <c r="E1278" i="7" s="1"/>
  <c r="L1455" i="7"/>
  <c r="L739" i="11" s="1"/>
  <c r="P739" i="11" s="1"/>
  <c r="L739" i="7"/>
  <c r="L23" i="11" s="1"/>
  <c r="P23" i="11" s="1"/>
  <c r="H1098" i="7"/>
  <c r="E1099" i="7" s="1"/>
  <c r="L1276" i="7"/>
  <c r="L560" i="11" s="1"/>
  <c r="P560" i="11" s="1"/>
  <c r="H1635" i="7"/>
  <c r="E1636" i="7" s="1"/>
  <c r="H24" i="7"/>
  <c r="E25" i="7" s="1"/>
  <c r="E24" i="10"/>
  <c r="L23" i="7"/>
  <c r="L23" i="10" s="1"/>
  <c r="P23" i="10" s="1"/>
  <c r="L1097" i="7"/>
  <c r="L381" i="11" s="1"/>
  <c r="P381" i="11" s="1"/>
  <c r="H203" i="7"/>
  <c r="E204" i="7" s="1"/>
  <c r="E203" i="10"/>
  <c r="H919" i="7"/>
  <c r="E920" i="7" s="1"/>
  <c r="H561" i="7"/>
  <c r="E562" i="7" s="1"/>
  <c r="E561" i="10"/>
  <c r="L1634" i="7"/>
  <c r="L918" i="11" s="1"/>
  <c r="P918" i="11" s="1"/>
  <c r="H382" i="7"/>
  <c r="E383" i="7" s="1"/>
  <c r="E382" i="10"/>
  <c r="H740" i="7"/>
  <c r="E741" i="7" s="1"/>
  <c r="I919" i="11" l="1"/>
  <c r="I382" i="11"/>
  <c r="I24" i="11"/>
  <c r="E25" i="11"/>
  <c r="I203" i="11"/>
  <c r="E204" i="11"/>
  <c r="I561" i="11"/>
  <c r="E562" i="11"/>
  <c r="I740" i="11"/>
  <c r="E741" i="11"/>
  <c r="H1997" i="7"/>
  <c r="E1998" i="7" s="1"/>
  <c r="E743" i="10"/>
  <c r="I919" i="10"/>
  <c r="L2173" i="7"/>
  <c r="L919" i="10" s="1"/>
  <c r="P919" i="10" s="1"/>
  <c r="K2173" i="7"/>
  <c r="K919" i="10" s="1"/>
  <c r="J2173" i="7"/>
  <c r="J919" i="10" s="1"/>
  <c r="J1835" i="7"/>
  <c r="L1835" i="7" s="1"/>
  <c r="H1836" i="7"/>
  <c r="E1837" i="7" s="1"/>
  <c r="K1835" i="7"/>
  <c r="J919" i="7"/>
  <c r="J203" i="11" s="1"/>
  <c r="K919" i="7"/>
  <c r="K203" i="11" s="1"/>
  <c r="J1456" i="7"/>
  <c r="J740" i="11" s="1"/>
  <c r="K1456" i="7"/>
  <c r="K740" i="11" s="1"/>
  <c r="J24" i="7"/>
  <c r="J24" i="10" s="1"/>
  <c r="K24" i="7"/>
  <c r="K24" i="10" s="1"/>
  <c r="J382" i="7"/>
  <c r="J382" i="10" s="1"/>
  <c r="K382" i="7"/>
  <c r="K382" i="10" s="1"/>
  <c r="J1277" i="7"/>
  <c r="J561" i="11" s="1"/>
  <c r="K1277" i="7"/>
  <c r="K561" i="11" s="1"/>
  <c r="J1635" i="7"/>
  <c r="J919" i="11" s="1"/>
  <c r="K1635" i="7"/>
  <c r="K919" i="11" s="1"/>
  <c r="J561" i="7"/>
  <c r="J561" i="10" s="1"/>
  <c r="K561" i="7"/>
  <c r="K561" i="10" s="1"/>
  <c r="J1098" i="7"/>
  <c r="J382" i="11" s="1"/>
  <c r="K1098" i="7"/>
  <c r="K382" i="11" s="1"/>
  <c r="J203" i="7"/>
  <c r="J203" i="10" s="1"/>
  <c r="K203" i="7"/>
  <c r="K203" i="10" s="1"/>
  <c r="J740" i="7"/>
  <c r="J24" i="11" s="1"/>
  <c r="K740" i="7"/>
  <c r="K24" i="11" s="1"/>
  <c r="I382" i="10"/>
  <c r="E920" i="11"/>
  <c r="I561" i="10"/>
  <c r="E383" i="11"/>
  <c r="I203" i="10"/>
  <c r="I24" i="10"/>
  <c r="H2174" i="7" l="1"/>
  <c r="E2175" i="7" s="1"/>
  <c r="E920" i="10"/>
  <c r="I743" i="10"/>
  <c r="L1997" i="7"/>
  <c r="L743" i="10" s="1"/>
  <c r="P743" i="10" s="1"/>
  <c r="K1997" i="7"/>
  <c r="K743" i="10" s="1"/>
  <c r="J1997" i="7"/>
  <c r="J743" i="10" s="1"/>
  <c r="J1836" i="7"/>
  <c r="L1836" i="7" s="1"/>
  <c r="H1837" i="7"/>
  <c r="E1838" i="7" s="1"/>
  <c r="K1836" i="7"/>
  <c r="L919" i="7"/>
  <c r="L203" i="11" s="1"/>
  <c r="P203" i="11" s="1"/>
  <c r="L561" i="7"/>
  <c r="L561" i="10" s="1"/>
  <c r="P561" i="10" s="1"/>
  <c r="L1277" i="7"/>
  <c r="L561" i="11" s="1"/>
  <c r="P561" i="11" s="1"/>
  <c r="H562" i="7"/>
  <c r="E563" i="7" s="1"/>
  <c r="E562" i="10"/>
  <c r="L24" i="7"/>
  <c r="L24" i="10" s="1"/>
  <c r="P24" i="10" s="1"/>
  <c r="H204" i="7"/>
  <c r="E205" i="7" s="1"/>
  <c r="E204" i="10"/>
  <c r="H1636" i="7"/>
  <c r="E1637" i="7" s="1"/>
  <c r="H1457" i="7"/>
  <c r="E1458" i="7" s="1"/>
  <c r="L203" i="7"/>
  <c r="L203" i="10" s="1"/>
  <c r="P203" i="10" s="1"/>
  <c r="H1278" i="7"/>
  <c r="E1279" i="7" s="1"/>
  <c r="L1635" i="7"/>
  <c r="L919" i="11" s="1"/>
  <c r="P919" i="11" s="1"/>
  <c r="L1456" i="7"/>
  <c r="L740" i="11" s="1"/>
  <c r="P740" i="11" s="1"/>
  <c r="H1099" i="7"/>
  <c r="E1100" i="7" s="1"/>
  <c r="H383" i="7"/>
  <c r="E384" i="7" s="1"/>
  <c r="E383" i="10"/>
  <c r="H741" i="7"/>
  <c r="E742" i="7" s="1"/>
  <c r="L1098" i="7"/>
  <c r="L382" i="11" s="1"/>
  <c r="P382" i="11" s="1"/>
  <c r="H920" i="7"/>
  <c r="E921" i="7" s="1"/>
  <c r="L382" i="7"/>
  <c r="L382" i="10" s="1"/>
  <c r="P382" i="10" s="1"/>
  <c r="H25" i="7"/>
  <c r="E26" i="7" s="1"/>
  <c r="E25" i="10"/>
  <c r="L740" i="7"/>
  <c r="L24" i="11" s="1"/>
  <c r="P24" i="11" s="1"/>
  <c r="I741" i="11" l="1"/>
  <c r="I383" i="11"/>
  <c r="E384" i="11"/>
  <c r="I562" i="11"/>
  <c r="I920" i="11"/>
  <c r="I25" i="11"/>
  <c r="E26" i="11"/>
  <c r="I204" i="11"/>
  <c r="E205" i="11"/>
  <c r="H1998" i="7"/>
  <c r="E1999" i="7" s="1"/>
  <c r="E744" i="10"/>
  <c r="I920" i="10"/>
  <c r="K2174" i="7"/>
  <c r="K920" i="10" s="1"/>
  <c r="J2174" i="7"/>
  <c r="J920" i="10" s="1"/>
  <c r="L2174" i="7"/>
  <c r="L920" i="10" s="1"/>
  <c r="P920" i="10" s="1"/>
  <c r="H1838" i="7"/>
  <c r="E1839" i="7" s="1"/>
  <c r="J1837" i="7"/>
  <c r="L1837" i="7" s="1"/>
  <c r="K1837" i="7"/>
  <c r="J741" i="7"/>
  <c r="J25" i="11" s="1"/>
  <c r="K741" i="7"/>
  <c r="K25" i="11" s="1"/>
  <c r="J383" i="7"/>
  <c r="J383" i="10" s="1"/>
  <c r="K383" i="7"/>
  <c r="K383" i="10" s="1"/>
  <c r="J1099" i="7"/>
  <c r="J383" i="11" s="1"/>
  <c r="K1099" i="7"/>
  <c r="K383" i="11" s="1"/>
  <c r="J1457" i="7"/>
  <c r="J741" i="11" s="1"/>
  <c r="K1457" i="7"/>
  <c r="K741" i="11" s="1"/>
  <c r="J562" i="7"/>
  <c r="J562" i="10" s="1"/>
  <c r="K562" i="7"/>
  <c r="K562" i="10" s="1"/>
  <c r="J1278" i="7"/>
  <c r="J562" i="11" s="1"/>
  <c r="K1278" i="7"/>
  <c r="K562" i="11" s="1"/>
  <c r="J1636" i="7"/>
  <c r="J920" i="11" s="1"/>
  <c r="K1636" i="7"/>
  <c r="K920" i="11" s="1"/>
  <c r="J204" i="7"/>
  <c r="J204" i="10" s="1"/>
  <c r="K204" i="7"/>
  <c r="K204" i="10" s="1"/>
  <c r="J25" i="7"/>
  <c r="J25" i="10" s="1"/>
  <c r="K25" i="7"/>
  <c r="K25" i="10" s="1"/>
  <c r="J920" i="7"/>
  <c r="J204" i="11" s="1"/>
  <c r="K920" i="7"/>
  <c r="K204" i="11" s="1"/>
  <c r="E563" i="11"/>
  <c r="E742" i="11"/>
  <c r="E921" i="11"/>
  <c r="I383" i="10"/>
  <c r="I204" i="10"/>
  <c r="I25" i="10"/>
  <c r="I562" i="10"/>
  <c r="H2175" i="7" l="1"/>
  <c r="E2176" i="7" s="1"/>
  <c r="E921" i="10"/>
  <c r="I744" i="10"/>
  <c r="L1998" i="7"/>
  <c r="L744" i="10" s="1"/>
  <c r="P744" i="10" s="1"/>
  <c r="K1998" i="7"/>
  <c r="K744" i="10" s="1"/>
  <c r="J1998" i="7"/>
  <c r="J744" i="10" s="1"/>
  <c r="H1839" i="7"/>
  <c r="E1840" i="7" s="1"/>
  <c r="J1838" i="7"/>
  <c r="L1838" i="7" s="1"/>
  <c r="K1838" i="7"/>
  <c r="L920" i="7"/>
  <c r="L204" i="11" s="1"/>
  <c r="P204" i="11" s="1"/>
  <c r="L383" i="7"/>
  <c r="L383" i="10" s="1"/>
  <c r="P383" i="10" s="1"/>
  <c r="L562" i="7"/>
  <c r="L562" i="10" s="1"/>
  <c r="P562" i="10" s="1"/>
  <c r="L741" i="7"/>
  <c r="L25" i="11" s="1"/>
  <c r="P25" i="11" s="1"/>
  <c r="H384" i="7"/>
  <c r="E385" i="7" s="1"/>
  <c r="E384" i="10"/>
  <c r="H1458" i="7"/>
  <c r="E1459" i="7" s="1"/>
  <c r="L1457" i="7"/>
  <c r="L741" i="11" s="1"/>
  <c r="P741" i="11" s="1"/>
  <c r="H921" i="7"/>
  <c r="E922" i="7" s="1"/>
  <c r="L25" i="7"/>
  <c r="L25" i="10" s="1"/>
  <c r="P25" i="10" s="1"/>
  <c r="H1637" i="7"/>
  <c r="E1638" i="7" s="1"/>
  <c r="L1636" i="7"/>
  <c r="L920" i="11" s="1"/>
  <c r="P920" i="11" s="1"/>
  <c r="H1279" i="7"/>
  <c r="E1280" i="7" s="1"/>
  <c r="H26" i="7"/>
  <c r="E27" i="7" s="1"/>
  <c r="E26" i="10"/>
  <c r="H205" i="7"/>
  <c r="E206" i="7" s="1"/>
  <c r="E205" i="10"/>
  <c r="H742" i="7"/>
  <c r="E743" i="7" s="1"/>
  <c r="H563" i="7"/>
  <c r="E564" i="7" s="1"/>
  <c r="E563" i="10"/>
  <c r="H1100" i="7"/>
  <c r="E1101" i="7" s="1"/>
  <c r="L204" i="7"/>
  <c r="L204" i="10" s="1"/>
  <c r="P204" i="10" s="1"/>
  <c r="L1278" i="7"/>
  <c r="L562" i="11" s="1"/>
  <c r="P562" i="11" s="1"/>
  <c r="L1099" i="7"/>
  <c r="L383" i="11" s="1"/>
  <c r="P383" i="11" s="1"/>
  <c r="I205" i="11" l="1"/>
  <c r="I742" i="11"/>
  <c r="I26" i="11"/>
  <c r="I563" i="11"/>
  <c r="E564" i="11"/>
  <c r="I921" i="11"/>
  <c r="E922" i="11"/>
  <c r="I384" i="11"/>
  <c r="E385" i="11"/>
  <c r="H1999" i="7"/>
  <c r="E2000" i="7" s="1"/>
  <c r="E745" i="10"/>
  <c r="I921" i="10"/>
  <c r="K2175" i="7"/>
  <c r="K921" i="10" s="1"/>
  <c r="L2175" i="7"/>
  <c r="L921" i="10" s="1"/>
  <c r="P921" i="10" s="1"/>
  <c r="J2175" i="7"/>
  <c r="J921" i="10" s="1"/>
  <c r="J1839" i="7"/>
  <c r="L1839" i="7" s="1"/>
  <c r="K1839" i="7"/>
  <c r="H1840" i="7"/>
  <c r="E1841" i="7" s="1"/>
  <c r="J1458" i="7"/>
  <c r="J742" i="11" s="1"/>
  <c r="K1458" i="7"/>
  <c r="K742" i="11" s="1"/>
  <c r="J384" i="7"/>
  <c r="J384" i="10" s="1"/>
  <c r="K384" i="7"/>
  <c r="K384" i="10" s="1"/>
  <c r="J1279" i="7"/>
  <c r="J563" i="11" s="1"/>
  <c r="K1279" i="7"/>
  <c r="K563" i="11" s="1"/>
  <c r="J921" i="7"/>
  <c r="J205" i="11" s="1"/>
  <c r="K921" i="7"/>
  <c r="K205" i="11" s="1"/>
  <c r="J205" i="7"/>
  <c r="J205" i="10" s="1"/>
  <c r="K205" i="7"/>
  <c r="K205" i="10" s="1"/>
  <c r="J26" i="7"/>
  <c r="J26" i="10" s="1"/>
  <c r="K26" i="7"/>
  <c r="K26" i="10" s="1"/>
  <c r="J563" i="7"/>
  <c r="J563" i="10" s="1"/>
  <c r="K563" i="7"/>
  <c r="K563" i="10" s="1"/>
  <c r="J742" i="7"/>
  <c r="J26" i="11" s="1"/>
  <c r="K742" i="7"/>
  <c r="K26" i="11" s="1"/>
  <c r="J1100" i="7"/>
  <c r="J384" i="11" s="1"/>
  <c r="K1100" i="7"/>
  <c r="K384" i="11" s="1"/>
  <c r="J1637" i="7"/>
  <c r="J921" i="11" s="1"/>
  <c r="K1637" i="7"/>
  <c r="K921" i="11" s="1"/>
  <c r="E27" i="11"/>
  <c r="E206" i="11"/>
  <c r="E743" i="11"/>
  <c r="I563" i="10"/>
  <c r="I205" i="10"/>
  <c r="I26" i="10"/>
  <c r="I384" i="10"/>
  <c r="H2176" i="7" l="1"/>
  <c r="E2177" i="7" s="1"/>
  <c r="E922" i="10"/>
  <c r="I745" i="10"/>
  <c r="K1999" i="7"/>
  <c r="K745" i="10" s="1"/>
  <c r="J1999" i="7"/>
  <c r="J745" i="10" s="1"/>
  <c r="L1999" i="7"/>
  <c r="L745" i="10" s="1"/>
  <c r="P745" i="10" s="1"/>
  <c r="H1841" i="7"/>
  <c r="E1842" i="7" s="1"/>
  <c r="J1840" i="7"/>
  <c r="L1840" i="7" s="1"/>
  <c r="K1840" i="7"/>
  <c r="L921" i="7"/>
  <c r="L205" i="11" s="1"/>
  <c r="P205" i="11" s="1"/>
  <c r="L1458" i="7"/>
  <c r="L742" i="11" s="1"/>
  <c r="P742" i="11" s="1"/>
  <c r="L384" i="7"/>
  <c r="L384" i="10" s="1"/>
  <c r="P384" i="10" s="1"/>
  <c r="L742" i="7"/>
  <c r="L26" i="11" s="1"/>
  <c r="P26" i="11" s="1"/>
  <c r="H564" i="7"/>
  <c r="E565" i="7" s="1"/>
  <c r="E564" i="10"/>
  <c r="H1101" i="7"/>
  <c r="E1102" i="7" s="1"/>
  <c r="H27" i="7"/>
  <c r="E28" i="7" s="1"/>
  <c r="E27" i="10"/>
  <c r="L1100" i="7"/>
  <c r="L384" i="11" s="1"/>
  <c r="P384" i="11" s="1"/>
  <c r="H1459" i="7"/>
  <c r="E1460" i="7" s="1"/>
  <c r="H922" i="7"/>
  <c r="E923" i="7" s="1"/>
  <c r="L563" i="7"/>
  <c r="L563" i="10" s="1"/>
  <c r="P563" i="10" s="1"/>
  <c r="L26" i="7"/>
  <c r="L26" i="10" s="1"/>
  <c r="P26" i="10" s="1"/>
  <c r="H1638" i="7"/>
  <c r="E1639" i="7" s="1"/>
  <c r="H206" i="7"/>
  <c r="E207" i="7" s="1"/>
  <c r="E206" i="10"/>
  <c r="L1637" i="7"/>
  <c r="L921" i="11" s="1"/>
  <c r="P921" i="11" s="1"/>
  <c r="H1280" i="7"/>
  <c r="E1281" i="7" s="1"/>
  <c r="H385" i="7"/>
  <c r="E386" i="7" s="1"/>
  <c r="E385" i="10"/>
  <c r="H743" i="7"/>
  <c r="E744" i="7" s="1"/>
  <c r="L1279" i="7"/>
  <c r="L563" i="11" s="1"/>
  <c r="P563" i="11" s="1"/>
  <c r="L205" i="7"/>
  <c r="L205" i="10" s="1"/>
  <c r="P205" i="10" s="1"/>
  <c r="I206" i="11" l="1"/>
  <c r="I743" i="11"/>
  <c r="I385" i="11"/>
  <c r="E386" i="11"/>
  <c r="I922" i="11"/>
  <c r="E923" i="11"/>
  <c r="I27" i="11"/>
  <c r="E28" i="11"/>
  <c r="I564" i="11"/>
  <c r="E565" i="11"/>
  <c r="H2000" i="7"/>
  <c r="E2001" i="7" s="1"/>
  <c r="E746" i="10"/>
  <c r="I922" i="10"/>
  <c r="K2176" i="7"/>
  <c r="K922" i="10" s="1"/>
  <c r="L2176" i="7"/>
  <c r="L922" i="10" s="1"/>
  <c r="P922" i="10" s="1"/>
  <c r="J2176" i="7"/>
  <c r="J922" i="10" s="1"/>
  <c r="J1841" i="7"/>
  <c r="L1841" i="7" s="1"/>
  <c r="K1841" i="7"/>
  <c r="H1842" i="7"/>
  <c r="E1843" i="7" s="1"/>
  <c r="J27" i="7"/>
  <c r="J27" i="10" s="1"/>
  <c r="K27" i="7"/>
  <c r="K27" i="10" s="1"/>
  <c r="J1101" i="7"/>
  <c r="J385" i="11" s="1"/>
  <c r="K1101" i="7"/>
  <c r="K385" i="11" s="1"/>
  <c r="J564" i="7"/>
  <c r="J564" i="10" s="1"/>
  <c r="K564" i="7"/>
  <c r="K564" i="10" s="1"/>
  <c r="J1638" i="7"/>
  <c r="J922" i="11" s="1"/>
  <c r="K1638" i="7"/>
  <c r="K922" i="11" s="1"/>
  <c r="J1459" i="7"/>
  <c r="J743" i="11" s="1"/>
  <c r="K1459" i="7"/>
  <c r="K743" i="11" s="1"/>
  <c r="J1280" i="7"/>
  <c r="J564" i="11" s="1"/>
  <c r="K1280" i="7"/>
  <c r="K564" i="11" s="1"/>
  <c r="J206" i="7"/>
  <c r="J206" i="10" s="1"/>
  <c r="K206" i="7"/>
  <c r="K206" i="10" s="1"/>
  <c r="J743" i="7"/>
  <c r="J27" i="11" s="1"/>
  <c r="K743" i="7"/>
  <c r="K27" i="11" s="1"/>
  <c r="J922" i="7"/>
  <c r="J206" i="11" s="1"/>
  <c r="K922" i="7"/>
  <c r="K206" i="11" s="1"/>
  <c r="J385" i="7"/>
  <c r="J385" i="10" s="1"/>
  <c r="K385" i="7"/>
  <c r="K385" i="10" s="1"/>
  <c r="I385" i="10"/>
  <c r="E207" i="11"/>
  <c r="E744" i="11"/>
  <c r="I206" i="10"/>
  <c r="I27" i="10"/>
  <c r="I564" i="10"/>
  <c r="H2177" i="7" l="1"/>
  <c r="E2178" i="7" s="1"/>
  <c r="E923" i="10"/>
  <c r="I746" i="10"/>
  <c r="L2000" i="7"/>
  <c r="L746" i="10" s="1"/>
  <c r="P746" i="10" s="1"/>
  <c r="K2000" i="7"/>
  <c r="K746" i="10" s="1"/>
  <c r="J2000" i="7"/>
  <c r="J746" i="10" s="1"/>
  <c r="H1843" i="7"/>
  <c r="E1844" i="7" s="1"/>
  <c r="K1842" i="7"/>
  <c r="J1842" i="7"/>
  <c r="L1842" i="7" s="1"/>
  <c r="L922" i="7"/>
  <c r="L206" i="11" s="1"/>
  <c r="P206" i="11" s="1"/>
  <c r="L206" i="7"/>
  <c r="L206" i="10" s="1"/>
  <c r="P206" i="10" s="1"/>
  <c r="L1280" i="7"/>
  <c r="L564" i="11" s="1"/>
  <c r="P564" i="11" s="1"/>
  <c r="L564" i="7"/>
  <c r="L564" i="10" s="1"/>
  <c r="P564" i="10" s="1"/>
  <c r="L1101" i="7"/>
  <c r="L385" i="11" s="1"/>
  <c r="P385" i="11" s="1"/>
  <c r="L27" i="7"/>
  <c r="L27" i="10" s="1"/>
  <c r="P27" i="10" s="1"/>
  <c r="L385" i="7"/>
  <c r="L385" i="10" s="1"/>
  <c r="P385" i="10" s="1"/>
  <c r="H565" i="7"/>
  <c r="E566" i="7" s="1"/>
  <c r="E565" i="10"/>
  <c r="H1281" i="7"/>
  <c r="E1282" i="7" s="1"/>
  <c r="H386" i="7"/>
  <c r="E387" i="7" s="1"/>
  <c r="E386" i="10"/>
  <c r="H1460" i="7"/>
  <c r="E1461" i="7" s="1"/>
  <c r="H1639" i="7"/>
  <c r="E1640" i="7" s="1"/>
  <c r="L1638" i="7"/>
  <c r="L922" i="11" s="1"/>
  <c r="P922" i="11" s="1"/>
  <c r="L1459" i="7"/>
  <c r="L743" i="11" s="1"/>
  <c r="P743" i="11" s="1"/>
  <c r="H744" i="7"/>
  <c r="E745" i="7" s="1"/>
  <c r="H207" i="7"/>
  <c r="E208" i="7" s="1"/>
  <c r="E207" i="10"/>
  <c r="H28" i="7"/>
  <c r="E29" i="7" s="1"/>
  <c r="E28" i="10"/>
  <c r="H1102" i="7"/>
  <c r="E1103" i="7" s="1"/>
  <c r="H923" i="7"/>
  <c r="E924" i="7" s="1"/>
  <c r="L743" i="7"/>
  <c r="L27" i="11" s="1"/>
  <c r="P27" i="11" s="1"/>
  <c r="I744" i="11" l="1"/>
  <c r="I207" i="11"/>
  <c r="I923" i="11"/>
  <c r="I565" i="11"/>
  <c r="I28" i="11"/>
  <c r="E29" i="11"/>
  <c r="I386" i="11"/>
  <c r="E387" i="11"/>
  <c r="H2001" i="7"/>
  <c r="E2002" i="7" s="1"/>
  <c r="E747" i="10"/>
  <c r="I923" i="10"/>
  <c r="L2177" i="7"/>
  <c r="L923" i="10" s="1"/>
  <c r="P923" i="10" s="1"/>
  <c r="K2177" i="7"/>
  <c r="K923" i="10" s="1"/>
  <c r="J2177" i="7"/>
  <c r="J923" i="10" s="1"/>
  <c r="K1843" i="7"/>
  <c r="J1843" i="7"/>
  <c r="L1843" i="7" s="1"/>
  <c r="H1844" i="7"/>
  <c r="E1845" i="7" s="1"/>
  <c r="J28" i="7"/>
  <c r="J28" i="10" s="1"/>
  <c r="K28" i="7"/>
  <c r="K28" i="10" s="1"/>
  <c r="J1639" i="7"/>
  <c r="J923" i="11" s="1"/>
  <c r="K1639" i="7"/>
  <c r="K923" i="11" s="1"/>
  <c r="J207" i="7"/>
  <c r="J207" i="10" s="1"/>
  <c r="K207" i="7"/>
  <c r="K207" i="10" s="1"/>
  <c r="J744" i="7"/>
  <c r="J28" i="11" s="1"/>
  <c r="K744" i="7"/>
  <c r="K28" i="11" s="1"/>
  <c r="J565" i="7"/>
  <c r="J565" i="10" s="1"/>
  <c r="K565" i="7"/>
  <c r="K565" i="10" s="1"/>
  <c r="J923" i="7"/>
  <c r="J207" i="11" s="1"/>
  <c r="K923" i="7"/>
  <c r="K207" i="11" s="1"/>
  <c r="J1460" i="7"/>
  <c r="J744" i="11" s="1"/>
  <c r="K1460" i="7"/>
  <c r="K744" i="11" s="1"/>
  <c r="J386" i="7"/>
  <c r="J386" i="10" s="1"/>
  <c r="K386" i="7"/>
  <c r="K386" i="10" s="1"/>
  <c r="J1281" i="7"/>
  <c r="J565" i="11" s="1"/>
  <c r="K1281" i="7"/>
  <c r="K565" i="11" s="1"/>
  <c r="J1102" i="7"/>
  <c r="J386" i="11" s="1"/>
  <c r="K1102" i="7"/>
  <c r="K386" i="11" s="1"/>
  <c r="E924" i="11"/>
  <c r="E745" i="11"/>
  <c r="I28" i="10"/>
  <c r="I386" i="10"/>
  <c r="E566" i="11"/>
  <c r="E208" i="11"/>
  <c r="I207" i="10"/>
  <c r="I565" i="10"/>
  <c r="H2178" i="7" l="1"/>
  <c r="E2179" i="7" s="1"/>
  <c r="E924" i="10"/>
  <c r="I747" i="10"/>
  <c r="K2001" i="7"/>
  <c r="K747" i="10" s="1"/>
  <c r="J2001" i="7"/>
  <c r="J747" i="10" s="1"/>
  <c r="L2001" i="7"/>
  <c r="L747" i="10" s="1"/>
  <c r="P747" i="10" s="1"/>
  <c r="K1844" i="7"/>
  <c r="H1845" i="7"/>
  <c r="E1846" i="7" s="1"/>
  <c r="J1844" i="7"/>
  <c r="L1844" i="7" s="1"/>
  <c r="L923" i="7"/>
  <c r="L207" i="11" s="1"/>
  <c r="P207" i="11" s="1"/>
  <c r="L386" i="7"/>
  <c r="L386" i="10" s="1"/>
  <c r="P386" i="10" s="1"/>
  <c r="L1460" i="7"/>
  <c r="L744" i="11" s="1"/>
  <c r="P744" i="11" s="1"/>
  <c r="L565" i="7"/>
  <c r="L565" i="10" s="1"/>
  <c r="P565" i="10" s="1"/>
  <c r="L1102" i="7"/>
  <c r="L386" i="11" s="1"/>
  <c r="P386" i="11" s="1"/>
  <c r="H566" i="7"/>
  <c r="E567" i="7" s="1"/>
  <c r="E566" i="10"/>
  <c r="H387" i="7"/>
  <c r="E388" i="7" s="1"/>
  <c r="E387" i="10"/>
  <c r="H1103" i="7"/>
  <c r="E1104" i="7" s="1"/>
  <c r="H29" i="7"/>
  <c r="E30" i="7" s="1"/>
  <c r="E29" i="10"/>
  <c r="H1282" i="7"/>
  <c r="E1283" i="7" s="1"/>
  <c r="L28" i="7"/>
  <c r="L28" i="10" s="1"/>
  <c r="P28" i="10" s="1"/>
  <c r="H1640" i="7"/>
  <c r="E1641" i="7" s="1"/>
  <c r="L1281" i="7"/>
  <c r="L565" i="11" s="1"/>
  <c r="P565" i="11" s="1"/>
  <c r="H745" i="7"/>
  <c r="E746" i="7" s="1"/>
  <c r="H208" i="7"/>
  <c r="E209" i="7" s="1"/>
  <c r="E208" i="10"/>
  <c r="H1461" i="7"/>
  <c r="E1462" i="7" s="1"/>
  <c r="L1639" i="7"/>
  <c r="L923" i="11" s="1"/>
  <c r="P923" i="11" s="1"/>
  <c r="H924" i="7"/>
  <c r="E925" i="7" s="1"/>
  <c r="L744" i="7"/>
  <c r="L28" i="11" s="1"/>
  <c r="P28" i="11" s="1"/>
  <c r="L207" i="7"/>
  <c r="L207" i="10" s="1"/>
  <c r="P207" i="10" s="1"/>
  <c r="I566" i="11" l="1"/>
  <c r="I208" i="11"/>
  <c r="I29" i="11"/>
  <c r="E30" i="11"/>
  <c r="I924" i="11"/>
  <c r="E925" i="11"/>
  <c r="I387" i="11"/>
  <c r="E388" i="11"/>
  <c r="I745" i="11"/>
  <c r="E746" i="11"/>
  <c r="H2002" i="7"/>
  <c r="E2003" i="7" s="1"/>
  <c r="E748" i="10"/>
  <c r="I924" i="10"/>
  <c r="K2178" i="7"/>
  <c r="K924" i="10" s="1"/>
  <c r="L2178" i="7"/>
  <c r="L924" i="10" s="1"/>
  <c r="P924" i="10" s="1"/>
  <c r="J2178" i="7"/>
  <c r="J924" i="10" s="1"/>
  <c r="J1845" i="7"/>
  <c r="L1845" i="7" s="1"/>
  <c r="H1846" i="7"/>
  <c r="E1847" i="7" s="1"/>
  <c r="K1845" i="7"/>
  <c r="J1461" i="7"/>
  <c r="J745" i="11" s="1"/>
  <c r="K1461" i="7"/>
  <c r="K745" i="11" s="1"/>
  <c r="J1103" i="7"/>
  <c r="J387" i="11" s="1"/>
  <c r="K1103" i="7"/>
  <c r="K387" i="11" s="1"/>
  <c r="J924" i="7"/>
  <c r="J208" i="11" s="1"/>
  <c r="K924" i="7"/>
  <c r="K208" i="11" s="1"/>
  <c r="J29" i="7"/>
  <c r="J29" i="10" s="1"/>
  <c r="K29" i="7"/>
  <c r="K29" i="10" s="1"/>
  <c r="J208" i="7"/>
  <c r="J208" i="10" s="1"/>
  <c r="K208" i="7"/>
  <c r="K208" i="10" s="1"/>
  <c r="J745" i="7"/>
  <c r="J29" i="11" s="1"/>
  <c r="K745" i="7"/>
  <c r="K29" i="11" s="1"/>
  <c r="J566" i="7"/>
  <c r="J566" i="10" s="1"/>
  <c r="K566" i="7"/>
  <c r="K566" i="10" s="1"/>
  <c r="J387" i="7"/>
  <c r="J387" i="10" s="1"/>
  <c r="K387" i="7"/>
  <c r="K387" i="10" s="1"/>
  <c r="J1640" i="7"/>
  <c r="J924" i="11" s="1"/>
  <c r="K1640" i="7"/>
  <c r="K924" i="11" s="1"/>
  <c r="J1282" i="7"/>
  <c r="J566" i="11" s="1"/>
  <c r="K1282" i="7"/>
  <c r="K566" i="11" s="1"/>
  <c r="E209" i="11"/>
  <c r="I29" i="10"/>
  <c r="I208" i="10"/>
  <c r="E567" i="11"/>
  <c r="I387" i="10"/>
  <c r="I566" i="10"/>
  <c r="H2179" i="7" l="1"/>
  <c r="E2180" i="7" s="1"/>
  <c r="E925" i="10"/>
  <c r="I748" i="10"/>
  <c r="L2002" i="7"/>
  <c r="L748" i="10" s="1"/>
  <c r="P748" i="10" s="1"/>
  <c r="J2002" i="7"/>
  <c r="J748" i="10" s="1"/>
  <c r="K2002" i="7"/>
  <c r="K748" i="10" s="1"/>
  <c r="J1846" i="7"/>
  <c r="L1846" i="7" s="1"/>
  <c r="H1847" i="7"/>
  <c r="E1848" i="7" s="1"/>
  <c r="K1846" i="7"/>
  <c r="L924" i="7"/>
  <c r="L208" i="11" s="1"/>
  <c r="P208" i="11" s="1"/>
  <c r="L1461" i="7"/>
  <c r="L745" i="11" s="1"/>
  <c r="P745" i="11" s="1"/>
  <c r="L208" i="7"/>
  <c r="L208" i="10" s="1"/>
  <c r="P208" i="10" s="1"/>
  <c r="L566" i="7"/>
  <c r="L566" i="10" s="1"/>
  <c r="P566" i="10" s="1"/>
  <c r="H209" i="7"/>
  <c r="E210" i="7" s="1"/>
  <c r="E209" i="10"/>
  <c r="H1283" i="7"/>
  <c r="E1284" i="7" s="1"/>
  <c r="H925" i="7"/>
  <c r="E926" i="7" s="1"/>
  <c r="H567" i="7"/>
  <c r="E568" i="7" s="1"/>
  <c r="E567" i="10"/>
  <c r="H30" i="7"/>
  <c r="E31" i="7" s="1"/>
  <c r="E30" i="10"/>
  <c r="H388" i="7"/>
  <c r="E389" i="7" s="1"/>
  <c r="E388" i="10"/>
  <c r="L387" i="7"/>
  <c r="L387" i="10" s="1"/>
  <c r="P387" i="10" s="1"/>
  <c r="L29" i="7"/>
  <c r="L29" i="10" s="1"/>
  <c r="P29" i="10" s="1"/>
  <c r="H1104" i="7"/>
  <c r="E1105" i="7" s="1"/>
  <c r="H1641" i="7"/>
  <c r="E1642" i="7" s="1"/>
  <c r="L1282" i="7"/>
  <c r="L566" i="11" s="1"/>
  <c r="P566" i="11" s="1"/>
  <c r="L1103" i="7"/>
  <c r="L387" i="11" s="1"/>
  <c r="P387" i="11" s="1"/>
  <c r="H746" i="7"/>
  <c r="E747" i="7" s="1"/>
  <c r="L1640" i="7"/>
  <c r="L924" i="11" s="1"/>
  <c r="P924" i="11" s="1"/>
  <c r="L745" i="7"/>
  <c r="L29" i="11" s="1"/>
  <c r="P29" i="11" s="1"/>
  <c r="H1462" i="7"/>
  <c r="E1463" i="7" s="1"/>
  <c r="I746" i="11" l="1"/>
  <c r="I30" i="11"/>
  <c r="I209" i="11"/>
  <c r="I925" i="11"/>
  <c r="I388" i="11"/>
  <c r="I567" i="11"/>
  <c r="E568" i="11"/>
  <c r="H2003" i="7"/>
  <c r="E2004" i="7" s="1"/>
  <c r="E749" i="10"/>
  <c r="I925" i="10"/>
  <c r="L2179" i="7"/>
  <c r="L925" i="10" s="1"/>
  <c r="P925" i="10" s="1"/>
  <c r="K2179" i="7"/>
  <c r="K925" i="10" s="1"/>
  <c r="J2179" i="7"/>
  <c r="J925" i="10" s="1"/>
  <c r="J1847" i="7"/>
  <c r="L1847" i="7" s="1"/>
  <c r="H1848" i="7"/>
  <c r="E1849" i="7" s="1"/>
  <c r="K1847" i="7"/>
  <c r="J925" i="7"/>
  <c r="J209" i="11" s="1"/>
  <c r="K925" i="7"/>
  <c r="K209" i="11" s="1"/>
  <c r="J1104" i="7"/>
  <c r="J388" i="11" s="1"/>
  <c r="K1104" i="7"/>
  <c r="K388" i="11" s="1"/>
  <c r="J1641" i="7"/>
  <c r="J925" i="11" s="1"/>
  <c r="K1641" i="7"/>
  <c r="K925" i="11" s="1"/>
  <c r="J1283" i="7"/>
  <c r="J567" i="11" s="1"/>
  <c r="K1283" i="7"/>
  <c r="K567" i="11" s="1"/>
  <c r="J567" i="7"/>
  <c r="J567" i="10" s="1"/>
  <c r="K567" i="7"/>
  <c r="K567" i="10" s="1"/>
  <c r="J1462" i="7"/>
  <c r="J746" i="11" s="1"/>
  <c r="K1462" i="7"/>
  <c r="K746" i="11" s="1"/>
  <c r="J209" i="7"/>
  <c r="J209" i="10" s="1"/>
  <c r="K209" i="7"/>
  <c r="K209" i="10" s="1"/>
  <c r="J388" i="7"/>
  <c r="J388" i="10" s="1"/>
  <c r="K388" i="7"/>
  <c r="K388" i="10" s="1"/>
  <c r="J746" i="7"/>
  <c r="J30" i="11" s="1"/>
  <c r="K746" i="7"/>
  <c r="K30" i="11" s="1"/>
  <c r="J30" i="7"/>
  <c r="J30" i="10" s="1"/>
  <c r="K30" i="7"/>
  <c r="K30" i="10" s="1"/>
  <c r="I388" i="10"/>
  <c r="E31" i="11"/>
  <c r="I30" i="10"/>
  <c r="I567" i="10"/>
  <c r="E926" i="11"/>
  <c r="E210" i="11"/>
  <c r="E389" i="11"/>
  <c r="E747" i="11"/>
  <c r="I209" i="10"/>
  <c r="H2180" i="7" l="1"/>
  <c r="E2181" i="7" s="1"/>
  <c r="E926" i="10"/>
  <c r="I749" i="10"/>
  <c r="K2003" i="7"/>
  <c r="K749" i="10" s="1"/>
  <c r="J2003" i="7"/>
  <c r="J749" i="10" s="1"/>
  <c r="L2003" i="7"/>
  <c r="L749" i="10" s="1"/>
  <c r="P749" i="10" s="1"/>
  <c r="H1849" i="7"/>
  <c r="E1850" i="7" s="1"/>
  <c r="K1848" i="7"/>
  <c r="J1848" i="7"/>
  <c r="L1848" i="7" s="1"/>
  <c r="L925" i="7"/>
  <c r="L209" i="11" s="1"/>
  <c r="P209" i="11" s="1"/>
  <c r="L30" i="7"/>
  <c r="L30" i="10" s="1"/>
  <c r="P30" i="10" s="1"/>
  <c r="L209" i="7"/>
  <c r="L209" i="10" s="1"/>
  <c r="P209" i="10" s="1"/>
  <c r="L567" i="7"/>
  <c r="L567" i="10" s="1"/>
  <c r="P567" i="10" s="1"/>
  <c r="L1462" i="7"/>
  <c r="L746" i="11" s="1"/>
  <c r="P746" i="11" s="1"/>
  <c r="H1642" i="7"/>
  <c r="E1643" i="7" s="1"/>
  <c r="H1105" i="7"/>
  <c r="E1106" i="7" s="1"/>
  <c r="L1641" i="7"/>
  <c r="L925" i="11" s="1"/>
  <c r="P925" i="11" s="1"/>
  <c r="L1104" i="7"/>
  <c r="L388" i="11" s="1"/>
  <c r="P388" i="11" s="1"/>
  <c r="H1463" i="7"/>
  <c r="E1464" i="7" s="1"/>
  <c r="H747" i="7"/>
  <c r="E748" i="7" s="1"/>
  <c r="L746" i="7"/>
  <c r="L30" i="11" s="1"/>
  <c r="P30" i="11" s="1"/>
  <c r="H568" i="7"/>
  <c r="E569" i="7" s="1"/>
  <c r="E568" i="10"/>
  <c r="H926" i="7"/>
  <c r="E927" i="7" s="1"/>
  <c r="H389" i="7"/>
  <c r="E390" i="7" s="1"/>
  <c r="E389" i="10"/>
  <c r="H210" i="7"/>
  <c r="E211" i="7" s="1"/>
  <c r="E210" i="10"/>
  <c r="H1284" i="7"/>
  <c r="E1285" i="7" s="1"/>
  <c r="L1283" i="7"/>
  <c r="L567" i="11" s="1"/>
  <c r="P567" i="11" s="1"/>
  <c r="H31" i="7"/>
  <c r="E32" i="7" s="1"/>
  <c r="E31" i="10"/>
  <c r="L388" i="7"/>
  <c r="L388" i="10" s="1"/>
  <c r="P388" i="10" s="1"/>
  <c r="I389" i="11" l="1"/>
  <c r="I210" i="11"/>
  <c r="E211" i="11"/>
  <c r="I31" i="11"/>
  <c r="I747" i="11"/>
  <c r="E748" i="11"/>
  <c r="I568" i="11"/>
  <c r="I926" i="11"/>
  <c r="E927" i="11"/>
  <c r="H2004" i="7"/>
  <c r="E2005" i="7" s="1"/>
  <c r="E750" i="10"/>
  <c r="I926" i="10"/>
  <c r="J2180" i="7"/>
  <c r="J926" i="10" s="1"/>
  <c r="L2180" i="7"/>
  <c r="L926" i="10" s="1"/>
  <c r="P926" i="10" s="1"/>
  <c r="K2180" i="7"/>
  <c r="K926" i="10" s="1"/>
  <c r="H1850" i="7"/>
  <c r="E1851" i="7" s="1"/>
  <c r="K1849" i="7"/>
  <c r="J1849" i="7"/>
  <c r="L1849" i="7" s="1"/>
  <c r="J1463" i="7"/>
  <c r="J747" i="11" s="1"/>
  <c r="K1463" i="7"/>
  <c r="K747" i="11" s="1"/>
  <c r="J210" i="7"/>
  <c r="J210" i="10" s="1"/>
  <c r="K210" i="7"/>
  <c r="K210" i="10" s="1"/>
  <c r="J1105" i="7"/>
  <c r="J389" i="11" s="1"/>
  <c r="K1105" i="7"/>
  <c r="K389" i="11" s="1"/>
  <c r="J389" i="7"/>
  <c r="J389" i="10" s="1"/>
  <c r="K389" i="7"/>
  <c r="K389" i="10" s="1"/>
  <c r="J926" i="7"/>
  <c r="J210" i="11" s="1"/>
  <c r="K926" i="7"/>
  <c r="K210" i="11" s="1"/>
  <c r="J1642" i="7"/>
  <c r="J926" i="11" s="1"/>
  <c r="K1642" i="7"/>
  <c r="K926" i="11" s="1"/>
  <c r="J31" i="7"/>
  <c r="J31" i="10" s="1"/>
  <c r="K31" i="7"/>
  <c r="K31" i="10" s="1"/>
  <c r="J747" i="7"/>
  <c r="J31" i="11" s="1"/>
  <c r="K747" i="7"/>
  <c r="K31" i="11" s="1"/>
  <c r="J568" i="7"/>
  <c r="J568" i="10" s="1"/>
  <c r="K568" i="7"/>
  <c r="K568" i="10" s="1"/>
  <c r="J1284" i="7"/>
  <c r="J568" i="11" s="1"/>
  <c r="K1284" i="7"/>
  <c r="K568" i="11" s="1"/>
  <c r="E32" i="11"/>
  <c r="I568" i="10"/>
  <c r="I31" i="10"/>
  <c r="E569" i="11"/>
  <c r="I210" i="10"/>
  <c r="I389" i="10"/>
  <c r="E390" i="11"/>
  <c r="H2181" i="7" l="1"/>
  <c r="E2182" i="7" s="1"/>
  <c r="E927" i="10"/>
  <c r="I750" i="10"/>
  <c r="L2004" i="7"/>
  <c r="L750" i="10" s="1"/>
  <c r="P750" i="10" s="1"/>
  <c r="J2004" i="7"/>
  <c r="J750" i="10" s="1"/>
  <c r="K2004" i="7"/>
  <c r="K750" i="10" s="1"/>
  <c r="H1851" i="7"/>
  <c r="E1852" i="7" s="1"/>
  <c r="J1850" i="7"/>
  <c r="L1850" i="7" s="1"/>
  <c r="K1850" i="7"/>
  <c r="L926" i="7"/>
  <c r="L210" i="11" s="1"/>
  <c r="P210" i="11" s="1"/>
  <c r="L210" i="7"/>
  <c r="L210" i="10" s="1"/>
  <c r="P210" i="10" s="1"/>
  <c r="L31" i="7"/>
  <c r="L31" i="10" s="1"/>
  <c r="P31" i="10" s="1"/>
  <c r="L568" i="7"/>
  <c r="L568" i="10" s="1"/>
  <c r="P568" i="10" s="1"/>
  <c r="L1463" i="7"/>
  <c r="L747" i="11" s="1"/>
  <c r="P747" i="11" s="1"/>
  <c r="L389" i="7"/>
  <c r="L389" i="10" s="1"/>
  <c r="P389" i="10" s="1"/>
  <c r="L1642" i="7"/>
  <c r="L926" i="11" s="1"/>
  <c r="P926" i="11" s="1"/>
  <c r="H1285" i="7"/>
  <c r="E1286" i="7" s="1"/>
  <c r="H390" i="7"/>
  <c r="E391" i="7" s="1"/>
  <c r="E390" i="10"/>
  <c r="L1284" i="7"/>
  <c r="L568" i="11" s="1"/>
  <c r="P568" i="11" s="1"/>
  <c r="H1464" i="7"/>
  <c r="E1465" i="7" s="1"/>
  <c r="H211" i="7"/>
  <c r="E212" i="7" s="1"/>
  <c r="E211" i="10"/>
  <c r="H32" i="7"/>
  <c r="E33" i="7" s="1"/>
  <c r="E32" i="10"/>
  <c r="H748" i="7"/>
  <c r="E749" i="7" s="1"/>
  <c r="H927" i="7"/>
  <c r="E928" i="7" s="1"/>
  <c r="L747" i="7"/>
  <c r="L31" i="11" s="1"/>
  <c r="P31" i="11" s="1"/>
  <c r="H1106" i="7"/>
  <c r="E1107" i="7" s="1"/>
  <c r="H1643" i="7"/>
  <c r="E1644" i="7" s="1"/>
  <c r="H569" i="7"/>
  <c r="E570" i="7" s="1"/>
  <c r="E569" i="10"/>
  <c r="L1105" i="7"/>
  <c r="L389" i="11" s="1"/>
  <c r="P389" i="11" s="1"/>
  <c r="I748" i="11" l="1"/>
  <c r="I927" i="11"/>
  <c r="I390" i="11"/>
  <c r="I569" i="11"/>
  <c r="E570" i="11"/>
  <c r="I211" i="11"/>
  <c r="E212" i="11"/>
  <c r="I32" i="11"/>
  <c r="E33" i="11"/>
  <c r="H2005" i="7"/>
  <c r="E2006" i="7" s="1"/>
  <c r="E751" i="10"/>
  <c r="I927" i="10"/>
  <c r="K2181" i="7"/>
  <c r="K927" i="10" s="1"/>
  <c r="J2181" i="7"/>
  <c r="J927" i="10" s="1"/>
  <c r="L2181" i="7"/>
  <c r="L927" i="10" s="1"/>
  <c r="P927" i="10" s="1"/>
  <c r="H1852" i="7"/>
  <c r="E1853" i="7" s="1"/>
  <c r="K1851" i="7"/>
  <c r="J1851" i="7"/>
  <c r="L1851" i="7" s="1"/>
  <c r="J927" i="7"/>
  <c r="J211" i="11" s="1"/>
  <c r="K927" i="7"/>
  <c r="K211" i="11" s="1"/>
  <c r="J1106" i="7"/>
  <c r="J390" i="11" s="1"/>
  <c r="K1106" i="7"/>
  <c r="K390" i="11" s="1"/>
  <c r="J390" i="7"/>
  <c r="J390" i="10" s="1"/>
  <c r="K390" i="7"/>
  <c r="K390" i="10" s="1"/>
  <c r="J1285" i="7"/>
  <c r="J569" i="11" s="1"/>
  <c r="K1285" i="7"/>
  <c r="K569" i="11" s="1"/>
  <c r="J748" i="7"/>
  <c r="J32" i="11" s="1"/>
  <c r="K748" i="7"/>
  <c r="K32" i="11" s="1"/>
  <c r="J32" i="7"/>
  <c r="J32" i="10" s="1"/>
  <c r="K32" i="7"/>
  <c r="K32" i="10" s="1"/>
  <c r="J569" i="7"/>
  <c r="J569" i="10" s="1"/>
  <c r="K569" i="7"/>
  <c r="K569" i="10" s="1"/>
  <c r="J211" i="7"/>
  <c r="J211" i="10" s="1"/>
  <c r="K211" i="7"/>
  <c r="K211" i="10" s="1"/>
  <c r="J1643" i="7"/>
  <c r="J927" i="11" s="1"/>
  <c r="K1643" i="7"/>
  <c r="K927" i="11" s="1"/>
  <c r="J1464" i="7"/>
  <c r="J748" i="11" s="1"/>
  <c r="K1464" i="7"/>
  <c r="K748" i="11" s="1"/>
  <c r="I32" i="10"/>
  <c r="I211" i="10"/>
  <c r="E749" i="11"/>
  <c r="I569" i="10"/>
  <c r="E928" i="11"/>
  <c r="E391" i="11"/>
  <c r="I390" i="10"/>
  <c r="H2182" i="7" l="1"/>
  <c r="E2183" i="7" s="1"/>
  <c r="E928" i="10"/>
  <c r="I751" i="10"/>
  <c r="J2005" i="7"/>
  <c r="J751" i="10" s="1"/>
  <c r="L2005" i="7"/>
  <c r="L751" i="10" s="1"/>
  <c r="P751" i="10" s="1"/>
  <c r="K2005" i="7"/>
  <c r="K751" i="10" s="1"/>
  <c r="H1853" i="7"/>
  <c r="E1854" i="7" s="1"/>
  <c r="J1852" i="7"/>
  <c r="L1852" i="7" s="1"/>
  <c r="K1852" i="7"/>
  <c r="L927" i="7"/>
  <c r="L211" i="11" s="1"/>
  <c r="P211" i="11" s="1"/>
  <c r="L211" i="7"/>
  <c r="L211" i="10" s="1"/>
  <c r="P211" i="10" s="1"/>
  <c r="L32" i="7"/>
  <c r="L32" i="10" s="1"/>
  <c r="P32" i="10" s="1"/>
  <c r="L1464" i="7"/>
  <c r="L748" i="11" s="1"/>
  <c r="P748" i="11" s="1"/>
  <c r="L1643" i="7"/>
  <c r="L927" i="11" s="1"/>
  <c r="P927" i="11" s="1"/>
  <c r="L390" i="7"/>
  <c r="L390" i="10" s="1"/>
  <c r="P390" i="10" s="1"/>
  <c r="L748" i="7"/>
  <c r="L32" i="11" s="1"/>
  <c r="P32" i="11" s="1"/>
  <c r="H391" i="7"/>
  <c r="E392" i="7" s="1"/>
  <c r="E391" i="10"/>
  <c r="H1644" i="7"/>
  <c r="E1645" i="7" s="1"/>
  <c r="H212" i="7"/>
  <c r="E213" i="7" s="1"/>
  <c r="E212" i="10"/>
  <c r="H570" i="7"/>
  <c r="E571" i="7" s="1"/>
  <c r="E570" i="10"/>
  <c r="H1286" i="7"/>
  <c r="E1287" i="7" s="1"/>
  <c r="H1107" i="7"/>
  <c r="E1108" i="7" s="1"/>
  <c r="L569" i="7"/>
  <c r="L569" i="10" s="1"/>
  <c r="P569" i="10" s="1"/>
  <c r="L1106" i="7"/>
  <c r="L390" i="11" s="1"/>
  <c r="P390" i="11" s="1"/>
  <c r="H33" i="7"/>
  <c r="E34" i="7" s="1"/>
  <c r="E33" i="10"/>
  <c r="L1285" i="7"/>
  <c r="L569" i="11" s="1"/>
  <c r="P569" i="11" s="1"/>
  <c r="H749" i="7"/>
  <c r="E750" i="7" s="1"/>
  <c r="H928" i="7"/>
  <c r="E929" i="7" s="1"/>
  <c r="H1465" i="7"/>
  <c r="E1466" i="7" s="1"/>
  <c r="I570" i="11" l="1"/>
  <c r="I749" i="11"/>
  <c r="I212" i="11"/>
  <c r="I33" i="11"/>
  <c r="E34" i="11"/>
  <c r="I928" i="11"/>
  <c r="I391" i="11"/>
  <c r="E392" i="11"/>
  <c r="H2006" i="7"/>
  <c r="E2007" i="7" s="1"/>
  <c r="E752" i="10"/>
  <c r="I928" i="10"/>
  <c r="J2182" i="7"/>
  <c r="J928" i="10" s="1"/>
  <c r="L2182" i="7"/>
  <c r="L928" i="10" s="1"/>
  <c r="P928" i="10" s="1"/>
  <c r="K2182" i="7"/>
  <c r="K928" i="10" s="1"/>
  <c r="J1853" i="7"/>
  <c r="L1853" i="7" s="1"/>
  <c r="K1853" i="7"/>
  <c r="H1854" i="7"/>
  <c r="E1855" i="7" s="1"/>
  <c r="J391" i="7"/>
  <c r="J391" i="10" s="1"/>
  <c r="K391" i="7"/>
  <c r="K391" i="10" s="1"/>
  <c r="J1286" i="7"/>
  <c r="J570" i="11" s="1"/>
  <c r="K1286" i="7"/>
  <c r="K570" i="11" s="1"/>
  <c r="J928" i="7"/>
  <c r="J212" i="11" s="1"/>
  <c r="K928" i="7"/>
  <c r="K212" i="11" s="1"/>
  <c r="J570" i="7"/>
  <c r="J570" i="10" s="1"/>
  <c r="K570" i="7"/>
  <c r="K570" i="10" s="1"/>
  <c r="J212" i="7"/>
  <c r="J212" i="10" s="1"/>
  <c r="K212" i="7"/>
  <c r="K212" i="10" s="1"/>
  <c r="J33" i="7"/>
  <c r="J33" i="10" s="1"/>
  <c r="K33" i="7"/>
  <c r="K33" i="10" s="1"/>
  <c r="J1644" i="7"/>
  <c r="J928" i="11" s="1"/>
  <c r="K1644" i="7"/>
  <c r="K928" i="11" s="1"/>
  <c r="J1107" i="7"/>
  <c r="J391" i="11" s="1"/>
  <c r="K1107" i="7"/>
  <c r="K391" i="11" s="1"/>
  <c r="J1465" i="7"/>
  <c r="J749" i="11" s="1"/>
  <c r="K1465" i="7"/>
  <c r="K749" i="11" s="1"/>
  <c r="J749" i="7"/>
  <c r="J33" i="11" s="1"/>
  <c r="K749" i="7"/>
  <c r="K33" i="11" s="1"/>
  <c r="E750" i="11"/>
  <c r="E571" i="11"/>
  <c r="I570" i="10"/>
  <c r="I212" i="10"/>
  <c r="E929" i="11"/>
  <c r="E213" i="11"/>
  <c r="I33" i="10"/>
  <c r="I391" i="10"/>
  <c r="H2183" i="7" l="1"/>
  <c r="E2184" i="7" s="1"/>
  <c r="E929" i="10"/>
  <c r="I752" i="10"/>
  <c r="J2006" i="7"/>
  <c r="J752" i="10" s="1"/>
  <c r="L2006" i="7"/>
  <c r="L752" i="10" s="1"/>
  <c r="P752" i="10" s="1"/>
  <c r="K2006" i="7"/>
  <c r="K752" i="10" s="1"/>
  <c r="J1854" i="7"/>
  <c r="L1854" i="7" s="1"/>
  <c r="K1854" i="7"/>
  <c r="H1855" i="7"/>
  <c r="E1856" i="7" s="1"/>
  <c r="L928" i="7"/>
  <c r="L212" i="11" s="1"/>
  <c r="P212" i="11" s="1"/>
  <c r="L33" i="7"/>
  <c r="L33" i="10" s="1"/>
  <c r="P33" i="10" s="1"/>
  <c r="L212" i="7"/>
  <c r="L212" i="10" s="1"/>
  <c r="P212" i="10" s="1"/>
  <c r="L1644" i="7"/>
  <c r="L928" i="11" s="1"/>
  <c r="P928" i="11" s="1"/>
  <c r="L1286" i="7"/>
  <c r="L570" i="11" s="1"/>
  <c r="P570" i="11" s="1"/>
  <c r="L391" i="7"/>
  <c r="L391" i="10" s="1"/>
  <c r="P391" i="10" s="1"/>
  <c r="H1466" i="7"/>
  <c r="E1467" i="7" s="1"/>
  <c r="H34" i="7"/>
  <c r="E35" i="7" s="1"/>
  <c r="E34" i="10"/>
  <c r="H571" i="7"/>
  <c r="E572" i="7" s="1"/>
  <c r="E571" i="10"/>
  <c r="L1465" i="7"/>
  <c r="L749" i="11" s="1"/>
  <c r="P749" i="11" s="1"/>
  <c r="H392" i="7"/>
  <c r="E393" i="7" s="1"/>
  <c r="E392" i="10"/>
  <c r="H213" i="7"/>
  <c r="E214" i="7" s="1"/>
  <c r="E213" i="10"/>
  <c r="H1645" i="7"/>
  <c r="E1646" i="7" s="1"/>
  <c r="L570" i="7"/>
  <c r="L570" i="10" s="1"/>
  <c r="P570" i="10" s="1"/>
  <c r="H929" i="7"/>
  <c r="E930" i="7" s="1"/>
  <c r="H750" i="7"/>
  <c r="E751" i="7" s="1"/>
  <c r="H1108" i="7"/>
  <c r="E1109" i="7" s="1"/>
  <c r="L1107" i="7"/>
  <c r="L391" i="11" s="1"/>
  <c r="P391" i="11" s="1"/>
  <c r="L749" i="7"/>
  <c r="L33" i="11" s="1"/>
  <c r="P33" i="11" s="1"/>
  <c r="H1287" i="7"/>
  <c r="E1288" i="7" s="1"/>
  <c r="I571" i="11" l="1"/>
  <c r="I392" i="11"/>
  <c r="E393" i="11"/>
  <c r="I929" i="11"/>
  <c r="I34" i="11"/>
  <c r="I213" i="11"/>
  <c r="E214" i="11"/>
  <c r="I750" i="11"/>
  <c r="E751" i="11"/>
  <c r="H2007" i="7"/>
  <c r="E2008" i="7" s="1"/>
  <c r="E753" i="10"/>
  <c r="I929" i="10"/>
  <c r="K2183" i="7"/>
  <c r="K929" i="10" s="1"/>
  <c r="J2183" i="7"/>
  <c r="J929" i="10" s="1"/>
  <c r="L2183" i="7"/>
  <c r="L929" i="10" s="1"/>
  <c r="P929" i="10" s="1"/>
  <c r="J1855" i="7"/>
  <c r="L1855" i="7" s="1"/>
  <c r="H1856" i="7"/>
  <c r="E1857" i="7" s="1"/>
  <c r="K1855" i="7"/>
  <c r="J750" i="7"/>
  <c r="J34" i="11" s="1"/>
  <c r="K750" i="7"/>
  <c r="K34" i="11" s="1"/>
  <c r="J571" i="7"/>
  <c r="J571" i="10" s="1"/>
  <c r="K571" i="7"/>
  <c r="K571" i="10" s="1"/>
  <c r="J34" i="7"/>
  <c r="J34" i="10" s="1"/>
  <c r="K34" i="7"/>
  <c r="K34" i="10" s="1"/>
  <c r="J213" i="7"/>
  <c r="J213" i="10" s="1"/>
  <c r="K213" i="7"/>
  <c r="K213" i="10" s="1"/>
  <c r="J929" i="7"/>
  <c r="J213" i="11" s="1"/>
  <c r="K929" i="7"/>
  <c r="K213" i="11" s="1"/>
  <c r="J1287" i="7"/>
  <c r="J571" i="11" s="1"/>
  <c r="K1287" i="7"/>
  <c r="K571" i="11" s="1"/>
  <c r="J392" i="7"/>
  <c r="J392" i="10" s="1"/>
  <c r="K392" i="7"/>
  <c r="K392" i="10" s="1"/>
  <c r="J1466" i="7"/>
  <c r="J750" i="11" s="1"/>
  <c r="K1466" i="7"/>
  <c r="K750" i="11" s="1"/>
  <c r="J1645" i="7"/>
  <c r="J929" i="11" s="1"/>
  <c r="K1645" i="7"/>
  <c r="K929" i="11" s="1"/>
  <c r="J1108" i="7"/>
  <c r="J392" i="11" s="1"/>
  <c r="K1108" i="7"/>
  <c r="K392" i="11" s="1"/>
  <c r="E930" i="11"/>
  <c r="I571" i="10"/>
  <c r="I392" i="10"/>
  <c r="I34" i="10"/>
  <c r="E35" i="11"/>
  <c r="E572" i="11"/>
  <c r="I213" i="10"/>
  <c r="H2184" i="7" l="1"/>
  <c r="E2185" i="7" s="1"/>
  <c r="E930" i="10"/>
  <c r="I753" i="10"/>
  <c r="J2007" i="7"/>
  <c r="J753" i="10" s="1"/>
  <c r="L2007" i="7"/>
  <c r="L753" i="10" s="1"/>
  <c r="P753" i="10" s="1"/>
  <c r="K2007" i="7"/>
  <c r="K753" i="10" s="1"/>
  <c r="J1856" i="7"/>
  <c r="L1856" i="7" s="1"/>
  <c r="K1856" i="7"/>
  <c r="H1857" i="7"/>
  <c r="E1858" i="7" s="1"/>
  <c r="L929" i="7"/>
  <c r="L213" i="11" s="1"/>
  <c r="P213" i="11" s="1"/>
  <c r="L34" i="7"/>
  <c r="L34" i="10" s="1"/>
  <c r="P34" i="10" s="1"/>
  <c r="L213" i="7"/>
  <c r="L213" i="10" s="1"/>
  <c r="P213" i="10" s="1"/>
  <c r="L392" i="7"/>
  <c r="L392" i="10" s="1"/>
  <c r="P392" i="10" s="1"/>
  <c r="L1466" i="7"/>
  <c r="L750" i="11" s="1"/>
  <c r="P750" i="11" s="1"/>
  <c r="L750" i="7"/>
  <c r="L34" i="11" s="1"/>
  <c r="P34" i="11" s="1"/>
  <c r="H1467" i="7"/>
  <c r="E1468" i="7" s="1"/>
  <c r="H751" i="7"/>
  <c r="E752" i="7" s="1"/>
  <c r="H214" i="7"/>
  <c r="E215" i="7" s="1"/>
  <c r="E214" i="10"/>
  <c r="H572" i="7"/>
  <c r="E573" i="7" s="1"/>
  <c r="E572" i="10"/>
  <c r="H35" i="7"/>
  <c r="E36" i="7" s="1"/>
  <c r="E35" i="10"/>
  <c r="L571" i="7"/>
  <c r="L571" i="10" s="1"/>
  <c r="P571" i="10" s="1"/>
  <c r="H930" i="7"/>
  <c r="E931" i="7" s="1"/>
  <c r="H1288" i="7"/>
  <c r="E1289" i="7" s="1"/>
  <c r="H1646" i="7"/>
  <c r="E1647" i="7" s="1"/>
  <c r="L1645" i="7"/>
  <c r="L929" i="11" s="1"/>
  <c r="P929" i="11" s="1"/>
  <c r="L1287" i="7"/>
  <c r="L571" i="11" s="1"/>
  <c r="P571" i="11" s="1"/>
  <c r="H1109" i="7"/>
  <c r="E1110" i="7" s="1"/>
  <c r="L1108" i="7"/>
  <c r="L392" i="11" s="1"/>
  <c r="P392" i="11" s="1"/>
  <c r="H393" i="7"/>
  <c r="E394" i="7" s="1"/>
  <c r="E393" i="10"/>
  <c r="I393" i="11" l="1"/>
  <c r="I35" i="11"/>
  <c r="E36" i="11"/>
  <c r="I751" i="11"/>
  <c r="E752" i="11"/>
  <c r="I930" i="11"/>
  <c r="I572" i="11"/>
  <c r="E573" i="11"/>
  <c r="I214" i="11"/>
  <c r="E215" i="11"/>
  <c r="H2008" i="7"/>
  <c r="E2009" i="7" s="1"/>
  <c r="E754" i="10"/>
  <c r="I930" i="10"/>
  <c r="K2184" i="7"/>
  <c r="K930" i="10" s="1"/>
  <c r="L2184" i="7"/>
  <c r="L930" i="10" s="1"/>
  <c r="P930" i="10" s="1"/>
  <c r="J2184" i="7"/>
  <c r="J930" i="10" s="1"/>
  <c r="H1858" i="7"/>
  <c r="E1859" i="7" s="1"/>
  <c r="K1857" i="7"/>
  <c r="J1857" i="7"/>
  <c r="L1857" i="7" s="1"/>
  <c r="J214" i="7"/>
  <c r="J214" i="10" s="1"/>
  <c r="K214" i="7"/>
  <c r="K214" i="10" s="1"/>
  <c r="J1109" i="7"/>
  <c r="J393" i="11" s="1"/>
  <c r="K1109" i="7"/>
  <c r="K393" i="11" s="1"/>
  <c r="J1646" i="7"/>
  <c r="J930" i="11" s="1"/>
  <c r="K1646" i="7"/>
  <c r="K930" i="11" s="1"/>
  <c r="J751" i="7"/>
  <c r="J35" i="11" s="1"/>
  <c r="K751" i="7"/>
  <c r="K35" i="11" s="1"/>
  <c r="J1288" i="7"/>
  <c r="J572" i="11" s="1"/>
  <c r="K1288" i="7"/>
  <c r="K572" i="11" s="1"/>
  <c r="J1467" i="7"/>
  <c r="J751" i="11" s="1"/>
  <c r="K1467" i="7"/>
  <c r="K751" i="11" s="1"/>
  <c r="J930" i="7"/>
  <c r="J214" i="11" s="1"/>
  <c r="K930" i="7"/>
  <c r="K214" i="11" s="1"/>
  <c r="J393" i="7"/>
  <c r="J393" i="10" s="1"/>
  <c r="K393" i="7"/>
  <c r="K393" i="10" s="1"/>
  <c r="J35" i="7"/>
  <c r="J35" i="10" s="1"/>
  <c r="K35" i="7"/>
  <c r="K35" i="10" s="1"/>
  <c r="J572" i="7"/>
  <c r="J572" i="10" s="1"/>
  <c r="K572" i="7"/>
  <c r="K572" i="10" s="1"/>
  <c r="I35" i="10"/>
  <c r="I393" i="10"/>
  <c r="E394" i="11"/>
  <c r="I572" i="10"/>
  <c r="I214" i="10"/>
  <c r="E931" i="11"/>
  <c r="H2185" i="7" l="1"/>
  <c r="E2186" i="7" s="1"/>
  <c r="E931" i="10"/>
  <c r="I754" i="10"/>
  <c r="L2008" i="7"/>
  <c r="L754" i="10" s="1"/>
  <c r="P754" i="10" s="1"/>
  <c r="J2008" i="7"/>
  <c r="J754" i="10" s="1"/>
  <c r="K2008" i="7"/>
  <c r="K754" i="10" s="1"/>
  <c r="K1858" i="7"/>
  <c r="H1859" i="7"/>
  <c r="E1860" i="7" s="1"/>
  <c r="J1858" i="7"/>
  <c r="L1858" i="7" s="1"/>
  <c r="L930" i="7"/>
  <c r="L214" i="11" s="1"/>
  <c r="P214" i="11" s="1"/>
  <c r="L214" i="7"/>
  <c r="L214" i="10" s="1"/>
  <c r="P214" i="10" s="1"/>
  <c r="L35" i="7"/>
  <c r="L35" i="10" s="1"/>
  <c r="P35" i="10" s="1"/>
  <c r="L393" i="7"/>
  <c r="L393" i="10" s="1"/>
  <c r="P393" i="10" s="1"/>
  <c r="L572" i="7"/>
  <c r="L572" i="10" s="1"/>
  <c r="P572" i="10" s="1"/>
  <c r="L1467" i="7"/>
  <c r="L751" i="11" s="1"/>
  <c r="P751" i="11" s="1"/>
  <c r="L1109" i="7"/>
  <c r="L393" i="11" s="1"/>
  <c r="P393" i="11" s="1"/>
  <c r="H573" i="7"/>
  <c r="E574" i="7" s="1"/>
  <c r="E573" i="10"/>
  <c r="H1468" i="7"/>
  <c r="E1469" i="7" s="1"/>
  <c r="H1647" i="7"/>
  <c r="E1648" i="7" s="1"/>
  <c r="H36" i="7"/>
  <c r="E37" i="7" s="1"/>
  <c r="E36" i="10"/>
  <c r="L1646" i="7"/>
  <c r="L930" i="11" s="1"/>
  <c r="P930" i="11" s="1"/>
  <c r="H1110" i="7"/>
  <c r="E1111" i="7" s="1"/>
  <c r="H752" i="7"/>
  <c r="E753" i="7" s="1"/>
  <c r="H215" i="7"/>
  <c r="E216" i="7" s="1"/>
  <c r="E215" i="10"/>
  <c r="H931" i="7"/>
  <c r="E932" i="7" s="1"/>
  <c r="H1289" i="7"/>
  <c r="E1290" i="7" s="1"/>
  <c r="L1288" i="7"/>
  <c r="L572" i="11" s="1"/>
  <c r="P572" i="11" s="1"/>
  <c r="L751" i="7"/>
  <c r="L35" i="11" s="1"/>
  <c r="P35" i="11" s="1"/>
  <c r="H394" i="7"/>
  <c r="E395" i="7" s="1"/>
  <c r="E394" i="10"/>
  <c r="I931" i="11" l="1"/>
  <c r="I752" i="11"/>
  <c r="E753" i="11"/>
  <c r="I573" i="11"/>
  <c r="E574" i="11"/>
  <c r="I394" i="11"/>
  <c r="I215" i="11"/>
  <c r="E216" i="11"/>
  <c r="I36" i="11"/>
  <c r="E37" i="11"/>
  <c r="H2009" i="7"/>
  <c r="E2010" i="7" s="1"/>
  <c r="E755" i="10"/>
  <c r="I931" i="10"/>
  <c r="K2185" i="7"/>
  <c r="K931" i="10" s="1"/>
  <c r="L2185" i="7"/>
  <c r="L931" i="10" s="1"/>
  <c r="P931" i="10" s="1"/>
  <c r="J2185" i="7"/>
  <c r="J931" i="10" s="1"/>
  <c r="J1859" i="7"/>
  <c r="L1859" i="7" s="1"/>
  <c r="H1860" i="7"/>
  <c r="E1861" i="7" s="1"/>
  <c r="K1859" i="7"/>
  <c r="J1110" i="7"/>
  <c r="J394" i="11" s="1"/>
  <c r="K1110" i="7"/>
  <c r="K394" i="11" s="1"/>
  <c r="J1468" i="7"/>
  <c r="J752" i="11" s="1"/>
  <c r="K1468" i="7"/>
  <c r="K752" i="11" s="1"/>
  <c r="J573" i="7"/>
  <c r="J573" i="10" s="1"/>
  <c r="K573" i="7"/>
  <c r="K573" i="10" s="1"/>
  <c r="J1647" i="7"/>
  <c r="J931" i="11" s="1"/>
  <c r="K1647" i="7"/>
  <c r="K931" i="11" s="1"/>
  <c r="J931" i="7"/>
  <c r="J215" i="11" s="1"/>
  <c r="K931" i="7"/>
  <c r="K215" i="11" s="1"/>
  <c r="J215" i="7"/>
  <c r="J215" i="10" s="1"/>
  <c r="K215" i="7"/>
  <c r="K215" i="10" s="1"/>
  <c r="J752" i="7"/>
  <c r="J36" i="11" s="1"/>
  <c r="K752" i="7"/>
  <c r="K36" i="11" s="1"/>
  <c r="J394" i="7"/>
  <c r="J394" i="10" s="1"/>
  <c r="K394" i="7"/>
  <c r="K394" i="10" s="1"/>
  <c r="J36" i="7"/>
  <c r="J36" i="10" s="1"/>
  <c r="K36" i="7"/>
  <c r="K36" i="10" s="1"/>
  <c r="J1289" i="7"/>
  <c r="J573" i="11" s="1"/>
  <c r="K1289" i="7"/>
  <c r="K573" i="11" s="1"/>
  <c r="E395" i="11"/>
  <c r="I394" i="10"/>
  <c r="I36" i="10"/>
  <c r="E932" i="11"/>
  <c r="I215" i="10"/>
  <c r="I573" i="10"/>
  <c r="H2186" i="7" l="1"/>
  <c r="E2187" i="7" s="1"/>
  <c r="E932" i="10"/>
  <c r="I755" i="10"/>
  <c r="J2009" i="7"/>
  <c r="J755" i="10" s="1"/>
  <c r="K2009" i="7"/>
  <c r="K755" i="10" s="1"/>
  <c r="L2009" i="7"/>
  <c r="L755" i="10" s="1"/>
  <c r="P755" i="10" s="1"/>
  <c r="K1860" i="7"/>
  <c r="H1861" i="7"/>
  <c r="E1862" i="7" s="1"/>
  <c r="J1860" i="7"/>
  <c r="L1860" i="7" s="1"/>
  <c r="L931" i="7"/>
  <c r="L215" i="11" s="1"/>
  <c r="P215" i="11" s="1"/>
  <c r="L215" i="7"/>
  <c r="L215" i="10" s="1"/>
  <c r="P215" i="10" s="1"/>
  <c r="L36" i="7"/>
  <c r="L36" i="10" s="1"/>
  <c r="P36" i="10" s="1"/>
  <c r="L1110" i="7"/>
  <c r="L394" i="11" s="1"/>
  <c r="P394" i="11" s="1"/>
  <c r="L394" i="7"/>
  <c r="L394" i="10" s="1"/>
  <c r="P394" i="10" s="1"/>
  <c r="L1289" i="7"/>
  <c r="L573" i="11" s="1"/>
  <c r="P573" i="11" s="1"/>
  <c r="L573" i="7"/>
  <c r="L573" i="10" s="1"/>
  <c r="P573" i="10" s="1"/>
  <c r="H1290" i="7"/>
  <c r="E1291" i="7" s="1"/>
  <c r="H37" i="7"/>
  <c r="E38" i="7" s="1"/>
  <c r="E37" i="10"/>
  <c r="H1111" i="7"/>
  <c r="E1112" i="7" s="1"/>
  <c r="H1648" i="7"/>
  <c r="E1649" i="7" s="1"/>
  <c r="H932" i="7"/>
  <c r="E933" i="7" s="1"/>
  <c r="H216" i="7"/>
  <c r="E217" i="7" s="1"/>
  <c r="E216" i="10"/>
  <c r="H1469" i="7"/>
  <c r="E1470" i="7" s="1"/>
  <c r="L1647" i="7"/>
  <c r="L931" i="11" s="1"/>
  <c r="P931" i="11" s="1"/>
  <c r="H753" i="7"/>
  <c r="E754" i="7" s="1"/>
  <c r="H395" i="7"/>
  <c r="E396" i="7" s="1"/>
  <c r="E395" i="10"/>
  <c r="L752" i="7"/>
  <c r="L36" i="11" s="1"/>
  <c r="P36" i="11" s="1"/>
  <c r="H574" i="7"/>
  <c r="E575" i="7" s="1"/>
  <c r="E574" i="10"/>
  <c r="L1468" i="7"/>
  <c r="L752" i="11" s="1"/>
  <c r="P752" i="11" s="1"/>
  <c r="I216" i="11" l="1"/>
  <c r="I932" i="11"/>
  <c r="I395" i="11"/>
  <c r="I574" i="11"/>
  <c r="E575" i="11"/>
  <c r="I37" i="11"/>
  <c r="I753" i="11"/>
  <c r="E754" i="11"/>
  <c r="H2010" i="7"/>
  <c r="E2011" i="7" s="1"/>
  <c r="E756" i="10"/>
  <c r="I932" i="10"/>
  <c r="K2186" i="7"/>
  <c r="K932" i="10" s="1"/>
  <c r="J2186" i="7"/>
  <c r="J932" i="10" s="1"/>
  <c r="L2186" i="7"/>
  <c r="L932" i="10" s="1"/>
  <c r="P932" i="10" s="1"/>
  <c r="K1861" i="7"/>
  <c r="J1861" i="7"/>
  <c r="L1861" i="7" s="1"/>
  <c r="H1862" i="7"/>
  <c r="E1863" i="7" s="1"/>
  <c r="J216" i="7"/>
  <c r="J216" i="10" s="1"/>
  <c r="K216" i="7"/>
  <c r="K216" i="10" s="1"/>
  <c r="J932" i="7"/>
  <c r="J216" i="11" s="1"/>
  <c r="K932" i="7"/>
  <c r="K216" i="11" s="1"/>
  <c r="J753" i="7"/>
  <c r="J37" i="11" s="1"/>
  <c r="K753" i="7"/>
  <c r="K37" i="11" s="1"/>
  <c r="J37" i="7"/>
  <c r="J37" i="10" s="1"/>
  <c r="K37" i="7"/>
  <c r="K37" i="10" s="1"/>
  <c r="J1469" i="7"/>
  <c r="J753" i="11" s="1"/>
  <c r="K1469" i="7"/>
  <c r="K753" i="11" s="1"/>
  <c r="J574" i="7"/>
  <c r="J574" i="10" s="1"/>
  <c r="K574" i="7"/>
  <c r="K574" i="10" s="1"/>
  <c r="J1111" i="7"/>
  <c r="J395" i="11" s="1"/>
  <c r="K1111" i="7"/>
  <c r="K395" i="11" s="1"/>
  <c r="J1290" i="7"/>
  <c r="J574" i="11" s="1"/>
  <c r="K1290" i="7"/>
  <c r="K574" i="11" s="1"/>
  <c r="J1648" i="7"/>
  <c r="J932" i="11" s="1"/>
  <c r="K1648" i="7"/>
  <c r="K932" i="11" s="1"/>
  <c r="J395" i="7"/>
  <c r="J395" i="10" s="1"/>
  <c r="K395" i="7"/>
  <c r="K395" i="10" s="1"/>
  <c r="I574" i="10"/>
  <c r="E933" i="11"/>
  <c r="E396" i="11"/>
  <c r="I395" i="10"/>
  <c r="I216" i="10"/>
  <c r="E217" i="11"/>
  <c r="E38" i="11"/>
  <c r="I37" i="10"/>
  <c r="H2187" i="7" l="1"/>
  <c r="E2188" i="7" s="1"/>
  <c r="E933" i="10"/>
  <c r="I756" i="10"/>
  <c r="L2010" i="7"/>
  <c r="L756" i="10" s="1"/>
  <c r="P756" i="10" s="1"/>
  <c r="K2010" i="7"/>
  <c r="K756" i="10" s="1"/>
  <c r="J2010" i="7"/>
  <c r="J756" i="10" s="1"/>
  <c r="K1862" i="7"/>
  <c r="J1862" i="7"/>
  <c r="L1862" i="7" s="1"/>
  <c r="H1863" i="7"/>
  <c r="E1864" i="7" s="1"/>
  <c r="L932" i="7"/>
  <c r="L216" i="11" s="1"/>
  <c r="P216" i="11" s="1"/>
  <c r="L37" i="7"/>
  <c r="L37" i="10" s="1"/>
  <c r="P37" i="10" s="1"/>
  <c r="L216" i="7"/>
  <c r="L216" i="10" s="1"/>
  <c r="P216" i="10" s="1"/>
  <c r="L1111" i="7"/>
  <c r="L395" i="11" s="1"/>
  <c r="P395" i="11" s="1"/>
  <c r="L1290" i="7"/>
  <c r="L574" i="11" s="1"/>
  <c r="P574" i="11" s="1"/>
  <c r="L1648" i="7"/>
  <c r="L932" i="11" s="1"/>
  <c r="P932" i="11" s="1"/>
  <c r="L574" i="7"/>
  <c r="L574" i="10" s="1"/>
  <c r="P574" i="10" s="1"/>
  <c r="L1469" i="7"/>
  <c r="L753" i="11" s="1"/>
  <c r="P753" i="11" s="1"/>
  <c r="H1291" i="7"/>
  <c r="E1292" i="7" s="1"/>
  <c r="H754" i="7"/>
  <c r="E755" i="7" s="1"/>
  <c r="H1649" i="7"/>
  <c r="E1650" i="7" s="1"/>
  <c r="L753" i="7"/>
  <c r="L37" i="11" s="1"/>
  <c r="P37" i="11" s="1"/>
  <c r="L395" i="7"/>
  <c r="L395" i="10" s="1"/>
  <c r="P395" i="10" s="1"/>
  <c r="H575" i="7"/>
  <c r="E576" i="7" s="1"/>
  <c r="E575" i="10"/>
  <c r="H396" i="7"/>
  <c r="E397" i="7" s="1"/>
  <c r="E396" i="10"/>
  <c r="H1470" i="7"/>
  <c r="E1471" i="7" s="1"/>
  <c r="H933" i="7"/>
  <c r="E934" i="7" s="1"/>
  <c r="H1112" i="7"/>
  <c r="E1113" i="7" s="1"/>
  <c r="H38" i="7"/>
  <c r="E39" i="7" s="1"/>
  <c r="E38" i="10"/>
  <c r="H217" i="7"/>
  <c r="E218" i="7" s="1"/>
  <c r="E217" i="10"/>
  <c r="I933" i="11" l="1"/>
  <c r="I217" i="11"/>
  <c r="E218" i="11"/>
  <c r="I38" i="11"/>
  <c r="I575" i="11"/>
  <c r="E576" i="11"/>
  <c r="I396" i="11"/>
  <c r="I754" i="11"/>
  <c r="E755" i="11"/>
  <c r="H2011" i="7"/>
  <c r="E2012" i="7" s="1"/>
  <c r="E757" i="10"/>
  <c r="I933" i="10"/>
  <c r="J2187" i="7"/>
  <c r="J933" i="10" s="1"/>
  <c r="K2187" i="7"/>
  <c r="K933" i="10" s="1"/>
  <c r="L2187" i="7"/>
  <c r="L933" i="10" s="1"/>
  <c r="P933" i="10" s="1"/>
  <c r="J1863" i="7"/>
  <c r="L1863" i="7" s="1"/>
  <c r="H1864" i="7"/>
  <c r="E1865" i="7" s="1"/>
  <c r="K1863" i="7"/>
  <c r="J754" i="7"/>
  <c r="J38" i="11" s="1"/>
  <c r="K754" i="7"/>
  <c r="K38" i="11" s="1"/>
  <c r="J1291" i="7"/>
  <c r="J575" i="11" s="1"/>
  <c r="K1291" i="7"/>
  <c r="K575" i="11" s="1"/>
  <c r="J575" i="7"/>
  <c r="J575" i="10" s="1"/>
  <c r="K575" i="7"/>
  <c r="K575" i="10" s="1"/>
  <c r="J933" i="7"/>
  <c r="J217" i="11" s="1"/>
  <c r="K933" i="7"/>
  <c r="K217" i="11" s="1"/>
  <c r="J1470" i="7"/>
  <c r="J754" i="11" s="1"/>
  <c r="K1470" i="7"/>
  <c r="K754" i="11" s="1"/>
  <c r="J396" i="7"/>
  <c r="J396" i="10" s="1"/>
  <c r="K396" i="7"/>
  <c r="K396" i="10" s="1"/>
  <c r="J217" i="7"/>
  <c r="J217" i="10" s="1"/>
  <c r="K217" i="7"/>
  <c r="K217" i="10" s="1"/>
  <c r="J38" i="7"/>
  <c r="J38" i="10" s="1"/>
  <c r="K38" i="7"/>
  <c r="K38" i="10" s="1"/>
  <c r="J1112" i="7"/>
  <c r="J396" i="11" s="1"/>
  <c r="K1112" i="7"/>
  <c r="K396" i="11" s="1"/>
  <c r="J1649" i="7"/>
  <c r="J933" i="11" s="1"/>
  <c r="K1649" i="7"/>
  <c r="K933" i="11" s="1"/>
  <c r="I396" i="10"/>
  <c r="I217" i="10"/>
  <c r="I38" i="10"/>
  <c r="E934" i="11"/>
  <c r="I575" i="10"/>
  <c r="E397" i="11"/>
  <c r="E39" i="11"/>
  <c r="H2188" i="7" l="1"/>
  <c r="E2189" i="7" s="1"/>
  <c r="E934" i="10"/>
  <c r="I757" i="10"/>
  <c r="L2011" i="7"/>
  <c r="L757" i="10" s="1"/>
  <c r="P757" i="10" s="1"/>
  <c r="J2011" i="7"/>
  <c r="J757" i="10" s="1"/>
  <c r="K2011" i="7"/>
  <c r="K757" i="10" s="1"/>
  <c r="J1864" i="7"/>
  <c r="L1864" i="7" s="1"/>
  <c r="H1865" i="7"/>
  <c r="E1866" i="7" s="1"/>
  <c r="K1864" i="7"/>
  <c r="L933" i="7"/>
  <c r="L217" i="11" s="1"/>
  <c r="P217" i="11" s="1"/>
  <c r="L217" i="7"/>
  <c r="L217" i="10" s="1"/>
  <c r="P217" i="10" s="1"/>
  <c r="L38" i="7"/>
  <c r="L38" i="10" s="1"/>
  <c r="P38" i="10" s="1"/>
  <c r="L575" i="7"/>
  <c r="L575" i="10" s="1"/>
  <c r="P575" i="10" s="1"/>
  <c r="L1291" i="7"/>
  <c r="L575" i="11" s="1"/>
  <c r="P575" i="11" s="1"/>
  <c r="H934" i="7"/>
  <c r="E935" i="7" s="1"/>
  <c r="H576" i="7"/>
  <c r="E577" i="7" s="1"/>
  <c r="E576" i="10"/>
  <c r="H218" i="7"/>
  <c r="E219" i="7" s="1"/>
  <c r="E218" i="10"/>
  <c r="H1650" i="7"/>
  <c r="E1651" i="7" s="1"/>
  <c r="H397" i="7"/>
  <c r="E398" i="7" s="1"/>
  <c r="E397" i="10"/>
  <c r="H1471" i="7"/>
  <c r="E1472" i="7" s="1"/>
  <c r="L1470" i="7"/>
  <c r="L754" i="11" s="1"/>
  <c r="P754" i="11" s="1"/>
  <c r="L1649" i="7"/>
  <c r="L933" i="11" s="1"/>
  <c r="P933" i="11" s="1"/>
  <c r="H1292" i="7"/>
  <c r="E1293" i="7" s="1"/>
  <c r="H1113" i="7"/>
  <c r="E1114" i="7" s="1"/>
  <c r="L1112" i="7"/>
  <c r="L396" i="11" s="1"/>
  <c r="P396" i="11" s="1"/>
  <c r="H755" i="7"/>
  <c r="E756" i="7" s="1"/>
  <c r="H39" i="7"/>
  <c r="E40" i="7" s="1"/>
  <c r="E39" i="10"/>
  <c r="L754" i="7"/>
  <c r="L38" i="11" s="1"/>
  <c r="P38" i="11" s="1"/>
  <c r="L396" i="7"/>
  <c r="L396" i="10" s="1"/>
  <c r="P396" i="10" s="1"/>
  <c r="I39" i="11" l="1"/>
  <c r="I755" i="11"/>
  <c r="I934" i="11"/>
  <c r="I397" i="11"/>
  <c r="I218" i="11"/>
  <c r="E219" i="11"/>
  <c r="I576" i="11"/>
  <c r="E577" i="11"/>
  <c r="H2012" i="7"/>
  <c r="E2013" i="7" s="1"/>
  <c r="E758" i="10"/>
  <c r="I934" i="10"/>
  <c r="K2188" i="7"/>
  <c r="K934" i="10" s="1"/>
  <c r="J2188" i="7"/>
  <c r="J934" i="10" s="1"/>
  <c r="L2188" i="7"/>
  <c r="L934" i="10" s="1"/>
  <c r="P934" i="10" s="1"/>
  <c r="H1866" i="7"/>
  <c r="E1867" i="7" s="1"/>
  <c r="K1865" i="7"/>
  <c r="J1865" i="7"/>
  <c r="L1865" i="7" s="1"/>
  <c r="J218" i="7"/>
  <c r="J218" i="10" s="1"/>
  <c r="K218" i="7"/>
  <c r="K218" i="10" s="1"/>
  <c r="J934" i="7"/>
  <c r="J218" i="11" s="1"/>
  <c r="K934" i="7"/>
  <c r="K218" i="11" s="1"/>
  <c r="J1650" i="7"/>
  <c r="J934" i="11" s="1"/>
  <c r="K1650" i="7"/>
  <c r="K934" i="11" s="1"/>
  <c r="J1113" i="7"/>
  <c r="J397" i="11" s="1"/>
  <c r="K1113" i="7"/>
  <c r="K397" i="11" s="1"/>
  <c r="J1292" i="7"/>
  <c r="J576" i="11" s="1"/>
  <c r="K1292" i="7"/>
  <c r="K576" i="11" s="1"/>
  <c r="J576" i="7"/>
  <c r="J576" i="10" s="1"/>
  <c r="K576" i="7"/>
  <c r="K576" i="10" s="1"/>
  <c r="J1471" i="7"/>
  <c r="J755" i="11" s="1"/>
  <c r="K1471" i="7"/>
  <c r="K755" i="11" s="1"/>
  <c r="J39" i="7"/>
  <c r="J39" i="10" s="1"/>
  <c r="K39" i="7"/>
  <c r="K39" i="10" s="1"/>
  <c r="J397" i="7"/>
  <c r="J397" i="10" s="1"/>
  <c r="K397" i="7"/>
  <c r="K397" i="10" s="1"/>
  <c r="J755" i="7"/>
  <c r="J39" i="11" s="1"/>
  <c r="K755" i="7"/>
  <c r="K39" i="11" s="1"/>
  <c r="I397" i="10"/>
  <c r="E935" i="11"/>
  <c r="I39" i="10"/>
  <c r="E398" i="11"/>
  <c r="I218" i="10"/>
  <c r="E756" i="11"/>
  <c r="E40" i="11"/>
  <c r="I576" i="10"/>
  <c r="H2189" i="7" l="1"/>
  <c r="E2190" i="7" s="1"/>
  <c r="E935" i="10"/>
  <c r="I758" i="10"/>
  <c r="K2012" i="7"/>
  <c r="K758" i="10" s="1"/>
  <c r="J2012" i="7"/>
  <c r="J758" i="10" s="1"/>
  <c r="L2012" i="7"/>
  <c r="L758" i="10" s="1"/>
  <c r="P758" i="10" s="1"/>
  <c r="K1866" i="7"/>
  <c r="J1866" i="7"/>
  <c r="L1866" i="7" s="1"/>
  <c r="H1867" i="7"/>
  <c r="E1868" i="7" s="1"/>
  <c r="L934" i="7"/>
  <c r="L218" i="11" s="1"/>
  <c r="P218" i="11" s="1"/>
  <c r="L218" i="7"/>
  <c r="L218" i="10" s="1"/>
  <c r="P218" i="10" s="1"/>
  <c r="L39" i="7"/>
  <c r="L39" i="10" s="1"/>
  <c r="P39" i="10" s="1"/>
  <c r="L576" i="7"/>
  <c r="L576" i="10" s="1"/>
  <c r="P576" i="10" s="1"/>
  <c r="L1113" i="7"/>
  <c r="L397" i="11" s="1"/>
  <c r="P397" i="11" s="1"/>
  <c r="H935" i="7"/>
  <c r="E936" i="7" s="1"/>
  <c r="H219" i="7"/>
  <c r="E220" i="7" s="1"/>
  <c r="E219" i="10"/>
  <c r="H756" i="7"/>
  <c r="E757" i="7" s="1"/>
  <c r="H1651" i="7"/>
  <c r="E1652" i="7" s="1"/>
  <c r="H1293" i="7"/>
  <c r="E1294" i="7" s="1"/>
  <c r="L1650" i="7"/>
  <c r="L934" i="11" s="1"/>
  <c r="P934" i="11" s="1"/>
  <c r="H1114" i="7"/>
  <c r="E1115" i="7" s="1"/>
  <c r="H398" i="7"/>
  <c r="E399" i="7" s="1"/>
  <c r="E398" i="10"/>
  <c r="L755" i="7"/>
  <c r="L39" i="11" s="1"/>
  <c r="P39" i="11" s="1"/>
  <c r="L1292" i="7"/>
  <c r="L576" i="11" s="1"/>
  <c r="P576" i="11" s="1"/>
  <c r="H1472" i="7"/>
  <c r="E1473" i="7" s="1"/>
  <c r="H577" i="7"/>
  <c r="E578" i="7" s="1"/>
  <c r="E577" i="10"/>
  <c r="L1471" i="7"/>
  <c r="L755" i="11" s="1"/>
  <c r="P755" i="11" s="1"/>
  <c r="L397" i="7"/>
  <c r="L397" i="10" s="1"/>
  <c r="P397" i="10" s="1"/>
  <c r="H40" i="7"/>
  <c r="E41" i="7" s="1"/>
  <c r="E40" i="10"/>
  <c r="I577" i="11" l="1"/>
  <c r="I935" i="11"/>
  <c r="I40" i="11"/>
  <c r="I756" i="11"/>
  <c r="I398" i="11"/>
  <c r="E399" i="11"/>
  <c r="I219" i="11"/>
  <c r="E220" i="11"/>
  <c r="H2013" i="7"/>
  <c r="E2014" i="7" s="1"/>
  <c r="E759" i="10"/>
  <c r="I935" i="10"/>
  <c r="L2189" i="7"/>
  <c r="L935" i="10" s="1"/>
  <c r="P935" i="10" s="1"/>
  <c r="J2189" i="7"/>
  <c r="J935" i="10" s="1"/>
  <c r="K2189" i="7"/>
  <c r="K935" i="10" s="1"/>
  <c r="K1867" i="7"/>
  <c r="H1868" i="7"/>
  <c r="E1869" i="7" s="1"/>
  <c r="J1867" i="7"/>
  <c r="L1867" i="7" s="1"/>
  <c r="J40" i="7"/>
  <c r="J40" i="10" s="1"/>
  <c r="K40" i="7"/>
  <c r="K40" i="10" s="1"/>
  <c r="J756" i="7"/>
  <c r="J40" i="11" s="1"/>
  <c r="K756" i="7"/>
  <c r="K40" i="11" s="1"/>
  <c r="J398" i="7"/>
  <c r="J398" i="10" s="1"/>
  <c r="K398" i="7"/>
  <c r="K398" i="10" s="1"/>
  <c r="J935" i="7"/>
  <c r="J219" i="11" s="1"/>
  <c r="K935" i="7"/>
  <c r="K219" i="11" s="1"/>
  <c r="J1114" i="7"/>
  <c r="J398" i="11" s="1"/>
  <c r="K1114" i="7"/>
  <c r="K398" i="11" s="1"/>
  <c r="J1651" i="7"/>
  <c r="J935" i="11" s="1"/>
  <c r="K1651" i="7"/>
  <c r="K935" i="11" s="1"/>
  <c r="J1472" i="7"/>
  <c r="J756" i="11" s="1"/>
  <c r="K1472" i="7"/>
  <c r="K756" i="11" s="1"/>
  <c r="J219" i="7"/>
  <c r="J219" i="10" s="1"/>
  <c r="K219" i="7"/>
  <c r="K219" i="10" s="1"/>
  <c r="J1293" i="7"/>
  <c r="J577" i="11" s="1"/>
  <c r="K1293" i="7"/>
  <c r="K577" i="11" s="1"/>
  <c r="J577" i="7"/>
  <c r="J577" i="10" s="1"/>
  <c r="K577" i="7"/>
  <c r="K577" i="10" s="1"/>
  <c r="I40" i="10"/>
  <c r="E578" i="11"/>
  <c r="E757" i="11"/>
  <c r="E41" i="11"/>
  <c r="E936" i="11"/>
  <c r="I577" i="10"/>
  <c r="I219" i="10"/>
  <c r="I398" i="10"/>
  <c r="H2190" i="7" l="1"/>
  <c r="E2191" i="7" s="1"/>
  <c r="E936" i="10"/>
  <c r="I759" i="10"/>
  <c r="K2013" i="7"/>
  <c r="K759" i="10" s="1"/>
  <c r="J2013" i="7"/>
  <c r="J759" i="10" s="1"/>
  <c r="L2013" i="7"/>
  <c r="L759" i="10" s="1"/>
  <c r="P759" i="10" s="1"/>
  <c r="K1868" i="7"/>
  <c r="H1869" i="7"/>
  <c r="E1870" i="7" s="1"/>
  <c r="J1868" i="7"/>
  <c r="L1868" i="7" s="1"/>
  <c r="L935" i="7"/>
  <c r="L219" i="11" s="1"/>
  <c r="P219" i="11" s="1"/>
  <c r="L219" i="7"/>
  <c r="L219" i="10" s="1"/>
  <c r="P219" i="10" s="1"/>
  <c r="L40" i="7"/>
  <c r="L40" i="10" s="1"/>
  <c r="P40" i="10" s="1"/>
  <c r="L1293" i="7"/>
  <c r="L577" i="11" s="1"/>
  <c r="P577" i="11" s="1"/>
  <c r="L1114" i="7"/>
  <c r="L398" i="11" s="1"/>
  <c r="P398" i="11" s="1"/>
  <c r="L577" i="7"/>
  <c r="L577" i="10" s="1"/>
  <c r="P577" i="10" s="1"/>
  <c r="H578" i="7"/>
  <c r="E579" i="7" s="1"/>
  <c r="E578" i="10"/>
  <c r="L756" i="7"/>
  <c r="L40" i="11" s="1"/>
  <c r="P40" i="11" s="1"/>
  <c r="H399" i="7"/>
  <c r="E400" i="7" s="1"/>
  <c r="E399" i="10"/>
  <c r="H1115" i="7"/>
  <c r="E1116" i="7" s="1"/>
  <c r="H1473" i="7"/>
  <c r="E1474" i="7" s="1"/>
  <c r="H41" i="7"/>
  <c r="E42" i="7" s="1"/>
  <c r="E41" i="10"/>
  <c r="L398" i="7"/>
  <c r="L398" i="10" s="1"/>
  <c r="P398" i="10" s="1"/>
  <c r="L1472" i="7"/>
  <c r="L756" i="11" s="1"/>
  <c r="P756" i="11" s="1"/>
  <c r="H220" i="7"/>
  <c r="E221" i="7" s="1"/>
  <c r="E220" i="10"/>
  <c r="H1652" i="7"/>
  <c r="E1653" i="7" s="1"/>
  <c r="L1651" i="7"/>
  <c r="L935" i="11" s="1"/>
  <c r="P935" i="11" s="1"/>
  <c r="H1294" i="7"/>
  <c r="E1295" i="7" s="1"/>
  <c r="H936" i="7"/>
  <c r="E937" i="7" s="1"/>
  <c r="H757" i="7"/>
  <c r="E758" i="7" s="1"/>
  <c r="I757" i="11" l="1"/>
  <c r="I220" i="11"/>
  <c r="I41" i="11"/>
  <c r="I399" i="11"/>
  <c r="I578" i="11"/>
  <c r="I936" i="11"/>
  <c r="H2014" i="7"/>
  <c r="E2015" i="7" s="1"/>
  <c r="E760" i="10"/>
  <c r="I936" i="10"/>
  <c r="K2190" i="7"/>
  <c r="K936" i="10" s="1"/>
  <c r="J2190" i="7"/>
  <c r="J936" i="10" s="1"/>
  <c r="L2190" i="7"/>
  <c r="L936" i="10" s="1"/>
  <c r="P936" i="10" s="1"/>
  <c r="H1870" i="7"/>
  <c r="E1871" i="7" s="1"/>
  <c r="J1869" i="7"/>
  <c r="L1869" i="7" s="1"/>
  <c r="K1869" i="7"/>
  <c r="J399" i="7"/>
  <c r="J399" i="10" s="1"/>
  <c r="K399" i="7"/>
  <c r="K399" i="10" s="1"/>
  <c r="J220" i="7"/>
  <c r="J220" i="10" s="1"/>
  <c r="K220" i="7"/>
  <c r="K220" i="10" s="1"/>
  <c r="J1652" i="7"/>
  <c r="J936" i="11" s="1"/>
  <c r="K1652" i="7"/>
  <c r="K936" i="11" s="1"/>
  <c r="J578" i="7"/>
  <c r="J578" i="10" s="1"/>
  <c r="K578" i="7"/>
  <c r="K578" i="10" s="1"/>
  <c r="J757" i="7"/>
  <c r="J41" i="11" s="1"/>
  <c r="K757" i="7"/>
  <c r="K41" i="11" s="1"/>
  <c r="J936" i="7"/>
  <c r="J220" i="11" s="1"/>
  <c r="K936" i="7"/>
  <c r="K220" i="11" s="1"/>
  <c r="J1473" i="7"/>
  <c r="J757" i="11" s="1"/>
  <c r="K1473" i="7"/>
  <c r="K757" i="11" s="1"/>
  <c r="J1115" i="7"/>
  <c r="J399" i="11" s="1"/>
  <c r="K1115" i="7"/>
  <c r="K399" i="11" s="1"/>
  <c r="J41" i="7"/>
  <c r="J41" i="10" s="1"/>
  <c r="K41" i="7"/>
  <c r="K41" i="10" s="1"/>
  <c r="J1294" i="7"/>
  <c r="J578" i="11" s="1"/>
  <c r="K1294" i="7"/>
  <c r="K578" i="11" s="1"/>
  <c r="I41" i="10"/>
  <c r="E42" i="11"/>
  <c r="E221" i="11"/>
  <c r="E400" i="11"/>
  <c r="E758" i="11"/>
  <c r="E579" i="11"/>
  <c r="E937" i="11"/>
  <c r="I399" i="10"/>
  <c r="I220" i="10"/>
  <c r="I578" i="10"/>
  <c r="H2191" i="7" l="1"/>
  <c r="E2192" i="7" s="1"/>
  <c r="E937" i="10"/>
  <c r="I760" i="10"/>
  <c r="J2014" i="7"/>
  <c r="J760" i="10" s="1"/>
  <c r="L2014" i="7"/>
  <c r="L760" i="10" s="1"/>
  <c r="P760" i="10" s="1"/>
  <c r="K2014" i="7"/>
  <c r="K760" i="10" s="1"/>
  <c r="H1871" i="7"/>
  <c r="E1872" i="7" s="1"/>
  <c r="J1870" i="7"/>
  <c r="L1870" i="7" s="1"/>
  <c r="K1870" i="7"/>
  <c r="L936" i="7"/>
  <c r="L220" i="11" s="1"/>
  <c r="P220" i="11" s="1"/>
  <c r="L41" i="7"/>
  <c r="L41" i="10" s="1"/>
  <c r="P41" i="10" s="1"/>
  <c r="L220" i="7"/>
  <c r="L220" i="10" s="1"/>
  <c r="P220" i="10" s="1"/>
  <c r="L399" i="7"/>
  <c r="L399" i="10" s="1"/>
  <c r="P399" i="10" s="1"/>
  <c r="L757" i="7"/>
  <c r="L41" i="11" s="1"/>
  <c r="P41" i="11" s="1"/>
  <c r="L1652" i="7"/>
  <c r="L936" i="11" s="1"/>
  <c r="P936" i="11" s="1"/>
  <c r="L578" i="7"/>
  <c r="L578" i="10" s="1"/>
  <c r="P578" i="10" s="1"/>
  <c r="H1653" i="7"/>
  <c r="E1654" i="7" s="1"/>
  <c r="L1473" i="7"/>
  <c r="L757" i="11" s="1"/>
  <c r="P757" i="11" s="1"/>
  <c r="H758" i="7"/>
  <c r="E759" i="7" s="1"/>
  <c r="H221" i="7"/>
  <c r="E222" i="7" s="1"/>
  <c r="E221" i="10"/>
  <c r="H1116" i="7"/>
  <c r="E1117" i="7" s="1"/>
  <c r="L1115" i="7"/>
  <c r="L399" i="11" s="1"/>
  <c r="P399" i="11" s="1"/>
  <c r="H42" i="7"/>
  <c r="E43" i="7" s="1"/>
  <c r="E42" i="10"/>
  <c r="H1295" i="7"/>
  <c r="E1296" i="7" s="1"/>
  <c r="H400" i="7"/>
  <c r="E401" i="7" s="1"/>
  <c r="E400" i="10"/>
  <c r="L1294" i="7"/>
  <c r="L578" i="11" s="1"/>
  <c r="P578" i="11" s="1"/>
  <c r="H579" i="7"/>
  <c r="E580" i="7" s="1"/>
  <c r="E579" i="10"/>
  <c r="H1474" i="7"/>
  <c r="E1475" i="7" s="1"/>
  <c r="H937" i="7"/>
  <c r="E938" i="7" s="1"/>
  <c r="I400" i="11" l="1"/>
  <c r="I221" i="11"/>
  <c r="I758" i="11"/>
  <c r="I579" i="11"/>
  <c r="E580" i="11"/>
  <c r="I42" i="11"/>
  <c r="E43" i="11"/>
  <c r="I937" i="11"/>
  <c r="E938" i="11"/>
  <c r="H2015" i="7"/>
  <c r="E2016" i="7" s="1"/>
  <c r="E761" i="10"/>
  <c r="I937" i="10"/>
  <c r="L2191" i="7"/>
  <c r="L937" i="10" s="1"/>
  <c r="P937" i="10" s="1"/>
  <c r="K2191" i="7"/>
  <c r="K937" i="10" s="1"/>
  <c r="J2191" i="7"/>
  <c r="J937" i="10" s="1"/>
  <c r="J1871" i="7"/>
  <c r="L1871" i="7" s="1"/>
  <c r="K1871" i="7"/>
  <c r="H1872" i="7"/>
  <c r="E1873" i="7" s="1"/>
  <c r="J758" i="7"/>
  <c r="J42" i="11" s="1"/>
  <c r="K758" i="7"/>
  <c r="K42" i="11" s="1"/>
  <c r="J1295" i="7"/>
  <c r="J579" i="11" s="1"/>
  <c r="K1295" i="7"/>
  <c r="K579" i="11" s="1"/>
  <c r="J42" i="7"/>
  <c r="J42" i="10" s="1"/>
  <c r="K42" i="7"/>
  <c r="K42" i="10" s="1"/>
  <c r="J1474" i="7"/>
  <c r="J758" i="11" s="1"/>
  <c r="K1474" i="7"/>
  <c r="K758" i="11" s="1"/>
  <c r="J937" i="7"/>
  <c r="J221" i="11" s="1"/>
  <c r="K937" i="7"/>
  <c r="K221" i="11" s="1"/>
  <c r="J400" i="7"/>
  <c r="J400" i="10" s="1"/>
  <c r="K400" i="7"/>
  <c r="K400" i="10" s="1"/>
  <c r="J1653" i="7"/>
  <c r="J937" i="11" s="1"/>
  <c r="K1653" i="7"/>
  <c r="K937" i="11" s="1"/>
  <c r="J1116" i="7"/>
  <c r="J400" i="11" s="1"/>
  <c r="K1116" i="7"/>
  <c r="K400" i="11" s="1"/>
  <c r="J579" i="7"/>
  <c r="J579" i="10" s="1"/>
  <c r="K579" i="7"/>
  <c r="K579" i="10" s="1"/>
  <c r="J221" i="7"/>
  <c r="J221" i="10" s="1"/>
  <c r="K221" i="7"/>
  <c r="K221" i="10" s="1"/>
  <c r="I42" i="10"/>
  <c r="E759" i="11"/>
  <c r="E401" i="11"/>
  <c r="I221" i="10"/>
  <c r="E222" i="11"/>
  <c r="I579" i="10"/>
  <c r="I400" i="10"/>
  <c r="H2192" i="7" l="1"/>
  <c r="E2193" i="7" s="1"/>
  <c r="E938" i="10"/>
  <c r="I761" i="10"/>
  <c r="K2015" i="7"/>
  <c r="K761" i="10" s="1"/>
  <c r="J2015" i="7"/>
  <c r="J761" i="10" s="1"/>
  <c r="L2015" i="7"/>
  <c r="L761" i="10" s="1"/>
  <c r="P761" i="10" s="1"/>
  <c r="K1872" i="7"/>
  <c r="J1872" i="7"/>
  <c r="L1872" i="7" s="1"/>
  <c r="H1873" i="7"/>
  <c r="E1874" i="7" s="1"/>
  <c r="L937" i="7"/>
  <c r="L221" i="11" s="1"/>
  <c r="P221" i="11" s="1"/>
  <c r="L221" i="7"/>
  <c r="L221" i="10" s="1"/>
  <c r="P221" i="10" s="1"/>
  <c r="L42" i="7"/>
  <c r="L42" i="10" s="1"/>
  <c r="P42" i="10" s="1"/>
  <c r="L1116" i="7"/>
  <c r="L400" i="11" s="1"/>
  <c r="P400" i="11" s="1"/>
  <c r="L758" i="7"/>
  <c r="L42" i="11" s="1"/>
  <c r="P42" i="11" s="1"/>
  <c r="L579" i="7"/>
  <c r="L579" i="10" s="1"/>
  <c r="P579" i="10" s="1"/>
  <c r="L400" i="7"/>
  <c r="L400" i="10" s="1"/>
  <c r="P400" i="10" s="1"/>
  <c r="L1653" i="7"/>
  <c r="L937" i="11" s="1"/>
  <c r="P937" i="11" s="1"/>
  <c r="H401" i="7"/>
  <c r="E402" i="7" s="1"/>
  <c r="E401" i="10"/>
  <c r="H759" i="7"/>
  <c r="E760" i="7" s="1"/>
  <c r="H1475" i="7"/>
  <c r="E1476" i="7" s="1"/>
  <c r="H580" i="7"/>
  <c r="E581" i="7" s="1"/>
  <c r="E580" i="10"/>
  <c r="L1474" i="7"/>
  <c r="L758" i="11" s="1"/>
  <c r="P758" i="11" s="1"/>
  <c r="H938" i="7"/>
  <c r="E939" i="7" s="1"/>
  <c r="H43" i="7"/>
  <c r="E44" i="7" s="1"/>
  <c r="E43" i="10"/>
  <c r="H222" i="7"/>
  <c r="E223" i="7" s="1"/>
  <c r="E222" i="10"/>
  <c r="H1654" i="7"/>
  <c r="E1655" i="7" s="1"/>
  <c r="H1117" i="7"/>
  <c r="E1118" i="7" s="1"/>
  <c r="H1296" i="7"/>
  <c r="E1297" i="7" s="1"/>
  <c r="L1295" i="7"/>
  <c r="L579" i="11" s="1"/>
  <c r="P579" i="11" s="1"/>
  <c r="I401" i="11" l="1"/>
  <c r="E402" i="11"/>
  <c r="I580" i="11"/>
  <c r="E581" i="11"/>
  <c r="I43" i="11"/>
  <c r="E44" i="11"/>
  <c r="I759" i="11"/>
  <c r="I938" i="11"/>
  <c r="I222" i="11"/>
  <c r="E223" i="11"/>
  <c r="H2016" i="7"/>
  <c r="E2017" i="7" s="1"/>
  <c r="E762" i="10"/>
  <c r="I938" i="10"/>
  <c r="K2192" i="7"/>
  <c r="K938" i="10" s="1"/>
  <c r="L2192" i="7"/>
  <c r="L938" i="10" s="1"/>
  <c r="P938" i="10" s="1"/>
  <c r="J2192" i="7"/>
  <c r="J938" i="10" s="1"/>
  <c r="J1873" i="7"/>
  <c r="L1873" i="7" s="1"/>
  <c r="K1873" i="7"/>
  <c r="H1874" i="7"/>
  <c r="E1875" i="7" s="1"/>
  <c r="J222" i="7"/>
  <c r="J222" i="10" s="1"/>
  <c r="K222" i="7"/>
  <c r="K222" i="10" s="1"/>
  <c r="J401" i="7"/>
  <c r="J401" i="10" s="1"/>
  <c r="K401" i="7"/>
  <c r="K401" i="10" s="1"/>
  <c r="J938" i="7"/>
  <c r="J222" i="11" s="1"/>
  <c r="K938" i="7"/>
  <c r="K222" i="11" s="1"/>
  <c r="J43" i="7"/>
  <c r="J43" i="10" s="1"/>
  <c r="K43" i="7"/>
  <c r="K43" i="10" s="1"/>
  <c r="J1296" i="7"/>
  <c r="J580" i="11" s="1"/>
  <c r="K1296" i="7"/>
  <c r="K580" i="11" s="1"/>
  <c r="J1654" i="7"/>
  <c r="J938" i="11" s="1"/>
  <c r="K1654" i="7"/>
  <c r="K938" i="11" s="1"/>
  <c r="J759" i="7"/>
  <c r="J43" i="11" s="1"/>
  <c r="K759" i="7"/>
  <c r="K43" i="11" s="1"/>
  <c r="J580" i="7"/>
  <c r="J580" i="10" s="1"/>
  <c r="K580" i="7"/>
  <c r="K580" i="10" s="1"/>
  <c r="J1117" i="7"/>
  <c r="J401" i="11" s="1"/>
  <c r="K1117" i="7"/>
  <c r="K401" i="11" s="1"/>
  <c r="J1475" i="7"/>
  <c r="J759" i="11" s="1"/>
  <c r="K1475" i="7"/>
  <c r="K759" i="11" s="1"/>
  <c r="I43" i="10"/>
  <c r="I580" i="10"/>
  <c r="E760" i="11"/>
  <c r="E939" i="11"/>
  <c r="I222" i="10"/>
  <c r="I401" i="10"/>
  <c r="H2193" i="7" l="1"/>
  <c r="E2194" i="7" s="1"/>
  <c r="E939" i="10"/>
  <c r="I762" i="10"/>
  <c r="K2016" i="7"/>
  <c r="K762" i="10" s="1"/>
  <c r="L2016" i="7"/>
  <c r="L762" i="10" s="1"/>
  <c r="P762" i="10" s="1"/>
  <c r="J2016" i="7"/>
  <c r="J762" i="10" s="1"/>
  <c r="H1875" i="7"/>
  <c r="E1876" i="7" s="1"/>
  <c r="K1874" i="7"/>
  <c r="J1874" i="7"/>
  <c r="L1874" i="7" s="1"/>
  <c r="L938" i="7"/>
  <c r="L222" i="11" s="1"/>
  <c r="P222" i="11" s="1"/>
  <c r="L222" i="7"/>
  <c r="L222" i="10" s="1"/>
  <c r="P222" i="10" s="1"/>
  <c r="L43" i="7"/>
  <c r="L43" i="10" s="1"/>
  <c r="P43" i="10" s="1"/>
  <c r="L1117" i="7"/>
  <c r="L401" i="11" s="1"/>
  <c r="P401" i="11" s="1"/>
  <c r="L401" i="7"/>
  <c r="L401" i="10" s="1"/>
  <c r="P401" i="10" s="1"/>
  <c r="L1296" i="7"/>
  <c r="L580" i="11" s="1"/>
  <c r="P580" i="11" s="1"/>
  <c r="H402" i="7"/>
  <c r="E403" i="7" s="1"/>
  <c r="E402" i="10"/>
  <c r="H1118" i="7"/>
  <c r="E1119" i="7" s="1"/>
  <c r="H223" i="7"/>
  <c r="E224" i="7" s="1"/>
  <c r="E223" i="10"/>
  <c r="H1655" i="7"/>
  <c r="E1656" i="7" s="1"/>
  <c r="L1654" i="7"/>
  <c r="L938" i="11" s="1"/>
  <c r="P938" i="11" s="1"/>
  <c r="H581" i="7"/>
  <c r="E582" i="7" s="1"/>
  <c r="E581" i="10"/>
  <c r="L580" i="7"/>
  <c r="L580" i="10" s="1"/>
  <c r="P580" i="10" s="1"/>
  <c r="H1476" i="7"/>
  <c r="E1477" i="7" s="1"/>
  <c r="H760" i="7"/>
  <c r="E761" i="7" s="1"/>
  <c r="H44" i="7"/>
  <c r="E45" i="7" s="1"/>
  <c r="E44" i="10"/>
  <c r="H1297" i="7"/>
  <c r="E1298" i="7" s="1"/>
  <c r="L1475" i="7"/>
  <c r="L759" i="11" s="1"/>
  <c r="P759" i="11" s="1"/>
  <c r="L759" i="7"/>
  <c r="L43" i="11" s="1"/>
  <c r="P43" i="11" s="1"/>
  <c r="H939" i="7"/>
  <c r="E940" i="7" s="1"/>
  <c r="I223" i="11" l="1"/>
  <c r="I939" i="11"/>
  <c r="E940" i="11"/>
  <c r="I581" i="11"/>
  <c r="I402" i="11"/>
  <c r="I44" i="11"/>
  <c r="I760" i="11"/>
  <c r="E761" i="11"/>
  <c r="H2017" i="7"/>
  <c r="E2018" i="7" s="1"/>
  <c r="E763" i="10"/>
  <c r="I939" i="10"/>
  <c r="K2193" i="7"/>
  <c r="K939" i="10" s="1"/>
  <c r="L2193" i="7"/>
  <c r="L939" i="10" s="1"/>
  <c r="P939" i="10" s="1"/>
  <c r="J2193" i="7"/>
  <c r="J939" i="10" s="1"/>
  <c r="J1875" i="7"/>
  <c r="L1875" i="7" s="1"/>
  <c r="K1875" i="7"/>
  <c r="H1876" i="7"/>
  <c r="E1877" i="7" s="1"/>
  <c r="J223" i="7"/>
  <c r="J223" i="10" s="1"/>
  <c r="K223" i="7"/>
  <c r="K223" i="10" s="1"/>
  <c r="J760" i="7"/>
  <c r="J44" i="11" s="1"/>
  <c r="K760" i="7"/>
  <c r="K44" i="11" s="1"/>
  <c r="J581" i="7"/>
  <c r="J581" i="10" s="1"/>
  <c r="K581" i="7"/>
  <c r="K581" i="10" s="1"/>
  <c r="J1118" i="7"/>
  <c r="J402" i="11" s="1"/>
  <c r="K1118" i="7"/>
  <c r="K402" i="11" s="1"/>
  <c r="J402" i="7"/>
  <c r="J402" i="10" s="1"/>
  <c r="K402" i="7"/>
  <c r="K402" i="10" s="1"/>
  <c r="J44" i="7"/>
  <c r="J44" i="10" s="1"/>
  <c r="K44" i="7"/>
  <c r="K44" i="10" s="1"/>
  <c r="J1476" i="7"/>
  <c r="J760" i="11" s="1"/>
  <c r="K1476" i="7"/>
  <c r="K760" i="11" s="1"/>
  <c r="J939" i="7"/>
  <c r="J223" i="11" s="1"/>
  <c r="K939" i="7"/>
  <c r="K223" i="11" s="1"/>
  <c r="J1297" i="7"/>
  <c r="J581" i="11" s="1"/>
  <c r="K1297" i="7"/>
  <c r="K581" i="11" s="1"/>
  <c r="J1655" i="7"/>
  <c r="J939" i="11" s="1"/>
  <c r="K1655" i="7"/>
  <c r="K939" i="11" s="1"/>
  <c r="I581" i="10"/>
  <c r="E224" i="11"/>
  <c r="E582" i="11"/>
  <c r="I44" i="10"/>
  <c r="I223" i="10"/>
  <c r="E45" i="11"/>
  <c r="E403" i="11"/>
  <c r="I402" i="10"/>
  <c r="H2194" i="7" l="1"/>
  <c r="E2195" i="7" s="1"/>
  <c r="E940" i="10"/>
  <c r="I763" i="10"/>
  <c r="K2017" i="7"/>
  <c r="K763" i="10" s="1"/>
  <c r="L2017" i="7"/>
  <c r="L763" i="10" s="1"/>
  <c r="P763" i="10" s="1"/>
  <c r="J2017" i="7"/>
  <c r="J763" i="10" s="1"/>
  <c r="J1876" i="7"/>
  <c r="L1876" i="7" s="1"/>
  <c r="H1877" i="7"/>
  <c r="E1878" i="7" s="1"/>
  <c r="K1876" i="7"/>
  <c r="L939" i="7"/>
  <c r="L223" i="11" s="1"/>
  <c r="P223" i="11" s="1"/>
  <c r="L44" i="7"/>
  <c r="L44" i="10" s="1"/>
  <c r="P44" i="10" s="1"/>
  <c r="L223" i="7"/>
  <c r="L223" i="10" s="1"/>
  <c r="P223" i="10" s="1"/>
  <c r="L1297" i="7"/>
  <c r="L581" i="11" s="1"/>
  <c r="P581" i="11" s="1"/>
  <c r="L402" i="7"/>
  <c r="L402" i="10" s="1"/>
  <c r="P402" i="10" s="1"/>
  <c r="L1476" i="7"/>
  <c r="L760" i="11" s="1"/>
  <c r="P760" i="11" s="1"/>
  <c r="H403" i="7"/>
  <c r="E404" i="7" s="1"/>
  <c r="E403" i="10"/>
  <c r="H940" i="7"/>
  <c r="E941" i="7" s="1"/>
  <c r="H1477" i="7"/>
  <c r="E1478" i="7" s="1"/>
  <c r="L760" i="7"/>
  <c r="L44" i="11" s="1"/>
  <c r="P44" i="11" s="1"/>
  <c r="H1656" i="7"/>
  <c r="E1657" i="7" s="1"/>
  <c r="L1655" i="7"/>
  <c r="L939" i="11" s="1"/>
  <c r="P939" i="11" s="1"/>
  <c r="H224" i="7"/>
  <c r="E225" i="7" s="1"/>
  <c r="E224" i="10"/>
  <c r="H582" i="7"/>
  <c r="E583" i="7" s="1"/>
  <c r="E582" i="10"/>
  <c r="H761" i="7"/>
  <c r="E762" i="7" s="1"/>
  <c r="H1119" i="7"/>
  <c r="E1120" i="7" s="1"/>
  <c r="H1298" i="7"/>
  <c r="E1299" i="7" s="1"/>
  <c r="L581" i="7"/>
  <c r="L581" i="10" s="1"/>
  <c r="P581" i="10" s="1"/>
  <c r="L1118" i="7"/>
  <c r="L402" i="11" s="1"/>
  <c r="P402" i="11" s="1"/>
  <c r="H45" i="7"/>
  <c r="E46" i="7" s="1"/>
  <c r="E45" i="10"/>
  <c r="I940" i="11" l="1"/>
  <c r="I761" i="11"/>
  <c r="E762" i="11"/>
  <c r="I224" i="11"/>
  <c r="I582" i="11"/>
  <c r="I403" i="11"/>
  <c r="E404" i="11"/>
  <c r="I45" i="11"/>
  <c r="E46" i="11"/>
  <c r="H2018" i="7"/>
  <c r="E2019" i="7" s="1"/>
  <c r="E764" i="10"/>
  <c r="I940" i="10"/>
  <c r="J2194" i="7"/>
  <c r="J940" i="10" s="1"/>
  <c r="L2194" i="7"/>
  <c r="L940" i="10" s="1"/>
  <c r="P940" i="10" s="1"/>
  <c r="K2194" i="7"/>
  <c r="K940" i="10" s="1"/>
  <c r="J1877" i="7"/>
  <c r="L1877" i="7" s="1"/>
  <c r="K1877" i="7"/>
  <c r="H1878" i="7"/>
  <c r="E1879" i="7" s="1"/>
  <c r="J940" i="7"/>
  <c r="J224" i="11" s="1"/>
  <c r="K940" i="7"/>
  <c r="K224" i="11" s="1"/>
  <c r="J403" i="7"/>
  <c r="J403" i="10" s="1"/>
  <c r="K403" i="7"/>
  <c r="K403" i="10" s="1"/>
  <c r="J45" i="7"/>
  <c r="J45" i="10" s="1"/>
  <c r="K45" i="7"/>
  <c r="K45" i="10" s="1"/>
  <c r="J582" i="7"/>
  <c r="J582" i="10" s="1"/>
  <c r="K582" i="7"/>
  <c r="K582" i="10" s="1"/>
  <c r="J224" i="7"/>
  <c r="J224" i="10" s="1"/>
  <c r="K224" i="7"/>
  <c r="K224" i="10" s="1"/>
  <c r="J1656" i="7"/>
  <c r="J940" i="11" s="1"/>
  <c r="K1656" i="7"/>
  <c r="K940" i="11" s="1"/>
  <c r="J1119" i="7"/>
  <c r="J403" i="11" s="1"/>
  <c r="K1119" i="7"/>
  <c r="K403" i="11" s="1"/>
  <c r="J1477" i="7"/>
  <c r="J761" i="11" s="1"/>
  <c r="K1477" i="7"/>
  <c r="K761" i="11" s="1"/>
  <c r="J761" i="7"/>
  <c r="J45" i="11" s="1"/>
  <c r="K761" i="7"/>
  <c r="K45" i="11" s="1"/>
  <c r="J1298" i="7"/>
  <c r="J582" i="11" s="1"/>
  <c r="K1298" i="7"/>
  <c r="K582" i="11" s="1"/>
  <c r="I45" i="10"/>
  <c r="I224" i="10"/>
  <c r="E941" i="11"/>
  <c r="E583" i="11"/>
  <c r="E225" i="11"/>
  <c r="I582" i="10"/>
  <c r="I403" i="10"/>
  <c r="H2195" i="7" l="1"/>
  <c r="E2196" i="7" s="1"/>
  <c r="E941" i="10"/>
  <c r="I764" i="10"/>
  <c r="J2018" i="7"/>
  <c r="J764" i="10" s="1"/>
  <c r="K2018" i="7"/>
  <c r="K764" i="10" s="1"/>
  <c r="L2018" i="7"/>
  <c r="L764" i="10" s="1"/>
  <c r="P764" i="10" s="1"/>
  <c r="K1878" i="7"/>
  <c r="J1878" i="7"/>
  <c r="L1878" i="7" s="1"/>
  <c r="H1879" i="7"/>
  <c r="E1880" i="7" s="1"/>
  <c r="L940" i="7"/>
  <c r="L224" i="11" s="1"/>
  <c r="P224" i="11" s="1"/>
  <c r="L45" i="7"/>
  <c r="L45" i="10" s="1"/>
  <c r="P45" i="10" s="1"/>
  <c r="L224" i="7"/>
  <c r="L224" i="10" s="1"/>
  <c r="P224" i="10" s="1"/>
  <c r="L1656" i="7"/>
  <c r="L940" i="11" s="1"/>
  <c r="P940" i="11" s="1"/>
  <c r="L403" i="7"/>
  <c r="L403" i="10" s="1"/>
  <c r="P403" i="10" s="1"/>
  <c r="H1478" i="7"/>
  <c r="E1479" i="7" s="1"/>
  <c r="H762" i="7"/>
  <c r="E763" i="7" s="1"/>
  <c r="L1477" i="7"/>
  <c r="L761" i="11" s="1"/>
  <c r="P761" i="11" s="1"/>
  <c r="H225" i="7"/>
  <c r="E226" i="7" s="1"/>
  <c r="E225" i="10"/>
  <c r="L761" i="7"/>
  <c r="L45" i="11" s="1"/>
  <c r="P45" i="11" s="1"/>
  <c r="H1120" i="7"/>
  <c r="E1121" i="7" s="1"/>
  <c r="H583" i="7"/>
  <c r="E584" i="7" s="1"/>
  <c r="E583" i="10"/>
  <c r="L1119" i="7"/>
  <c r="L403" i="11" s="1"/>
  <c r="P403" i="11" s="1"/>
  <c r="H404" i="7"/>
  <c r="E405" i="7" s="1"/>
  <c r="E404" i="10"/>
  <c r="H1299" i="7"/>
  <c r="E1300" i="7" s="1"/>
  <c r="H46" i="7"/>
  <c r="E47" i="7" s="1"/>
  <c r="E46" i="10"/>
  <c r="H941" i="7"/>
  <c r="E942" i="7" s="1"/>
  <c r="H1657" i="7"/>
  <c r="E1658" i="7" s="1"/>
  <c r="L582" i="7"/>
  <c r="L582" i="10" s="1"/>
  <c r="P582" i="10" s="1"/>
  <c r="L1298" i="7"/>
  <c r="L582" i="11" s="1"/>
  <c r="P582" i="11" s="1"/>
  <c r="I404" i="11" l="1"/>
  <c r="I225" i="11"/>
  <c r="E226" i="11"/>
  <c r="I941" i="11"/>
  <c r="I46" i="11"/>
  <c r="I583" i="11"/>
  <c r="E584" i="11"/>
  <c r="I762" i="11"/>
  <c r="E763" i="11"/>
  <c r="H2019" i="7"/>
  <c r="E2020" i="7" s="1"/>
  <c r="E765" i="10"/>
  <c r="I941" i="10"/>
  <c r="K2195" i="7"/>
  <c r="K941" i="10" s="1"/>
  <c r="J2195" i="7"/>
  <c r="J941" i="10" s="1"/>
  <c r="L2195" i="7"/>
  <c r="L941" i="10" s="1"/>
  <c r="P941" i="10" s="1"/>
  <c r="H1880" i="7"/>
  <c r="E1881" i="7" s="1"/>
  <c r="K1879" i="7"/>
  <c r="J1879" i="7"/>
  <c r="L1879" i="7" s="1"/>
  <c r="J1299" i="7"/>
  <c r="J583" i="11" s="1"/>
  <c r="K1299" i="7"/>
  <c r="K583" i="11" s="1"/>
  <c r="J404" i="7"/>
  <c r="J404" i="10" s="1"/>
  <c r="K404" i="7"/>
  <c r="K404" i="10" s="1"/>
  <c r="J1657" i="7"/>
  <c r="J941" i="11" s="1"/>
  <c r="K1657" i="7"/>
  <c r="K941" i="11" s="1"/>
  <c r="J583" i="7"/>
  <c r="J583" i="10" s="1"/>
  <c r="K583" i="7"/>
  <c r="K583" i="10" s="1"/>
  <c r="J1120" i="7"/>
  <c r="J404" i="11" s="1"/>
  <c r="K1120" i="7"/>
  <c r="K404" i="11" s="1"/>
  <c r="J46" i="7"/>
  <c r="J46" i="10" s="1"/>
  <c r="K46" i="7"/>
  <c r="K46" i="10" s="1"/>
  <c r="J225" i="7"/>
  <c r="J225" i="10" s="1"/>
  <c r="K225" i="7"/>
  <c r="K225" i="10" s="1"/>
  <c r="J762" i="7"/>
  <c r="J46" i="11" s="1"/>
  <c r="K762" i="7"/>
  <c r="K46" i="11" s="1"/>
  <c r="J1478" i="7"/>
  <c r="J762" i="11" s="1"/>
  <c r="K1478" i="7"/>
  <c r="K762" i="11" s="1"/>
  <c r="J941" i="7"/>
  <c r="J225" i="11" s="1"/>
  <c r="K941" i="7"/>
  <c r="K225" i="11" s="1"/>
  <c r="E405" i="11"/>
  <c r="I583" i="10"/>
  <c r="I46" i="10"/>
  <c r="I225" i="10"/>
  <c r="E942" i="11"/>
  <c r="E47" i="11"/>
  <c r="I404" i="10"/>
  <c r="H2196" i="7" l="1"/>
  <c r="E2197" i="7" s="1"/>
  <c r="E942" i="10"/>
  <c r="I765" i="10"/>
  <c r="J2019" i="7"/>
  <c r="J765" i="10" s="1"/>
  <c r="K2019" i="7"/>
  <c r="K765" i="10" s="1"/>
  <c r="L2019" i="7"/>
  <c r="L765" i="10" s="1"/>
  <c r="P765" i="10" s="1"/>
  <c r="K1880" i="7"/>
  <c r="J1880" i="7"/>
  <c r="L1880" i="7" s="1"/>
  <c r="H1881" i="7"/>
  <c r="E1882" i="7" s="1"/>
  <c r="L941" i="7"/>
  <c r="L225" i="11" s="1"/>
  <c r="P225" i="11" s="1"/>
  <c r="L225" i="7"/>
  <c r="L225" i="10" s="1"/>
  <c r="P225" i="10" s="1"/>
  <c r="L46" i="7"/>
  <c r="L46" i="10" s="1"/>
  <c r="P46" i="10" s="1"/>
  <c r="L583" i="7"/>
  <c r="L583" i="10" s="1"/>
  <c r="P583" i="10" s="1"/>
  <c r="L1478" i="7"/>
  <c r="L762" i="11" s="1"/>
  <c r="P762" i="11" s="1"/>
  <c r="H226" i="7"/>
  <c r="E227" i="7" s="1"/>
  <c r="E226" i="10"/>
  <c r="L762" i="7"/>
  <c r="L46" i="11" s="1"/>
  <c r="P46" i="11" s="1"/>
  <c r="H942" i="7"/>
  <c r="E943" i="7" s="1"/>
  <c r="H47" i="7"/>
  <c r="E48" i="7" s="1"/>
  <c r="E47" i="10"/>
  <c r="H763" i="7"/>
  <c r="E764" i="7" s="1"/>
  <c r="H1300" i="7"/>
  <c r="E1301" i="7" s="1"/>
  <c r="L1299" i="7"/>
  <c r="L583" i="11" s="1"/>
  <c r="P583" i="11" s="1"/>
  <c r="H405" i="7"/>
  <c r="E406" i="7" s="1"/>
  <c r="E405" i="10"/>
  <c r="H1658" i="7"/>
  <c r="E1659" i="7" s="1"/>
  <c r="L1657" i="7"/>
  <c r="L941" i="11" s="1"/>
  <c r="P941" i="11" s="1"/>
  <c r="H1121" i="7"/>
  <c r="E1122" i="7" s="1"/>
  <c r="H1479" i="7"/>
  <c r="E1480" i="7" s="1"/>
  <c r="H584" i="7"/>
  <c r="E585" i="7" s="1"/>
  <c r="E584" i="10"/>
  <c r="L1120" i="7"/>
  <c r="L404" i="11" s="1"/>
  <c r="P404" i="11" s="1"/>
  <c r="L404" i="7"/>
  <c r="L404" i="10" s="1"/>
  <c r="P404" i="10" s="1"/>
  <c r="I47" i="11" l="1"/>
  <c r="I763" i="11"/>
  <c r="E764" i="11"/>
  <c r="I584" i="11"/>
  <c r="I226" i="11"/>
  <c r="I405" i="11"/>
  <c r="I942" i="11"/>
  <c r="E943" i="11"/>
  <c r="H2020" i="7"/>
  <c r="E2021" i="7" s="1"/>
  <c r="E766" i="10"/>
  <c r="I942" i="10"/>
  <c r="K2196" i="7"/>
  <c r="K942" i="10" s="1"/>
  <c r="J2196" i="7"/>
  <c r="J942" i="10" s="1"/>
  <c r="L2196" i="7"/>
  <c r="L942" i="10" s="1"/>
  <c r="P942" i="10" s="1"/>
  <c r="J1881" i="7"/>
  <c r="L1881" i="7" s="1"/>
  <c r="H1882" i="7"/>
  <c r="E1883" i="7" s="1"/>
  <c r="K1881" i="7"/>
  <c r="J942" i="7"/>
  <c r="J226" i="11" s="1"/>
  <c r="K942" i="7"/>
  <c r="K226" i="11" s="1"/>
  <c r="J1658" i="7"/>
  <c r="J942" i="11" s="1"/>
  <c r="K1658" i="7"/>
  <c r="K942" i="11" s="1"/>
  <c r="J226" i="7"/>
  <c r="J226" i="10" s="1"/>
  <c r="K226" i="7"/>
  <c r="K226" i="10" s="1"/>
  <c r="J1121" i="7"/>
  <c r="J405" i="11" s="1"/>
  <c r="K1121" i="7"/>
  <c r="K405" i="11" s="1"/>
  <c r="J47" i="7"/>
  <c r="J47" i="10" s="1"/>
  <c r="K47" i="7"/>
  <c r="K47" i="10" s="1"/>
  <c r="J405" i="7"/>
  <c r="J405" i="10" s="1"/>
  <c r="K405" i="7"/>
  <c r="K405" i="10" s="1"/>
  <c r="J584" i="7"/>
  <c r="J584" i="10" s="1"/>
  <c r="K584" i="7"/>
  <c r="K584" i="10" s="1"/>
  <c r="J1300" i="7"/>
  <c r="J584" i="11" s="1"/>
  <c r="K1300" i="7"/>
  <c r="K584" i="11" s="1"/>
  <c r="J1479" i="7"/>
  <c r="J763" i="11" s="1"/>
  <c r="K1479" i="7"/>
  <c r="K763" i="11" s="1"/>
  <c r="J763" i="7"/>
  <c r="J47" i="11" s="1"/>
  <c r="K763" i="7"/>
  <c r="K47" i="11" s="1"/>
  <c r="E585" i="11"/>
  <c r="E48" i="11"/>
  <c r="I584" i="10"/>
  <c r="E227" i="11"/>
  <c r="E406" i="11"/>
  <c r="I47" i="10"/>
  <c r="I405" i="10"/>
  <c r="I226" i="10"/>
  <c r="H2197" i="7" l="1"/>
  <c r="E2198" i="7" s="1"/>
  <c r="E943" i="10"/>
  <c r="I766" i="10"/>
  <c r="K2020" i="7"/>
  <c r="K766" i="10" s="1"/>
  <c r="J2020" i="7"/>
  <c r="J766" i="10" s="1"/>
  <c r="L2020" i="7"/>
  <c r="L766" i="10" s="1"/>
  <c r="P766" i="10" s="1"/>
  <c r="H1883" i="7"/>
  <c r="E1884" i="7" s="1"/>
  <c r="J1882" i="7"/>
  <c r="L1882" i="7" s="1"/>
  <c r="K1882" i="7"/>
  <c r="L942" i="7"/>
  <c r="L226" i="11" s="1"/>
  <c r="P226" i="11" s="1"/>
  <c r="L226" i="7"/>
  <c r="L226" i="10" s="1"/>
  <c r="P226" i="10" s="1"/>
  <c r="L47" i="7"/>
  <c r="L47" i="10" s="1"/>
  <c r="P47" i="10" s="1"/>
  <c r="L763" i="7"/>
  <c r="L47" i="11" s="1"/>
  <c r="P47" i="11" s="1"/>
  <c r="L1121" i="7"/>
  <c r="L405" i="11" s="1"/>
  <c r="P405" i="11" s="1"/>
  <c r="H943" i="7"/>
  <c r="E944" i="7" s="1"/>
  <c r="H1122" i="7"/>
  <c r="E1123" i="7" s="1"/>
  <c r="H1480" i="7"/>
  <c r="E1481" i="7" s="1"/>
  <c r="H585" i="7"/>
  <c r="E586" i="7" s="1"/>
  <c r="E585" i="10"/>
  <c r="L1479" i="7"/>
  <c r="L763" i="11" s="1"/>
  <c r="P763" i="11" s="1"/>
  <c r="H406" i="7"/>
  <c r="E407" i="7" s="1"/>
  <c r="E406" i="10"/>
  <c r="L584" i="7"/>
  <c r="L584" i="10" s="1"/>
  <c r="P584" i="10" s="1"/>
  <c r="L405" i="7"/>
  <c r="L405" i="10" s="1"/>
  <c r="P405" i="10" s="1"/>
  <c r="H1301" i="7"/>
  <c r="E1302" i="7" s="1"/>
  <c r="H227" i="7"/>
  <c r="E228" i="7" s="1"/>
  <c r="E227" i="10"/>
  <c r="H764" i="7"/>
  <c r="E765" i="7" s="1"/>
  <c r="L1300" i="7"/>
  <c r="L584" i="11" s="1"/>
  <c r="P584" i="11" s="1"/>
  <c r="H1659" i="7"/>
  <c r="E1660" i="7" s="1"/>
  <c r="H48" i="7"/>
  <c r="E49" i="7" s="1"/>
  <c r="E48" i="10"/>
  <c r="L1658" i="7"/>
  <c r="L942" i="11" s="1"/>
  <c r="P942" i="11" s="1"/>
  <c r="I227" i="11" l="1"/>
  <c r="I406" i="11"/>
  <c r="E407" i="11"/>
  <c r="I943" i="11"/>
  <c r="I764" i="11"/>
  <c r="I48" i="11"/>
  <c r="E49" i="11"/>
  <c r="I585" i="11"/>
  <c r="E586" i="11"/>
  <c r="H2021" i="7"/>
  <c r="E2022" i="7" s="1"/>
  <c r="E767" i="10"/>
  <c r="I943" i="10"/>
  <c r="K2197" i="7"/>
  <c r="K943" i="10" s="1"/>
  <c r="L2197" i="7"/>
  <c r="L943" i="10" s="1"/>
  <c r="P943" i="10" s="1"/>
  <c r="J2197" i="7"/>
  <c r="J943" i="10" s="1"/>
  <c r="H1884" i="7"/>
  <c r="E1885" i="7" s="1"/>
  <c r="K1883" i="7"/>
  <c r="J1883" i="7"/>
  <c r="L1883" i="7" s="1"/>
  <c r="J1480" i="7"/>
  <c r="J764" i="11" s="1"/>
  <c r="K1480" i="7"/>
  <c r="K764" i="11" s="1"/>
  <c r="J1122" i="7"/>
  <c r="J406" i="11" s="1"/>
  <c r="K1122" i="7"/>
  <c r="K406" i="11" s="1"/>
  <c r="J1301" i="7"/>
  <c r="J585" i="11" s="1"/>
  <c r="K1301" i="7"/>
  <c r="K585" i="11" s="1"/>
  <c r="J48" i="7"/>
  <c r="J48" i="10" s="1"/>
  <c r="K48" i="7"/>
  <c r="K48" i="10" s="1"/>
  <c r="J406" i="7"/>
  <c r="J406" i="10" s="1"/>
  <c r="K406" i="7"/>
  <c r="K406" i="10" s="1"/>
  <c r="J585" i="7"/>
  <c r="J585" i="10" s="1"/>
  <c r="K585" i="7"/>
  <c r="K585" i="10" s="1"/>
  <c r="J764" i="7"/>
  <c r="J48" i="11" s="1"/>
  <c r="K764" i="7"/>
  <c r="K48" i="11" s="1"/>
  <c r="J227" i="7"/>
  <c r="J227" i="10" s="1"/>
  <c r="K227" i="7"/>
  <c r="K227" i="10" s="1"/>
  <c r="J943" i="7"/>
  <c r="J227" i="11" s="1"/>
  <c r="K943" i="7"/>
  <c r="K227" i="11" s="1"/>
  <c r="J1659" i="7"/>
  <c r="J943" i="11" s="1"/>
  <c r="K1659" i="7"/>
  <c r="K943" i="11" s="1"/>
  <c r="I406" i="10"/>
  <c r="I48" i="10"/>
  <c r="E765" i="11"/>
  <c r="E944" i="11"/>
  <c r="I585" i="10"/>
  <c r="I227" i="10"/>
  <c r="E228" i="11"/>
  <c r="H2198" i="7" l="1"/>
  <c r="E2199" i="7" s="1"/>
  <c r="E944" i="10"/>
  <c r="I767" i="10"/>
  <c r="L2021" i="7"/>
  <c r="L767" i="10" s="1"/>
  <c r="P767" i="10" s="1"/>
  <c r="K2021" i="7"/>
  <c r="K767" i="10" s="1"/>
  <c r="J2021" i="7"/>
  <c r="J767" i="10" s="1"/>
  <c r="H1885" i="7"/>
  <c r="E1886" i="7" s="1"/>
  <c r="K1884" i="7"/>
  <c r="J1884" i="7"/>
  <c r="L1884" i="7" s="1"/>
  <c r="L943" i="7"/>
  <c r="L227" i="11" s="1"/>
  <c r="P227" i="11" s="1"/>
  <c r="L48" i="7"/>
  <c r="L48" i="10" s="1"/>
  <c r="P48" i="10" s="1"/>
  <c r="L227" i="7"/>
  <c r="L227" i="10" s="1"/>
  <c r="P227" i="10" s="1"/>
  <c r="L1122" i="7"/>
  <c r="L406" i="11" s="1"/>
  <c r="P406" i="11" s="1"/>
  <c r="L1480" i="7"/>
  <c r="L764" i="11" s="1"/>
  <c r="P764" i="11" s="1"/>
  <c r="H944" i="7"/>
  <c r="E945" i="7" s="1"/>
  <c r="H1123" i="7"/>
  <c r="E1124" i="7" s="1"/>
  <c r="H586" i="7"/>
  <c r="E587" i="7" s="1"/>
  <c r="E586" i="10"/>
  <c r="H765" i="7"/>
  <c r="E766" i="7" s="1"/>
  <c r="L764" i="7"/>
  <c r="L48" i="11" s="1"/>
  <c r="P48" i="11" s="1"/>
  <c r="L1301" i="7"/>
  <c r="L585" i="11" s="1"/>
  <c r="P585" i="11" s="1"/>
  <c r="H1481" i="7"/>
  <c r="E1482" i="7" s="1"/>
  <c r="H407" i="7"/>
  <c r="E408" i="7" s="1"/>
  <c r="E407" i="10"/>
  <c r="H1302" i="7"/>
  <c r="E1303" i="7" s="1"/>
  <c r="L585" i="7"/>
  <c r="L585" i="10" s="1"/>
  <c r="P585" i="10" s="1"/>
  <c r="H1660" i="7"/>
  <c r="E1661" i="7" s="1"/>
  <c r="H228" i="7"/>
  <c r="E229" i="7" s="1"/>
  <c r="E228" i="10"/>
  <c r="L1659" i="7"/>
  <c r="L943" i="11" s="1"/>
  <c r="P943" i="11" s="1"/>
  <c r="H49" i="7"/>
  <c r="E50" i="7" s="1"/>
  <c r="E49" i="10"/>
  <c r="L406" i="7"/>
  <c r="L406" i="10" s="1"/>
  <c r="P406" i="10" s="1"/>
  <c r="I944" i="11" l="1"/>
  <c r="I407" i="11"/>
  <c r="I586" i="11"/>
  <c r="E587" i="11"/>
  <c r="I49" i="11"/>
  <c r="E50" i="11"/>
  <c r="I765" i="11"/>
  <c r="E766" i="11"/>
  <c r="I228" i="11"/>
  <c r="E229" i="11"/>
  <c r="H2022" i="7"/>
  <c r="E2023" i="7" s="1"/>
  <c r="E768" i="10"/>
  <c r="I944" i="10"/>
  <c r="K2198" i="7"/>
  <c r="K944" i="10" s="1"/>
  <c r="L2198" i="7"/>
  <c r="L944" i="10" s="1"/>
  <c r="P944" i="10" s="1"/>
  <c r="J2198" i="7"/>
  <c r="J944" i="10" s="1"/>
  <c r="J1885" i="7"/>
  <c r="L1885" i="7" s="1"/>
  <c r="K1885" i="7"/>
  <c r="H1886" i="7"/>
  <c r="E1887" i="7" s="1"/>
  <c r="J1123" i="7"/>
  <c r="J407" i="11" s="1"/>
  <c r="K1123" i="7"/>
  <c r="K407" i="11" s="1"/>
  <c r="J407" i="7"/>
  <c r="J407" i="10" s="1"/>
  <c r="K407" i="7"/>
  <c r="K407" i="10" s="1"/>
  <c r="J1302" i="7"/>
  <c r="J586" i="11" s="1"/>
  <c r="K1302" i="7"/>
  <c r="K586" i="11" s="1"/>
  <c r="J49" i="7"/>
  <c r="J49" i="10" s="1"/>
  <c r="K49" i="7"/>
  <c r="K49" i="10" s="1"/>
  <c r="J1481" i="7"/>
  <c r="J765" i="11" s="1"/>
  <c r="K1481" i="7"/>
  <c r="K765" i="11" s="1"/>
  <c r="J765" i="7"/>
  <c r="J49" i="11" s="1"/>
  <c r="K765" i="7"/>
  <c r="K49" i="11" s="1"/>
  <c r="J1660" i="7"/>
  <c r="J944" i="11" s="1"/>
  <c r="K1660" i="7"/>
  <c r="K944" i="11" s="1"/>
  <c r="J586" i="7"/>
  <c r="J586" i="10" s="1"/>
  <c r="K586" i="7"/>
  <c r="K586" i="10" s="1"/>
  <c r="J944" i="7"/>
  <c r="J228" i="11" s="1"/>
  <c r="K944" i="7"/>
  <c r="K228" i="11" s="1"/>
  <c r="J228" i="7"/>
  <c r="J228" i="10" s="1"/>
  <c r="K228" i="7"/>
  <c r="K228" i="10" s="1"/>
  <c r="I49" i="10"/>
  <c r="E945" i="11"/>
  <c r="I586" i="10"/>
  <c r="E408" i="11"/>
  <c r="I228" i="10"/>
  <c r="I407" i="10"/>
  <c r="H2199" i="7" l="1"/>
  <c r="E2200" i="7" s="1"/>
  <c r="E945" i="10"/>
  <c r="I768" i="10"/>
  <c r="K2022" i="7"/>
  <c r="K768" i="10" s="1"/>
  <c r="L2022" i="7"/>
  <c r="L768" i="10" s="1"/>
  <c r="P768" i="10" s="1"/>
  <c r="J2022" i="7"/>
  <c r="J768" i="10" s="1"/>
  <c r="K1886" i="7"/>
  <c r="J1886" i="7"/>
  <c r="L1886" i="7" s="1"/>
  <c r="H1887" i="7"/>
  <c r="E1888" i="7" s="1"/>
  <c r="L944" i="7"/>
  <c r="L228" i="11" s="1"/>
  <c r="P228" i="11" s="1"/>
  <c r="L49" i="7"/>
  <c r="L49" i="10" s="1"/>
  <c r="P49" i="10" s="1"/>
  <c r="L228" i="7"/>
  <c r="L228" i="10" s="1"/>
  <c r="P228" i="10" s="1"/>
  <c r="L586" i="7"/>
  <c r="L586" i="10" s="1"/>
  <c r="P586" i="10" s="1"/>
  <c r="L1660" i="7"/>
  <c r="L944" i="11" s="1"/>
  <c r="P944" i="11" s="1"/>
  <c r="H229" i="7"/>
  <c r="E230" i="7" s="1"/>
  <c r="E229" i="10"/>
  <c r="H766" i="7"/>
  <c r="E767" i="7" s="1"/>
  <c r="H1661" i="7"/>
  <c r="E1662" i="7" s="1"/>
  <c r="L765" i="7"/>
  <c r="L49" i="11" s="1"/>
  <c r="P49" i="11" s="1"/>
  <c r="L407" i="7"/>
  <c r="L407" i="10" s="1"/>
  <c r="P407" i="10" s="1"/>
  <c r="H1124" i="7"/>
  <c r="E1125" i="7" s="1"/>
  <c r="H587" i="7"/>
  <c r="E588" i="7" s="1"/>
  <c r="E587" i="10"/>
  <c r="H408" i="7"/>
  <c r="E409" i="7" s="1"/>
  <c r="E408" i="10"/>
  <c r="H1303" i="7"/>
  <c r="E1304" i="7" s="1"/>
  <c r="L1123" i="7"/>
  <c r="L407" i="11" s="1"/>
  <c r="P407" i="11" s="1"/>
  <c r="H1482" i="7"/>
  <c r="E1483" i="7" s="1"/>
  <c r="L1481" i="7"/>
  <c r="L765" i="11" s="1"/>
  <c r="P765" i="11" s="1"/>
  <c r="H945" i="7"/>
  <c r="E946" i="7" s="1"/>
  <c r="L1302" i="7"/>
  <c r="L586" i="11" s="1"/>
  <c r="P586" i="11" s="1"/>
  <c r="H50" i="7"/>
  <c r="E51" i="7" s="1"/>
  <c r="E50" i="10"/>
  <c r="I229" i="11" l="1"/>
  <c r="I945" i="11"/>
  <c r="I408" i="11"/>
  <c r="I50" i="11"/>
  <c r="E51" i="11"/>
  <c r="I766" i="11"/>
  <c r="I587" i="11"/>
  <c r="H2023" i="7"/>
  <c r="E2024" i="7" s="1"/>
  <c r="E769" i="10"/>
  <c r="I945" i="10"/>
  <c r="K2199" i="7"/>
  <c r="K945" i="10" s="1"/>
  <c r="J2199" i="7"/>
  <c r="J945" i="10" s="1"/>
  <c r="L2199" i="7"/>
  <c r="L945" i="10" s="1"/>
  <c r="P945" i="10" s="1"/>
  <c r="J1887" i="7"/>
  <c r="L1887" i="7" s="1"/>
  <c r="K1887" i="7"/>
  <c r="H1888" i="7"/>
  <c r="E1889" i="7" s="1"/>
  <c r="J1482" i="7"/>
  <c r="J766" i="11" s="1"/>
  <c r="K1482" i="7"/>
  <c r="K766" i="11" s="1"/>
  <c r="J1661" i="7"/>
  <c r="J945" i="11" s="1"/>
  <c r="K1661" i="7"/>
  <c r="K945" i="11" s="1"/>
  <c r="J766" i="7"/>
  <c r="J50" i="11" s="1"/>
  <c r="K766" i="7"/>
  <c r="K50" i="11" s="1"/>
  <c r="J587" i="7"/>
  <c r="J587" i="10" s="1"/>
  <c r="K587" i="7"/>
  <c r="K587" i="10" s="1"/>
  <c r="J945" i="7"/>
  <c r="J229" i="11" s="1"/>
  <c r="K945" i="7"/>
  <c r="K229" i="11" s="1"/>
  <c r="J1124" i="7"/>
  <c r="J408" i="11" s="1"/>
  <c r="K1124" i="7"/>
  <c r="K408" i="11" s="1"/>
  <c r="J1303" i="7"/>
  <c r="J587" i="11" s="1"/>
  <c r="K1303" i="7"/>
  <c r="K587" i="11" s="1"/>
  <c r="J408" i="7"/>
  <c r="J408" i="10" s="1"/>
  <c r="K408" i="7"/>
  <c r="K408" i="10" s="1"/>
  <c r="J229" i="7"/>
  <c r="J229" i="10" s="1"/>
  <c r="K229" i="7"/>
  <c r="K229" i="10" s="1"/>
  <c r="J50" i="7"/>
  <c r="J50" i="10" s="1"/>
  <c r="K50" i="7"/>
  <c r="K50" i="10" s="1"/>
  <c r="I50" i="10"/>
  <c r="I587" i="10"/>
  <c r="E230" i="11"/>
  <c r="E409" i="11"/>
  <c r="E767" i="11"/>
  <c r="E946" i="11"/>
  <c r="E588" i="11"/>
  <c r="I408" i="10"/>
  <c r="I229" i="10"/>
  <c r="H2200" i="7" l="1"/>
  <c r="E2201" i="7" s="1"/>
  <c r="E946" i="10"/>
  <c r="I769" i="10"/>
  <c r="L2023" i="7"/>
  <c r="L769" i="10" s="1"/>
  <c r="P769" i="10" s="1"/>
  <c r="J2023" i="7"/>
  <c r="J769" i="10" s="1"/>
  <c r="K2023" i="7"/>
  <c r="K769" i="10" s="1"/>
  <c r="K1888" i="7"/>
  <c r="J1888" i="7"/>
  <c r="L1888" i="7" s="1"/>
  <c r="H1889" i="7"/>
  <c r="E1890" i="7" s="1"/>
  <c r="L945" i="7"/>
  <c r="L229" i="11" s="1"/>
  <c r="P229" i="11" s="1"/>
  <c r="L229" i="7"/>
  <c r="L229" i="10" s="1"/>
  <c r="P229" i="10" s="1"/>
  <c r="L50" i="7"/>
  <c r="L50" i="10" s="1"/>
  <c r="P50" i="10" s="1"/>
  <c r="L1124" i="7"/>
  <c r="L408" i="11" s="1"/>
  <c r="P408" i="11" s="1"/>
  <c r="H51" i="7"/>
  <c r="E52" i="7" s="1"/>
  <c r="E51" i="10"/>
  <c r="H1304" i="7"/>
  <c r="E1305" i="7" s="1"/>
  <c r="L1482" i="7"/>
  <c r="L766" i="11" s="1"/>
  <c r="P766" i="11" s="1"/>
  <c r="H409" i="7"/>
  <c r="E410" i="7" s="1"/>
  <c r="E409" i="10"/>
  <c r="L587" i="7"/>
  <c r="L587" i="10" s="1"/>
  <c r="P587" i="10" s="1"/>
  <c r="L1303" i="7"/>
  <c r="L587" i="11" s="1"/>
  <c r="P587" i="11" s="1"/>
  <c r="H1125" i="7"/>
  <c r="E1126" i="7" s="1"/>
  <c r="H588" i="7"/>
  <c r="E589" i="7" s="1"/>
  <c r="E588" i="10"/>
  <c r="L408" i="7"/>
  <c r="L408" i="10" s="1"/>
  <c r="P408" i="10" s="1"/>
  <c r="H767" i="7"/>
  <c r="E768" i="7" s="1"/>
  <c r="H1662" i="7"/>
  <c r="E1663" i="7" s="1"/>
  <c r="L1661" i="7"/>
  <c r="L945" i="11" s="1"/>
  <c r="P945" i="11" s="1"/>
  <c r="H230" i="7"/>
  <c r="E231" i="7" s="1"/>
  <c r="E230" i="10"/>
  <c r="L766" i="7"/>
  <c r="L50" i="11" s="1"/>
  <c r="P50" i="11" s="1"/>
  <c r="H1483" i="7"/>
  <c r="E1484" i="7" s="1"/>
  <c r="H946" i="7"/>
  <c r="E947" i="7" s="1"/>
  <c r="I230" i="11" l="1"/>
  <c r="I946" i="11"/>
  <c r="E947" i="11"/>
  <c r="I409" i="11"/>
  <c r="I588" i="11"/>
  <c r="I51" i="11"/>
  <c r="E52" i="11"/>
  <c r="I767" i="11"/>
  <c r="E768" i="11"/>
  <c r="H2024" i="7"/>
  <c r="E2025" i="7" s="1"/>
  <c r="E770" i="10"/>
  <c r="I946" i="10"/>
  <c r="K2200" i="7"/>
  <c r="K946" i="10" s="1"/>
  <c r="L2200" i="7"/>
  <c r="L946" i="10" s="1"/>
  <c r="P946" i="10" s="1"/>
  <c r="J2200" i="7"/>
  <c r="J946" i="10" s="1"/>
  <c r="J1889" i="7"/>
  <c r="L1889" i="7" s="1"/>
  <c r="K1889" i="7"/>
  <c r="H1890" i="7"/>
  <c r="E1891" i="7" s="1"/>
  <c r="J230" i="7"/>
  <c r="J230" i="10" s="1"/>
  <c r="K230" i="7"/>
  <c r="K230" i="10" s="1"/>
  <c r="J767" i="7"/>
  <c r="J51" i="11" s="1"/>
  <c r="K767" i="7"/>
  <c r="K51" i="11" s="1"/>
  <c r="J1304" i="7"/>
  <c r="J588" i="11" s="1"/>
  <c r="K1304" i="7"/>
  <c r="K588" i="11" s="1"/>
  <c r="J946" i="7"/>
  <c r="J230" i="11" s="1"/>
  <c r="K946" i="7"/>
  <c r="K230" i="11" s="1"/>
  <c r="J1483" i="7"/>
  <c r="J767" i="11" s="1"/>
  <c r="K1483" i="7"/>
  <c r="K767" i="11" s="1"/>
  <c r="J1125" i="7"/>
  <c r="J409" i="11" s="1"/>
  <c r="K1125" i="7"/>
  <c r="K409" i="11" s="1"/>
  <c r="J409" i="7"/>
  <c r="J409" i="10" s="1"/>
  <c r="K409" i="7"/>
  <c r="K409" i="10" s="1"/>
  <c r="J1662" i="7"/>
  <c r="J946" i="11" s="1"/>
  <c r="K1662" i="7"/>
  <c r="K946" i="11" s="1"/>
  <c r="J51" i="7"/>
  <c r="J51" i="10" s="1"/>
  <c r="K51" i="7"/>
  <c r="K51" i="10" s="1"/>
  <c r="J588" i="7"/>
  <c r="J588" i="10" s="1"/>
  <c r="K588" i="7"/>
  <c r="K588" i="10" s="1"/>
  <c r="E410" i="11"/>
  <c r="I409" i="10"/>
  <c r="E589" i="11"/>
  <c r="E231" i="11"/>
  <c r="I230" i="10"/>
  <c r="I51" i="10"/>
  <c r="I588" i="10"/>
  <c r="H2201" i="7" l="1"/>
  <c r="E2202" i="7" s="1"/>
  <c r="E947" i="10"/>
  <c r="I770" i="10"/>
  <c r="J2024" i="7"/>
  <c r="J770" i="10" s="1"/>
  <c r="K2024" i="7"/>
  <c r="K770" i="10" s="1"/>
  <c r="L2024" i="7"/>
  <c r="L770" i="10" s="1"/>
  <c r="P770" i="10" s="1"/>
  <c r="K1890" i="7"/>
  <c r="J1890" i="7"/>
  <c r="L1890" i="7" s="1"/>
  <c r="H1891" i="7"/>
  <c r="E1892" i="7" s="1"/>
  <c r="L946" i="7"/>
  <c r="L230" i="11" s="1"/>
  <c r="P230" i="11" s="1"/>
  <c r="L51" i="7"/>
  <c r="L51" i="10" s="1"/>
  <c r="P51" i="10" s="1"/>
  <c r="L230" i="7"/>
  <c r="L230" i="10" s="1"/>
  <c r="P230" i="10" s="1"/>
  <c r="L1483" i="7"/>
  <c r="L767" i="11" s="1"/>
  <c r="P767" i="11" s="1"/>
  <c r="L409" i="7"/>
  <c r="L409" i="10" s="1"/>
  <c r="P409" i="10" s="1"/>
  <c r="L588" i="7"/>
  <c r="L588" i="10" s="1"/>
  <c r="P588" i="10" s="1"/>
  <c r="H1484" i="7"/>
  <c r="E1485" i="7" s="1"/>
  <c r="H1663" i="7"/>
  <c r="E1664" i="7" s="1"/>
  <c r="H231" i="7"/>
  <c r="E232" i="7" s="1"/>
  <c r="E231" i="10"/>
  <c r="H1305" i="7"/>
  <c r="E1306" i="7" s="1"/>
  <c r="L1662" i="7"/>
  <c r="L946" i="11" s="1"/>
  <c r="P946" i="11" s="1"/>
  <c r="H52" i="7"/>
  <c r="E53" i="7" s="1"/>
  <c r="E52" i="10"/>
  <c r="H947" i="7"/>
  <c r="E948" i="7" s="1"/>
  <c r="H1126" i="7"/>
  <c r="E1127" i="7" s="1"/>
  <c r="L1304" i="7"/>
  <c r="L588" i="11" s="1"/>
  <c r="P588" i="11" s="1"/>
  <c r="H768" i="7"/>
  <c r="E769" i="7" s="1"/>
  <c r="H410" i="7"/>
  <c r="E411" i="7" s="1"/>
  <c r="E410" i="10"/>
  <c r="L1125" i="7"/>
  <c r="L409" i="11" s="1"/>
  <c r="P409" i="11" s="1"/>
  <c r="H589" i="7"/>
  <c r="E590" i="7" s="1"/>
  <c r="E589" i="10"/>
  <c r="L767" i="7"/>
  <c r="L51" i="11" s="1"/>
  <c r="P51" i="11" s="1"/>
  <c r="I768" i="11" l="1"/>
  <c r="E769" i="11"/>
  <c r="I231" i="11"/>
  <c r="I589" i="11"/>
  <c r="I947" i="11"/>
  <c r="E948" i="11"/>
  <c r="I52" i="11"/>
  <c r="E53" i="11"/>
  <c r="I410" i="11"/>
  <c r="E411" i="11"/>
  <c r="H2025" i="7"/>
  <c r="E2026" i="7" s="1"/>
  <c r="E771" i="10"/>
  <c r="I947" i="10"/>
  <c r="K2201" i="7"/>
  <c r="K947" i="10" s="1"/>
  <c r="L2201" i="7"/>
  <c r="L947" i="10" s="1"/>
  <c r="P947" i="10" s="1"/>
  <c r="J2201" i="7"/>
  <c r="J947" i="10" s="1"/>
  <c r="K1891" i="7"/>
  <c r="H1892" i="7"/>
  <c r="E1893" i="7" s="1"/>
  <c r="J1891" i="7"/>
  <c r="L1891" i="7" s="1"/>
  <c r="J589" i="7"/>
  <c r="J589" i="10" s="1"/>
  <c r="K589" i="7"/>
  <c r="K589" i="10" s="1"/>
  <c r="J768" i="7"/>
  <c r="J52" i="11" s="1"/>
  <c r="K768" i="7"/>
  <c r="K52" i="11" s="1"/>
  <c r="J231" i="7"/>
  <c r="J231" i="10" s="1"/>
  <c r="K231" i="7"/>
  <c r="K231" i="10" s="1"/>
  <c r="J1663" i="7"/>
  <c r="J947" i="11" s="1"/>
  <c r="K1663" i="7"/>
  <c r="K947" i="11" s="1"/>
  <c r="J1126" i="7"/>
  <c r="J410" i="11" s="1"/>
  <c r="K1126" i="7"/>
  <c r="K410" i="11" s="1"/>
  <c r="J1484" i="7"/>
  <c r="J768" i="11" s="1"/>
  <c r="K1484" i="7"/>
  <c r="K768" i="11" s="1"/>
  <c r="J947" i="7"/>
  <c r="J231" i="11" s="1"/>
  <c r="K947" i="7"/>
  <c r="K231" i="11" s="1"/>
  <c r="J52" i="7"/>
  <c r="J52" i="10" s="1"/>
  <c r="K52" i="7"/>
  <c r="K52" i="10" s="1"/>
  <c r="J410" i="7"/>
  <c r="J410" i="10" s="1"/>
  <c r="K410" i="7"/>
  <c r="K410" i="10" s="1"/>
  <c r="J1305" i="7"/>
  <c r="J589" i="11" s="1"/>
  <c r="K1305" i="7"/>
  <c r="K589" i="11" s="1"/>
  <c r="E232" i="11"/>
  <c r="I52" i="10"/>
  <c r="I589" i="10"/>
  <c r="E590" i="11"/>
  <c r="I410" i="10"/>
  <c r="I231" i="10"/>
  <c r="H2202" i="7" l="1"/>
  <c r="E2203" i="7" s="1"/>
  <c r="E948" i="10"/>
  <c r="I771" i="10"/>
  <c r="L2025" i="7"/>
  <c r="L771" i="10" s="1"/>
  <c r="P771" i="10" s="1"/>
  <c r="J2025" i="7"/>
  <c r="J771" i="10" s="1"/>
  <c r="K2025" i="7"/>
  <c r="K771" i="10" s="1"/>
  <c r="H1893" i="7"/>
  <c r="E1894" i="7" s="1"/>
  <c r="K1892" i="7"/>
  <c r="J1892" i="7"/>
  <c r="L1892" i="7" s="1"/>
  <c r="L947" i="7"/>
  <c r="L231" i="11" s="1"/>
  <c r="P231" i="11" s="1"/>
  <c r="L52" i="7"/>
  <c r="L52" i="10" s="1"/>
  <c r="P52" i="10" s="1"/>
  <c r="L231" i="7"/>
  <c r="L231" i="10" s="1"/>
  <c r="P231" i="10" s="1"/>
  <c r="L768" i="7"/>
  <c r="L52" i="11" s="1"/>
  <c r="P52" i="11" s="1"/>
  <c r="L1484" i="7"/>
  <c r="L768" i="11" s="1"/>
  <c r="P768" i="11" s="1"/>
  <c r="L1126" i="7"/>
  <c r="L410" i="11" s="1"/>
  <c r="P410" i="11" s="1"/>
  <c r="H1306" i="7"/>
  <c r="E1307" i="7" s="1"/>
  <c r="H232" i="7"/>
  <c r="E233" i="7" s="1"/>
  <c r="E232" i="10"/>
  <c r="L1305" i="7"/>
  <c r="L589" i="11" s="1"/>
  <c r="P589" i="11" s="1"/>
  <c r="H1127" i="7"/>
  <c r="E1128" i="7" s="1"/>
  <c r="H53" i="7"/>
  <c r="E54" i="7" s="1"/>
  <c r="E53" i="10"/>
  <c r="H590" i="7"/>
  <c r="E591" i="7" s="1"/>
  <c r="E590" i="10"/>
  <c r="L589" i="7"/>
  <c r="L589" i="10" s="1"/>
  <c r="P589" i="10" s="1"/>
  <c r="H948" i="7"/>
  <c r="E949" i="7" s="1"/>
  <c r="H1485" i="7"/>
  <c r="E1486" i="7" s="1"/>
  <c r="H1664" i="7"/>
  <c r="E1665" i="7" s="1"/>
  <c r="L410" i="7"/>
  <c r="L410" i="10" s="1"/>
  <c r="P410" i="10" s="1"/>
  <c r="H411" i="7"/>
  <c r="E412" i="7" s="1"/>
  <c r="E411" i="10"/>
  <c r="H769" i="7"/>
  <c r="E770" i="7" s="1"/>
  <c r="L1663" i="7"/>
  <c r="L947" i="11" s="1"/>
  <c r="P947" i="11" s="1"/>
  <c r="I411" i="11" l="1"/>
  <c r="I769" i="11"/>
  <c r="I232" i="11"/>
  <c r="E233" i="11"/>
  <c r="I53" i="11"/>
  <c r="E54" i="11"/>
  <c r="I948" i="11"/>
  <c r="E949" i="11"/>
  <c r="I590" i="11"/>
  <c r="E591" i="11"/>
  <c r="H2026" i="7"/>
  <c r="E2027" i="7" s="1"/>
  <c r="E772" i="10"/>
  <c r="I948" i="10"/>
  <c r="J2202" i="7"/>
  <c r="J948" i="10" s="1"/>
  <c r="K2202" i="7"/>
  <c r="K948" i="10" s="1"/>
  <c r="L2202" i="7"/>
  <c r="L948" i="10" s="1"/>
  <c r="P948" i="10" s="1"/>
  <c r="K1893" i="7"/>
  <c r="H1894" i="7"/>
  <c r="E1895" i="7" s="1"/>
  <c r="J1893" i="7"/>
  <c r="L1893" i="7" s="1"/>
  <c r="J1485" i="7"/>
  <c r="J769" i="11" s="1"/>
  <c r="K1485" i="7"/>
  <c r="K769" i="11" s="1"/>
  <c r="J1664" i="7"/>
  <c r="J948" i="11" s="1"/>
  <c r="K1664" i="7"/>
  <c r="K948" i="11" s="1"/>
  <c r="J948" i="7"/>
  <c r="J232" i="11" s="1"/>
  <c r="K948" i="7"/>
  <c r="K232" i="11" s="1"/>
  <c r="J769" i="7"/>
  <c r="J53" i="11" s="1"/>
  <c r="K769" i="7"/>
  <c r="K53" i="11" s="1"/>
  <c r="J590" i="7"/>
  <c r="J590" i="10" s="1"/>
  <c r="K590" i="7"/>
  <c r="K590" i="10" s="1"/>
  <c r="J1127" i="7"/>
  <c r="J411" i="11" s="1"/>
  <c r="K1127" i="7"/>
  <c r="K411" i="11" s="1"/>
  <c r="J232" i="7"/>
  <c r="J232" i="10" s="1"/>
  <c r="K232" i="7"/>
  <c r="K232" i="10" s="1"/>
  <c r="J53" i="7"/>
  <c r="J53" i="10" s="1"/>
  <c r="K53" i="7"/>
  <c r="K53" i="10" s="1"/>
  <c r="J1306" i="7"/>
  <c r="J590" i="11" s="1"/>
  <c r="K1306" i="7"/>
  <c r="K590" i="11" s="1"/>
  <c r="J411" i="7"/>
  <c r="J411" i="10" s="1"/>
  <c r="K411" i="7"/>
  <c r="K411" i="10" s="1"/>
  <c r="I590" i="10"/>
  <c r="E412" i="11"/>
  <c r="I411" i="10"/>
  <c r="I53" i="10"/>
  <c r="E770" i="11"/>
  <c r="I232" i="10"/>
  <c r="H2203" i="7" l="1"/>
  <c r="E2204" i="7" s="1"/>
  <c r="E949" i="10"/>
  <c r="I772" i="10"/>
  <c r="L2026" i="7"/>
  <c r="L772" i="10" s="1"/>
  <c r="P772" i="10" s="1"/>
  <c r="K2026" i="7"/>
  <c r="K772" i="10" s="1"/>
  <c r="J2026" i="7"/>
  <c r="J772" i="10" s="1"/>
  <c r="H1895" i="7"/>
  <c r="E1896" i="7" s="1"/>
  <c r="K1894" i="7"/>
  <c r="J1894" i="7"/>
  <c r="L1894" i="7" s="1"/>
  <c r="L948" i="7"/>
  <c r="L232" i="11" s="1"/>
  <c r="P232" i="11" s="1"/>
  <c r="L53" i="7"/>
  <c r="L53" i="10" s="1"/>
  <c r="P53" i="10" s="1"/>
  <c r="L232" i="7"/>
  <c r="L232" i="10" s="1"/>
  <c r="P232" i="10" s="1"/>
  <c r="L1664" i="7"/>
  <c r="L948" i="11" s="1"/>
  <c r="P948" i="11" s="1"/>
  <c r="L1485" i="7"/>
  <c r="L769" i="11" s="1"/>
  <c r="P769" i="11" s="1"/>
  <c r="L1306" i="7"/>
  <c r="L590" i="11" s="1"/>
  <c r="P590" i="11" s="1"/>
  <c r="H412" i="7"/>
  <c r="E413" i="7" s="1"/>
  <c r="E412" i="10"/>
  <c r="L411" i="7"/>
  <c r="L411" i="10" s="1"/>
  <c r="P411" i="10" s="1"/>
  <c r="H770" i="7"/>
  <c r="E771" i="7" s="1"/>
  <c r="H1486" i="7"/>
  <c r="E1487" i="7" s="1"/>
  <c r="H1128" i="7"/>
  <c r="E1129" i="7" s="1"/>
  <c r="L769" i="7"/>
  <c r="L53" i="11" s="1"/>
  <c r="P53" i="11" s="1"/>
  <c r="L1127" i="7"/>
  <c r="L411" i="11" s="1"/>
  <c r="P411" i="11" s="1"/>
  <c r="H591" i="7"/>
  <c r="E592" i="7" s="1"/>
  <c r="E591" i="10"/>
  <c r="H54" i="7"/>
  <c r="E55" i="7" s="1"/>
  <c r="E54" i="10"/>
  <c r="H949" i="7"/>
  <c r="E950" i="7" s="1"/>
  <c r="H233" i="7"/>
  <c r="E234" i="7" s="1"/>
  <c r="E233" i="10"/>
  <c r="L590" i="7"/>
  <c r="L590" i="10" s="1"/>
  <c r="P590" i="10" s="1"/>
  <c r="H1307" i="7"/>
  <c r="E1308" i="7" s="1"/>
  <c r="H1665" i="7"/>
  <c r="E1666" i="7" s="1"/>
  <c r="I591" i="11" l="1"/>
  <c r="I412" i="11"/>
  <c r="I949" i="11"/>
  <c r="I770" i="11"/>
  <c r="I54" i="11"/>
  <c r="E55" i="11"/>
  <c r="I233" i="11"/>
  <c r="E234" i="11"/>
  <c r="H2027" i="7"/>
  <c r="E2028" i="7" s="1"/>
  <c r="E773" i="10"/>
  <c r="I949" i="10"/>
  <c r="J2203" i="7"/>
  <c r="J949" i="10" s="1"/>
  <c r="K2203" i="7"/>
  <c r="K949" i="10" s="1"/>
  <c r="L2203" i="7"/>
  <c r="L949" i="10" s="1"/>
  <c r="P949" i="10" s="1"/>
  <c r="J1895" i="7"/>
  <c r="L1895" i="7" s="1"/>
  <c r="H1896" i="7"/>
  <c r="E1897" i="7" s="1"/>
  <c r="K1895" i="7"/>
  <c r="J770" i="7"/>
  <c r="J54" i="11" s="1"/>
  <c r="K770" i="7"/>
  <c r="K54" i="11" s="1"/>
  <c r="J591" i="7"/>
  <c r="J591" i="10" s="1"/>
  <c r="K591" i="7"/>
  <c r="K591" i="10" s="1"/>
  <c r="J54" i="7"/>
  <c r="J54" i="10" s="1"/>
  <c r="K54" i="7"/>
  <c r="K54" i="10" s="1"/>
  <c r="J1665" i="7"/>
  <c r="J949" i="11" s="1"/>
  <c r="K1665" i="7"/>
  <c r="K949" i="11" s="1"/>
  <c r="J1307" i="7"/>
  <c r="J591" i="11" s="1"/>
  <c r="K1307" i="7"/>
  <c r="K591" i="11" s="1"/>
  <c r="J233" i="7"/>
  <c r="J233" i="10" s="1"/>
  <c r="K233" i="7"/>
  <c r="K233" i="10" s="1"/>
  <c r="J1486" i="7"/>
  <c r="J770" i="11" s="1"/>
  <c r="K1486" i="7"/>
  <c r="K770" i="11" s="1"/>
  <c r="J949" i="7"/>
  <c r="J233" i="11" s="1"/>
  <c r="K949" i="7"/>
  <c r="K233" i="11" s="1"/>
  <c r="J412" i="7"/>
  <c r="J412" i="10" s="1"/>
  <c r="K412" i="7"/>
  <c r="K412" i="10" s="1"/>
  <c r="J1128" i="7"/>
  <c r="J412" i="11" s="1"/>
  <c r="K1128" i="7"/>
  <c r="K412" i="11" s="1"/>
  <c r="E950" i="11"/>
  <c r="E413" i="11"/>
  <c r="E771" i="11"/>
  <c r="E592" i="11"/>
  <c r="I233" i="10"/>
  <c r="I412" i="10"/>
  <c r="I54" i="10"/>
  <c r="I591" i="10"/>
  <c r="H2204" i="7" l="1"/>
  <c r="E2205" i="7" s="1"/>
  <c r="E950" i="10"/>
  <c r="I773" i="10"/>
  <c r="K2027" i="7"/>
  <c r="K773" i="10" s="1"/>
  <c r="L2027" i="7"/>
  <c r="L773" i="10" s="1"/>
  <c r="P773" i="10" s="1"/>
  <c r="J2027" i="7"/>
  <c r="J773" i="10" s="1"/>
  <c r="H1897" i="7"/>
  <c r="E1898" i="7" s="1"/>
  <c r="K1896" i="7"/>
  <c r="J1896" i="7"/>
  <c r="L1896" i="7" s="1"/>
  <c r="L949" i="7"/>
  <c r="L233" i="11" s="1"/>
  <c r="P233" i="11" s="1"/>
  <c r="L233" i="7"/>
  <c r="L233" i="10" s="1"/>
  <c r="P233" i="10" s="1"/>
  <c r="L54" i="7"/>
  <c r="L54" i="10" s="1"/>
  <c r="P54" i="10" s="1"/>
  <c r="L591" i="7"/>
  <c r="L591" i="10" s="1"/>
  <c r="P591" i="10" s="1"/>
  <c r="L770" i="7"/>
  <c r="L54" i="11" s="1"/>
  <c r="P54" i="11" s="1"/>
  <c r="L1486" i="7"/>
  <c r="L770" i="11" s="1"/>
  <c r="P770" i="11" s="1"/>
  <c r="H592" i="7"/>
  <c r="E593" i="7" s="1"/>
  <c r="E592" i="10"/>
  <c r="H1129" i="7"/>
  <c r="E1130" i="7" s="1"/>
  <c r="L1128" i="7"/>
  <c r="L412" i="11" s="1"/>
  <c r="P412" i="11" s="1"/>
  <c r="H950" i="7"/>
  <c r="E951" i="7" s="1"/>
  <c r="H1308" i="7"/>
  <c r="E1309" i="7" s="1"/>
  <c r="H1666" i="7"/>
  <c r="E1667" i="7" s="1"/>
  <c r="H234" i="7"/>
  <c r="E235" i="7" s="1"/>
  <c r="E234" i="10"/>
  <c r="H771" i="7"/>
  <c r="E772" i="7" s="1"/>
  <c r="H1487" i="7"/>
  <c r="E1488" i="7" s="1"/>
  <c r="H55" i="7"/>
  <c r="E56" i="7" s="1"/>
  <c r="E55" i="10"/>
  <c r="H413" i="7"/>
  <c r="E414" i="7" s="1"/>
  <c r="E413" i="10"/>
  <c r="L1307" i="7"/>
  <c r="L591" i="11" s="1"/>
  <c r="P591" i="11" s="1"/>
  <c r="L1665" i="7"/>
  <c r="L949" i="11" s="1"/>
  <c r="P949" i="11" s="1"/>
  <c r="L412" i="7"/>
  <c r="L412" i="10" s="1"/>
  <c r="P412" i="10" s="1"/>
  <c r="I592" i="11" l="1"/>
  <c r="I234" i="11"/>
  <c r="I950" i="11"/>
  <c r="I413" i="11"/>
  <c r="E414" i="11"/>
  <c r="I771" i="11"/>
  <c r="I55" i="11"/>
  <c r="E56" i="11"/>
  <c r="H2028" i="7"/>
  <c r="E2029" i="7" s="1"/>
  <c r="E774" i="10"/>
  <c r="I950" i="10"/>
  <c r="J2204" i="7"/>
  <c r="J950" i="10" s="1"/>
  <c r="L2204" i="7"/>
  <c r="L950" i="10" s="1"/>
  <c r="P950" i="10" s="1"/>
  <c r="K2204" i="7"/>
  <c r="K950" i="10" s="1"/>
  <c r="J1897" i="7"/>
  <c r="L1897" i="7" s="1"/>
  <c r="H1898" i="7"/>
  <c r="E1899" i="7" s="1"/>
  <c r="K1897" i="7"/>
  <c r="J1129" i="7"/>
  <c r="J413" i="11" s="1"/>
  <c r="K1129" i="7"/>
  <c r="K413" i="11" s="1"/>
  <c r="J55" i="7"/>
  <c r="J55" i="10" s="1"/>
  <c r="K55" i="7"/>
  <c r="K55" i="10" s="1"/>
  <c r="J234" i="7"/>
  <c r="J234" i="10" s="1"/>
  <c r="K234" i="7"/>
  <c r="K234" i="10" s="1"/>
  <c r="J1666" i="7"/>
  <c r="J950" i="11" s="1"/>
  <c r="K1666" i="7"/>
  <c r="K950" i="11" s="1"/>
  <c r="J1308" i="7"/>
  <c r="J592" i="11" s="1"/>
  <c r="K1308" i="7"/>
  <c r="K592" i="11" s="1"/>
  <c r="J950" i="7"/>
  <c r="J234" i="11" s="1"/>
  <c r="K950" i="7"/>
  <c r="K234" i="11" s="1"/>
  <c r="J1487" i="7"/>
  <c r="J771" i="11" s="1"/>
  <c r="K1487" i="7"/>
  <c r="K771" i="11" s="1"/>
  <c r="J771" i="7"/>
  <c r="J55" i="11" s="1"/>
  <c r="K771" i="7"/>
  <c r="K55" i="11" s="1"/>
  <c r="J592" i="7"/>
  <c r="J592" i="10" s="1"/>
  <c r="K592" i="7"/>
  <c r="K592" i="10" s="1"/>
  <c r="J413" i="7"/>
  <c r="J413" i="10" s="1"/>
  <c r="K413" i="7"/>
  <c r="K413" i="10" s="1"/>
  <c r="I234" i="10"/>
  <c r="E951" i="11"/>
  <c r="E235" i="11"/>
  <c r="I55" i="10"/>
  <c r="I413" i="10"/>
  <c r="E593" i="11"/>
  <c r="E772" i="11"/>
  <c r="I592" i="10"/>
  <c r="H2205" i="7" l="1"/>
  <c r="E2206" i="7" s="1"/>
  <c r="E951" i="10"/>
  <c r="I774" i="10"/>
  <c r="J2028" i="7"/>
  <c r="J774" i="10" s="1"/>
  <c r="K2028" i="7"/>
  <c r="K774" i="10" s="1"/>
  <c r="L2028" i="7"/>
  <c r="L774" i="10" s="1"/>
  <c r="P774" i="10" s="1"/>
  <c r="H1899" i="7"/>
  <c r="E1900" i="7" s="1"/>
  <c r="K1898" i="7"/>
  <c r="J1898" i="7"/>
  <c r="L1898" i="7" s="1"/>
  <c r="L950" i="7"/>
  <c r="L234" i="11" s="1"/>
  <c r="P234" i="11" s="1"/>
  <c r="L55" i="7"/>
  <c r="L55" i="10" s="1"/>
  <c r="P55" i="10" s="1"/>
  <c r="L234" i="7"/>
  <c r="L234" i="10" s="1"/>
  <c r="P234" i="10" s="1"/>
  <c r="L413" i="7"/>
  <c r="L413" i="10" s="1"/>
  <c r="P413" i="10" s="1"/>
  <c r="L592" i="7"/>
  <c r="L592" i="10" s="1"/>
  <c r="P592" i="10" s="1"/>
  <c r="H414" i="7"/>
  <c r="E415" i="7" s="1"/>
  <c r="E414" i="10"/>
  <c r="H1488" i="7"/>
  <c r="E1489" i="7" s="1"/>
  <c r="L1487" i="7"/>
  <c r="L771" i="11" s="1"/>
  <c r="P771" i="11" s="1"/>
  <c r="H1667" i="7"/>
  <c r="E1668" i="7" s="1"/>
  <c r="H772" i="7"/>
  <c r="E773" i="7" s="1"/>
  <c r="L1666" i="7"/>
  <c r="L950" i="11" s="1"/>
  <c r="P950" i="11" s="1"/>
  <c r="H593" i="7"/>
  <c r="E594" i="7" s="1"/>
  <c r="E593" i="10"/>
  <c r="H56" i="7"/>
  <c r="E57" i="7" s="1"/>
  <c r="E56" i="10"/>
  <c r="H235" i="7"/>
  <c r="E236" i="7" s="1"/>
  <c r="E235" i="10"/>
  <c r="H1309" i="7"/>
  <c r="E1310" i="7" s="1"/>
  <c r="L771" i="7"/>
  <c r="L55" i="11" s="1"/>
  <c r="P55" i="11" s="1"/>
  <c r="H951" i="7"/>
  <c r="E952" i="7" s="1"/>
  <c r="L1308" i="7"/>
  <c r="L592" i="11" s="1"/>
  <c r="P592" i="11" s="1"/>
  <c r="H1130" i="7"/>
  <c r="E1131" i="7" s="1"/>
  <c r="L1129" i="7"/>
  <c r="L413" i="11" s="1"/>
  <c r="P413" i="11" s="1"/>
  <c r="I414" i="11" l="1"/>
  <c r="I56" i="11"/>
  <c r="I951" i="11"/>
  <c r="I235" i="11"/>
  <c r="I772" i="11"/>
  <c r="I593" i="11"/>
  <c r="E594" i="11"/>
  <c r="H2029" i="7"/>
  <c r="E2030" i="7" s="1"/>
  <c r="E775" i="10"/>
  <c r="I951" i="10"/>
  <c r="J2205" i="7"/>
  <c r="J951" i="10" s="1"/>
  <c r="L2205" i="7"/>
  <c r="L951" i="10" s="1"/>
  <c r="P951" i="10" s="1"/>
  <c r="K2205" i="7"/>
  <c r="K951" i="10" s="1"/>
  <c r="H1900" i="7"/>
  <c r="E1901" i="7" s="1"/>
  <c r="K1899" i="7"/>
  <c r="J1899" i="7"/>
  <c r="L1899" i="7" s="1"/>
  <c r="J1488" i="7"/>
  <c r="J772" i="11" s="1"/>
  <c r="K1488" i="7"/>
  <c r="K772" i="11" s="1"/>
  <c r="J56" i="7"/>
  <c r="J56" i="10" s="1"/>
  <c r="K56" i="7"/>
  <c r="K56" i="10" s="1"/>
  <c r="J1309" i="7"/>
  <c r="J593" i="11" s="1"/>
  <c r="K1309" i="7"/>
  <c r="K593" i="11" s="1"/>
  <c r="J414" i="7"/>
  <c r="J414" i="10" s="1"/>
  <c r="K414" i="7"/>
  <c r="K414" i="10" s="1"/>
  <c r="J1667" i="7"/>
  <c r="J951" i="11" s="1"/>
  <c r="K1667" i="7"/>
  <c r="K951" i="11" s="1"/>
  <c r="J235" i="7"/>
  <c r="J235" i="10" s="1"/>
  <c r="K235" i="7"/>
  <c r="K235" i="10" s="1"/>
  <c r="J1130" i="7"/>
  <c r="J414" i="11" s="1"/>
  <c r="K1130" i="7"/>
  <c r="K414" i="11" s="1"/>
  <c r="J593" i="7"/>
  <c r="J593" i="10" s="1"/>
  <c r="K593" i="7"/>
  <c r="K593" i="10" s="1"/>
  <c r="J951" i="7"/>
  <c r="J235" i="11" s="1"/>
  <c r="K951" i="7"/>
  <c r="K235" i="11" s="1"/>
  <c r="J772" i="7"/>
  <c r="J56" i="11" s="1"/>
  <c r="K772" i="7"/>
  <c r="K56" i="11" s="1"/>
  <c r="E415" i="11"/>
  <c r="I593" i="10"/>
  <c r="E236" i="11"/>
  <c r="E57" i="11"/>
  <c r="E952" i="11"/>
  <c r="I235" i="10"/>
  <c r="E773" i="11"/>
  <c r="I56" i="10"/>
  <c r="I414" i="10"/>
  <c r="H2206" i="7" l="1"/>
  <c r="E2207" i="7" s="1"/>
  <c r="E952" i="10"/>
  <c r="I775" i="10"/>
  <c r="L2029" i="7"/>
  <c r="L775" i="10" s="1"/>
  <c r="P775" i="10" s="1"/>
  <c r="J2029" i="7"/>
  <c r="J775" i="10" s="1"/>
  <c r="K2029" i="7"/>
  <c r="K775" i="10" s="1"/>
  <c r="H1901" i="7"/>
  <c r="E1902" i="7" s="1"/>
  <c r="K1900" i="7"/>
  <c r="J1900" i="7"/>
  <c r="L1900" i="7" s="1"/>
  <c r="L951" i="7"/>
  <c r="L235" i="11" s="1"/>
  <c r="P235" i="11" s="1"/>
  <c r="L56" i="7"/>
  <c r="L56" i="10" s="1"/>
  <c r="P56" i="10" s="1"/>
  <c r="L235" i="7"/>
  <c r="L235" i="10" s="1"/>
  <c r="P235" i="10" s="1"/>
  <c r="L414" i="7"/>
  <c r="L414" i="10" s="1"/>
  <c r="P414" i="10" s="1"/>
  <c r="L593" i="7"/>
  <c r="L593" i="10" s="1"/>
  <c r="P593" i="10" s="1"/>
  <c r="H1489" i="7"/>
  <c r="E1490" i="7" s="1"/>
  <c r="L1667" i="7"/>
  <c r="L951" i="11" s="1"/>
  <c r="P951" i="11" s="1"/>
  <c r="H57" i="7"/>
  <c r="E58" i="7" s="1"/>
  <c r="E57" i="10"/>
  <c r="H594" i="7"/>
  <c r="E595" i="7" s="1"/>
  <c r="E594" i="10"/>
  <c r="L1488" i="7"/>
  <c r="L772" i="11" s="1"/>
  <c r="P772" i="11" s="1"/>
  <c r="H773" i="7"/>
  <c r="E774" i="7" s="1"/>
  <c r="H236" i="7"/>
  <c r="E237" i="7" s="1"/>
  <c r="E236" i="10"/>
  <c r="L772" i="7"/>
  <c r="L56" i="11" s="1"/>
  <c r="P56" i="11" s="1"/>
  <c r="H1131" i="7"/>
  <c r="E1132" i="7" s="1"/>
  <c r="H1310" i="7"/>
  <c r="E1311" i="7" s="1"/>
  <c r="L1130" i="7"/>
  <c r="L414" i="11" s="1"/>
  <c r="P414" i="11" s="1"/>
  <c r="H1668" i="7"/>
  <c r="E1669" i="7" s="1"/>
  <c r="H415" i="7"/>
  <c r="E416" i="7" s="1"/>
  <c r="E415" i="10"/>
  <c r="L1309" i="7"/>
  <c r="L593" i="11" s="1"/>
  <c r="P593" i="11" s="1"/>
  <c r="H952" i="7"/>
  <c r="E953" i="7" s="1"/>
  <c r="I415" i="11" l="1"/>
  <c r="E416" i="11"/>
  <c r="I773" i="11"/>
  <c r="E774" i="11"/>
  <c r="I236" i="11"/>
  <c r="I594" i="11"/>
  <c r="I57" i="11"/>
  <c r="E58" i="11"/>
  <c r="I952" i="11"/>
  <c r="E953" i="11"/>
  <c r="H2030" i="7"/>
  <c r="E2031" i="7" s="1"/>
  <c r="E776" i="10"/>
  <c r="I952" i="10"/>
  <c r="L2206" i="7"/>
  <c r="L952" i="10" s="1"/>
  <c r="P952" i="10" s="1"/>
  <c r="K2206" i="7"/>
  <c r="K952" i="10" s="1"/>
  <c r="J2206" i="7"/>
  <c r="J952" i="10" s="1"/>
  <c r="K1901" i="7"/>
  <c r="H1902" i="7"/>
  <c r="E1903" i="7" s="1"/>
  <c r="J1901" i="7"/>
  <c r="L1901" i="7" s="1"/>
  <c r="J1131" i="7"/>
  <c r="J415" i="11" s="1"/>
  <c r="K1131" i="7"/>
  <c r="K415" i="11" s="1"/>
  <c r="J1489" i="7"/>
  <c r="J773" i="11" s="1"/>
  <c r="K1489" i="7"/>
  <c r="K773" i="11" s="1"/>
  <c r="J236" i="7"/>
  <c r="J236" i="10" s="1"/>
  <c r="K236" i="7"/>
  <c r="K236" i="10" s="1"/>
  <c r="J1668" i="7"/>
  <c r="J952" i="11" s="1"/>
  <c r="K1668" i="7"/>
  <c r="K952" i="11" s="1"/>
  <c r="J594" i="7"/>
  <c r="J594" i="10" s="1"/>
  <c r="K594" i="7"/>
  <c r="K594" i="10" s="1"/>
  <c r="J415" i="7"/>
  <c r="J415" i="10" s="1"/>
  <c r="K415" i="7"/>
  <c r="K415" i="10" s="1"/>
  <c r="J773" i="7"/>
  <c r="J57" i="11" s="1"/>
  <c r="K773" i="7"/>
  <c r="K57" i="11" s="1"/>
  <c r="J1310" i="7"/>
  <c r="J594" i="11" s="1"/>
  <c r="K1310" i="7"/>
  <c r="K594" i="11" s="1"/>
  <c r="J57" i="7"/>
  <c r="J57" i="10" s="1"/>
  <c r="K57" i="7"/>
  <c r="K57" i="10" s="1"/>
  <c r="J952" i="7"/>
  <c r="J236" i="11" s="1"/>
  <c r="K952" i="7"/>
  <c r="K236" i="11" s="1"/>
  <c r="I236" i="10"/>
  <c r="I415" i="10"/>
  <c r="I594" i="10"/>
  <c r="E595" i="11"/>
  <c r="I57" i="10"/>
  <c r="E237" i="11"/>
  <c r="H2207" i="7" l="1"/>
  <c r="E2208" i="7" s="1"/>
  <c r="E953" i="10"/>
  <c r="I776" i="10"/>
  <c r="K2030" i="7"/>
  <c r="K776" i="10" s="1"/>
  <c r="J2030" i="7"/>
  <c r="J776" i="10" s="1"/>
  <c r="L2030" i="7"/>
  <c r="L776" i="10" s="1"/>
  <c r="P776" i="10" s="1"/>
  <c r="K1902" i="7"/>
  <c r="J1902" i="7"/>
  <c r="L1902" i="7" s="1"/>
  <c r="H1903" i="7"/>
  <c r="E1904" i="7" s="1"/>
  <c r="L952" i="7"/>
  <c r="L236" i="11" s="1"/>
  <c r="P236" i="11" s="1"/>
  <c r="L57" i="7"/>
  <c r="L57" i="10" s="1"/>
  <c r="P57" i="10" s="1"/>
  <c r="L236" i="7"/>
  <c r="L236" i="10" s="1"/>
  <c r="P236" i="10" s="1"/>
  <c r="L773" i="7"/>
  <c r="L57" i="11" s="1"/>
  <c r="P57" i="11" s="1"/>
  <c r="L415" i="7"/>
  <c r="L415" i="10" s="1"/>
  <c r="P415" i="10" s="1"/>
  <c r="L1131" i="7"/>
  <c r="L415" i="11" s="1"/>
  <c r="P415" i="11" s="1"/>
  <c r="L594" i="7"/>
  <c r="L594" i="10" s="1"/>
  <c r="P594" i="10" s="1"/>
  <c r="L1310" i="7"/>
  <c r="L594" i="11" s="1"/>
  <c r="P594" i="11" s="1"/>
  <c r="H1490" i="7"/>
  <c r="E1491" i="7" s="1"/>
  <c r="L1489" i="7"/>
  <c r="L773" i="11" s="1"/>
  <c r="P773" i="11" s="1"/>
  <c r="H58" i="7"/>
  <c r="E59" i="7" s="1"/>
  <c r="E58" i="10"/>
  <c r="H1669" i="7"/>
  <c r="E1670" i="7" s="1"/>
  <c r="L1668" i="7"/>
  <c r="L952" i="11" s="1"/>
  <c r="P952" i="11" s="1"/>
  <c r="H416" i="7"/>
  <c r="E417" i="7" s="1"/>
  <c r="E416" i="10"/>
  <c r="H953" i="7"/>
  <c r="E954" i="7" s="1"/>
  <c r="H595" i="7"/>
  <c r="E596" i="7" s="1"/>
  <c r="E595" i="10"/>
  <c r="H1132" i="7"/>
  <c r="E1133" i="7" s="1"/>
  <c r="H1311" i="7"/>
  <c r="E1312" i="7" s="1"/>
  <c r="H237" i="7"/>
  <c r="E238" i="7" s="1"/>
  <c r="E237" i="10"/>
  <c r="H774" i="7"/>
  <c r="E775" i="7" s="1"/>
  <c r="I953" i="11" l="1"/>
  <c r="E954" i="11"/>
  <c r="I58" i="11"/>
  <c r="E59" i="11"/>
  <c r="I774" i="11"/>
  <c r="I595" i="11"/>
  <c r="I416" i="11"/>
  <c r="E417" i="11"/>
  <c r="I237" i="11"/>
  <c r="E238" i="11"/>
  <c r="H2031" i="7"/>
  <c r="E2032" i="7" s="1"/>
  <c r="E777" i="10"/>
  <c r="I953" i="10"/>
  <c r="J2207" i="7"/>
  <c r="J953" i="10" s="1"/>
  <c r="L2207" i="7"/>
  <c r="L953" i="10" s="1"/>
  <c r="P953" i="10" s="1"/>
  <c r="K2207" i="7"/>
  <c r="K953" i="10" s="1"/>
  <c r="H1904" i="7"/>
  <c r="E1905" i="7" s="1"/>
  <c r="K1903" i="7"/>
  <c r="J1903" i="7"/>
  <c r="L1903" i="7" s="1"/>
  <c r="J58" i="7"/>
  <c r="J58" i="10" s="1"/>
  <c r="K58" i="7"/>
  <c r="K58" i="10" s="1"/>
  <c r="J953" i="7"/>
  <c r="J237" i="11" s="1"/>
  <c r="K953" i="7"/>
  <c r="K237" i="11" s="1"/>
  <c r="J1132" i="7"/>
  <c r="J416" i="11" s="1"/>
  <c r="K1132" i="7"/>
  <c r="K416" i="11" s="1"/>
  <c r="J774" i="7"/>
  <c r="J58" i="11" s="1"/>
  <c r="K774" i="7"/>
  <c r="K58" i="11" s="1"/>
  <c r="J595" i="7"/>
  <c r="J595" i="10" s="1"/>
  <c r="K595" i="7"/>
  <c r="K595" i="10" s="1"/>
  <c r="J1490" i="7"/>
  <c r="J774" i="11" s="1"/>
  <c r="K1490" i="7"/>
  <c r="K774" i="11" s="1"/>
  <c r="J416" i="7"/>
  <c r="J416" i="10" s="1"/>
  <c r="K416" i="7"/>
  <c r="K416" i="10" s="1"/>
  <c r="J237" i="7"/>
  <c r="J237" i="10" s="1"/>
  <c r="K237" i="7"/>
  <c r="K237" i="10" s="1"/>
  <c r="J1669" i="7"/>
  <c r="J953" i="11" s="1"/>
  <c r="K1669" i="7"/>
  <c r="K953" i="11" s="1"/>
  <c r="J1311" i="7"/>
  <c r="J595" i="11" s="1"/>
  <c r="K1311" i="7"/>
  <c r="K595" i="11" s="1"/>
  <c r="I416" i="10"/>
  <c r="I237" i="10"/>
  <c r="E596" i="11"/>
  <c r="I58" i="10"/>
  <c r="I595" i="10"/>
  <c r="E775" i="11"/>
  <c r="H2208" i="7" l="1"/>
  <c r="E2209" i="7" s="1"/>
  <c r="E954" i="10"/>
  <c r="I777" i="10"/>
  <c r="J2031" i="7"/>
  <c r="J777" i="10" s="1"/>
  <c r="L2031" i="7"/>
  <c r="L777" i="10" s="1"/>
  <c r="P777" i="10" s="1"/>
  <c r="K2031" i="7"/>
  <c r="K777" i="10" s="1"/>
  <c r="K1904" i="7"/>
  <c r="H1905" i="7"/>
  <c r="E1906" i="7" s="1"/>
  <c r="J1904" i="7"/>
  <c r="L1904" i="7" s="1"/>
  <c r="L953" i="7"/>
  <c r="L237" i="11" s="1"/>
  <c r="P237" i="11" s="1"/>
  <c r="L237" i="7"/>
  <c r="L237" i="10" s="1"/>
  <c r="P237" i="10" s="1"/>
  <c r="L58" i="7"/>
  <c r="L58" i="10" s="1"/>
  <c r="P58" i="10" s="1"/>
  <c r="L416" i="7"/>
  <c r="L416" i="10" s="1"/>
  <c r="P416" i="10" s="1"/>
  <c r="L1490" i="7"/>
  <c r="L774" i="11" s="1"/>
  <c r="P774" i="11" s="1"/>
  <c r="L1669" i="7"/>
  <c r="L953" i="11" s="1"/>
  <c r="P953" i="11" s="1"/>
  <c r="L595" i="7"/>
  <c r="L595" i="10" s="1"/>
  <c r="P595" i="10" s="1"/>
  <c r="H1491" i="7"/>
  <c r="E1492" i="7" s="1"/>
  <c r="H238" i="7"/>
  <c r="E239" i="7" s="1"/>
  <c r="E238" i="10"/>
  <c r="H59" i="7"/>
  <c r="E60" i="7" s="1"/>
  <c r="E59" i="10"/>
  <c r="H596" i="7"/>
  <c r="E597" i="7" s="1"/>
  <c r="E596" i="10"/>
  <c r="H775" i="7"/>
  <c r="E776" i="7" s="1"/>
  <c r="H1670" i="7"/>
  <c r="E1671" i="7" s="1"/>
  <c r="L774" i="7"/>
  <c r="L58" i="11" s="1"/>
  <c r="P58" i="11" s="1"/>
  <c r="H1312" i="7"/>
  <c r="E1313" i="7" s="1"/>
  <c r="L1311" i="7"/>
  <c r="L595" i="11" s="1"/>
  <c r="P595" i="11" s="1"/>
  <c r="H954" i="7"/>
  <c r="E955" i="7" s="1"/>
  <c r="H1133" i="7"/>
  <c r="E1134" i="7" s="1"/>
  <c r="L1132" i="7"/>
  <c r="L416" i="11" s="1"/>
  <c r="P416" i="11" s="1"/>
  <c r="H417" i="7"/>
  <c r="E418" i="7" s="1"/>
  <c r="E417" i="10"/>
  <c r="I59" i="11" l="1"/>
  <c r="E60" i="11"/>
  <c r="I417" i="11"/>
  <c r="E418" i="11"/>
  <c r="I238" i="11"/>
  <c r="I775" i="11"/>
  <c r="I596" i="11"/>
  <c r="I954" i="11"/>
  <c r="E955" i="11"/>
  <c r="H2032" i="7"/>
  <c r="E2033" i="7" s="1"/>
  <c r="E778" i="10"/>
  <c r="I954" i="10"/>
  <c r="J2208" i="7"/>
  <c r="J954" i="10" s="1"/>
  <c r="L2208" i="7"/>
  <c r="L954" i="10" s="1"/>
  <c r="P954" i="10" s="1"/>
  <c r="K2208" i="7"/>
  <c r="K954" i="10" s="1"/>
  <c r="K1905" i="7"/>
  <c r="H1906" i="7"/>
  <c r="E1907" i="7" s="1"/>
  <c r="J1905" i="7"/>
  <c r="L1905" i="7" s="1"/>
  <c r="J238" i="7"/>
  <c r="J238" i="10" s="1"/>
  <c r="K238" i="7"/>
  <c r="K238" i="10" s="1"/>
  <c r="J1670" i="7"/>
  <c r="J954" i="11" s="1"/>
  <c r="K1670" i="7"/>
  <c r="K954" i="11" s="1"/>
  <c r="J954" i="7"/>
  <c r="J238" i="11" s="1"/>
  <c r="K954" i="7"/>
  <c r="K238" i="11" s="1"/>
  <c r="J1491" i="7"/>
  <c r="J775" i="11" s="1"/>
  <c r="K1491" i="7"/>
  <c r="K775" i="11" s="1"/>
  <c r="J417" i="7"/>
  <c r="J417" i="10" s="1"/>
  <c r="K417" i="7"/>
  <c r="K417" i="10" s="1"/>
  <c r="J596" i="7"/>
  <c r="J596" i="10" s="1"/>
  <c r="K596" i="7"/>
  <c r="K596" i="10" s="1"/>
  <c r="J59" i="7"/>
  <c r="J59" i="10" s="1"/>
  <c r="K59" i="7"/>
  <c r="K59" i="10" s="1"/>
  <c r="J1312" i="7"/>
  <c r="J596" i="11" s="1"/>
  <c r="K1312" i="7"/>
  <c r="K596" i="11" s="1"/>
  <c r="J775" i="7"/>
  <c r="J59" i="11" s="1"/>
  <c r="K775" i="7"/>
  <c r="K59" i="11" s="1"/>
  <c r="J1133" i="7"/>
  <c r="J417" i="11" s="1"/>
  <c r="K1133" i="7"/>
  <c r="K417" i="11" s="1"/>
  <c r="I417" i="10"/>
  <c r="E239" i="11"/>
  <c r="I238" i="10"/>
  <c r="I596" i="10"/>
  <c r="I59" i="10"/>
  <c r="E597" i="11"/>
  <c r="E776" i="11"/>
  <c r="H2209" i="7" l="1"/>
  <c r="E2210" i="7" s="1"/>
  <c r="E955" i="10"/>
  <c r="I778" i="10"/>
  <c r="K2032" i="7"/>
  <c r="K778" i="10" s="1"/>
  <c r="J2032" i="7"/>
  <c r="J778" i="10" s="1"/>
  <c r="L2032" i="7"/>
  <c r="L778" i="10" s="1"/>
  <c r="P778" i="10" s="1"/>
  <c r="H1907" i="7"/>
  <c r="E1908" i="7" s="1"/>
  <c r="K1906" i="7"/>
  <c r="J1906" i="7"/>
  <c r="L1906" i="7" s="1"/>
  <c r="L954" i="7"/>
  <c r="L238" i="11" s="1"/>
  <c r="P238" i="11" s="1"/>
  <c r="L1670" i="7"/>
  <c r="L954" i="11" s="1"/>
  <c r="P954" i="11" s="1"/>
  <c r="L238" i="7"/>
  <c r="L238" i="10" s="1"/>
  <c r="P238" i="10" s="1"/>
  <c r="L59" i="7"/>
  <c r="L59" i="10" s="1"/>
  <c r="P59" i="10" s="1"/>
  <c r="L1491" i="7"/>
  <c r="L775" i="11" s="1"/>
  <c r="P775" i="11" s="1"/>
  <c r="H1313" i="7"/>
  <c r="E1314" i="7" s="1"/>
  <c r="H1492" i="7"/>
  <c r="E1493" i="7" s="1"/>
  <c r="H239" i="7"/>
  <c r="E240" i="7" s="1"/>
  <c r="E239" i="10"/>
  <c r="H776" i="7"/>
  <c r="E777" i="7" s="1"/>
  <c r="H955" i="7"/>
  <c r="E956" i="7" s="1"/>
  <c r="L775" i="7"/>
  <c r="L59" i="11" s="1"/>
  <c r="P59" i="11" s="1"/>
  <c r="H418" i="7"/>
  <c r="E419" i="7" s="1"/>
  <c r="E418" i="10"/>
  <c r="H597" i="7"/>
  <c r="E598" i="7" s="1"/>
  <c r="E597" i="10"/>
  <c r="L596" i="7"/>
  <c r="L596" i="10" s="1"/>
  <c r="P596" i="10" s="1"/>
  <c r="L1312" i="7"/>
  <c r="L596" i="11" s="1"/>
  <c r="P596" i="11" s="1"/>
  <c r="H60" i="7"/>
  <c r="E61" i="7" s="1"/>
  <c r="E60" i="10"/>
  <c r="L1133" i="7"/>
  <c r="L417" i="11" s="1"/>
  <c r="P417" i="11" s="1"/>
  <c r="H1134" i="7"/>
  <c r="E1135" i="7" s="1"/>
  <c r="L417" i="7"/>
  <c r="L417" i="10" s="1"/>
  <c r="P417" i="10" s="1"/>
  <c r="H1671" i="7"/>
  <c r="E1672" i="7" s="1"/>
  <c r="I955" i="11" l="1"/>
  <c r="E956" i="11"/>
  <c r="I418" i="11"/>
  <c r="E419" i="11"/>
  <c r="I239" i="11"/>
  <c r="I60" i="11"/>
  <c r="I776" i="11"/>
  <c r="E777" i="11"/>
  <c r="I597" i="11"/>
  <c r="H2033" i="7"/>
  <c r="E2034" i="7" s="1"/>
  <c r="E779" i="10"/>
  <c r="I955" i="10"/>
  <c r="J2209" i="7"/>
  <c r="J955" i="10" s="1"/>
  <c r="L2209" i="7"/>
  <c r="L955" i="10" s="1"/>
  <c r="P955" i="10" s="1"/>
  <c r="K2209" i="7"/>
  <c r="K955" i="10" s="1"/>
  <c r="K1907" i="7"/>
  <c r="J1907" i="7"/>
  <c r="L1907" i="7" s="1"/>
  <c r="H1908" i="7"/>
  <c r="E1909" i="7" s="1"/>
  <c r="J776" i="7"/>
  <c r="J60" i="11" s="1"/>
  <c r="K776" i="7"/>
  <c r="K60" i="11" s="1"/>
  <c r="J1492" i="7"/>
  <c r="J776" i="11" s="1"/>
  <c r="K1492" i="7"/>
  <c r="K776" i="11" s="1"/>
  <c r="J597" i="7"/>
  <c r="J597" i="10" s="1"/>
  <c r="K597" i="7"/>
  <c r="K597" i="10" s="1"/>
  <c r="J1671" i="7"/>
  <c r="J955" i="11" s="1"/>
  <c r="K1671" i="7"/>
  <c r="K955" i="11" s="1"/>
  <c r="J60" i="7"/>
  <c r="J60" i="10" s="1"/>
  <c r="K60" i="7"/>
  <c r="K60" i="10" s="1"/>
  <c r="J1313" i="7"/>
  <c r="J597" i="11" s="1"/>
  <c r="K1313" i="7"/>
  <c r="K597" i="11" s="1"/>
  <c r="J418" i="7"/>
  <c r="J418" i="10" s="1"/>
  <c r="K418" i="7"/>
  <c r="K418" i="10" s="1"/>
  <c r="J955" i="7"/>
  <c r="J239" i="11" s="1"/>
  <c r="K955" i="7"/>
  <c r="K239" i="11" s="1"/>
  <c r="J239" i="7"/>
  <c r="J239" i="10" s="1"/>
  <c r="K239" i="7"/>
  <c r="K239" i="10" s="1"/>
  <c r="J1134" i="7"/>
  <c r="J418" i="11" s="1"/>
  <c r="K1134" i="7"/>
  <c r="K418" i="11" s="1"/>
  <c r="I418" i="10"/>
  <c r="E240" i="11"/>
  <c r="E61" i="11"/>
  <c r="I60" i="10"/>
  <c r="I239" i="10"/>
  <c r="I597" i="10"/>
  <c r="E598" i="11"/>
  <c r="H2210" i="7" l="1"/>
  <c r="E2211" i="7" s="1"/>
  <c r="E956" i="10"/>
  <c r="I779" i="10"/>
  <c r="K2033" i="7"/>
  <c r="K779" i="10" s="1"/>
  <c r="J2033" i="7"/>
  <c r="J779" i="10" s="1"/>
  <c r="L2033" i="7"/>
  <c r="L779" i="10" s="1"/>
  <c r="P779" i="10" s="1"/>
  <c r="H1909" i="7"/>
  <c r="E1910" i="7" s="1"/>
  <c r="K1908" i="7"/>
  <c r="J1908" i="7"/>
  <c r="L1908" i="7" s="1"/>
  <c r="L955" i="7"/>
  <c r="L239" i="11" s="1"/>
  <c r="P239" i="11" s="1"/>
  <c r="L239" i="7"/>
  <c r="L239" i="10" s="1"/>
  <c r="P239" i="10" s="1"/>
  <c r="L60" i="7"/>
  <c r="L60" i="10" s="1"/>
  <c r="P60" i="10" s="1"/>
  <c r="L776" i="7"/>
  <c r="L60" i="11" s="1"/>
  <c r="P60" i="11" s="1"/>
  <c r="L1134" i="7"/>
  <c r="L418" i="11" s="1"/>
  <c r="P418" i="11" s="1"/>
  <c r="L597" i="7"/>
  <c r="L597" i="10" s="1"/>
  <c r="P597" i="10" s="1"/>
  <c r="H240" i="7"/>
  <c r="E241" i="7" s="1"/>
  <c r="E240" i="10"/>
  <c r="H419" i="7"/>
  <c r="E420" i="7" s="1"/>
  <c r="E419" i="10"/>
  <c r="H956" i="7"/>
  <c r="E957" i="7" s="1"/>
  <c r="L1313" i="7"/>
  <c r="L597" i="11" s="1"/>
  <c r="P597" i="11" s="1"/>
  <c r="H598" i="7"/>
  <c r="E599" i="7" s="1"/>
  <c r="E598" i="10"/>
  <c r="L418" i="7"/>
  <c r="L418" i="10" s="1"/>
  <c r="P418" i="10" s="1"/>
  <c r="H1672" i="7"/>
  <c r="E1673" i="7" s="1"/>
  <c r="H1493" i="7"/>
  <c r="E1494" i="7" s="1"/>
  <c r="H61" i="7"/>
  <c r="E62" i="7" s="1"/>
  <c r="E61" i="10"/>
  <c r="L1671" i="7"/>
  <c r="L955" i="11" s="1"/>
  <c r="P955" i="11" s="1"/>
  <c r="H777" i="7"/>
  <c r="E778" i="7" s="1"/>
  <c r="H1314" i="7"/>
  <c r="E1315" i="7" s="1"/>
  <c r="L1492" i="7"/>
  <c r="L776" i="11" s="1"/>
  <c r="P776" i="11" s="1"/>
  <c r="H1135" i="7"/>
  <c r="E1136" i="7" s="1"/>
  <c r="I777" i="11" l="1"/>
  <c r="I240" i="11"/>
  <c r="E241" i="11"/>
  <c r="I598" i="11"/>
  <c r="I419" i="11"/>
  <c r="E420" i="11"/>
  <c r="I61" i="11"/>
  <c r="E62" i="11"/>
  <c r="I956" i="11"/>
  <c r="E957" i="11"/>
  <c r="H2034" i="7"/>
  <c r="E2035" i="7" s="1"/>
  <c r="E780" i="10"/>
  <c r="I956" i="10"/>
  <c r="J2210" i="7"/>
  <c r="J956" i="10" s="1"/>
  <c r="L2210" i="7"/>
  <c r="L956" i="10" s="1"/>
  <c r="P956" i="10" s="1"/>
  <c r="K2210" i="7"/>
  <c r="K956" i="10" s="1"/>
  <c r="H1910" i="7"/>
  <c r="E1911" i="7" s="1"/>
  <c r="J1909" i="7"/>
  <c r="L1909" i="7" s="1"/>
  <c r="K1909" i="7"/>
  <c r="J777" i="7"/>
  <c r="J61" i="11" s="1"/>
  <c r="K777" i="7"/>
  <c r="K61" i="11" s="1"/>
  <c r="J956" i="7"/>
  <c r="J240" i="11" s="1"/>
  <c r="K956" i="7"/>
  <c r="K240" i="11" s="1"/>
  <c r="J61" i="7"/>
  <c r="J61" i="10" s="1"/>
  <c r="K61" i="7"/>
  <c r="K61" i="10" s="1"/>
  <c r="J1493" i="7"/>
  <c r="J777" i="11" s="1"/>
  <c r="K1493" i="7"/>
  <c r="K777" i="11" s="1"/>
  <c r="J1314" i="7"/>
  <c r="J598" i="11" s="1"/>
  <c r="K1314" i="7"/>
  <c r="K598" i="11" s="1"/>
  <c r="J598" i="7"/>
  <c r="J598" i="10" s="1"/>
  <c r="K598" i="7"/>
  <c r="K598" i="10" s="1"/>
  <c r="J419" i="7"/>
  <c r="J419" i="10" s="1"/>
  <c r="K419" i="7"/>
  <c r="K419" i="10" s="1"/>
  <c r="J240" i="7"/>
  <c r="J240" i="10" s="1"/>
  <c r="K240" i="7"/>
  <c r="K240" i="10" s="1"/>
  <c r="J1135" i="7"/>
  <c r="J419" i="11" s="1"/>
  <c r="K1135" i="7"/>
  <c r="K419" i="11" s="1"/>
  <c r="J1672" i="7"/>
  <c r="J956" i="11" s="1"/>
  <c r="K1672" i="7"/>
  <c r="K956" i="11" s="1"/>
  <c r="I598" i="10"/>
  <c r="E599" i="11"/>
  <c r="I61" i="10"/>
  <c r="I419" i="10"/>
  <c r="E778" i="11"/>
  <c r="I240" i="10"/>
  <c r="H2211" i="7" l="1"/>
  <c r="E2212" i="7" s="1"/>
  <c r="E957" i="10"/>
  <c r="I780" i="10"/>
  <c r="J2034" i="7"/>
  <c r="J780" i="10" s="1"/>
  <c r="K2034" i="7"/>
  <c r="K780" i="10" s="1"/>
  <c r="L2034" i="7"/>
  <c r="L780" i="10" s="1"/>
  <c r="P780" i="10" s="1"/>
  <c r="K1910" i="7"/>
  <c r="H1911" i="7"/>
  <c r="E1912" i="7" s="1"/>
  <c r="J1910" i="7"/>
  <c r="L1910" i="7" s="1"/>
  <c r="L956" i="7"/>
  <c r="L240" i="11" s="1"/>
  <c r="P240" i="11" s="1"/>
  <c r="L240" i="7"/>
  <c r="L240" i="10" s="1"/>
  <c r="P240" i="10" s="1"/>
  <c r="L61" i="7"/>
  <c r="L61" i="10" s="1"/>
  <c r="P61" i="10" s="1"/>
  <c r="L1135" i="7"/>
  <c r="L419" i="11" s="1"/>
  <c r="P419" i="11" s="1"/>
  <c r="H241" i="7"/>
  <c r="E242" i="7" s="1"/>
  <c r="E241" i="10"/>
  <c r="H62" i="7"/>
  <c r="E63" i="7" s="1"/>
  <c r="E62" i="10"/>
  <c r="H957" i="7"/>
  <c r="E958" i="7" s="1"/>
  <c r="H1315" i="7"/>
  <c r="E1316" i="7" s="1"/>
  <c r="H599" i="7"/>
  <c r="E600" i="7" s="1"/>
  <c r="E599" i="10"/>
  <c r="H1494" i="7"/>
  <c r="E1495" i="7" s="1"/>
  <c r="L598" i="7"/>
  <c r="L598" i="10" s="1"/>
  <c r="P598" i="10" s="1"/>
  <c r="H778" i="7"/>
  <c r="E779" i="7" s="1"/>
  <c r="L1314" i="7"/>
  <c r="L598" i="11" s="1"/>
  <c r="P598" i="11" s="1"/>
  <c r="H1673" i="7"/>
  <c r="E1674" i="7" s="1"/>
  <c r="L1672" i="7"/>
  <c r="L956" i="11" s="1"/>
  <c r="P956" i="11" s="1"/>
  <c r="L1493" i="7"/>
  <c r="L777" i="11" s="1"/>
  <c r="P777" i="11" s="1"/>
  <c r="H420" i="7"/>
  <c r="E421" i="7" s="1"/>
  <c r="E420" i="10"/>
  <c r="L777" i="7"/>
  <c r="L61" i="11" s="1"/>
  <c r="P61" i="11" s="1"/>
  <c r="H1136" i="7"/>
  <c r="E1137" i="7" s="1"/>
  <c r="L419" i="7"/>
  <c r="L419" i="10" s="1"/>
  <c r="P419" i="10" s="1"/>
  <c r="I62" i="11" l="1"/>
  <c r="I778" i="11"/>
  <c r="I420" i="11"/>
  <c r="I599" i="11"/>
  <c r="I241" i="11"/>
  <c r="E242" i="11"/>
  <c r="I957" i="11"/>
  <c r="E958" i="11"/>
  <c r="H2035" i="7"/>
  <c r="E2036" i="7" s="1"/>
  <c r="E781" i="10"/>
  <c r="I957" i="10"/>
  <c r="L2211" i="7"/>
  <c r="L957" i="10" s="1"/>
  <c r="P957" i="10" s="1"/>
  <c r="K2211" i="7"/>
  <c r="K957" i="10" s="1"/>
  <c r="J2211" i="7"/>
  <c r="J957" i="10" s="1"/>
  <c r="J1911" i="7"/>
  <c r="L1911" i="7" s="1"/>
  <c r="H1912" i="7"/>
  <c r="E1913" i="7" s="1"/>
  <c r="K1911" i="7"/>
  <c r="J957" i="7"/>
  <c r="J241" i="11" s="1"/>
  <c r="K957" i="7"/>
  <c r="K241" i="11" s="1"/>
  <c r="J241" i="7"/>
  <c r="J241" i="10" s="1"/>
  <c r="K241" i="7"/>
  <c r="K241" i="10" s="1"/>
  <c r="J62" i="7"/>
  <c r="J62" i="10" s="1"/>
  <c r="K62" i="7"/>
  <c r="K62" i="10" s="1"/>
  <c r="J778" i="7"/>
  <c r="J62" i="11" s="1"/>
  <c r="K778" i="7"/>
  <c r="K62" i="11" s="1"/>
  <c r="J1315" i="7"/>
  <c r="J599" i="11" s="1"/>
  <c r="K1315" i="7"/>
  <c r="K599" i="11" s="1"/>
  <c r="J1673" i="7"/>
  <c r="J957" i="11" s="1"/>
  <c r="K1673" i="7"/>
  <c r="K957" i="11" s="1"/>
  <c r="J1136" i="7"/>
  <c r="J420" i="11" s="1"/>
  <c r="K1136" i="7"/>
  <c r="K420" i="11" s="1"/>
  <c r="J1494" i="7"/>
  <c r="J778" i="11" s="1"/>
  <c r="K1494" i="7"/>
  <c r="K778" i="11" s="1"/>
  <c r="J420" i="7"/>
  <c r="J420" i="10" s="1"/>
  <c r="K420" i="7"/>
  <c r="K420" i="10" s="1"/>
  <c r="J599" i="7"/>
  <c r="J599" i="10" s="1"/>
  <c r="K599" i="7"/>
  <c r="K599" i="10" s="1"/>
  <c r="I420" i="10"/>
  <c r="E421" i="11"/>
  <c r="E779" i="11"/>
  <c r="E600" i="11"/>
  <c r="I599" i="10"/>
  <c r="I62" i="10"/>
  <c r="E63" i="11"/>
  <c r="I241" i="10"/>
  <c r="H2212" i="7" l="1"/>
  <c r="E2213" i="7" s="1"/>
  <c r="E958" i="10"/>
  <c r="I781" i="10"/>
  <c r="L2035" i="7"/>
  <c r="L781" i="10" s="1"/>
  <c r="P781" i="10" s="1"/>
  <c r="J2035" i="7"/>
  <c r="J781" i="10" s="1"/>
  <c r="K2035" i="7"/>
  <c r="K781" i="10" s="1"/>
  <c r="H1913" i="7"/>
  <c r="E1914" i="7" s="1"/>
  <c r="J1912" i="7"/>
  <c r="L1912" i="7" s="1"/>
  <c r="K1912" i="7"/>
  <c r="L957" i="7"/>
  <c r="L241" i="11" s="1"/>
  <c r="P241" i="11" s="1"/>
  <c r="L241" i="7"/>
  <c r="L241" i="10" s="1"/>
  <c r="P241" i="10" s="1"/>
  <c r="L62" i="7"/>
  <c r="L62" i="10" s="1"/>
  <c r="P62" i="10" s="1"/>
  <c r="L1494" i="7"/>
  <c r="L778" i="11" s="1"/>
  <c r="P778" i="11" s="1"/>
  <c r="L599" i="7"/>
  <c r="L599" i="10" s="1"/>
  <c r="P599" i="10" s="1"/>
  <c r="H958" i="7"/>
  <c r="E959" i="7" s="1"/>
  <c r="H600" i="7"/>
  <c r="E601" i="7" s="1"/>
  <c r="E600" i="10"/>
  <c r="H242" i="7"/>
  <c r="E243" i="7" s="1"/>
  <c r="E242" i="10"/>
  <c r="H1137" i="7"/>
  <c r="E1138" i="7" s="1"/>
  <c r="H1316" i="7"/>
  <c r="E1317" i="7" s="1"/>
  <c r="L1136" i="7"/>
  <c r="L420" i="11" s="1"/>
  <c r="P420" i="11" s="1"/>
  <c r="L778" i="7"/>
  <c r="L62" i="11" s="1"/>
  <c r="P62" i="11" s="1"/>
  <c r="H779" i="7"/>
  <c r="E780" i="7" s="1"/>
  <c r="L1315" i="7"/>
  <c r="L599" i="11" s="1"/>
  <c r="P599" i="11" s="1"/>
  <c r="H421" i="7"/>
  <c r="E422" i="7" s="1"/>
  <c r="E421" i="10"/>
  <c r="H1674" i="7"/>
  <c r="E1675" i="7" s="1"/>
  <c r="H63" i="7"/>
  <c r="E64" i="7" s="1"/>
  <c r="E63" i="10"/>
  <c r="L1673" i="7"/>
  <c r="L957" i="11" s="1"/>
  <c r="P957" i="11" s="1"/>
  <c r="H1495" i="7"/>
  <c r="E1496" i="7" s="1"/>
  <c r="L420" i="7"/>
  <c r="L420" i="10" s="1"/>
  <c r="P420" i="10" s="1"/>
  <c r="I63" i="11" l="1"/>
  <c r="E64" i="11"/>
  <c r="I600" i="11"/>
  <c r="I421" i="11"/>
  <c r="I779" i="11"/>
  <c r="E780" i="11"/>
  <c r="I958" i="11"/>
  <c r="I242" i="11"/>
  <c r="E243" i="11"/>
  <c r="H2036" i="7"/>
  <c r="E2037" i="7" s="1"/>
  <c r="E782" i="10"/>
  <c r="I958" i="10"/>
  <c r="J2212" i="7"/>
  <c r="J958" i="10" s="1"/>
  <c r="L2212" i="7"/>
  <c r="L958" i="10" s="1"/>
  <c r="P958" i="10" s="1"/>
  <c r="K2212" i="7"/>
  <c r="K958" i="10" s="1"/>
  <c r="J1913" i="7"/>
  <c r="L1913" i="7" s="1"/>
  <c r="K1913" i="7"/>
  <c r="H1914" i="7"/>
  <c r="E1915" i="7" s="1"/>
  <c r="J1137" i="7"/>
  <c r="J421" i="11" s="1"/>
  <c r="K1137" i="7"/>
  <c r="K421" i="11" s="1"/>
  <c r="J421" i="7"/>
  <c r="J421" i="10" s="1"/>
  <c r="K421" i="7"/>
  <c r="K421" i="10" s="1"/>
  <c r="J779" i="7"/>
  <c r="J63" i="11" s="1"/>
  <c r="K779" i="7"/>
  <c r="K63" i="11" s="1"/>
  <c r="J958" i="7"/>
  <c r="J242" i="11" s="1"/>
  <c r="K958" i="7"/>
  <c r="K242" i="11" s="1"/>
  <c r="J1495" i="7"/>
  <c r="J779" i="11" s="1"/>
  <c r="K1495" i="7"/>
  <c r="K779" i="11" s="1"/>
  <c r="J242" i="7"/>
  <c r="J242" i="10" s="1"/>
  <c r="K242" i="7"/>
  <c r="K242" i="10" s="1"/>
  <c r="J1316" i="7"/>
  <c r="J600" i="11" s="1"/>
  <c r="K1316" i="7"/>
  <c r="K600" i="11" s="1"/>
  <c r="J1674" i="7"/>
  <c r="J958" i="11" s="1"/>
  <c r="K1674" i="7"/>
  <c r="K958" i="11" s="1"/>
  <c r="J600" i="7"/>
  <c r="J600" i="10" s="1"/>
  <c r="K600" i="7"/>
  <c r="K600" i="10" s="1"/>
  <c r="J63" i="7"/>
  <c r="J63" i="10" s="1"/>
  <c r="K63" i="7"/>
  <c r="K63" i="10" s="1"/>
  <c r="E422" i="11"/>
  <c r="E601" i="11"/>
  <c r="I242" i="10"/>
  <c r="I600" i="10"/>
  <c r="I63" i="10"/>
  <c r="E959" i="11"/>
  <c r="I421" i="10"/>
  <c r="H2213" i="7" l="1"/>
  <c r="E2214" i="7" s="1"/>
  <c r="E959" i="10"/>
  <c r="I782" i="10"/>
  <c r="J2036" i="7"/>
  <c r="J782" i="10" s="1"/>
  <c r="L2036" i="7"/>
  <c r="L782" i="10" s="1"/>
  <c r="P782" i="10" s="1"/>
  <c r="K2036" i="7"/>
  <c r="K782" i="10" s="1"/>
  <c r="J1914" i="7"/>
  <c r="L1914" i="7" s="1"/>
  <c r="H1915" i="7"/>
  <c r="E1916" i="7" s="1"/>
  <c r="K1914" i="7"/>
  <c r="L958" i="7"/>
  <c r="L242" i="11" s="1"/>
  <c r="P242" i="11" s="1"/>
  <c r="L63" i="7"/>
  <c r="L63" i="10" s="1"/>
  <c r="P63" i="10" s="1"/>
  <c r="L242" i="7"/>
  <c r="L242" i="10" s="1"/>
  <c r="P242" i="10" s="1"/>
  <c r="L1316" i="7"/>
  <c r="L600" i="11" s="1"/>
  <c r="P600" i="11" s="1"/>
  <c r="L600" i="7"/>
  <c r="L600" i="10" s="1"/>
  <c r="P600" i="10" s="1"/>
  <c r="H601" i="7"/>
  <c r="E602" i="7" s="1"/>
  <c r="E601" i="10"/>
  <c r="H1138" i="7"/>
  <c r="E1139" i="7" s="1"/>
  <c r="H959" i="7"/>
  <c r="E960" i="7" s="1"/>
  <c r="L1674" i="7"/>
  <c r="L958" i="11" s="1"/>
  <c r="P958" i="11" s="1"/>
  <c r="H780" i="7"/>
  <c r="E781" i="7" s="1"/>
  <c r="H243" i="7"/>
  <c r="E244" i="7" s="1"/>
  <c r="E243" i="10"/>
  <c r="L1137" i="7"/>
  <c r="L421" i="11" s="1"/>
  <c r="P421" i="11" s="1"/>
  <c r="H1496" i="7"/>
  <c r="E1497" i="7" s="1"/>
  <c r="H1675" i="7"/>
  <c r="E1676" i="7" s="1"/>
  <c r="L779" i="7"/>
  <c r="L63" i="11" s="1"/>
  <c r="P63" i="11" s="1"/>
  <c r="H64" i="7"/>
  <c r="E65" i="7" s="1"/>
  <c r="E64" i="10"/>
  <c r="H1317" i="7"/>
  <c r="E1318" i="7" s="1"/>
  <c r="H422" i="7"/>
  <c r="E423" i="7" s="1"/>
  <c r="E422" i="10"/>
  <c r="L1495" i="7"/>
  <c r="L779" i="11" s="1"/>
  <c r="P779" i="11" s="1"/>
  <c r="L421" i="7"/>
  <c r="L421" i="10" s="1"/>
  <c r="P421" i="10" s="1"/>
  <c r="I780" i="11" l="1"/>
  <c r="I243" i="11"/>
  <c r="E244" i="11"/>
  <c r="I64" i="11"/>
  <c r="I601" i="11"/>
  <c r="E602" i="11"/>
  <c r="I422" i="11"/>
  <c r="E423" i="11"/>
  <c r="I959" i="11"/>
  <c r="E960" i="11"/>
  <c r="H2037" i="7"/>
  <c r="E2038" i="7" s="1"/>
  <c r="E783" i="10"/>
  <c r="I959" i="10"/>
  <c r="J2213" i="7"/>
  <c r="J959" i="10" s="1"/>
  <c r="K2213" i="7"/>
  <c r="K959" i="10" s="1"/>
  <c r="L2213" i="7"/>
  <c r="L959" i="10" s="1"/>
  <c r="P959" i="10" s="1"/>
  <c r="J1915" i="7"/>
  <c r="L1915" i="7" s="1"/>
  <c r="H1916" i="7"/>
  <c r="E1917" i="7" s="1"/>
  <c r="K1915" i="7"/>
  <c r="J959" i="7"/>
  <c r="J243" i="11" s="1"/>
  <c r="K959" i="7"/>
  <c r="K243" i="11" s="1"/>
  <c r="J1138" i="7"/>
  <c r="J422" i="11" s="1"/>
  <c r="K1138" i="7"/>
  <c r="K422" i="11" s="1"/>
  <c r="J1496" i="7"/>
  <c r="J780" i="11" s="1"/>
  <c r="K1496" i="7"/>
  <c r="K780" i="11" s="1"/>
  <c r="J422" i="7"/>
  <c r="J422" i="10" s="1"/>
  <c r="K422" i="7"/>
  <c r="K422" i="10" s="1"/>
  <c r="J1675" i="7"/>
  <c r="J959" i="11" s="1"/>
  <c r="K1675" i="7"/>
  <c r="K959" i="11" s="1"/>
  <c r="J64" i="7"/>
  <c r="J64" i="10" s="1"/>
  <c r="K64" i="7"/>
  <c r="K64" i="10" s="1"/>
  <c r="J601" i="7"/>
  <c r="J601" i="10" s="1"/>
  <c r="K601" i="7"/>
  <c r="K601" i="10" s="1"/>
  <c r="J243" i="7"/>
  <c r="J243" i="10" s="1"/>
  <c r="K243" i="7"/>
  <c r="K243" i="10" s="1"/>
  <c r="J1317" i="7"/>
  <c r="J601" i="11" s="1"/>
  <c r="K1317" i="7"/>
  <c r="K601" i="11" s="1"/>
  <c r="J780" i="7"/>
  <c r="J64" i="11" s="1"/>
  <c r="K780" i="7"/>
  <c r="K64" i="11" s="1"/>
  <c r="I422" i="10"/>
  <c r="I243" i="10"/>
  <c r="E65" i="11"/>
  <c r="I64" i="10"/>
  <c r="E781" i="11"/>
  <c r="I601" i="10"/>
  <c r="H2214" i="7" l="1"/>
  <c r="E2215" i="7" s="1"/>
  <c r="E960" i="10"/>
  <c r="I783" i="10"/>
  <c r="J2037" i="7"/>
  <c r="J783" i="10" s="1"/>
  <c r="L2037" i="7"/>
  <c r="L783" i="10" s="1"/>
  <c r="P783" i="10" s="1"/>
  <c r="K2037" i="7"/>
  <c r="K783" i="10" s="1"/>
  <c r="J1916" i="7"/>
  <c r="L1916" i="7" s="1"/>
  <c r="K1916" i="7"/>
  <c r="H1917" i="7"/>
  <c r="E1918" i="7" s="1"/>
  <c r="L959" i="7"/>
  <c r="L243" i="11" s="1"/>
  <c r="P243" i="11" s="1"/>
  <c r="L243" i="7"/>
  <c r="L243" i="10" s="1"/>
  <c r="P243" i="10" s="1"/>
  <c r="L64" i="7"/>
  <c r="L64" i="10" s="1"/>
  <c r="P64" i="10" s="1"/>
  <c r="L1138" i="7"/>
  <c r="L422" i="11" s="1"/>
  <c r="P422" i="11" s="1"/>
  <c r="L780" i="7"/>
  <c r="L64" i="11" s="1"/>
  <c r="P64" i="11" s="1"/>
  <c r="L601" i="7"/>
  <c r="L601" i="10" s="1"/>
  <c r="P601" i="10" s="1"/>
  <c r="H1318" i="7"/>
  <c r="E1319" i="7" s="1"/>
  <c r="H1139" i="7"/>
  <c r="E1140" i="7" s="1"/>
  <c r="L1317" i="7"/>
  <c r="L601" i="11" s="1"/>
  <c r="P601" i="11" s="1"/>
  <c r="H244" i="7"/>
  <c r="E245" i="7" s="1"/>
  <c r="E244" i="10"/>
  <c r="H960" i="7"/>
  <c r="E961" i="7" s="1"/>
  <c r="H423" i="7"/>
  <c r="E424" i="7" s="1"/>
  <c r="E423" i="10"/>
  <c r="L1496" i="7"/>
  <c r="L780" i="11" s="1"/>
  <c r="P780" i="11" s="1"/>
  <c r="H1497" i="7"/>
  <c r="E1498" i="7" s="1"/>
  <c r="H65" i="7"/>
  <c r="E66" i="7" s="1"/>
  <c r="E65" i="10"/>
  <c r="H1676" i="7"/>
  <c r="E1677" i="7" s="1"/>
  <c r="H602" i="7"/>
  <c r="E603" i="7" s="1"/>
  <c r="E602" i="10"/>
  <c r="L422" i="7"/>
  <c r="L422" i="10" s="1"/>
  <c r="P422" i="10" s="1"/>
  <c r="H781" i="7"/>
  <c r="E782" i="7" s="1"/>
  <c r="L1675" i="7"/>
  <c r="L959" i="11" s="1"/>
  <c r="P959" i="11" s="1"/>
  <c r="I960" i="11" l="1"/>
  <c r="E961" i="11"/>
  <c r="I244" i="11"/>
  <c r="E245" i="11"/>
  <c r="I65" i="11"/>
  <c r="I602" i="11"/>
  <c r="E603" i="11"/>
  <c r="I423" i="11"/>
  <c r="E424" i="11"/>
  <c r="I781" i="11"/>
  <c r="E782" i="11"/>
  <c r="H2038" i="7"/>
  <c r="E2039" i="7" s="1"/>
  <c r="E784" i="10"/>
  <c r="I960" i="10"/>
  <c r="K2214" i="7"/>
  <c r="K960" i="10" s="1"/>
  <c r="J2214" i="7"/>
  <c r="J960" i="10" s="1"/>
  <c r="L2214" i="7"/>
  <c r="L960" i="10" s="1"/>
  <c r="P960" i="10" s="1"/>
  <c r="K1917" i="7"/>
  <c r="H1918" i="7"/>
  <c r="E1919" i="7" s="1"/>
  <c r="J1917" i="7"/>
  <c r="L1917" i="7" s="1"/>
  <c r="J1676" i="7"/>
  <c r="J960" i="11" s="1"/>
  <c r="K1676" i="7"/>
  <c r="K960" i="11" s="1"/>
  <c r="J1139" i="7"/>
  <c r="J423" i="11" s="1"/>
  <c r="K1139" i="7"/>
  <c r="K423" i="11" s="1"/>
  <c r="J65" i="7"/>
  <c r="J65" i="10" s="1"/>
  <c r="K65" i="7"/>
  <c r="K65" i="10" s="1"/>
  <c r="J1497" i="7"/>
  <c r="J781" i="11" s="1"/>
  <c r="K1497" i="7"/>
  <c r="K781" i="11" s="1"/>
  <c r="J1318" i="7"/>
  <c r="J602" i="11" s="1"/>
  <c r="K1318" i="7"/>
  <c r="K602" i="11" s="1"/>
  <c r="J423" i="7"/>
  <c r="J423" i="10" s="1"/>
  <c r="K423" i="7"/>
  <c r="K423" i="10" s="1"/>
  <c r="J960" i="7"/>
  <c r="J244" i="11" s="1"/>
  <c r="K960" i="7"/>
  <c r="K244" i="11" s="1"/>
  <c r="J244" i="7"/>
  <c r="J244" i="10" s="1"/>
  <c r="K244" i="7"/>
  <c r="K244" i="10" s="1"/>
  <c r="J781" i="7"/>
  <c r="J65" i="11" s="1"/>
  <c r="K781" i="7"/>
  <c r="K65" i="11" s="1"/>
  <c r="J602" i="7"/>
  <c r="J602" i="10" s="1"/>
  <c r="K602" i="7"/>
  <c r="K602" i="10" s="1"/>
  <c r="I423" i="10"/>
  <c r="I244" i="10"/>
  <c r="E66" i="11"/>
  <c r="I602" i="10"/>
  <c r="I65" i="10"/>
  <c r="H2215" i="7" l="1"/>
  <c r="E2216" i="7" s="1"/>
  <c r="E961" i="10"/>
  <c r="I784" i="10"/>
  <c r="J2038" i="7"/>
  <c r="J784" i="10" s="1"/>
  <c r="K2038" i="7"/>
  <c r="K784" i="10" s="1"/>
  <c r="L2038" i="7"/>
  <c r="L784" i="10" s="1"/>
  <c r="P784" i="10" s="1"/>
  <c r="J1918" i="7"/>
  <c r="L1918" i="7" s="1"/>
  <c r="K1918" i="7"/>
  <c r="H1919" i="7"/>
  <c r="E1920" i="7" s="1"/>
  <c r="L960" i="7"/>
  <c r="L244" i="11" s="1"/>
  <c r="P244" i="11" s="1"/>
  <c r="L244" i="7"/>
  <c r="L244" i="10" s="1"/>
  <c r="P244" i="10" s="1"/>
  <c r="L65" i="7"/>
  <c r="L65" i="10" s="1"/>
  <c r="P65" i="10" s="1"/>
  <c r="L1318" i="7"/>
  <c r="L602" i="11" s="1"/>
  <c r="P602" i="11" s="1"/>
  <c r="H603" i="7"/>
  <c r="E604" i="7" s="1"/>
  <c r="E603" i="10"/>
  <c r="H1140" i="7"/>
  <c r="E1141" i="7" s="1"/>
  <c r="L1139" i="7"/>
  <c r="L423" i="11" s="1"/>
  <c r="P423" i="11" s="1"/>
  <c r="H961" i="7"/>
  <c r="E962" i="7" s="1"/>
  <c r="H1677" i="7"/>
  <c r="E1678" i="7" s="1"/>
  <c r="H782" i="7"/>
  <c r="E783" i="7" s="1"/>
  <c r="L1676" i="7"/>
  <c r="L960" i="11" s="1"/>
  <c r="P960" i="11" s="1"/>
  <c r="H424" i="7"/>
  <c r="E425" i="7" s="1"/>
  <c r="E424" i="10"/>
  <c r="L1497" i="7"/>
  <c r="L781" i="11" s="1"/>
  <c r="P781" i="11" s="1"/>
  <c r="L781" i="7"/>
  <c r="L65" i="11" s="1"/>
  <c r="P65" i="11" s="1"/>
  <c r="H66" i="7"/>
  <c r="E67" i="7" s="1"/>
  <c r="E66" i="10"/>
  <c r="H245" i="7"/>
  <c r="E246" i="7" s="1"/>
  <c r="E245" i="10"/>
  <c r="L423" i="7"/>
  <c r="L423" i="10" s="1"/>
  <c r="P423" i="10" s="1"/>
  <c r="H1498" i="7"/>
  <c r="E1499" i="7" s="1"/>
  <c r="L602" i="7"/>
  <c r="L602" i="10" s="1"/>
  <c r="P602" i="10" s="1"/>
  <c r="H1319" i="7"/>
  <c r="E1320" i="7" s="1"/>
  <c r="I603" i="11" l="1"/>
  <c r="I66" i="11"/>
  <c r="I782" i="11"/>
  <c r="I961" i="11"/>
  <c r="E962" i="11"/>
  <c r="I245" i="11"/>
  <c r="E246" i="11"/>
  <c r="I424" i="11"/>
  <c r="E425" i="11"/>
  <c r="H2039" i="7"/>
  <c r="E2040" i="7" s="1"/>
  <c r="E785" i="10"/>
  <c r="I961" i="10"/>
  <c r="K2215" i="7"/>
  <c r="K961" i="10" s="1"/>
  <c r="L2215" i="7"/>
  <c r="L961" i="10" s="1"/>
  <c r="P961" i="10" s="1"/>
  <c r="J2215" i="7"/>
  <c r="J961" i="10" s="1"/>
  <c r="J1919" i="7"/>
  <c r="L1919" i="7" s="1"/>
  <c r="H1920" i="7"/>
  <c r="E1921" i="7" s="1"/>
  <c r="K1919" i="7"/>
  <c r="J603" i="7"/>
  <c r="J603" i="10" s="1"/>
  <c r="K603" i="7"/>
  <c r="K603" i="10" s="1"/>
  <c r="J1677" i="7"/>
  <c r="J961" i="11" s="1"/>
  <c r="K1677" i="7"/>
  <c r="K961" i="11" s="1"/>
  <c r="J961" i="7"/>
  <c r="J245" i="11" s="1"/>
  <c r="K961" i="7"/>
  <c r="K245" i="11" s="1"/>
  <c r="J66" i="7"/>
  <c r="J66" i="10" s="1"/>
  <c r="K66" i="7"/>
  <c r="K66" i="10" s="1"/>
  <c r="J1498" i="7"/>
  <c r="J782" i="11" s="1"/>
  <c r="K1498" i="7"/>
  <c r="K782" i="11" s="1"/>
  <c r="J245" i="7"/>
  <c r="J245" i="10" s="1"/>
  <c r="K245" i="7"/>
  <c r="K245" i="10" s="1"/>
  <c r="J1140" i="7"/>
  <c r="J424" i="11" s="1"/>
  <c r="K1140" i="7"/>
  <c r="K424" i="11" s="1"/>
  <c r="J1319" i="7"/>
  <c r="J603" i="11" s="1"/>
  <c r="K1319" i="7"/>
  <c r="K603" i="11" s="1"/>
  <c r="J424" i="7"/>
  <c r="J424" i="10" s="1"/>
  <c r="K424" i="7"/>
  <c r="K424" i="10" s="1"/>
  <c r="J782" i="7"/>
  <c r="J66" i="11" s="1"/>
  <c r="K782" i="7"/>
  <c r="K66" i="11" s="1"/>
  <c r="E783" i="11"/>
  <c r="E67" i="11"/>
  <c r="I245" i="10"/>
  <c r="I66" i="10"/>
  <c r="E604" i="11"/>
  <c r="I424" i="10"/>
  <c r="I603" i="10"/>
  <c r="H2216" i="7" l="1"/>
  <c r="E2217" i="7" s="1"/>
  <c r="E962" i="10"/>
  <c r="I785" i="10"/>
  <c r="L2039" i="7"/>
  <c r="L785" i="10" s="1"/>
  <c r="P785" i="10" s="1"/>
  <c r="J2039" i="7"/>
  <c r="J785" i="10" s="1"/>
  <c r="K2039" i="7"/>
  <c r="K785" i="10" s="1"/>
  <c r="H1921" i="7"/>
  <c r="E1922" i="7" s="1"/>
  <c r="J1920" i="7"/>
  <c r="L1920" i="7" s="1"/>
  <c r="K1920" i="7"/>
  <c r="L961" i="7"/>
  <c r="L245" i="11" s="1"/>
  <c r="P245" i="11" s="1"/>
  <c r="L66" i="7"/>
  <c r="L66" i="10" s="1"/>
  <c r="P66" i="10" s="1"/>
  <c r="L245" i="7"/>
  <c r="L245" i="10" s="1"/>
  <c r="P245" i="10" s="1"/>
  <c r="L1140" i="7"/>
  <c r="L424" i="11" s="1"/>
  <c r="P424" i="11" s="1"/>
  <c r="L1677" i="7"/>
  <c r="L961" i="11" s="1"/>
  <c r="P961" i="11" s="1"/>
  <c r="L603" i="7"/>
  <c r="L603" i="10" s="1"/>
  <c r="P603" i="10" s="1"/>
  <c r="H1141" i="7"/>
  <c r="E1142" i="7" s="1"/>
  <c r="H783" i="7"/>
  <c r="E784" i="7" s="1"/>
  <c r="H1678" i="7"/>
  <c r="E1679" i="7" s="1"/>
  <c r="H246" i="7"/>
  <c r="E247" i="7" s="1"/>
  <c r="E246" i="10"/>
  <c r="L782" i="7"/>
  <c r="L66" i="11" s="1"/>
  <c r="P66" i="11" s="1"/>
  <c r="H1320" i="7"/>
  <c r="E1321" i="7" s="1"/>
  <c r="H604" i="7"/>
  <c r="E605" i="7" s="1"/>
  <c r="E604" i="10"/>
  <c r="H1499" i="7"/>
  <c r="E1500" i="7" s="1"/>
  <c r="L1319" i="7"/>
  <c r="L603" i="11" s="1"/>
  <c r="P603" i="11" s="1"/>
  <c r="H67" i="7"/>
  <c r="E68" i="7" s="1"/>
  <c r="E67" i="10"/>
  <c r="L1498" i="7"/>
  <c r="L782" i="11" s="1"/>
  <c r="P782" i="11" s="1"/>
  <c r="H425" i="7"/>
  <c r="E426" i="7" s="1"/>
  <c r="E425" i="10"/>
  <c r="H962" i="7"/>
  <c r="E963" i="7" s="1"/>
  <c r="L424" i="7"/>
  <c r="L424" i="10" s="1"/>
  <c r="P424" i="10" s="1"/>
  <c r="I604" i="11" l="1"/>
  <c r="I246" i="11"/>
  <c r="E247" i="11"/>
  <c r="I425" i="11"/>
  <c r="I962" i="11"/>
  <c r="I783" i="11"/>
  <c r="E784" i="11"/>
  <c r="I67" i="11"/>
  <c r="E68" i="11"/>
  <c r="H2040" i="7"/>
  <c r="E2041" i="7" s="1"/>
  <c r="E786" i="10"/>
  <c r="I962" i="10"/>
  <c r="K2216" i="7"/>
  <c r="K962" i="10" s="1"/>
  <c r="L2216" i="7"/>
  <c r="L962" i="10" s="1"/>
  <c r="P962" i="10" s="1"/>
  <c r="J2216" i="7"/>
  <c r="J962" i="10" s="1"/>
  <c r="J1921" i="7"/>
  <c r="L1921" i="7" s="1"/>
  <c r="H1922" i="7"/>
  <c r="E1923" i="7" s="1"/>
  <c r="K1921" i="7"/>
  <c r="J67" i="7"/>
  <c r="J67" i="10" s="1"/>
  <c r="K67" i="7"/>
  <c r="K67" i="10" s="1"/>
  <c r="J783" i="7"/>
  <c r="J67" i="11" s="1"/>
  <c r="K783" i="7"/>
  <c r="K67" i="11" s="1"/>
  <c r="J1141" i="7"/>
  <c r="J425" i="11" s="1"/>
  <c r="K1141" i="7"/>
  <c r="K425" i="11" s="1"/>
  <c r="J604" i="7"/>
  <c r="J604" i="10" s="1"/>
  <c r="K604" i="7"/>
  <c r="K604" i="10" s="1"/>
  <c r="J1499" i="7"/>
  <c r="J783" i="11" s="1"/>
  <c r="K1499" i="7"/>
  <c r="K783" i="11" s="1"/>
  <c r="J962" i="7"/>
  <c r="J246" i="11" s="1"/>
  <c r="K962" i="7"/>
  <c r="K246" i="11" s="1"/>
  <c r="J1320" i="7"/>
  <c r="J604" i="11" s="1"/>
  <c r="K1320" i="7"/>
  <c r="K604" i="11" s="1"/>
  <c r="J425" i="7"/>
  <c r="J425" i="10" s="1"/>
  <c r="K425" i="7"/>
  <c r="K425" i="10" s="1"/>
  <c r="J1678" i="7"/>
  <c r="J962" i="11" s="1"/>
  <c r="K1678" i="7"/>
  <c r="K962" i="11" s="1"/>
  <c r="J246" i="7"/>
  <c r="J246" i="10" s="1"/>
  <c r="K246" i="7"/>
  <c r="K246" i="10" s="1"/>
  <c r="I604" i="10"/>
  <c r="E605" i="11"/>
  <c r="I425" i="10"/>
  <c r="E963" i="11"/>
  <c r="I67" i="10"/>
  <c r="I246" i="10"/>
  <c r="E426" i="11"/>
  <c r="H2217" i="7" l="1"/>
  <c r="E2218" i="7" s="1"/>
  <c r="E963" i="10"/>
  <c r="I786" i="10"/>
  <c r="K2040" i="7"/>
  <c r="K786" i="10" s="1"/>
  <c r="J2040" i="7"/>
  <c r="J786" i="10" s="1"/>
  <c r="L2040" i="7"/>
  <c r="L786" i="10" s="1"/>
  <c r="P786" i="10" s="1"/>
  <c r="H1923" i="7"/>
  <c r="E1924" i="7" s="1"/>
  <c r="K1922" i="7"/>
  <c r="J1922" i="7"/>
  <c r="L1922" i="7" s="1"/>
  <c r="L962" i="7"/>
  <c r="L246" i="11" s="1"/>
  <c r="P246" i="11" s="1"/>
  <c r="L246" i="7"/>
  <c r="L246" i="10" s="1"/>
  <c r="P246" i="10" s="1"/>
  <c r="L67" i="7"/>
  <c r="L67" i="10" s="1"/>
  <c r="P67" i="10" s="1"/>
  <c r="L425" i="7"/>
  <c r="L425" i="10" s="1"/>
  <c r="P425" i="10" s="1"/>
  <c r="L1320" i="7"/>
  <c r="L604" i="11" s="1"/>
  <c r="P604" i="11" s="1"/>
  <c r="L1141" i="7"/>
  <c r="L425" i="11" s="1"/>
  <c r="P425" i="11" s="1"/>
  <c r="L1678" i="7"/>
  <c r="L962" i="11" s="1"/>
  <c r="P962" i="11" s="1"/>
  <c r="H1142" i="7"/>
  <c r="E1143" i="7" s="1"/>
  <c r="H1321" i="7"/>
  <c r="E1322" i="7" s="1"/>
  <c r="H247" i="7"/>
  <c r="E248" i="7" s="1"/>
  <c r="E247" i="10"/>
  <c r="H1679" i="7"/>
  <c r="E1680" i="7" s="1"/>
  <c r="H1500" i="7"/>
  <c r="E1501" i="7" s="1"/>
  <c r="H784" i="7"/>
  <c r="E785" i="7" s="1"/>
  <c r="H605" i="7"/>
  <c r="E606" i="7" s="1"/>
  <c r="E605" i="10"/>
  <c r="L1499" i="7"/>
  <c r="L783" i="11" s="1"/>
  <c r="P783" i="11" s="1"/>
  <c r="H963" i="7"/>
  <c r="E964" i="7" s="1"/>
  <c r="L783" i="7"/>
  <c r="L67" i="11" s="1"/>
  <c r="P67" i="11" s="1"/>
  <c r="H68" i="7"/>
  <c r="E69" i="7" s="1"/>
  <c r="E68" i="10"/>
  <c r="H426" i="7"/>
  <c r="E427" i="7" s="1"/>
  <c r="E426" i="10"/>
  <c r="L604" i="7"/>
  <c r="L604" i="10" s="1"/>
  <c r="P604" i="10" s="1"/>
  <c r="I68" i="11" l="1"/>
  <c r="I784" i="11"/>
  <c r="I963" i="11"/>
  <c r="I605" i="11"/>
  <c r="E606" i="11"/>
  <c r="I426" i="11"/>
  <c r="E427" i="11"/>
  <c r="I247" i="11"/>
  <c r="H2041" i="7"/>
  <c r="E2042" i="7" s="1"/>
  <c r="E787" i="10"/>
  <c r="I963" i="10"/>
  <c r="L2217" i="7"/>
  <c r="L963" i="10" s="1"/>
  <c r="P963" i="10" s="1"/>
  <c r="K2217" i="7"/>
  <c r="K963" i="10" s="1"/>
  <c r="J2217" i="7"/>
  <c r="J963" i="10" s="1"/>
  <c r="H1924" i="7"/>
  <c r="E1925" i="7" s="1"/>
  <c r="K1923" i="7"/>
  <c r="J1923" i="7"/>
  <c r="L1923" i="7" s="1"/>
  <c r="J963" i="7"/>
  <c r="J247" i="11" s="1"/>
  <c r="K963" i="7"/>
  <c r="K247" i="11" s="1"/>
  <c r="J247" i="7"/>
  <c r="J247" i="10" s="1"/>
  <c r="K247" i="7"/>
  <c r="K247" i="10" s="1"/>
  <c r="J1142" i="7"/>
  <c r="J426" i="11" s="1"/>
  <c r="K1142" i="7"/>
  <c r="K426" i="11" s="1"/>
  <c r="J1500" i="7"/>
  <c r="J784" i="11" s="1"/>
  <c r="K1500" i="7"/>
  <c r="K784" i="11" s="1"/>
  <c r="J784" i="7"/>
  <c r="J68" i="11" s="1"/>
  <c r="K784" i="7"/>
  <c r="K68" i="11" s="1"/>
  <c r="J68" i="7"/>
  <c r="J68" i="10" s="1"/>
  <c r="K68" i="7"/>
  <c r="K68" i="10" s="1"/>
  <c r="J1679" i="7"/>
  <c r="J963" i="11" s="1"/>
  <c r="K1679" i="7"/>
  <c r="K963" i="11" s="1"/>
  <c r="J1321" i="7"/>
  <c r="J605" i="11" s="1"/>
  <c r="K1321" i="7"/>
  <c r="K605" i="11" s="1"/>
  <c r="J605" i="7"/>
  <c r="J605" i="10" s="1"/>
  <c r="K605" i="7"/>
  <c r="K605" i="10" s="1"/>
  <c r="J426" i="7"/>
  <c r="J426" i="10" s="1"/>
  <c r="K426" i="7"/>
  <c r="K426" i="10" s="1"/>
  <c r="E785" i="11"/>
  <c r="E964" i="11"/>
  <c r="E69" i="11"/>
  <c r="I426" i="10"/>
  <c r="I68" i="10"/>
  <c r="I247" i="10"/>
  <c r="E248" i="11"/>
  <c r="I605" i="10"/>
  <c r="H2218" i="7" l="1"/>
  <c r="E2219" i="7" s="1"/>
  <c r="E964" i="10"/>
  <c r="I787" i="10"/>
  <c r="J2041" i="7"/>
  <c r="J787" i="10" s="1"/>
  <c r="K2041" i="7"/>
  <c r="K787" i="10" s="1"/>
  <c r="L2041" i="7"/>
  <c r="L787" i="10" s="1"/>
  <c r="P787" i="10" s="1"/>
  <c r="J1924" i="7"/>
  <c r="L1924" i="7" s="1"/>
  <c r="H1925" i="7"/>
  <c r="E1926" i="7" s="1"/>
  <c r="K1924" i="7"/>
  <c r="L963" i="7"/>
  <c r="L247" i="11" s="1"/>
  <c r="P247" i="11" s="1"/>
  <c r="L247" i="7"/>
  <c r="L247" i="10" s="1"/>
  <c r="P247" i="10" s="1"/>
  <c r="L68" i="7"/>
  <c r="L68" i="10" s="1"/>
  <c r="P68" i="10" s="1"/>
  <c r="L784" i="7"/>
  <c r="L68" i="11" s="1"/>
  <c r="P68" i="11" s="1"/>
  <c r="H69" i="7"/>
  <c r="E70" i="7" s="1"/>
  <c r="E69" i="10"/>
  <c r="H964" i="7"/>
  <c r="E965" i="7" s="1"/>
  <c r="H1680" i="7"/>
  <c r="E1681" i="7" s="1"/>
  <c r="L1679" i="7"/>
  <c r="L963" i="11" s="1"/>
  <c r="P963" i="11" s="1"/>
  <c r="H427" i="7"/>
  <c r="E428" i="7" s="1"/>
  <c r="E427" i="10"/>
  <c r="H606" i="7"/>
  <c r="E607" i="7" s="1"/>
  <c r="E606" i="10"/>
  <c r="H248" i="7"/>
  <c r="E249" i="7" s="1"/>
  <c r="E248" i="10"/>
  <c r="H1501" i="7"/>
  <c r="E1502" i="7" s="1"/>
  <c r="L1142" i="7"/>
  <c r="L426" i="11" s="1"/>
  <c r="P426" i="11" s="1"/>
  <c r="L605" i="7"/>
  <c r="L605" i="10" s="1"/>
  <c r="P605" i="10" s="1"/>
  <c r="L426" i="7"/>
  <c r="L426" i="10" s="1"/>
  <c r="P426" i="10" s="1"/>
  <c r="H1322" i="7"/>
  <c r="E1323" i="7" s="1"/>
  <c r="L1500" i="7"/>
  <c r="L784" i="11" s="1"/>
  <c r="P784" i="11" s="1"/>
  <c r="H1143" i="7"/>
  <c r="E1144" i="7" s="1"/>
  <c r="L1321" i="7"/>
  <c r="L605" i="11" s="1"/>
  <c r="P605" i="11" s="1"/>
  <c r="H785" i="7"/>
  <c r="E786" i="7" s="1"/>
  <c r="I248" i="11" l="1"/>
  <c r="I69" i="11"/>
  <c r="E70" i="11"/>
  <c r="I427" i="11"/>
  <c r="I606" i="11"/>
  <c r="I964" i="11"/>
  <c r="E965" i="11"/>
  <c r="I785" i="11"/>
  <c r="E786" i="11"/>
  <c r="H2042" i="7"/>
  <c r="E2043" i="7" s="1"/>
  <c r="E788" i="10"/>
  <c r="I964" i="10"/>
  <c r="L2218" i="7"/>
  <c r="L964" i="10" s="1"/>
  <c r="P964" i="10" s="1"/>
  <c r="J2218" i="7"/>
  <c r="J964" i="10" s="1"/>
  <c r="K2218" i="7"/>
  <c r="K964" i="10" s="1"/>
  <c r="J1925" i="7"/>
  <c r="L1925" i="7" s="1"/>
  <c r="K1925" i="7"/>
  <c r="H1926" i="7"/>
  <c r="E1927" i="7" s="1"/>
  <c r="J1322" i="7"/>
  <c r="J606" i="11" s="1"/>
  <c r="K1322" i="7"/>
  <c r="K606" i="11" s="1"/>
  <c r="J1680" i="7"/>
  <c r="J964" i="11" s="1"/>
  <c r="K1680" i="7"/>
  <c r="K964" i="11" s="1"/>
  <c r="J1501" i="7"/>
  <c r="J785" i="11" s="1"/>
  <c r="K1501" i="7"/>
  <c r="K785" i="11" s="1"/>
  <c r="J69" i="7"/>
  <c r="J69" i="10" s="1"/>
  <c r="K69" i="7"/>
  <c r="K69" i="10" s="1"/>
  <c r="J248" i="7"/>
  <c r="J248" i="10" s="1"/>
  <c r="K248" i="7"/>
  <c r="K248" i="10" s="1"/>
  <c r="J1143" i="7"/>
  <c r="J427" i="11" s="1"/>
  <c r="K1143" i="7"/>
  <c r="K427" i="11" s="1"/>
  <c r="J606" i="7"/>
  <c r="J606" i="10" s="1"/>
  <c r="K606" i="7"/>
  <c r="K606" i="10" s="1"/>
  <c r="J427" i="7"/>
  <c r="J427" i="10" s="1"/>
  <c r="K427" i="7"/>
  <c r="K427" i="10" s="1"/>
  <c r="J964" i="7"/>
  <c r="J248" i="11" s="1"/>
  <c r="K964" i="7"/>
  <c r="K248" i="11" s="1"/>
  <c r="J785" i="7"/>
  <c r="J69" i="11" s="1"/>
  <c r="K785" i="7"/>
  <c r="K69" i="11" s="1"/>
  <c r="I248" i="10"/>
  <c r="I606" i="10"/>
  <c r="E428" i="11"/>
  <c r="I427" i="10"/>
  <c r="E607" i="11"/>
  <c r="E249" i="11"/>
  <c r="I69" i="10"/>
  <c r="H2219" i="7" l="1"/>
  <c r="E2220" i="7" s="1"/>
  <c r="E965" i="10"/>
  <c r="I788" i="10"/>
  <c r="J2042" i="7"/>
  <c r="J788" i="10" s="1"/>
  <c r="K2042" i="7"/>
  <c r="K788" i="10" s="1"/>
  <c r="L2042" i="7"/>
  <c r="L788" i="10" s="1"/>
  <c r="P788" i="10" s="1"/>
  <c r="K1926" i="7"/>
  <c r="J1926" i="7"/>
  <c r="L1926" i="7" s="1"/>
  <c r="H1927" i="7"/>
  <c r="E1928" i="7" s="1"/>
  <c r="L964" i="7"/>
  <c r="L248" i="11" s="1"/>
  <c r="P248" i="11" s="1"/>
  <c r="L1680" i="7"/>
  <c r="L964" i="11" s="1"/>
  <c r="P964" i="11" s="1"/>
  <c r="L69" i="7"/>
  <c r="L69" i="10" s="1"/>
  <c r="P69" i="10" s="1"/>
  <c r="L248" i="7"/>
  <c r="L248" i="10" s="1"/>
  <c r="P248" i="10" s="1"/>
  <c r="L606" i="7"/>
  <c r="L606" i="10" s="1"/>
  <c r="P606" i="10" s="1"/>
  <c r="L427" i="7"/>
  <c r="L427" i="10" s="1"/>
  <c r="P427" i="10" s="1"/>
  <c r="H70" i="7"/>
  <c r="E71" i="7" s="1"/>
  <c r="E70" i="10"/>
  <c r="H428" i="7"/>
  <c r="E429" i="7" s="1"/>
  <c r="E428" i="10"/>
  <c r="H607" i="7"/>
  <c r="E608" i="7" s="1"/>
  <c r="E607" i="10"/>
  <c r="H965" i="7"/>
  <c r="E966" i="7" s="1"/>
  <c r="H1323" i="7"/>
  <c r="E1324" i="7" s="1"/>
  <c r="L1143" i="7"/>
  <c r="L427" i="11" s="1"/>
  <c r="P427" i="11" s="1"/>
  <c r="H249" i="7"/>
  <c r="E250" i="7" s="1"/>
  <c r="E249" i="10"/>
  <c r="L785" i="7"/>
  <c r="L69" i="11" s="1"/>
  <c r="P69" i="11" s="1"/>
  <c r="H786" i="7"/>
  <c r="E787" i="7" s="1"/>
  <c r="H1144" i="7"/>
  <c r="E1145" i="7" s="1"/>
  <c r="H1502" i="7"/>
  <c r="E1503" i="7" s="1"/>
  <c r="L1322" i="7"/>
  <c r="L606" i="11" s="1"/>
  <c r="P606" i="11" s="1"/>
  <c r="L1501" i="7"/>
  <c r="L785" i="11" s="1"/>
  <c r="P785" i="11" s="1"/>
  <c r="H1681" i="7"/>
  <c r="E1682" i="7" s="1"/>
  <c r="I70" i="11" l="1"/>
  <c r="E71" i="11"/>
  <c r="I249" i="11"/>
  <c r="E250" i="11"/>
  <c r="I607" i="11"/>
  <c r="I965" i="11"/>
  <c r="E966" i="11"/>
  <c r="I786" i="11"/>
  <c r="E787" i="11"/>
  <c r="I428" i="11"/>
  <c r="E429" i="11"/>
  <c r="H2043" i="7"/>
  <c r="E2044" i="7" s="1"/>
  <c r="E789" i="10"/>
  <c r="I965" i="10"/>
  <c r="J2219" i="7"/>
  <c r="J965" i="10" s="1"/>
  <c r="K2219" i="7"/>
  <c r="K965" i="10" s="1"/>
  <c r="L2219" i="7"/>
  <c r="L965" i="10" s="1"/>
  <c r="P965" i="10" s="1"/>
  <c r="H1928" i="7"/>
  <c r="E1929" i="7" s="1"/>
  <c r="K1927" i="7"/>
  <c r="J1927" i="7"/>
  <c r="L1927" i="7" s="1"/>
  <c r="J1144" i="7"/>
  <c r="J428" i="11" s="1"/>
  <c r="K1144" i="7"/>
  <c r="K428" i="11" s="1"/>
  <c r="J607" i="7"/>
  <c r="J607" i="10" s="1"/>
  <c r="K607" i="7"/>
  <c r="K607" i="10" s="1"/>
  <c r="J786" i="7"/>
  <c r="J70" i="11" s="1"/>
  <c r="K786" i="7"/>
  <c r="K70" i="11" s="1"/>
  <c r="J428" i="7"/>
  <c r="J428" i="10" s="1"/>
  <c r="K428" i="7"/>
  <c r="K428" i="10" s="1"/>
  <c r="J70" i="7"/>
  <c r="J70" i="10" s="1"/>
  <c r="K70" i="7"/>
  <c r="K70" i="10" s="1"/>
  <c r="J249" i="7"/>
  <c r="J249" i="10" s="1"/>
  <c r="K249" i="7"/>
  <c r="K249" i="10" s="1"/>
  <c r="J1681" i="7"/>
  <c r="J965" i="11" s="1"/>
  <c r="K1681" i="7"/>
  <c r="K965" i="11" s="1"/>
  <c r="J1323" i="7"/>
  <c r="J607" i="11" s="1"/>
  <c r="K1323" i="7"/>
  <c r="K607" i="11" s="1"/>
  <c r="J1502" i="7"/>
  <c r="J786" i="11" s="1"/>
  <c r="K1502" i="7"/>
  <c r="K786" i="11" s="1"/>
  <c r="J965" i="7"/>
  <c r="J249" i="11" s="1"/>
  <c r="K965" i="7"/>
  <c r="K249" i="11" s="1"/>
  <c r="I249" i="10"/>
  <c r="I607" i="10"/>
  <c r="E608" i="11"/>
  <c r="I428" i="10"/>
  <c r="I70" i="10"/>
  <c r="H2220" i="7" l="1"/>
  <c r="E2221" i="7" s="1"/>
  <c r="E966" i="10"/>
  <c r="I789" i="10"/>
  <c r="J2043" i="7"/>
  <c r="J789" i="10" s="1"/>
  <c r="K2043" i="7"/>
  <c r="K789" i="10" s="1"/>
  <c r="L2043" i="7"/>
  <c r="L789" i="10" s="1"/>
  <c r="P789" i="10" s="1"/>
  <c r="H1929" i="7"/>
  <c r="E1930" i="7" s="1"/>
  <c r="J1928" i="7"/>
  <c r="L1928" i="7" s="1"/>
  <c r="K1928" i="7"/>
  <c r="L965" i="7"/>
  <c r="L249" i="11" s="1"/>
  <c r="P249" i="11" s="1"/>
  <c r="L249" i="7"/>
  <c r="L249" i="10" s="1"/>
  <c r="P249" i="10" s="1"/>
  <c r="L70" i="7"/>
  <c r="L70" i="10" s="1"/>
  <c r="P70" i="10" s="1"/>
  <c r="H1324" i="7"/>
  <c r="E1325" i="7" s="1"/>
  <c r="L607" i="7"/>
  <c r="L607" i="10" s="1"/>
  <c r="P607" i="10" s="1"/>
  <c r="H1682" i="7"/>
  <c r="E1683" i="7" s="1"/>
  <c r="L1681" i="7"/>
  <c r="L965" i="11" s="1"/>
  <c r="P965" i="11" s="1"/>
  <c r="L1144" i="7"/>
  <c r="L428" i="11" s="1"/>
  <c r="P428" i="11" s="1"/>
  <c r="L428" i="7"/>
  <c r="L428" i="10" s="1"/>
  <c r="P428" i="10" s="1"/>
  <c r="H966" i="7"/>
  <c r="E967" i="7" s="1"/>
  <c r="H250" i="7"/>
  <c r="E251" i="7" s="1"/>
  <c r="E250" i="10"/>
  <c r="L1323" i="7"/>
  <c r="L607" i="11" s="1"/>
  <c r="P607" i="11" s="1"/>
  <c r="H429" i="7"/>
  <c r="E430" i="7" s="1"/>
  <c r="E429" i="10"/>
  <c r="H1503" i="7"/>
  <c r="E1504" i="7" s="1"/>
  <c r="L1502" i="7"/>
  <c r="L786" i="11" s="1"/>
  <c r="P786" i="11" s="1"/>
  <c r="H1145" i="7"/>
  <c r="E1146" i="7" s="1"/>
  <c r="H787" i="7"/>
  <c r="E788" i="7" s="1"/>
  <c r="H71" i="7"/>
  <c r="E72" i="7" s="1"/>
  <c r="E71" i="10"/>
  <c r="L786" i="7"/>
  <c r="L70" i="11" s="1"/>
  <c r="P70" i="11" s="1"/>
  <c r="H608" i="7"/>
  <c r="E609" i="7" s="1"/>
  <c r="E608" i="10"/>
  <c r="I250" i="11" l="1"/>
  <c r="I71" i="11"/>
  <c r="I429" i="11"/>
  <c r="I966" i="11"/>
  <c r="I787" i="11"/>
  <c r="E788" i="11"/>
  <c r="I608" i="11"/>
  <c r="E609" i="11"/>
  <c r="H2044" i="7"/>
  <c r="E2045" i="7" s="1"/>
  <c r="E790" i="10"/>
  <c r="I966" i="10"/>
  <c r="J2220" i="7"/>
  <c r="J966" i="10" s="1"/>
  <c r="K2220" i="7"/>
  <c r="K966" i="10" s="1"/>
  <c r="L2220" i="7"/>
  <c r="L966" i="10" s="1"/>
  <c r="P966" i="10" s="1"/>
  <c r="J1929" i="7"/>
  <c r="L1929" i="7" s="1"/>
  <c r="K1929" i="7"/>
  <c r="H1930" i="7"/>
  <c r="E1931" i="7" s="1"/>
  <c r="J608" i="7"/>
  <c r="J608" i="10" s="1"/>
  <c r="K608" i="7"/>
  <c r="K608" i="10" s="1"/>
  <c r="J429" i="7"/>
  <c r="J429" i="10" s="1"/>
  <c r="K429" i="7"/>
  <c r="K429" i="10" s="1"/>
  <c r="J1324" i="7"/>
  <c r="J608" i="11" s="1"/>
  <c r="K1324" i="7"/>
  <c r="K608" i="11" s="1"/>
  <c r="J1145" i="7"/>
  <c r="J429" i="11" s="1"/>
  <c r="K1145" i="7"/>
  <c r="K429" i="11" s="1"/>
  <c r="J1503" i="7"/>
  <c r="J787" i="11" s="1"/>
  <c r="K1503" i="7"/>
  <c r="K787" i="11" s="1"/>
  <c r="J250" i="7"/>
  <c r="J250" i="10" s="1"/>
  <c r="K250" i="7"/>
  <c r="K250" i="10" s="1"/>
  <c r="J787" i="7"/>
  <c r="J71" i="11" s="1"/>
  <c r="K787" i="7"/>
  <c r="K71" i="11" s="1"/>
  <c r="J966" i="7"/>
  <c r="J250" i="11" s="1"/>
  <c r="K966" i="7"/>
  <c r="K250" i="11" s="1"/>
  <c r="J1682" i="7"/>
  <c r="J966" i="11" s="1"/>
  <c r="K1682" i="7"/>
  <c r="K966" i="11" s="1"/>
  <c r="J71" i="7"/>
  <c r="J71" i="10" s="1"/>
  <c r="K71" i="7"/>
  <c r="K71" i="10" s="1"/>
  <c r="I250" i="10"/>
  <c r="I71" i="10"/>
  <c r="E430" i="11"/>
  <c r="E967" i="11"/>
  <c r="I429" i="10"/>
  <c r="E72" i="11"/>
  <c r="E251" i="11"/>
  <c r="I608" i="10"/>
  <c r="H2221" i="7" l="1"/>
  <c r="E2222" i="7" s="1"/>
  <c r="E967" i="10"/>
  <c r="I790" i="10"/>
  <c r="K2044" i="7"/>
  <c r="K790" i="10" s="1"/>
  <c r="J2044" i="7"/>
  <c r="J790" i="10" s="1"/>
  <c r="L2044" i="7"/>
  <c r="L790" i="10" s="1"/>
  <c r="P790" i="10" s="1"/>
  <c r="H1931" i="7"/>
  <c r="E1932" i="7" s="1"/>
  <c r="J1930" i="7"/>
  <c r="L1930" i="7" s="1"/>
  <c r="K1930" i="7"/>
  <c r="L966" i="7"/>
  <c r="L250" i="11" s="1"/>
  <c r="P250" i="11" s="1"/>
  <c r="L1145" i="7"/>
  <c r="L429" i="11" s="1"/>
  <c r="P429" i="11" s="1"/>
  <c r="L250" i="7"/>
  <c r="L250" i="10" s="1"/>
  <c r="P250" i="10" s="1"/>
  <c r="L71" i="7"/>
  <c r="L71" i="10" s="1"/>
  <c r="P71" i="10" s="1"/>
  <c r="L429" i="7"/>
  <c r="L429" i="10" s="1"/>
  <c r="P429" i="10" s="1"/>
  <c r="L1324" i="7"/>
  <c r="L608" i="11" s="1"/>
  <c r="P608" i="11" s="1"/>
  <c r="H967" i="7"/>
  <c r="E968" i="7" s="1"/>
  <c r="H609" i="7"/>
  <c r="E610" i="7" s="1"/>
  <c r="E609" i="10"/>
  <c r="H72" i="7"/>
  <c r="E73" i="7" s="1"/>
  <c r="E72" i="10"/>
  <c r="H1683" i="7"/>
  <c r="E1684" i="7" s="1"/>
  <c r="L608" i="7"/>
  <c r="L608" i="10" s="1"/>
  <c r="P608" i="10" s="1"/>
  <c r="H788" i="7"/>
  <c r="E789" i="7" s="1"/>
  <c r="L1682" i="7"/>
  <c r="L966" i="11" s="1"/>
  <c r="P966" i="11" s="1"/>
  <c r="H251" i="7"/>
  <c r="E252" i="7" s="1"/>
  <c r="E251" i="10"/>
  <c r="H1504" i="7"/>
  <c r="E1505" i="7" s="1"/>
  <c r="L787" i="7"/>
  <c r="L71" i="11" s="1"/>
  <c r="P71" i="11" s="1"/>
  <c r="H1146" i="7"/>
  <c r="E1147" i="7" s="1"/>
  <c r="H1325" i="7"/>
  <c r="E1326" i="7" s="1"/>
  <c r="L1503" i="7"/>
  <c r="L787" i="11" s="1"/>
  <c r="P787" i="11" s="1"/>
  <c r="H430" i="7"/>
  <c r="E431" i="7" s="1"/>
  <c r="E430" i="10"/>
  <c r="I72" i="11" l="1"/>
  <c r="I967" i="11"/>
  <c r="E968" i="11"/>
  <c r="I609" i="11"/>
  <c r="I430" i="11"/>
  <c r="E431" i="11"/>
  <c r="I251" i="11"/>
  <c r="I788" i="11"/>
  <c r="E789" i="11"/>
  <c r="H2045" i="7"/>
  <c r="E2046" i="7" s="1"/>
  <c r="E791" i="10"/>
  <c r="I967" i="10"/>
  <c r="K2221" i="7"/>
  <c r="K967" i="10" s="1"/>
  <c r="J2221" i="7"/>
  <c r="J967" i="10" s="1"/>
  <c r="L2221" i="7"/>
  <c r="L967" i="10" s="1"/>
  <c r="P967" i="10" s="1"/>
  <c r="K1931" i="7"/>
  <c r="H1932" i="7"/>
  <c r="E1933" i="7" s="1"/>
  <c r="J1931" i="7"/>
  <c r="L1931" i="7" s="1"/>
  <c r="J1146" i="7"/>
  <c r="J430" i="11" s="1"/>
  <c r="K1146" i="7"/>
  <c r="K430" i="11" s="1"/>
  <c r="J609" i="7"/>
  <c r="J609" i="10" s="1"/>
  <c r="K609" i="7"/>
  <c r="K609" i="10" s="1"/>
  <c r="J72" i="7"/>
  <c r="J72" i="10" s="1"/>
  <c r="K72" i="7"/>
  <c r="K72" i="10" s="1"/>
  <c r="J788" i="7"/>
  <c r="J72" i="11" s="1"/>
  <c r="K788" i="7"/>
  <c r="K72" i="11" s="1"/>
  <c r="J1504" i="7"/>
  <c r="J788" i="11" s="1"/>
  <c r="K1504" i="7"/>
  <c r="K788" i="11" s="1"/>
  <c r="J967" i="7"/>
  <c r="J251" i="11" s="1"/>
  <c r="K967" i="7"/>
  <c r="K251" i="11" s="1"/>
  <c r="J1325" i="7"/>
  <c r="J609" i="11" s="1"/>
  <c r="K1325" i="7"/>
  <c r="K609" i="11" s="1"/>
  <c r="J251" i="7"/>
  <c r="J251" i="10" s="1"/>
  <c r="K251" i="7"/>
  <c r="K251" i="10" s="1"/>
  <c r="J430" i="7"/>
  <c r="J430" i="10" s="1"/>
  <c r="K430" i="7"/>
  <c r="K430" i="10" s="1"/>
  <c r="J1683" i="7"/>
  <c r="J967" i="11" s="1"/>
  <c r="K1683" i="7"/>
  <c r="K967" i="11" s="1"/>
  <c r="I430" i="10"/>
  <c r="E73" i="11"/>
  <c r="I72" i="10"/>
  <c r="I609" i="10"/>
  <c r="I251" i="10"/>
  <c r="E252" i="11"/>
  <c r="E610" i="11"/>
  <c r="H2222" i="7" l="1"/>
  <c r="E2223" i="7" s="1"/>
  <c r="E968" i="10"/>
  <c r="I791" i="10"/>
  <c r="J2045" i="7"/>
  <c r="J791" i="10" s="1"/>
  <c r="K2045" i="7"/>
  <c r="K791" i="10" s="1"/>
  <c r="L2045" i="7"/>
  <c r="L791" i="10" s="1"/>
  <c r="P791" i="10" s="1"/>
  <c r="K1932" i="7"/>
  <c r="H1933" i="7"/>
  <c r="E1934" i="7" s="1"/>
  <c r="J1932" i="7"/>
  <c r="L1932" i="7" s="1"/>
  <c r="L967" i="7"/>
  <c r="L251" i="11" s="1"/>
  <c r="P251" i="11" s="1"/>
  <c r="L72" i="7"/>
  <c r="L72" i="10" s="1"/>
  <c r="P72" i="10" s="1"/>
  <c r="L251" i="7"/>
  <c r="L251" i="10" s="1"/>
  <c r="P251" i="10" s="1"/>
  <c r="L1504" i="7"/>
  <c r="L788" i="11" s="1"/>
  <c r="P788" i="11" s="1"/>
  <c r="L609" i="7"/>
  <c r="L609" i="10" s="1"/>
  <c r="P609" i="10" s="1"/>
  <c r="H252" i="7"/>
  <c r="E253" i="7" s="1"/>
  <c r="E252" i="10"/>
  <c r="H789" i="7"/>
  <c r="E790" i="7" s="1"/>
  <c r="L788" i="7"/>
  <c r="L72" i="11" s="1"/>
  <c r="P72" i="11" s="1"/>
  <c r="H610" i="7"/>
  <c r="E611" i="7" s="1"/>
  <c r="E610" i="10"/>
  <c r="L1325" i="7"/>
  <c r="L609" i="11" s="1"/>
  <c r="P609" i="11" s="1"/>
  <c r="H1684" i="7"/>
  <c r="E1685" i="7" s="1"/>
  <c r="H431" i="7"/>
  <c r="E432" i="7" s="1"/>
  <c r="E431" i="10"/>
  <c r="H1326" i="7"/>
  <c r="E1327" i="7" s="1"/>
  <c r="H73" i="7"/>
  <c r="E74" i="7" s="1"/>
  <c r="E73" i="10"/>
  <c r="L430" i="7"/>
  <c r="L430" i="10" s="1"/>
  <c r="P430" i="10" s="1"/>
  <c r="H1147" i="7"/>
  <c r="E1148" i="7" s="1"/>
  <c r="L1146" i="7"/>
  <c r="L430" i="11" s="1"/>
  <c r="P430" i="11" s="1"/>
  <c r="H968" i="7"/>
  <c r="E969" i="7" s="1"/>
  <c r="H1505" i="7"/>
  <c r="E1506" i="7" s="1"/>
  <c r="L1683" i="7"/>
  <c r="L967" i="11" s="1"/>
  <c r="P967" i="11" s="1"/>
  <c r="I968" i="11" l="1"/>
  <c r="I789" i="11"/>
  <c r="I252" i="11"/>
  <c r="E253" i="11"/>
  <c r="I610" i="11"/>
  <c r="E611" i="11"/>
  <c r="I431" i="11"/>
  <c r="E432" i="11"/>
  <c r="I73" i="11"/>
  <c r="E74" i="11"/>
  <c r="H2046" i="7"/>
  <c r="E2047" i="7" s="1"/>
  <c r="E792" i="10"/>
  <c r="I968" i="10"/>
  <c r="L2222" i="7"/>
  <c r="L968" i="10" s="1"/>
  <c r="P968" i="10" s="1"/>
  <c r="K2222" i="7"/>
  <c r="K968" i="10" s="1"/>
  <c r="J2222" i="7"/>
  <c r="J968" i="10" s="1"/>
  <c r="K1933" i="7"/>
  <c r="H1934" i="7"/>
  <c r="E1935" i="7" s="1"/>
  <c r="J1933" i="7"/>
  <c r="L1933" i="7" s="1"/>
  <c r="J73" i="7"/>
  <c r="J73" i="10" s="1"/>
  <c r="K73" i="7"/>
  <c r="K73" i="10" s="1"/>
  <c r="J1505" i="7"/>
  <c r="J789" i="11" s="1"/>
  <c r="K1505" i="7"/>
  <c r="K789" i="11" s="1"/>
  <c r="J431" i="7"/>
  <c r="J431" i="10" s="1"/>
  <c r="K431" i="7"/>
  <c r="K431" i="10" s="1"/>
  <c r="J1147" i="7"/>
  <c r="J431" i="11" s="1"/>
  <c r="K1147" i="7"/>
  <c r="K431" i="11" s="1"/>
  <c r="J610" i="7"/>
  <c r="J610" i="10" s="1"/>
  <c r="K610" i="7"/>
  <c r="K610" i="10" s="1"/>
  <c r="J252" i="7"/>
  <c r="J252" i="10" s="1"/>
  <c r="K252" i="7"/>
  <c r="K252" i="10" s="1"/>
  <c r="J968" i="7"/>
  <c r="J252" i="11" s="1"/>
  <c r="K968" i="7"/>
  <c r="K252" i="11" s="1"/>
  <c r="J1684" i="7"/>
  <c r="J968" i="11" s="1"/>
  <c r="K1684" i="7"/>
  <c r="K968" i="11" s="1"/>
  <c r="J789" i="7"/>
  <c r="J73" i="11" s="1"/>
  <c r="K789" i="7"/>
  <c r="K73" i="11" s="1"/>
  <c r="J1326" i="7"/>
  <c r="J610" i="11" s="1"/>
  <c r="K1326" i="7"/>
  <c r="K610" i="11" s="1"/>
  <c r="E790" i="11"/>
  <c r="I610" i="10"/>
  <c r="I431" i="10"/>
  <c r="E969" i="11"/>
  <c r="I73" i="10"/>
  <c r="I252" i="10"/>
  <c r="H2223" i="7" l="1"/>
  <c r="E2224" i="7" s="1"/>
  <c r="E969" i="10"/>
  <c r="I792" i="10"/>
  <c r="L2046" i="7"/>
  <c r="L792" i="10" s="1"/>
  <c r="P792" i="10" s="1"/>
  <c r="K2046" i="7"/>
  <c r="K792" i="10" s="1"/>
  <c r="J2046" i="7"/>
  <c r="J792" i="10" s="1"/>
  <c r="H1935" i="7"/>
  <c r="E1936" i="7" s="1"/>
  <c r="J1934" i="7"/>
  <c r="L1934" i="7" s="1"/>
  <c r="K1934" i="7"/>
  <c r="L968" i="7"/>
  <c r="L252" i="11" s="1"/>
  <c r="P252" i="11" s="1"/>
  <c r="L73" i="7"/>
  <c r="L73" i="10" s="1"/>
  <c r="P73" i="10" s="1"/>
  <c r="L252" i="7"/>
  <c r="L252" i="10" s="1"/>
  <c r="P252" i="10" s="1"/>
  <c r="L1147" i="7"/>
  <c r="L431" i="11" s="1"/>
  <c r="P431" i="11" s="1"/>
  <c r="L789" i="7"/>
  <c r="L73" i="11" s="1"/>
  <c r="P73" i="11" s="1"/>
  <c r="L1326" i="7"/>
  <c r="L610" i="11" s="1"/>
  <c r="P610" i="11" s="1"/>
  <c r="H253" i="7"/>
  <c r="E254" i="7" s="1"/>
  <c r="E253" i="10"/>
  <c r="H1148" i="7"/>
  <c r="E1149" i="7" s="1"/>
  <c r="H1685" i="7"/>
  <c r="E1686" i="7" s="1"/>
  <c r="L1684" i="7"/>
  <c r="L968" i="11" s="1"/>
  <c r="P968" i="11" s="1"/>
  <c r="H611" i="7"/>
  <c r="E612" i="7" s="1"/>
  <c r="E611" i="10"/>
  <c r="H790" i="7"/>
  <c r="E791" i="7" s="1"/>
  <c r="L610" i="7"/>
  <c r="L610" i="10" s="1"/>
  <c r="P610" i="10" s="1"/>
  <c r="H1327" i="7"/>
  <c r="E1328" i="7" s="1"/>
  <c r="H1506" i="7"/>
  <c r="E1507" i="7" s="1"/>
  <c r="H969" i="7"/>
  <c r="E970" i="7" s="1"/>
  <c r="L1505" i="7"/>
  <c r="L789" i="11" s="1"/>
  <c r="P789" i="11" s="1"/>
  <c r="H432" i="7"/>
  <c r="E433" i="7" s="1"/>
  <c r="E432" i="10"/>
  <c r="L431" i="7"/>
  <c r="L431" i="10" s="1"/>
  <c r="P431" i="10" s="1"/>
  <c r="H74" i="7"/>
  <c r="E75" i="7" s="1"/>
  <c r="E74" i="10"/>
  <c r="I74" i="11" l="1"/>
  <c r="I969" i="11"/>
  <c r="I790" i="11"/>
  <c r="I432" i="11"/>
  <c r="E433" i="11"/>
  <c r="I253" i="11"/>
  <c r="E254" i="11"/>
  <c r="I611" i="11"/>
  <c r="E612" i="11"/>
  <c r="H2047" i="7"/>
  <c r="E2048" i="7" s="1"/>
  <c r="E793" i="10"/>
  <c r="I969" i="10"/>
  <c r="J2223" i="7"/>
  <c r="J969" i="10" s="1"/>
  <c r="L2223" i="7"/>
  <c r="L969" i="10" s="1"/>
  <c r="P969" i="10" s="1"/>
  <c r="K2223" i="7"/>
  <c r="K969" i="10" s="1"/>
  <c r="K1935" i="7"/>
  <c r="H1936" i="7"/>
  <c r="E1937" i="7" s="1"/>
  <c r="J1935" i="7"/>
  <c r="L1935" i="7" s="1"/>
  <c r="J1506" i="7"/>
  <c r="J790" i="11" s="1"/>
  <c r="K1506" i="7"/>
  <c r="K790" i="11" s="1"/>
  <c r="J1327" i="7"/>
  <c r="J611" i="11" s="1"/>
  <c r="K1327" i="7"/>
  <c r="K611" i="11" s="1"/>
  <c r="J253" i="7"/>
  <c r="J253" i="10" s="1"/>
  <c r="K253" i="7"/>
  <c r="K253" i="10" s="1"/>
  <c r="J790" i="7"/>
  <c r="J74" i="11" s="1"/>
  <c r="K790" i="7"/>
  <c r="K74" i="11" s="1"/>
  <c r="J1685" i="7"/>
  <c r="J969" i="11" s="1"/>
  <c r="K1685" i="7"/>
  <c r="K969" i="11" s="1"/>
  <c r="J1148" i="7"/>
  <c r="J432" i="11" s="1"/>
  <c r="K1148" i="7"/>
  <c r="K432" i="11" s="1"/>
  <c r="J74" i="7"/>
  <c r="J74" i="10" s="1"/>
  <c r="K74" i="7"/>
  <c r="K74" i="10" s="1"/>
  <c r="J432" i="7"/>
  <c r="J432" i="10" s="1"/>
  <c r="K432" i="7"/>
  <c r="K432" i="10" s="1"/>
  <c r="J611" i="7"/>
  <c r="J611" i="10" s="1"/>
  <c r="K611" i="7"/>
  <c r="K611" i="10" s="1"/>
  <c r="J969" i="7"/>
  <c r="J253" i="11" s="1"/>
  <c r="K969" i="7"/>
  <c r="K253" i="11" s="1"/>
  <c r="I432" i="10"/>
  <c r="E75" i="11"/>
  <c r="I611" i="10"/>
  <c r="I74" i="10"/>
  <c r="E970" i="11"/>
  <c r="E791" i="11"/>
  <c r="I253" i="10"/>
  <c r="H2224" i="7" l="1"/>
  <c r="E2225" i="7" s="1"/>
  <c r="E970" i="10"/>
  <c r="I793" i="10"/>
  <c r="J2047" i="7"/>
  <c r="J793" i="10" s="1"/>
  <c r="K2047" i="7"/>
  <c r="K793" i="10" s="1"/>
  <c r="L2047" i="7"/>
  <c r="L793" i="10" s="1"/>
  <c r="P793" i="10" s="1"/>
  <c r="K1936" i="7"/>
  <c r="H1937" i="7"/>
  <c r="E1938" i="7" s="1"/>
  <c r="J1936" i="7"/>
  <c r="L1936" i="7" s="1"/>
  <c r="L969" i="7"/>
  <c r="L253" i="11" s="1"/>
  <c r="P253" i="11" s="1"/>
  <c r="L253" i="7"/>
  <c r="L253" i="10" s="1"/>
  <c r="P253" i="10" s="1"/>
  <c r="L74" i="7"/>
  <c r="L74" i="10" s="1"/>
  <c r="P74" i="10" s="1"/>
  <c r="L611" i="7"/>
  <c r="L611" i="10" s="1"/>
  <c r="P611" i="10" s="1"/>
  <c r="H970" i="7"/>
  <c r="E971" i="7" s="1"/>
  <c r="H791" i="7"/>
  <c r="E792" i="7" s="1"/>
  <c r="H1328" i="7"/>
  <c r="E1329" i="7" s="1"/>
  <c r="H75" i="7"/>
  <c r="E76" i="7" s="1"/>
  <c r="E75" i="10"/>
  <c r="L790" i="7"/>
  <c r="L74" i="11" s="1"/>
  <c r="P74" i="11" s="1"/>
  <c r="L1506" i="7"/>
  <c r="L790" i="11" s="1"/>
  <c r="P790" i="11" s="1"/>
  <c r="L1327" i="7"/>
  <c r="L611" i="11" s="1"/>
  <c r="P611" i="11" s="1"/>
  <c r="H1686" i="7"/>
  <c r="E1687" i="7" s="1"/>
  <c r="H433" i="7"/>
  <c r="E434" i="7" s="1"/>
  <c r="E433" i="10"/>
  <c r="H1507" i="7"/>
  <c r="E1508" i="7" s="1"/>
  <c r="L1685" i="7"/>
  <c r="L969" i="11" s="1"/>
  <c r="P969" i="11" s="1"/>
  <c r="H612" i="7"/>
  <c r="E613" i="7" s="1"/>
  <c r="E612" i="10"/>
  <c r="H1149" i="7"/>
  <c r="E1150" i="7" s="1"/>
  <c r="H254" i="7"/>
  <c r="E255" i="7" s="1"/>
  <c r="E254" i="10"/>
  <c r="L1148" i="7"/>
  <c r="L432" i="11" s="1"/>
  <c r="P432" i="11" s="1"/>
  <c r="L432" i="7"/>
  <c r="L432" i="10" s="1"/>
  <c r="P432" i="10" s="1"/>
  <c r="I970" i="11" l="1"/>
  <c r="I433" i="11"/>
  <c r="I612" i="11"/>
  <c r="I75" i="11"/>
  <c r="I254" i="11"/>
  <c r="E255" i="11"/>
  <c r="I791" i="11"/>
  <c r="E792" i="11"/>
  <c r="H2048" i="7"/>
  <c r="E2049" i="7" s="1"/>
  <c r="E794" i="10"/>
  <c r="I970" i="10"/>
  <c r="L2224" i="7"/>
  <c r="L970" i="10" s="1"/>
  <c r="P970" i="10" s="1"/>
  <c r="K2224" i="7"/>
  <c r="K970" i="10" s="1"/>
  <c r="J2224" i="7"/>
  <c r="J970" i="10" s="1"/>
  <c r="K1937" i="7"/>
  <c r="H1938" i="7"/>
  <c r="E1939" i="7" s="1"/>
  <c r="J1937" i="7"/>
  <c r="L1937" i="7" s="1"/>
  <c r="J1507" i="7"/>
  <c r="J791" i="11" s="1"/>
  <c r="K1507" i="7"/>
  <c r="K791" i="11" s="1"/>
  <c r="J791" i="7"/>
  <c r="J75" i="11" s="1"/>
  <c r="K791" i="7"/>
  <c r="K75" i="11" s="1"/>
  <c r="J433" i="7"/>
  <c r="J433" i="10" s="1"/>
  <c r="K433" i="7"/>
  <c r="K433" i="10" s="1"/>
  <c r="J1686" i="7"/>
  <c r="J970" i="11" s="1"/>
  <c r="K1686" i="7"/>
  <c r="K970" i="11" s="1"/>
  <c r="J612" i="7"/>
  <c r="J612" i="10" s="1"/>
  <c r="K612" i="7"/>
  <c r="K612" i="10" s="1"/>
  <c r="J75" i="7"/>
  <c r="J75" i="10" s="1"/>
  <c r="K75" i="7"/>
  <c r="K75" i="10" s="1"/>
  <c r="J1328" i="7"/>
  <c r="J612" i="11" s="1"/>
  <c r="K1328" i="7"/>
  <c r="K612" i="11" s="1"/>
  <c r="J970" i="7"/>
  <c r="J254" i="11" s="1"/>
  <c r="K970" i="7"/>
  <c r="K254" i="11" s="1"/>
  <c r="J254" i="7"/>
  <c r="J254" i="10" s="1"/>
  <c r="K254" i="7"/>
  <c r="K254" i="10" s="1"/>
  <c r="J1149" i="7"/>
  <c r="J433" i="11" s="1"/>
  <c r="K1149" i="7"/>
  <c r="K433" i="11" s="1"/>
  <c r="I254" i="10"/>
  <c r="E971" i="11"/>
  <c r="I75" i="10"/>
  <c r="E613" i="11"/>
  <c r="E76" i="11"/>
  <c r="E434" i="11"/>
  <c r="I612" i="10"/>
  <c r="I433" i="10"/>
  <c r="H2225" i="7" l="1"/>
  <c r="E2226" i="7" s="1"/>
  <c r="E971" i="10"/>
  <c r="I794" i="10"/>
  <c r="J2048" i="7"/>
  <c r="J794" i="10" s="1"/>
  <c r="L2048" i="7"/>
  <c r="L794" i="10" s="1"/>
  <c r="P794" i="10" s="1"/>
  <c r="K2048" i="7"/>
  <c r="K794" i="10" s="1"/>
  <c r="H1939" i="7"/>
  <c r="E1940" i="7" s="1"/>
  <c r="J1938" i="7"/>
  <c r="L1938" i="7" s="1"/>
  <c r="K1938" i="7"/>
  <c r="L970" i="7"/>
  <c r="L254" i="11" s="1"/>
  <c r="P254" i="11" s="1"/>
  <c r="L254" i="7"/>
  <c r="L254" i="10" s="1"/>
  <c r="P254" i="10" s="1"/>
  <c r="L75" i="7"/>
  <c r="L75" i="10" s="1"/>
  <c r="P75" i="10" s="1"/>
  <c r="L1149" i="7"/>
  <c r="L433" i="11" s="1"/>
  <c r="P433" i="11" s="1"/>
  <c r="L1328" i="7"/>
  <c r="L612" i="11" s="1"/>
  <c r="P612" i="11" s="1"/>
  <c r="H1508" i="7"/>
  <c r="E1509" i="7" s="1"/>
  <c r="H1150" i="7"/>
  <c r="E1151" i="7" s="1"/>
  <c r="L1507" i="7"/>
  <c r="L791" i="11" s="1"/>
  <c r="P791" i="11" s="1"/>
  <c r="H1687" i="7"/>
  <c r="E1688" i="7" s="1"/>
  <c r="H434" i="7"/>
  <c r="E435" i="7" s="1"/>
  <c r="E434" i="10"/>
  <c r="L1686" i="7"/>
  <c r="L970" i="11" s="1"/>
  <c r="P970" i="11" s="1"/>
  <c r="H1329" i="7"/>
  <c r="E1330" i="7" s="1"/>
  <c r="H792" i="7"/>
  <c r="E793" i="7" s="1"/>
  <c r="H255" i="7"/>
  <c r="E256" i="7" s="1"/>
  <c r="E255" i="10"/>
  <c r="L433" i="7"/>
  <c r="L433" i="10" s="1"/>
  <c r="P433" i="10" s="1"/>
  <c r="L791" i="7"/>
  <c r="L75" i="11" s="1"/>
  <c r="P75" i="11" s="1"/>
  <c r="H76" i="7"/>
  <c r="E77" i="7" s="1"/>
  <c r="E76" i="10"/>
  <c r="H971" i="7"/>
  <c r="E972" i="7" s="1"/>
  <c r="H613" i="7"/>
  <c r="E614" i="7" s="1"/>
  <c r="E613" i="10"/>
  <c r="L612" i="7"/>
  <c r="L612" i="10" s="1"/>
  <c r="P612" i="10" s="1"/>
  <c r="I76" i="11" l="1"/>
  <c r="I613" i="11"/>
  <c r="I971" i="11"/>
  <c r="I255" i="11"/>
  <c r="I434" i="11"/>
  <c r="E435" i="11"/>
  <c r="I792" i="11"/>
  <c r="E793" i="11"/>
  <c r="H2049" i="7"/>
  <c r="E2050" i="7" s="1"/>
  <c r="E795" i="10"/>
  <c r="I971" i="10"/>
  <c r="L2225" i="7"/>
  <c r="L971" i="10" s="1"/>
  <c r="P971" i="10" s="1"/>
  <c r="J2225" i="7"/>
  <c r="J971" i="10" s="1"/>
  <c r="K2225" i="7"/>
  <c r="K971" i="10" s="1"/>
  <c r="J1939" i="7"/>
  <c r="L1939" i="7" s="1"/>
  <c r="H1940" i="7"/>
  <c r="E1941" i="7" s="1"/>
  <c r="K1939" i="7"/>
  <c r="J76" i="7"/>
  <c r="J76" i="10" s="1"/>
  <c r="K76" i="7"/>
  <c r="K76" i="10" s="1"/>
  <c r="J255" i="7"/>
  <c r="J255" i="10" s="1"/>
  <c r="K255" i="7"/>
  <c r="K255" i="10" s="1"/>
  <c r="J1150" i="7"/>
  <c r="J434" i="11" s="1"/>
  <c r="K1150" i="7"/>
  <c r="K434" i="11" s="1"/>
  <c r="J1508" i="7"/>
  <c r="J792" i="11" s="1"/>
  <c r="K1508" i="7"/>
  <c r="K792" i="11" s="1"/>
  <c r="J613" i="7"/>
  <c r="J613" i="10" s="1"/>
  <c r="K613" i="7"/>
  <c r="K613" i="10" s="1"/>
  <c r="J1329" i="7"/>
  <c r="J613" i="11" s="1"/>
  <c r="K1329" i="7"/>
  <c r="K613" i="11" s="1"/>
  <c r="J971" i="7"/>
  <c r="J255" i="11" s="1"/>
  <c r="K971" i="7"/>
  <c r="K255" i="11" s="1"/>
  <c r="J1687" i="7"/>
  <c r="J971" i="11" s="1"/>
  <c r="K1687" i="7"/>
  <c r="K971" i="11" s="1"/>
  <c r="J792" i="7"/>
  <c r="J76" i="11" s="1"/>
  <c r="K792" i="7"/>
  <c r="K76" i="11" s="1"/>
  <c r="J434" i="7"/>
  <c r="J434" i="10" s="1"/>
  <c r="K434" i="7"/>
  <c r="K434" i="10" s="1"/>
  <c r="E614" i="11"/>
  <c r="I613" i="10"/>
  <c r="E972" i="11"/>
  <c r="I255" i="10"/>
  <c r="I434" i="10"/>
  <c r="I76" i="10"/>
  <c r="E256" i="11"/>
  <c r="E77" i="11"/>
  <c r="H2226" i="7" l="1"/>
  <c r="E2227" i="7" s="1"/>
  <c r="E972" i="10"/>
  <c r="I795" i="10"/>
  <c r="K2049" i="7"/>
  <c r="K795" i="10" s="1"/>
  <c r="L2049" i="7"/>
  <c r="L795" i="10" s="1"/>
  <c r="P795" i="10" s="1"/>
  <c r="J2049" i="7"/>
  <c r="J795" i="10" s="1"/>
  <c r="J1940" i="7"/>
  <c r="L1940" i="7" s="1"/>
  <c r="K1940" i="7"/>
  <c r="H1941" i="7"/>
  <c r="E1942" i="7" s="1"/>
  <c r="L971" i="7"/>
  <c r="L255" i="11" s="1"/>
  <c r="P255" i="11" s="1"/>
  <c r="L76" i="7"/>
  <c r="L76" i="10" s="1"/>
  <c r="P76" i="10" s="1"/>
  <c r="L255" i="7"/>
  <c r="L255" i="10" s="1"/>
  <c r="P255" i="10" s="1"/>
  <c r="L1687" i="7"/>
  <c r="L971" i="11" s="1"/>
  <c r="P971" i="11" s="1"/>
  <c r="L613" i="7"/>
  <c r="L613" i="10" s="1"/>
  <c r="P613" i="10" s="1"/>
  <c r="L792" i="7"/>
  <c r="L76" i="11" s="1"/>
  <c r="P76" i="11" s="1"/>
  <c r="L1508" i="7"/>
  <c r="L792" i="11" s="1"/>
  <c r="P792" i="11" s="1"/>
  <c r="H435" i="7"/>
  <c r="E436" i="7" s="1"/>
  <c r="E435" i="10"/>
  <c r="L434" i="7"/>
  <c r="L434" i="10" s="1"/>
  <c r="P434" i="10" s="1"/>
  <c r="H614" i="7"/>
  <c r="E615" i="7" s="1"/>
  <c r="E614" i="10"/>
  <c r="H793" i="7"/>
  <c r="E794" i="7" s="1"/>
  <c r="H972" i="7"/>
  <c r="E973" i="7" s="1"/>
  <c r="H1330" i="7"/>
  <c r="E1331" i="7" s="1"/>
  <c r="H77" i="7"/>
  <c r="E78" i="7" s="1"/>
  <c r="E77" i="10"/>
  <c r="H1151" i="7"/>
  <c r="E1152" i="7" s="1"/>
  <c r="L1329" i="7"/>
  <c r="L613" i="11" s="1"/>
  <c r="P613" i="11" s="1"/>
  <c r="H256" i="7"/>
  <c r="E257" i="7" s="1"/>
  <c r="E256" i="10"/>
  <c r="H1688" i="7"/>
  <c r="E1689" i="7" s="1"/>
  <c r="H1509" i="7"/>
  <c r="E1510" i="7" s="1"/>
  <c r="L1150" i="7"/>
  <c r="L434" i="11" s="1"/>
  <c r="P434" i="11" s="1"/>
  <c r="I614" i="11" l="1"/>
  <c r="I256" i="11"/>
  <c r="I77" i="11"/>
  <c r="I435" i="11"/>
  <c r="E436" i="11"/>
  <c r="I793" i="11"/>
  <c r="E794" i="11"/>
  <c r="I972" i="11"/>
  <c r="H2050" i="7"/>
  <c r="E2051" i="7" s="1"/>
  <c r="E796" i="10"/>
  <c r="I972" i="10"/>
  <c r="J2226" i="7"/>
  <c r="J972" i="10" s="1"/>
  <c r="L2226" i="7"/>
  <c r="L972" i="10" s="1"/>
  <c r="P972" i="10" s="1"/>
  <c r="K2226" i="7"/>
  <c r="K972" i="10" s="1"/>
  <c r="H1942" i="7"/>
  <c r="E1943" i="7" s="1"/>
  <c r="K1941" i="7"/>
  <c r="J1941" i="7"/>
  <c r="L1941" i="7" s="1"/>
  <c r="J614" i="7"/>
  <c r="J614" i="10" s="1"/>
  <c r="K614" i="7"/>
  <c r="K614" i="10" s="1"/>
  <c r="J77" i="7"/>
  <c r="J77" i="10" s="1"/>
  <c r="K77" i="7"/>
  <c r="K77" i="10" s="1"/>
  <c r="J1330" i="7"/>
  <c r="J614" i="11" s="1"/>
  <c r="K1330" i="7"/>
  <c r="K614" i="11" s="1"/>
  <c r="J1688" i="7"/>
  <c r="J972" i="11" s="1"/>
  <c r="K1688" i="7"/>
  <c r="K972" i="11" s="1"/>
  <c r="J256" i="7"/>
  <c r="J256" i="10" s="1"/>
  <c r="K256" i="7"/>
  <c r="K256" i="10" s="1"/>
  <c r="J1151" i="7"/>
  <c r="J435" i="11" s="1"/>
  <c r="K1151" i="7"/>
  <c r="K435" i="11" s="1"/>
  <c r="J435" i="7"/>
  <c r="J435" i="10" s="1"/>
  <c r="K435" i="7"/>
  <c r="K435" i="10" s="1"/>
  <c r="J1509" i="7"/>
  <c r="J793" i="11" s="1"/>
  <c r="K1509" i="7"/>
  <c r="K793" i="11" s="1"/>
  <c r="J972" i="7"/>
  <c r="K972" i="7"/>
  <c r="K256" i="11" s="1"/>
  <c r="J793" i="7"/>
  <c r="J77" i="11" s="1"/>
  <c r="K793" i="7"/>
  <c r="K77" i="11" s="1"/>
  <c r="E615" i="11"/>
  <c r="E78" i="11"/>
  <c r="I256" i="10"/>
  <c r="I614" i="10"/>
  <c r="E257" i="11"/>
  <c r="E973" i="11"/>
  <c r="I435" i="10"/>
  <c r="I77" i="10"/>
  <c r="H2227" i="7" l="1"/>
  <c r="E2228" i="7" s="1"/>
  <c r="E973" i="10"/>
  <c r="I796" i="10"/>
  <c r="L2050" i="7"/>
  <c r="L796" i="10" s="1"/>
  <c r="P796" i="10" s="1"/>
  <c r="K2050" i="7"/>
  <c r="K796" i="10" s="1"/>
  <c r="J2050" i="7"/>
  <c r="J796" i="10" s="1"/>
  <c r="L972" i="7"/>
  <c r="L256" i="11" s="1"/>
  <c r="P256" i="11" s="1"/>
  <c r="J256" i="11"/>
  <c r="J1942" i="7"/>
  <c r="L1942" i="7" s="1"/>
  <c r="H1943" i="7"/>
  <c r="E1944" i="7" s="1"/>
  <c r="K1942" i="7"/>
  <c r="L256" i="7"/>
  <c r="L256" i="10" s="1"/>
  <c r="P256" i="10" s="1"/>
  <c r="L77" i="7"/>
  <c r="L77" i="10" s="1"/>
  <c r="P77" i="10" s="1"/>
  <c r="L1509" i="7"/>
  <c r="L793" i="11" s="1"/>
  <c r="P793" i="11" s="1"/>
  <c r="H1510" i="7"/>
  <c r="E1511" i="7" s="1"/>
  <c r="H794" i="7"/>
  <c r="E795" i="7" s="1"/>
  <c r="H436" i="7"/>
  <c r="E437" i="7" s="1"/>
  <c r="E436" i="10"/>
  <c r="H615" i="7"/>
  <c r="E616" i="7" s="1"/>
  <c r="E615" i="10"/>
  <c r="H78" i="7"/>
  <c r="E79" i="7" s="1"/>
  <c r="E78" i="10"/>
  <c r="L793" i="7"/>
  <c r="L77" i="11" s="1"/>
  <c r="P77" i="11" s="1"/>
  <c r="H1331" i="7"/>
  <c r="E1332" i="7" s="1"/>
  <c r="H1689" i="7"/>
  <c r="E1690" i="7" s="1"/>
  <c r="L1688" i="7"/>
  <c r="L972" i="11" s="1"/>
  <c r="P972" i="11" s="1"/>
  <c r="L435" i="7"/>
  <c r="L435" i="10" s="1"/>
  <c r="P435" i="10" s="1"/>
  <c r="H973" i="7"/>
  <c r="E974" i="7" s="1"/>
  <c r="L614" i="7"/>
  <c r="L614" i="10" s="1"/>
  <c r="P614" i="10" s="1"/>
  <c r="H1152" i="7"/>
  <c r="E1153" i="7" s="1"/>
  <c r="L1330" i="7"/>
  <c r="L614" i="11" s="1"/>
  <c r="P614" i="11" s="1"/>
  <c r="H257" i="7"/>
  <c r="E258" i="7" s="1"/>
  <c r="E257" i="10"/>
  <c r="L1151" i="7"/>
  <c r="L435" i="11" s="1"/>
  <c r="P435" i="11" s="1"/>
  <c r="I436" i="11" l="1"/>
  <c r="I257" i="11"/>
  <c r="E258" i="11"/>
  <c r="I78" i="11"/>
  <c r="I794" i="11"/>
  <c r="E795" i="11"/>
  <c r="I615" i="11"/>
  <c r="E616" i="11"/>
  <c r="I973" i="11"/>
  <c r="E974" i="11"/>
  <c r="H2051" i="7"/>
  <c r="E2052" i="7" s="1"/>
  <c r="E797" i="10"/>
  <c r="I973" i="10"/>
  <c r="J2227" i="7"/>
  <c r="J973" i="10" s="1"/>
  <c r="L2227" i="7"/>
  <c r="L973" i="10" s="1"/>
  <c r="P973" i="10" s="1"/>
  <c r="K2227" i="7"/>
  <c r="K973" i="10" s="1"/>
  <c r="H1944" i="7"/>
  <c r="E1945" i="7" s="1"/>
  <c r="J1943" i="7"/>
  <c r="L1943" i="7" s="1"/>
  <c r="K1943" i="7"/>
  <c r="J973" i="7"/>
  <c r="J257" i="11" s="1"/>
  <c r="K973" i="7"/>
  <c r="K257" i="11" s="1"/>
  <c r="J1152" i="7"/>
  <c r="J436" i="11" s="1"/>
  <c r="K1152" i="7"/>
  <c r="K436" i="11" s="1"/>
  <c r="J1510" i="7"/>
  <c r="J794" i="11" s="1"/>
  <c r="K1510" i="7"/>
  <c r="K794" i="11" s="1"/>
  <c r="J257" i="7"/>
  <c r="J257" i="10" s="1"/>
  <c r="K257" i="7"/>
  <c r="K257" i="10" s="1"/>
  <c r="J1331" i="7"/>
  <c r="J615" i="11" s="1"/>
  <c r="K1331" i="7"/>
  <c r="K615" i="11" s="1"/>
  <c r="J1689" i="7"/>
  <c r="J973" i="11" s="1"/>
  <c r="K1689" i="7"/>
  <c r="K973" i="11" s="1"/>
  <c r="J78" i="7"/>
  <c r="J78" i="10" s="1"/>
  <c r="K78" i="7"/>
  <c r="K78" i="10" s="1"/>
  <c r="J615" i="7"/>
  <c r="J615" i="10" s="1"/>
  <c r="K615" i="7"/>
  <c r="K615" i="10" s="1"/>
  <c r="J436" i="7"/>
  <c r="J436" i="10" s="1"/>
  <c r="K436" i="7"/>
  <c r="K436" i="10" s="1"/>
  <c r="J794" i="7"/>
  <c r="J78" i="11" s="1"/>
  <c r="K794" i="7"/>
  <c r="K78" i="11" s="1"/>
  <c r="I78" i="10"/>
  <c r="I257" i="10"/>
  <c r="I615" i="10"/>
  <c r="E437" i="11"/>
  <c r="I436" i="10"/>
  <c r="E79" i="11"/>
  <c r="H2228" i="7" l="1"/>
  <c r="E2229" i="7" s="1"/>
  <c r="E974" i="10"/>
  <c r="I797" i="10"/>
  <c r="K2051" i="7"/>
  <c r="K797" i="10" s="1"/>
  <c r="J2051" i="7"/>
  <c r="J797" i="10" s="1"/>
  <c r="L2051" i="7"/>
  <c r="L797" i="10" s="1"/>
  <c r="P797" i="10" s="1"/>
  <c r="K1944" i="7"/>
  <c r="H1945" i="7"/>
  <c r="E1946" i="7" s="1"/>
  <c r="J1944" i="7"/>
  <c r="L1944" i="7" s="1"/>
  <c r="L973" i="7"/>
  <c r="L257" i="11" s="1"/>
  <c r="P257" i="11" s="1"/>
  <c r="L78" i="7"/>
  <c r="L78" i="10" s="1"/>
  <c r="P78" i="10" s="1"/>
  <c r="L257" i="7"/>
  <c r="L257" i="10" s="1"/>
  <c r="P257" i="10" s="1"/>
  <c r="L1331" i="7"/>
  <c r="L615" i="11" s="1"/>
  <c r="P615" i="11" s="1"/>
  <c r="L794" i="7"/>
  <c r="L78" i="11" s="1"/>
  <c r="P78" i="11" s="1"/>
  <c r="L1152" i="7"/>
  <c r="L436" i="11" s="1"/>
  <c r="P436" i="11" s="1"/>
  <c r="H1153" i="7"/>
  <c r="E1154" i="7" s="1"/>
  <c r="H258" i="7"/>
  <c r="E259" i="7" s="1"/>
  <c r="E258" i="10"/>
  <c r="L1510" i="7"/>
  <c r="L794" i="11" s="1"/>
  <c r="P794" i="11" s="1"/>
  <c r="H795" i="7"/>
  <c r="E796" i="7" s="1"/>
  <c r="H616" i="7"/>
  <c r="E617" i="7" s="1"/>
  <c r="E616" i="10"/>
  <c r="H1690" i="7"/>
  <c r="E1691" i="7" s="1"/>
  <c r="L1689" i="7"/>
  <c r="L973" i="11" s="1"/>
  <c r="P973" i="11" s="1"/>
  <c r="H437" i="7"/>
  <c r="E438" i="7" s="1"/>
  <c r="E437" i="10"/>
  <c r="L615" i="7"/>
  <c r="L615" i="10" s="1"/>
  <c r="P615" i="10" s="1"/>
  <c r="L436" i="7"/>
  <c r="L436" i="10" s="1"/>
  <c r="P436" i="10" s="1"/>
  <c r="H1332" i="7"/>
  <c r="E1333" i="7" s="1"/>
  <c r="H79" i="7"/>
  <c r="E80" i="7" s="1"/>
  <c r="E79" i="10"/>
  <c r="H974" i="7"/>
  <c r="E975" i="7" s="1"/>
  <c r="H1511" i="7"/>
  <c r="E1512" i="7" s="1"/>
  <c r="I79" i="11" l="1"/>
  <c r="I258" i="11"/>
  <c r="E259" i="11"/>
  <c r="I974" i="11"/>
  <c r="E975" i="11"/>
  <c r="I795" i="11"/>
  <c r="I616" i="11"/>
  <c r="E617" i="11"/>
  <c r="I437" i="11"/>
  <c r="E438" i="11"/>
  <c r="H2052" i="7"/>
  <c r="E2053" i="7" s="1"/>
  <c r="E798" i="10"/>
  <c r="I974" i="10"/>
  <c r="K2228" i="7"/>
  <c r="K974" i="10" s="1"/>
  <c r="L2228" i="7"/>
  <c r="L974" i="10" s="1"/>
  <c r="P974" i="10" s="1"/>
  <c r="J2228" i="7"/>
  <c r="J974" i="10" s="1"/>
  <c r="H1946" i="7"/>
  <c r="E1947" i="7" s="1"/>
  <c r="K1945" i="7"/>
  <c r="J1945" i="7"/>
  <c r="L1945" i="7" s="1"/>
  <c r="J795" i="7"/>
  <c r="J79" i="11" s="1"/>
  <c r="K795" i="7"/>
  <c r="K79" i="11" s="1"/>
  <c r="J1332" i="7"/>
  <c r="J616" i="11" s="1"/>
  <c r="K1332" i="7"/>
  <c r="K616" i="11" s="1"/>
  <c r="J1153" i="7"/>
  <c r="J437" i="11" s="1"/>
  <c r="K1153" i="7"/>
  <c r="K437" i="11" s="1"/>
  <c r="J1690" i="7"/>
  <c r="J974" i="11" s="1"/>
  <c r="K1690" i="7"/>
  <c r="K974" i="11" s="1"/>
  <c r="J974" i="7"/>
  <c r="J258" i="11" s="1"/>
  <c r="K974" i="7"/>
  <c r="K258" i="11" s="1"/>
  <c r="J1511" i="7"/>
  <c r="J795" i="11" s="1"/>
  <c r="K1511" i="7"/>
  <c r="K795" i="11" s="1"/>
  <c r="J258" i="7"/>
  <c r="J258" i="10" s="1"/>
  <c r="K258" i="7"/>
  <c r="K258" i="10" s="1"/>
  <c r="J437" i="7"/>
  <c r="J437" i="10" s="1"/>
  <c r="K437" i="7"/>
  <c r="K437" i="10" s="1"/>
  <c r="J616" i="7"/>
  <c r="J616" i="10" s="1"/>
  <c r="K616" i="7"/>
  <c r="K616" i="10" s="1"/>
  <c r="J79" i="7"/>
  <c r="J79" i="10" s="1"/>
  <c r="K79" i="7"/>
  <c r="K79" i="10" s="1"/>
  <c r="E796" i="11"/>
  <c r="I616" i="10"/>
  <c r="I79" i="10"/>
  <c r="E80" i="11"/>
  <c r="I258" i="10"/>
  <c r="I437" i="10"/>
  <c r="H2229" i="7" l="1"/>
  <c r="E2230" i="7" s="1"/>
  <c r="E975" i="10"/>
  <c r="I798" i="10"/>
  <c r="L2052" i="7"/>
  <c r="L798" i="10" s="1"/>
  <c r="P798" i="10" s="1"/>
  <c r="J2052" i="7"/>
  <c r="J798" i="10" s="1"/>
  <c r="K2052" i="7"/>
  <c r="K798" i="10" s="1"/>
  <c r="J1946" i="7"/>
  <c r="L1946" i="7" s="1"/>
  <c r="K1946" i="7"/>
  <c r="H1947" i="7"/>
  <c r="E1948" i="7" s="1"/>
  <c r="L974" i="7"/>
  <c r="L258" i="11" s="1"/>
  <c r="P258" i="11" s="1"/>
  <c r="L258" i="7"/>
  <c r="L258" i="10" s="1"/>
  <c r="P258" i="10" s="1"/>
  <c r="L79" i="7"/>
  <c r="L79" i="10" s="1"/>
  <c r="P79" i="10" s="1"/>
  <c r="L616" i="7"/>
  <c r="L616" i="10" s="1"/>
  <c r="P616" i="10" s="1"/>
  <c r="L1153" i="7"/>
  <c r="L437" i="11" s="1"/>
  <c r="P437" i="11" s="1"/>
  <c r="L437" i="7"/>
  <c r="L437" i="10" s="1"/>
  <c r="P437" i="10" s="1"/>
  <c r="H975" i="7"/>
  <c r="E976" i="7" s="1"/>
  <c r="H1333" i="7"/>
  <c r="E1334" i="7" s="1"/>
  <c r="H1691" i="7"/>
  <c r="E1692" i="7" s="1"/>
  <c r="L1332" i="7"/>
  <c r="L616" i="11" s="1"/>
  <c r="P616" i="11" s="1"/>
  <c r="H80" i="7"/>
  <c r="E81" i="7" s="1"/>
  <c r="E80" i="10"/>
  <c r="H438" i="7"/>
  <c r="E439" i="7" s="1"/>
  <c r="E438" i="10"/>
  <c r="L1690" i="7"/>
  <c r="L974" i="11" s="1"/>
  <c r="P974" i="11" s="1"/>
  <c r="H1512" i="7"/>
  <c r="E1513" i="7" s="1"/>
  <c r="L795" i="7"/>
  <c r="L79" i="11" s="1"/>
  <c r="P79" i="11" s="1"/>
  <c r="H617" i="7"/>
  <c r="E618" i="7" s="1"/>
  <c r="E617" i="10"/>
  <c r="L1511" i="7"/>
  <c r="L795" i="11" s="1"/>
  <c r="P795" i="11" s="1"/>
  <c r="H796" i="7"/>
  <c r="E797" i="7" s="1"/>
  <c r="H259" i="7"/>
  <c r="E260" i="7" s="1"/>
  <c r="E259" i="10"/>
  <c r="H1154" i="7"/>
  <c r="E1155" i="7" s="1"/>
  <c r="I80" i="11" l="1"/>
  <c r="I617" i="11"/>
  <c r="E618" i="11"/>
  <c r="I259" i="11"/>
  <c r="E260" i="11"/>
  <c r="I438" i="11"/>
  <c r="E439" i="11"/>
  <c r="I975" i="11"/>
  <c r="E976" i="11"/>
  <c r="I796" i="11"/>
  <c r="E797" i="11"/>
  <c r="H2053" i="7"/>
  <c r="E2054" i="7" s="1"/>
  <c r="E799" i="10"/>
  <c r="I975" i="10"/>
  <c r="L2229" i="7"/>
  <c r="L975" i="10" s="1"/>
  <c r="P975" i="10" s="1"/>
  <c r="J2229" i="7"/>
  <c r="J975" i="10" s="1"/>
  <c r="K2229" i="7"/>
  <c r="K975" i="10" s="1"/>
  <c r="H1948" i="7"/>
  <c r="E1949" i="7" s="1"/>
  <c r="J1947" i="7"/>
  <c r="L1947" i="7" s="1"/>
  <c r="K1947" i="7"/>
  <c r="J1154" i="7"/>
  <c r="J438" i="11" s="1"/>
  <c r="K1154" i="7"/>
  <c r="K438" i="11" s="1"/>
  <c r="J617" i="7"/>
  <c r="J617" i="10" s="1"/>
  <c r="K617" i="7"/>
  <c r="K617" i="10" s="1"/>
  <c r="J1333" i="7"/>
  <c r="J617" i="11" s="1"/>
  <c r="K1333" i="7"/>
  <c r="K617" i="11" s="1"/>
  <c r="J1512" i="7"/>
  <c r="J796" i="11" s="1"/>
  <c r="K1512" i="7"/>
  <c r="K796" i="11" s="1"/>
  <c r="J975" i="7"/>
  <c r="J259" i="11" s="1"/>
  <c r="K975" i="7"/>
  <c r="K259" i="11" s="1"/>
  <c r="J438" i="7"/>
  <c r="J438" i="10" s="1"/>
  <c r="K438" i="7"/>
  <c r="K438" i="10" s="1"/>
  <c r="J1691" i="7"/>
  <c r="J975" i="11" s="1"/>
  <c r="K1691" i="7"/>
  <c r="K975" i="11" s="1"/>
  <c r="J259" i="7"/>
  <c r="J259" i="10" s="1"/>
  <c r="K259" i="7"/>
  <c r="K259" i="10" s="1"/>
  <c r="J80" i="7"/>
  <c r="J80" i="10" s="1"/>
  <c r="K80" i="7"/>
  <c r="K80" i="10" s="1"/>
  <c r="J796" i="7"/>
  <c r="J80" i="11" s="1"/>
  <c r="K796" i="7"/>
  <c r="K80" i="11" s="1"/>
  <c r="I438" i="10"/>
  <c r="I259" i="10"/>
  <c r="I80" i="10"/>
  <c r="E81" i="11"/>
  <c r="I617" i="10"/>
  <c r="H2230" i="7" l="1"/>
  <c r="E2231" i="7" s="1"/>
  <c r="E976" i="10"/>
  <c r="I799" i="10"/>
  <c r="K2053" i="7"/>
  <c r="K799" i="10" s="1"/>
  <c r="L2053" i="7"/>
  <c r="L799" i="10" s="1"/>
  <c r="P799" i="10" s="1"/>
  <c r="J2053" i="7"/>
  <c r="J799" i="10" s="1"/>
  <c r="K1948" i="7"/>
  <c r="H1949" i="7"/>
  <c r="E1950" i="7" s="1"/>
  <c r="J1948" i="7"/>
  <c r="L1948" i="7" s="1"/>
  <c r="L975" i="7"/>
  <c r="L259" i="11" s="1"/>
  <c r="P259" i="11" s="1"/>
  <c r="L259" i="7"/>
  <c r="L259" i="10" s="1"/>
  <c r="P259" i="10" s="1"/>
  <c r="L80" i="7"/>
  <c r="L80" i="10" s="1"/>
  <c r="P80" i="10" s="1"/>
  <c r="H1692" i="7"/>
  <c r="E1693" i="7" s="1"/>
  <c r="L617" i="7"/>
  <c r="L617" i="10" s="1"/>
  <c r="P617" i="10" s="1"/>
  <c r="L438" i="7"/>
  <c r="L438" i="10" s="1"/>
  <c r="P438" i="10" s="1"/>
  <c r="L1512" i="7"/>
  <c r="L796" i="11" s="1"/>
  <c r="P796" i="11" s="1"/>
  <c r="L1691" i="7"/>
  <c r="L975" i="11" s="1"/>
  <c r="P975" i="11" s="1"/>
  <c r="H1155" i="7"/>
  <c r="E1156" i="7" s="1"/>
  <c r="H618" i="7"/>
  <c r="E619" i="7" s="1"/>
  <c r="E618" i="10"/>
  <c r="H1513" i="7"/>
  <c r="E1514" i="7" s="1"/>
  <c r="H439" i="7"/>
  <c r="E440" i="7" s="1"/>
  <c r="E439" i="10"/>
  <c r="H797" i="7"/>
  <c r="E798" i="7" s="1"/>
  <c r="L796" i="7"/>
  <c r="L80" i="11" s="1"/>
  <c r="P80" i="11" s="1"/>
  <c r="H976" i="7"/>
  <c r="E977" i="7" s="1"/>
  <c r="H1334" i="7"/>
  <c r="E1335" i="7" s="1"/>
  <c r="L1154" i="7"/>
  <c r="L438" i="11" s="1"/>
  <c r="P438" i="11" s="1"/>
  <c r="L1333" i="7"/>
  <c r="L617" i="11" s="1"/>
  <c r="P617" i="11" s="1"/>
  <c r="H81" i="7"/>
  <c r="E82" i="7" s="1"/>
  <c r="E81" i="10"/>
  <c r="H260" i="7"/>
  <c r="E261" i="7" s="1"/>
  <c r="E260" i="10"/>
  <c r="I797" i="11" l="1"/>
  <c r="I81" i="11"/>
  <c r="I439" i="11"/>
  <c r="I618" i="11"/>
  <c r="I260" i="11"/>
  <c r="I976" i="11"/>
  <c r="E977" i="11"/>
  <c r="H2054" i="7"/>
  <c r="E2055" i="7" s="1"/>
  <c r="E800" i="10"/>
  <c r="I976" i="10"/>
  <c r="L2230" i="7"/>
  <c r="L976" i="10" s="1"/>
  <c r="P976" i="10" s="1"/>
  <c r="J2230" i="7"/>
  <c r="J976" i="10" s="1"/>
  <c r="K2230" i="7"/>
  <c r="K976" i="10" s="1"/>
  <c r="K1949" i="7"/>
  <c r="J1949" i="7"/>
  <c r="L1949" i="7" s="1"/>
  <c r="H1950" i="7"/>
  <c r="E1951" i="7" s="1"/>
  <c r="J1155" i="7"/>
  <c r="J439" i="11" s="1"/>
  <c r="K1155" i="7"/>
  <c r="K439" i="11" s="1"/>
  <c r="J976" i="7"/>
  <c r="J260" i="11" s="1"/>
  <c r="K976" i="7"/>
  <c r="K260" i="11" s="1"/>
  <c r="J618" i="7"/>
  <c r="J618" i="10" s="1"/>
  <c r="K618" i="7"/>
  <c r="K618" i="10" s="1"/>
  <c r="J797" i="7"/>
  <c r="J81" i="11" s="1"/>
  <c r="K797" i="7"/>
  <c r="K81" i="11" s="1"/>
  <c r="J1692" i="7"/>
  <c r="J976" i="11" s="1"/>
  <c r="K1692" i="7"/>
  <c r="K976" i="11" s="1"/>
  <c r="J1334" i="7"/>
  <c r="J618" i="11" s="1"/>
  <c r="K1334" i="7"/>
  <c r="K618" i="11" s="1"/>
  <c r="J260" i="7"/>
  <c r="J260" i="10" s="1"/>
  <c r="K260" i="7"/>
  <c r="K260" i="10" s="1"/>
  <c r="J439" i="7"/>
  <c r="J439" i="10" s="1"/>
  <c r="K439" i="7"/>
  <c r="K439" i="10" s="1"/>
  <c r="J81" i="7"/>
  <c r="J81" i="10" s="1"/>
  <c r="K81" i="7"/>
  <c r="K81" i="10" s="1"/>
  <c r="J1513" i="7"/>
  <c r="J797" i="11" s="1"/>
  <c r="K1513" i="7"/>
  <c r="K797" i="11" s="1"/>
  <c r="I81" i="10"/>
  <c r="E798" i="11"/>
  <c r="I618" i="10"/>
  <c r="E619" i="11"/>
  <c r="E440" i="11"/>
  <c r="E261" i="11"/>
  <c r="E82" i="11"/>
  <c r="I260" i="10"/>
  <c r="I439" i="10"/>
  <c r="H2231" i="7" l="1"/>
  <c r="E2232" i="7" s="1"/>
  <c r="E977" i="10"/>
  <c r="I800" i="10"/>
  <c r="L2054" i="7"/>
  <c r="L800" i="10" s="1"/>
  <c r="P800" i="10" s="1"/>
  <c r="J2054" i="7"/>
  <c r="J800" i="10" s="1"/>
  <c r="K2054" i="7"/>
  <c r="K800" i="10" s="1"/>
  <c r="J1950" i="7"/>
  <c r="L1950" i="7" s="1"/>
  <c r="K1950" i="7"/>
  <c r="H1951" i="7"/>
  <c r="E1952" i="7" s="1"/>
  <c r="L976" i="7"/>
  <c r="L260" i="11" s="1"/>
  <c r="P260" i="11" s="1"/>
  <c r="L81" i="7"/>
  <c r="L81" i="10" s="1"/>
  <c r="P81" i="10" s="1"/>
  <c r="L260" i="7"/>
  <c r="L260" i="10" s="1"/>
  <c r="P260" i="10" s="1"/>
  <c r="L1155" i="7"/>
  <c r="L439" i="11" s="1"/>
  <c r="P439" i="11" s="1"/>
  <c r="L618" i="7"/>
  <c r="L618" i="10" s="1"/>
  <c r="P618" i="10" s="1"/>
  <c r="L1692" i="7"/>
  <c r="L976" i="11" s="1"/>
  <c r="P976" i="11" s="1"/>
  <c r="H1156" i="7"/>
  <c r="E1157" i="7" s="1"/>
  <c r="H1693" i="7"/>
  <c r="E1694" i="7" s="1"/>
  <c r="H798" i="7"/>
  <c r="E799" i="7" s="1"/>
  <c r="L797" i="7"/>
  <c r="L81" i="11" s="1"/>
  <c r="P81" i="11" s="1"/>
  <c r="H1514" i="7"/>
  <c r="E1515" i="7" s="1"/>
  <c r="H440" i="7"/>
  <c r="E441" i="7" s="1"/>
  <c r="E440" i="10"/>
  <c r="L1513" i="7"/>
  <c r="L797" i="11" s="1"/>
  <c r="P797" i="11" s="1"/>
  <c r="L439" i="7"/>
  <c r="L439" i="10" s="1"/>
  <c r="P439" i="10" s="1"/>
  <c r="H977" i="7"/>
  <c r="E978" i="7" s="1"/>
  <c r="H1335" i="7"/>
  <c r="E1336" i="7" s="1"/>
  <c r="L1334" i="7"/>
  <c r="L618" i="11" s="1"/>
  <c r="P618" i="11" s="1"/>
  <c r="H82" i="7"/>
  <c r="E83" i="7" s="1"/>
  <c r="E82" i="10"/>
  <c r="H261" i="7"/>
  <c r="E262" i="7" s="1"/>
  <c r="E261" i="10"/>
  <c r="H619" i="7"/>
  <c r="E620" i="7" s="1"/>
  <c r="E619" i="10"/>
  <c r="I977" i="11" l="1"/>
  <c r="I440" i="11"/>
  <c r="E441" i="11"/>
  <c r="I619" i="11"/>
  <c r="I798" i="11"/>
  <c r="I82" i="11"/>
  <c r="E83" i="11"/>
  <c r="I261" i="11"/>
  <c r="E262" i="11"/>
  <c r="H2055" i="7"/>
  <c r="E2056" i="7" s="1"/>
  <c r="E801" i="10"/>
  <c r="I977" i="10"/>
  <c r="K2231" i="7"/>
  <c r="K977" i="10" s="1"/>
  <c r="L2231" i="7"/>
  <c r="L977" i="10" s="1"/>
  <c r="P977" i="10" s="1"/>
  <c r="J2231" i="7"/>
  <c r="J977" i="10" s="1"/>
  <c r="J1951" i="7"/>
  <c r="L1951" i="7" s="1"/>
  <c r="H1952" i="7"/>
  <c r="E1953" i="7" s="1"/>
  <c r="K1951" i="7"/>
  <c r="J1156" i="7"/>
  <c r="J440" i="11" s="1"/>
  <c r="K1156" i="7"/>
  <c r="K440" i="11" s="1"/>
  <c r="J619" i="7"/>
  <c r="J619" i="10" s="1"/>
  <c r="K619" i="7"/>
  <c r="K619" i="10" s="1"/>
  <c r="J261" i="7"/>
  <c r="J261" i="10" s="1"/>
  <c r="K261" i="7"/>
  <c r="K261" i="10" s="1"/>
  <c r="J798" i="7"/>
  <c r="J82" i="11" s="1"/>
  <c r="K798" i="7"/>
  <c r="K82" i="11" s="1"/>
  <c r="J1693" i="7"/>
  <c r="J977" i="11" s="1"/>
  <c r="K1693" i="7"/>
  <c r="K977" i="11" s="1"/>
  <c r="J440" i="7"/>
  <c r="J440" i="10" s="1"/>
  <c r="K440" i="7"/>
  <c r="K440" i="10" s="1"/>
  <c r="J1514" i="7"/>
  <c r="J798" i="11" s="1"/>
  <c r="K1514" i="7"/>
  <c r="K798" i="11" s="1"/>
  <c r="J1335" i="7"/>
  <c r="J619" i="11" s="1"/>
  <c r="K1335" i="7"/>
  <c r="K619" i="11" s="1"/>
  <c r="J977" i="7"/>
  <c r="J261" i="11" s="1"/>
  <c r="K977" i="7"/>
  <c r="K261" i="11" s="1"/>
  <c r="J82" i="7"/>
  <c r="J82" i="10" s="1"/>
  <c r="K82" i="7"/>
  <c r="K82" i="10" s="1"/>
  <c r="I619" i="10"/>
  <c r="I440" i="10"/>
  <c r="E799" i="11"/>
  <c r="E620" i="11"/>
  <c r="I261" i="10"/>
  <c r="E978" i="11"/>
  <c r="I82" i="10"/>
  <c r="H2232" i="7" l="1"/>
  <c r="E2233" i="7" s="1"/>
  <c r="E978" i="10"/>
  <c r="I801" i="10"/>
  <c r="L2055" i="7"/>
  <c r="L801" i="10" s="1"/>
  <c r="P801" i="10" s="1"/>
  <c r="J2055" i="7"/>
  <c r="J801" i="10" s="1"/>
  <c r="K2055" i="7"/>
  <c r="K801" i="10" s="1"/>
  <c r="K1952" i="7"/>
  <c r="H1953" i="7"/>
  <c r="E1954" i="7" s="1"/>
  <c r="J1952" i="7"/>
  <c r="L1952" i="7" s="1"/>
  <c r="L977" i="7"/>
  <c r="L261" i="11" s="1"/>
  <c r="P261" i="11" s="1"/>
  <c r="L82" i="7"/>
  <c r="L82" i="10" s="1"/>
  <c r="P82" i="10" s="1"/>
  <c r="L261" i="7"/>
  <c r="L261" i="10" s="1"/>
  <c r="P261" i="10" s="1"/>
  <c r="L1514" i="7"/>
  <c r="L798" i="11" s="1"/>
  <c r="P798" i="11" s="1"/>
  <c r="L440" i="7"/>
  <c r="L440" i="10" s="1"/>
  <c r="P440" i="10" s="1"/>
  <c r="L1156" i="7"/>
  <c r="L440" i="11" s="1"/>
  <c r="P440" i="11" s="1"/>
  <c r="H1336" i="7"/>
  <c r="E1337" i="7" s="1"/>
  <c r="H1694" i="7"/>
  <c r="E1695" i="7" s="1"/>
  <c r="L1335" i="7"/>
  <c r="L619" i="11" s="1"/>
  <c r="P619" i="11" s="1"/>
  <c r="H441" i="7"/>
  <c r="E442" i="7" s="1"/>
  <c r="E441" i="10"/>
  <c r="H83" i="7"/>
  <c r="E84" i="7" s="1"/>
  <c r="E83" i="10"/>
  <c r="L1693" i="7"/>
  <c r="L977" i="11" s="1"/>
  <c r="P977" i="11" s="1"/>
  <c r="H799" i="7"/>
  <c r="E800" i="7" s="1"/>
  <c r="H262" i="7"/>
  <c r="E263" i="7" s="1"/>
  <c r="E262" i="10"/>
  <c r="L798" i="7"/>
  <c r="L82" i="11" s="1"/>
  <c r="P82" i="11" s="1"/>
  <c r="H620" i="7"/>
  <c r="E621" i="7" s="1"/>
  <c r="E620" i="10"/>
  <c r="H1157" i="7"/>
  <c r="E1158" i="7" s="1"/>
  <c r="H978" i="7"/>
  <c r="E979" i="7" s="1"/>
  <c r="H1515" i="7"/>
  <c r="E1516" i="7" s="1"/>
  <c r="L619" i="7"/>
  <c r="L619" i="10" s="1"/>
  <c r="P619" i="10" s="1"/>
  <c r="I83" i="11" l="1"/>
  <c r="I978" i="11"/>
  <c r="E979" i="11"/>
  <c r="I799" i="11"/>
  <c r="E800" i="11"/>
  <c r="I262" i="11"/>
  <c r="E263" i="11"/>
  <c r="I441" i="11"/>
  <c r="E442" i="11"/>
  <c r="I620" i="11"/>
  <c r="E621" i="11"/>
  <c r="H2056" i="7"/>
  <c r="E2057" i="7" s="1"/>
  <c r="E802" i="10"/>
  <c r="I978" i="10"/>
  <c r="J2232" i="7"/>
  <c r="J978" i="10" s="1"/>
  <c r="K2232" i="7"/>
  <c r="K978" i="10" s="1"/>
  <c r="L2232" i="7"/>
  <c r="L978" i="10" s="1"/>
  <c r="P978" i="10" s="1"/>
  <c r="J1953" i="7"/>
  <c r="L1953" i="7" s="1"/>
  <c r="H1954" i="7"/>
  <c r="E1955" i="7" s="1"/>
  <c r="K1953" i="7"/>
  <c r="J620" i="7"/>
  <c r="J620" i="10" s="1"/>
  <c r="K620" i="7"/>
  <c r="K620" i="10" s="1"/>
  <c r="J262" i="7"/>
  <c r="J262" i="10" s="1"/>
  <c r="K262" i="7"/>
  <c r="K262" i="10" s="1"/>
  <c r="J441" i="7"/>
  <c r="J441" i="10" s="1"/>
  <c r="K441" i="7"/>
  <c r="K441" i="10" s="1"/>
  <c r="J1694" i="7"/>
  <c r="J978" i="11" s="1"/>
  <c r="K1694" i="7"/>
  <c r="K978" i="11" s="1"/>
  <c r="J1515" i="7"/>
  <c r="J799" i="11" s="1"/>
  <c r="K1515" i="7"/>
  <c r="K799" i="11" s="1"/>
  <c r="J1157" i="7"/>
  <c r="J441" i="11" s="1"/>
  <c r="K1157" i="7"/>
  <c r="K441" i="11" s="1"/>
  <c r="J1336" i="7"/>
  <c r="J620" i="11" s="1"/>
  <c r="K1336" i="7"/>
  <c r="K620" i="11" s="1"/>
  <c r="J799" i="7"/>
  <c r="J83" i="11" s="1"/>
  <c r="K799" i="7"/>
  <c r="K83" i="11" s="1"/>
  <c r="J978" i="7"/>
  <c r="J262" i="11" s="1"/>
  <c r="K978" i="7"/>
  <c r="K262" i="11" s="1"/>
  <c r="J83" i="7"/>
  <c r="J83" i="10" s="1"/>
  <c r="K83" i="7"/>
  <c r="K83" i="10" s="1"/>
  <c r="E84" i="11"/>
  <c r="I83" i="10"/>
  <c r="I441" i="10"/>
  <c r="I620" i="10"/>
  <c r="I262" i="10"/>
  <c r="H2233" i="7" l="1"/>
  <c r="E2234" i="7" s="1"/>
  <c r="E979" i="10"/>
  <c r="I802" i="10"/>
  <c r="K2056" i="7"/>
  <c r="K802" i="10" s="1"/>
  <c r="L2056" i="7"/>
  <c r="L802" i="10" s="1"/>
  <c r="P802" i="10" s="1"/>
  <c r="J2056" i="7"/>
  <c r="J802" i="10" s="1"/>
  <c r="J1954" i="7"/>
  <c r="L1954" i="7" s="1"/>
  <c r="K1954" i="7"/>
  <c r="H1955" i="7"/>
  <c r="E1956" i="7" s="1"/>
  <c r="L978" i="7"/>
  <c r="L262" i="11" s="1"/>
  <c r="P262" i="11" s="1"/>
  <c r="L262" i="7"/>
  <c r="L262" i="10" s="1"/>
  <c r="P262" i="10" s="1"/>
  <c r="L83" i="7"/>
  <c r="L83" i="10" s="1"/>
  <c r="P83" i="10" s="1"/>
  <c r="L1157" i="7"/>
  <c r="L441" i="11" s="1"/>
  <c r="P441" i="11" s="1"/>
  <c r="L441" i="7"/>
  <c r="L441" i="10" s="1"/>
  <c r="P441" i="10" s="1"/>
  <c r="L1336" i="7"/>
  <c r="L620" i="11" s="1"/>
  <c r="P620" i="11" s="1"/>
  <c r="H84" i="7"/>
  <c r="E85" i="7" s="1"/>
  <c r="E84" i="10"/>
  <c r="L620" i="7"/>
  <c r="L620" i="10" s="1"/>
  <c r="P620" i="10" s="1"/>
  <c r="H979" i="7"/>
  <c r="E980" i="7" s="1"/>
  <c r="H800" i="7"/>
  <c r="E801" i="7" s="1"/>
  <c r="H263" i="7"/>
  <c r="E264" i="7" s="1"/>
  <c r="E263" i="10"/>
  <c r="L799" i="7"/>
  <c r="L83" i="11" s="1"/>
  <c r="P83" i="11" s="1"/>
  <c r="H442" i="7"/>
  <c r="E443" i="7" s="1"/>
  <c r="E442" i="10"/>
  <c r="H1516" i="7"/>
  <c r="E1517" i="7" s="1"/>
  <c r="H621" i="7"/>
  <c r="E622" i="7" s="1"/>
  <c r="E621" i="10"/>
  <c r="H1695" i="7"/>
  <c r="E1696" i="7" s="1"/>
  <c r="H1158" i="7"/>
  <c r="E1159" i="7" s="1"/>
  <c r="L1515" i="7"/>
  <c r="L799" i="11" s="1"/>
  <c r="P799" i="11" s="1"/>
  <c r="H1337" i="7"/>
  <c r="E1338" i="7" s="1"/>
  <c r="L1694" i="7"/>
  <c r="L978" i="11" s="1"/>
  <c r="P978" i="11" s="1"/>
  <c r="I442" i="11" l="1"/>
  <c r="I621" i="11"/>
  <c r="I84" i="11"/>
  <c r="I263" i="11"/>
  <c r="I979" i="11"/>
  <c r="I800" i="11"/>
  <c r="E801" i="11"/>
  <c r="H2057" i="7"/>
  <c r="E2058" i="7" s="1"/>
  <c r="E803" i="10"/>
  <c r="I979" i="10"/>
  <c r="J2233" i="7"/>
  <c r="J979" i="10" s="1"/>
  <c r="L2233" i="7"/>
  <c r="L979" i="10" s="1"/>
  <c r="P979" i="10" s="1"/>
  <c r="K2233" i="7"/>
  <c r="K979" i="10" s="1"/>
  <c r="J1955" i="7"/>
  <c r="L1955" i="7" s="1"/>
  <c r="K1955" i="7"/>
  <c r="H1956" i="7"/>
  <c r="E1957" i="7" s="1"/>
  <c r="J1695" i="7"/>
  <c r="J979" i="11" s="1"/>
  <c r="K1695" i="7"/>
  <c r="K979" i="11" s="1"/>
  <c r="J800" i="7"/>
  <c r="J84" i="11" s="1"/>
  <c r="K800" i="7"/>
  <c r="K84" i="11" s="1"/>
  <c r="J979" i="7"/>
  <c r="J263" i="11" s="1"/>
  <c r="K979" i="7"/>
  <c r="K263" i="11" s="1"/>
  <c r="J621" i="7"/>
  <c r="J621" i="10" s="1"/>
  <c r="K621" i="7"/>
  <c r="K621" i="10" s="1"/>
  <c r="J1337" i="7"/>
  <c r="J621" i="11" s="1"/>
  <c r="K1337" i="7"/>
  <c r="K621" i="11" s="1"/>
  <c r="J263" i="7"/>
  <c r="J263" i="10" s="1"/>
  <c r="K263" i="7"/>
  <c r="K263" i="10" s="1"/>
  <c r="J1516" i="7"/>
  <c r="J800" i="11" s="1"/>
  <c r="K1516" i="7"/>
  <c r="K800" i="11" s="1"/>
  <c r="J84" i="7"/>
  <c r="J84" i="10" s="1"/>
  <c r="K84" i="7"/>
  <c r="K84" i="10" s="1"/>
  <c r="J442" i="7"/>
  <c r="J442" i="10" s="1"/>
  <c r="K442" i="7"/>
  <c r="K442" i="10" s="1"/>
  <c r="J1158" i="7"/>
  <c r="J442" i="11" s="1"/>
  <c r="K1158" i="7"/>
  <c r="K442" i="11" s="1"/>
  <c r="E622" i="11"/>
  <c r="I263" i="10"/>
  <c r="E443" i="11"/>
  <c r="E85" i="11"/>
  <c r="E264" i="11"/>
  <c r="E980" i="11"/>
  <c r="I442" i="10"/>
  <c r="I621" i="10"/>
  <c r="I84" i="10"/>
  <c r="H2234" i="7" l="1"/>
  <c r="E2235" i="7" s="1"/>
  <c r="E980" i="10"/>
  <c r="I803" i="10"/>
  <c r="K2057" i="7"/>
  <c r="K803" i="10" s="1"/>
  <c r="L2057" i="7"/>
  <c r="L803" i="10" s="1"/>
  <c r="P803" i="10" s="1"/>
  <c r="J2057" i="7"/>
  <c r="J803" i="10" s="1"/>
  <c r="J1956" i="7"/>
  <c r="L1956" i="7" s="1"/>
  <c r="K1956" i="7"/>
  <c r="H1957" i="7"/>
  <c r="E1958" i="7" s="1"/>
  <c r="L979" i="7"/>
  <c r="L263" i="11" s="1"/>
  <c r="P263" i="11" s="1"/>
  <c r="L263" i="7"/>
  <c r="L263" i="10" s="1"/>
  <c r="P263" i="10" s="1"/>
  <c r="L84" i="7"/>
  <c r="L84" i="10" s="1"/>
  <c r="P84" i="10" s="1"/>
  <c r="L1158" i="7"/>
  <c r="L442" i="11" s="1"/>
  <c r="P442" i="11" s="1"/>
  <c r="H443" i="7"/>
  <c r="E444" i="7" s="1"/>
  <c r="E443" i="10"/>
  <c r="H264" i="7"/>
  <c r="E265" i="7" s="1"/>
  <c r="E264" i="10"/>
  <c r="L1516" i="7"/>
  <c r="L800" i="11" s="1"/>
  <c r="P800" i="11" s="1"/>
  <c r="H801" i="7"/>
  <c r="E802" i="7" s="1"/>
  <c r="H1696" i="7"/>
  <c r="E1697" i="7" s="1"/>
  <c r="L800" i="7"/>
  <c r="L84" i="11" s="1"/>
  <c r="P84" i="11" s="1"/>
  <c r="H1517" i="7"/>
  <c r="E1518" i="7" s="1"/>
  <c r="L442" i="7"/>
  <c r="L442" i="10" s="1"/>
  <c r="P442" i="10" s="1"/>
  <c r="H1338" i="7"/>
  <c r="E1339" i="7" s="1"/>
  <c r="H622" i="7"/>
  <c r="E623" i="7" s="1"/>
  <c r="E622" i="10"/>
  <c r="H1159" i="7"/>
  <c r="E1160" i="7" s="1"/>
  <c r="L1337" i="7"/>
  <c r="L621" i="11" s="1"/>
  <c r="P621" i="11" s="1"/>
  <c r="L1695" i="7"/>
  <c r="L979" i="11" s="1"/>
  <c r="P979" i="11" s="1"/>
  <c r="H85" i="7"/>
  <c r="E86" i="7" s="1"/>
  <c r="E85" i="10"/>
  <c r="L621" i="7"/>
  <c r="L621" i="10" s="1"/>
  <c r="P621" i="10" s="1"/>
  <c r="H980" i="7"/>
  <c r="E981" i="7" s="1"/>
  <c r="I980" i="11" l="1"/>
  <c r="I622" i="11"/>
  <c r="E623" i="11"/>
  <c r="I264" i="11"/>
  <c r="E265" i="11"/>
  <c r="I801" i="11"/>
  <c r="E802" i="11"/>
  <c r="I85" i="11"/>
  <c r="E86" i="11"/>
  <c r="I443" i="11"/>
  <c r="E444" i="11"/>
  <c r="H2058" i="7"/>
  <c r="E2059" i="7" s="1"/>
  <c r="E804" i="10"/>
  <c r="I980" i="10"/>
  <c r="J2234" i="7"/>
  <c r="J980" i="10" s="1"/>
  <c r="K2234" i="7"/>
  <c r="K980" i="10" s="1"/>
  <c r="L2234" i="7"/>
  <c r="L980" i="10" s="1"/>
  <c r="P980" i="10" s="1"/>
  <c r="H1958" i="7"/>
  <c r="E1959" i="7" s="1"/>
  <c r="K1957" i="7"/>
  <c r="J1957" i="7"/>
  <c r="L1957" i="7" s="1"/>
  <c r="J1696" i="7"/>
  <c r="J980" i="11" s="1"/>
  <c r="K1696" i="7"/>
  <c r="K980" i="11" s="1"/>
  <c r="J622" i="7"/>
  <c r="J622" i="10" s="1"/>
  <c r="K622" i="7"/>
  <c r="K622" i="10" s="1"/>
  <c r="J264" i="7"/>
  <c r="J264" i="10" s="1"/>
  <c r="K264" i="7"/>
  <c r="K264" i="10" s="1"/>
  <c r="J1159" i="7"/>
  <c r="J443" i="11" s="1"/>
  <c r="K1159" i="7"/>
  <c r="K443" i="11" s="1"/>
  <c r="J1338" i="7"/>
  <c r="J622" i="11" s="1"/>
  <c r="K1338" i="7"/>
  <c r="K622" i="11" s="1"/>
  <c r="J443" i="7"/>
  <c r="J443" i="10" s="1"/>
  <c r="K443" i="7"/>
  <c r="K443" i="10" s="1"/>
  <c r="J801" i="7"/>
  <c r="J85" i="11" s="1"/>
  <c r="K801" i="7"/>
  <c r="K85" i="11" s="1"/>
  <c r="J980" i="7"/>
  <c r="J264" i="11" s="1"/>
  <c r="K980" i="7"/>
  <c r="K264" i="11" s="1"/>
  <c r="J1517" i="7"/>
  <c r="J801" i="11" s="1"/>
  <c r="K1517" i="7"/>
  <c r="K801" i="11" s="1"/>
  <c r="J85" i="7"/>
  <c r="J85" i="10" s="1"/>
  <c r="K85" i="7"/>
  <c r="K85" i="10" s="1"/>
  <c r="E981" i="11"/>
  <c r="I622" i="10"/>
  <c r="I264" i="10"/>
  <c r="I85" i="10"/>
  <c r="I443" i="10"/>
  <c r="H2235" i="7" l="1"/>
  <c r="E2236" i="7" s="1"/>
  <c r="E981" i="10"/>
  <c r="I804" i="10"/>
  <c r="L2058" i="7"/>
  <c r="L804" i="10" s="1"/>
  <c r="P804" i="10" s="1"/>
  <c r="K2058" i="7"/>
  <c r="K804" i="10" s="1"/>
  <c r="J2058" i="7"/>
  <c r="J804" i="10" s="1"/>
  <c r="K1958" i="7"/>
  <c r="J1958" i="7"/>
  <c r="L1958" i="7" s="1"/>
  <c r="H1959" i="7"/>
  <c r="E1960" i="7" s="1"/>
  <c r="L980" i="7"/>
  <c r="L264" i="11" s="1"/>
  <c r="P264" i="11" s="1"/>
  <c r="L264" i="7"/>
  <c r="L264" i="10" s="1"/>
  <c r="P264" i="10" s="1"/>
  <c r="L85" i="7"/>
  <c r="L85" i="10" s="1"/>
  <c r="P85" i="10" s="1"/>
  <c r="L1159" i="7"/>
  <c r="L443" i="11" s="1"/>
  <c r="P443" i="11" s="1"/>
  <c r="L801" i="7"/>
  <c r="L85" i="11" s="1"/>
  <c r="P85" i="11" s="1"/>
  <c r="L622" i="7"/>
  <c r="L622" i="10" s="1"/>
  <c r="P622" i="10" s="1"/>
  <c r="H86" i="7"/>
  <c r="E87" i="7" s="1"/>
  <c r="E86" i="10"/>
  <c r="L443" i="7"/>
  <c r="L443" i="10" s="1"/>
  <c r="P443" i="10" s="1"/>
  <c r="H1697" i="7"/>
  <c r="E1698" i="7" s="1"/>
  <c r="L1696" i="7"/>
  <c r="L980" i="11" s="1"/>
  <c r="P980" i="11" s="1"/>
  <c r="H802" i="7"/>
  <c r="E803" i="7" s="1"/>
  <c r="H265" i="7"/>
  <c r="E266" i="7" s="1"/>
  <c r="E265" i="10"/>
  <c r="H1518" i="7"/>
  <c r="E1519" i="7" s="1"/>
  <c r="L1517" i="7"/>
  <c r="L801" i="11" s="1"/>
  <c r="P801" i="11" s="1"/>
  <c r="H444" i="7"/>
  <c r="E445" i="7" s="1"/>
  <c r="E444" i="10"/>
  <c r="H981" i="7"/>
  <c r="E982" i="7" s="1"/>
  <c r="H1339" i="7"/>
  <c r="E1340" i="7" s="1"/>
  <c r="L1338" i="7"/>
  <c r="L622" i="11" s="1"/>
  <c r="P622" i="11" s="1"/>
  <c r="H623" i="7"/>
  <c r="E624" i="7" s="1"/>
  <c r="E623" i="10"/>
  <c r="H1160" i="7"/>
  <c r="E1161" i="7" s="1"/>
  <c r="I86" i="11" l="1"/>
  <c r="I981" i="11"/>
  <c r="I623" i="11"/>
  <c r="E624" i="11"/>
  <c r="I265" i="11"/>
  <c r="E266" i="11"/>
  <c r="I802" i="11"/>
  <c r="E803" i="11"/>
  <c r="I444" i="11"/>
  <c r="E445" i="11"/>
  <c r="H2059" i="7"/>
  <c r="E2060" i="7" s="1"/>
  <c r="E805" i="10"/>
  <c r="I981" i="10"/>
  <c r="K2235" i="7"/>
  <c r="K981" i="10" s="1"/>
  <c r="L2235" i="7"/>
  <c r="L981" i="10" s="1"/>
  <c r="P981" i="10" s="1"/>
  <c r="J2235" i="7"/>
  <c r="J981" i="10" s="1"/>
  <c r="K1959" i="7"/>
  <c r="J1959" i="7"/>
  <c r="L1959" i="7" s="1"/>
  <c r="H1960" i="7"/>
  <c r="E1961" i="7" s="1"/>
  <c r="J1339" i="7"/>
  <c r="J623" i="11" s="1"/>
  <c r="K1339" i="7"/>
  <c r="K623" i="11" s="1"/>
  <c r="J444" i="7"/>
  <c r="J444" i="10" s="1"/>
  <c r="K444" i="7"/>
  <c r="K444" i="10" s="1"/>
  <c r="J1160" i="7"/>
  <c r="J444" i="11" s="1"/>
  <c r="K1160" i="7"/>
  <c r="K444" i="11" s="1"/>
  <c r="J1518" i="7"/>
  <c r="J802" i="11" s="1"/>
  <c r="K1518" i="7"/>
  <c r="K802" i="11" s="1"/>
  <c r="J265" i="7"/>
  <c r="J265" i="10" s="1"/>
  <c r="K265" i="7"/>
  <c r="K265" i="10" s="1"/>
  <c r="J623" i="7"/>
  <c r="J623" i="10" s="1"/>
  <c r="K623" i="7"/>
  <c r="K623" i="10" s="1"/>
  <c r="J981" i="7"/>
  <c r="J265" i="11" s="1"/>
  <c r="K981" i="7"/>
  <c r="K265" i="11" s="1"/>
  <c r="J1697" i="7"/>
  <c r="J981" i="11" s="1"/>
  <c r="K1697" i="7"/>
  <c r="K981" i="11" s="1"/>
  <c r="J86" i="7"/>
  <c r="J86" i="10" s="1"/>
  <c r="K86" i="7"/>
  <c r="K86" i="10" s="1"/>
  <c r="J802" i="7"/>
  <c r="J86" i="11" s="1"/>
  <c r="K802" i="7"/>
  <c r="K86" i="11" s="1"/>
  <c r="I623" i="10"/>
  <c r="I265" i="10"/>
  <c r="E87" i="11"/>
  <c r="E982" i="11"/>
  <c r="I444" i="10"/>
  <c r="I86" i="10"/>
  <c r="H2236" i="7" l="1"/>
  <c r="E2237" i="7" s="1"/>
  <c r="E982" i="10"/>
  <c r="I805" i="10"/>
  <c r="L2059" i="7"/>
  <c r="L805" i="10" s="1"/>
  <c r="P805" i="10" s="1"/>
  <c r="J2059" i="7"/>
  <c r="J805" i="10" s="1"/>
  <c r="K2059" i="7"/>
  <c r="K805" i="10" s="1"/>
  <c r="H1961" i="7"/>
  <c r="E1962" i="7" s="1"/>
  <c r="J1960" i="7"/>
  <c r="L1960" i="7" s="1"/>
  <c r="K1960" i="7"/>
  <c r="L981" i="7"/>
  <c r="L265" i="11" s="1"/>
  <c r="P265" i="11" s="1"/>
  <c r="L265" i="7"/>
  <c r="L265" i="10" s="1"/>
  <c r="P265" i="10" s="1"/>
  <c r="L86" i="7"/>
  <c r="L86" i="10" s="1"/>
  <c r="P86" i="10" s="1"/>
  <c r="L623" i="7"/>
  <c r="L623" i="10" s="1"/>
  <c r="P623" i="10" s="1"/>
  <c r="L444" i="7"/>
  <c r="L444" i="10" s="1"/>
  <c r="P444" i="10" s="1"/>
  <c r="L1339" i="7"/>
  <c r="L623" i="11" s="1"/>
  <c r="P623" i="11" s="1"/>
  <c r="H803" i="7"/>
  <c r="E804" i="7" s="1"/>
  <c r="H87" i="7"/>
  <c r="E88" i="7" s="1"/>
  <c r="E87" i="10"/>
  <c r="H1519" i="7"/>
  <c r="E1520" i="7" s="1"/>
  <c r="L1697" i="7"/>
  <c r="L981" i="11" s="1"/>
  <c r="P981" i="11" s="1"/>
  <c r="H1340" i="7"/>
  <c r="E1341" i="7" s="1"/>
  <c r="H266" i="7"/>
  <c r="E267" i="7" s="1"/>
  <c r="E266" i="10"/>
  <c r="L1518" i="7"/>
  <c r="L802" i="11" s="1"/>
  <c r="P802" i="11" s="1"/>
  <c r="H1698" i="7"/>
  <c r="E1699" i="7" s="1"/>
  <c r="L802" i="7"/>
  <c r="L86" i="11" s="1"/>
  <c r="P86" i="11" s="1"/>
  <c r="H982" i="7"/>
  <c r="E983" i="7" s="1"/>
  <c r="H1161" i="7"/>
  <c r="E1162" i="7" s="1"/>
  <c r="H624" i="7"/>
  <c r="E625" i="7" s="1"/>
  <c r="E624" i="10"/>
  <c r="H445" i="7"/>
  <c r="E446" i="7" s="1"/>
  <c r="E445" i="10"/>
  <c r="L1160" i="7"/>
  <c r="L444" i="11" s="1"/>
  <c r="P444" i="11" s="1"/>
  <c r="I624" i="11" l="1"/>
  <c r="I803" i="11"/>
  <c r="I87" i="11"/>
  <c r="E88" i="11"/>
  <c r="I266" i="11"/>
  <c r="I445" i="11"/>
  <c r="E446" i="11"/>
  <c r="I982" i="11"/>
  <c r="E983" i="11"/>
  <c r="H2060" i="7"/>
  <c r="E2061" i="7" s="1"/>
  <c r="E806" i="10"/>
  <c r="I982" i="10"/>
  <c r="K2236" i="7"/>
  <c r="K982" i="10" s="1"/>
  <c r="L2236" i="7"/>
  <c r="L982" i="10" s="1"/>
  <c r="P982" i="10" s="1"/>
  <c r="J2236" i="7"/>
  <c r="J982" i="10" s="1"/>
  <c r="K1961" i="7"/>
  <c r="J1961" i="7"/>
  <c r="L1961" i="7" s="1"/>
  <c r="H1962" i="7"/>
  <c r="E1963" i="7" s="1"/>
  <c r="J1519" i="7"/>
  <c r="J803" i="11" s="1"/>
  <c r="K1519" i="7"/>
  <c r="K803" i="11" s="1"/>
  <c r="J445" i="7"/>
  <c r="J445" i="10" s="1"/>
  <c r="K445" i="7"/>
  <c r="K445" i="10" s="1"/>
  <c r="J1698" i="7"/>
  <c r="J982" i="11" s="1"/>
  <c r="K1698" i="7"/>
  <c r="K982" i="11" s="1"/>
  <c r="J266" i="7"/>
  <c r="J266" i="10" s="1"/>
  <c r="K266" i="7"/>
  <c r="K266" i="10" s="1"/>
  <c r="J1161" i="7"/>
  <c r="J445" i="11" s="1"/>
  <c r="K1161" i="7"/>
  <c r="K445" i="11" s="1"/>
  <c r="J982" i="7"/>
  <c r="J266" i="11" s="1"/>
  <c r="K982" i="7"/>
  <c r="K266" i="11" s="1"/>
  <c r="J87" i="7"/>
  <c r="J87" i="10" s="1"/>
  <c r="K87" i="7"/>
  <c r="K87" i="10" s="1"/>
  <c r="J803" i="7"/>
  <c r="J87" i="11" s="1"/>
  <c r="K803" i="7"/>
  <c r="K87" i="11" s="1"/>
  <c r="J624" i="7"/>
  <c r="J624" i="10" s="1"/>
  <c r="K624" i="7"/>
  <c r="K624" i="10" s="1"/>
  <c r="J1340" i="7"/>
  <c r="J624" i="11" s="1"/>
  <c r="K1340" i="7"/>
  <c r="K624" i="11" s="1"/>
  <c r="I266" i="10"/>
  <c r="I445" i="10"/>
  <c r="I624" i="10"/>
  <c r="E625" i="11"/>
  <c r="E804" i="11"/>
  <c r="I87" i="10"/>
  <c r="E267" i="11"/>
  <c r="H2237" i="7" l="1"/>
  <c r="E2238" i="7" s="1"/>
  <c r="E983" i="10"/>
  <c r="I806" i="10"/>
  <c r="J2060" i="7"/>
  <c r="J806" i="10" s="1"/>
  <c r="K2060" i="7"/>
  <c r="K806" i="10" s="1"/>
  <c r="L2060" i="7"/>
  <c r="L806" i="10" s="1"/>
  <c r="P806" i="10" s="1"/>
  <c r="J1962" i="7"/>
  <c r="L1962" i="7" s="1"/>
  <c r="H1963" i="7"/>
  <c r="E1964" i="7" s="1"/>
  <c r="K1962" i="7"/>
  <c r="L982" i="7"/>
  <c r="L266" i="11" s="1"/>
  <c r="P266" i="11" s="1"/>
  <c r="L266" i="7"/>
  <c r="L266" i="10" s="1"/>
  <c r="P266" i="10" s="1"/>
  <c r="L87" i="7"/>
  <c r="L87" i="10" s="1"/>
  <c r="P87" i="10" s="1"/>
  <c r="L445" i="7"/>
  <c r="L445" i="10" s="1"/>
  <c r="P445" i="10" s="1"/>
  <c r="L624" i="7"/>
  <c r="L624" i="10" s="1"/>
  <c r="P624" i="10" s="1"/>
  <c r="L1519" i="7"/>
  <c r="L803" i="11" s="1"/>
  <c r="P803" i="11" s="1"/>
  <c r="L803" i="7"/>
  <c r="L87" i="11" s="1"/>
  <c r="P87" i="11" s="1"/>
  <c r="H1699" i="7"/>
  <c r="E1700" i="7" s="1"/>
  <c r="H804" i="7"/>
  <c r="E805" i="7" s="1"/>
  <c r="H1520" i="7"/>
  <c r="E1521" i="7" s="1"/>
  <c r="H983" i="7"/>
  <c r="E984" i="7" s="1"/>
  <c r="H446" i="7"/>
  <c r="E447" i="7" s="1"/>
  <c r="E446" i="10"/>
  <c r="H1341" i="7"/>
  <c r="E1342" i="7" s="1"/>
  <c r="L1340" i="7"/>
  <c r="L624" i="11" s="1"/>
  <c r="P624" i="11" s="1"/>
  <c r="H88" i="7"/>
  <c r="E89" i="7" s="1"/>
  <c r="E88" i="10"/>
  <c r="H267" i="7"/>
  <c r="E268" i="7" s="1"/>
  <c r="E267" i="10"/>
  <c r="L1698" i="7"/>
  <c r="L982" i="11" s="1"/>
  <c r="P982" i="11" s="1"/>
  <c r="H1162" i="7"/>
  <c r="E1163" i="7" s="1"/>
  <c r="H625" i="7"/>
  <c r="E626" i="7" s="1"/>
  <c r="E625" i="10"/>
  <c r="L1161" i="7"/>
  <c r="L445" i="11" s="1"/>
  <c r="P445" i="11" s="1"/>
  <c r="I625" i="11" l="1"/>
  <c r="I88" i="11"/>
  <c r="E89" i="11"/>
  <c r="I446" i="11"/>
  <c r="I267" i="11"/>
  <c r="I804" i="11"/>
  <c r="E805" i="11"/>
  <c r="I983" i="11"/>
  <c r="E984" i="11"/>
  <c r="H2061" i="7"/>
  <c r="E2062" i="7" s="1"/>
  <c r="E807" i="10"/>
  <c r="I983" i="10"/>
  <c r="K2237" i="7"/>
  <c r="K983" i="10" s="1"/>
  <c r="J2237" i="7"/>
  <c r="J983" i="10" s="1"/>
  <c r="L2237" i="7"/>
  <c r="L983" i="10" s="1"/>
  <c r="P983" i="10" s="1"/>
  <c r="J1963" i="7"/>
  <c r="L1963" i="7" s="1"/>
  <c r="H1964" i="7"/>
  <c r="E1965" i="7" s="1"/>
  <c r="K1963" i="7"/>
  <c r="J625" i="7"/>
  <c r="J625" i="10" s="1"/>
  <c r="K625" i="7"/>
  <c r="K625" i="10" s="1"/>
  <c r="J1520" i="7"/>
  <c r="J804" i="11" s="1"/>
  <c r="K1520" i="7"/>
  <c r="K804" i="11" s="1"/>
  <c r="J88" i="7"/>
  <c r="J88" i="10" s="1"/>
  <c r="K88" i="7"/>
  <c r="K88" i="10" s="1"/>
  <c r="J446" i="7"/>
  <c r="J446" i="10" s="1"/>
  <c r="K446" i="7"/>
  <c r="K446" i="10" s="1"/>
  <c r="J267" i="7"/>
  <c r="J267" i="10" s="1"/>
  <c r="K267" i="7"/>
  <c r="K267" i="10" s="1"/>
  <c r="J804" i="7"/>
  <c r="J88" i="11" s="1"/>
  <c r="K804" i="7"/>
  <c r="K88" i="11" s="1"/>
  <c r="J1699" i="7"/>
  <c r="J983" i="11" s="1"/>
  <c r="K1699" i="7"/>
  <c r="K983" i="11" s="1"/>
  <c r="J1341" i="7"/>
  <c r="J625" i="11" s="1"/>
  <c r="K1341" i="7"/>
  <c r="K625" i="11" s="1"/>
  <c r="J1162" i="7"/>
  <c r="J446" i="11" s="1"/>
  <c r="K1162" i="7"/>
  <c r="K446" i="11" s="1"/>
  <c r="J983" i="7"/>
  <c r="J267" i="11" s="1"/>
  <c r="K983" i="7"/>
  <c r="K267" i="11" s="1"/>
  <c r="I625" i="10"/>
  <c r="E447" i="11"/>
  <c r="I267" i="10"/>
  <c r="I446" i="10"/>
  <c r="E268" i="11"/>
  <c r="I88" i="10"/>
  <c r="E626" i="11"/>
  <c r="H2238" i="7" l="1"/>
  <c r="E2239" i="7" s="1"/>
  <c r="E984" i="10"/>
  <c r="I807" i="10"/>
  <c r="L2061" i="7"/>
  <c r="L807" i="10" s="1"/>
  <c r="P807" i="10" s="1"/>
  <c r="K2061" i="7"/>
  <c r="K807" i="10" s="1"/>
  <c r="J2061" i="7"/>
  <c r="J807" i="10" s="1"/>
  <c r="K1964" i="7"/>
  <c r="J1964" i="7"/>
  <c r="L1964" i="7" s="1"/>
  <c r="H1965" i="7"/>
  <c r="E1966" i="7" s="1"/>
  <c r="L983" i="7"/>
  <c r="L267" i="11" s="1"/>
  <c r="P267" i="11" s="1"/>
  <c r="L88" i="7"/>
  <c r="L88" i="10" s="1"/>
  <c r="P88" i="10" s="1"/>
  <c r="L267" i="7"/>
  <c r="L267" i="10" s="1"/>
  <c r="P267" i="10" s="1"/>
  <c r="L1699" i="7"/>
  <c r="L983" i="11" s="1"/>
  <c r="P983" i="11" s="1"/>
  <c r="L804" i="7"/>
  <c r="L88" i="11" s="1"/>
  <c r="P88" i="11" s="1"/>
  <c r="L446" i="7"/>
  <c r="L446" i="10" s="1"/>
  <c r="P446" i="10" s="1"/>
  <c r="H89" i="7"/>
  <c r="E90" i="7" s="1"/>
  <c r="E89" i="10"/>
  <c r="H1700" i="7"/>
  <c r="E1701" i="7" s="1"/>
  <c r="L1341" i="7"/>
  <c r="L625" i="11" s="1"/>
  <c r="P625" i="11" s="1"/>
  <c r="H1163" i="7"/>
  <c r="E1164" i="7" s="1"/>
  <c r="H1342" i="7"/>
  <c r="E1343" i="7" s="1"/>
  <c r="H805" i="7"/>
  <c r="E806" i="7" s="1"/>
  <c r="L1162" i="7"/>
  <c r="L446" i="11" s="1"/>
  <c r="P446" i="11" s="1"/>
  <c r="H447" i="7"/>
  <c r="E448" i="7" s="1"/>
  <c r="E447" i="10"/>
  <c r="H626" i="7"/>
  <c r="E627" i="7" s="1"/>
  <c r="E626" i="10"/>
  <c r="H268" i="7"/>
  <c r="E269" i="7" s="1"/>
  <c r="E268" i="10"/>
  <c r="H1521" i="7"/>
  <c r="E1522" i="7" s="1"/>
  <c r="L625" i="7"/>
  <c r="L625" i="10" s="1"/>
  <c r="P625" i="10" s="1"/>
  <c r="L1520" i="7"/>
  <c r="L804" i="11" s="1"/>
  <c r="P804" i="11" s="1"/>
  <c r="H984" i="7"/>
  <c r="E985" i="7" s="1"/>
  <c r="I447" i="11" l="1"/>
  <c r="I89" i="11"/>
  <c r="I268" i="11"/>
  <c r="I984" i="11"/>
  <c r="E985" i="11"/>
  <c r="I805" i="11"/>
  <c r="E806" i="11"/>
  <c r="I626" i="11"/>
  <c r="E627" i="11"/>
  <c r="H2062" i="7"/>
  <c r="E2063" i="7" s="1"/>
  <c r="E808" i="10"/>
  <c r="I984" i="10"/>
  <c r="K2238" i="7"/>
  <c r="K984" i="10" s="1"/>
  <c r="L2238" i="7"/>
  <c r="L984" i="10" s="1"/>
  <c r="P984" i="10" s="1"/>
  <c r="J2238" i="7"/>
  <c r="J984" i="10" s="1"/>
  <c r="H1966" i="7"/>
  <c r="E1967" i="7" s="1"/>
  <c r="J1965" i="7"/>
  <c r="L1965" i="7" s="1"/>
  <c r="K1965" i="7"/>
  <c r="J447" i="7"/>
  <c r="J447" i="10" s="1"/>
  <c r="K447" i="7"/>
  <c r="K447" i="10" s="1"/>
  <c r="J268" i="7"/>
  <c r="J268" i="10" s="1"/>
  <c r="K268" i="7"/>
  <c r="K268" i="10" s="1"/>
  <c r="J1700" i="7"/>
  <c r="J984" i="11" s="1"/>
  <c r="K1700" i="7"/>
  <c r="K984" i="11" s="1"/>
  <c r="J1342" i="7"/>
  <c r="J626" i="11" s="1"/>
  <c r="K1342" i="7"/>
  <c r="K626" i="11" s="1"/>
  <c r="J1163" i="7"/>
  <c r="J447" i="11" s="1"/>
  <c r="K1163" i="7"/>
  <c r="K447" i="11" s="1"/>
  <c r="J626" i="7"/>
  <c r="J626" i="10" s="1"/>
  <c r="K626" i="7"/>
  <c r="K626" i="10" s="1"/>
  <c r="J89" i="7"/>
  <c r="K89" i="7"/>
  <c r="J984" i="7"/>
  <c r="J268" i="11" s="1"/>
  <c r="K984" i="7"/>
  <c r="K268" i="11" s="1"/>
  <c r="J805" i="7"/>
  <c r="J89" i="11" s="1"/>
  <c r="K805" i="7"/>
  <c r="K89" i="11" s="1"/>
  <c r="J1521" i="7"/>
  <c r="J805" i="11" s="1"/>
  <c r="K1521" i="7"/>
  <c r="K805" i="11" s="1"/>
  <c r="E269" i="11"/>
  <c r="E90" i="11"/>
  <c r="E448" i="11"/>
  <c r="I268" i="10"/>
  <c r="I626" i="10"/>
  <c r="I447" i="10"/>
  <c r="I89" i="10"/>
  <c r="H2239" i="7" l="1"/>
  <c r="E2240" i="7" s="1"/>
  <c r="E985" i="10"/>
  <c r="I808" i="10"/>
  <c r="K2062" i="7"/>
  <c r="K808" i="10" s="1"/>
  <c r="L2062" i="7"/>
  <c r="L808" i="10" s="1"/>
  <c r="P808" i="10" s="1"/>
  <c r="J2062" i="7"/>
  <c r="J808" i="10" s="1"/>
  <c r="K89" i="10"/>
  <c r="J89" i="10"/>
  <c r="K1966" i="7"/>
  <c r="J1966" i="7"/>
  <c r="L1966" i="7" s="1"/>
  <c r="H1967" i="7"/>
  <c r="E1968" i="7" s="1"/>
  <c r="L984" i="7"/>
  <c r="L268" i="11" s="1"/>
  <c r="P268" i="11" s="1"/>
  <c r="L268" i="7"/>
  <c r="L268" i="10" s="1"/>
  <c r="P268" i="10" s="1"/>
  <c r="L89" i="7"/>
  <c r="L89" i="10" s="1"/>
  <c r="P89" i="10" s="1"/>
  <c r="L805" i="7"/>
  <c r="L89" i="11" s="1"/>
  <c r="P89" i="11" s="1"/>
  <c r="H985" i="7"/>
  <c r="E986" i="7" s="1"/>
  <c r="H1164" i="7"/>
  <c r="E1165" i="7" s="1"/>
  <c r="H90" i="7"/>
  <c r="E91" i="7" s="1"/>
  <c r="E90" i="10"/>
  <c r="L1342" i="7"/>
  <c r="L626" i="11" s="1"/>
  <c r="P626" i="11" s="1"/>
  <c r="H806" i="7"/>
  <c r="E807" i="7" s="1"/>
  <c r="H1522" i="7"/>
  <c r="E1523" i="7" s="1"/>
  <c r="H627" i="7"/>
  <c r="E628" i="7" s="1"/>
  <c r="E627" i="10"/>
  <c r="H448" i="7"/>
  <c r="E449" i="7" s="1"/>
  <c r="E448" i="10"/>
  <c r="L626" i="7"/>
  <c r="L626" i="10" s="1"/>
  <c r="P626" i="10" s="1"/>
  <c r="H1343" i="7"/>
  <c r="E1344" i="7" s="1"/>
  <c r="L447" i="7"/>
  <c r="L447" i="10" s="1"/>
  <c r="P447" i="10" s="1"/>
  <c r="L1163" i="7"/>
  <c r="L447" i="11" s="1"/>
  <c r="P447" i="11" s="1"/>
  <c r="L1521" i="7"/>
  <c r="L805" i="11" s="1"/>
  <c r="P805" i="11" s="1"/>
  <c r="H1701" i="7"/>
  <c r="E1702" i="7" s="1"/>
  <c r="L1700" i="7"/>
  <c r="L984" i="11" s="1"/>
  <c r="P984" i="11" s="1"/>
  <c r="H269" i="7"/>
  <c r="E270" i="7" s="1"/>
  <c r="E269" i="10"/>
  <c r="I90" i="11" l="1"/>
  <c r="I806" i="11"/>
  <c r="E807" i="11"/>
  <c r="I448" i="11"/>
  <c r="I627" i="11"/>
  <c r="E628" i="11"/>
  <c r="I269" i="11"/>
  <c r="E270" i="11"/>
  <c r="I985" i="11"/>
  <c r="E986" i="11"/>
  <c r="H2063" i="7"/>
  <c r="E2064" i="7" s="1"/>
  <c r="E809" i="10"/>
  <c r="I985" i="10"/>
  <c r="J2239" i="7"/>
  <c r="J985" i="10" s="1"/>
  <c r="L2239" i="7"/>
  <c r="L985" i="10" s="1"/>
  <c r="P985" i="10" s="1"/>
  <c r="K2239" i="7"/>
  <c r="K985" i="10" s="1"/>
  <c r="H1968" i="7"/>
  <c r="E1969" i="7" s="1"/>
  <c r="J1967" i="7"/>
  <c r="L1967" i="7" s="1"/>
  <c r="K1967" i="7"/>
  <c r="J806" i="7"/>
  <c r="J90" i="11" s="1"/>
  <c r="K806" i="7"/>
  <c r="K90" i="11" s="1"/>
  <c r="J90" i="7"/>
  <c r="K90" i="7"/>
  <c r="J1164" i="7"/>
  <c r="J448" i="11" s="1"/>
  <c r="K1164" i="7"/>
  <c r="K448" i="11" s="1"/>
  <c r="J269" i="7"/>
  <c r="J269" i="10" s="1"/>
  <c r="K269" i="7"/>
  <c r="K269" i="10" s="1"/>
  <c r="J985" i="7"/>
  <c r="J269" i="11" s="1"/>
  <c r="K985" i="7"/>
  <c r="K269" i="11" s="1"/>
  <c r="J627" i="7"/>
  <c r="J627" i="10" s="1"/>
  <c r="K627" i="7"/>
  <c r="K627" i="10" s="1"/>
  <c r="J1343" i="7"/>
  <c r="J627" i="11" s="1"/>
  <c r="K1343" i="7"/>
  <c r="K627" i="11" s="1"/>
  <c r="J1701" i="7"/>
  <c r="J985" i="11" s="1"/>
  <c r="K1701" i="7"/>
  <c r="K985" i="11" s="1"/>
  <c r="J1522" i="7"/>
  <c r="J806" i="11" s="1"/>
  <c r="K1522" i="7"/>
  <c r="K806" i="11" s="1"/>
  <c r="J448" i="7"/>
  <c r="J448" i="10" s="1"/>
  <c r="K448" i="7"/>
  <c r="K448" i="10" s="1"/>
  <c r="I627" i="10"/>
  <c r="I90" i="10"/>
  <c r="E91" i="11"/>
  <c r="E449" i="11"/>
  <c r="I448" i="10"/>
  <c r="I269" i="10"/>
  <c r="H2240" i="7" l="1"/>
  <c r="E2241" i="7" s="1"/>
  <c r="E986" i="10"/>
  <c r="I809" i="10"/>
  <c r="J2063" i="7"/>
  <c r="J809" i="10" s="1"/>
  <c r="L2063" i="7"/>
  <c r="L809" i="10" s="1"/>
  <c r="P809" i="10" s="1"/>
  <c r="K2063" i="7"/>
  <c r="K809" i="10" s="1"/>
  <c r="K90" i="10"/>
  <c r="J90" i="10"/>
  <c r="K1968" i="7"/>
  <c r="J1968" i="7"/>
  <c r="L1968" i="7" s="1"/>
  <c r="H1969" i="7"/>
  <c r="E1970" i="7" s="1"/>
  <c r="L985" i="7"/>
  <c r="L269" i="11" s="1"/>
  <c r="P269" i="11" s="1"/>
  <c r="L269" i="7"/>
  <c r="L269" i="10" s="1"/>
  <c r="P269" i="10" s="1"/>
  <c r="L90" i="7"/>
  <c r="L90" i="10" s="1"/>
  <c r="P90" i="10" s="1"/>
  <c r="L1522" i="7"/>
  <c r="L806" i="11" s="1"/>
  <c r="P806" i="11" s="1"/>
  <c r="L448" i="7"/>
  <c r="L448" i="10" s="1"/>
  <c r="P448" i="10" s="1"/>
  <c r="L1343" i="7"/>
  <c r="L627" i="11" s="1"/>
  <c r="P627" i="11" s="1"/>
  <c r="H91" i="7"/>
  <c r="E92" i="7" s="1"/>
  <c r="E91" i="10"/>
  <c r="H1702" i="7"/>
  <c r="E1703" i="7" s="1"/>
  <c r="H270" i="7"/>
  <c r="E271" i="7" s="1"/>
  <c r="E270" i="10"/>
  <c r="H1344" i="7"/>
  <c r="E1345" i="7" s="1"/>
  <c r="L1701" i="7"/>
  <c r="L985" i="11" s="1"/>
  <c r="P985" i="11" s="1"/>
  <c r="H1165" i="7"/>
  <c r="E1166" i="7" s="1"/>
  <c r="H449" i="7"/>
  <c r="E450" i="7" s="1"/>
  <c r="E449" i="10"/>
  <c r="L1164" i="7"/>
  <c r="L448" i="11" s="1"/>
  <c r="P448" i="11" s="1"/>
  <c r="H807" i="7"/>
  <c r="E808" i="7" s="1"/>
  <c r="L806" i="7"/>
  <c r="L90" i="11" s="1"/>
  <c r="P90" i="11" s="1"/>
  <c r="H1523" i="7"/>
  <c r="E1524" i="7" s="1"/>
  <c r="H628" i="7"/>
  <c r="E629" i="7" s="1"/>
  <c r="E628" i="10"/>
  <c r="L627" i="7"/>
  <c r="L627" i="10" s="1"/>
  <c r="P627" i="10" s="1"/>
  <c r="H986" i="7"/>
  <c r="E987" i="7" s="1"/>
  <c r="I986" i="11" l="1"/>
  <c r="I628" i="11"/>
  <c r="I807" i="11"/>
  <c r="E808" i="11"/>
  <c r="I91" i="11"/>
  <c r="E92" i="11"/>
  <c r="I270" i="11"/>
  <c r="E271" i="11"/>
  <c r="I449" i="11"/>
  <c r="E450" i="11"/>
  <c r="H2064" i="7"/>
  <c r="E2065" i="7" s="1"/>
  <c r="E810" i="10"/>
  <c r="I986" i="10"/>
  <c r="J2240" i="7"/>
  <c r="J986" i="10" s="1"/>
  <c r="L2240" i="7"/>
  <c r="L986" i="10" s="1"/>
  <c r="P986" i="10" s="1"/>
  <c r="K2240" i="7"/>
  <c r="K986" i="10" s="1"/>
  <c r="K1969" i="7"/>
  <c r="J1969" i="7"/>
  <c r="L1969" i="7" s="1"/>
  <c r="H1970" i="7"/>
  <c r="E1971" i="7" s="1"/>
  <c r="J986" i="7"/>
  <c r="J270" i="11" s="1"/>
  <c r="K986" i="7"/>
  <c r="K270" i="11" s="1"/>
  <c r="J807" i="7"/>
  <c r="J91" i="11" s="1"/>
  <c r="K807" i="7"/>
  <c r="K91" i="11" s="1"/>
  <c r="J1523" i="7"/>
  <c r="J807" i="11" s="1"/>
  <c r="K1523" i="7"/>
  <c r="K807" i="11" s="1"/>
  <c r="J1702" i="7"/>
  <c r="J986" i="11" s="1"/>
  <c r="K1702" i="7"/>
  <c r="K986" i="11" s="1"/>
  <c r="J1165" i="7"/>
  <c r="J449" i="11" s="1"/>
  <c r="K1165" i="7"/>
  <c r="K449" i="11" s="1"/>
  <c r="J270" i="7"/>
  <c r="J270" i="10" s="1"/>
  <c r="K270" i="7"/>
  <c r="K270" i="10" s="1"/>
  <c r="J91" i="7"/>
  <c r="K91" i="7"/>
  <c r="J449" i="7"/>
  <c r="J449" i="10" s="1"/>
  <c r="K449" i="7"/>
  <c r="K449" i="10" s="1"/>
  <c r="J628" i="7"/>
  <c r="J628" i="10" s="1"/>
  <c r="K628" i="7"/>
  <c r="K628" i="10" s="1"/>
  <c r="J1344" i="7"/>
  <c r="J628" i="11" s="1"/>
  <c r="K1344" i="7"/>
  <c r="K628" i="11" s="1"/>
  <c r="I449" i="10"/>
  <c r="I628" i="10"/>
  <c r="E629" i="11"/>
  <c r="I270" i="10"/>
  <c r="E987" i="11"/>
  <c r="I91" i="10"/>
  <c r="H2241" i="7" l="1"/>
  <c r="E2242" i="7" s="1"/>
  <c r="E987" i="10"/>
  <c r="I810" i="10"/>
  <c r="L2064" i="7"/>
  <c r="L810" i="10" s="1"/>
  <c r="P810" i="10" s="1"/>
  <c r="K2064" i="7"/>
  <c r="K810" i="10" s="1"/>
  <c r="J2064" i="7"/>
  <c r="J810" i="10" s="1"/>
  <c r="K91" i="10"/>
  <c r="J91" i="10"/>
  <c r="K1970" i="7"/>
  <c r="H1971" i="7"/>
  <c r="E1972" i="7" s="1"/>
  <c r="J1970" i="7"/>
  <c r="L1970" i="7" s="1"/>
  <c r="L986" i="7"/>
  <c r="L270" i="11" s="1"/>
  <c r="P270" i="11" s="1"/>
  <c r="L270" i="7"/>
  <c r="L270" i="10" s="1"/>
  <c r="P270" i="10" s="1"/>
  <c r="L91" i="7"/>
  <c r="L91" i="10" s="1"/>
  <c r="P91" i="10" s="1"/>
  <c r="L1344" i="7"/>
  <c r="L628" i="11" s="1"/>
  <c r="P628" i="11" s="1"/>
  <c r="H1345" i="7"/>
  <c r="E1346" i="7" s="1"/>
  <c r="H1166" i="7"/>
  <c r="E1167" i="7" s="1"/>
  <c r="H629" i="7"/>
  <c r="E630" i="7" s="1"/>
  <c r="E629" i="10"/>
  <c r="L1165" i="7"/>
  <c r="L449" i="11" s="1"/>
  <c r="P449" i="11" s="1"/>
  <c r="H808" i="7"/>
  <c r="E809" i="7" s="1"/>
  <c r="H1703" i="7"/>
  <c r="E1704" i="7" s="1"/>
  <c r="L628" i="7"/>
  <c r="L628" i="10" s="1"/>
  <c r="P628" i="10" s="1"/>
  <c r="H271" i="7"/>
  <c r="E272" i="7" s="1"/>
  <c r="E271" i="10"/>
  <c r="H450" i="7"/>
  <c r="E451" i="7" s="1"/>
  <c r="E450" i="10"/>
  <c r="H1524" i="7"/>
  <c r="E1525" i="7" s="1"/>
  <c r="L807" i="7"/>
  <c r="L91" i="11" s="1"/>
  <c r="P91" i="11" s="1"/>
  <c r="H987" i="7"/>
  <c r="E988" i="7" s="1"/>
  <c r="L449" i="7"/>
  <c r="L449" i="10" s="1"/>
  <c r="P449" i="10" s="1"/>
  <c r="L1702" i="7"/>
  <c r="L986" i="11" s="1"/>
  <c r="P986" i="11" s="1"/>
  <c r="H92" i="7"/>
  <c r="E93" i="7" s="1"/>
  <c r="E92" i="10"/>
  <c r="L1523" i="7"/>
  <c r="L807" i="11" s="1"/>
  <c r="P807" i="11" s="1"/>
  <c r="I629" i="11" l="1"/>
  <c r="E630" i="11"/>
  <c r="I92" i="11"/>
  <c r="E93" i="11"/>
  <c r="I987" i="11"/>
  <c r="I271" i="11"/>
  <c r="I808" i="11"/>
  <c r="E809" i="11"/>
  <c r="I450" i="11"/>
  <c r="E451" i="11"/>
  <c r="H2065" i="7"/>
  <c r="E2066" i="7" s="1"/>
  <c r="E811" i="10"/>
  <c r="I987" i="10"/>
  <c r="J2241" i="7"/>
  <c r="J987" i="10" s="1"/>
  <c r="L2241" i="7"/>
  <c r="L987" i="10" s="1"/>
  <c r="P987" i="10" s="1"/>
  <c r="K2241" i="7"/>
  <c r="K987" i="10" s="1"/>
  <c r="K1971" i="7"/>
  <c r="J1971" i="7"/>
  <c r="L1971" i="7" s="1"/>
  <c r="H1972" i="7"/>
  <c r="E1973" i="7" s="1"/>
  <c r="J1524" i="7"/>
  <c r="J808" i="11" s="1"/>
  <c r="K1524" i="7"/>
  <c r="K808" i="11" s="1"/>
  <c r="J1166" i="7"/>
  <c r="J450" i="11" s="1"/>
  <c r="K1166" i="7"/>
  <c r="K450" i="11" s="1"/>
  <c r="J271" i="7"/>
  <c r="J271" i="10" s="1"/>
  <c r="K271" i="7"/>
  <c r="K271" i="10" s="1"/>
  <c r="J92" i="7"/>
  <c r="J92" i="10" s="1"/>
  <c r="K92" i="7"/>
  <c r="K92" i="10" s="1"/>
  <c r="J808" i="7"/>
  <c r="J92" i="11" s="1"/>
  <c r="K808" i="7"/>
  <c r="K92" i="11" s="1"/>
  <c r="J1345" i="7"/>
  <c r="J629" i="11" s="1"/>
  <c r="K1345" i="7"/>
  <c r="K629" i="11" s="1"/>
  <c r="J1703" i="7"/>
  <c r="J987" i="11" s="1"/>
  <c r="K1703" i="7"/>
  <c r="K987" i="11" s="1"/>
  <c r="J987" i="7"/>
  <c r="J271" i="11" s="1"/>
  <c r="K987" i="7"/>
  <c r="K271" i="11" s="1"/>
  <c r="J629" i="7"/>
  <c r="J629" i="10" s="1"/>
  <c r="K629" i="7"/>
  <c r="K629" i="10" s="1"/>
  <c r="J450" i="7"/>
  <c r="J450" i="10" s="1"/>
  <c r="K450" i="7"/>
  <c r="K450" i="10" s="1"/>
  <c r="I92" i="10"/>
  <c r="E272" i="11"/>
  <c r="I450" i="10"/>
  <c r="E988" i="11"/>
  <c r="I629" i="10"/>
  <c r="I271" i="10"/>
  <c r="H2242" i="7" l="1"/>
  <c r="E2243" i="7" s="1"/>
  <c r="E988" i="10"/>
  <c r="I811" i="10"/>
  <c r="K2065" i="7"/>
  <c r="K811" i="10" s="1"/>
  <c r="L2065" i="7"/>
  <c r="L811" i="10" s="1"/>
  <c r="P811" i="10" s="1"/>
  <c r="J2065" i="7"/>
  <c r="J811" i="10" s="1"/>
  <c r="J1972" i="7"/>
  <c r="L1972" i="7" s="1"/>
  <c r="K1972" i="7"/>
  <c r="H1973" i="7"/>
  <c r="L987" i="7"/>
  <c r="L271" i="11" s="1"/>
  <c r="P271" i="11" s="1"/>
  <c r="L92" i="7"/>
  <c r="L92" i="10" s="1"/>
  <c r="P92" i="10" s="1"/>
  <c r="L271" i="7"/>
  <c r="L271" i="10" s="1"/>
  <c r="P271" i="10" s="1"/>
  <c r="L450" i="7"/>
  <c r="L450" i="10" s="1"/>
  <c r="P450" i="10" s="1"/>
  <c r="L1524" i="7"/>
  <c r="L808" i="11" s="1"/>
  <c r="P808" i="11" s="1"/>
  <c r="L1345" i="7"/>
  <c r="L629" i="11" s="1"/>
  <c r="P629" i="11" s="1"/>
  <c r="H1346" i="7"/>
  <c r="E1347" i="7" s="1"/>
  <c r="H630" i="7"/>
  <c r="E631" i="7" s="1"/>
  <c r="E630" i="10"/>
  <c r="H451" i="7"/>
  <c r="E452" i="7" s="1"/>
  <c r="E451" i="10"/>
  <c r="H272" i="7"/>
  <c r="E273" i="7" s="1"/>
  <c r="E272" i="10"/>
  <c r="H809" i="7"/>
  <c r="E810" i="7" s="1"/>
  <c r="L629" i="7"/>
  <c r="L629" i="10" s="1"/>
  <c r="P629" i="10" s="1"/>
  <c r="L808" i="7"/>
  <c r="L92" i="11" s="1"/>
  <c r="P92" i="11" s="1"/>
  <c r="H988" i="7"/>
  <c r="E989" i="7" s="1"/>
  <c r="H1167" i="7"/>
  <c r="E1168" i="7" s="1"/>
  <c r="H1704" i="7"/>
  <c r="E1705" i="7" s="1"/>
  <c r="H93" i="7"/>
  <c r="E94" i="7" s="1"/>
  <c r="E93" i="10"/>
  <c r="L1703" i="7"/>
  <c r="L987" i="11" s="1"/>
  <c r="P987" i="11" s="1"/>
  <c r="H1525" i="7"/>
  <c r="E1526" i="7" s="1"/>
  <c r="L1166" i="7"/>
  <c r="L450" i="11" s="1"/>
  <c r="P450" i="11" s="1"/>
  <c r="I809" i="11" l="1"/>
  <c r="I988" i="11"/>
  <c r="I630" i="11"/>
  <c r="E631" i="11"/>
  <c r="I451" i="11"/>
  <c r="I93" i="11"/>
  <c r="E94" i="11"/>
  <c r="I272" i="11"/>
  <c r="E273" i="11"/>
  <c r="H2066" i="7"/>
  <c r="E2067" i="7" s="1"/>
  <c r="E812" i="10"/>
  <c r="I988" i="10"/>
  <c r="K2242" i="7"/>
  <c r="K988" i="10" s="1"/>
  <c r="L2242" i="7"/>
  <c r="L988" i="10" s="1"/>
  <c r="P988" i="10" s="1"/>
  <c r="J2242" i="7"/>
  <c r="J988" i="10" s="1"/>
  <c r="K1973" i="7"/>
  <c r="J1973" i="7"/>
  <c r="J1346" i="7"/>
  <c r="J630" i="11" s="1"/>
  <c r="K1346" i="7"/>
  <c r="K630" i="11" s="1"/>
  <c r="J451" i="7"/>
  <c r="J451" i="10" s="1"/>
  <c r="K451" i="7"/>
  <c r="K451" i="10" s="1"/>
  <c r="J1167" i="7"/>
  <c r="J451" i="11" s="1"/>
  <c r="K1167" i="7"/>
  <c r="K451" i="11" s="1"/>
  <c r="J1704" i="7"/>
  <c r="J988" i="11" s="1"/>
  <c r="K1704" i="7"/>
  <c r="K988" i="11" s="1"/>
  <c r="J630" i="7"/>
  <c r="J630" i="10" s="1"/>
  <c r="K630" i="7"/>
  <c r="K630" i="10" s="1"/>
  <c r="J988" i="7"/>
  <c r="J272" i="11" s="1"/>
  <c r="K988" i="7"/>
  <c r="K272" i="11" s="1"/>
  <c r="J1525" i="7"/>
  <c r="J809" i="11" s="1"/>
  <c r="K1525" i="7"/>
  <c r="K809" i="11" s="1"/>
  <c r="J809" i="7"/>
  <c r="J93" i="11" s="1"/>
  <c r="K809" i="7"/>
  <c r="K93" i="11" s="1"/>
  <c r="J93" i="7"/>
  <c r="J93" i="10" s="1"/>
  <c r="K93" i="7"/>
  <c r="K93" i="10" s="1"/>
  <c r="J272" i="7"/>
  <c r="J272" i="10" s="1"/>
  <c r="K272" i="7"/>
  <c r="K272" i="10" s="1"/>
  <c r="E810" i="11"/>
  <c r="I93" i="10"/>
  <c r="I272" i="10"/>
  <c r="E989" i="11"/>
  <c r="I451" i="10"/>
  <c r="E452" i="11"/>
  <c r="I630" i="10"/>
  <c r="H2243" i="7" l="1"/>
  <c r="E2244" i="7" s="1"/>
  <c r="E989" i="10"/>
  <c r="I812" i="10"/>
  <c r="L2066" i="7"/>
  <c r="L812" i="10" s="1"/>
  <c r="P812" i="10" s="1"/>
  <c r="K2066" i="7"/>
  <c r="K812" i="10" s="1"/>
  <c r="J2066" i="7"/>
  <c r="J812" i="10" s="1"/>
  <c r="L1973" i="7"/>
  <c r="L988" i="7"/>
  <c r="L272" i="11" s="1"/>
  <c r="P272" i="11" s="1"/>
  <c r="L93" i="7"/>
  <c r="L93" i="10" s="1"/>
  <c r="P93" i="10" s="1"/>
  <c r="L272" i="7"/>
  <c r="L272" i="10" s="1"/>
  <c r="P272" i="10" s="1"/>
  <c r="L1346" i="7"/>
  <c r="L630" i="11" s="1"/>
  <c r="P630" i="11" s="1"/>
  <c r="L1167" i="7"/>
  <c r="L451" i="11" s="1"/>
  <c r="P451" i="11" s="1"/>
  <c r="L809" i="7"/>
  <c r="L93" i="11" s="1"/>
  <c r="P93" i="11" s="1"/>
  <c r="L1704" i="7"/>
  <c r="L988" i="11" s="1"/>
  <c r="P988" i="11" s="1"/>
  <c r="H810" i="7"/>
  <c r="E811" i="7" s="1"/>
  <c r="H1347" i="7"/>
  <c r="E1348" i="7" s="1"/>
  <c r="H989" i="7"/>
  <c r="E990" i="7" s="1"/>
  <c r="H273" i="7"/>
  <c r="E274" i="7" s="1"/>
  <c r="E273" i="10"/>
  <c r="H1526" i="7"/>
  <c r="E1527" i="7" s="1"/>
  <c r="H452" i="7"/>
  <c r="E453" i="7" s="1"/>
  <c r="E452" i="10"/>
  <c r="H631" i="7"/>
  <c r="E632" i="7" s="1"/>
  <c r="E631" i="10"/>
  <c r="L451" i="7"/>
  <c r="L451" i="10" s="1"/>
  <c r="P451" i="10" s="1"/>
  <c r="L1525" i="7"/>
  <c r="L809" i="11" s="1"/>
  <c r="P809" i="11" s="1"/>
  <c r="H1168" i="7"/>
  <c r="E1169" i="7" s="1"/>
  <c r="L630" i="7"/>
  <c r="L630" i="10" s="1"/>
  <c r="P630" i="10" s="1"/>
  <c r="H1705" i="7"/>
  <c r="E1706" i="7" s="1"/>
  <c r="H94" i="7"/>
  <c r="E95" i="7" s="1"/>
  <c r="E94" i="10"/>
  <c r="I810" i="11" l="1"/>
  <c r="I989" i="11"/>
  <c r="E990" i="11"/>
  <c r="I273" i="11"/>
  <c r="I631" i="11"/>
  <c r="I452" i="11"/>
  <c r="E453" i="11"/>
  <c r="I94" i="11"/>
  <c r="E95" i="11"/>
  <c r="H2067" i="7"/>
  <c r="E2068" i="7" s="1"/>
  <c r="E813" i="10"/>
  <c r="I989" i="10"/>
  <c r="K2243" i="7"/>
  <c r="K989" i="10" s="1"/>
  <c r="L2243" i="7"/>
  <c r="L989" i="10" s="1"/>
  <c r="P989" i="10" s="1"/>
  <c r="J2243" i="7"/>
  <c r="J989" i="10" s="1"/>
  <c r="J1168" i="7"/>
  <c r="J452" i="11" s="1"/>
  <c r="K1168" i="7"/>
  <c r="K452" i="11" s="1"/>
  <c r="J1347" i="7"/>
  <c r="J631" i="11" s="1"/>
  <c r="K1347" i="7"/>
  <c r="K631" i="11" s="1"/>
  <c r="J631" i="7"/>
  <c r="J631" i="10" s="1"/>
  <c r="K631" i="7"/>
  <c r="K631" i="10" s="1"/>
  <c r="J810" i="7"/>
  <c r="J94" i="11" s="1"/>
  <c r="K810" i="7"/>
  <c r="K94" i="11" s="1"/>
  <c r="J452" i="7"/>
  <c r="J452" i="10" s="1"/>
  <c r="K452" i="7"/>
  <c r="K452" i="10" s="1"/>
  <c r="J1705" i="7"/>
  <c r="J989" i="11" s="1"/>
  <c r="K1705" i="7"/>
  <c r="K989" i="11" s="1"/>
  <c r="J989" i="7"/>
  <c r="J273" i="11" s="1"/>
  <c r="K989" i="7"/>
  <c r="K273" i="11" s="1"/>
  <c r="J94" i="7"/>
  <c r="K94" i="7"/>
  <c r="J273" i="7"/>
  <c r="J273" i="10" s="1"/>
  <c r="K273" i="7"/>
  <c r="K273" i="10" s="1"/>
  <c r="J1526" i="7"/>
  <c r="J810" i="11" s="1"/>
  <c r="K1526" i="7"/>
  <c r="K810" i="11" s="1"/>
  <c r="I94" i="10"/>
  <c r="E811" i="11"/>
  <c r="I452" i="10"/>
  <c r="I273" i="10"/>
  <c r="E274" i="11"/>
  <c r="E632" i="11"/>
  <c r="I631" i="10"/>
  <c r="H2244" i="7" l="1"/>
  <c r="E2245" i="7" s="1"/>
  <c r="E990" i="10"/>
  <c r="I813" i="10"/>
  <c r="L2067" i="7"/>
  <c r="L813" i="10" s="1"/>
  <c r="P813" i="10" s="1"/>
  <c r="J2067" i="7"/>
  <c r="J813" i="10" s="1"/>
  <c r="K2067" i="7"/>
  <c r="K813" i="10" s="1"/>
  <c r="K94" i="10"/>
  <c r="J94" i="10"/>
  <c r="L989" i="7"/>
  <c r="L273" i="11" s="1"/>
  <c r="P273" i="11" s="1"/>
  <c r="L273" i="7"/>
  <c r="L273" i="10" s="1"/>
  <c r="P273" i="10" s="1"/>
  <c r="L94" i="7"/>
  <c r="L1168" i="7"/>
  <c r="L452" i="11" s="1"/>
  <c r="P452" i="11" s="1"/>
  <c r="H1706" i="7"/>
  <c r="E1707" i="7" s="1"/>
  <c r="L810" i="7"/>
  <c r="L94" i="11" s="1"/>
  <c r="P94" i="11" s="1"/>
  <c r="H990" i="7"/>
  <c r="E991" i="7" s="1"/>
  <c r="L1705" i="7"/>
  <c r="L989" i="11" s="1"/>
  <c r="P989" i="11" s="1"/>
  <c r="H1527" i="7"/>
  <c r="E1528" i="7" s="1"/>
  <c r="L1526" i="7"/>
  <c r="L810" i="11" s="1"/>
  <c r="P810" i="11" s="1"/>
  <c r="H453" i="7"/>
  <c r="E454" i="7" s="1"/>
  <c r="E453" i="10"/>
  <c r="H632" i="7"/>
  <c r="E633" i="7" s="1"/>
  <c r="E632" i="10"/>
  <c r="L452" i="7"/>
  <c r="L452" i="10" s="1"/>
  <c r="P452" i="10" s="1"/>
  <c r="H95" i="7"/>
  <c r="E96" i="7" s="1"/>
  <c r="E95" i="10"/>
  <c r="H1169" i="7"/>
  <c r="E1170" i="7" s="1"/>
  <c r="L631" i="7"/>
  <c r="L631" i="10" s="1"/>
  <c r="P631" i="10" s="1"/>
  <c r="H274" i="7"/>
  <c r="E275" i="7" s="1"/>
  <c r="E274" i="10"/>
  <c r="H811" i="7"/>
  <c r="E812" i="7" s="1"/>
  <c r="H1348" i="7"/>
  <c r="E1349" i="7" s="1"/>
  <c r="L1347" i="7"/>
  <c r="L631" i="11" s="1"/>
  <c r="P631" i="11" s="1"/>
  <c r="I632" i="11" l="1"/>
  <c r="E633" i="11"/>
  <c r="I95" i="11"/>
  <c r="E96" i="11"/>
  <c r="I811" i="11"/>
  <c r="I274" i="11"/>
  <c r="I453" i="11"/>
  <c r="I990" i="11"/>
  <c r="E991" i="11"/>
  <c r="H2068" i="7"/>
  <c r="E2069" i="7" s="1"/>
  <c r="E814" i="10"/>
  <c r="I990" i="10"/>
  <c r="J2244" i="7"/>
  <c r="J990" i="10" s="1"/>
  <c r="L2244" i="7"/>
  <c r="L990" i="10" s="1"/>
  <c r="P990" i="10" s="1"/>
  <c r="K2244" i="7"/>
  <c r="K990" i="10" s="1"/>
  <c r="L94" i="10"/>
  <c r="P94" i="10" s="1"/>
  <c r="J1527" i="7"/>
  <c r="J811" i="11" s="1"/>
  <c r="K1527" i="7"/>
  <c r="K811" i="11" s="1"/>
  <c r="J274" i="7"/>
  <c r="J274" i="10" s="1"/>
  <c r="K274" i="7"/>
  <c r="K274" i="10" s="1"/>
  <c r="J1348" i="7"/>
  <c r="J632" i="11" s="1"/>
  <c r="K1348" i="7"/>
  <c r="K632" i="11" s="1"/>
  <c r="J1169" i="7"/>
  <c r="J453" i="11" s="1"/>
  <c r="K1169" i="7"/>
  <c r="K453" i="11" s="1"/>
  <c r="J990" i="7"/>
  <c r="J274" i="11" s="1"/>
  <c r="K990" i="7"/>
  <c r="K274" i="11" s="1"/>
  <c r="J95" i="7"/>
  <c r="K95" i="7"/>
  <c r="J811" i="7"/>
  <c r="J95" i="11" s="1"/>
  <c r="K811" i="7"/>
  <c r="K95" i="11" s="1"/>
  <c r="J453" i="7"/>
  <c r="J453" i="10" s="1"/>
  <c r="K453" i="7"/>
  <c r="K453" i="10" s="1"/>
  <c r="J1706" i="7"/>
  <c r="J990" i="11" s="1"/>
  <c r="K1706" i="7"/>
  <c r="K990" i="11" s="1"/>
  <c r="J632" i="7"/>
  <c r="J632" i="10" s="1"/>
  <c r="K632" i="7"/>
  <c r="K632" i="10" s="1"/>
  <c r="I453" i="10"/>
  <c r="I632" i="10"/>
  <c r="I274" i="10"/>
  <c r="E275" i="11"/>
  <c r="I95" i="10"/>
  <c r="E812" i="11"/>
  <c r="E454" i="11"/>
  <c r="H2245" i="7" l="1"/>
  <c r="E2246" i="7" s="1"/>
  <c r="E991" i="10"/>
  <c r="I814" i="10"/>
  <c r="K2068" i="7"/>
  <c r="K814" i="10" s="1"/>
  <c r="L2068" i="7"/>
  <c r="L814" i="10" s="1"/>
  <c r="P814" i="10" s="1"/>
  <c r="J2068" i="7"/>
  <c r="J814" i="10" s="1"/>
  <c r="K95" i="10"/>
  <c r="J95" i="10"/>
  <c r="L990" i="7"/>
  <c r="L274" i="11" s="1"/>
  <c r="P274" i="11" s="1"/>
  <c r="L632" i="7"/>
  <c r="L632" i="10" s="1"/>
  <c r="P632" i="10" s="1"/>
  <c r="L95" i="7"/>
  <c r="L274" i="7"/>
  <c r="L274" i="10" s="1"/>
  <c r="P274" i="10" s="1"/>
  <c r="L1169" i="7"/>
  <c r="L453" i="11" s="1"/>
  <c r="P453" i="11" s="1"/>
  <c r="L1706" i="7"/>
  <c r="L990" i="11" s="1"/>
  <c r="P990" i="11" s="1"/>
  <c r="L1348" i="7"/>
  <c r="L632" i="11" s="1"/>
  <c r="P632" i="11" s="1"/>
  <c r="L811" i="7"/>
  <c r="L95" i="11" s="1"/>
  <c r="P95" i="11" s="1"/>
  <c r="L453" i="7"/>
  <c r="L453" i="10" s="1"/>
  <c r="P453" i="10" s="1"/>
  <c r="L1527" i="7"/>
  <c r="L811" i="11" s="1"/>
  <c r="P811" i="11" s="1"/>
  <c r="H1707" i="7"/>
  <c r="E1708" i="7" s="1"/>
  <c r="H1170" i="7"/>
  <c r="E1171" i="7" s="1"/>
  <c r="H1528" i="7"/>
  <c r="E1529" i="7" s="1"/>
  <c r="H96" i="7"/>
  <c r="E97" i="7" s="1"/>
  <c r="E96" i="10"/>
  <c r="H812" i="7"/>
  <c r="E813" i="7" s="1"/>
  <c r="H991" i="7"/>
  <c r="E992" i="7" s="1"/>
  <c r="H275" i="7"/>
  <c r="E276" i="7" s="1"/>
  <c r="E275" i="10"/>
  <c r="H633" i="7"/>
  <c r="E634" i="7" s="1"/>
  <c r="E633" i="10"/>
  <c r="H1349" i="7"/>
  <c r="E1350" i="7" s="1"/>
  <c r="H454" i="7"/>
  <c r="E455" i="7" s="1"/>
  <c r="E454" i="10"/>
  <c r="I991" i="11" l="1"/>
  <c r="E992" i="11"/>
  <c r="I96" i="11"/>
  <c r="E97" i="11"/>
  <c r="I812" i="11"/>
  <c r="I454" i="11"/>
  <c r="I633" i="11"/>
  <c r="E634" i="11"/>
  <c r="I275" i="11"/>
  <c r="E276" i="11"/>
  <c r="H2069" i="7"/>
  <c r="E2070" i="7" s="1"/>
  <c r="E815" i="10"/>
  <c r="I991" i="10"/>
  <c r="K2245" i="7"/>
  <c r="K991" i="10" s="1"/>
  <c r="J2245" i="7"/>
  <c r="J991" i="10" s="1"/>
  <c r="L2245" i="7"/>
  <c r="L991" i="10" s="1"/>
  <c r="P991" i="10" s="1"/>
  <c r="L95" i="10"/>
  <c r="P95" i="10" s="1"/>
  <c r="J275" i="7"/>
  <c r="J275" i="10" s="1"/>
  <c r="K275" i="7"/>
  <c r="K275" i="10" s="1"/>
  <c r="J991" i="7"/>
  <c r="J275" i="11" s="1"/>
  <c r="K991" i="7"/>
  <c r="K275" i="11" s="1"/>
  <c r="J454" i="7"/>
  <c r="J454" i="10" s="1"/>
  <c r="K454" i="7"/>
  <c r="K454" i="10" s="1"/>
  <c r="J96" i="7"/>
  <c r="K96" i="7"/>
  <c r="J1528" i="7"/>
  <c r="J812" i="11" s="1"/>
  <c r="K1528" i="7"/>
  <c r="K812" i="11" s="1"/>
  <c r="J1707" i="7"/>
  <c r="J991" i="11" s="1"/>
  <c r="K1707" i="7"/>
  <c r="K991" i="11" s="1"/>
  <c r="J812" i="7"/>
  <c r="J96" i="11" s="1"/>
  <c r="K812" i="7"/>
  <c r="K96" i="11" s="1"/>
  <c r="J1349" i="7"/>
  <c r="J633" i="11" s="1"/>
  <c r="K1349" i="7"/>
  <c r="K633" i="11" s="1"/>
  <c r="J633" i="7"/>
  <c r="J633" i="10" s="1"/>
  <c r="K633" i="7"/>
  <c r="K633" i="10" s="1"/>
  <c r="J1170" i="7"/>
  <c r="J454" i="11" s="1"/>
  <c r="K1170" i="7"/>
  <c r="K454" i="11" s="1"/>
  <c r="I454" i="10"/>
  <c r="I633" i="10"/>
  <c r="I275" i="10"/>
  <c r="I96" i="10"/>
  <c r="E813" i="11"/>
  <c r="E455" i="11"/>
  <c r="H2246" i="7" l="1"/>
  <c r="E2247" i="7" s="1"/>
  <c r="E992" i="10"/>
  <c r="I815" i="10"/>
  <c r="K2069" i="7"/>
  <c r="K815" i="10" s="1"/>
  <c r="L2069" i="7"/>
  <c r="L815" i="10" s="1"/>
  <c r="P815" i="10" s="1"/>
  <c r="J2069" i="7"/>
  <c r="J815" i="10" s="1"/>
  <c r="L96" i="7"/>
  <c r="L991" i="7"/>
  <c r="L275" i="11" s="1"/>
  <c r="P275" i="11" s="1"/>
  <c r="L633" i="7"/>
  <c r="L633" i="10" s="1"/>
  <c r="P633" i="10" s="1"/>
  <c r="L275" i="7"/>
  <c r="L275" i="10" s="1"/>
  <c r="P275" i="10" s="1"/>
  <c r="L1528" i="7"/>
  <c r="L812" i="11" s="1"/>
  <c r="P812" i="11" s="1"/>
  <c r="L1707" i="7"/>
  <c r="L991" i="11" s="1"/>
  <c r="P991" i="11" s="1"/>
  <c r="L1349" i="7"/>
  <c r="L633" i="11" s="1"/>
  <c r="P633" i="11" s="1"/>
  <c r="L1170" i="7"/>
  <c r="L454" i="11" s="1"/>
  <c r="P454" i="11" s="1"/>
  <c r="L812" i="7"/>
  <c r="L96" i="11" s="1"/>
  <c r="P96" i="11" s="1"/>
  <c r="L454" i="7"/>
  <c r="L454" i="10" s="1"/>
  <c r="P454" i="10" s="1"/>
  <c r="K96" i="10"/>
  <c r="J96" i="10"/>
  <c r="H1708" i="7"/>
  <c r="E1709" i="7" s="1"/>
  <c r="H1171" i="7"/>
  <c r="E1172" i="7" s="1"/>
  <c r="H1529" i="7"/>
  <c r="E1530" i="7" s="1"/>
  <c r="H97" i="7"/>
  <c r="E98" i="7" s="1"/>
  <c r="E97" i="10"/>
  <c r="H813" i="7"/>
  <c r="E814" i="7" s="1"/>
  <c r="H992" i="7"/>
  <c r="E993" i="7" s="1"/>
  <c r="H276" i="7"/>
  <c r="E277" i="7" s="1"/>
  <c r="E276" i="10"/>
  <c r="H634" i="7"/>
  <c r="E635" i="7" s="1"/>
  <c r="E634" i="10"/>
  <c r="H1350" i="7"/>
  <c r="E1351" i="7" s="1"/>
  <c r="H455" i="7"/>
  <c r="E456" i="7" s="1"/>
  <c r="E455" i="10"/>
  <c r="I97" i="11" l="1"/>
  <c r="I813" i="11"/>
  <c r="I992" i="11"/>
  <c r="E993" i="11"/>
  <c r="I634" i="11"/>
  <c r="E635" i="11"/>
  <c r="I455" i="11"/>
  <c r="I276" i="11"/>
  <c r="E277" i="11"/>
  <c r="H2070" i="7"/>
  <c r="E2071" i="7" s="1"/>
  <c r="E816" i="10"/>
  <c r="I992" i="10"/>
  <c r="J2246" i="7"/>
  <c r="J992" i="10" s="1"/>
  <c r="L2246" i="7"/>
  <c r="L992" i="10" s="1"/>
  <c r="P992" i="10" s="1"/>
  <c r="K2246" i="7"/>
  <c r="K992" i="10" s="1"/>
  <c r="L96" i="10"/>
  <c r="P96" i="10" s="1"/>
  <c r="J455" i="7"/>
  <c r="J455" i="10" s="1"/>
  <c r="K455" i="7"/>
  <c r="K455" i="10" s="1"/>
  <c r="J97" i="7"/>
  <c r="K97" i="7"/>
  <c r="J1529" i="7"/>
  <c r="J813" i="11" s="1"/>
  <c r="K1529" i="7"/>
  <c r="K813" i="11" s="1"/>
  <c r="J813" i="7"/>
  <c r="J97" i="11" s="1"/>
  <c r="K813" i="7"/>
  <c r="K97" i="11" s="1"/>
  <c r="J1350" i="7"/>
  <c r="J634" i="11" s="1"/>
  <c r="K1350" i="7"/>
  <c r="K634" i="11" s="1"/>
  <c r="J1171" i="7"/>
  <c r="J455" i="11" s="1"/>
  <c r="K1171" i="7"/>
  <c r="K455" i="11" s="1"/>
  <c r="J992" i="7"/>
  <c r="J276" i="11" s="1"/>
  <c r="K992" i="7"/>
  <c r="K276" i="11" s="1"/>
  <c r="J634" i="7"/>
  <c r="J634" i="10" s="1"/>
  <c r="K634" i="7"/>
  <c r="K634" i="10" s="1"/>
  <c r="J276" i="7"/>
  <c r="J276" i="10" s="1"/>
  <c r="K276" i="7"/>
  <c r="K276" i="10" s="1"/>
  <c r="J1708" i="7"/>
  <c r="J992" i="11" s="1"/>
  <c r="K1708" i="7"/>
  <c r="K992" i="11" s="1"/>
  <c r="I455" i="10"/>
  <c r="I634" i="10"/>
  <c r="I276" i="10"/>
  <c r="E98" i="11"/>
  <c r="I97" i="10"/>
  <c r="E814" i="11"/>
  <c r="E456" i="11"/>
  <c r="H2247" i="7" l="1"/>
  <c r="E2248" i="7" s="1"/>
  <c r="E993" i="10"/>
  <c r="I816" i="10"/>
  <c r="K2070" i="7"/>
  <c r="K816" i="10" s="1"/>
  <c r="L2070" i="7"/>
  <c r="L816" i="10" s="1"/>
  <c r="P816" i="10" s="1"/>
  <c r="J2070" i="7"/>
  <c r="J816" i="10" s="1"/>
  <c r="L97" i="7"/>
  <c r="L992" i="7"/>
  <c r="L276" i="11" s="1"/>
  <c r="P276" i="11" s="1"/>
  <c r="L276" i="7"/>
  <c r="L276" i="10" s="1"/>
  <c r="P276" i="10" s="1"/>
  <c r="L1529" i="7"/>
  <c r="L813" i="11" s="1"/>
  <c r="P813" i="11" s="1"/>
  <c r="L455" i="7"/>
  <c r="L455" i="10" s="1"/>
  <c r="P455" i="10" s="1"/>
  <c r="L813" i="7"/>
  <c r="L97" i="11" s="1"/>
  <c r="P97" i="11" s="1"/>
  <c r="L1171" i="7"/>
  <c r="L455" i="11" s="1"/>
  <c r="P455" i="11" s="1"/>
  <c r="L634" i="7"/>
  <c r="L634" i="10" s="1"/>
  <c r="P634" i="10" s="1"/>
  <c r="L1350" i="7"/>
  <c r="L634" i="11" s="1"/>
  <c r="P634" i="11" s="1"/>
  <c r="K97" i="10"/>
  <c r="L1708" i="7"/>
  <c r="L992" i="11" s="1"/>
  <c r="P992" i="11" s="1"/>
  <c r="J97" i="10"/>
  <c r="H1709" i="7"/>
  <c r="E1710" i="7" s="1"/>
  <c r="H1172" i="7"/>
  <c r="E1173" i="7" s="1"/>
  <c r="H1530" i="7"/>
  <c r="E1531" i="7" s="1"/>
  <c r="H98" i="7"/>
  <c r="E99" i="7" s="1"/>
  <c r="E98" i="10"/>
  <c r="H814" i="7"/>
  <c r="E815" i="7" s="1"/>
  <c r="H993" i="7"/>
  <c r="E994" i="7" s="1"/>
  <c r="H277" i="7"/>
  <c r="E278" i="7" s="1"/>
  <c r="E277" i="10"/>
  <c r="H635" i="7"/>
  <c r="E636" i="7" s="1"/>
  <c r="E635" i="10"/>
  <c r="H1351" i="7"/>
  <c r="E1352" i="7" s="1"/>
  <c r="H456" i="7"/>
  <c r="E457" i="7" s="1"/>
  <c r="E456" i="10"/>
  <c r="I98" i="11" l="1"/>
  <c r="E99" i="11"/>
  <c r="I814" i="11"/>
  <c r="E815" i="11"/>
  <c r="I456" i="11"/>
  <c r="I993" i="11"/>
  <c r="E994" i="11"/>
  <c r="I635" i="11"/>
  <c r="E636" i="11"/>
  <c r="I277" i="11"/>
  <c r="E278" i="11"/>
  <c r="H2071" i="7"/>
  <c r="E2072" i="7" s="1"/>
  <c r="E817" i="10"/>
  <c r="I993" i="10"/>
  <c r="L2247" i="7"/>
  <c r="L993" i="10" s="1"/>
  <c r="P993" i="10" s="1"/>
  <c r="K2247" i="7"/>
  <c r="K993" i="10" s="1"/>
  <c r="J2247" i="7"/>
  <c r="J993" i="10" s="1"/>
  <c r="L97" i="10"/>
  <c r="P97" i="10" s="1"/>
  <c r="J814" i="7"/>
  <c r="J98" i="11" s="1"/>
  <c r="K814" i="7"/>
  <c r="K98" i="11" s="1"/>
  <c r="J993" i="7"/>
  <c r="J277" i="11" s="1"/>
  <c r="K993" i="7"/>
  <c r="K277" i="11" s="1"/>
  <c r="J98" i="7"/>
  <c r="L98" i="7" s="1"/>
  <c r="K98" i="7"/>
  <c r="J1351" i="7"/>
  <c r="J635" i="11" s="1"/>
  <c r="K1351" i="7"/>
  <c r="K635" i="11" s="1"/>
  <c r="J1530" i="7"/>
  <c r="J814" i="11" s="1"/>
  <c r="K1530" i="7"/>
  <c r="K814" i="11" s="1"/>
  <c r="J635" i="7"/>
  <c r="J635" i="10" s="1"/>
  <c r="K635" i="7"/>
  <c r="K635" i="10" s="1"/>
  <c r="J1172" i="7"/>
  <c r="J456" i="11" s="1"/>
  <c r="K1172" i="7"/>
  <c r="K456" i="11" s="1"/>
  <c r="J456" i="7"/>
  <c r="J456" i="10" s="1"/>
  <c r="K456" i="7"/>
  <c r="K456" i="10" s="1"/>
  <c r="J277" i="7"/>
  <c r="J277" i="10" s="1"/>
  <c r="K277" i="7"/>
  <c r="K277" i="10" s="1"/>
  <c r="J1709" i="7"/>
  <c r="J993" i="11" s="1"/>
  <c r="K1709" i="7"/>
  <c r="K993" i="11" s="1"/>
  <c r="I456" i="10"/>
  <c r="I635" i="10"/>
  <c r="I277" i="10"/>
  <c r="I98" i="10"/>
  <c r="E457" i="11"/>
  <c r="H2248" i="7" l="1"/>
  <c r="E2249" i="7" s="1"/>
  <c r="E994" i="10"/>
  <c r="I817" i="10"/>
  <c r="J2071" i="7"/>
  <c r="J817" i="10" s="1"/>
  <c r="L2071" i="7"/>
  <c r="L817" i="10" s="1"/>
  <c r="P817" i="10" s="1"/>
  <c r="K2071" i="7"/>
  <c r="K817" i="10" s="1"/>
  <c r="L993" i="7"/>
  <c r="L277" i="11" s="1"/>
  <c r="P277" i="11" s="1"/>
  <c r="L635" i="7"/>
  <c r="L635" i="10" s="1"/>
  <c r="P635" i="10" s="1"/>
  <c r="L1530" i="7"/>
  <c r="L814" i="11" s="1"/>
  <c r="P814" i="11" s="1"/>
  <c r="L277" i="7"/>
  <c r="L277" i="10" s="1"/>
  <c r="P277" i="10" s="1"/>
  <c r="L1172" i="7"/>
  <c r="L456" i="11" s="1"/>
  <c r="P456" i="11" s="1"/>
  <c r="L456" i="7"/>
  <c r="L456" i="10" s="1"/>
  <c r="P456" i="10" s="1"/>
  <c r="J98" i="10"/>
  <c r="L98" i="10"/>
  <c r="P98" i="10" s="1"/>
  <c r="L1351" i="7"/>
  <c r="L635" i="11" s="1"/>
  <c r="P635" i="11" s="1"/>
  <c r="L814" i="7"/>
  <c r="L98" i="11" s="1"/>
  <c r="P98" i="11" s="1"/>
  <c r="L1709" i="7"/>
  <c r="L993" i="11" s="1"/>
  <c r="P993" i="11" s="1"/>
  <c r="K98" i="10"/>
  <c r="H1710" i="7"/>
  <c r="E1711" i="7" s="1"/>
  <c r="H1173" i="7"/>
  <c r="E1174" i="7" s="1"/>
  <c r="H1531" i="7"/>
  <c r="E1532" i="7" s="1"/>
  <c r="H99" i="7"/>
  <c r="E100" i="7" s="1"/>
  <c r="E99" i="10"/>
  <c r="H815" i="7"/>
  <c r="E816" i="7" s="1"/>
  <c r="H994" i="7"/>
  <c r="E995" i="7" s="1"/>
  <c r="H278" i="7"/>
  <c r="E279" i="7" s="1"/>
  <c r="E278" i="10"/>
  <c r="H636" i="7"/>
  <c r="E637" i="7" s="1"/>
  <c r="E636" i="10"/>
  <c r="H1352" i="7"/>
  <c r="E1353" i="7" s="1"/>
  <c r="H457" i="7"/>
  <c r="E458" i="7" s="1"/>
  <c r="E457" i="10"/>
  <c r="I815" i="11" l="1"/>
  <c r="I457" i="11"/>
  <c r="I994" i="11"/>
  <c r="I636" i="11"/>
  <c r="E637" i="11"/>
  <c r="I99" i="11"/>
  <c r="E100" i="11"/>
  <c r="I278" i="11"/>
  <c r="E279" i="11"/>
  <c r="H2072" i="7"/>
  <c r="E2073" i="7" s="1"/>
  <c r="E818" i="10"/>
  <c r="I994" i="10"/>
  <c r="K2248" i="7"/>
  <c r="K994" i="10" s="1"/>
  <c r="L2248" i="7"/>
  <c r="L994" i="10" s="1"/>
  <c r="P994" i="10" s="1"/>
  <c r="J2248" i="7"/>
  <c r="J994" i="10" s="1"/>
  <c r="J994" i="7"/>
  <c r="J278" i="11" s="1"/>
  <c r="K994" i="7"/>
  <c r="K278" i="11" s="1"/>
  <c r="J457" i="7"/>
  <c r="J457" i="10" s="1"/>
  <c r="K457" i="7"/>
  <c r="K457" i="10" s="1"/>
  <c r="J1531" i="7"/>
  <c r="J815" i="11" s="1"/>
  <c r="K1531" i="7"/>
  <c r="K815" i="11" s="1"/>
  <c r="J636" i="7"/>
  <c r="J636" i="10" s="1"/>
  <c r="K636" i="7"/>
  <c r="K636" i="10" s="1"/>
  <c r="J1173" i="7"/>
  <c r="J457" i="11" s="1"/>
  <c r="K1173" i="7"/>
  <c r="K457" i="11" s="1"/>
  <c r="J815" i="7"/>
  <c r="J99" i="11" s="1"/>
  <c r="K815" i="7"/>
  <c r="K99" i="11" s="1"/>
  <c r="J99" i="7"/>
  <c r="L99" i="7" s="1"/>
  <c r="K99" i="7"/>
  <c r="J1352" i="7"/>
  <c r="J636" i="11" s="1"/>
  <c r="K1352" i="7"/>
  <c r="K636" i="11" s="1"/>
  <c r="J278" i="7"/>
  <c r="J278" i="10" s="1"/>
  <c r="K278" i="7"/>
  <c r="K278" i="10" s="1"/>
  <c r="J1710" i="7"/>
  <c r="J994" i="11" s="1"/>
  <c r="K1710" i="7"/>
  <c r="K994" i="11" s="1"/>
  <c r="I457" i="10"/>
  <c r="I636" i="10"/>
  <c r="I278" i="10"/>
  <c r="I99" i="10"/>
  <c r="E816" i="11"/>
  <c r="E458" i="11"/>
  <c r="E995" i="11"/>
  <c r="H2249" i="7" l="1"/>
  <c r="E2250" i="7" s="1"/>
  <c r="E995" i="10"/>
  <c r="I818" i="10"/>
  <c r="L2072" i="7"/>
  <c r="L818" i="10" s="1"/>
  <c r="P818" i="10" s="1"/>
  <c r="J2072" i="7"/>
  <c r="J818" i="10" s="1"/>
  <c r="K2072" i="7"/>
  <c r="K818" i="10" s="1"/>
  <c r="L994" i="7"/>
  <c r="L278" i="11" s="1"/>
  <c r="P278" i="11" s="1"/>
  <c r="L278" i="7"/>
  <c r="L278" i="10" s="1"/>
  <c r="P278" i="10" s="1"/>
  <c r="L1173" i="7"/>
  <c r="L457" i="11" s="1"/>
  <c r="P457" i="11" s="1"/>
  <c r="L99" i="10"/>
  <c r="P99" i="10" s="1"/>
  <c r="L1352" i="7"/>
  <c r="L636" i="11" s="1"/>
  <c r="P636" i="11" s="1"/>
  <c r="L815" i="7"/>
  <c r="L99" i="11" s="1"/>
  <c r="P99" i="11" s="1"/>
  <c r="L457" i="7"/>
  <c r="L457" i="10" s="1"/>
  <c r="P457" i="10" s="1"/>
  <c r="L1531" i="7"/>
  <c r="L815" i="11" s="1"/>
  <c r="P815" i="11" s="1"/>
  <c r="L636" i="7"/>
  <c r="L636" i="10" s="1"/>
  <c r="P636" i="10" s="1"/>
  <c r="L1710" i="7"/>
  <c r="L994" i="11" s="1"/>
  <c r="P994" i="11" s="1"/>
  <c r="J99" i="10"/>
  <c r="K99" i="10"/>
  <c r="H1711" i="7"/>
  <c r="E1712" i="7" s="1"/>
  <c r="H1174" i="7"/>
  <c r="E1175" i="7" s="1"/>
  <c r="H1532" i="7"/>
  <c r="E1533" i="7" s="1"/>
  <c r="H100" i="7"/>
  <c r="E101" i="7" s="1"/>
  <c r="E100" i="10"/>
  <c r="H816" i="7"/>
  <c r="E817" i="7" s="1"/>
  <c r="H995" i="7"/>
  <c r="E996" i="7" s="1"/>
  <c r="H279" i="7"/>
  <c r="E280" i="7" s="1"/>
  <c r="E279" i="10"/>
  <c r="H637" i="7"/>
  <c r="E638" i="7" s="1"/>
  <c r="E637" i="10"/>
  <c r="H1353" i="7"/>
  <c r="E1354" i="7" s="1"/>
  <c r="H458" i="7"/>
  <c r="E459" i="7" s="1"/>
  <c r="E458" i="10"/>
  <c r="I100" i="11" l="1"/>
  <c r="I816" i="11"/>
  <c r="I995" i="11"/>
  <c r="I637" i="11"/>
  <c r="E638" i="11"/>
  <c r="I458" i="11"/>
  <c r="E459" i="11"/>
  <c r="I279" i="11"/>
  <c r="E280" i="11"/>
  <c r="H2073" i="7"/>
  <c r="E2074" i="7" s="1"/>
  <c r="E819" i="10"/>
  <c r="I995" i="10"/>
  <c r="J2249" i="7"/>
  <c r="J995" i="10" s="1"/>
  <c r="L2249" i="7"/>
  <c r="L995" i="10" s="1"/>
  <c r="P995" i="10" s="1"/>
  <c r="K2249" i="7"/>
  <c r="K995" i="10" s="1"/>
  <c r="J637" i="7"/>
  <c r="J637" i="10" s="1"/>
  <c r="K637" i="7"/>
  <c r="K637" i="10" s="1"/>
  <c r="J1174" i="7"/>
  <c r="J458" i="11" s="1"/>
  <c r="K1174" i="7"/>
  <c r="K458" i="11" s="1"/>
  <c r="J995" i="7"/>
  <c r="J279" i="11" s="1"/>
  <c r="K995" i="7"/>
  <c r="K279" i="11" s="1"/>
  <c r="J816" i="7"/>
  <c r="J100" i="11" s="1"/>
  <c r="K816" i="7"/>
  <c r="K100" i="11" s="1"/>
  <c r="J458" i="7"/>
  <c r="J458" i="10" s="1"/>
  <c r="K458" i="7"/>
  <c r="K458" i="10" s="1"/>
  <c r="J100" i="7"/>
  <c r="L100" i="7" s="1"/>
  <c r="K100" i="7"/>
  <c r="J1353" i="7"/>
  <c r="J637" i="11" s="1"/>
  <c r="K1353" i="7"/>
  <c r="K637" i="11" s="1"/>
  <c r="J1532" i="7"/>
  <c r="J816" i="11" s="1"/>
  <c r="K1532" i="7"/>
  <c r="K816" i="11" s="1"/>
  <c r="J279" i="7"/>
  <c r="J279" i="10" s="1"/>
  <c r="K279" i="7"/>
  <c r="K279" i="10" s="1"/>
  <c r="J1711" i="7"/>
  <c r="J995" i="11" s="1"/>
  <c r="K1711" i="7"/>
  <c r="K995" i="11" s="1"/>
  <c r="I458" i="10"/>
  <c r="I637" i="10"/>
  <c r="I279" i="10"/>
  <c r="E101" i="11"/>
  <c r="I100" i="10"/>
  <c r="E817" i="11"/>
  <c r="E996" i="11"/>
  <c r="H2250" i="7" l="1"/>
  <c r="E2251" i="7" s="1"/>
  <c r="E996" i="10"/>
  <c r="I819" i="10"/>
  <c r="K2073" i="7"/>
  <c r="K819" i="10" s="1"/>
  <c r="L2073" i="7"/>
  <c r="L819" i="10" s="1"/>
  <c r="P819" i="10" s="1"/>
  <c r="J2073" i="7"/>
  <c r="J819" i="10" s="1"/>
  <c r="L995" i="7"/>
  <c r="L279" i="11" s="1"/>
  <c r="P279" i="11" s="1"/>
  <c r="L279" i="7"/>
  <c r="L279" i="10" s="1"/>
  <c r="P279" i="10" s="1"/>
  <c r="L637" i="7"/>
  <c r="L637" i="10" s="1"/>
  <c r="P637" i="10" s="1"/>
  <c r="L1711" i="7"/>
  <c r="L995" i="11" s="1"/>
  <c r="P995" i="11" s="1"/>
  <c r="L1353" i="7"/>
  <c r="L637" i="11" s="1"/>
  <c r="P637" i="11" s="1"/>
  <c r="L1174" i="7"/>
  <c r="L458" i="11" s="1"/>
  <c r="P458" i="11" s="1"/>
  <c r="L816" i="7"/>
  <c r="L100" i="11" s="1"/>
  <c r="P100" i="11" s="1"/>
  <c r="L458" i="7"/>
  <c r="L458" i="10" s="1"/>
  <c r="P458" i="10" s="1"/>
  <c r="L1532" i="7"/>
  <c r="L816" i="11" s="1"/>
  <c r="P816" i="11" s="1"/>
  <c r="K100" i="10"/>
  <c r="J100" i="10"/>
  <c r="L100" i="10"/>
  <c r="P100" i="10" s="1"/>
  <c r="H1712" i="7"/>
  <c r="E1713" i="7" s="1"/>
  <c r="H1175" i="7"/>
  <c r="E1176" i="7" s="1"/>
  <c r="H1533" i="7"/>
  <c r="E1534" i="7" s="1"/>
  <c r="H101" i="7"/>
  <c r="E102" i="7" s="1"/>
  <c r="E101" i="10"/>
  <c r="H817" i="7"/>
  <c r="E818" i="7" s="1"/>
  <c r="H996" i="7"/>
  <c r="E997" i="7" s="1"/>
  <c r="H280" i="7"/>
  <c r="E281" i="7" s="1"/>
  <c r="E280" i="10"/>
  <c r="H638" i="7"/>
  <c r="E639" i="7" s="1"/>
  <c r="E638" i="10"/>
  <c r="H1354" i="7"/>
  <c r="E1355" i="7" s="1"/>
  <c r="H459" i="7"/>
  <c r="E460" i="7" s="1"/>
  <c r="E459" i="10"/>
  <c r="I101" i="11" l="1"/>
  <c r="E102" i="11"/>
  <c r="I817" i="11"/>
  <c r="E818" i="11"/>
  <c r="I996" i="11"/>
  <c r="I459" i="11"/>
  <c r="I638" i="11"/>
  <c r="E639" i="11"/>
  <c r="I280" i="11"/>
  <c r="E281" i="11"/>
  <c r="H2074" i="7"/>
  <c r="E2075" i="7" s="1"/>
  <c r="E820" i="10"/>
  <c r="I996" i="10"/>
  <c r="J2250" i="7"/>
  <c r="J996" i="10" s="1"/>
  <c r="L2250" i="7"/>
  <c r="L996" i="10" s="1"/>
  <c r="P996" i="10" s="1"/>
  <c r="K2250" i="7"/>
  <c r="K996" i="10" s="1"/>
  <c r="J1354" i="7"/>
  <c r="J638" i="11" s="1"/>
  <c r="K1354" i="7"/>
  <c r="K638" i="11" s="1"/>
  <c r="J638" i="7"/>
  <c r="J638" i="10" s="1"/>
  <c r="K638" i="7"/>
  <c r="K638" i="10" s="1"/>
  <c r="J1175" i="7"/>
  <c r="J459" i="11" s="1"/>
  <c r="K1175" i="7"/>
  <c r="K459" i="11" s="1"/>
  <c r="J817" i="7"/>
  <c r="J101" i="11" s="1"/>
  <c r="K817" i="7"/>
  <c r="K101" i="11" s="1"/>
  <c r="J459" i="7"/>
  <c r="J459" i="10" s="1"/>
  <c r="K459" i="7"/>
  <c r="K459" i="10" s="1"/>
  <c r="J996" i="7"/>
  <c r="J280" i="11" s="1"/>
  <c r="K996" i="7"/>
  <c r="K280" i="11" s="1"/>
  <c r="J101" i="7"/>
  <c r="L101" i="7" s="1"/>
  <c r="K101" i="7"/>
  <c r="J1533" i="7"/>
  <c r="J817" i="11" s="1"/>
  <c r="K1533" i="7"/>
  <c r="K817" i="11" s="1"/>
  <c r="J280" i="7"/>
  <c r="J280" i="10" s="1"/>
  <c r="K280" i="7"/>
  <c r="K280" i="10" s="1"/>
  <c r="J1712" i="7"/>
  <c r="J996" i="11" s="1"/>
  <c r="K1712" i="7"/>
  <c r="K996" i="11" s="1"/>
  <c r="I459" i="10"/>
  <c r="I638" i="10"/>
  <c r="I280" i="10"/>
  <c r="I101" i="10"/>
  <c r="E460" i="11"/>
  <c r="E997" i="11"/>
  <c r="H2251" i="7" l="1"/>
  <c r="E2252" i="7" s="1"/>
  <c r="E997" i="10"/>
  <c r="I820" i="10"/>
  <c r="J2074" i="7"/>
  <c r="J820" i="10" s="1"/>
  <c r="K2074" i="7"/>
  <c r="K820" i="10" s="1"/>
  <c r="L2074" i="7"/>
  <c r="L820" i="10" s="1"/>
  <c r="P820" i="10" s="1"/>
  <c r="L996" i="7"/>
  <c r="L280" i="11" s="1"/>
  <c r="P280" i="11" s="1"/>
  <c r="L280" i="7"/>
  <c r="L280" i="10" s="1"/>
  <c r="P280" i="10" s="1"/>
  <c r="L1354" i="7"/>
  <c r="L638" i="11" s="1"/>
  <c r="P638" i="11" s="1"/>
  <c r="L638" i="7"/>
  <c r="L638" i="10" s="1"/>
  <c r="P638" i="10" s="1"/>
  <c r="L1712" i="7"/>
  <c r="L996" i="11" s="1"/>
  <c r="P996" i="11" s="1"/>
  <c r="L1175" i="7"/>
  <c r="L459" i="11" s="1"/>
  <c r="P459" i="11" s="1"/>
  <c r="L817" i="7"/>
  <c r="L101" i="11" s="1"/>
  <c r="P101" i="11" s="1"/>
  <c r="L1533" i="7"/>
  <c r="L817" i="11" s="1"/>
  <c r="P817" i="11" s="1"/>
  <c r="L459" i="7"/>
  <c r="L459" i="10" s="1"/>
  <c r="P459" i="10" s="1"/>
  <c r="K101" i="10"/>
  <c r="J101" i="10"/>
  <c r="L101" i="10"/>
  <c r="P101" i="10" s="1"/>
  <c r="H1713" i="7"/>
  <c r="E1714" i="7" s="1"/>
  <c r="H1176" i="7"/>
  <c r="E1177" i="7" s="1"/>
  <c r="H1534" i="7"/>
  <c r="E1535" i="7" s="1"/>
  <c r="H102" i="7"/>
  <c r="E103" i="7" s="1"/>
  <c r="E102" i="10"/>
  <c r="H818" i="7"/>
  <c r="E819" i="7" s="1"/>
  <c r="H997" i="7"/>
  <c r="E998" i="7" s="1"/>
  <c r="H281" i="7"/>
  <c r="E282" i="7" s="1"/>
  <c r="E281" i="10"/>
  <c r="H639" i="7"/>
  <c r="E640" i="7" s="1"/>
  <c r="E639" i="10"/>
  <c r="H1355" i="7"/>
  <c r="E1356" i="7" s="1"/>
  <c r="H460" i="7"/>
  <c r="E461" i="7" s="1"/>
  <c r="E460" i="10"/>
  <c r="I818" i="11" l="1"/>
  <c r="E819" i="11"/>
  <c r="I460" i="11"/>
  <c r="E461" i="11"/>
  <c r="I102" i="11"/>
  <c r="I997" i="11"/>
  <c r="I639" i="11"/>
  <c r="E640" i="11"/>
  <c r="I281" i="11"/>
  <c r="E282" i="11"/>
  <c r="H2075" i="7"/>
  <c r="E2076" i="7" s="1"/>
  <c r="E821" i="10"/>
  <c r="I997" i="10"/>
  <c r="L2251" i="7"/>
  <c r="L997" i="10" s="1"/>
  <c r="P997" i="10" s="1"/>
  <c r="K2251" i="7"/>
  <c r="K997" i="10" s="1"/>
  <c r="J2251" i="7"/>
  <c r="J997" i="10" s="1"/>
  <c r="J1355" i="7"/>
  <c r="J639" i="11" s="1"/>
  <c r="K1355" i="7"/>
  <c r="K639" i="11" s="1"/>
  <c r="J1534" i="7"/>
  <c r="J818" i="11" s="1"/>
  <c r="K1534" i="7"/>
  <c r="K818" i="11" s="1"/>
  <c r="J1176" i="7"/>
  <c r="J460" i="11" s="1"/>
  <c r="K1176" i="7"/>
  <c r="K460" i="11" s="1"/>
  <c r="J997" i="7"/>
  <c r="J281" i="11" s="1"/>
  <c r="K997" i="7"/>
  <c r="K281" i="11" s="1"/>
  <c r="J818" i="7"/>
  <c r="J102" i="11" s="1"/>
  <c r="K818" i="7"/>
  <c r="K102" i="11" s="1"/>
  <c r="J460" i="7"/>
  <c r="J460" i="10" s="1"/>
  <c r="K460" i="7"/>
  <c r="K460" i="10" s="1"/>
  <c r="J102" i="7"/>
  <c r="L102" i="7" s="1"/>
  <c r="K102" i="7"/>
  <c r="J639" i="7"/>
  <c r="J639" i="10" s="1"/>
  <c r="K639" i="7"/>
  <c r="K639" i="10" s="1"/>
  <c r="J281" i="7"/>
  <c r="J281" i="10" s="1"/>
  <c r="K281" i="7"/>
  <c r="K281" i="10" s="1"/>
  <c r="J1713" i="7"/>
  <c r="J997" i="11" s="1"/>
  <c r="K1713" i="7"/>
  <c r="K997" i="11" s="1"/>
  <c r="I460" i="10"/>
  <c r="I639" i="10"/>
  <c r="I281" i="10"/>
  <c r="E103" i="11"/>
  <c r="I102" i="10"/>
  <c r="E998" i="11"/>
  <c r="H2252" i="7" l="1"/>
  <c r="E2253" i="7" s="1"/>
  <c r="E998" i="10"/>
  <c r="I821" i="10"/>
  <c r="K2075" i="7"/>
  <c r="K821" i="10" s="1"/>
  <c r="L2075" i="7"/>
  <c r="L821" i="10" s="1"/>
  <c r="P821" i="10" s="1"/>
  <c r="J2075" i="7"/>
  <c r="J821" i="10" s="1"/>
  <c r="L997" i="7"/>
  <c r="L281" i="11" s="1"/>
  <c r="P281" i="11" s="1"/>
  <c r="L281" i="7"/>
  <c r="L281" i="10" s="1"/>
  <c r="P281" i="10" s="1"/>
  <c r="L1534" i="7"/>
  <c r="L818" i="11" s="1"/>
  <c r="P818" i="11" s="1"/>
  <c r="L1713" i="7"/>
  <c r="L997" i="11" s="1"/>
  <c r="P997" i="11" s="1"/>
  <c r="L1176" i="7"/>
  <c r="L460" i="11" s="1"/>
  <c r="P460" i="11" s="1"/>
  <c r="L460" i="7"/>
  <c r="L460" i="10" s="1"/>
  <c r="P460" i="10" s="1"/>
  <c r="L102" i="10"/>
  <c r="P102" i="10" s="1"/>
  <c r="K102" i="10"/>
  <c r="L1355" i="7"/>
  <c r="L639" i="11" s="1"/>
  <c r="P639" i="11" s="1"/>
  <c r="L818" i="7"/>
  <c r="L102" i="11" s="1"/>
  <c r="P102" i="11" s="1"/>
  <c r="L639" i="7"/>
  <c r="L639" i="10" s="1"/>
  <c r="P639" i="10" s="1"/>
  <c r="J102" i="10"/>
  <c r="H1714" i="7"/>
  <c r="E1715" i="7" s="1"/>
  <c r="H1177" i="7"/>
  <c r="E1178" i="7" s="1"/>
  <c r="H1535" i="7"/>
  <c r="E1536" i="7" s="1"/>
  <c r="H103" i="7"/>
  <c r="E104" i="7" s="1"/>
  <c r="E103" i="10"/>
  <c r="H819" i="7"/>
  <c r="E820" i="7" s="1"/>
  <c r="H998" i="7"/>
  <c r="E999" i="7" s="1"/>
  <c r="H282" i="7"/>
  <c r="E283" i="7" s="1"/>
  <c r="E282" i="10"/>
  <c r="H640" i="7"/>
  <c r="E641" i="7" s="1"/>
  <c r="E640" i="10"/>
  <c r="H1356" i="7"/>
  <c r="E1357" i="7" s="1"/>
  <c r="H461" i="7"/>
  <c r="E462" i="7" s="1"/>
  <c r="E461" i="10"/>
  <c r="I103" i="11" l="1"/>
  <c r="E104" i="11"/>
  <c r="I819" i="11"/>
  <c r="I461" i="11"/>
  <c r="E462" i="11"/>
  <c r="I998" i="11"/>
  <c r="I640" i="11"/>
  <c r="E641" i="11"/>
  <c r="I282" i="11"/>
  <c r="E283" i="11"/>
  <c r="H2076" i="7"/>
  <c r="E2077" i="7" s="1"/>
  <c r="E822" i="10"/>
  <c r="I998" i="10"/>
  <c r="L2252" i="7"/>
  <c r="L998" i="10" s="1"/>
  <c r="P998" i="10" s="1"/>
  <c r="K2252" i="7"/>
  <c r="K998" i="10" s="1"/>
  <c r="J2252" i="7"/>
  <c r="J998" i="10" s="1"/>
  <c r="J998" i="7"/>
  <c r="J282" i="11" s="1"/>
  <c r="K998" i="7"/>
  <c r="K282" i="11" s="1"/>
  <c r="J1177" i="7"/>
  <c r="J461" i="11" s="1"/>
  <c r="K1177" i="7"/>
  <c r="K461" i="11" s="1"/>
  <c r="J1356" i="7"/>
  <c r="J640" i="11" s="1"/>
  <c r="K1356" i="7"/>
  <c r="K640" i="11" s="1"/>
  <c r="J1535" i="7"/>
  <c r="J819" i="11" s="1"/>
  <c r="K1535" i="7"/>
  <c r="K819" i="11" s="1"/>
  <c r="J819" i="7"/>
  <c r="J103" i="11" s="1"/>
  <c r="K819" i="7"/>
  <c r="K103" i="11" s="1"/>
  <c r="J461" i="7"/>
  <c r="J461" i="10" s="1"/>
  <c r="K461" i="7"/>
  <c r="K461" i="10" s="1"/>
  <c r="J103" i="7"/>
  <c r="L103" i="7" s="1"/>
  <c r="K103" i="7"/>
  <c r="J640" i="7"/>
  <c r="J640" i="10" s="1"/>
  <c r="K640" i="7"/>
  <c r="K640" i="10" s="1"/>
  <c r="J282" i="7"/>
  <c r="J282" i="10" s="1"/>
  <c r="K282" i="7"/>
  <c r="K282" i="10" s="1"/>
  <c r="J1714" i="7"/>
  <c r="J998" i="11" s="1"/>
  <c r="K1714" i="7"/>
  <c r="K998" i="11" s="1"/>
  <c r="I461" i="10"/>
  <c r="I640" i="10"/>
  <c r="I282" i="10"/>
  <c r="I103" i="10"/>
  <c r="E820" i="11"/>
  <c r="E999" i="11"/>
  <c r="H2253" i="7" l="1"/>
  <c r="E2254" i="7" s="1"/>
  <c r="E999" i="10"/>
  <c r="I822" i="10"/>
  <c r="J2076" i="7"/>
  <c r="J822" i="10" s="1"/>
  <c r="K2076" i="7"/>
  <c r="K822" i="10" s="1"/>
  <c r="L2076" i="7"/>
  <c r="L822" i="10" s="1"/>
  <c r="P822" i="10" s="1"/>
  <c r="L998" i="7"/>
  <c r="L282" i="11" s="1"/>
  <c r="P282" i="11" s="1"/>
  <c r="L282" i="7"/>
  <c r="L282" i="10" s="1"/>
  <c r="P282" i="10" s="1"/>
  <c r="J103" i="10"/>
  <c r="L103" i="10"/>
  <c r="P103" i="10" s="1"/>
  <c r="L1356" i="7"/>
  <c r="L640" i="11" s="1"/>
  <c r="P640" i="11" s="1"/>
  <c r="L819" i="7"/>
  <c r="L103" i="11" s="1"/>
  <c r="P103" i="11" s="1"/>
  <c r="L461" i="7"/>
  <c r="L461" i="10" s="1"/>
  <c r="P461" i="10" s="1"/>
  <c r="L1535" i="7"/>
  <c r="L819" i="11" s="1"/>
  <c r="P819" i="11" s="1"/>
  <c r="L640" i="7"/>
  <c r="L640" i="10" s="1"/>
  <c r="P640" i="10" s="1"/>
  <c r="L1177" i="7"/>
  <c r="L461" i="11" s="1"/>
  <c r="P461" i="11" s="1"/>
  <c r="L1714" i="7"/>
  <c r="L998" i="11" s="1"/>
  <c r="P998" i="11" s="1"/>
  <c r="K103" i="10"/>
  <c r="H1715" i="7"/>
  <c r="E1716" i="7" s="1"/>
  <c r="H1178" i="7"/>
  <c r="E1179" i="7" s="1"/>
  <c r="H1536" i="7"/>
  <c r="E1537" i="7" s="1"/>
  <c r="H104" i="7"/>
  <c r="E105" i="7" s="1"/>
  <c r="E104" i="10"/>
  <c r="H820" i="7"/>
  <c r="E821" i="7" s="1"/>
  <c r="H999" i="7"/>
  <c r="E1000" i="7" s="1"/>
  <c r="H283" i="7"/>
  <c r="E284" i="7" s="1"/>
  <c r="E283" i="10"/>
  <c r="H641" i="7"/>
  <c r="E642" i="7" s="1"/>
  <c r="E641" i="10"/>
  <c r="H1357" i="7"/>
  <c r="E1358" i="7" s="1"/>
  <c r="H462" i="7"/>
  <c r="E463" i="7" s="1"/>
  <c r="E462" i="10"/>
  <c r="I820" i="11" l="1"/>
  <c r="E821" i="11"/>
  <c r="I462" i="11"/>
  <c r="E463" i="11"/>
  <c r="I999" i="11"/>
  <c r="I641" i="11"/>
  <c r="E642" i="11"/>
  <c r="I104" i="11"/>
  <c r="E105" i="11"/>
  <c r="I283" i="11"/>
  <c r="E284" i="11"/>
  <c r="H2077" i="7"/>
  <c r="E2078" i="7" s="1"/>
  <c r="E823" i="10"/>
  <c r="I999" i="10"/>
  <c r="K2253" i="7"/>
  <c r="K999" i="10" s="1"/>
  <c r="L2253" i="7"/>
  <c r="L999" i="10" s="1"/>
  <c r="P999" i="10" s="1"/>
  <c r="J2253" i="7"/>
  <c r="J999" i="10" s="1"/>
  <c r="J999" i="7"/>
  <c r="J283" i="11" s="1"/>
  <c r="K999" i="7"/>
  <c r="K283" i="11" s="1"/>
  <c r="J104" i="7"/>
  <c r="L104" i="7" s="1"/>
  <c r="K104" i="7"/>
  <c r="J641" i="7"/>
  <c r="J641" i="10" s="1"/>
  <c r="K641" i="7"/>
  <c r="K641" i="10" s="1"/>
  <c r="J1178" i="7"/>
  <c r="J462" i="11" s="1"/>
  <c r="K1178" i="7"/>
  <c r="K462" i="11" s="1"/>
  <c r="J820" i="7"/>
  <c r="J104" i="11" s="1"/>
  <c r="K820" i="7"/>
  <c r="K104" i="11" s="1"/>
  <c r="J462" i="7"/>
  <c r="J462" i="10" s="1"/>
  <c r="K462" i="7"/>
  <c r="K462" i="10" s="1"/>
  <c r="J1357" i="7"/>
  <c r="J641" i="11" s="1"/>
  <c r="K1357" i="7"/>
  <c r="K641" i="11" s="1"/>
  <c r="J1536" i="7"/>
  <c r="J820" i="11" s="1"/>
  <c r="K1536" i="7"/>
  <c r="K820" i="11" s="1"/>
  <c r="J283" i="7"/>
  <c r="J283" i="10" s="1"/>
  <c r="K283" i="7"/>
  <c r="K283" i="10" s="1"/>
  <c r="J1715" i="7"/>
  <c r="J999" i="11" s="1"/>
  <c r="K1715" i="7"/>
  <c r="K999" i="11" s="1"/>
  <c r="I462" i="10"/>
  <c r="I641" i="10"/>
  <c r="I283" i="10"/>
  <c r="I104" i="10"/>
  <c r="E1000" i="11"/>
  <c r="H2254" i="7" l="1"/>
  <c r="E2255" i="7" s="1"/>
  <c r="E1000" i="10"/>
  <c r="I823" i="10"/>
  <c r="L2077" i="7"/>
  <c r="L823" i="10" s="1"/>
  <c r="P823" i="10" s="1"/>
  <c r="J2077" i="7"/>
  <c r="J823" i="10" s="1"/>
  <c r="K2077" i="7"/>
  <c r="K823" i="10" s="1"/>
  <c r="L999" i="7"/>
  <c r="L283" i="11" s="1"/>
  <c r="P283" i="11" s="1"/>
  <c r="L283" i="7"/>
  <c r="L283" i="10" s="1"/>
  <c r="P283" i="10" s="1"/>
  <c r="L641" i="7"/>
  <c r="L641" i="10" s="1"/>
  <c r="P641" i="10" s="1"/>
  <c r="L1715" i="7"/>
  <c r="L999" i="11" s="1"/>
  <c r="P999" i="11" s="1"/>
  <c r="L1178" i="7"/>
  <c r="L462" i="11" s="1"/>
  <c r="P462" i="11" s="1"/>
  <c r="J104" i="10"/>
  <c r="L820" i="7"/>
  <c r="L104" i="11" s="1"/>
  <c r="P104" i="11" s="1"/>
  <c r="L462" i="7"/>
  <c r="L462" i="10" s="1"/>
  <c r="P462" i="10" s="1"/>
  <c r="L1536" i="7"/>
  <c r="L820" i="11" s="1"/>
  <c r="P820" i="11" s="1"/>
  <c r="L104" i="10"/>
  <c r="P104" i="10" s="1"/>
  <c r="L1357" i="7"/>
  <c r="L641" i="11" s="1"/>
  <c r="P641" i="11" s="1"/>
  <c r="K104" i="10"/>
  <c r="H1716" i="7"/>
  <c r="E1717" i="7" s="1"/>
  <c r="H1179" i="7"/>
  <c r="E1180" i="7" s="1"/>
  <c r="H1537" i="7"/>
  <c r="E1538" i="7" s="1"/>
  <c r="H105" i="7"/>
  <c r="E106" i="7" s="1"/>
  <c r="E105" i="10"/>
  <c r="H821" i="7"/>
  <c r="E822" i="7" s="1"/>
  <c r="H1000" i="7"/>
  <c r="E1001" i="7" s="1"/>
  <c r="H284" i="7"/>
  <c r="E285" i="7" s="1"/>
  <c r="E284" i="10"/>
  <c r="H642" i="7"/>
  <c r="E643" i="7" s="1"/>
  <c r="E642" i="10"/>
  <c r="H1358" i="7"/>
  <c r="E1359" i="7" s="1"/>
  <c r="H463" i="7"/>
  <c r="E464" i="7" s="1"/>
  <c r="E463" i="10"/>
  <c r="I105" i="11" l="1"/>
  <c r="I821" i="11"/>
  <c r="I463" i="11"/>
  <c r="I1000" i="11"/>
  <c r="I642" i="11"/>
  <c r="E643" i="11"/>
  <c r="I284" i="11"/>
  <c r="E285" i="11"/>
  <c r="H2078" i="7"/>
  <c r="E2079" i="7" s="1"/>
  <c r="E824" i="10"/>
  <c r="I1000" i="10"/>
  <c r="J2254" i="7"/>
  <c r="J1000" i="10" s="1"/>
  <c r="L2254" i="7"/>
  <c r="L1000" i="10" s="1"/>
  <c r="P1000" i="10" s="1"/>
  <c r="K2254" i="7"/>
  <c r="K1000" i="10" s="1"/>
  <c r="J1000" i="7"/>
  <c r="J284" i="11" s="1"/>
  <c r="K1000" i="7"/>
  <c r="K284" i="11" s="1"/>
  <c r="J1537" i="7"/>
  <c r="J821" i="11" s="1"/>
  <c r="K1537" i="7"/>
  <c r="K821" i="11" s="1"/>
  <c r="J821" i="7"/>
  <c r="J105" i="11" s="1"/>
  <c r="K821" i="7"/>
  <c r="K105" i="11" s="1"/>
  <c r="J463" i="7"/>
  <c r="J463" i="10" s="1"/>
  <c r="K463" i="7"/>
  <c r="K463" i="10" s="1"/>
  <c r="J105" i="7"/>
  <c r="L105" i="7" s="1"/>
  <c r="K105" i="7"/>
  <c r="J1358" i="7"/>
  <c r="J642" i="11" s="1"/>
  <c r="K1358" i="7"/>
  <c r="K642" i="11" s="1"/>
  <c r="J642" i="7"/>
  <c r="J642" i="10" s="1"/>
  <c r="K642" i="7"/>
  <c r="K642" i="10" s="1"/>
  <c r="J1179" i="7"/>
  <c r="J463" i="11" s="1"/>
  <c r="K1179" i="7"/>
  <c r="K463" i="11" s="1"/>
  <c r="J284" i="7"/>
  <c r="J284" i="10" s="1"/>
  <c r="K284" i="7"/>
  <c r="K284" i="10" s="1"/>
  <c r="J1716" i="7"/>
  <c r="J1000" i="11" s="1"/>
  <c r="K1716" i="7"/>
  <c r="K1000" i="11" s="1"/>
  <c r="I463" i="10"/>
  <c r="I642" i="10"/>
  <c r="I284" i="10"/>
  <c r="E106" i="11"/>
  <c r="I105" i="10"/>
  <c r="E822" i="11"/>
  <c r="E464" i="11"/>
  <c r="E1001" i="11"/>
  <c r="H2255" i="7" l="1"/>
  <c r="E2256" i="7" s="1"/>
  <c r="E1001" i="10"/>
  <c r="I824" i="10"/>
  <c r="K2078" i="7"/>
  <c r="K824" i="10" s="1"/>
  <c r="L2078" i="7"/>
  <c r="L824" i="10" s="1"/>
  <c r="P824" i="10" s="1"/>
  <c r="J2078" i="7"/>
  <c r="J824" i="10" s="1"/>
  <c r="L1000" i="7"/>
  <c r="L284" i="11" s="1"/>
  <c r="P284" i="11" s="1"/>
  <c r="L284" i="7"/>
  <c r="L284" i="10" s="1"/>
  <c r="P284" i="10" s="1"/>
  <c r="L1179" i="7"/>
  <c r="L463" i="11" s="1"/>
  <c r="P463" i="11" s="1"/>
  <c r="L1358" i="7"/>
  <c r="L642" i="11" s="1"/>
  <c r="P642" i="11" s="1"/>
  <c r="L1537" i="7"/>
  <c r="L821" i="11" s="1"/>
  <c r="P821" i="11" s="1"/>
  <c r="L105" i="10"/>
  <c r="P105" i="10" s="1"/>
  <c r="L463" i="7"/>
  <c r="L463" i="10" s="1"/>
  <c r="P463" i="10" s="1"/>
  <c r="L821" i="7"/>
  <c r="L105" i="11" s="1"/>
  <c r="P105" i="11" s="1"/>
  <c r="L642" i="7"/>
  <c r="L642" i="10" s="1"/>
  <c r="P642" i="10" s="1"/>
  <c r="L1716" i="7"/>
  <c r="L1000" i="11" s="1"/>
  <c r="P1000" i="11" s="1"/>
  <c r="K105" i="10"/>
  <c r="J105" i="10"/>
  <c r="H1717" i="7"/>
  <c r="E1718" i="7" s="1"/>
  <c r="H1180" i="7"/>
  <c r="E1181" i="7" s="1"/>
  <c r="H1538" i="7"/>
  <c r="E1539" i="7" s="1"/>
  <c r="H106" i="7"/>
  <c r="E107" i="7" s="1"/>
  <c r="E106" i="10"/>
  <c r="H822" i="7"/>
  <c r="E823" i="7" s="1"/>
  <c r="H1001" i="7"/>
  <c r="E1002" i="7" s="1"/>
  <c r="H285" i="7"/>
  <c r="E286" i="7" s="1"/>
  <c r="E285" i="10"/>
  <c r="H643" i="7"/>
  <c r="E644" i="7" s="1"/>
  <c r="E643" i="10"/>
  <c r="H1359" i="7"/>
  <c r="E1360" i="7" s="1"/>
  <c r="H464" i="7"/>
  <c r="E465" i="7" s="1"/>
  <c r="E464" i="10"/>
  <c r="I822" i="11" l="1"/>
  <c r="I1001" i="11"/>
  <c r="I643" i="11"/>
  <c r="E644" i="11"/>
  <c r="I106" i="11"/>
  <c r="E107" i="11"/>
  <c r="I464" i="11"/>
  <c r="E465" i="11"/>
  <c r="I285" i="11"/>
  <c r="E286" i="11"/>
  <c r="H2079" i="7"/>
  <c r="E2080" i="7" s="1"/>
  <c r="E825" i="10"/>
  <c r="I1001" i="10"/>
  <c r="J2255" i="7"/>
  <c r="J1001" i="10" s="1"/>
  <c r="K2255" i="7"/>
  <c r="K1001" i="10" s="1"/>
  <c r="L2255" i="7"/>
  <c r="L1001" i="10" s="1"/>
  <c r="P1001" i="10" s="1"/>
  <c r="J464" i="7"/>
  <c r="J464" i="10" s="1"/>
  <c r="K464" i="7"/>
  <c r="K464" i="10" s="1"/>
  <c r="J106" i="7"/>
  <c r="L106" i="7" s="1"/>
  <c r="K106" i="7"/>
  <c r="J1001" i="7"/>
  <c r="J285" i="11" s="1"/>
  <c r="K1001" i="7"/>
  <c r="K285" i="11" s="1"/>
  <c r="J822" i="7"/>
  <c r="J106" i="11" s="1"/>
  <c r="K822" i="7"/>
  <c r="K106" i="11" s="1"/>
  <c r="J1359" i="7"/>
  <c r="J643" i="11" s="1"/>
  <c r="K1359" i="7"/>
  <c r="K643" i="11" s="1"/>
  <c r="J1538" i="7"/>
  <c r="J822" i="11" s="1"/>
  <c r="K1538" i="7"/>
  <c r="K822" i="11" s="1"/>
  <c r="J643" i="7"/>
  <c r="J643" i="10" s="1"/>
  <c r="K643" i="7"/>
  <c r="K643" i="10" s="1"/>
  <c r="J1180" i="7"/>
  <c r="J464" i="11" s="1"/>
  <c r="K1180" i="7"/>
  <c r="K464" i="11" s="1"/>
  <c r="J285" i="7"/>
  <c r="J285" i="10" s="1"/>
  <c r="K285" i="7"/>
  <c r="K285" i="10" s="1"/>
  <c r="J1717" i="7"/>
  <c r="J1001" i="11" s="1"/>
  <c r="K1717" i="7"/>
  <c r="K1001" i="11" s="1"/>
  <c r="I464" i="10"/>
  <c r="I643" i="10"/>
  <c r="I285" i="10"/>
  <c r="I106" i="10"/>
  <c r="E823" i="11"/>
  <c r="E1002" i="11"/>
  <c r="H2256" i="7" l="1"/>
  <c r="E2257" i="7" s="1"/>
  <c r="E1002" i="10"/>
  <c r="I825" i="10"/>
  <c r="L2079" i="7"/>
  <c r="L825" i="10" s="1"/>
  <c r="P825" i="10" s="1"/>
  <c r="K2079" i="7"/>
  <c r="K825" i="10" s="1"/>
  <c r="J2079" i="7"/>
  <c r="J825" i="10" s="1"/>
  <c r="L1001" i="7"/>
  <c r="L285" i="11" s="1"/>
  <c r="P285" i="11" s="1"/>
  <c r="L285" i="7"/>
  <c r="L285" i="10" s="1"/>
  <c r="P285" i="10" s="1"/>
  <c r="L1180" i="7"/>
  <c r="L464" i="11" s="1"/>
  <c r="P464" i="11" s="1"/>
  <c r="L464" i="7"/>
  <c r="L464" i="10" s="1"/>
  <c r="P464" i="10" s="1"/>
  <c r="L106" i="10"/>
  <c r="P106" i="10" s="1"/>
  <c r="L1359" i="7"/>
  <c r="L643" i="11" s="1"/>
  <c r="P643" i="11" s="1"/>
  <c r="L822" i="7"/>
  <c r="L106" i="11" s="1"/>
  <c r="P106" i="11" s="1"/>
  <c r="L1538" i="7"/>
  <c r="L822" i="11" s="1"/>
  <c r="P822" i="11" s="1"/>
  <c r="L1717" i="7"/>
  <c r="L1001" i="11" s="1"/>
  <c r="P1001" i="11" s="1"/>
  <c r="K106" i="10"/>
  <c r="L643" i="7"/>
  <c r="L643" i="10" s="1"/>
  <c r="P643" i="10" s="1"/>
  <c r="J106" i="10"/>
  <c r="H1718" i="7"/>
  <c r="E1719" i="7" s="1"/>
  <c r="H1181" i="7"/>
  <c r="E1182" i="7" s="1"/>
  <c r="H1539" i="7"/>
  <c r="E1540" i="7" s="1"/>
  <c r="H107" i="7"/>
  <c r="E108" i="7" s="1"/>
  <c r="E107" i="10"/>
  <c r="H823" i="7"/>
  <c r="E824" i="7" s="1"/>
  <c r="H1002" i="7"/>
  <c r="E1003" i="7" s="1"/>
  <c r="H286" i="7"/>
  <c r="E287" i="7" s="1"/>
  <c r="E286" i="10"/>
  <c r="H644" i="7"/>
  <c r="E645" i="7" s="1"/>
  <c r="E644" i="10"/>
  <c r="H1360" i="7"/>
  <c r="E1361" i="7" s="1"/>
  <c r="H465" i="7"/>
  <c r="E466" i="7" s="1"/>
  <c r="E465" i="10"/>
  <c r="I107" i="11" l="1"/>
  <c r="I1002" i="11"/>
  <c r="I644" i="11"/>
  <c r="E645" i="11"/>
  <c r="I823" i="11"/>
  <c r="I465" i="11"/>
  <c r="I286" i="11"/>
  <c r="E287" i="11"/>
  <c r="H2080" i="7"/>
  <c r="E2081" i="7" s="1"/>
  <c r="E826" i="10"/>
  <c r="I1002" i="10"/>
  <c r="K2256" i="7"/>
  <c r="K1002" i="10" s="1"/>
  <c r="L2256" i="7"/>
  <c r="L1002" i="10" s="1"/>
  <c r="P1002" i="10" s="1"/>
  <c r="J2256" i="7"/>
  <c r="J1002" i="10" s="1"/>
  <c r="J1539" i="7"/>
  <c r="J823" i="11" s="1"/>
  <c r="K1539" i="7"/>
  <c r="K823" i="11" s="1"/>
  <c r="J1360" i="7"/>
  <c r="J644" i="11" s="1"/>
  <c r="K1360" i="7"/>
  <c r="K644" i="11" s="1"/>
  <c r="J1181" i="7"/>
  <c r="J465" i="11" s="1"/>
  <c r="K1181" i="7"/>
  <c r="K465" i="11" s="1"/>
  <c r="J1002" i="7"/>
  <c r="J286" i="11" s="1"/>
  <c r="K1002" i="7"/>
  <c r="K286" i="11" s="1"/>
  <c r="J823" i="7"/>
  <c r="J107" i="11" s="1"/>
  <c r="K823" i="7"/>
  <c r="K107" i="11" s="1"/>
  <c r="J465" i="7"/>
  <c r="J465" i="10" s="1"/>
  <c r="K465" i="7"/>
  <c r="K465" i="10" s="1"/>
  <c r="J107" i="7"/>
  <c r="J107" i="10" s="1"/>
  <c r="K107" i="7"/>
  <c r="K107" i="10" s="1"/>
  <c r="J644" i="7"/>
  <c r="J644" i="10" s="1"/>
  <c r="K644" i="7"/>
  <c r="K644" i="10" s="1"/>
  <c r="J286" i="7"/>
  <c r="J286" i="10" s="1"/>
  <c r="K286" i="7"/>
  <c r="K286" i="10" s="1"/>
  <c r="J1718" i="7"/>
  <c r="J1002" i="11" s="1"/>
  <c r="K1718" i="7"/>
  <c r="K1002" i="11" s="1"/>
  <c r="I465" i="10"/>
  <c r="I644" i="10"/>
  <c r="I286" i="10"/>
  <c r="E108" i="11"/>
  <c r="I107" i="10"/>
  <c r="E824" i="11"/>
  <c r="E466" i="11"/>
  <c r="E1003" i="11"/>
  <c r="H2257" i="7" l="1"/>
  <c r="E2258" i="7" s="1"/>
  <c r="E1003" i="10"/>
  <c r="I826" i="10"/>
  <c r="L2080" i="7"/>
  <c r="L826" i="10" s="1"/>
  <c r="P826" i="10" s="1"/>
  <c r="K2080" i="7"/>
  <c r="K826" i="10" s="1"/>
  <c r="J2080" i="7"/>
  <c r="J826" i="10" s="1"/>
  <c r="L1002" i="7"/>
  <c r="L286" i="11" s="1"/>
  <c r="P286" i="11" s="1"/>
  <c r="L107" i="7"/>
  <c r="L107" i="10" s="1"/>
  <c r="P107" i="10" s="1"/>
  <c r="L286" i="7"/>
  <c r="L286" i="10" s="1"/>
  <c r="P286" i="10" s="1"/>
  <c r="L644" i="7"/>
  <c r="L644" i="10" s="1"/>
  <c r="P644" i="10" s="1"/>
  <c r="L1718" i="7"/>
  <c r="L1002" i="11" s="1"/>
  <c r="P1002" i="11" s="1"/>
  <c r="L1539" i="7"/>
  <c r="L823" i="11" s="1"/>
  <c r="P823" i="11" s="1"/>
  <c r="L1181" i="7"/>
  <c r="L465" i="11" s="1"/>
  <c r="P465" i="11" s="1"/>
  <c r="L1360" i="7"/>
  <c r="L644" i="11" s="1"/>
  <c r="P644" i="11" s="1"/>
  <c r="L823" i="7"/>
  <c r="L107" i="11" s="1"/>
  <c r="P107" i="11" s="1"/>
  <c r="L465" i="7"/>
  <c r="L465" i="10" s="1"/>
  <c r="P465" i="10" s="1"/>
  <c r="H1719" i="7"/>
  <c r="E1720" i="7" s="1"/>
  <c r="H1182" i="7"/>
  <c r="E1183" i="7" s="1"/>
  <c r="H1540" i="7"/>
  <c r="E1541" i="7" s="1"/>
  <c r="H108" i="7"/>
  <c r="E109" i="7" s="1"/>
  <c r="E108" i="10"/>
  <c r="H824" i="7"/>
  <c r="E825" i="7" s="1"/>
  <c r="H1003" i="7"/>
  <c r="E1004" i="7" s="1"/>
  <c r="H287" i="7"/>
  <c r="E288" i="7" s="1"/>
  <c r="E287" i="10"/>
  <c r="H645" i="7"/>
  <c r="E646" i="7" s="1"/>
  <c r="E645" i="10"/>
  <c r="H1361" i="7"/>
  <c r="E1362" i="7" s="1"/>
  <c r="H466" i="7"/>
  <c r="E467" i="7" s="1"/>
  <c r="E466" i="10"/>
  <c r="I1003" i="11" l="1"/>
  <c r="E1004" i="11"/>
  <c r="I824" i="11"/>
  <c r="E825" i="11"/>
  <c r="I287" i="11"/>
  <c r="I108" i="11"/>
  <c r="I466" i="11"/>
  <c r="E467" i="11"/>
  <c r="I645" i="11"/>
  <c r="E646" i="11"/>
  <c r="H2081" i="7"/>
  <c r="E2082" i="7" s="1"/>
  <c r="E827" i="10"/>
  <c r="I1003" i="10"/>
  <c r="K2257" i="7"/>
  <c r="K1003" i="10" s="1"/>
  <c r="J2257" i="7"/>
  <c r="J1003" i="10" s="1"/>
  <c r="L2257" i="7"/>
  <c r="L1003" i="10" s="1"/>
  <c r="P1003" i="10" s="1"/>
  <c r="J824" i="7"/>
  <c r="J108" i="11" s="1"/>
  <c r="K824" i="7"/>
  <c r="K108" i="11" s="1"/>
  <c r="J1719" i="7"/>
  <c r="J1003" i="11" s="1"/>
  <c r="K1719" i="7"/>
  <c r="K1003" i="11" s="1"/>
  <c r="J1540" i="7"/>
  <c r="J824" i="11" s="1"/>
  <c r="K1540" i="7"/>
  <c r="K824" i="11" s="1"/>
  <c r="J1003" i="7"/>
  <c r="J287" i="11" s="1"/>
  <c r="K1003" i="7"/>
  <c r="K287" i="11" s="1"/>
  <c r="J466" i="7"/>
  <c r="J466" i="10" s="1"/>
  <c r="K466" i="7"/>
  <c r="K466" i="10" s="1"/>
  <c r="J287" i="7"/>
  <c r="J287" i="10" s="1"/>
  <c r="K287" i="7"/>
  <c r="K287" i="10" s="1"/>
  <c r="J108" i="7"/>
  <c r="J108" i="10" s="1"/>
  <c r="K108" i="7"/>
  <c r="K108" i="10" s="1"/>
  <c r="J1361" i="7"/>
  <c r="J645" i="11" s="1"/>
  <c r="K1361" i="7"/>
  <c r="K645" i="11" s="1"/>
  <c r="J645" i="7"/>
  <c r="J645" i="10" s="1"/>
  <c r="K645" i="7"/>
  <c r="K645" i="10" s="1"/>
  <c r="J1182" i="7"/>
  <c r="J466" i="11" s="1"/>
  <c r="K1182" i="7"/>
  <c r="K466" i="11" s="1"/>
  <c r="I466" i="10"/>
  <c r="I645" i="10"/>
  <c r="I287" i="10"/>
  <c r="E288" i="11"/>
  <c r="E109" i="11"/>
  <c r="I108" i="10"/>
  <c r="H2258" i="7" l="1"/>
  <c r="E2259" i="7" s="1"/>
  <c r="E1004" i="10"/>
  <c r="I827" i="10"/>
  <c r="K2081" i="7"/>
  <c r="K827" i="10" s="1"/>
  <c r="L2081" i="7"/>
  <c r="L827" i="10" s="1"/>
  <c r="P827" i="10" s="1"/>
  <c r="J2081" i="7"/>
  <c r="J827" i="10" s="1"/>
  <c r="L1003" i="7"/>
  <c r="L287" i="11" s="1"/>
  <c r="P287" i="11" s="1"/>
  <c r="L645" i="7"/>
  <c r="L645" i="10" s="1"/>
  <c r="P645" i="10" s="1"/>
  <c r="L108" i="7"/>
  <c r="L108" i="10" s="1"/>
  <c r="P108" i="10" s="1"/>
  <c r="L287" i="7"/>
  <c r="L287" i="10" s="1"/>
  <c r="P287" i="10" s="1"/>
  <c r="L1361" i="7"/>
  <c r="L645" i="11" s="1"/>
  <c r="P645" i="11" s="1"/>
  <c r="L1719" i="7"/>
  <c r="L1003" i="11" s="1"/>
  <c r="P1003" i="11" s="1"/>
  <c r="L824" i="7"/>
  <c r="L108" i="11" s="1"/>
  <c r="P108" i="11" s="1"/>
  <c r="L466" i="7"/>
  <c r="L466" i="10" s="1"/>
  <c r="P466" i="10" s="1"/>
  <c r="L1182" i="7"/>
  <c r="L466" i="11" s="1"/>
  <c r="P466" i="11" s="1"/>
  <c r="L1540" i="7"/>
  <c r="L824" i="11" s="1"/>
  <c r="P824" i="11" s="1"/>
  <c r="H1720" i="7"/>
  <c r="E1721" i="7" s="1"/>
  <c r="H1183" i="7"/>
  <c r="E1184" i="7" s="1"/>
  <c r="H1541" i="7"/>
  <c r="E1542" i="7" s="1"/>
  <c r="H109" i="7"/>
  <c r="E110" i="7" s="1"/>
  <c r="E109" i="10"/>
  <c r="H825" i="7"/>
  <c r="E826" i="7" s="1"/>
  <c r="H1004" i="7"/>
  <c r="E1005" i="7" s="1"/>
  <c r="H288" i="7"/>
  <c r="E289" i="7" s="1"/>
  <c r="E288" i="10"/>
  <c r="H646" i="7"/>
  <c r="E647" i="7" s="1"/>
  <c r="E646" i="10"/>
  <c r="H1362" i="7"/>
  <c r="E1363" i="7" s="1"/>
  <c r="H467" i="7"/>
  <c r="E468" i="7" s="1"/>
  <c r="E467" i="10"/>
  <c r="I288" i="11" l="1"/>
  <c r="I1004" i="11"/>
  <c r="I646" i="11"/>
  <c r="E647" i="11"/>
  <c r="I109" i="11"/>
  <c r="I825" i="11"/>
  <c r="E826" i="11"/>
  <c r="I467" i="11"/>
  <c r="E468" i="11"/>
  <c r="H2082" i="7"/>
  <c r="E2083" i="7" s="1"/>
  <c r="E828" i="10"/>
  <c r="I1004" i="10"/>
  <c r="K2258" i="7"/>
  <c r="K1004" i="10" s="1"/>
  <c r="L2258" i="7"/>
  <c r="L1004" i="10" s="1"/>
  <c r="P1004" i="10" s="1"/>
  <c r="J2258" i="7"/>
  <c r="J1004" i="10" s="1"/>
  <c r="J1004" i="7"/>
  <c r="J288" i="11" s="1"/>
  <c r="K1004" i="7"/>
  <c r="K288" i="11" s="1"/>
  <c r="J288" i="7"/>
  <c r="J288" i="10" s="1"/>
  <c r="K288" i="7"/>
  <c r="K288" i="10" s="1"/>
  <c r="J825" i="7"/>
  <c r="J109" i="11" s="1"/>
  <c r="K825" i="7"/>
  <c r="K109" i="11" s="1"/>
  <c r="J1541" i="7"/>
  <c r="J825" i="11" s="1"/>
  <c r="K1541" i="7"/>
  <c r="K825" i="11" s="1"/>
  <c r="J109" i="7"/>
  <c r="J109" i="10" s="1"/>
  <c r="K109" i="7"/>
  <c r="K109" i="10" s="1"/>
  <c r="J1720" i="7"/>
  <c r="J1004" i="11" s="1"/>
  <c r="K1720" i="7"/>
  <c r="K1004" i="11" s="1"/>
  <c r="J467" i="7"/>
  <c r="J467" i="10" s="1"/>
  <c r="K467" i="7"/>
  <c r="K467" i="10" s="1"/>
  <c r="J1362" i="7"/>
  <c r="J646" i="11" s="1"/>
  <c r="K1362" i="7"/>
  <c r="K646" i="11" s="1"/>
  <c r="J646" i="7"/>
  <c r="J646" i="10" s="1"/>
  <c r="K646" i="7"/>
  <c r="K646" i="10" s="1"/>
  <c r="J1183" i="7"/>
  <c r="J467" i="11" s="1"/>
  <c r="K1183" i="7"/>
  <c r="K467" i="11" s="1"/>
  <c r="I467" i="10"/>
  <c r="I646" i="10"/>
  <c r="I288" i="10"/>
  <c r="E289" i="11"/>
  <c r="E110" i="11"/>
  <c r="I109" i="10"/>
  <c r="E1005" i="11"/>
  <c r="H2259" i="7" l="1"/>
  <c r="E2260" i="7" s="1"/>
  <c r="E1005" i="10"/>
  <c r="I828" i="10"/>
  <c r="K2082" i="7"/>
  <c r="K828" i="10" s="1"/>
  <c r="L2082" i="7"/>
  <c r="L828" i="10" s="1"/>
  <c r="P828" i="10" s="1"/>
  <c r="J2082" i="7"/>
  <c r="J828" i="10" s="1"/>
  <c r="L1004" i="7"/>
  <c r="L288" i="11" s="1"/>
  <c r="P288" i="11" s="1"/>
  <c r="L109" i="7"/>
  <c r="L109" i="10" s="1"/>
  <c r="P109" i="10" s="1"/>
  <c r="L288" i="7"/>
  <c r="L288" i="10" s="1"/>
  <c r="P288" i="10" s="1"/>
  <c r="L646" i="7"/>
  <c r="L646" i="10" s="1"/>
  <c r="P646" i="10" s="1"/>
  <c r="L1183" i="7"/>
  <c r="L467" i="11" s="1"/>
  <c r="P467" i="11" s="1"/>
  <c r="L1362" i="7"/>
  <c r="L646" i="11" s="1"/>
  <c r="P646" i="11" s="1"/>
  <c r="L1720" i="7"/>
  <c r="L1004" i="11" s="1"/>
  <c r="P1004" i="11" s="1"/>
  <c r="L825" i="7"/>
  <c r="L109" i="11" s="1"/>
  <c r="P109" i="11" s="1"/>
  <c r="L467" i="7"/>
  <c r="L467" i="10" s="1"/>
  <c r="P467" i="10" s="1"/>
  <c r="L1541" i="7"/>
  <c r="L825" i="11" s="1"/>
  <c r="P825" i="11" s="1"/>
  <c r="H1721" i="7"/>
  <c r="E1722" i="7" s="1"/>
  <c r="H1184" i="7"/>
  <c r="E1185" i="7" s="1"/>
  <c r="H1542" i="7"/>
  <c r="E1543" i="7" s="1"/>
  <c r="H110" i="7"/>
  <c r="E111" i="7" s="1"/>
  <c r="E110" i="10"/>
  <c r="H826" i="7"/>
  <c r="E827" i="7" s="1"/>
  <c r="H1005" i="7"/>
  <c r="E1006" i="7" s="1"/>
  <c r="H289" i="7"/>
  <c r="E290" i="7" s="1"/>
  <c r="E289" i="10"/>
  <c r="H647" i="7"/>
  <c r="E648" i="7" s="1"/>
  <c r="E647" i="10"/>
  <c r="H1363" i="7"/>
  <c r="E1364" i="7" s="1"/>
  <c r="H468" i="7"/>
  <c r="E469" i="7" s="1"/>
  <c r="E468" i="10"/>
  <c r="I289" i="11" l="1"/>
  <c r="I110" i="11"/>
  <c r="I468" i="11"/>
  <c r="I826" i="11"/>
  <c r="I1005" i="11"/>
  <c r="I647" i="11"/>
  <c r="E648" i="11"/>
  <c r="H2083" i="7"/>
  <c r="E2084" i="7" s="1"/>
  <c r="E829" i="10"/>
  <c r="I1005" i="10"/>
  <c r="J2259" i="7"/>
  <c r="J1005" i="10" s="1"/>
  <c r="K2259" i="7"/>
  <c r="K1005" i="10" s="1"/>
  <c r="L2259" i="7"/>
  <c r="L1005" i="10" s="1"/>
  <c r="P1005" i="10" s="1"/>
  <c r="J289" i="7"/>
  <c r="J289" i="10" s="1"/>
  <c r="K289" i="7"/>
  <c r="K289" i="10" s="1"/>
  <c r="J1005" i="7"/>
  <c r="J289" i="11" s="1"/>
  <c r="K1005" i="7"/>
  <c r="K289" i="11" s="1"/>
  <c r="J1542" i="7"/>
  <c r="J826" i="11" s="1"/>
  <c r="K1542" i="7"/>
  <c r="K826" i="11" s="1"/>
  <c r="J468" i="7"/>
  <c r="J468" i="10" s="1"/>
  <c r="K468" i="7"/>
  <c r="K468" i="10" s="1"/>
  <c r="J110" i="7"/>
  <c r="J110" i="10" s="1"/>
  <c r="K110" i="7"/>
  <c r="K110" i="10" s="1"/>
  <c r="J1721" i="7"/>
  <c r="J1005" i="11" s="1"/>
  <c r="K1721" i="7"/>
  <c r="K1005" i="11" s="1"/>
  <c r="J826" i="7"/>
  <c r="J110" i="11" s="1"/>
  <c r="K826" i="7"/>
  <c r="K110" i="11" s="1"/>
  <c r="J1363" i="7"/>
  <c r="J647" i="11" s="1"/>
  <c r="K1363" i="7"/>
  <c r="K647" i="11" s="1"/>
  <c r="J647" i="7"/>
  <c r="J647" i="10" s="1"/>
  <c r="K647" i="7"/>
  <c r="K647" i="10" s="1"/>
  <c r="J1184" i="7"/>
  <c r="J468" i="11" s="1"/>
  <c r="K1184" i="7"/>
  <c r="K468" i="11" s="1"/>
  <c r="I468" i="10"/>
  <c r="I647" i="10"/>
  <c r="I289" i="10"/>
  <c r="E290" i="11"/>
  <c r="E111" i="11"/>
  <c r="I110" i="10"/>
  <c r="E827" i="11"/>
  <c r="E469" i="11"/>
  <c r="E1006" i="11"/>
  <c r="H2260" i="7" l="1"/>
  <c r="E2261" i="7" s="1"/>
  <c r="E1006" i="10"/>
  <c r="I829" i="10"/>
  <c r="J2083" i="7"/>
  <c r="J829" i="10" s="1"/>
  <c r="K2083" i="7"/>
  <c r="K829" i="10" s="1"/>
  <c r="L2083" i="7"/>
  <c r="L829" i="10" s="1"/>
  <c r="P829" i="10" s="1"/>
  <c r="L1005" i="7"/>
  <c r="L289" i="11" s="1"/>
  <c r="P289" i="11" s="1"/>
  <c r="L647" i="7"/>
  <c r="L647" i="10" s="1"/>
  <c r="P647" i="10" s="1"/>
  <c r="L110" i="7"/>
  <c r="L110" i="10" s="1"/>
  <c r="P110" i="10" s="1"/>
  <c r="L289" i="7"/>
  <c r="L289" i="10" s="1"/>
  <c r="P289" i="10" s="1"/>
  <c r="L1721" i="7"/>
  <c r="L1005" i="11" s="1"/>
  <c r="P1005" i="11" s="1"/>
  <c r="L1363" i="7"/>
  <c r="L647" i="11" s="1"/>
  <c r="P647" i="11" s="1"/>
  <c r="L1184" i="7"/>
  <c r="L468" i="11" s="1"/>
  <c r="P468" i="11" s="1"/>
  <c r="L826" i="7"/>
  <c r="L110" i="11" s="1"/>
  <c r="P110" i="11" s="1"/>
  <c r="L1542" i="7"/>
  <c r="L826" i="11" s="1"/>
  <c r="P826" i="11" s="1"/>
  <c r="L468" i="7"/>
  <c r="L468" i="10" s="1"/>
  <c r="P468" i="10" s="1"/>
  <c r="H1722" i="7"/>
  <c r="E1723" i="7" s="1"/>
  <c r="H1185" i="7"/>
  <c r="E1186" i="7" s="1"/>
  <c r="H1543" i="7"/>
  <c r="E1544" i="7" s="1"/>
  <c r="H111" i="7"/>
  <c r="E112" i="7" s="1"/>
  <c r="E111" i="10"/>
  <c r="H827" i="7"/>
  <c r="E828" i="7" s="1"/>
  <c r="H1006" i="7"/>
  <c r="E1007" i="7" s="1"/>
  <c r="H290" i="7"/>
  <c r="E291" i="7" s="1"/>
  <c r="E290" i="10"/>
  <c r="H648" i="7"/>
  <c r="E649" i="7" s="1"/>
  <c r="E648" i="10"/>
  <c r="H1364" i="7"/>
  <c r="E1365" i="7" s="1"/>
  <c r="H469" i="7"/>
  <c r="E470" i="7" s="1"/>
  <c r="E469" i="10"/>
  <c r="I111" i="11" l="1"/>
  <c r="I290" i="11"/>
  <c r="I827" i="11"/>
  <c r="I469" i="11"/>
  <c r="I1006" i="11"/>
  <c r="I648" i="11"/>
  <c r="E649" i="11"/>
  <c r="H2084" i="7"/>
  <c r="E2085" i="7" s="1"/>
  <c r="E830" i="10"/>
  <c r="I1006" i="10"/>
  <c r="K2260" i="7"/>
  <c r="K1006" i="10" s="1"/>
  <c r="J2260" i="7"/>
  <c r="J1006" i="10" s="1"/>
  <c r="L2260" i="7"/>
  <c r="L1006" i="10" s="1"/>
  <c r="P1006" i="10" s="1"/>
  <c r="J1722" i="7"/>
  <c r="J1006" i="11" s="1"/>
  <c r="K1722" i="7"/>
  <c r="K1006" i="11" s="1"/>
  <c r="J827" i="7"/>
  <c r="J111" i="11" s="1"/>
  <c r="K827" i="7"/>
  <c r="K111" i="11" s="1"/>
  <c r="J1543" i="7"/>
  <c r="J827" i="11" s="1"/>
  <c r="K1543" i="7"/>
  <c r="K827" i="11" s="1"/>
  <c r="J1006" i="7"/>
  <c r="J290" i="11" s="1"/>
  <c r="K1006" i="7"/>
  <c r="K290" i="11" s="1"/>
  <c r="J111" i="7"/>
  <c r="J111" i="10" s="1"/>
  <c r="K111" i="7"/>
  <c r="K111" i="10" s="1"/>
  <c r="J290" i="7"/>
  <c r="J290" i="10" s="1"/>
  <c r="K290" i="7"/>
  <c r="K290" i="10" s="1"/>
  <c r="J469" i="7"/>
  <c r="J469" i="10" s="1"/>
  <c r="K469" i="7"/>
  <c r="K469" i="10" s="1"/>
  <c r="J1364" i="7"/>
  <c r="J648" i="11" s="1"/>
  <c r="K1364" i="7"/>
  <c r="K648" i="11" s="1"/>
  <c r="J648" i="7"/>
  <c r="J648" i="10" s="1"/>
  <c r="K648" i="7"/>
  <c r="K648" i="10" s="1"/>
  <c r="J1185" i="7"/>
  <c r="J469" i="11" s="1"/>
  <c r="K1185" i="7"/>
  <c r="K469" i="11" s="1"/>
  <c r="I469" i="10"/>
  <c r="I648" i="10"/>
  <c r="I290" i="10"/>
  <c r="E291" i="11"/>
  <c r="E112" i="11"/>
  <c r="I111" i="10"/>
  <c r="E828" i="11"/>
  <c r="E470" i="11"/>
  <c r="E1007" i="11"/>
  <c r="H2261" i="7" l="1"/>
  <c r="E2262" i="7" s="1"/>
  <c r="E1007" i="10"/>
  <c r="I830" i="10"/>
  <c r="L2084" i="7"/>
  <c r="L830" i="10" s="1"/>
  <c r="P830" i="10" s="1"/>
  <c r="K2084" i="7"/>
  <c r="K830" i="10" s="1"/>
  <c r="J2084" i="7"/>
  <c r="J830" i="10" s="1"/>
  <c r="L1006" i="7"/>
  <c r="L290" i="11" s="1"/>
  <c r="P290" i="11" s="1"/>
  <c r="L111" i="7"/>
  <c r="L111" i="10" s="1"/>
  <c r="P111" i="10" s="1"/>
  <c r="L290" i="7"/>
  <c r="L290" i="10" s="1"/>
  <c r="P290" i="10" s="1"/>
  <c r="L648" i="7"/>
  <c r="L648" i="10" s="1"/>
  <c r="P648" i="10" s="1"/>
  <c r="L1722" i="7"/>
  <c r="L1006" i="11" s="1"/>
  <c r="P1006" i="11" s="1"/>
  <c r="L1364" i="7"/>
  <c r="L648" i="11" s="1"/>
  <c r="P648" i="11" s="1"/>
  <c r="L1185" i="7"/>
  <c r="L469" i="11" s="1"/>
  <c r="P469" i="11" s="1"/>
  <c r="L827" i="7"/>
  <c r="L111" i="11" s="1"/>
  <c r="P111" i="11" s="1"/>
  <c r="L469" i="7"/>
  <c r="L469" i="10" s="1"/>
  <c r="P469" i="10" s="1"/>
  <c r="L1543" i="7"/>
  <c r="L827" i="11" s="1"/>
  <c r="P827" i="11" s="1"/>
  <c r="H1723" i="7"/>
  <c r="E1724" i="7" s="1"/>
  <c r="H1186" i="7"/>
  <c r="E1187" i="7" s="1"/>
  <c r="H1544" i="7"/>
  <c r="E1545" i="7" s="1"/>
  <c r="H112" i="7"/>
  <c r="E113" i="7" s="1"/>
  <c r="E112" i="10"/>
  <c r="H828" i="7"/>
  <c r="E829" i="7" s="1"/>
  <c r="H1007" i="7"/>
  <c r="E1008" i="7" s="1"/>
  <c r="H291" i="7"/>
  <c r="E292" i="7" s="1"/>
  <c r="E291" i="10"/>
  <c r="H649" i="7"/>
  <c r="E650" i="7" s="1"/>
  <c r="E649" i="10"/>
  <c r="H1365" i="7"/>
  <c r="E1366" i="7" s="1"/>
  <c r="H470" i="7"/>
  <c r="E471" i="7" s="1"/>
  <c r="E470" i="10"/>
  <c r="I112" i="11" l="1"/>
  <c r="E113" i="11"/>
  <c r="I291" i="11"/>
  <c r="E292" i="11"/>
  <c r="I1007" i="11"/>
  <c r="I828" i="11"/>
  <c r="I470" i="11"/>
  <c r="I649" i="11"/>
  <c r="E650" i="11"/>
  <c r="H2085" i="7"/>
  <c r="E2086" i="7" s="1"/>
  <c r="E831" i="10"/>
  <c r="I1007" i="10"/>
  <c r="J2261" i="7"/>
  <c r="J1007" i="10" s="1"/>
  <c r="K2261" i="7"/>
  <c r="K1007" i="10" s="1"/>
  <c r="L2261" i="7"/>
  <c r="L1007" i="10" s="1"/>
  <c r="P1007" i="10" s="1"/>
  <c r="J1007" i="7"/>
  <c r="J291" i="11" s="1"/>
  <c r="K1007" i="7"/>
  <c r="K291" i="11" s="1"/>
  <c r="J112" i="7"/>
  <c r="J112" i="10" s="1"/>
  <c r="K112" i="7"/>
  <c r="K112" i="10" s="1"/>
  <c r="J291" i="7"/>
  <c r="J291" i="10" s="1"/>
  <c r="K291" i="7"/>
  <c r="K291" i="10" s="1"/>
  <c r="J470" i="7"/>
  <c r="J470" i="10" s="1"/>
  <c r="K470" i="7"/>
  <c r="K470" i="10" s="1"/>
  <c r="J1544" i="7"/>
  <c r="J828" i="11" s="1"/>
  <c r="K1544" i="7"/>
  <c r="K828" i="11" s="1"/>
  <c r="J1723" i="7"/>
  <c r="J1007" i="11" s="1"/>
  <c r="K1723" i="7"/>
  <c r="K1007" i="11" s="1"/>
  <c r="J828" i="7"/>
  <c r="J112" i="11" s="1"/>
  <c r="K828" i="7"/>
  <c r="K112" i="11" s="1"/>
  <c r="J1365" i="7"/>
  <c r="J649" i="11" s="1"/>
  <c r="K1365" i="7"/>
  <c r="K649" i="11" s="1"/>
  <c r="J649" i="7"/>
  <c r="J649" i="10" s="1"/>
  <c r="K649" i="7"/>
  <c r="K649" i="10" s="1"/>
  <c r="J1186" i="7"/>
  <c r="J470" i="11" s="1"/>
  <c r="K1186" i="7"/>
  <c r="K470" i="11" s="1"/>
  <c r="I470" i="10"/>
  <c r="I649" i="10"/>
  <c r="I291" i="10"/>
  <c r="I112" i="10"/>
  <c r="E829" i="11"/>
  <c r="E471" i="11"/>
  <c r="E1008" i="11"/>
  <c r="H2262" i="7" l="1"/>
  <c r="E2263" i="7" s="1"/>
  <c r="E1008" i="10"/>
  <c r="I831" i="10"/>
  <c r="L2085" i="7"/>
  <c r="L831" i="10" s="1"/>
  <c r="P831" i="10" s="1"/>
  <c r="J2085" i="7"/>
  <c r="J831" i="10" s="1"/>
  <c r="K2085" i="7"/>
  <c r="K831" i="10" s="1"/>
  <c r="L1007" i="7"/>
  <c r="L291" i="11" s="1"/>
  <c r="P291" i="11" s="1"/>
  <c r="L112" i="7"/>
  <c r="L112" i="10" s="1"/>
  <c r="P112" i="10" s="1"/>
  <c r="L291" i="7"/>
  <c r="L291" i="10" s="1"/>
  <c r="P291" i="10" s="1"/>
  <c r="L649" i="7"/>
  <c r="L649" i="10" s="1"/>
  <c r="P649" i="10" s="1"/>
  <c r="L1723" i="7"/>
  <c r="L1007" i="11" s="1"/>
  <c r="P1007" i="11" s="1"/>
  <c r="L1186" i="7"/>
  <c r="L470" i="11" s="1"/>
  <c r="P470" i="11" s="1"/>
  <c r="L1365" i="7"/>
  <c r="L649" i="11" s="1"/>
  <c r="P649" i="11" s="1"/>
  <c r="L828" i="7"/>
  <c r="L112" i="11" s="1"/>
  <c r="P112" i="11" s="1"/>
  <c r="L470" i="7"/>
  <c r="L470" i="10" s="1"/>
  <c r="P470" i="10" s="1"/>
  <c r="L1544" i="7"/>
  <c r="L828" i="11" s="1"/>
  <c r="P828" i="11" s="1"/>
  <c r="H1724" i="7"/>
  <c r="E1725" i="7" s="1"/>
  <c r="H1187" i="7"/>
  <c r="E1188" i="7" s="1"/>
  <c r="H1545" i="7"/>
  <c r="E1546" i="7" s="1"/>
  <c r="H113" i="7"/>
  <c r="E114" i="7" s="1"/>
  <c r="E113" i="10"/>
  <c r="H829" i="7"/>
  <c r="E830" i="7" s="1"/>
  <c r="H1008" i="7"/>
  <c r="E1009" i="7" s="1"/>
  <c r="H292" i="7"/>
  <c r="E293" i="7" s="1"/>
  <c r="E292" i="10"/>
  <c r="H650" i="7"/>
  <c r="E651" i="7" s="1"/>
  <c r="E650" i="10"/>
  <c r="H1366" i="7"/>
  <c r="E1367" i="7" s="1"/>
  <c r="H471" i="7"/>
  <c r="E472" i="7" s="1"/>
  <c r="E471" i="10"/>
  <c r="I113" i="11" l="1"/>
  <c r="I292" i="11"/>
  <c r="E293" i="11"/>
  <c r="I650" i="11"/>
  <c r="E651" i="11"/>
  <c r="I829" i="11"/>
  <c r="I471" i="11"/>
  <c r="I1008" i="11"/>
  <c r="E1009" i="11"/>
  <c r="H2086" i="7"/>
  <c r="E2087" i="7" s="1"/>
  <c r="E832" i="10"/>
  <c r="I1008" i="10"/>
  <c r="L2262" i="7"/>
  <c r="L1008" i="10" s="1"/>
  <c r="P1008" i="10" s="1"/>
  <c r="K2262" i="7"/>
  <c r="K1008" i="10" s="1"/>
  <c r="J2262" i="7"/>
  <c r="J1008" i="10" s="1"/>
  <c r="J292" i="7"/>
  <c r="J292" i="10" s="1"/>
  <c r="K292" i="7"/>
  <c r="K292" i="10" s="1"/>
  <c r="J471" i="7"/>
  <c r="J471" i="10" s="1"/>
  <c r="K471" i="7"/>
  <c r="K471" i="10" s="1"/>
  <c r="J829" i="7"/>
  <c r="J113" i="11" s="1"/>
  <c r="K829" i="7"/>
  <c r="K113" i="11" s="1"/>
  <c r="J1366" i="7"/>
  <c r="J650" i="11" s="1"/>
  <c r="K1366" i="7"/>
  <c r="K650" i="11" s="1"/>
  <c r="J1545" i="7"/>
  <c r="J829" i="11" s="1"/>
  <c r="K1545" i="7"/>
  <c r="K829" i="11" s="1"/>
  <c r="J113" i="7"/>
  <c r="J113" i="10" s="1"/>
  <c r="K113" i="7"/>
  <c r="K113" i="10" s="1"/>
  <c r="J1724" i="7"/>
  <c r="J1008" i="11" s="1"/>
  <c r="K1724" i="7"/>
  <c r="K1008" i="11" s="1"/>
  <c r="J1008" i="7"/>
  <c r="J292" i="11" s="1"/>
  <c r="K1008" i="7"/>
  <c r="K292" i="11" s="1"/>
  <c r="J650" i="7"/>
  <c r="J650" i="10" s="1"/>
  <c r="K650" i="7"/>
  <c r="K650" i="10" s="1"/>
  <c r="J1187" i="7"/>
  <c r="J471" i="11" s="1"/>
  <c r="K1187" i="7"/>
  <c r="K471" i="11" s="1"/>
  <c r="I471" i="10"/>
  <c r="I650" i="10"/>
  <c r="I292" i="10"/>
  <c r="E114" i="11"/>
  <c r="I113" i="10"/>
  <c r="E830" i="11"/>
  <c r="E472" i="11"/>
  <c r="H2263" i="7" l="1"/>
  <c r="E2264" i="7" s="1"/>
  <c r="E1009" i="10"/>
  <c r="I832" i="10"/>
  <c r="K2086" i="7"/>
  <c r="K832" i="10" s="1"/>
  <c r="J2086" i="7"/>
  <c r="J832" i="10" s="1"/>
  <c r="L2086" i="7"/>
  <c r="L832" i="10" s="1"/>
  <c r="P832" i="10" s="1"/>
  <c r="L1008" i="7"/>
  <c r="L292" i="11" s="1"/>
  <c r="P292" i="11" s="1"/>
  <c r="L113" i="7"/>
  <c r="L113" i="10" s="1"/>
  <c r="P113" i="10" s="1"/>
  <c r="L292" i="7"/>
  <c r="L292" i="10" s="1"/>
  <c r="P292" i="10" s="1"/>
  <c r="L650" i="7"/>
  <c r="L650" i="10" s="1"/>
  <c r="P650" i="10" s="1"/>
  <c r="L1366" i="7"/>
  <c r="L650" i="11" s="1"/>
  <c r="P650" i="11" s="1"/>
  <c r="L1724" i="7"/>
  <c r="L1008" i="11" s="1"/>
  <c r="P1008" i="11" s="1"/>
  <c r="L1187" i="7"/>
  <c r="L471" i="11" s="1"/>
  <c r="P471" i="11" s="1"/>
  <c r="L829" i="7"/>
  <c r="L113" i="11" s="1"/>
  <c r="P113" i="11" s="1"/>
  <c r="L1545" i="7"/>
  <c r="L829" i="11" s="1"/>
  <c r="P829" i="11" s="1"/>
  <c r="L471" i="7"/>
  <c r="L471" i="10" s="1"/>
  <c r="P471" i="10" s="1"/>
  <c r="H1725" i="7"/>
  <c r="E1726" i="7" s="1"/>
  <c r="H1188" i="7"/>
  <c r="E1189" i="7" s="1"/>
  <c r="H1546" i="7"/>
  <c r="E1547" i="7" s="1"/>
  <c r="H114" i="7"/>
  <c r="E115" i="7" s="1"/>
  <c r="E114" i="10"/>
  <c r="H830" i="7"/>
  <c r="E831" i="7" s="1"/>
  <c r="H1009" i="7"/>
  <c r="E1010" i="7" s="1"/>
  <c r="H293" i="7"/>
  <c r="E294" i="7" s="1"/>
  <c r="E293" i="10"/>
  <c r="H651" i="7"/>
  <c r="E652" i="7" s="1"/>
  <c r="E651" i="10"/>
  <c r="H1367" i="7"/>
  <c r="E1368" i="7" s="1"/>
  <c r="H472" i="7"/>
  <c r="E473" i="7" s="1"/>
  <c r="E472" i="10"/>
  <c r="I114" i="11" l="1"/>
  <c r="I293" i="11"/>
  <c r="I472" i="11"/>
  <c r="I1009" i="11"/>
  <c r="I651" i="11"/>
  <c r="E652" i="11"/>
  <c r="I830" i="11"/>
  <c r="E831" i="11"/>
  <c r="H2087" i="7"/>
  <c r="E2088" i="7" s="1"/>
  <c r="E833" i="10"/>
  <c r="I1009" i="10"/>
  <c r="K2263" i="7"/>
  <c r="K1009" i="10" s="1"/>
  <c r="L2263" i="7"/>
  <c r="L1009" i="10" s="1"/>
  <c r="P1009" i="10" s="1"/>
  <c r="J2263" i="7"/>
  <c r="J1009" i="10" s="1"/>
  <c r="J1725" i="7"/>
  <c r="J1009" i="11" s="1"/>
  <c r="K1725" i="7"/>
  <c r="K1009" i="11" s="1"/>
  <c r="J293" i="7"/>
  <c r="J293" i="10" s="1"/>
  <c r="K293" i="7"/>
  <c r="K293" i="10" s="1"/>
  <c r="J472" i="7"/>
  <c r="J472" i="10" s="1"/>
  <c r="K472" i="7"/>
  <c r="K472" i="10" s="1"/>
  <c r="J830" i="7"/>
  <c r="J114" i="11" s="1"/>
  <c r="K830" i="7"/>
  <c r="K114" i="11" s="1"/>
  <c r="J1009" i="7"/>
  <c r="J293" i="11" s="1"/>
  <c r="K1009" i="7"/>
  <c r="K293" i="11" s="1"/>
  <c r="J114" i="7"/>
  <c r="J114" i="10" s="1"/>
  <c r="K114" i="7"/>
  <c r="K114" i="10" s="1"/>
  <c r="J1367" i="7"/>
  <c r="J651" i="11" s="1"/>
  <c r="K1367" i="7"/>
  <c r="K651" i="11" s="1"/>
  <c r="J1546" i="7"/>
  <c r="J830" i="11" s="1"/>
  <c r="K1546" i="7"/>
  <c r="K830" i="11" s="1"/>
  <c r="J651" i="7"/>
  <c r="J651" i="10" s="1"/>
  <c r="K651" i="7"/>
  <c r="K651" i="10" s="1"/>
  <c r="J1188" i="7"/>
  <c r="J472" i="11" s="1"/>
  <c r="K1188" i="7"/>
  <c r="K472" i="11" s="1"/>
  <c r="I472" i="10"/>
  <c r="I651" i="10"/>
  <c r="I293" i="10"/>
  <c r="E294" i="11"/>
  <c r="E115" i="11"/>
  <c r="I114" i="10"/>
  <c r="E473" i="11"/>
  <c r="E1010" i="11"/>
  <c r="H2264" i="7" l="1"/>
  <c r="E2265" i="7" s="1"/>
  <c r="E1010" i="10"/>
  <c r="I833" i="10"/>
  <c r="L2087" i="7"/>
  <c r="L833" i="10" s="1"/>
  <c r="P833" i="10" s="1"/>
  <c r="K2087" i="7"/>
  <c r="K833" i="10" s="1"/>
  <c r="J2087" i="7"/>
  <c r="J833" i="10" s="1"/>
  <c r="L1009" i="7"/>
  <c r="L293" i="11" s="1"/>
  <c r="P293" i="11" s="1"/>
  <c r="L114" i="7"/>
  <c r="L114" i="10" s="1"/>
  <c r="P114" i="10" s="1"/>
  <c r="L293" i="7"/>
  <c r="L293" i="10" s="1"/>
  <c r="P293" i="10" s="1"/>
  <c r="L651" i="7"/>
  <c r="L651" i="10" s="1"/>
  <c r="P651" i="10" s="1"/>
  <c r="L830" i="7"/>
  <c r="L114" i="11" s="1"/>
  <c r="P114" i="11" s="1"/>
  <c r="L1367" i="7"/>
  <c r="L651" i="11" s="1"/>
  <c r="P651" i="11" s="1"/>
  <c r="L1725" i="7"/>
  <c r="L1009" i="11" s="1"/>
  <c r="P1009" i="11" s="1"/>
  <c r="L1188" i="7"/>
  <c r="L472" i="11" s="1"/>
  <c r="P472" i="11" s="1"/>
  <c r="L1546" i="7"/>
  <c r="L830" i="11" s="1"/>
  <c r="P830" i="11" s="1"/>
  <c r="L472" i="7"/>
  <c r="L472" i="10" s="1"/>
  <c r="P472" i="10" s="1"/>
  <c r="H1726" i="7"/>
  <c r="E1727" i="7" s="1"/>
  <c r="H1189" i="7"/>
  <c r="E1190" i="7" s="1"/>
  <c r="H1547" i="7"/>
  <c r="E1548" i="7" s="1"/>
  <c r="H115" i="7"/>
  <c r="E116" i="7" s="1"/>
  <c r="E115" i="10"/>
  <c r="H831" i="7"/>
  <c r="E832" i="7" s="1"/>
  <c r="H1010" i="7"/>
  <c r="E1011" i="7" s="1"/>
  <c r="H294" i="7"/>
  <c r="E295" i="7" s="1"/>
  <c r="E294" i="10"/>
  <c r="H652" i="7"/>
  <c r="E653" i="7" s="1"/>
  <c r="E652" i="10"/>
  <c r="H1368" i="7"/>
  <c r="E1369" i="7" s="1"/>
  <c r="H473" i="7"/>
  <c r="E474" i="7" s="1"/>
  <c r="E473" i="10"/>
  <c r="I294" i="11" l="1"/>
  <c r="I115" i="11"/>
  <c r="I831" i="11"/>
  <c r="I473" i="11"/>
  <c r="I1010" i="11"/>
  <c r="E1011" i="11"/>
  <c r="I652" i="11"/>
  <c r="E653" i="11"/>
  <c r="H2088" i="7"/>
  <c r="E2089" i="7" s="1"/>
  <c r="E834" i="10"/>
  <c r="I1010" i="10"/>
  <c r="L2264" i="7"/>
  <c r="L1010" i="10" s="1"/>
  <c r="P1010" i="10" s="1"/>
  <c r="K2264" i="7"/>
  <c r="K1010" i="10" s="1"/>
  <c r="J2264" i="7"/>
  <c r="J1010" i="10" s="1"/>
  <c r="J473" i="7"/>
  <c r="J473" i="10" s="1"/>
  <c r="K473" i="7"/>
  <c r="K473" i="10" s="1"/>
  <c r="J115" i="7"/>
  <c r="J115" i="10" s="1"/>
  <c r="K115" i="7"/>
  <c r="K115" i="10" s="1"/>
  <c r="J294" i="7"/>
  <c r="J294" i="10" s="1"/>
  <c r="K294" i="7"/>
  <c r="K294" i="10" s="1"/>
  <c r="J1547" i="7"/>
  <c r="J831" i="11" s="1"/>
  <c r="K1547" i="7"/>
  <c r="K831" i="11" s="1"/>
  <c r="J1726" i="7"/>
  <c r="J1010" i="11" s="1"/>
  <c r="K1726" i="7"/>
  <c r="K1010" i="11" s="1"/>
  <c r="J1010" i="7"/>
  <c r="J294" i="11" s="1"/>
  <c r="K1010" i="7"/>
  <c r="K294" i="11" s="1"/>
  <c r="J831" i="7"/>
  <c r="J115" i="11" s="1"/>
  <c r="K831" i="7"/>
  <c r="K115" i="11" s="1"/>
  <c r="J1368" i="7"/>
  <c r="J652" i="11" s="1"/>
  <c r="K1368" i="7"/>
  <c r="K652" i="11" s="1"/>
  <c r="J652" i="7"/>
  <c r="J652" i="10" s="1"/>
  <c r="K652" i="7"/>
  <c r="K652" i="10" s="1"/>
  <c r="J1189" i="7"/>
  <c r="J473" i="11" s="1"/>
  <c r="K1189" i="7"/>
  <c r="K473" i="11" s="1"/>
  <c r="I473" i="10"/>
  <c r="I652" i="10"/>
  <c r="I294" i="10"/>
  <c r="E295" i="11"/>
  <c r="E116" i="11"/>
  <c r="I115" i="10"/>
  <c r="E832" i="11"/>
  <c r="E474" i="11"/>
  <c r="H2265" i="7" l="1"/>
  <c r="E2266" i="7" s="1"/>
  <c r="E1011" i="10"/>
  <c r="I834" i="10"/>
  <c r="L2088" i="7"/>
  <c r="L834" i="10" s="1"/>
  <c r="P834" i="10" s="1"/>
  <c r="K2088" i="7"/>
  <c r="K834" i="10" s="1"/>
  <c r="J2088" i="7"/>
  <c r="J834" i="10" s="1"/>
  <c r="L1010" i="7"/>
  <c r="L294" i="11" s="1"/>
  <c r="P294" i="11" s="1"/>
  <c r="L115" i="7"/>
  <c r="L115" i="10" s="1"/>
  <c r="P115" i="10" s="1"/>
  <c r="L294" i="7"/>
  <c r="L294" i="10" s="1"/>
  <c r="P294" i="10" s="1"/>
  <c r="L1726" i="7"/>
  <c r="L1010" i="11" s="1"/>
  <c r="P1010" i="11" s="1"/>
  <c r="L652" i="7"/>
  <c r="L652" i="10" s="1"/>
  <c r="P652" i="10" s="1"/>
  <c r="L1189" i="7"/>
  <c r="L473" i="11" s="1"/>
  <c r="P473" i="11" s="1"/>
  <c r="L1368" i="7"/>
  <c r="L652" i="11" s="1"/>
  <c r="P652" i="11" s="1"/>
  <c r="L831" i="7"/>
  <c r="L115" i="11" s="1"/>
  <c r="P115" i="11" s="1"/>
  <c r="L473" i="7"/>
  <c r="L473" i="10" s="1"/>
  <c r="P473" i="10" s="1"/>
  <c r="L1547" i="7"/>
  <c r="L831" i="11" s="1"/>
  <c r="P831" i="11" s="1"/>
  <c r="H1727" i="7"/>
  <c r="E1728" i="7" s="1"/>
  <c r="H1190" i="7"/>
  <c r="E1191" i="7" s="1"/>
  <c r="H1548" i="7"/>
  <c r="E1549" i="7" s="1"/>
  <c r="H116" i="7"/>
  <c r="E117" i="7" s="1"/>
  <c r="E116" i="10"/>
  <c r="H832" i="7"/>
  <c r="E833" i="7" s="1"/>
  <c r="H1011" i="7"/>
  <c r="E1012" i="7" s="1"/>
  <c r="H295" i="7"/>
  <c r="E296" i="7" s="1"/>
  <c r="E295" i="10"/>
  <c r="H653" i="7"/>
  <c r="E654" i="7" s="1"/>
  <c r="E653" i="10"/>
  <c r="H1369" i="7"/>
  <c r="E1370" i="7" s="1"/>
  <c r="H474" i="7"/>
  <c r="E475" i="7" s="1"/>
  <c r="E474" i="10"/>
  <c r="I474" i="11" l="1"/>
  <c r="I832" i="11"/>
  <c r="E833" i="11"/>
  <c r="I1011" i="11"/>
  <c r="I295" i="11"/>
  <c r="I116" i="11"/>
  <c r="E117" i="11"/>
  <c r="I653" i="11"/>
  <c r="E654" i="11"/>
  <c r="H2089" i="7"/>
  <c r="E2090" i="7" s="1"/>
  <c r="E835" i="10"/>
  <c r="I1011" i="10"/>
  <c r="K2265" i="7"/>
  <c r="K1011" i="10" s="1"/>
  <c r="J2265" i="7"/>
  <c r="J1011" i="10" s="1"/>
  <c r="L2265" i="7"/>
  <c r="L1011" i="10" s="1"/>
  <c r="P1011" i="10" s="1"/>
  <c r="J116" i="7"/>
  <c r="J116" i="10" s="1"/>
  <c r="K116" i="7"/>
  <c r="K116" i="10" s="1"/>
  <c r="J295" i="7"/>
  <c r="J295" i="10" s="1"/>
  <c r="K295" i="7"/>
  <c r="K295" i="10" s="1"/>
  <c r="J832" i="7"/>
  <c r="J116" i="11" s="1"/>
  <c r="K832" i="7"/>
  <c r="K116" i="11" s="1"/>
  <c r="J1727" i="7"/>
  <c r="J1011" i="11" s="1"/>
  <c r="K1727" i="7"/>
  <c r="K1011" i="11" s="1"/>
  <c r="J1011" i="7"/>
  <c r="J295" i="11" s="1"/>
  <c r="K1011" i="7"/>
  <c r="K295" i="11" s="1"/>
  <c r="J474" i="7"/>
  <c r="J474" i="10" s="1"/>
  <c r="K474" i="7"/>
  <c r="K474" i="10" s="1"/>
  <c r="J1369" i="7"/>
  <c r="J653" i="11" s="1"/>
  <c r="K1369" i="7"/>
  <c r="K653" i="11" s="1"/>
  <c r="J1548" i="7"/>
  <c r="J832" i="11" s="1"/>
  <c r="K1548" i="7"/>
  <c r="K832" i="11" s="1"/>
  <c r="J653" i="7"/>
  <c r="J653" i="10" s="1"/>
  <c r="K653" i="7"/>
  <c r="K653" i="10" s="1"/>
  <c r="J1190" i="7"/>
  <c r="J474" i="11" s="1"/>
  <c r="K1190" i="7"/>
  <c r="K474" i="11" s="1"/>
  <c r="I474" i="10"/>
  <c r="I653" i="10"/>
  <c r="I295" i="10"/>
  <c r="E296" i="11"/>
  <c r="I116" i="10"/>
  <c r="E475" i="11"/>
  <c r="E1012" i="11"/>
  <c r="H2266" i="7" l="1"/>
  <c r="E2267" i="7" s="1"/>
  <c r="E1012" i="10"/>
  <c r="I835" i="10"/>
  <c r="K2089" i="7"/>
  <c r="K835" i="10" s="1"/>
  <c r="J2089" i="7"/>
  <c r="J835" i="10" s="1"/>
  <c r="L2089" i="7"/>
  <c r="L835" i="10" s="1"/>
  <c r="P835" i="10" s="1"/>
  <c r="L1011" i="7"/>
  <c r="L295" i="11" s="1"/>
  <c r="P295" i="11" s="1"/>
  <c r="L116" i="7"/>
  <c r="L116" i="10" s="1"/>
  <c r="P116" i="10" s="1"/>
  <c r="L295" i="7"/>
  <c r="L295" i="10" s="1"/>
  <c r="P295" i="10" s="1"/>
  <c r="L653" i="7"/>
  <c r="L653" i="10" s="1"/>
  <c r="P653" i="10" s="1"/>
  <c r="L1727" i="7"/>
  <c r="L1011" i="11" s="1"/>
  <c r="P1011" i="11" s="1"/>
  <c r="L1369" i="7"/>
  <c r="L653" i="11" s="1"/>
  <c r="P653" i="11" s="1"/>
  <c r="L1190" i="7"/>
  <c r="L474" i="11" s="1"/>
  <c r="P474" i="11" s="1"/>
  <c r="L832" i="7"/>
  <c r="L116" i="11" s="1"/>
  <c r="P116" i="11" s="1"/>
  <c r="L474" i="7"/>
  <c r="L474" i="10" s="1"/>
  <c r="P474" i="10" s="1"/>
  <c r="L1548" i="7"/>
  <c r="L832" i="11" s="1"/>
  <c r="P832" i="11" s="1"/>
  <c r="H1728" i="7"/>
  <c r="E1729" i="7" s="1"/>
  <c r="H1191" i="7"/>
  <c r="E1192" i="7" s="1"/>
  <c r="H1549" i="7"/>
  <c r="E1550" i="7" s="1"/>
  <c r="H117" i="7"/>
  <c r="E118" i="7" s="1"/>
  <c r="E117" i="10"/>
  <c r="H833" i="7"/>
  <c r="E834" i="7" s="1"/>
  <c r="H1012" i="7"/>
  <c r="E1013" i="7" s="1"/>
  <c r="H296" i="7"/>
  <c r="E297" i="7" s="1"/>
  <c r="E296" i="10"/>
  <c r="H654" i="7"/>
  <c r="E655" i="7" s="1"/>
  <c r="E654" i="10"/>
  <c r="H1370" i="7"/>
  <c r="E1371" i="7" s="1"/>
  <c r="H475" i="7"/>
  <c r="E476" i="7" s="1"/>
  <c r="E475" i="10"/>
  <c r="I296" i="11" l="1"/>
  <c r="I117" i="11"/>
  <c r="I833" i="11"/>
  <c r="I475" i="11"/>
  <c r="I1012" i="11"/>
  <c r="I654" i="11"/>
  <c r="E655" i="11"/>
  <c r="H2090" i="7"/>
  <c r="E2091" i="7" s="1"/>
  <c r="E836" i="10"/>
  <c r="I1012" i="10"/>
  <c r="L2266" i="7"/>
  <c r="L1012" i="10" s="1"/>
  <c r="P1012" i="10" s="1"/>
  <c r="K2266" i="7"/>
  <c r="K1012" i="10" s="1"/>
  <c r="J2266" i="7"/>
  <c r="J1012" i="10" s="1"/>
  <c r="J1728" i="7"/>
  <c r="J1012" i="11" s="1"/>
  <c r="K1728" i="7"/>
  <c r="K1012" i="11" s="1"/>
  <c r="J1012" i="7"/>
  <c r="J296" i="11" s="1"/>
  <c r="K1012" i="7"/>
  <c r="K296" i="11" s="1"/>
  <c r="J296" i="7"/>
  <c r="J296" i="10" s="1"/>
  <c r="K296" i="7"/>
  <c r="K296" i="10" s="1"/>
  <c r="J833" i="7"/>
  <c r="J117" i="11" s="1"/>
  <c r="K833" i="7"/>
  <c r="K117" i="11" s="1"/>
  <c r="J117" i="7"/>
  <c r="J117" i="10" s="1"/>
  <c r="K117" i="7"/>
  <c r="K117" i="10" s="1"/>
  <c r="J475" i="7"/>
  <c r="J475" i="10" s="1"/>
  <c r="K475" i="7"/>
  <c r="K475" i="10" s="1"/>
  <c r="J1370" i="7"/>
  <c r="J654" i="11" s="1"/>
  <c r="K1370" i="7"/>
  <c r="K654" i="11" s="1"/>
  <c r="J1549" i="7"/>
  <c r="J833" i="11" s="1"/>
  <c r="K1549" i="7"/>
  <c r="K833" i="11" s="1"/>
  <c r="J654" i="7"/>
  <c r="J654" i="10" s="1"/>
  <c r="K654" i="7"/>
  <c r="K654" i="10" s="1"/>
  <c r="J1191" i="7"/>
  <c r="J475" i="11" s="1"/>
  <c r="K1191" i="7"/>
  <c r="K475" i="11" s="1"/>
  <c r="I475" i="10"/>
  <c r="I654" i="10"/>
  <c r="I296" i="10"/>
  <c r="E297" i="11"/>
  <c r="E118" i="11"/>
  <c r="I117" i="10"/>
  <c r="E834" i="11"/>
  <c r="E476" i="11"/>
  <c r="E1013" i="11"/>
  <c r="H2267" i="7" l="1"/>
  <c r="E2268" i="7" s="1"/>
  <c r="E1013" i="10"/>
  <c r="I836" i="10"/>
  <c r="K2090" i="7"/>
  <c r="K836" i="10" s="1"/>
  <c r="L2090" i="7"/>
  <c r="L836" i="10" s="1"/>
  <c r="P836" i="10" s="1"/>
  <c r="J2090" i="7"/>
  <c r="J836" i="10" s="1"/>
  <c r="L1012" i="7"/>
  <c r="L296" i="11" s="1"/>
  <c r="P296" i="11" s="1"/>
  <c r="L654" i="7"/>
  <c r="L654" i="10" s="1"/>
  <c r="P654" i="10" s="1"/>
  <c r="L1549" i="7"/>
  <c r="L833" i="11" s="1"/>
  <c r="P833" i="11" s="1"/>
  <c r="L117" i="7"/>
  <c r="L117" i="10" s="1"/>
  <c r="P117" i="10" s="1"/>
  <c r="L296" i="7"/>
  <c r="L296" i="10" s="1"/>
  <c r="P296" i="10" s="1"/>
  <c r="L1370" i="7"/>
  <c r="L654" i="11" s="1"/>
  <c r="P654" i="11" s="1"/>
  <c r="L1728" i="7"/>
  <c r="L1012" i="11" s="1"/>
  <c r="P1012" i="11" s="1"/>
  <c r="L1191" i="7"/>
  <c r="L475" i="11" s="1"/>
  <c r="P475" i="11" s="1"/>
  <c r="L833" i="7"/>
  <c r="L117" i="11" s="1"/>
  <c r="P117" i="11" s="1"/>
  <c r="L475" i="7"/>
  <c r="L475" i="10" s="1"/>
  <c r="P475" i="10" s="1"/>
  <c r="H1729" i="7"/>
  <c r="E1730" i="7" s="1"/>
  <c r="H1192" i="7"/>
  <c r="E1193" i="7" s="1"/>
  <c r="H1550" i="7"/>
  <c r="E1551" i="7" s="1"/>
  <c r="H118" i="7"/>
  <c r="E119" i="7" s="1"/>
  <c r="E118" i="10"/>
  <c r="H834" i="7"/>
  <c r="E835" i="7" s="1"/>
  <c r="H1013" i="7"/>
  <c r="E1014" i="7" s="1"/>
  <c r="H297" i="7"/>
  <c r="E298" i="7" s="1"/>
  <c r="E297" i="10"/>
  <c r="H655" i="7"/>
  <c r="E656" i="7" s="1"/>
  <c r="E655" i="10"/>
  <c r="H1371" i="7"/>
  <c r="E1372" i="7" s="1"/>
  <c r="H476" i="7"/>
  <c r="E477" i="7" s="1"/>
  <c r="E476" i="10"/>
  <c r="I297" i="11" l="1"/>
  <c r="I118" i="11"/>
  <c r="I834" i="11"/>
  <c r="I476" i="11"/>
  <c r="E477" i="11"/>
  <c r="I1013" i="11"/>
  <c r="I655" i="11"/>
  <c r="E656" i="11"/>
  <c r="H2091" i="7"/>
  <c r="E2092" i="7" s="1"/>
  <c r="E837" i="10"/>
  <c r="I1013" i="10"/>
  <c r="J2267" i="7"/>
  <c r="J1013" i="10" s="1"/>
  <c r="L2267" i="7"/>
  <c r="L1013" i="10" s="1"/>
  <c r="P1013" i="10" s="1"/>
  <c r="K2267" i="7"/>
  <c r="K1013" i="10" s="1"/>
  <c r="J1013" i="7"/>
  <c r="J297" i="11" s="1"/>
  <c r="K1013" i="7"/>
  <c r="K297" i="11" s="1"/>
  <c r="J834" i="7"/>
  <c r="J118" i="11" s="1"/>
  <c r="K834" i="7"/>
  <c r="K118" i="11" s="1"/>
  <c r="J297" i="7"/>
  <c r="J297" i="10" s="1"/>
  <c r="K297" i="7"/>
  <c r="K297" i="10" s="1"/>
  <c r="J476" i="7"/>
  <c r="J476" i="10" s="1"/>
  <c r="K476" i="7"/>
  <c r="K476" i="10" s="1"/>
  <c r="J118" i="7"/>
  <c r="J118" i="10" s="1"/>
  <c r="K118" i="7"/>
  <c r="K118" i="10" s="1"/>
  <c r="J1729" i="7"/>
  <c r="J1013" i="11" s="1"/>
  <c r="K1729" i="7"/>
  <c r="K1013" i="11" s="1"/>
  <c r="J1371" i="7"/>
  <c r="J655" i="11" s="1"/>
  <c r="K1371" i="7"/>
  <c r="K655" i="11" s="1"/>
  <c r="J1550" i="7"/>
  <c r="J834" i="11" s="1"/>
  <c r="K1550" i="7"/>
  <c r="K834" i="11" s="1"/>
  <c r="J655" i="7"/>
  <c r="J655" i="10" s="1"/>
  <c r="K655" i="7"/>
  <c r="K655" i="10" s="1"/>
  <c r="J1192" i="7"/>
  <c r="J476" i="11" s="1"/>
  <c r="K1192" i="7"/>
  <c r="K476" i="11" s="1"/>
  <c r="I476" i="10"/>
  <c r="I655" i="10"/>
  <c r="I297" i="10"/>
  <c r="E298" i="11"/>
  <c r="E119" i="11"/>
  <c r="I118" i="10"/>
  <c r="E835" i="11"/>
  <c r="E1014" i="11"/>
  <c r="H2268" i="7" l="1"/>
  <c r="E2269" i="7" s="1"/>
  <c r="E1014" i="10"/>
  <c r="I837" i="10"/>
  <c r="J2091" i="7"/>
  <c r="J837" i="10" s="1"/>
  <c r="K2091" i="7"/>
  <c r="K837" i="10" s="1"/>
  <c r="L2091" i="7"/>
  <c r="L837" i="10" s="1"/>
  <c r="P837" i="10" s="1"/>
  <c r="L1013" i="7"/>
  <c r="L297" i="11" s="1"/>
  <c r="P297" i="11" s="1"/>
  <c r="L118" i="7"/>
  <c r="L118" i="10" s="1"/>
  <c r="P118" i="10" s="1"/>
  <c r="L297" i="7"/>
  <c r="L297" i="10" s="1"/>
  <c r="P297" i="10" s="1"/>
  <c r="L655" i="7"/>
  <c r="L655" i="10" s="1"/>
  <c r="P655" i="10" s="1"/>
  <c r="L1550" i="7"/>
  <c r="L834" i="11" s="1"/>
  <c r="P834" i="11" s="1"/>
  <c r="L1729" i="7"/>
  <c r="L1013" i="11" s="1"/>
  <c r="P1013" i="11" s="1"/>
  <c r="L1371" i="7"/>
  <c r="L655" i="11" s="1"/>
  <c r="P655" i="11" s="1"/>
  <c r="L1192" i="7"/>
  <c r="L476" i="11" s="1"/>
  <c r="P476" i="11" s="1"/>
  <c r="L834" i="7"/>
  <c r="L118" i="11" s="1"/>
  <c r="P118" i="11" s="1"/>
  <c r="L476" i="7"/>
  <c r="L476" i="10" s="1"/>
  <c r="P476" i="10" s="1"/>
  <c r="H1730" i="7"/>
  <c r="E1731" i="7" s="1"/>
  <c r="H1193" i="7"/>
  <c r="E1194" i="7" s="1"/>
  <c r="H1551" i="7"/>
  <c r="E1552" i="7" s="1"/>
  <c r="H119" i="7"/>
  <c r="E120" i="7" s="1"/>
  <c r="E119" i="10"/>
  <c r="H835" i="7"/>
  <c r="E836" i="7" s="1"/>
  <c r="H1014" i="7"/>
  <c r="E1015" i="7" s="1"/>
  <c r="H298" i="7"/>
  <c r="E299" i="7" s="1"/>
  <c r="E298" i="10"/>
  <c r="H656" i="7"/>
  <c r="E657" i="7" s="1"/>
  <c r="E656" i="10"/>
  <c r="H1372" i="7"/>
  <c r="E1373" i="7" s="1"/>
  <c r="H477" i="7"/>
  <c r="E478" i="7" s="1"/>
  <c r="E477" i="10"/>
  <c r="I1014" i="11" l="1"/>
  <c r="I119" i="11"/>
  <c r="I298" i="11"/>
  <c r="I835" i="11"/>
  <c r="E836" i="11"/>
  <c r="I477" i="11"/>
  <c r="I656" i="11"/>
  <c r="E657" i="11"/>
  <c r="H2092" i="7"/>
  <c r="E2093" i="7" s="1"/>
  <c r="E838" i="10"/>
  <c r="I1014" i="10"/>
  <c r="J2268" i="7"/>
  <c r="J1014" i="10" s="1"/>
  <c r="K2268" i="7"/>
  <c r="K1014" i="10" s="1"/>
  <c r="L2268" i="7"/>
  <c r="L1014" i="10" s="1"/>
  <c r="P1014" i="10" s="1"/>
  <c r="J835" i="7"/>
  <c r="J119" i="11" s="1"/>
  <c r="K835" i="7"/>
  <c r="K119" i="11" s="1"/>
  <c r="J119" i="7"/>
  <c r="J119" i="10" s="1"/>
  <c r="K119" i="7"/>
  <c r="K119" i="10" s="1"/>
  <c r="J1372" i="7"/>
  <c r="J656" i="11" s="1"/>
  <c r="K1372" i="7"/>
  <c r="K656" i="11" s="1"/>
  <c r="J1551" i="7"/>
  <c r="J835" i="11" s="1"/>
  <c r="K1551" i="7"/>
  <c r="K835" i="11" s="1"/>
  <c r="J1730" i="7"/>
  <c r="J1014" i="11" s="1"/>
  <c r="K1730" i="7"/>
  <c r="K1014" i="11" s="1"/>
  <c r="J1014" i="7"/>
  <c r="J298" i="11" s="1"/>
  <c r="K1014" i="7"/>
  <c r="K298" i="11" s="1"/>
  <c r="J298" i="7"/>
  <c r="J298" i="10" s="1"/>
  <c r="K298" i="7"/>
  <c r="K298" i="10" s="1"/>
  <c r="J477" i="7"/>
  <c r="J477" i="10" s="1"/>
  <c r="K477" i="7"/>
  <c r="K477" i="10" s="1"/>
  <c r="J656" i="7"/>
  <c r="J656" i="10" s="1"/>
  <c r="K656" i="7"/>
  <c r="K656" i="10" s="1"/>
  <c r="J1193" i="7"/>
  <c r="J477" i="11" s="1"/>
  <c r="K1193" i="7"/>
  <c r="K477" i="11" s="1"/>
  <c r="I477" i="10"/>
  <c r="I656" i="10"/>
  <c r="I298" i="10"/>
  <c r="E299" i="11"/>
  <c r="E120" i="11"/>
  <c r="I119" i="10"/>
  <c r="E478" i="11"/>
  <c r="E1015" i="11"/>
  <c r="H2269" i="7" l="1"/>
  <c r="E2270" i="7" s="1"/>
  <c r="E1015" i="10"/>
  <c r="I838" i="10"/>
  <c r="J2092" i="7"/>
  <c r="J838" i="10" s="1"/>
  <c r="L2092" i="7"/>
  <c r="L838" i="10" s="1"/>
  <c r="P838" i="10" s="1"/>
  <c r="K2092" i="7"/>
  <c r="K838" i="10" s="1"/>
  <c r="L1014" i="7"/>
  <c r="L298" i="11" s="1"/>
  <c r="P298" i="11" s="1"/>
  <c r="L119" i="7"/>
  <c r="L119" i="10" s="1"/>
  <c r="P119" i="10" s="1"/>
  <c r="L298" i="7"/>
  <c r="L298" i="10" s="1"/>
  <c r="P298" i="10" s="1"/>
  <c r="L656" i="7"/>
  <c r="L656" i="10" s="1"/>
  <c r="P656" i="10" s="1"/>
  <c r="L1551" i="7"/>
  <c r="L835" i="11" s="1"/>
  <c r="P835" i="11" s="1"/>
  <c r="L1193" i="7"/>
  <c r="L477" i="11" s="1"/>
  <c r="P477" i="11" s="1"/>
  <c r="L1372" i="7"/>
  <c r="L656" i="11" s="1"/>
  <c r="P656" i="11" s="1"/>
  <c r="L1730" i="7"/>
  <c r="L1014" i="11" s="1"/>
  <c r="P1014" i="11" s="1"/>
  <c r="L835" i="7"/>
  <c r="L119" i="11" s="1"/>
  <c r="P119" i="11" s="1"/>
  <c r="L477" i="7"/>
  <c r="L477" i="10" s="1"/>
  <c r="P477" i="10" s="1"/>
  <c r="H1731" i="7"/>
  <c r="E1732" i="7" s="1"/>
  <c r="H1194" i="7"/>
  <c r="E1195" i="7" s="1"/>
  <c r="H1552" i="7"/>
  <c r="E1553" i="7" s="1"/>
  <c r="H120" i="7"/>
  <c r="E121" i="7" s="1"/>
  <c r="E120" i="10"/>
  <c r="H836" i="7"/>
  <c r="E837" i="7" s="1"/>
  <c r="H1015" i="7"/>
  <c r="E1016" i="7" s="1"/>
  <c r="H299" i="7"/>
  <c r="E300" i="7" s="1"/>
  <c r="E299" i="10"/>
  <c r="H657" i="7"/>
  <c r="E658" i="7" s="1"/>
  <c r="E657" i="10"/>
  <c r="H1373" i="7"/>
  <c r="E1374" i="7" s="1"/>
  <c r="H478" i="7"/>
  <c r="E479" i="7" s="1"/>
  <c r="E478" i="10"/>
  <c r="I299" i="11" l="1"/>
  <c r="E300" i="11"/>
  <c r="I120" i="11"/>
  <c r="E121" i="11"/>
  <c r="I478" i="11"/>
  <c r="I836" i="11"/>
  <c r="I1015" i="11"/>
  <c r="I657" i="11"/>
  <c r="E658" i="11"/>
  <c r="H2093" i="7"/>
  <c r="E2094" i="7" s="1"/>
  <c r="E839" i="10"/>
  <c r="I1015" i="10"/>
  <c r="J2269" i="7"/>
  <c r="J1015" i="10" s="1"/>
  <c r="L2269" i="7"/>
  <c r="L1015" i="10" s="1"/>
  <c r="P1015" i="10" s="1"/>
  <c r="K2269" i="7"/>
  <c r="K1015" i="10" s="1"/>
  <c r="J1015" i="7"/>
  <c r="J299" i="11" s="1"/>
  <c r="K1015" i="7"/>
  <c r="K299" i="11" s="1"/>
  <c r="J478" i="7"/>
  <c r="J478" i="10" s="1"/>
  <c r="K478" i="7"/>
  <c r="K478" i="10" s="1"/>
  <c r="J299" i="7"/>
  <c r="J299" i="10" s="1"/>
  <c r="K299" i="7"/>
  <c r="K299" i="10" s="1"/>
  <c r="J1731" i="7"/>
  <c r="J1015" i="11" s="1"/>
  <c r="K1731" i="7"/>
  <c r="K1015" i="11" s="1"/>
  <c r="J836" i="7"/>
  <c r="J120" i="11" s="1"/>
  <c r="K836" i="7"/>
  <c r="K120" i="11" s="1"/>
  <c r="J120" i="7"/>
  <c r="J120" i="10" s="1"/>
  <c r="K120" i="7"/>
  <c r="K120" i="10" s="1"/>
  <c r="J1373" i="7"/>
  <c r="J657" i="11" s="1"/>
  <c r="K1373" i="7"/>
  <c r="K657" i="11" s="1"/>
  <c r="J1552" i="7"/>
  <c r="J836" i="11" s="1"/>
  <c r="K1552" i="7"/>
  <c r="K836" i="11" s="1"/>
  <c r="J657" i="7"/>
  <c r="J657" i="10" s="1"/>
  <c r="K657" i="7"/>
  <c r="K657" i="10" s="1"/>
  <c r="J1194" i="7"/>
  <c r="J478" i="11" s="1"/>
  <c r="K1194" i="7"/>
  <c r="K478" i="11" s="1"/>
  <c r="I478" i="10"/>
  <c r="I657" i="10"/>
  <c r="I299" i="10"/>
  <c r="I120" i="10"/>
  <c r="E837" i="11"/>
  <c r="E479" i="11"/>
  <c r="E1016" i="11"/>
  <c r="H2270" i="7" l="1"/>
  <c r="E2271" i="7" s="1"/>
  <c r="E1016" i="10"/>
  <c r="I839" i="10"/>
  <c r="J2093" i="7"/>
  <c r="J839" i="10" s="1"/>
  <c r="K2093" i="7"/>
  <c r="K839" i="10" s="1"/>
  <c r="L2093" i="7"/>
  <c r="L839" i="10" s="1"/>
  <c r="P839" i="10" s="1"/>
  <c r="L1015" i="7"/>
  <c r="L299" i="11" s="1"/>
  <c r="P299" i="11" s="1"/>
  <c r="L120" i="7"/>
  <c r="L120" i="10" s="1"/>
  <c r="P120" i="10" s="1"/>
  <c r="L299" i="7"/>
  <c r="L299" i="10" s="1"/>
  <c r="P299" i="10" s="1"/>
  <c r="L657" i="7"/>
  <c r="L657" i="10" s="1"/>
  <c r="P657" i="10" s="1"/>
  <c r="L1194" i="7"/>
  <c r="L478" i="11" s="1"/>
  <c r="P478" i="11" s="1"/>
  <c r="L836" i="7"/>
  <c r="L120" i="11" s="1"/>
  <c r="P120" i="11" s="1"/>
  <c r="L1731" i="7"/>
  <c r="L1015" i="11" s="1"/>
  <c r="P1015" i="11" s="1"/>
  <c r="L1373" i="7"/>
  <c r="L657" i="11" s="1"/>
  <c r="P657" i="11" s="1"/>
  <c r="L1552" i="7"/>
  <c r="L836" i="11" s="1"/>
  <c r="P836" i="11" s="1"/>
  <c r="L478" i="7"/>
  <c r="L478" i="10" s="1"/>
  <c r="P478" i="10" s="1"/>
  <c r="H1732" i="7"/>
  <c r="E1733" i="7" s="1"/>
  <c r="H1195" i="7"/>
  <c r="E1196" i="7" s="1"/>
  <c r="H1553" i="7"/>
  <c r="E1554" i="7" s="1"/>
  <c r="H121" i="7"/>
  <c r="E122" i="7" s="1"/>
  <c r="E121" i="10"/>
  <c r="H837" i="7"/>
  <c r="E838" i="7" s="1"/>
  <c r="H1016" i="7"/>
  <c r="E1017" i="7" s="1"/>
  <c r="H300" i="7"/>
  <c r="E301" i="7" s="1"/>
  <c r="E300" i="10"/>
  <c r="H658" i="7"/>
  <c r="E659" i="7" s="1"/>
  <c r="E658" i="10"/>
  <c r="H1374" i="7"/>
  <c r="E1375" i="7" s="1"/>
  <c r="H479" i="7"/>
  <c r="E480" i="7" s="1"/>
  <c r="E479" i="10"/>
  <c r="I658" i="11" l="1"/>
  <c r="I300" i="11"/>
  <c r="E301" i="11"/>
  <c r="I121" i="11"/>
  <c r="I837" i="11"/>
  <c r="I479" i="11"/>
  <c r="E480" i="11"/>
  <c r="I1016" i="11"/>
  <c r="H2094" i="7"/>
  <c r="E2095" i="7" s="1"/>
  <c r="E840" i="10"/>
  <c r="I1016" i="10"/>
  <c r="L2270" i="7"/>
  <c r="L1016" i="10" s="1"/>
  <c r="P1016" i="10" s="1"/>
  <c r="J2270" i="7"/>
  <c r="J1016" i="10" s="1"/>
  <c r="K2270" i="7"/>
  <c r="K1016" i="10" s="1"/>
  <c r="J837" i="7"/>
  <c r="J121" i="11" s="1"/>
  <c r="K837" i="7"/>
  <c r="K121" i="11" s="1"/>
  <c r="J1732" i="7"/>
  <c r="J1016" i="11" s="1"/>
  <c r="K1732" i="7"/>
  <c r="K1016" i="11" s="1"/>
  <c r="J121" i="7"/>
  <c r="J121" i="10" s="1"/>
  <c r="K121" i="7"/>
  <c r="K121" i="10" s="1"/>
  <c r="J300" i="7"/>
  <c r="J300" i="10" s="1"/>
  <c r="K300" i="7"/>
  <c r="K300" i="10" s="1"/>
  <c r="J1016" i="7"/>
  <c r="J300" i="11" s="1"/>
  <c r="K1016" i="7"/>
  <c r="K300" i="11" s="1"/>
  <c r="J479" i="7"/>
  <c r="J479" i="10" s="1"/>
  <c r="K479" i="7"/>
  <c r="K479" i="10" s="1"/>
  <c r="J1374" i="7"/>
  <c r="J658" i="11" s="1"/>
  <c r="K1374" i="7"/>
  <c r="K658" i="11" s="1"/>
  <c r="J1553" i="7"/>
  <c r="J837" i="11" s="1"/>
  <c r="K1553" i="7"/>
  <c r="K837" i="11" s="1"/>
  <c r="J658" i="7"/>
  <c r="J658" i="10" s="1"/>
  <c r="K658" i="7"/>
  <c r="K658" i="10" s="1"/>
  <c r="J1195" i="7"/>
  <c r="J479" i="11" s="1"/>
  <c r="K1195" i="7"/>
  <c r="K479" i="11" s="1"/>
  <c r="I479" i="10"/>
  <c r="E659" i="11"/>
  <c r="I658" i="10"/>
  <c r="I300" i="10"/>
  <c r="E122" i="11"/>
  <c r="I121" i="10"/>
  <c r="E838" i="11"/>
  <c r="E1017" i="11"/>
  <c r="H2271" i="7" l="1"/>
  <c r="E2272" i="7" s="1"/>
  <c r="E1017" i="10"/>
  <c r="I840" i="10"/>
  <c r="L2094" i="7"/>
  <c r="L840" i="10" s="1"/>
  <c r="P840" i="10" s="1"/>
  <c r="J2094" i="7"/>
  <c r="J840" i="10" s="1"/>
  <c r="K2094" i="7"/>
  <c r="K840" i="10" s="1"/>
  <c r="L1016" i="7"/>
  <c r="L300" i="11" s="1"/>
  <c r="P300" i="11" s="1"/>
  <c r="L300" i="7"/>
  <c r="L300" i="10" s="1"/>
  <c r="P300" i="10" s="1"/>
  <c r="L121" i="7"/>
  <c r="L121" i="10" s="1"/>
  <c r="P121" i="10" s="1"/>
  <c r="L1732" i="7"/>
  <c r="L1016" i="11" s="1"/>
  <c r="P1016" i="11" s="1"/>
  <c r="L1195" i="7"/>
  <c r="L479" i="11" s="1"/>
  <c r="P479" i="11" s="1"/>
  <c r="L658" i="7"/>
  <c r="L658" i="10" s="1"/>
  <c r="P658" i="10" s="1"/>
  <c r="L1374" i="7"/>
  <c r="L658" i="11" s="1"/>
  <c r="P658" i="11" s="1"/>
  <c r="L837" i="7"/>
  <c r="L121" i="11" s="1"/>
  <c r="P121" i="11" s="1"/>
  <c r="L479" i="7"/>
  <c r="L479" i="10" s="1"/>
  <c r="P479" i="10" s="1"/>
  <c r="L1553" i="7"/>
  <c r="L837" i="11" s="1"/>
  <c r="P837" i="11" s="1"/>
  <c r="H1733" i="7"/>
  <c r="E1734" i="7" s="1"/>
  <c r="H1196" i="7"/>
  <c r="E1197" i="7" s="1"/>
  <c r="H1554" i="7"/>
  <c r="E1555" i="7" s="1"/>
  <c r="H122" i="7"/>
  <c r="E123" i="7" s="1"/>
  <c r="E122" i="10"/>
  <c r="H838" i="7"/>
  <c r="E839" i="7" s="1"/>
  <c r="H1017" i="7"/>
  <c r="E1018" i="7" s="1"/>
  <c r="H301" i="7"/>
  <c r="E302" i="7" s="1"/>
  <c r="E301" i="10"/>
  <c r="H659" i="7"/>
  <c r="E660" i="7" s="1"/>
  <c r="E659" i="10"/>
  <c r="H1375" i="7"/>
  <c r="E1376" i="7" s="1"/>
  <c r="H480" i="7"/>
  <c r="E481" i="7" s="1"/>
  <c r="E480" i="10"/>
  <c r="I122" i="11" l="1"/>
  <c r="I301" i="11"/>
  <c r="E302" i="11"/>
  <c r="I838" i="11"/>
  <c r="I1017" i="11"/>
  <c r="I659" i="11"/>
  <c r="E660" i="11"/>
  <c r="I480" i="11"/>
  <c r="E481" i="11"/>
  <c r="H2095" i="7"/>
  <c r="E2096" i="7" s="1"/>
  <c r="E841" i="10"/>
  <c r="I1017" i="10"/>
  <c r="L2271" i="7"/>
  <c r="L1017" i="10" s="1"/>
  <c r="P1017" i="10" s="1"/>
  <c r="K2271" i="7"/>
  <c r="K1017" i="10" s="1"/>
  <c r="J2271" i="7"/>
  <c r="J1017" i="10" s="1"/>
  <c r="J301" i="7"/>
  <c r="J301" i="10" s="1"/>
  <c r="K301" i="7"/>
  <c r="K301" i="10" s="1"/>
  <c r="J1733" i="7"/>
  <c r="J1017" i="11" s="1"/>
  <c r="K1733" i="7"/>
  <c r="K1017" i="11" s="1"/>
  <c r="J480" i="7"/>
  <c r="J480" i="10" s="1"/>
  <c r="K480" i="7"/>
  <c r="K480" i="10" s="1"/>
  <c r="J122" i="7"/>
  <c r="J122" i="10" s="1"/>
  <c r="K122" i="7"/>
  <c r="K122" i="10" s="1"/>
  <c r="J1017" i="7"/>
  <c r="J301" i="11" s="1"/>
  <c r="K1017" i="7"/>
  <c r="K301" i="11" s="1"/>
  <c r="J838" i="7"/>
  <c r="J122" i="11" s="1"/>
  <c r="K838" i="7"/>
  <c r="K122" i="11" s="1"/>
  <c r="J1375" i="7"/>
  <c r="J659" i="11" s="1"/>
  <c r="K1375" i="7"/>
  <c r="K659" i="11" s="1"/>
  <c r="J1554" i="7"/>
  <c r="J838" i="11" s="1"/>
  <c r="K1554" i="7"/>
  <c r="K838" i="11" s="1"/>
  <c r="J659" i="7"/>
  <c r="J659" i="10" s="1"/>
  <c r="K659" i="7"/>
  <c r="K659" i="10" s="1"/>
  <c r="J1196" i="7"/>
  <c r="J480" i="11" s="1"/>
  <c r="K1196" i="7"/>
  <c r="K480" i="11" s="1"/>
  <c r="I480" i="10"/>
  <c r="I659" i="10"/>
  <c r="I301" i="10"/>
  <c r="E123" i="11"/>
  <c r="I122" i="10"/>
  <c r="E839" i="11"/>
  <c r="E1018" i="11"/>
  <c r="H2272" i="7" l="1"/>
  <c r="E2273" i="7" s="1"/>
  <c r="E1018" i="10"/>
  <c r="I841" i="10"/>
  <c r="K2095" i="7"/>
  <c r="K841" i="10" s="1"/>
  <c r="J2095" i="7"/>
  <c r="J841" i="10" s="1"/>
  <c r="L2095" i="7"/>
  <c r="L841" i="10" s="1"/>
  <c r="P841" i="10" s="1"/>
  <c r="L1017" i="7"/>
  <c r="L301" i="11" s="1"/>
  <c r="P301" i="11" s="1"/>
  <c r="L659" i="7"/>
  <c r="L659" i="10" s="1"/>
  <c r="P659" i="10" s="1"/>
  <c r="L122" i="7"/>
  <c r="L122" i="10" s="1"/>
  <c r="P122" i="10" s="1"/>
  <c r="L301" i="7"/>
  <c r="L301" i="10" s="1"/>
  <c r="P301" i="10" s="1"/>
  <c r="L1733" i="7"/>
  <c r="L1017" i="11" s="1"/>
  <c r="P1017" i="11" s="1"/>
  <c r="L1196" i="7"/>
  <c r="L480" i="11" s="1"/>
  <c r="P480" i="11" s="1"/>
  <c r="L838" i="7"/>
  <c r="L122" i="11" s="1"/>
  <c r="P122" i="11" s="1"/>
  <c r="L1375" i="7"/>
  <c r="L659" i="11" s="1"/>
  <c r="P659" i="11" s="1"/>
  <c r="L1554" i="7"/>
  <c r="L838" i="11" s="1"/>
  <c r="P838" i="11" s="1"/>
  <c r="L480" i="7"/>
  <c r="L480" i="10" s="1"/>
  <c r="P480" i="10" s="1"/>
  <c r="H1734" i="7"/>
  <c r="E1735" i="7" s="1"/>
  <c r="H1197" i="7"/>
  <c r="E1198" i="7" s="1"/>
  <c r="H1555" i="7"/>
  <c r="E1556" i="7" s="1"/>
  <c r="H123" i="7"/>
  <c r="E124" i="7" s="1"/>
  <c r="E123" i="10"/>
  <c r="H839" i="7"/>
  <c r="E840" i="7" s="1"/>
  <c r="H1018" i="7"/>
  <c r="E1019" i="7" s="1"/>
  <c r="H302" i="7"/>
  <c r="E303" i="7" s="1"/>
  <c r="E302" i="10"/>
  <c r="H660" i="7"/>
  <c r="E661" i="7" s="1"/>
  <c r="E660" i="10"/>
  <c r="H1376" i="7"/>
  <c r="E1377" i="7" s="1"/>
  <c r="H481" i="7"/>
  <c r="E482" i="7" s="1"/>
  <c r="E481" i="10"/>
  <c r="I660" i="11" l="1"/>
  <c r="I302" i="11"/>
  <c r="E303" i="11"/>
  <c r="I123" i="11"/>
  <c r="I839" i="11"/>
  <c r="I481" i="11"/>
  <c r="I1018" i="11"/>
  <c r="E1019" i="11"/>
  <c r="H2096" i="7"/>
  <c r="E2097" i="7" s="1"/>
  <c r="E842" i="10"/>
  <c r="I1018" i="10"/>
  <c r="L2272" i="7"/>
  <c r="L1018" i="10" s="1"/>
  <c r="P1018" i="10" s="1"/>
  <c r="J2272" i="7"/>
  <c r="J1018" i="10" s="1"/>
  <c r="K2272" i="7"/>
  <c r="K1018" i="10" s="1"/>
  <c r="J1018" i="7"/>
  <c r="J302" i="11" s="1"/>
  <c r="K1018" i="7"/>
  <c r="K302" i="11" s="1"/>
  <c r="J839" i="7"/>
  <c r="J123" i="11" s="1"/>
  <c r="K839" i="7"/>
  <c r="K123" i="11" s="1"/>
  <c r="J1734" i="7"/>
  <c r="J1018" i="11" s="1"/>
  <c r="K1734" i="7"/>
  <c r="K1018" i="11" s="1"/>
  <c r="J302" i="7"/>
  <c r="J302" i="10" s="1"/>
  <c r="K302" i="7"/>
  <c r="K302" i="10" s="1"/>
  <c r="J481" i="7"/>
  <c r="J481" i="10" s="1"/>
  <c r="K481" i="7"/>
  <c r="K481" i="10" s="1"/>
  <c r="J123" i="7"/>
  <c r="J123" i="10" s="1"/>
  <c r="K123" i="7"/>
  <c r="K123" i="10" s="1"/>
  <c r="J1376" i="7"/>
  <c r="J660" i="11" s="1"/>
  <c r="K1376" i="7"/>
  <c r="K660" i="11" s="1"/>
  <c r="J1555" i="7"/>
  <c r="J839" i="11" s="1"/>
  <c r="K1555" i="7"/>
  <c r="K839" i="11" s="1"/>
  <c r="J660" i="7"/>
  <c r="J660" i="10" s="1"/>
  <c r="K660" i="7"/>
  <c r="K660" i="10" s="1"/>
  <c r="J1197" i="7"/>
  <c r="J481" i="11" s="1"/>
  <c r="K1197" i="7"/>
  <c r="K481" i="11" s="1"/>
  <c r="I481" i="10"/>
  <c r="E661" i="11"/>
  <c r="I660" i="10"/>
  <c r="I302" i="10"/>
  <c r="E124" i="11"/>
  <c r="I123" i="10"/>
  <c r="E840" i="11"/>
  <c r="E482" i="11"/>
  <c r="H2273" i="7" l="1"/>
  <c r="E2274" i="7" s="1"/>
  <c r="E1019" i="10"/>
  <c r="I842" i="10"/>
  <c r="L2096" i="7"/>
  <c r="L842" i="10" s="1"/>
  <c r="P842" i="10" s="1"/>
  <c r="J2096" i="7"/>
  <c r="J842" i="10" s="1"/>
  <c r="K2096" i="7"/>
  <c r="K842" i="10" s="1"/>
  <c r="L1018" i="7"/>
  <c r="L302" i="11" s="1"/>
  <c r="P302" i="11" s="1"/>
  <c r="L123" i="7"/>
  <c r="L123" i="10" s="1"/>
  <c r="P123" i="10" s="1"/>
  <c r="L302" i="7"/>
  <c r="L302" i="10" s="1"/>
  <c r="P302" i="10" s="1"/>
  <c r="L660" i="7"/>
  <c r="L660" i="10" s="1"/>
  <c r="P660" i="10" s="1"/>
  <c r="L1555" i="7"/>
  <c r="L839" i="11" s="1"/>
  <c r="P839" i="11" s="1"/>
  <c r="L1197" i="7"/>
  <c r="L481" i="11" s="1"/>
  <c r="P481" i="11" s="1"/>
  <c r="L1734" i="7"/>
  <c r="L1018" i="11" s="1"/>
  <c r="P1018" i="11" s="1"/>
  <c r="L1376" i="7"/>
  <c r="L660" i="11" s="1"/>
  <c r="P660" i="11" s="1"/>
  <c r="L839" i="7"/>
  <c r="L123" i="11" s="1"/>
  <c r="P123" i="11" s="1"/>
  <c r="L481" i="7"/>
  <c r="L481" i="10" s="1"/>
  <c r="P481" i="10" s="1"/>
  <c r="H1735" i="7"/>
  <c r="E1736" i="7" s="1"/>
  <c r="H1198" i="7"/>
  <c r="E1199" i="7" s="1"/>
  <c r="H1556" i="7"/>
  <c r="E1557" i="7" s="1"/>
  <c r="H124" i="7"/>
  <c r="E125" i="7" s="1"/>
  <c r="E124" i="10"/>
  <c r="H840" i="7"/>
  <c r="E841" i="7" s="1"/>
  <c r="H1019" i="7"/>
  <c r="E1020" i="7" s="1"/>
  <c r="H303" i="7"/>
  <c r="E304" i="7" s="1"/>
  <c r="E303" i="10"/>
  <c r="H661" i="7"/>
  <c r="E662" i="7" s="1"/>
  <c r="E661" i="10"/>
  <c r="H1377" i="7"/>
  <c r="E1378" i="7" s="1"/>
  <c r="H482" i="7"/>
  <c r="E483" i="7" s="1"/>
  <c r="E482" i="10"/>
  <c r="I124" i="11" l="1"/>
  <c r="E125" i="11"/>
  <c r="I303" i="11"/>
  <c r="E304" i="11"/>
  <c r="I840" i="11"/>
  <c r="I482" i="11"/>
  <c r="I1019" i="11"/>
  <c r="I661" i="11"/>
  <c r="E662" i="11"/>
  <c r="H2097" i="7"/>
  <c r="E2098" i="7" s="1"/>
  <c r="E843" i="10"/>
  <c r="I1019" i="10"/>
  <c r="L2273" i="7"/>
  <c r="L1019" i="10" s="1"/>
  <c r="P1019" i="10" s="1"/>
  <c r="K2273" i="7"/>
  <c r="K1019" i="10" s="1"/>
  <c r="J2273" i="7"/>
  <c r="J1019" i="10" s="1"/>
  <c r="J1735" i="7"/>
  <c r="J1019" i="11" s="1"/>
  <c r="K1735" i="7"/>
  <c r="K1019" i="11" s="1"/>
  <c r="J840" i="7"/>
  <c r="J124" i="11" s="1"/>
  <c r="K840" i="7"/>
  <c r="K124" i="11" s="1"/>
  <c r="J303" i="7"/>
  <c r="J303" i="10" s="1"/>
  <c r="K303" i="7"/>
  <c r="K303" i="10" s="1"/>
  <c r="J124" i="7"/>
  <c r="J124" i="10" s="1"/>
  <c r="K124" i="7"/>
  <c r="K124" i="10" s="1"/>
  <c r="J1019" i="7"/>
  <c r="J303" i="11" s="1"/>
  <c r="K1019" i="7"/>
  <c r="K303" i="11" s="1"/>
  <c r="J482" i="7"/>
  <c r="J482" i="10" s="1"/>
  <c r="K482" i="7"/>
  <c r="K482" i="10" s="1"/>
  <c r="J1377" i="7"/>
  <c r="J661" i="11" s="1"/>
  <c r="K1377" i="7"/>
  <c r="K661" i="11" s="1"/>
  <c r="J1556" i="7"/>
  <c r="J840" i="11" s="1"/>
  <c r="K1556" i="7"/>
  <c r="K840" i="11" s="1"/>
  <c r="J661" i="7"/>
  <c r="J661" i="10" s="1"/>
  <c r="K661" i="7"/>
  <c r="K661" i="10" s="1"/>
  <c r="J1198" i="7"/>
  <c r="J482" i="11" s="1"/>
  <c r="K1198" i="7"/>
  <c r="K482" i="11" s="1"/>
  <c r="I482" i="10"/>
  <c r="I661" i="10"/>
  <c r="I303" i="10"/>
  <c r="I124" i="10"/>
  <c r="E841" i="11"/>
  <c r="E483" i="11"/>
  <c r="E1020" i="11"/>
  <c r="H2274" i="7" l="1"/>
  <c r="E2275" i="7" s="1"/>
  <c r="E1020" i="10"/>
  <c r="I843" i="10"/>
  <c r="J2097" i="7"/>
  <c r="J843" i="10" s="1"/>
  <c r="L2097" i="7"/>
  <c r="L843" i="10" s="1"/>
  <c r="P843" i="10" s="1"/>
  <c r="K2097" i="7"/>
  <c r="K843" i="10" s="1"/>
  <c r="L1019" i="7"/>
  <c r="L303" i="11" s="1"/>
  <c r="P303" i="11" s="1"/>
  <c r="L303" i="7"/>
  <c r="L303" i="10" s="1"/>
  <c r="P303" i="10" s="1"/>
  <c r="L124" i="7"/>
  <c r="L124" i="10" s="1"/>
  <c r="P124" i="10" s="1"/>
  <c r="L1556" i="7"/>
  <c r="L840" i="11" s="1"/>
  <c r="P840" i="11" s="1"/>
  <c r="L1377" i="7"/>
  <c r="L661" i="11" s="1"/>
  <c r="P661" i="11" s="1"/>
  <c r="L1198" i="7"/>
  <c r="L482" i="11" s="1"/>
  <c r="P482" i="11" s="1"/>
  <c r="L661" i="7"/>
  <c r="L661" i="10" s="1"/>
  <c r="P661" i="10" s="1"/>
  <c r="L1735" i="7"/>
  <c r="L1019" i="11" s="1"/>
  <c r="P1019" i="11" s="1"/>
  <c r="L840" i="7"/>
  <c r="L124" i="11" s="1"/>
  <c r="P124" i="11" s="1"/>
  <c r="L482" i="7"/>
  <c r="L482" i="10" s="1"/>
  <c r="P482" i="10" s="1"/>
  <c r="H1736" i="7"/>
  <c r="E1737" i="7" s="1"/>
  <c r="H1199" i="7"/>
  <c r="E1200" i="7" s="1"/>
  <c r="H1557" i="7"/>
  <c r="E1558" i="7" s="1"/>
  <c r="H125" i="7"/>
  <c r="E126" i="7" s="1"/>
  <c r="E125" i="10"/>
  <c r="H841" i="7"/>
  <c r="E842" i="7" s="1"/>
  <c r="H1020" i="7"/>
  <c r="E1021" i="7" s="1"/>
  <c r="H304" i="7"/>
  <c r="E305" i="7" s="1"/>
  <c r="E304" i="10"/>
  <c r="H662" i="7"/>
  <c r="E663" i="7" s="1"/>
  <c r="E662" i="10"/>
  <c r="H1378" i="7"/>
  <c r="E1379" i="7" s="1"/>
  <c r="H483" i="7"/>
  <c r="E484" i="7" s="1"/>
  <c r="E483" i="10"/>
  <c r="I125" i="11" l="1"/>
  <c r="E126" i="11"/>
  <c r="I483" i="11"/>
  <c r="E484" i="11"/>
  <c r="I1020" i="11"/>
  <c r="I304" i="11"/>
  <c r="E305" i="11"/>
  <c r="I841" i="11"/>
  <c r="E842" i="11"/>
  <c r="I662" i="11"/>
  <c r="E663" i="11"/>
  <c r="H2098" i="7"/>
  <c r="E2099" i="7" s="1"/>
  <c r="E844" i="10"/>
  <c r="I1020" i="10"/>
  <c r="K2274" i="7"/>
  <c r="K1020" i="10" s="1"/>
  <c r="J2274" i="7"/>
  <c r="J1020" i="10" s="1"/>
  <c r="L2274" i="7"/>
  <c r="L1020" i="10" s="1"/>
  <c r="P1020" i="10" s="1"/>
  <c r="J125" i="7"/>
  <c r="J125" i="10" s="1"/>
  <c r="K125" i="7"/>
  <c r="K125" i="10" s="1"/>
  <c r="J483" i="7"/>
  <c r="J483" i="10" s="1"/>
  <c r="K483" i="7"/>
  <c r="K483" i="10" s="1"/>
  <c r="J304" i="7"/>
  <c r="J304" i="10" s="1"/>
  <c r="K304" i="7"/>
  <c r="K304" i="10" s="1"/>
  <c r="J1736" i="7"/>
  <c r="J1020" i="11" s="1"/>
  <c r="K1736" i="7"/>
  <c r="K1020" i="11" s="1"/>
  <c r="J1020" i="7"/>
  <c r="J304" i="11" s="1"/>
  <c r="K1020" i="7"/>
  <c r="K304" i="11" s="1"/>
  <c r="J841" i="7"/>
  <c r="J125" i="11" s="1"/>
  <c r="K841" i="7"/>
  <c r="K125" i="11" s="1"/>
  <c r="J1378" i="7"/>
  <c r="J662" i="11" s="1"/>
  <c r="K1378" i="7"/>
  <c r="K662" i="11" s="1"/>
  <c r="J1557" i="7"/>
  <c r="J841" i="11" s="1"/>
  <c r="K1557" i="7"/>
  <c r="K841" i="11" s="1"/>
  <c r="J662" i="7"/>
  <c r="J662" i="10" s="1"/>
  <c r="K662" i="7"/>
  <c r="K662" i="10" s="1"/>
  <c r="J1199" i="7"/>
  <c r="J483" i="11" s="1"/>
  <c r="K1199" i="7"/>
  <c r="K483" i="11" s="1"/>
  <c r="I483" i="10"/>
  <c r="I662" i="10"/>
  <c r="I304" i="10"/>
  <c r="I125" i="10"/>
  <c r="E1021" i="11"/>
  <c r="H2275" i="7" l="1"/>
  <c r="E2276" i="7" s="1"/>
  <c r="E1021" i="10"/>
  <c r="I844" i="10"/>
  <c r="K2098" i="7"/>
  <c r="K844" i="10" s="1"/>
  <c r="J2098" i="7"/>
  <c r="J844" i="10" s="1"/>
  <c r="L2098" i="7"/>
  <c r="L844" i="10" s="1"/>
  <c r="P844" i="10" s="1"/>
  <c r="L1020" i="7"/>
  <c r="L304" i="11" s="1"/>
  <c r="P304" i="11" s="1"/>
  <c r="L304" i="7"/>
  <c r="L304" i="10" s="1"/>
  <c r="P304" i="10" s="1"/>
  <c r="L125" i="7"/>
  <c r="L125" i="10" s="1"/>
  <c r="P125" i="10" s="1"/>
  <c r="L1378" i="7"/>
  <c r="L662" i="11" s="1"/>
  <c r="P662" i="11" s="1"/>
  <c r="L841" i="7"/>
  <c r="L125" i="11" s="1"/>
  <c r="P125" i="11" s="1"/>
  <c r="L662" i="7"/>
  <c r="L662" i="10" s="1"/>
  <c r="P662" i="10" s="1"/>
  <c r="L1736" i="7"/>
  <c r="L1020" i="11" s="1"/>
  <c r="P1020" i="11" s="1"/>
  <c r="L1199" i="7"/>
  <c r="L483" i="11" s="1"/>
  <c r="P483" i="11" s="1"/>
  <c r="L483" i="7"/>
  <c r="L483" i="10" s="1"/>
  <c r="P483" i="10" s="1"/>
  <c r="L1557" i="7"/>
  <c r="L841" i="11" s="1"/>
  <c r="P841" i="11" s="1"/>
  <c r="H1737" i="7"/>
  <c r="E1738" i="7" s="1"/>
  <c r="H1200" i="7"/>
  <c r="E1201" i="7" s="1"/>
  <c r="H1558" i="7"/>
  <c r="E1559" i="7" s="1"/>
  <c r="H126" i="7"/>
  <c r="E127" i="7" s="1"/>
  <c r="E126" i="10"/>
  <c r="H842" i="7"/>
  <c r="E843" i="7" s="1"/>
  <c r="H1021" i="7"/>
  <c r="E1022" i="7" s="1"/>
  <c r="H305" i="7"/>
  <c r="E306" i="7" s="1"/>
  <c r="E305" i="10"/>
  <c r="H663" i="7"/>
  <c r="E664" i="7" s="1"/>
  <c r="E663" i="10"/>
  <c r="H1379" i="7"/>
  <c r="E1380" i="7" s="1"/>
  <c r="H484" i="7"/>
  <c r="E485" i="7" s="1"/>
  <c r="E484" i="10"/>
  <c r="I126" i="11" l="1"/>
  <c r="E127" i="11"/>
  <c r="I305" i="11"/>
  <c r="E306" i="11"/>
  <c r="I484" i="11"/>
  <c r="I1021" i="11"/>
  <c r="I663" i="11"/>
  <c r="E664" i="11"/>
  <c r="I842" i="11"/>
  <c r="E843" i="11"/>
  <c r="H2099" i="7"/>
  <c r="E2100" i="7" s="1"/>
  <c r="E845" i="10"/>
  <c r="I1021" i="10"/>
  <c r="L2275" i="7"/>
  <c r="L1021" i="10" s="1"/>
  <c r="P1021" i="10" s="1"/>
  <c r="J2275" i="7"/>
  <c r="J1021" i="10" s="1"/>
  <c r="K2275" i="7"/>
  <c r="K1021" i="10" s="1"/>
  <c r="J1021" i="7"/>
  <c r="J305" i="11" s="1"/>
  <c r="K1021" i="7"/>
  <c r="K305" i="11" s="1"/>
  <c r="J1379" i="7"/>
  <c r="J663" i="11" s="1"/>
  <c r="K1379" i="7"/>
  <c r="K663" i="11" s="1"/>
  <c r="J1558" i="7"/>
  <c r="J842" i="11" s="1"/>
  <c r="K1558" i="7"/>
  <c r="K842" i="11" s="1"/>
  <c r="J305" i="7"/>
  <c r="J305" i="10" s="1"/>
  <c r="K305" i="7"/>
  <c r="K305" i="10" s="1"/>
  <c r="J1737" i="7"/>
  <c r="J1021" i="11" s="1"/>
  <c r="K1737" i="7"/>
  <c r="K1021" i="11" s="1"/>
  <c r="J842" i="7"/>
  <c r="J126" i="11" s="1"/>
  <c r="K842" i="7"/>
  <c r="K126" i="11" s="1"/>
  <c r="J484" i="7"/>
  <c r="J484" i="10" s="1"/>
  <c r="K484" i="7"/>
  <c r="K484" i="10" s="1"/>
  <c r="J126" i="7"/>
  <c r="J126" i="10" s="1"/>
  <c r="K126" i="7"/>
  <c r="K126" i="10" s="1"/>
  <c r="J663" i="7"/>
  <c r="L663" i="7" s="1"/>
  <c r="L663" i="10" s="1"/>
  <c r="P663" i="10" s="1"/>
  <c r="K663" i="7"/>
  <c r="K663" i="10" s="1"/>
  <c r="J1200" i="7"/>
  <c r="J484" i="11" s="1"/>
  <c r="K1200" i="7"/>
  <c r="K484" i="11" s="1"/>
  <c r="I484" i="10"/>
  <c r="I663" i="10"/>
  <c r="I305" i="10"/>
  <c r="I126" i="10"/>
  <c r="E485" i="11"/>
  <c r="E1022" i="11"/>
  <c r="H2276" i="7" l="1"/>
  <c r="E2277" i="7" s="1"/>
  <c r="E1022" i="10"/>
  <c r="I845" i="10"/>
  <c r="J2099" i="7"/>
  <c r="J845" i="10" s="1"/>
  <c r="K2099" i="7"/>
  <c r="K845" i="10" s="1"/>
  <c r="L2099" i="7"/>
  <c r="L845" i="10" s="1"/>
  <c r="P845" i="10" s="1"/>
  <c r="J663" i="10"/>
  <c r="L1021" i="7"/>
  <c r="L305" i="11" s="1"/>
  <c r="P305" i="11" s="1"/>
  <c r="L305" i="7"/>
  <c r="L305" i="10" s="1"/>
  <c r="P305" i="10" s="1"/>
  <c r="L126" i="7"/>
  <c r="L126" i="10" s="1"/>
  <c r="P126" i="10" s="1"/>
  <c r="L1200" i="7"/>
  <c r="L484" i="11" s="1"/>
  <c r="P484" i="11" s="1"/>
  <c r="L1737" i="7"/>
  <c r="L1021" i="11" s="1"/>
  <c r="P1021" i="11" s="1"/>
  <c r="L1379" i="7"/>
  <c r="L663" i="11" s="1"/>
  <c r="P663" i="11" s="1"/>
  <c r="L842" i="7"/>
  <c r="L126" i="11" s="1"/>
  <c r="P126" i="11" s="1"/>
  <c r="L484" i="7"/>
  <c r="L484" i="10" s="1"/>
  <c r="P484" i="10" s="1"/>
  <c r="L1558" i="7"/>
  <c r="L842" i="11" s="1"/>
  <c r="P842" i="11" s="1"/>
  <c r="H1738" i="7"/>
  <c r="E1739" i="7" s="1"/>
  <c r="H1201" i="7"/>
  <c r="E1202" i="7" s="1"/>
  <c r="H1559" i="7"/>
  <c r="E1560" i="7" s="1"/>
  <c r="H127" i="7"/>
  <c r="E128" i="7" s="1"/>
  <c r="E127" i="10"/>
  <c r="H843" i="7"/>
  <c r="E844" i="7" s="1"/>
  <c r="H1022" i="7"/>
  <c r="E1023" i="7" s="1"/>
  <c r="H306" i="7"/>
  <c r="E307" i="7" s="1"/>
  <c r="E306" i="10"/>
  <c r="H664" i="7"/>
  <c r="E665" i="7" s="1"/>
  <c r="E664" i="10"/>
  <c r="H1380" i="7"/>
  <c r="E1381" i="7" s="1"/>
  <c r="H485" i="7"/>
  <c r="E486" i="7" s="1"/>
  <c r="E485" i="10"/>
  <c r="I1022" i="11" l="1"/>
  <c r="E1023" i="11"/>
  <c r="I306" i="11"/>
  <c r="E307" i="11"/>
  <c r="I127" i="11"/>
  <c r="I843" i="11"/>
  <c r="I485" i="11"/>
  <c r="I664" i="11"/>
  <c r="E665" i="11"/>
  <c r="H2100" i="7"/>
  <c r="E2101" i="7" s="1"/>
  <c r="E846" i="10"/>
  <c r="I1022" i="10"/>
  <c r="L2276" i="7"/>
  <c r="L1022" i="10" s="1"/>
  <c r="P1022" i="10" s="1"/>
  <c r="K2276" i="7"/>
  <c r="K1022" i="10" s="1"/>
  <c r="J2276" i="7"/>
  <c r="J1022" i="10" s="1"/>
  <c r="J664" i="7"/>
  <c r="J664" i="10" s="1"/>
  <c r="K664" i="7"/>
  <c r="K664" i="10" s="1"/>
  <c r="J843" i="7"/>
  <c r="J127" i="11" s="1"/>
  <c r="K843" i="7"/>
  <c r="K127" i="11" s="1"/>
  <c r="J1022" i="7"/>
  <c r="J306" i="11" s="1"/>
  <c r="K1022" i="7"/>
  <c r="K306" i="11" s="1"/>
  <c r="J485" i="7"/>
  <c r="J485" i="10" s="1"/>
  <c r="K485" i="7"/>
  <c r="K485" i="10" s="1"/>
  <c r="J1201" i="7"/>
  <c r="J485" i="11" s="1"/>
  <c r="K1201" i="7"/>
  <c r="K485" i="11" s="1"/>
  <c r="J306" i="7"/>
  <c r="J306" i="10" s="1"/>
  <c r="K306" i="7"/>
  <c r="K306" i="10" s="1"/>
  <c r="J1738" i="7"/>
  <c r="J1022" i="11" s="1"/>
  <c r="K1738" i="7"/>
  <c r="K1022" i="11" s="1"/>
  <c r="J127" i="7"/>
  <c r="J127" i="10" s="1"/>
  <c r="K127" i="7"/>
  <c r="K127" i="10" s="1"/>
  <c r="J1380" i="7"/>
  <c r="J664" i="11" s="1"/>
  <c r="K1380" i="7"/>
  <c r="K664" i="11" s="1"/>
  <c r="J1559" i="7"/>
  <c r="J843" i="11" s="1"/>
  <c r="K1559" i="7"/>
  <c r="K843" i="11" s="1"/>
  <c r="I485" i="10"/>
  <c r="I664" i="10"/>
  <c r="I306" i="10"/>
  <c r="E128" i="11"/>
  <c r="I127" i="10"/>
  <c r="E844" i="11"/>
  <c r="E486" i="11"/>
  <c r="H2277" i="7" l="1"/>
  <c r="E2278" i="7" s="1"/>
  <c r="E1023" i="10"/>
  <c r="I846" i="10"/>
  <c r="J2100" i="7"/>
  <c r="J846" i="10" s="1"/>
  <c r="K2100" i="7"/>
  <c r="K846" i="10" s="1"/>
  <c r="L2100" i="7"/>
  <c r="L846" i="10" s="1"/>
  <c r="P846" i="10" s="1"/>
  <c r="L1022" i="7"/>
  <c r="L306" i="11" s="1"/>
  <c r="P306" i="11" s="1"/>
  <c r="L306" i="7"/>
  <c r="L306" i="10" s="1"/>
  <c r="P306" i="10" s="1"/>
  <c r="L127" i="7"/>
  <c r="L127" i="10" s="1"/>
  <c r="P127" i="10" s="1"/>
  <c r="L1380" i="7"/>
  <c r="L664" i="11" s="1"/>
  <c r="P664" i="11" s="1"/>
  <c r="L1201" i="7"/>
  <c r="L485" i="11" s="1"/>
  <c r="P485" i="11" s="1"/>
  <c r="L1559" i="7"/>
  <c r="L843" i="11" s="1"/>
  <c r="P843" i="11" s="1"/>
  <c r="L1738" i="7"/>
  <c r="L1022" i="11" s="1"/>
  <c r="P1022" i="11" s="1"/>
  <c r="L664" i="7"/>
  <c r="L664" i="10" s="1"/>
  <c r="P664" i="10" s="1"/>
  <c r="L843" i="7"/>
  <c r="L127" i="11" s="1"/>
  <c r="P127" i="11" s="1"/>
  <c r="L485" i="7"/>
  <c r="L485" i="10" s="1"/>
  <c r="P485" i="10" s="1"/>
  <c r="H1739" i="7"/>
  <c r="E1740" i="7" s="1"/>
  <c r="H1202" i="7"/>
  <c r="E1203" i="7" s="1"/>
  <c r="H1560" i="7"/>
  <c r="E1561" i="7" s="1"/>
  <c r="H128" i="7"/>
  <c r="E129" i="7" s="1"/>
  <c r="E128" i="10"/>
  <c r="H844" i="7"/>
  <c r="E845" i="7" s="1"/>
  <c r="H1023" i="7"/>
  <c r="E1024" i="7" s="1"/>
  <c r="H307" i="7"/>
  <c r="E308" i="7" s="1"/>
  <c r="E307" i="10"/>
  <c r="H665" i="7"/>
  <c r="E666" i="7" s="1"/>
  <c r="E665" i="10"/>
  <c r="H1381" i="7"/>
  <c r="E1382" i="7" s="1"/>
  <c r="H486" i="7"/>
  <c r="E487" i="7" s="1"/>
  <c r="E486" i="10"/>
  <c r="I307" i="11" l="1"/>
  <c r="E308" i="11"/>
  <c r="I844" i="11"/>
  <c r="E845" i="11"/>
  <c r="I128" i="11"/>
  <c r="I486" i="11"/>
  <c r="E487" i="11"/>
  <c r="I1023" i="11"/>
  <c r="E1024" i="11"/>
  <c r="I665" i="11"/>
  <c r="E666" i="11"/>
  <c r="H2101" i="7"/>
  <c r="E2102" i="7" s="1"/>
  <c r="E847" i="10"/>
  <c r="I1023" i="10"/>
  <c r="L2277" i="7"/>
  <c r="L1023" i="10" s="1"/>
  <c r="P1023" i="10" s="1"/>
  <c r="J2277" i="7"/>
  <c r="J1023" i="10" s="1"/>
  <c r="K2277" i="7"/>
  <c r="K1023" i="10" s="1"/>
  <c r="J1739" i="7"/>
  <c r="J1023" i="11" s="1"/>
  <c r="K1739" i="7"/>
  <c r="K1023" i="11" s="1"/>
  <c r="J486" i="7"/>
  <c r="J486" i="10" s="1"/>
  <c r="K486" i="7"/>
  <c r="K486" i="10" s="1"/>
  <c r="J128" i="7"/>
  <c r="J128" i="10" s="1"/>
  <c r="K128" i="7"/>
  <c r="K128" i="10" s="1"/>
  <c r="J1560" i="7"/>
  <c r="J844" i="11" s="1"/>
  <c r="K1560" i="7"/>
  <c r="K844" i="11" s="1"/>
  <c r="J307" i="7"/>
  <c r="J307" i="10" s="1"/>
  <c r="K307" i="7"/>
  <c r="K307" i="10" s="1"/>
  <c r="J1023" i="7"/>
  <c r="J307" i="11" s="1"/>
  <c r="K1023" i="7"/>
  <c r="K307" i="11" s="1"/>
  <c r="J844" i="7"/>
  <c r="J128" i="11" s="1"/>
  <c r="K844" i="7"/>
  <c r="K128" i="11" s="1"/>
  <c r="J1381" i="7"/>
  <c r="J665" i="11" s="1"/>
  <c r="K1381" i="7"/>
  <c r="K665" i="11" s="1"/>
  <c r="J665" i="7"/>
  <c r="J665" i="10" s="1"/>
  <c r="K665" i="7"/>
  <c r="K665" i="10" s="1"/>
  <c r="J1202" i="7"/>
  <c r="J486" i="11" s="1"/>
  <c r="K1202" i="7"/>
  <c r="K486" i="11" s="1"/>
  <c r="I486" i="10"/>
  <c r="I665" i="10"/>
  <c r="I307" i="10"/>
  <c r="E129" i="11"/>
  <c r="I128" i="10"/>
  <c r="H2278" i="7" l="1"/>
  <c r="E2279" i="7" s="1"/>
  <c r="E1024" i="10"/>
  <c r="I847" i="10"/>
  <c r="K2101" i="7"/>
  <c r="K847" i="10" s="1"/>
  <c r="J2101" i="7"/>
  <c r="J847" i="10" s="1"/>
  <c r="L2101" i="7"/>
  <c r="L847" i="10" s="1"/>
  <c r="P847" i="10" s="1"/>
  <c r="L1023" i="7"/>
  <c r="L307" i="11" s="1"/>
  <c r="P307" i="11" s="1"/>
  <c r="L128" i="7"/>
  <c r="L128" i="10" s="1"/>
  <c r="P128" i="10" s="1"/>
  <c r="L307" i="7"/>
  <c r="L307" i="10" s="1"/>
  <c r="P307" i="10" s="1"/>
  <c r="L665" i="7"/>
  <c r="L665" i="10" s="1"/>
  <c r="P665" i="10" s="1"/>
  <c r="L844" i="7"/>
  <c r="L128" i="11" s="1"/>
  <c r="P128" i="11" s="1"/>
  <c r="L1560" i="7"/>
  <c r="L844" i="11" s="1"/>
  <c r="P844" i="11" s="1"/>
  <c r="L1739" i="7"/>
  <c r="L1023" i="11" s="1"/>
  <c r="P1023" i="11" s="1"/>
  <c r="L1381" i="7"/>
  <c r="L665" i="11" s="1"/>
  <c r="P665" i="11" s="1"/>
  <c r="L1202" i="7"/>
  <c r="L486" i="11" s="1"/>
  <c r="P486" i="11" s="1"/>
  <c r="L486" i="7"/>
  <c r="L486" i="10" s="1"/>
  <c r="P486" i="10" s="1"/>
  <c r="H1740" i="7"/>
  <c r="E1741" i="7" s="1"/>
  <c r="H1203" i="7"/>
  <c r="E1204" i="7" s="1"/>
  <c r="H1561" i="7"/>
  <c r="E1562" i="7" s="1"/>
  <c r="H129" i="7"/>
  <c r="E130" i="7" s="1"/>
  <c r="E129" i="10"/>
  <c r="H845" i="7"/>
  <c r="E846" i="7" s="1"/>
  <c r="H1024" i="7"/>
  <c r="E1025" i="7" s="1"/>
  <c r="H308" i="7"/>
  <c r="E309" i="7" s="1"/>
  <c r="E308" i="10"/>
  <c r="H666" i="7"/>
  <c r="E667" i="7" s="1"/>
  <c r="E666" i="10"/>
  <c r="H1382" i="7"/>
  <c r="E1383" i="7" s="1"/>
  <c r="H487" i="7"/>
  <c r="E488" i="7" s="1"/>
  <c r="E487" i="10"/>
  <c r="I845" i="11" l="1"/>
  <c r="E846" i="11"/>
  <c r="I308" i="11"/>
  <c r="E309" i="11"/>
  <c r="I129" i="11"/>
  <c r="I487" i="11"/>
  <c r="I1024" i="11"/>
  <c r="E1025" i="11"/>
  <c r="I666" i="11"/>
  <c r="H2102" i="7"/>
  <c r="E2103" i="7" s="1"/>
  <c r="E848" i="10"/>
  <c r="I1024" i="10"/>
  <c r="K2278" i="7"/>
  <c r="K1024" i="10" s="1"/>
  <c r="J2278" i="7"/>
  <c r="J1024" i="10" s="1"/>
  <c r="L2278" i="7"/>
  <c r="L1024" i="10" s="1"/>
  <c r="P1024" i="10" s="1"/>
  <c r="J1740" i="7"/>
  <c r="J1024" i="11" s="1"/>
  <c r="K1740" i="7"/>
  <c r="K1024" i="11" s="1"/>
  <c r="J845" i="7"/>
  <c r="J129" i="11" s="1"/>
  <c r="K845" i="7"/>
  <c r="K129" i="11" s="1"/>
  <c r="J1561" i="7"/>
  <c r="J845" i="11" s="1"/>
  <c r="K1561" i="7"/>
  <c r="K845" i="11" s="1"/>
  <c r="J308" i="7"/>
  <c r="J308" i="10" s="1"/>
  <c r="K308" i="7"/>
  <c r="K308" i="10" s="1"/>
  <c r="J1024" i="7"/>
  <c r="J308" i="11" s="1"/>
  <c r="K1024" i="7"/>
  <c r="K308" i="11" s="1"/>
  <c r="J487" i="7"/>
  <c r="J487" i="10" s="1"/>
  <c r="K487" i="7"/>
  <c r="K487" i="10" s="1"/>
  <c r="J129" i="7"/>
  <c r="J129" i="10" s="1"/>
  <c r="K129" i="7"/>
  <c r="K129" i="10" s="1"/>
  <c r="J1382" i="7"/>
  <c r="J666" i="11" s="1"/>
  <c r="K1382" i="7"/>
  <c r="K666" i="11" s="1"/>
  <c r="J666" i="7"/>
  <c r="J666" i="10" s="1"/>
  <c r="K666" i="7"/>
  <c r="K666" i="10" s="1"/>
  <c r="J1203" i="7"/>
  <c r="J487" i="11" s="1"/>
  <c r="K1203" i="7"/>
  <c r="K487" i="11" s="1"/>
  <c r="I487" i="10"/>
  <c r="E667" i="11"/>
  <c r="I666" i="10"/>
  <c r="I308" i="10"/>
  <c r="E130" i="11"/>
  <c r="I129" i="10"/>
  <c r="E488" i="11"/>
  <c r="H2279" i="7" l="1"/>
  <c r="E2280" i="7" s="1"/>
  <c r="E1025" i="10"/>
  <c r="I848" i="10"/>
  <c r="L2102" i="7"/>
  <c r="L848" i="10" s="1"/>
  <c r="P848" i="10" s="1"/>
  <c r="K2102" i="7"/>
  <c r="K848" i="10" s="1"/>
  <c r="J2102" i="7"/>
  <c r="J848" i="10" s="1"/>
  <c r="L1024" i="7"/>
  <c r="L308" i="11" s="1"/>
  <c r="P308" i="11" s="1"/>
  <c r="L129" i="7"/>
  <c r="L129" i="10" s="1"/>
  <c r="P129" i="10" s="1"/>
  <c r="L308" i="7"/>
  <c r="L308" i="10" s="1"/>
  <c r="P308" i="10" s="1"/>
  <c r="L666" i="7"/>
  <c r="L666" i="10" s="1"/>
  <c r="P666" i="10" s="1"/>
  <c r="L1561" i="7"/>
  <c r="L845" i="11" s="1"/>
  <c r="P845" i="11" s="1"/>
  <c r="L1740" i="7"/>
  <c r="L1024" i="11" s="1"/>
  <c r="P1024" i="11" s="1"/>
  <c r="L1203" i="7"/>
  <c r="L487" i="11" s="1"/>
  <c r="P487" i="11" s="1"/>
  <c r="L1382" i="7"/>
  <c r="L666" i="11" s="1"/>
  <c r="P666" i="11" s="1"/>
  <c r="L845" i="7"/>
  <c r="L129" i="11" s="1"/>
  <c r="P129" i="11" s="1"/>
  <c r="L487" i="7"/>
  <c r="L487" i="10" s="1"/>
  <c r="P487" i="10" s="1"/>
  <c r="H1741" i="7"/>
  <c r="E1742" i="7" s="1"/>
  <c r="H1204" i="7"/>
  <c r="E1205" i="7" s="1"/>
  <c r="H1562" i="7"/>
  <c r="E1563" i="7" s="1"/>
  <c r="H130" i="7"/>
  <c r="E131" i="7" s="1"/>
  <c r="E130" i="10"/>
  <c r="H846" i="7"/>
  <c r="E847" i="7" s="1"/>
  <c r="H1025" i="7"/>
  <c r="E1026" i="7" s="1"/>
  <c r="H309" i="7"/>
  <c r="E310" i="7" s="1"/>
  <c r="E309" i="10"/>
  <c r="H667" i="7"/>
  <c r="E668" i="7" s="1"/>
  <c r="E667" i="10"/>
  <c r="H1383" i="7"/>
  <c r="E1384" i="7" s="1"/>
  <c r="H488" i="7"/>
  <c r="E489" i="7" s="1"/>
  <c r="E488" i="10"/>
  <c r="I667" i="11" l="1"/>
  <c r="I130" i="11"/>
  <c r="E131" i="11"/>
  <c r="I309" i="11"/>
  <c r="I488" i="11"/>
  <c r="I846" i="11"/>
  <c r="E847" i="11"/>
  <c r="I1025" i="11"/>
  <c r="H2103" i="7"/>
  <c r="E2104" i="7" s="1"/>
  <c r="E849" i="10"/>
  <c r="I1025" i="10"/>
  <c r="J2279" i="7"/>
  <c r="J1025" i="10" s="1"/>
  <c r="K2279" i="7"/>
  <c r="K1025" i="10" s="1"/>
  <c r="L2279" i="7"/>
  <c r="L1025" i="10" s="1"/>
  <c r="P1025" i="10" s="1"/>
  <c r="J667" i="7"/>
  <c r="J667" i="10" s="1"/>
  <c r="K667" i="7"/>
  <c r="K667" i="10" s="1"/>
  <c r="J309" i="7"/>
  <c r="J309" i="10" s="1"/>
  <c r="K309" i="7"/>
  <c r="K309" i="10" s="1"/>
  <c r="J1741" i="7"/>
  <c r="J1025" i="11" s="1"/>
  <c r="K1741" i="7"/>
  <c r="K1025" i="11" s="1"/>
  <c r="J1025" i="7"/>
  <c r="J309" i="11" s="1"/>
  <c r="K1025" i="7"/>
  <c r="K309" i="11" s="1"/>
  <c r="J1383" i="7"/>
  <c r="J667" i="11" s="1"/>
  <c r="K1383" i="7"/>
  <c r="K667" i="11" s="1"/>
  <c r="J1562" i="7"/>
  <c r="J846" i="11" s="1"/>
  <c r="K1562" i="7"/>
  <c r="K846" i="11" s="1"/>
  <c r="J1204" i="7"/>
  <c r="J488" i="11" s="1"/>
  <c r="K1204" i="7"/>
  <c r="K488" i="11" s="1"/>
  <c r="J846" i="7"/>
  <c r="J130" i="11" s="1"/>
  <c r="K846" i="7"/>
  <c r="K130" i="11" s="1"/>
  <c r="J488" i="7"/>
  <c r="J488" i="10" s="1"/>
  <c r="K488" i="7"/>
  <c r="K488" i="10" s="1"/>
  <c r="J130" i="7"/>
  <c r="J130" i="10" s="1"/>
  <c r="K130" i="7"/>
  <c r="K130" i="10" s="1"/>
  <c r="I488" i="10"/>
  <c r="E668" i="11"/>
  <c r="I667" i="10"/>
  <c r="I309" i="10"/>
  <c r="E310" i="11"/>
  <c r="I130" i="10"/>
  <c r="E489" i="11"/>
  <c r="E1026" i="11"/>
  <c r="H2280" i="7" l="1"/>
  <c r="E2281" i="7" s="1"/>
  <c r="E1026" i="10"/>
  <c r="I849" i="10"/>
  <c r="J2103" i="7"/>
  <c r="J849" i="10" s="1"/>
  <c r="L2103" i="7"/>
  <c r="L849" i="10" s="1"/>
  <c r="P849" i="10" s="1"/>
  <c r="K2103" i="7"/>
  <c r="K849" i="10" s="1"/>
  <c r="L1025" i="7"/>
  <c r="L309" i="11" s="1"/>
  <c r="P309" i="11" s="1"/>
  <c r="L130" i="7"/>
  <c r="L130" i="10" s="1"/>
  <c r="P130" i="10" s="1"/>
  <c r="L309" i="7"/>
  <c r="L309" i="10" s="1"/>
  <c r="P309" i="10" s="1"/>
  <c r="L667" i="7"/>
  <c r="L667" i="10" s="1"/>
  <c r="P667" i="10" s="1"/>
  <c r="L1562" i="7"/>
  <c r="L846" i="11" s="1"/>
  <c r="P846" i="11" s="1"/>
  <c r="L1741" i="7"/>
  <c r="L1025" i="11" s="1"/>
  <c r="P1025" i="11" s="1"/>
  <c r="L1383" i="7"/>
  <c r="L667" i="11" s="1"/>
  <c r="P667" i="11" s="1"/>
  <c r="L1204" i="7"/>
  <c r="L488" i="11" s="1"/>
  <c r="P488" i="11" s="1"/>
  <c r="L846" i="7"/>
  <c r="L130" i="11" s="1"/>
  <c r="P130" i="11" s="1"/>
  <c r="L488" i="7"/>
  <c r="L488" i="10" s="1"/>
  <c r="P488" i="10" s="1"/>
  <c r="H1742" i="7"/>
  <c r="E1743" i="7" s="1"/>
  <c r="H1205" i="7"/>
  <c r="E1206" i="7" s="1"/>
  <c r="H1563" i="7"/>
  <c r="E1564" i="7" s="1"/>
  <c r="H131" i="7"/>
  <c r="E132" i="7" s="1"/>
  <c r="E131" i="10"/>
  <c r="H847" i="7"/>
  <c r="E848" i="7" s="1"/>
  <c r="H1026" i="7"/>
  <c r="E1027" i="7" s="1"/>
  <c r="H310" i="7"/>
  <c r="E311" i="7" s="1"/>
  <c r="E310" i="10"/>
  <c r="H668" i="7"/>
  <c r="E669" i="7" s="1"/>
  <c r="E668" i="10"/>
  <c r="H1384" i="7"/>
  <c r="E1385" i="7" s="1"/>
  <c r="H489" i="7"/>
  <c r="E490" i="7" s="1"/>
  <c r="E489" i="10"/>
  <c r="I847" i="11" l="1"/>
  <c r="I310" i="11"/>
  <c r="I489" i="11"/>
  <c r="I1026" i="11"/>
  <c r="I668" i="11"/>
  <c r="E669" i="11"/>
  <c r="I131" i="11"/>
  <c r="E132" i="11"/>
  <c r="H2104" i="7"/>
  <c r="E2105" i="7" s="1"/>
  <c r="E850" i="10"/>
  <c r="I1026" i="10"/>
  <c r="K2280" i="7"/>
  <c r="K1026" i="10" s="1"/>
  <c r="J2280" i="7"/>
  <c r="J1026" i="10" s="1"/>
  <c r="L2280" i="7"/>
  <c r="L1026" i="10" s="1"/>
  <c r="P1026" i="10" s="1"/>
  <c r="J1026" i="7"/>
  <c r="J310" i="11" s="1"/>
  <c r="K1026" i="7"/>
  <c r="K310" i="11" s="1"/>
  <c r="J131" i="7"/>
  <c r="J131" i="10" s="1"/>
  <c r="K131" i="7"/>
  <c r="K131" i="10" s="1"/>
  <c r="J489" i="7"/>
  <c r="J489" i="10" s="1"/>
  <c r="K489" i="7"/>
  <c r="K489" i="10" s="1"/>
  <c r="J310" i="7"/>
  <c r="J310" i="10" s="1"/>
  <c r="K310" i="7"/>
  <c r="K310" i="10" s="1"/>
  <c r="J1742" i="7"/>
  <c r="J1026" i="11" s="1"/>
  <c r="K1742" i="7"/>
  <c r="K1026" i="11" s="1"/>
  <c r="J847" i="7"/>
  <c r="J131" i="11" s="1"/>
  <c r="K847" i="7"/>
  <c r="K131" i="11" s="1"/>
  <c r="J1384" i="7"/>
  <c r="J668" i="11" s="1"/>
  <c r="K1384" i="7"/>
  <c r="K668" i="11" s="1"/>
  <c r="J1563" i="7"/>
  <c r="J847" i="11" s="1"/>
  <c r="K1563" i="7"/>
  <c r="K847" i="11" s="1"/>
  <c r="J668" i="7"/>
  <c r="J668" i="10" s="1"/>
  <c r="K668" i="7"/>
  <c r="K668" i="10" s="1"/>
  <c r="J1205" i="7"/>
  <c r="J489" i="11" s="1"/>
  <c r="K1205" i="7"/>
  <c r="K489" i="11" s="1"/>
  <c r="I489" i="10"/>
  <c r="I668" i="10"/>
  <c r="I310" i="10"/>
  <c r="E311" i="11"/>
  <c r="I131" i="10"/>
  <c r="E848" i="11"/>
  <c r="E490" i="11"/>
  <c r="E1027" i="11"/>
  <c r="H2281" i="7" l="1"/>
  <c r="E2282" i="7" s="1"/>
  <c r="E1027" i="10"/>
  <c r="I850" i="10"/>
  <c r="L2104" i="7"/>
  <c r="L850" i="10" s="1"/>
  <c r="P850" i="10" s="1"/>
  <c r="J2104" i="7"/>
  <c r="J850" i="10" s="1"/>
  <c r="K2104" i="7"/>
  <c r="K850" i="10" s="1"/>
  <c r="L1026" i="7"/>
  <c r="L310" i="11" s="1"/>
  <c r="P310" i="11" s="1"/>
  <c r="L131" i="7"/>
  <c r="L131" i="10" s="1"/>
  <c r="P131" i="10" s="1"/>
  <c r="L310" i="7"/>
  <c r="L310" i="10" s="1"/>
  <c r="P310" i="10" s="1"/>
  <c r="L1563" i="7"/>
  <c r="L847" i="11" s="1"/>
  <c r="P847" i="11" s="1"/>
  <c r="L668" i="7"/>
  <c r="L668" i="10" s="1"/>
  <c r="P668" i="10" s="1"/>
  <c r="L1742" i="7"/>
  <c r="L1026" i="11" s="1"/>
  <c r="P1026" i="11" s="1"/>
  <c r="L1384" i="7"/>
  <c r="L668" i="11" s="1"/>
  <c r="P668" i="11" s="1"/>
  <c r="L1205" i="7"/>
  <c r="L489" i="11" s="1"/>
  <c r="P489" i="11" s="1"/>
  <c r="L489" i="7"/>
  <c r="L489" i="10" s="1"/>
  <c r="P489" i="10" s="1"/>
  <c r="L847" i="7"/>
  <c r="L131" i="11" s="1"/>
  <c r="P131" i="11" s="1"/>
  <c r="H1743" i="7"/>
  <c r="E1744" i="7" s="1"/>
  <c r="H1206" i="7"/>
  <c r="E1207" i="7" s="1"/>
  <c r="H1564" i="7"/>
  <c r="E1565" i="7" s="1"/>
  <c r="H132" i="7"/>
  <c r="E133" i="7" s="1"/>
  <c r="E132" i="10"/>
  <c r="H848" i="7"/>
  <c r="E849" i="7" s="1"/>
  <c r="H1027" i="7"/>
  <c r="E1028" i="7" s="1"/>
  <c r="H311" i="7"/>
  <c r="E312" i="7" s="1"/>
  <c r="E311" i="10"/>
  <c r="H669" i="7"/>
  <c r="E670" i="7" s="1"/>
  <c r="E669" i="10"/>
  <c r="H1385" i="7"/>
  <c r="E1386" i="7" s="1"/>
  <c r="H490" i="7"/>
  <c r="E491" i="7" s="1"/>
  <c r="E490" i="10"/>
  <c r="I311" i="11" l="1"/>
  <c r="I132" i="11"/>
  <c r="I848" i="11"/>
  <c r="I490" i="11"/>
  <c r="I1027" i="11"/>
  <c r="I669" i="11"/>
  <c r="E670" i="11"/>
  <c r="H2105" i="7"/>
  <c r="E2106" i="7" s="1"/>
  <c r="E851" i="10"/>
  <c r="I1027" i="10"/>
  <c r="J2281" i="7"/>
  <c r="J1027" i="10" s="1"/>
  <c r="K2281" i="7"/>
  <c r="K1027" i="10" s="1"/>
  <c r="L2281" i="7"/>
  <c r="L1027" i="10" s="1"/>
  <c r="P1027" i="10" s="1"/>
  <c r="J1743" i="7"/>
  <c r="J1027" i="11" s="1"/>
  <c r="K1743" i="7"/>
  <c r="K1027" i="11" s="1"/>
  <c r="J1027" i="7"/>
  <c r="J311" i="11" s="1"/>
  <c r="K1027" i="7"/>
  <c r="K311" i="11" s="1"/>
  <c r="J490" i="7"/>
  <c r="J490" i="10" s="1"/>
  <c r="K490" i="7"/>
  <c r="K490" i="10" s="1"/>
  <c r="J311" i="7"/>
  <c r="J311" i="10" s="1"/>
  <c r="K311" i="7"/>
  <c r="K311" i="10" s="1"/>
  <c r="J848" i="7"/>
  <c r="J132" i="11" s="1"/>
  <c r="K848" i="7"/>
  <c r="K132" i="11" s="1"/>
  <c r="J132" i="7"/>
  <c r="J132" i="10" s="1"/>
  <c r="K132" i="7"/>
  <c r="K132" i="10" s="1"/>
  <c r="J1385" i="7"/>
  <c r="J669" i="11" s="1"/>
  <c r="K1385" i="7"/>
  <c r="K669" i="11" s="1"/>
  <c r="J1564" i="7"/>
  <c r="J848" i="11" s="1"/>
  <c r="K1564" i="7"/>
  <c r="K848" i="11" s="1"/>
  <c r="J669" i="7"/>
  <c r="J669" i="10" s="1"/>
  <c r="K669" i="7"/>
  <c r="K669" i="10" s="1"/>
  <c r="J1206" i="7"/>
  <c r="J490" i="11" s="1"/>
  <c r="K1206" i="7"/>
  <c r="K490" i="11" s="1"/>
  <c r="I490" i="10"/>
  <c r="I669" i="10"/>
  <c r="I311" i="10"/>
  <c r="E312" i="11"/>
  <c r="E133" i="11"/>
  <c r="I132" i="10"/>
  <c r="E849" i="11"/>
  <c r="E491" i="11"/>
  <c r="E1028" i="11"/>
  <c r="H2282" i="7" l="1"/>
  <c r="E2283" i="7" s="1"/>
  <c r="E1028" i="10"/>
  <c r="I851" i="10"/>
  <c r="L2105" i="7"/>
  <c r="L851" i="10" s="1"/>
  <c r="P851" i="10" s="1"/>
  <c r="J2105" i="7"/>
  <c r="J851" i="10" s="1"/>
  <c r="K2105" i="7"/>
  <c r="K851" i="10" s="1"/>
  <c r="L1027" i="7"/>
  <c r="L311" i="11" s="1"/>
  <c r="P311" i="11" s="1"/>
  <c r="L132" i="7"/>
  <c r="L132" i="10" s="1"/>
  <c r="P132" i="10" s="1"/>
  <c r="L311" i="7"/>
  <c r="L311" i="10" s="1"/>
  <c r="P311" i="10" s="1"/>
  <c r="L669" i="7"/>
  <c r="L669" i="10" s="1"/>
  <c r="P669" i="10" s="1"/>
  <c r="L1385" i="7"/>
  <c r="L669" i="11" s="1"/>
  <c r="P669" i="11" s="1"/>
  <c r="L1206" i="7"/>
  <c r="L490" i="11" s="1"/>
  <c r="P490" i="11" s="1"/>
  <c r="L1743" i="7"/>
  <c r="L1027" i="11" s="1"/>
  <c r="P1027" i="11" s="1"/>
  <c r="L848" i="7"/>
  <c r="L132" i="11" s="1"/>
  <c r="P132" i="11" s="1"/>
  <c r="L490" i="7"/>
  <c r="L490" i="10" s="1"/>
  <c r="P490" i="10" s="1"/>
  <c r="L1564" i="7"/>
  <c r="L848" i="11" s="1"/>
  <c r="P848" i="11" s="1"/>
  <c r="H1744" i="7"/>
  <c r="E1745" i="7" s="1"/>
  <c r="H1207" i="7"/>
  <c r="E1208" i="7" s="1"/>
  <c r="H1565" i="7"/>
  <c r="E1566" i="7" s="1"/>
  <c r="H133" i="7"/>
  <c r="E134" i="7" s="1"/>
  <c r="E133" i="10"/>
  <c r="H849" i="7"/>
  <c r="E850" i="7" s="1"/>
  <c r="H1028" i="7"/>
  <c r="E1029" i="7" s="1"/>
  <c r="H312" i="7"/>
  <c r="E313" i="7" s="1"/>
  <c r="E312" i="10"/>
  <c r="H670" i="7"/>
  <c r="E671" i="7" s="1"/>
  <c r="E670" i="10"/>
  <c r="H1386" i="7"/>
  <c r="E1387" i="7" s="1"/>
  <c r="H491" i="7"/>
  <c r="E492" i="7" s="1"/>
  <c r="E491" i="10"/>
  <c r="I312" i="11" l="1"/>
  <c r="E313" i="11"/>
  <c r="I670" i="11"/>
  <c r="I133" i="11"/>
  <c r="I849" i="11"/>
  <c r="I491" i="11"/>
  <c r="I1028" i="11"/>
  <c r="E1029" i="11"/>
  <c r="H2106" i="7"/>
  <c r="E2107" i="7" s="1"/>
  <c r="E852" i="10"/>
  <c r="I1028" i="10"/>
  <c r="K2282" i="7"/>
  <c r="K1028" i="10" s="1"/>
  <c r="J2282" i="7"/>
  <c r="J1028" i="10" s="1"/>
  <c r="L2282" i="7"/>
  <c r="L1028" i="10" s="1"/>
  <c r="P1028" i="10" s="1"/>
  <c r="J1744" i="7"/>
  <c r="J1028" i="11" s="1"/>
  <c r="K1744" i="7"/>
  <c r="K1028" i="11" s="1"/>
  <c r="J491" i="7"/>
  <c r="J491" i="10" s="1"/>
  <c r="K491" i="7"/>
  <c r="K491" i="10" s="1"/>
  <c r="J133" i="7"/>
  <c r="J133" i="10" s="1"/>
  <c r="K133" i="7"/>
  <c r="K133" i="10" s="1"/>
  <c r="J1386" i="7"/>
  <c r="J670" i="11" s="1"/>
  <c r="K1386" i="7"/>
  <c r="K670" i="11" s="1"/>
  <c r="J1028" i="7"/>
  <c r="J312" i="11" s="1"/>
  <c r="K1028" i="7"/>
  <c r="K312" i="11" s="1"/>
  <c r="J849" i="7"/>
  <c r="J133" i="11" s="1"/>
  <c r="K849" i="7"/>
  <c r="K133" i="11" s="1"/>
  <c r="J312" i="7"/>
  <c r="J312" i="10" s="1"/>
  <c r="K312" i="7"/>
  <c r="K312" i="10" s="1"/>
  <c r="J1565" i="7"/>
  <c r="J849" i="11" s="1"/>
  <c r="K1565" i="7"/>
  <c r="K849" i="11" s="1"/>
  <c r="J670" i="7"/>
  <c r="J670" i="10" s="1"/>
  <c r="K670" i="7"/>
  <c r="K670" i="10" s="1"/>
  <c r="J1207" i="7"/>
  <c r="J491" i="11" s="1"/>
  <c r="K1207" i="7"/>
  <c r="K491" i="11" s="1"/>
  <c r="I491" i="10"/>
  <c r="E671" i="11"/>
  <c r="I670" i="10"/>
  <c r="I312" i="10"/>
  <c r="E134" i="11"/>
  <c r="I133" i="10"/>
  <c r="E850" i="11"/>
  <c r="E492" i="11"/>
  <c r="H2283" i="7" l="1"/>
  <c r="E2284" i="7" s="1"/>
  <c r="E1029" i="10"/>
  <c r="I852" i="10"/>
  <c r="K2106" i="7"/>
  <c r="K852" i="10" s="1"/>
  <c r="L2106" i="7"/>
  <c r="L852" i="10" s="1"/>
  <c r="P852" i="10" s="1"/>
  <c r="J2106" i="7"/>
  <c r="J852" i="10" s="1"/>
  <c r="L670" i="7"/>
  <c r="L670" i="10" s="1"/>
  <c r="P670" i="10" s="1"/>
  <c r="L1028" i="7"/>
  <c r="L312" i="11" s="1"/>
  <c r="P312" i="11" s="1"/>
  <c r="L133" i="7"/>
  <c r="L133" i="10" s="1"/>
  <c r="P133" i="10" s="1"/>
  <c r="L312" i="7"/>
  <c r="L312" i="10" s="1"/>
  <c r="P312" i="10" s="1"/>
  <c r="L1386" i="7"/>
  <c r="L670" i="11" s="1"/>
  <c r="P670" i="11" s="1"/>
  <c r="L491" i="7"/>
  <c r="L491" i="10" s="1"/>
  <c r="P491" i="10" s="1"/>
  <c r="L1744" i="7"/>
  <c r="L1028" i="11" s="1"/>
  <c r="P1028" i="11" s="1"/>
  <c r="L1207" i="7"/>
  <c r="L491" i="11" s="1"/>
  <c r="P491" i="11" s="1"/>
  <c r="L849" i="7"/>
  <c r="L133" i="11" s="1"/>
  <c r="P133" i="11" s="1"/>
  <c r="L1565" i="7"/>
  <c r="L849" i="11" s="1"/>
  <c r="P849" i="11" s="1"/>
  <c r="H1745" i="7"/>
  <c r="E1746" i="7" s="1"/>
  <c r="H1208" i="7"/>
  <c r="E1209" i="7" s="1"/>
  <c r="H1566" i="7"/>
  <c r="E1567" i="7" s="1"/>
  <c r="H134" i="7"/>
  <c r="E135" i="7" s="1"/>
  <c r="E134" i="10"/>
  <c r="H850" i="7"/>
  <c r="E851" i="7" s="1"/>
  <c r="H1029" i="7"/>
  <c r="E1030" i="7" s="1"/>
  <c r="H313" i="7"/>
  <c r="E314" i="7" s="1"/>
  <c r="E313" i="10"/>
  <c r="H671" i="7"/>
  <c r="E672" i="7" s="1"/>
  <c r="E671" i="10"/>
  <c r="H1387" i="7"/>
  <c r="E1388" i="7" s="1"/>
  <c r="H492" i="7"/>
  <c r="E493" i="7" s="1"/>
  <c r="E492" i="10"/>
  <c r="I671" i="11" l="1"/>
  <c r="I313" i="11"/>
  <c r="I134" i="11"/>
  <c r="I850" i="11"/>
  <c r="I492" i="11"/>
  <c r="I1029" i="11"/>
  <c r="H2107" i="7"/>
  <c r="E2108" i="7" s="1"/>
  <c r="E853" i="10"/>
  <c r="I1029" i="10"/>
  <c r="L2283" i="7"/>
  <c r="L1029" i="10" s="1"/>
  <c r="P1029" i="10" s="1"/>
  <c r="J2283" i="7"/>
  <c r="J1029" i="10" s="1"/>
  <c r="K2283" i="7"/>
  <c r="K1029" i="10" s="1"/>
  <c r="J1029" i="7"/>
  <c r="J313" i="11" s="1"/>
  <c r="K1029" i="7"/>
  <c r="K313" i="11" s="1"/>
  <c r="J492" i="7"/>
  <c r="J492" i="10" s="1"/>
  <c r="K492" i="7"/>
  <c r="K492" i="10" s="1"/>
  <c r="J134" i="7"/>
  <c r="J134" i="10" s="1"/>
  <c r="K134" i="7"/>
  <c r="K134" i="10" s="1"/>
  <c r="J1745" i="7"/>
  <c r="J1029" i="11" s="1"/>
  <c r="K1745" i="7"/>
  <c r="K1029" i="11" s="1"/>
  <c r="J313" i="7"/>
  <c r="J313" i="10" s="1"/>
  <c r="K313" i="7"/>
  <c r="K313" i="10" s="1"/>
  <c r="J850" i="7"/>
  <c r="J134" i="11" s="1"/>
  <c r="K850" i="7"/>
  <c r="K134" i="11" s="1"/>
  <c r="J1387" i="7"/>
  <c r="J671" i="11" s="1"/>
  <c r="K1387" i="7"/>
  <c r="K671" i="11" s="1"/>
  <c r="J1566" i="7"/>
  <c r="J850" i="11" s="1"/>
  <c r="K1566" i="7"/>
  <c r="K850" i="11" s="1"/>
  <c r="J671" i="7"/>
  <c r="J671" i="10" s="1"/>
  <c r="K671" i="7"/>
  <c r="K671" i="10" s="1"/>
  <c r="J1208" i="7"/>
  <c r="J492" i="11" s="1"/>
  <c r="K1208" i="7"/>
  <c r="K492" i="11" s="1"/>
  <c r="I492" i="10"/>
  <c r="E672" i="11"/>
  <c r="I671" i="10"/>
  <c r="I313" i="10"/>
  <c r="E314" i="11"/>
  <c r="E135" i="11"/>
  <c r="I134" i="10"/>
  <c r="E851" i="11"/>
  <c r="E493" i="11"/>
  <c r="E1030" i="11"/>
  <c r="H2284" i="7" l="1"/>
  <c r="E2285" i="7" s="1"/>
  <c r="E1030" i="10"/>
  <c r="I853" i="10"/>
  <c r="L2107" i="7"/>
  <c r="L853" i="10" s="1"/>
  <c r="P853" i="10" s="1"/>
  <c r="J2107" i="7"/>
  <c r="J853" i="10" s="1"/>
  <c r="K2107" i="7"/>
  <c r="K853" i="10" s="1"/>
  <c r="L1029" i="7"/>
  <c r="L313" i="11" s="1"/>
  <c r="P313" i="11" s="1"/>
  <c r="L134" i="7"/>
  <c r="L134" i="10" s="1"/>
  <c r="P134" i="10" s="1"/>
  <c r="L313" i="7"/>
  <c r="L313" i="10" s="1"/>
  <c r="P313" i="10" s="1"/>
  <c r="L671" i="7"/>
  <c r="L671" i="10" s="1"/>
  <c r="P671" i="10" s="1"/>
  <c r="L1208" i="7"/>
  <c r="L492" i="11" s="1"/>
  <c r="P492" i="11" s="1"/>
  <c r="L850" i="7"/>
  <c r="L134" i="11" s="1"/>
  <c r="P134" i="11" s="1"/>
  <c r="L1745" i="7"/>
  <c r="L1029" i="11" s="1"/>
  <c r="P1029" i="11" s="1"/>
  <c r="L1387" i="7"/>
  <c r="L671" i="11" s="1"/>
  <c r="P671" i="11" s="1"/>
  <c r="L1566" i="7"/>
  <c r="L850" i="11" s="1"/>
  <c r="P850" i="11" s="1"/>
  <c r="L492" i="7"/>
  <c r="L492" i="10" s="1"/>
  <c r="P492" i="10" s="1"/>
  <c r="H1746" i="7"/>
  <c r="E1747" i="7" s="1"/>
  <c r="H1209" i="7"/>
  <c r="E1210" i="7" s="1"/>
  <c r="H1567" i="7"/>
  <c r="E1568" i="7" s="1"/>
  <c r="H135" i="7"/>
  <c r="E136" i="7" s="1"/>
  <c r="E135" i="10"/>
  <c r="H851" i="7"/>
  <c r="E852" i="7" s="1"/>
  <c r="H1030" i="7"/>
  <c r="E1031" i="7" s="1"/>
  <c r="H314" i="7"/>
  <c r="E315" i="7" s="1"/>
  <c r="E314" i="10"/>
  <c r="H672" i="7"/>
  <c r="E673" i="7" s="1"/>
  <c r="E672" i="10"/>
  <c r="H1388" i="7"/>
  <c r="E1389" i="7" s="1"/>
  <c r="H493" i="7"/>
  <c r="E494" i="7" s="1"/>
  <c r="E493" i="10"/>
  <c r="I672" i="11" l="1"/>
  <c r="I314" i="11"/>
  <c r="E315" i="11"/>
  <c r="I135" i="11"/>
  <c r="I851" i="11"/>
  <c r="I493" i="11"/>
  <c r="I1030" i="11"/>
  <c r="E1031" i="11"/>
  <c r="H2108" i="7"/>
  <c r="E2109" i="7" s="1"/>
  <c r="E854" i="10"/>
  <c r="I1030" i="10"/>
  <c r="J2284" i="7"/>
  <c r="J1030" i="10" s="1"/>
  <c r="K2284" i="7"/>
  <c r="K1030" i="10" s="1"/>
  <c r="L2284" i="7"/>
  <c r="L1030" i="10" s="1"/>
  <c r="P1030" i="10" s="1"/>
  <c r="J314" i="7"/>
  <c r="J314" i="10" s="1"/>
  <c r="K314" i="7"/>
  <c r="K314" i="10" s="1"/>
  <c r="J1030" i="7"/>
  <c r="J314" i="11" s="1"/>
  <c r="K1030" i="7"/>
  <c r="K314" i="11" s="1"/>
  <c r="J493" i="7"/>
  <c r="J493" i="10" s="1"/>
  <c r="K493" i="7"/>
  <c r="K493" i="10" s="1"/>
  <c r="J135" i="7"/>
  <c r="J135" i="10" s="1"/>
  <c r="K135" i="7"/>
  <c r="K135" i="10" s="1"/>
  <c r="J1746" i="7"/>
  <c r="J1030" i="11" s="1"/>
  <c r="K1746" i="7"/>
  <c r="K1030" i="11" s="1"/>
  <c r="J851" i="7"/>
  <c r="J135" i="11" s="1"/>
  <c r="K851" i="7"/>
  <c r="K135" i="11" s="1"/>
  <c r="J1388" i="7"/>
  <c r="J672" i="11" s="1"/>
  <c r="K1388" i="7"/>
  <c r="K672" i="11" s="1"/>
  <c r="J1567" i="7"/>
  <c r="J851" i="11" s="1"/>
  <c r="K1567" i="7"/>
  <c r="K851" i="11" s="1"/>
  <c r="J672" i="7"/>
  <c r="J672" i="10" s="1"/>
  <c r="K672" i="7"/>
  <c r="K672" i="10" s="1"/>
  <c r="J1209" i="7"/>
  <c r="J493" i="11" s="1"/>
  <c r="K1209" i="7"/>
  <c r="K493" i="11" s="1"/>
  <c r="I493" i="10"/>
  <c r="E673" i="11"/>
  <c r="I672" i="10"/>
  <c r="I314" i="10"/>
  <c r="E136" i="11"/>
  <c r="I135" i="10"/>
  <c r="E852" i="11"/>
  <c r="E494" i="11"/>
  <c r="H2285" i="7" l="1"/>
  <c r="E2286" i="7" s="1"/>
  <c r="E1031" i="10"/>
  <c r="I854" i="10"/>
  <c r="K2108" i="7"/>
  <c r="K854" i="10" s="1"/>
  <c r="J2108" i="7"/>
  <c r="J854" i="10" s="1"/>
  <c r="L2108" i="7"/>
  <c r="L854" i="10" s="1"/>
  <c r="P854" i="10" s="1"/>
  <c r="L1030" i="7"/>
  <c r="L314" i="11" s="1"/>
  <c r="P314" i="11" s="1"/>
  <c r="L135" i="7"/>
  <c r="L135" i="10" s="1"/>
  <c r="P135" i="10" s="1"/>
  <c r="L314" i="7"/>
  <c r="L314" i="10" s="1"/>
  <c r="P314" i="10" s="1"/>
  <c r="L672" i="7"/>
  <c r="L672" i="10" s="1"/>
  <c r="P672" i="10" s="1"/>
  <c r="L1209" i="7"/>
  <c r="L493" i="11" s="1"/>
  <c r="P493" i="11" s="1"/>
  <c r="L1746" i="7"/>
  <c r="L1030" i="11" s="1"/>
  <c r="P1030" i="11" s="1"/>
  <c r="L1388" i="7"/>
  <c r="L672" i="11" s="1"/>
  <c r="P672" i="11" s="1"/>
  <c r="L851" i="7"/>
  <c r="L135" i="11" s="1"/>
  <c r="P135" i="11" s="1"/>
  <c r="L493" i="7"/>
  <c r="L493" i="10" s="1"/>
  <c r="P493" i="10" s="1"/>
  <c r="L1567" i="7"/>
  <c r="L851" i="11" s="1"/>
  <c r="P851" i="11" s="1"/>
  <c r="H1747" i="7"/>
  <c r="E1748" i="7" s="1"/>
  <c r="H1210" i="7"/>
  <c r="E1211" i="7" s="1"/>
  <c r="H1568" i="7"/>
  <c r="E1569" i="7" s="1"/>
  <c r="H136" i="7"/>
  <c r="E137" i="7" s="1"/>
  <c r="E136" i="10"/>
  <c r="H852" i="7"/>
  <c r="E853" i="7" s="1"/>
  <c r="H1031" i="7"/>
  <c r="E1032" i="7" s="1"/>
  <c r="H315" i="7"/>
  <c r="E316" i="7" s="1"/>
  <c r="E315" i="10"/>
  <c r="H673" i="7"/>
  <c r="E674" i="7" s="1"/>
  <c r="E673" i="10"/>
  <c r="H1389" i="7"/>
  <c r="E1390" i="7" s="1"/>
  <c r="H494" i="7"/>
  <c r="E495" i="7" s="1"/>
  <c r="E494" i="10"/>
  <c r="I136" i="11" l="1"/>
  <c r="E137" i="11"/>
  <c r="I852" i="11"/>
  <c r="E853" i="11"/>
  <c r="I673" i="11"/>
  <c r="I494" i="11"/>
  <c r="E495" i="11"/>
  <c r="I315" i="11"/>
  <c r="E316" i="11"/>
  <c r="I1031" i="11"/>
  <c r="E1032" i="11"/>
  <c r="H2109" i="7"/>
  <c r="E2110" i="7" s="1"/>
  <c r="E855" i="10"/>
  <c r="I1031" i="10"/>
  <c r="L2285" i="7"/>
  <c r="L1031" i="10" s="1"/>
  <c r="P1031" i="10" s="1"/>
  <c r="J2285" i="7"/>
  <c r="J1031" i="10" s="1"/>
  <c r="K2285" i="7"/>
  <c r="K1031" i="10" s="1"/>
  <c r="J1747" i="7"/>
  <c r="J1031" i="11" s="1"/>
  <c r="K1747" i="7"/>
  <c r="K1031" i="11" s="1"/>
  <c r="J1031" i="7"/>
  <c r="J315" i="11" s="1"/>
  <c r="K1031" i="7"/>
  <c r="K315" i="11" s="1"/>
  <c r="J852" i="7"/>
  <c r="J136" i="11" s="1"/>
  <c r="K852" i="7"/>
  <c r="K136" i="11" s="1"/>
  <c r="J1389" i="7"/>
  <c r="J673" i="11" s="1"/>
  <c r="K1389" i="7"/>
  <c r="K673" i="11" s="1"/>
  <c r="J1568" i="7"/>
  <c r="J852" i="11" s="1"/>
  <c r="K1568" i="7"/>
  <c r="K852" i="11" s="1"/>
  <c r="J136" i="7"/>
  <c r="J136" i="10" s="1"/>
  <c r="K136" i="7"/>
  <c r="K136" i="10" s="1"/>
  <c r="J315" i="7"/>
  <c r="J315" i="10" s="1"/>
  <c r="K315" i="7"/>
  <c r="K315" i="10" s="1"/>
  <c r="J494" i="7"/>
  <c r="J494" i="10" s="1"/>
  <c r="K494" i="7"/>
  <c r="K494" i="10" s="1"/>
  <c r="J673" i="7"/>
  <c r="J673" i="10" s="1"/>
  <c r="K673" i="7"/>
  <c r="K673" i="10" s="1"/>
  <c r="J1210" i="7"/>
  <c r="J494" i="11" s="1"/>
  <c r="K1210" i="7"/>
  <c r="K494" i="11" s="1"/>
  <c r="I494" i="10"/>
  <c r="E674" i="11"/>
  <c r="I673" i="10"/>
  <c r="I315" i="10"/>
  <c r="I136" i="10"/>
  <c r="H2286" i="7" l="1"/>
  <c r="E2287" i="7" s="1"/>
  <c r="E1032" i="10"/>
  <c r="I855" i="10"/>
  <c r="K2109" i="7"/>
  <c r="K855" i="10" s="1"/>
  <c r="L2109" i="7"/>
  <c r="L855" i="10" s="1"/>
  <c r="P855" i="10" s="1"/>
  <c r="J2109" i="7"/>
  <c r="J855" i="10" s="1"/>
  <c r="L1031" i="7"/>
  <c r="L315" i="11" s="1"/>
  <c r="P315" i="11" s="1"/>
  <c r="L136" i="7"/>
  <c r="L136" i="10" s="1"/>
  <c r="P136" i="10" s="1"/>
  <c r="L315" i="7"/>
  <c r="L315" i="10" s="1"/>
  <c r="P315" i="10" s="1"/>
  <c r="L673" i="7"/>
  <c r="L673" i="10" s="1"/>
  <c r="P673" i="10" s="1"/>
  <c r="L1747" i="7"/>
  <c r="L1031" i="11" s="1"/>
  <c r="P1031" i="11" s="1"/>
  <c r="L1389" i="7"/>
  <c r="L673" i="11" s="1"/>
  <c r="P673" i="11" s="1"/>
  <c r="L1210" i="7"/>
  <c r="L494" i="11" s="1"/>
  <c r="P494" i="11" s="1"/>
  <c r="L852" i="7"/>
  <c r="L136" i="11" s="1"/>
  <c r="P136" i="11" s="1"/>
  <c r="L494" i="7"/>
  <c r="L494" i="10" s="1"/>
  <c r="P494" i="10" s="1"/>
  <c r="L1568" i="7"/>
  <c r="L852" i="11" s="1"/>
  <c r="P852" i="11" s="1"/>
  <c r="H1748" i="7"/>
  <c r="E1749" i="7" s="1"/>
  <c r="H1211" i="7"/>
  <c r="E1212" i="7" s="1"/>
  <c r="H1569" i="7"/>
  <c r="E1570" i="7" s="1"/>
  <c r="H137" i="7"/>
  <c r="E138" i="7" s="1"/>
  <c r="E137" i="10"/>
  <c r="H853" i="7"/>
  <c r="E854" i="7" s="1"/>
  <c r="H1032" i="7"/>
  <c r="E1033" i="7" s="1"/>
  <c r="H316" i="7"/>
  <c r="E317" i="7" s="1"/>
  <c r="E316" i="10"/>
  <c r="H674" i="7"/>
  <c r="E675" i="7" s="1"/>
  <c r="E674" i="10"/>
  <c r="H1390" i="7"/>
  <c r="E1391" i="7" s="1"/>
  <c r="H495" i="7"/>
  <c r="E496" i="7" s="1"/>
  <c r="E495" i="10"/>
  <c r="I853" i="11" l="1"/>
  <c r="I316" i="11"/>
  <c r="I137" i="11"/>
  <c r="I495" i="11"/>
  <c r="I1032" i="11"/>
  <c r="I674" i="11"/>
  <c r="E675" i="11"/>
  <c r="H2110" i="7"/>
  <c r="E2111" i="7" s="1"/>
  <c r="E856" i="10"/>
  <c r="I1032" i="10"/>
  <c r="J2286" i="7"/>
  <c r="J1032" i="10" s="1"/>
  <c r="K2286" i="7"/>
  <c r="K1032" i="10" s="1"/>
  <c r="L2286" i="7"/>
  <c r="L1032" i="10" s="1"/>
  <c r="P1032" i="10" s="1"/>
  <c r="J316" i="7"/>
  <c r="J316" i="10" s="1"/>
  <c r="K316" i="7"/>
  <c r="K316" i="10" s="1"/>
  <c r="J495" i="7"/>
  <c r="J495" i="10" s="1"/>
  <c r="K495" i="7"/>
  <c r="K495" i="10" s="1"/>
  <c r="J1748" i="7"/>
  <c r="J1032" i="11" s="1"/>
  <c r="K1748" i="7"/>
  <c r="K1032" i="11" s="1"/>
  <c r="J1032" i="7"/>
  <c r="J316" i="11" s="1"/>
  <c r="K1032" i="7"/>
  <c r="K316" i="11" s="1"/>
  <c r="J853" i="7"/>
  <c r="J137" i="11" s="1"/>
  <c r="K853" i="7"/>
  <c r="K137" i="11" s="1"/>
  <c r="J137" i="7"/>
  <c r="J137" i="10" s="1"/>
  <c r="K137" i="7"/>
  <c r="K137" i="10" s="1"/>
  <c r="J1390" i="7"/>
  <c r="J674" i="11" s="1"/>
  <c r="K1390" i="7"/>
  <c r="K674" i="11" s="1"/>
  <c r="J1569" i="7"/>
  <c r="J853" i="11" s="1"/>
  <c r="K1569" i="7"/>
  <c r="K853" i="11" s="1"/>
  <c r="J674" i="7"/>
  <c r="J674" i="10" s="1"/>
  <c r="K674" i="7"/>
  <c r="K674" i="10" s="1"/>
  <c r="J1211" i="7"/>
  <c r="J495" i="11" s="1"/>
  <c r="K1211" i="7"/>
  <c r="K495" i="11" s="1"/>
  <c r="I495" i="10"/>
  <c r="I674" i="10"/>
  <c r="I316" i="10"/>
  <c r="E317" i="11"/>
  <c r="E138" i="11"/>
  <c r="I137" i="10"/>
  <c r="E854" i="11"/>
  <c r="E496" i="11"/>
  <c r="E1033" i="11"/>
  <c r="H2287" i="7" l="1"/>
  <c r="E2288" i="7" s="1"/>
  <c r="E1033" i="10"/>
  <c r="I856" i="10"/>
  <c r="L2110" i="7"/>
  <c r="L856" i="10" s="1"/>
  <c r="P856" i="10" s="1"/>
  <c r="K2110" i="7"/>
  <c r="K856" i="10" s="1"/>
  <c r="J2110" i="7"/>
  <c r="J856" i="10" s="1"/>
  <c r="L1032" i="7"/>
  <c r="L316" i="11" s="1"/>
  <c r="P316" i="11" s="1"/>
  <c r="L316" i="7"/>
  <c r="L316" i="10" s="1"/>
  <c r="P316" i="10" s="1"/>
  <c r="L137" i="7"/>
  <c r="L137" i="10" s="1"/>
  <c r="P137" i="10" s="1"/>
  <c r="L674" i="7"/>
  <c r="L674" i="10" s="1"/>
  <c r="P674" i="10" s="1"/>
  <c r="L1211" i="7"/>
  <c r="L495" i="11" s="1"/>
  <c r="P495" i="11" s="1"/>
  <c r="L1748" i="7"/>
  <c r="L1032" i="11" s="1"/>
  <c r="P1032" i="11" s="1"/>
  <c r="L1390" i="7"/>
  <c r="L674" i="11" s="1"/>
  <c r="P674" i="11" s="1"/>
  <c r="L853" i="7"/>
  <c r="L137" i="11" s="1"/>
  <c r="P137" i="11" s="1"/>
  <c r="L495" i="7"/>
  <c r="L495" i="10" s="1"/>
  <c r="P495" i="10" s="1"/>
  <c r="L1569" i="7"/>
  <c r="L853" i="11" s="1"/>
  <c r="P853" i="11" s="1"/>
  <c r="H1749" i="7"/>
  <c r="E1750" i="7" s="1"/>
  <c r="H1212" i="7"/>
  <c r="E1213" i="7" s="1"/>
  <c r="H1570" i="7"/>
  <c r="E1571" i="7" s="1"/>
  <c r="H138" i="7"/>
  <c r="E139" i="7" s="1"/>
  <c r="E138" i="10"/>
  <c r="H854" i="7"/>
  <c r="E855" i="7" s="1"/>
  <c r="H1033" i="7"/>
  <c r="E1034" i="7" s="1"/>
  <c r="H317" i="7"/>
  <c r="E318" i="7" s="1"/>
  <c r="E317" i="10"/>
  <c r="H675" i="7"/>
  <c r="E676" i="7" s="1"/>
  <c r="E675" i="10"/>
  <c r="H1391" i="7"/>
  <c r="E1392" i="7" s="1"/>
  <c r="H496" i="7"/>
  <c r="E497" i="7" s="1"/>
  <c r="E496" i="10"/>
  <c r="I675" i="11" l="1"/>
  <c r="I317" i="11"/>
  <c r="E318" i="11"/>
  <c r="I854" i="11"/>
  <c r="I138" i="11"/>
  <c r="I496" i="11"/>
  <c r="E497" i="11"/>
  <c r="I1033" i="11"/>
  <c r="E1034" i="11"/>
  <c r="H2111" i="7"/>
  <c r="E2112" i="7" s="1"/>
  <c r="E857" i="10"/>
  <c r="I1033" i="10"/>
  <c r="L2287" i="7"/>
  <c r="L1033" i="10" s="1"/>
  <c r="P1033" i="10" s="1"/>
  <c r="K2287" i="7"/>
  <c r="K1033" i="10" s="1"/>
  <c r="J2287" i="7"/>
  <c r="J1033" i="10" s="1"/>
  <c r="J1033" i="7"/>
  <c r="J317" i="11" s="1"/>
  <c r="K1033" i="7"/>
  <c r="K317" i="11" s="1"/>
  <c r="J138" i="7"/>
  <c r="J138" i="10" s="1"/>
  <c r="K138" i="7"/>
  <c r="K138" i="10" s="1"/>
  <c r="J1749" i="7"/>
  <c r="J1033" i="11" s="1"/>
  <c r="K1749" i="7"/>
  <c r="K1033" i="11" s="1"/>
  <c r="J854" i="7"/>
  <c r="J138" i="11" s="1"/>
  <c r="K854" i="7"/>
  <c r="K138" i="11" s="1"/>
  <c r="J317" i="7"/>
  <c r="J317" i="10" s="1"/>
  <c r="K317" i="7"/>
  <c r="K317" i="10" s="1"/>
  <c r="J496" i="7"/>
  <c r="J496" i="10" s="1"/>
  <c r="K496" i="7"/>
  <c r="K496" i="10" s="1"/>
  <c r="J1391" i="7"/>
  <c r="J675" i="11" s="1"/>
  <c r="K1391" i="7"/>
  <c r="K675" i="11" s="1"/>
  <c r="J1570" i="7"/>
  <c r="J854" i="11" s="1"/>
  <c r="K1570" i="7"/>
  <c r="K854" i="11" s="1"/>
  <c r="J675" i="7"/>
  <c r="J675" i="10" s="1"/>
  <c r="K675" i="7"/>
  <c r="K675" i="10" s="1"/>
  <c r="J1212" i="7"/>
  <c r="J496" i="11" s="1"/>
  <c r="K1212" i="7"/>
  <c r="K496" i="11" s="1"/>
  <c r="I496" i="10"/>
  <c r="E676" i="11"/>
  <c r="I675" i="10"/>
  <c r="I317" i="10"/>
  <c r="E139" i="11"/>
  <c r="I138" i="10"/>
  <c r="E855" i="11"/>
  <c r="H2288" i="7" l="1"/>
  <c r="E2289" i="7" s="1"/>
  <c r="E1034" i="10"/>
  <c r="I857" i="10"/>
  <c r="K2111" i="7"/>
  <c r="K857" i="10" s="1"/>
  <c r="L2111" i="7"/>
  <c r="L857" i="10" s="1"/>
  <c r="P857" i="10" s="1"/>
  <c r="J2111" i="7"/>
  <c r="J857" i="10" s="1"/>
  <c r="L1033" i="7"/>
  <c r="L317" i="11" s="1"/>
  <c r="P317" i="11" s="1"/>
  <c r="L138" i="7"/>
  <c r="L138" i="10" s="1"/>
  <c r="P138" i="10" s="1"/>
  <c r="L317" i="7"/>
  <c r="L317" i="10" s="1"/>
  <c r="P317" i="10" s="1"/>
  <c r="L1749" i="7"/>
  <c r="L1033" i="11" s="1"/>
  <c r="P1033" i="11" s="1"/>
  <c r="L1212" i="7"/>
  <c r="L496" i="11" s="1"/>
  <c r="P496" i="11" s="1"/>
  <c r="L496" i="7"/>
  <c r="L496" i="10" s="1"/>
  <c r="P496" i="10" s="1"/>
  <c r="L854" i="7"/>
  <c r="L138" i="11" s="1"/>
  <c r="P138" i="11" s="1"/>
  <c r="L675" i="7"/>
  <c r="L675" i="10" s="1"/>
  <c r="P675" i="10" s="1"/>
  <c r="L1391" i="7"/>
  <c r="L675" i="11" s="1"/>
  <c r="P675" i="11" s="1"/>
  <c r="L1570" i="7"/>
  <c r="L854" i="11" s="1"/>
  <c r="P854" i="11" s="1"/>
  <c r="H1750" i="7"/>
  <c r="E1751" i="7" s="1"/>
  <c r="H1213" i="7"/>
  <c r="E1214" i="7" s="1"/>
  <c r="H1571" i="7"/>
  <c r="E1572" i="7" s="1"/>
  <c r="H139" i="7"/>
  <c r="E140" i="7" s="1"/>
  <c r="E139" i="10"/>
  <c r="H855" i="7"/>
  <c r="E856" i="7" s="1"/>
  <c r="H1034" i="7"/>
  <c r="E1035" i="7" s="1"/>
  <c r="H318" i="7"/>
  <c r="E319" i="7" s="1"/>
  <c r="E318" i="10"/>
  <c r="H676" i="7"/>
  <c r="E677" i="7" s="1"/>
  <c r="E676" i="10"/>
  <c r="H1392" i="7"/>
  <c r="E1393" i="7" s="1"/>
  <c r="H497" i="7"/>
  <c r="E498" i="7" s="1"/>
  <c r="E497" i="10"/>
  <c r="I318" i="11" l="1"/>
  <c r="I139" i="11"/>
  <c r="E140" i="11"/>
  <c r="I855" i="11"/>
  <c r="I497" i="11"/>
  <c r="I1034" i="11"/>
  <c r="I676" i="11"/>
  <c r="H2112" i="7"/>
  <c r="E2113" i="7" s="1"/>
  <c r="E858" i="10"/>
  <c r="I1034" i="10"/>
  <c r="L2288" i="7"/>
  <c r="L1034" i="10" s="1"/>
  <c r="P1034" i="10" s="1"/>
  <c r="K2288" i="7"/>
  <c r="K1034" i="10" s="1"/>
  <c r="J2288" i="7"/>
  <c r="J1034" i="10" s="1"/>
  <c r="J855" i="7"/>
  <c r="J139" i="11" s="1"/>
  <c r="K855" i="7"/>
  <c r="K139" i="11" s="1"/>
  <c r="J497" i="7"/>
  <c r="J497" i="10" s="1"/>
  <c r="K497" i="7"/>
  <c r="K497" i="10" s="1"/>
  <c r="J318" i="7"/>
  <c r="J318" i="10" s="1"/>
  <c r="K318" i="7"/>
  <c r="K318" i="10" s="1"/>
  <c r="J1750" i="7"/>
  <c r="J1034" i="11" s="1"/>
  <c r="K1750" i="7"/>
  <c r="K1034" i="11" s="1"/>
  <c r="J1034" i="7"/>
  <c r="J318" i="11" s="1"/>
  <c r="K1034" i="7"/>
  <c r="K318" i="11" s="1"/>
  <c r="J139" i="7"/>
  <c r="J139" i="10" s="1"/>
  <c r="K139" i="7"/>
  <c r="K139" i="10" s="1"/>
  <c r="J1392" i="7"/>
  <c r="J676" i="11" s="1"/>
  <c r="K1392" i="7"/>
  <c r="K676" i="11" s="1"/>
  <c r="J1571" i="7"/>
  <c r="J855" i="11" s="1"/>
  <c r="K1571" i="7"/>
  <c r="K855" i="11" s="1"/>
  <c r="J676" i="7"/>
  <c r="J676" i="10" s="1"/>
  <c r="K676" i="7"/>
  <c r="K676" i="10" s="1"/>
  <c r="J1213" i="7"/>
  <c r="J497" i="11" s="1"/>
  <c r="K1213" i="7"/>
  <c r="K497" i="11" s="1"/>
  <c r="I497" i="10"/>
  <c r="E677" i="11"/>
  <c r="I676" i="10"/>
  <c r="I318" i="10"/>
  <c r="E319" i="11"/>
  <c r="I139" i="10"/>
  <c r="E856" i="11"/>
  <c r="E498" i="11"/>
  <c r="E1035" i="11"/>
  <c r="H2289" i="7" l="1"/>
  <c r="E2290" i="7" s="1"/>
  <c r="E1035" i="10"/>
  <c r="I858" i="10"/>
  <c r="K2112" i="7"/>
  <c r="K858" i="10" s="1"/>
  <c r="L2112" i="7"/>
  <c r="L858" i="10" s="1"/>
  <c r="P858" i="10" s="1"/>
  <c r="J2112" i="7"/>
  <c r="J858" i="10" s="1"/>
  <c r="L1034" i="7"/>
  <c r="L318" i="11" s="1"/>
  <c r="P318" i="11" s="1"/>
  <c r="L139" i="7"/>
  <c r="L139" i="10" s="1"/>
  <c r="P139" i="10" s="1"/>
  <c r="L318" i="7"/>
  <c r="L318" i="10" s="1"/>
  <c r="P318" i="10" s="1"/>
  <c r="L1392" i="7"/>
  <c r="L676" i="11" s="1"/>
  <c r="P676" i="11" s="1"/>
  <c r="L1213" i="7"/>
  <c r="L497" i="11" s="1"/>
  <c r="P497" i="11" s="1"/>
  <c r="L855" i="7"/>
  <c r="L139" i="11" s="1"/>
  <c r="P139" i="11" s="1"/>
  <c r="L1571" i="7"/>
  <c r="L855" i="11" s="1"/>
  <c r="P855" i="11" s="1"/>
  <c r="L1750" i="7"/>
  <c r="L1034" i="11" s="1"/>
  <c r="P1034" i="11" s="1"/>
  <c r="L676" i="7"/>
  <c r="L676" i="10" s="1"/>
  <c r="P676" i="10" s="1"/>
  <c r="L497" i="7"/>
  <c r="L497" i="10" s="1"/>
  <c r="P497" i="10" s="1"/>
  <c r="H1751" i="7"/>
  <c r="E1752" i="7" s="1"/>
  <c r="H1214" i="7"/>
  <c r="E1215" i="7" s="1"/>
  <c r="H1572" i="7"/>
  <c r="E1573" i="7" s="1"/>
  <c r="H140" i="7"/>
  <c r="E141" i="7" s="1"/>
  <c r="E140" i="10"/>
  <c r="H856" i="7"/>
  <c r="E857" i="7" s="1"/>
  <c r="H1035" i="7"/>
  <c r="E1036" i="7" s="1"/>
  <c r="H319" i="7"/>
  <c r="E320" i="7" s="1"/>
  <c r="E319" i="10"/>
  <c r="H677" i="7"/>
  <c r="E678" i="7" s="1"/>
  <c r="E677" i="10"/>
  <c r="H1393" i="7"/>
  <c r="E1394" i="7" s="1"/>
  <c r="H498" i="7"/>
  <c r="E499" i="7" s="1"/>
  <c r="E498" i="10"/>
  <c r="I140" i="11" l="1"/>
  <c r="E141" i="11"/>
  <c r="I856" i="11"/>
  <c r="E857" i="11"/>
  <c r="I319" i="11"/>
  <c r="I498" i="11"/>
  <c r="I1035" i="11"/>
  <c r="E1036" i="11"/>
  <c r="I677" i="11"/>
  <c r="H2113" i="7"/>
  <c r="E2114" i="7" s="1"/>
  <c r="E859" i="10"/>
  <c r="I1035" i="10"/>
  <c r="K2289" i="7"/>
  <c r="K1035" i="10" s="1"/>
  <c r="J2289" i="7"/>
  <c r="J1035" i="10" s="1"/>
  <c r="L2289" i="7"/>
  <c r="L1035" i="10" s="1"/>
  <c r="P1035" i="10" s="1"/>
  <c r="J1035" i="7"/>
  <c r="J319" i="11" s="1"/>
  <c r="K1035" i="7"/>
  <c r="K319" i="11" s="1"/>
  <c r="J1751" i="7"/>
  <c r="J1035" i="11" s="1"/>
  <c r="K1751" i="7"/>
  <c r="K1035" i="11" s="1"/>
  <c r="J319" i="7"/>
  <c r="J319" i="10" s="1"/>
  <c r="K319" i="7"/>
  <c r="K319" i="10" s="1"/>
  <c r="J1393" i="7"/>
  <c r="J677" i="11" s="1"/>
  <c r="K1393" i="7"/>
  <c r="K677" i="11" s="1"/>
  <c r="J1572" i="7"/>
  <c r="J856" i="11" s="1"/>
  <c r="K1572" i="7"/>
  <c r="K856" i="11" s="1"/>
  <c r="J856" i="7"/>
  <c r="J140" i="11" s="1"/>
  <c r="K856" i="7"/>
  <c r="K140" i="11" s="1"/>
  <c r="J498" i="7"/>
  <c r="J498" i="10" s="1"/>
  <c r="K498" i="7"/>
  <c r="K498" i="10" s="1"/>
  <c r="J140" i="7"/>
  <c r="J140" i="10" s="1"/>
  <c r="K140" i="7"/>
  <c r="K140" i="10" s="1"/>
  <c r="J677" i="7"/>
  <c r="J677" i="10" s="1"/>
  <c r="K677" i="7"/>
  <c r="K677" i="10" s="1"/>
  <c r="J1214" i="7"/>
  <c r="J498" i="11" s="1"/>
  <c r="K1214" i="7"/>
  <c r="K498" i="11" s="1"/>
  <c r="I498" i="10"/>
  <c r="E678" i="11"/>
  <c r="I677" i="10"/>
  <c r="I319" i="10"/>
  <c r="E320" i="11"/>
  <c r="I140" i="10"/>
  <c r="E499" i="11"/>
  <c r="H2290" i="7" l="1"/>
  <c r="E2291" i="7" s="1"/>
  <c r="E1036" i="10"/>
  <c r="I859" i="10"/>
  <c r="L2113" i="7"/>
  <c r="L859" i="10" s="1"/>
  <c r="P859" i="10" s="1"/>
  <c r="K2113" i="7"/>
  <c r="K859" i="10" s="1"/>
  <c r="J2113" i="7"/>
  <c r="J859" i="10" s="1"/>
  <c r="L1035" i="7"/>
  <c r="L319" i="11" s="1"/>
  <c r="P319" i="11" s="1"/>
  <c r="L140" i="7"/>
  <c r="L140" i="10" s="1"/>
  <c r="P140" i="10" s="1"/>
  <c r="L319" i="7"/>
  <c r="L319" i="10" s="1"/>
  <c r="P319" i="10" s="1"/>
  <c r="L677" i="7"/>
  <c r="L677" i="10" s="1"/>
  <c r="P677" i="10" s="1"/>
  <c r="L1393" i="7"/>
  <c r="L677" i="11" s="1"/>
  <c r="P677" i="11" s="1"/>
  <c r="L1214" i="7"/>
  <c r="L498" i="11" s="1"/>
  <c r="P498" i="11" s="1"/>
  <c r="L1751" i="7"/>
  <c r="L1035" i="11" s="1"/>
  <c r="P1035" i="11" s="1"/>
  <c r="L856" i="7"/>
  <c r="L140" i="11" s="1"/>
  <c r="P140" i="11" s="1"/>
  <c r="L498" i="7"/>
  <c r="L498" i="10" s="1"/>
  <c r="P498" i="10" s="1"/>
  <c r="L1572" i="7"/>
  <c r="L856" i="11" s="1"/>
  <c r="P856" i="11" s="1"/>
  <c r="H1752" i="7"/>
  <c r="E1753" i="7" s="1"/>
  <c r="H1215" i="7"/>
  <c r="E1216" i="7" s="1"/>
  <c r="H1573" i="7"/>
  <c r="E1574" i="7" s="1"/>
  <c r="H141" i="7"/>
  <c r="E142" i="7" s="1"/>
  <c r="E141" i="10"/>
  <c r="H857" i="7"/>
  <c r="E858" i="7" s="1"/>
  <c r="H1036" i="7"/>
  <c r="E1037" i="7" s="1"/>
  <c r="H320" i="7"/>
  <c r="E321" i="7" s="1"/>
  <c r="E320" i="10"/>
  <c r="H678" i="7"/>
  <c r="E679" i="7" s="1"/>
  <c r="E678" i="10"/>
  <c r="H1394" i="7"/>
  <c r="E1395" i="7" s="1"/>
  <c r="H499" i="7"/>
  <c r="E500" i="7" s="1"/>
  <c r="E499" i="10"/>
  <c r="I141" i="11" l="1"/>
  <c r="E142" i="11"/>
  <c r="I499" i="11"/>
  <c r="E500" i="11"/>
  <c r="I320" i="11"/>
  <c r="E321" i="11"/>
  <c r="I857" i="11"/>
  <c r="I1036" i="11"/>
  <c r="I678" i="11"/>
  <c r="E679" i="11"/>
  <c r="H2114" i="7"/>
  <c r="E2115" i="7" s="1"/>
  <c r="E860" i="10"/>
  <c r="I1036" i="10"/>
  <c r="J2290" i="7"/>
  <c r="J1036" i="10" s="1"/>
  <c r="K2290" i="7"/>
  <c r="K1036" i="10" s="1"/>
  <c r="L2290" i="7"/>
  <c r="L1036" i="10" s="1"/>
  <c r="P1036" i="10" s="1"/>
  <c r="J1036" i="7"/>
  <c r="J320" i="11" s="1"/>
  <c r="K1036" i="7"/>
  <c r="K320" i="11" s="1"/>
  <c r="J857" i="7"/>
  <c r="J141" i="11" s="1"/>
  <c r="K857" i="7"/>
  <c r="K141" i="11" s="1"/>
  <c r="J1394" i="7"/>
  <c r="J678" i="11" s="1"/>
  <c r="K1394" i="7"/>
  <c r="K678" i="11" s="1"/>
  <c r="J1573" i="7"/>
  <c r="J857" i="11" s="1"/>
  <c r="K1573" i="7"/>
  <c r="K857" i="11" s="1"/>
  <c r="J141" i="7"/>
  <c r="J141" i="10" s="1"/>
  <c r="K141" i="7"/>
  <c r="K141" i="10" s="1"/>
  <c r="J320" i="7"/>
  <c r="J320" i="10" s="1"/>
  <c r="K320" i="7"/>
  <c r="K320" i="10" s="1"/>
  <c r="J1752" i="7"/>
  <c r="J1036" i="11" s="1"/>
  <c r="K1752" i="7"/>
  <c r="K1036" i="11" s="1"/>
  <c r="J499" i="7"/>
  <c r="J499" i="10" s="1"/>
  <c r="K499" i="7"/>
  <c r="K499" i="10" s="1"/>
  <c r="J678" i="7"/>
  <c r="J678" i="10" s="1"/>
  <c r="K678" i="7"/>
  <c r="K678" i="10" s="1"/>
  <c r="J1215" i="7"/>
  <c r="J499" i="11" s="1"/>
  <c r="K1215" i="7"/>
  <c r="K499" i="11" s="1"/>
  <c r="I499" i="10"/>
  <c r="I678" i="10"/>
  <c r="I320" i="10"/>
  <c r="I141" i="10"/>
  <c r="E858" i="11"/>
  <c r="E1037" i="11"/>
  <c r="H2291" i="7" l="1"/>
  <c r="E2292" i="7" s="1"/>
  <c r="E1037" i="10"/>
  <c r="I860" i="10"/>
  <c r="K2114" i="7"/>
  <c r="K860" i="10" s="1"/>
  <c r="J2114" i="7"/>
  <c r="J860" i="10" s="1"/>
  <c r="L2114" i="7"/>
  <c r="L860" i="10" s="1"/>
  <c r="P860" i="10" s="1"/>
  <c r="L1036" i="7"/>
  <c r="L320" i="11" s="1"/>
  <c r="P320" i="11" s="1"/>
  <c r="L141" i="7"/>
  <c r="L141" i="10" s="1"/>
  <c r="P141" i="10" s="1"/>
  <c r="L320" i="7"/>
  <c r="L320" i="10" s="1"/>
  <c r="P320" i="10" s="1"/>
  <c r="L1573" i="7"/>
  <c r="L857" i="11" s="1"/>
  <c r="P857" i="11" s="1"/>
  <c r="L678" i="7"/>
  <c r="L678" i="10" s="1"/>
  <c r="P678" i="10" s="1"/>
  <c r="L1394" i="7"/>
  <c r="L678" i="11" s="1"/>
  <c r="P678" i="11" s="1"/>
  <c r="L857" i="7"/>
  <c r="L141" i="11" s="1"/>
  <c r="P141" i="11" s="1"/>
  <c r="L1752" i="7"/>
  <c r="L1036" i="11" s="1"/>
  <c r="P1036" i="11" s="1"/>
  <c r="L1215" i="7"/>
  <c r="L499" i="11" s="1"/>
  <c r="P499" i="11" s="1"/>
  <c r="L499" i="7"/>
  <c r="L499" i="10" s="1"/>
  <c r="P499" i="10" s="1"/>
  <c r="H1753" i="7"/>
  <c r="E1754" i="7" s="1"/>
  <c r="H1216" i="7"/>
  <c r="E1217" i="7" s="1"/>
  <c r="H1574" i="7"/>
  <c r="E1575" i="7" s="1"/>
  <c r="H142" i="7"/>
  <c r="E143" i="7" s="1"/>
  <c r="E142" i="10"/>
  <c r="H858" i="7"/>
  <c r="E859" i="7" s="1"/>
  <c r="H1037" i="7"/>
  <c r="E1038" i="7" s="1"/>
  <c r="H321" i="7"/>
  <c r="E322" i="7" s="1"/>
  <c r="E321" i="10"/>
  <c r="H679" i="7"/>
  <c r="E680" i="7" s="1"/>
  <c r="E679" i="10"/>
  <c r="H1395" i="7"/>
  <c r="E1396" i="7" s="1"/>
  <c r="H500" i="7"/>
  <c r="E501" i="7" s="1"/>
  <c r="E500" i="10"/>
  <c r="I679" i="11" l="1"/>
  <c r="I321" i="11"/>
  <c r="E322" i="11"/>
  <c r="I858" i="11"/>
  <c r="I500" i="11"/>
  <c r="I142" i="11"/>
  <c r="E143" i="11"/>
  <c r="I1037" i="11"/>
  <c r="E1038" i="11"/>
  <c r="H2115" i="7"/>
  <c r="E2116" i="7" s="1"/>
  <c r="E861" i="10"/>
  <c r="I1037" i="10"/>
  <c r="L2291" i="7"/>
  <c r="L1037" i="10" s="1"/>
  <c r="P1037" i="10" s="1"/>
  <c r="K2291" i="7"/>
  <c r="K1037" i="10" s="1"/>
  <c r="J2291" i="7"/>
  <c r="J1037" i="10" s="1"/>
  <c r="J1753" i="7"/>
  <c r="J1037" i="11" s="1"/>
  <c r="K1753" i="7"/>
  <c r="K1037" i="11" s="1"/>
  <c r="J142" i="7"/>
  <c r="J142" i="10" s="1"/>
  <c r="K142" i="7"/>
  <c r="K142" i="10" s="1"/>
  <c r="J1037" i="7"/>
  <c r="J321" i="11" s="1"/>
  <c r="K1037" i="7"/>
  <c r="K321" i="11" s="1"/>
  <c r="J858" i="7"/>
  <c r="J142" i="11" s="1"/>
  <c r="K858" i="7"/>
  <c r="K142" i="11" s="1"/>
  <c r="J500" i="7"/>
  <c r="J500" i="10" s="1"/>
  <c r="K500" i="7"/>
  <c r="K500" i="10" s="1"/>
  <c r="J1395" i="7"/>
  <c r="J679" i="11" s="1"/>
  <c r="K1395" i="7"/>
  <c r="K679" i="11" s="1"/>
  <c r="J321" i="7"/>
  <c r="J321" i="10" s="1"/>
  <c r="K321" i="7"/>
  <c r="K321" i="10" s="1"/>
  <c r="J1574" i="7"/>
  <c r="J858" i="11" s="1"/>
  <c r="K1574" i="7"/>
  <c r="K858" i="11" s="1"/>
  <c r="J679" i="7"/>
  <c r="J679" i="10" s="1"/>
  <c r="K679" i="7"/>
  <c r="K679" i="10" s="1"/>
  <c r="J1216" i="7"/>
  <c r="J500" i="11" s="1"/>
  <c r="K1216" i="7"/>
  <c r="K500" i="11" s="1"/>
  <c r="I500" i="10"/>
  <c r="E680" i="11"/>
  <c r="I679" i="10"/>
  <c r="I321" i="10"/>
  <c r="I142" i="10"/>
  <c r="E859" i="11"/>
  <c r="E501" i="11"/>
  <c r="H2292" i="7" l="1"/>
  <c r="E2293" i="7" s="1"/>
  <c r="E1038" i="10"/>
  <c r="I861" i="10"/>
  <c r="L2115" i="7"/>
  <c r="L861" i="10" s="1"/>
  <c r="P861" i="10" s="1"/>
  <c r="K2115" i="7"/>
  <c r="K861" i="10" s="1"/>
  <c r="J2115" i="7"/>
  <c r="J861" i="10" s="1"/>
  <c r="L1037" i="7"/>
  <c r="L321" i="11" s="1"/>
  <c r="P321" i="11" s="1"/>
  <c r="L679" i="7"/>
  <c r="L679" i="10" s="1"/>
  <c r="P679" i="10" s="1"/>
  <c r="L321" i="7"/>
  <c r="L321" i="10" s="1"/>
  <c r="P321" i="10" s="1"/>
  <c r="L142" i="7"/>
  <c r="L142" i="10" s="1"/>
  <c r="P142" i="10" s="1"/>
  <c r="L1395" i="7"/>
  <c r="L679" i="11" s="1"/>
  <c r="P679" i="11" s="1"/>
  <c r="L1753" i="7"/>
  <c r="L1037" i="11" s="1"/>
  <c r="P1037" i="11" s="1"/>
  <c r="L858" i="7"/>
  <c r="L142" i="11" s="1"/>
  <c r="P142" i="11" s="1"/>
  <c r="L1216" i="7"/>
  <c r="L500" i="11" s="1"/>
  <c r="P500" i="11" s="1"/>
  <c r="L500" i="7"/>
  <c r="L500" i="10" s="1"/>
  <c r="P500" i="10" s="1"/>
  <c r="L1574" i="7"/>
  <c r="L858" i="11" s="1"/>
  <c r="P858" i="11" s="1"/>
  <c r="H1754" i="7"/>
  <c r="E1755" i="7" s="1"/>
  <c r="H1217" i="7"/>
  <c r="E1218" i="7" s="1"/>
  <c r="H1575" i="7"/>
  <c r="E1576" i="7" s="1"/>
  <c r="H143" i="7"/>
  <c r="E144" i="7" s="1"/>
  <c r="E143" i="10"/>
  <c r="H859" i="7"/>
  <c r="E860" i="7" s="1"/>
  <c r="H1038" i="7"/>
  <c r="E1039" i="7" s="1"/>
  <c r="H322" i="7"/>
  <c r="E323" i="7" s="1"/>
  <c r="E322" i="10"/>
  <c r="H680" i="7"/>
  <c r="E681" i="7" s="1"/>
  <c r="E680" i="10"/>
  <c r="H1396" i="7"/>
  <c r="E1397" i="7" s="1"/>
  <c r="H501" i="7"/>
  <c r="E502" i="7" s="1"/>
  <c r="E501" i="10"/>
  <c r="I322" i="11" l="1"/>
  <c r="I143" i="11"/>
  <c r="I859" i="11"/>
  <c r="I501" i="11"/>
  <c r="I1038" i="11"/>
  <c r="E1039" i="11"/>
  <c r="I680" i="11"/>
  <c r="E681" i="11"/>
  <c r="H2116" i="7"/>
  <c r="E2117" i="7" s="1"/>
  <c r="E862" i="10"/>
  <c r="I1038" i="10"/>
  <c r="K2292" i="7"/>
  <c r="K1038" i="10" s="1"/>
  <c r="L2292" i="7"/>
  <c r="L1038" i="10" s="1"/>
  <c r="P1038" i="10" s="1"/>
  <c r="J2292" i="7"/>
  <c r="J1038" i="10" s="1"/>
  <c r="J322" i="7"/>
  <c r="J322" i="10" s="1"/>
  <c r="K322" i="7"/>
  <c r="K322" i="10" s="1"/>
  <c r="J1038" i="7"/>
  <c r="J322" i="11" s="1"/>
  <c r="K1038" i="7"/>
  <c r="K322" i="11" s="1"/>
  <c r="J1754" i="7"/>
  <c r="J1038" i="11" s="1"/>
  <c r="K1754" i="7"/>
  <c r="K1038" i="11" s="1"/>
  <c r="J501" i="7"/>
  <c r="J501" i="10" s="1"/>
  <c r="K501" i="7"/>
  <c r="K501" i="10" s="1"/>
  <c r="J143" i="7"/>
  <c r="J143" i="10" s="1"/>
  <c r="K143" i="7"/>
  <c r="K143" i="10" s="1"/>
  <c r="J1396" i="7"/>
  <c r="J680" i="11" s="1"/>
  <c r="K1396" i="7"/>
  <c r="K680" i="11" s="1"/>
  <c r="J859" i="7"/>
  <c r="J143" i="11" s="1"/>
  <c r="K859" i="7"/>
  <c r="K143" i="11" s="1"/>
  <c r="J1575" i="7"/>
  <c r="J859" i="11" s="1"/>
  <c r="K1575" i="7"/>
  <c r="K859" i="11" s="1"/>
  <c r="J680" i="7"/>
  <c r="J680" i="10" s="1"/>
  <c r="K680" i="7"/>
  <c r="K680" i="10" s="1"/>
  <c r="J1217" i="7"/>
  <c r="J501" i="11" s="1"/>
  <c r="K1217" i="7"/>
  <c r="K501" i="11" s="1"/>
  <c r="I501" i="10"/>
  <c r="I680" i="10"/>
  <c r="I322" i="10"/>
  <c r="E323" i="11"/>
  <c r="E144" i="11"/>
  <c r="I143" i="10"/>
  <c r="E860" i="11"/>
  <c r="E502" i="11"/>
  <c r="H2293" i="7" l="1"/>
  <c r="E2294" i="7" s="1"/>
  <c r="E1039" i="10"/>
  <c r="I862" i="10"/>
  <c r="K2116" i="7"/>
  <c r="K862" i="10" s="1"/>
  <c r="J2116" i="7"/>
  <c r="J862" i="10" s="1"/>
  <c r="L2116" i="7"/>
  <c r="L862" i="10" s="1"/>
  <c r="P862" i="10" s="1"/>
  <c r="L1038" i="7"/>
  <c r="L322" i="11" s="1"/>
  <c r="P322" i="11" s="1"/>
  <c r="L143" i="7"/>
  <c r="L143" i="10" s="1"/>
  <c r="P143" i="10" s="1"/>
  <c r="L322" i="7"/>
  <c r="L322" i="10" s="1"/>
  <c r="P322" i="10" s="1"/>
  <c r="L1575" i="7"/>
  <c r="L859" i="11" s="1"/>
  <c r="P859" i="11" s="1"/>
  <c r="L1396" i="7"/>
  <c r="L680" i="11" s="1"/>
  <c r="P680" i="11" s="1"/>
  <c r="L680" i="7"/>
  <c r="L680" i="10" s="1"/>
  <c r="P680" i="10" s="1"/>
  <c r="L1217" i="7"/>
  <c r="L501" i="11" s="1"/>
  <c r="P501" i="11" s="1"/>
  <c r="L1754" i="7"/>
  <c r="L1038" i="11" s="1"/>
  <c r="P1038" i="11" s="1"/>
  <c r="L859" i="7"/>
  <c r="L143" i="11" s="1"/>
  <c r="P143" i="11" s="1"/>
  <c r="L501" i="7"/>
  <c r="L501" i="10" s="1"/>
  <c r="P501" i="10" s="1"/>
  <c r="H1755" i="7"/>
  <c r="E1756" i="7" s="1"/>
  <c r="H1218" i="7"/>
  <c r="E1219" i="7" s="1"/>
  <c r="H1576" i="7"/>
  <c r="E1577" i="7" s="1"/>
  <c r="H144" i="7"/>
  <c r="E145" i="7" s="1"/>
  <c r="E144" i="10"/>
  <c r="H860" i="7"/>
  <c r="E861" i="7" s="1"/>
  <c r="H1039" i="7"/>
  <c r="E1040" i="7" s="1"/>
  <c r="H323" i="7"/>
  <c r="E324" i="7" s="1"/>
  <c r="E323" i="10"/>
  <c r="H681" i="7"/>
  <c r="E682" i="7" s="1"/>
  <c r="E681" i="10"/>
  <c r="H1397" i="7"/>
  <c r="E1398" i="7" s="1"/>
  <c r="H502" i="7"/>
  <c r="E503" i="7" s="1"/>
  <c r="E502" i="10"/>
  <c r="I860" i="11" l="1"/>
  <c r="I1039" i="11"/>
  <c r="I323" i="11"/>
  <c r="I144" i="11"/>
  <c r="I502" i="11"/>
  <c r="I681" i="11"/>
  <c r="E682" i="11"/>
  <c r="H2117" i="7"/>
  <c r="E2118" i="7" s="1"/>
  <c r="E863" i="10"/>
  <c r="I1039" i="10"/>
  <c r="K2293" i="7"/>
  <c r="K1039" i="10" s="1"/>
  <c r="J2293" i="7"/>
  <c r="J1039" i="10" s="1"/>
  <c r="L2293" i="7"/>
  <c r="L1039" i="10" s="1"/>
  <c r="P1039" i="10" s="1"/>
  <c r="J323" i="7"/>
  <c r="J323" i="10" s="1"/>
  <c r="K323" i="7"/>
  <c r="K323" i="10" s="1"/>
  <c r="J1755" i="7"/>
  <c r="J1039" i="11" s="1"/>
  <c r="K1755" i="7"/>
  <c r="K1039" i="11" s="1"/>
  <c r="J1039" i="7"/>
  <c r="J323" i="11" s="1"/>
  <c r="K1039" i="7"/>
  <c r="K323" i="11" s="1"/>
  <c r="J860" i="7"/>
  <c r="J144" i="11" s="1"/>
  <c r="K860" i="7"/>
  <c r="K144" i="11" s="1"/>
  <c r="J502" i="7"/>
  <c r="J502" i="10" s="1"/>
  <c r="K502" i="7"/>
  <c r="K502" i="10" s="1"/>
  <c r="J144" i="7"/>
  <c r="J144" i="10" s="1"/>
  <c r="K144" i="7"/>
  <c r="K144" i="10" s="1"/>
  <c r="J1397" i="7"/>
  <c r="J681" i="11" s="1"/>
  <c r="K1397" i="7"/>
  <c r="K681" i="11" s="1"/>
  <c r="J1576" i="7"/>
  <c r="J860" i="11" s="1"/>
  <c r="K1576" i="7"/>
  <c r="K860" i="11" s="1"/>
  <c r="J681" i="7"/>
  <c r="J681" i="10" s="1"/>
  <c r="K681" i="7"/>
  <c r="K681" i="10" s="1"/>
  <c r="J1218" i="7"/>
  <c r="J502" i="11" s="1"/>
  <c r="K1218" i="7"/>
  <c r="K502" i="11" s="1"/>
  <c r="I502" i="10"/>
  <c r="I681" i="10"/>
  <c r="I323" i="10"/>
  <c r="E324" i="11"/>
  <c r="E145" i="11"/>
  <c r="I144" i="10"/>
  <c r="E861" i="11"/>
  <c r="E503" i="11"/>
  <c r="E1040" i="11"/>
  <c r="H2294" i="7" l="1"/>
  <c r="E2295" i="7" s="1"/>
  <c r="E1040" i="10"/>
  <c r="I863" i="10"/>
  <c r="L2117" i="7"/>
  <c r="L863" i="10" s="1"/>
  <c r="P863" i="10" s="1"/>
  <c r="J2117" i="7"/>
  <c r="J863" i="10" s="1"/>
  <c r="K2117" i="7"/>
  <c r="K863" i="10" s="1"/>
  <c r="L1039" i="7"/>
  <c r="L323" i="11" s="1"/>
  <c r="P323" i="11" s="1"/>
  <c r="L144" i="7"/>
  <c r="L144" i="10" s="1"/>
  <c r="P144" i="10" s="1"/>
  <c r="L323" i="7"/>
  <c r="L323" i="10" s="1"/>
  <c r="P323" i="10" s="1"/>
  <c r="L681" i="7"/>
  <c r="L681" i="10" s="1"/>
  <c r="P681" i="10" s="1"/>
  <c r="L1755" i="7"/>
  <c r="L1039" i="11" s="1"/>
  <c r="P1039" i="11" s="1"/>
  <c r="L1218" i="7"/>
  <c r="L502" i="11" s="1"/>
  <c r="P502" i="11" s="1"/>
  <c r="L1397" i="7"/>
  <c r="L681" i="11" s="1"/>
  <c r="P681" i="11" s="1"/>
  <c r="L860" i="7"/>
  <c r="L144" i="11" s="1"/>
  <c r="P144" i="11" s="1"/>
  <c r="L1576" i="7"/>
  <c r="L860" i="11" s="1"/>
  <c r="P860" i="11" s="1"/>
  <c r="L502" i="7"/>
  <c r="L502" i="10" s="1"/>
  <c r="P502" i="10" s="1"/>
  <c r="H1756" i="7"/>
  <c r="E1757" i="7" s="1"/>
  <c r="H1219" i="7"/>
  <c r="E1220" i="7" s="1"/>
  <c r="H1577" i="7"/>
  <c r="E1578" i="7" s="1"/>
  <c r="H145" i="7"/>
  <c r="E146" i="7" s="1"/>
  <c r="E145" i="10"/>
  <c r="H861" i="7"/>
  <c r="E862" i="7" s="1"/>
  <c r="H1040" i="7"/>
  <c r="E1041" i="7" s="1"/>
  <c r="H324" i="7"/>
  <c r="E325" i="7" s="1"/>
  <c r="E324" i="10"/>
  <c r="H682" i="7"/>
  <c r="E683" i="7" s="1"/>
  <c r="E682" i="10"/>
  <c r="H1398" i="7"/>
  <c r="E1399" i="7" s="1"/>
  <c r="H503" i="7"/>
  <c r="E504" i="7" s="1"/>
  <c r="E503" i="10"/>
  <c r="I682" i="11" l="1"/>
  <c r="I324" i="11"/>
  <c r="I145" i="11"/>
  <c r="I503" i="11"/>
  <c r="I861" i="11"/>
  <c r="I1040" i="11"/>
  <c r="E1041" i="11"/>
  <c r="H2118" i="7"/>
  <c r="E2119" i="7" s="1"/>
  <c r="E864" i="10"/>
  <c r="I1040" i="10"/>
  <c r="K2294" i="7"/>
  <c r="K1040" i="10" s="1"/>
  <c r="L2294" i="7"/>
  <c r="L1040" i="10" s="1"/>
  <c r="P1040" i="10" s="1"/>
  <c r="J2294" i="7"/>
  <c r="J1040" i="10" s="1"/>
  <c r="J1756" i="7"/>
  <c r="J1040" i="11" s="1"/>
  <c r="K1756" i="7"/>
  <c r="K1040" i="11" s="1"/>
  <c r="J1040" i="7"/>
  <c r="J324" i="11" s="1"/>
  <c r="K1040" i="7"/>
  <c r="K324" i="11" s="1"/>
  <c r="J503" i="7"/>
  <c r="J503" i="10" s="1"/>
  <c r="K503" i="7"/>
  <c r="K503" i="10" s="1"/>
  <c r="J1398" i="7"/>
  <c r="J682" i="11" s="1"/>
  <c r="K1398" i="7"/>
  <c r="K682" i="11" s="1"/>
  <c r="J1577" i="7"/>
  <c r="J861" i="11" s="1"/>
  <c r="K1577" i="7"/>
  <c r="K861" i="11" s="1"/>
  <c r="J324" i="7"/>
  <c r="J324" i="10" s="1"/>
  <c r="K324" i="7"/>
  <c r="K324" i="10" s="1"/>
  <c r="J861" i="7"/>
  <c r="J145" i="11" s="1"/>
  <c r="K861" i="7"/>
  <c r="K145" i="11" s="1"/>
  <c r="J145" i="7"/>
  <c r="J145" i="10" s="1"/>
  <c r="K145" i="7"/>
  <c r="K145" i="10" s="1"/>
  <c r="J682" i="7"/>
  <c r="J682" i="10" s="1"/>
  <c r="K682" i="7"/>
  <c r="K682" i="10" s="1"/>
  <c r="J1219" i="7"/>
  <c r="J503" i="11" s="1"/>
  <c r="K1219" i="7"/>
  <c r="K503" i="11" s="1"/>
  <c r="I503" i="10"/>
  <c r="E683" i="11"/>
  <c r="I682" i="10"/>
  <c r="I324" i="10"/>
  <c r="E325" i="11"/>
  <c r="E146" i="11"/>
  <c r="I145" i="10"/>
  <c r="E862" i="11"/>
  <c r="E504" i="11"/>
  <c r="H2295" i="7" l="1"/>
  <c r="E2296" i="7" s="1"/>
  <c r="E1041" i="10"/>
  <c r="I864" i="10"/>
  <c r="L2118" i="7"/>
  <c r="L864" i="10" s="1"/>
  <c r="P864" i="10" s="1"/>
  <c r="K2118" i="7"/>
  <c r="K864" i="10" s="1"/>
  <c r="J2118" i="7"/>
  <c r="J864" i="10" s="1"/>
  <c r="L1040" i="7"/>
  <c r="L324" i="11" s="1"/>
  <c r="P324" i="11" s="1"/>
  <c r="L145" i="7"/>
  <c r="L145" i="10" s="1"/>
  <c r="P145" i="10" s="1"/>
  <c r="L324" i="7"/>
  <c r="L324" i="10" s="1"/>
  <c r="P324" i="10" s="1"/>
  <c r="L682" i="7"/>
  <c r="L682" i="10" s="1"/>
  <c r="P682" i="10" s="1"/>
  <c r="L1219" i="7"/>
  <c r="L503" i="11" s="1"/>
  <c r="P503" i="11" s="1"/>
  <c r="L861" i="7"/>
  <c r="L145" i="11" s="1"/>
  <c r="P145" i="11" s="1"/>
  <c r="L1756" i="7"/>
  <c r="L1040" i="11" s="1"/>
  <c r="P1040" i="11" s="1"/>
  <c r="L1398" i="7"/>
  <c r="L682" i="11" s="1"/>
  <c r="P682" i="11" s="1"/>
  <c r="L503" i="7"/>
  <c r="L503" i="10" s="1"/>
  <c r="P503" i="10" s="1"/>
  <c r="L1577" i="7"/>
  <c r="L861" i="11" s="1"/>
  <c r="P861" i="11" s="1"/>
  <c r="H1757" i="7"/>
  <c r="E1758" i="7" s="1"/>
  <c r="H1220" i="7"/>
  <c r="E1221" i="7" s="1"/>
  <c r="H1578" i="7"/>
  <c r="E1579" i="7" s="1"/>
  <c r="H146" i="7"/>
  <c r="E147" i="7" s="1"/>
  <c r="E146" i="10"/>
  <c r="H862" i="7"/>
  <c r="E863" i="7" s="1"/>
  <c r="H1041" i="7"/>
  <c r="E1042" i="7" s="1"/>
  <c r="H325" i="7"/>
  <c r="E326" i="7" s="1"/>
  <c r="E325" i="10"/>
  <c r="H683" i="7"/>
  <c r="E684" i="7" s="1"/>
  <c r="E683" i="10"/>
  <c r="H1399" i="7"/>
  <c r="E1400" i="7" s="1"/>
  <c r="H504" i="7"/>
  <c r="E505" i="7" s="1"/>
  <c r="E504" i="10"/>
  <c r="I146" i="11" l="1"/>
  <c r="I325" i="11"/>
  <c r="I862" i="11"/>
  <c r="I504" i="11"/>
  <c r="I1041" i="11"/>
  <c r="I683" i="11"/>
  <c r="E684" i="11"/>
  <c r="H2119" i="7"/>
  <c r="E2120" i="7" s="1"/>
  <c r="E865" i="10"/>
  <c r="I1041" i="10"/>
  <c r="L2295" i="7"/>
  <c r="L1041" i="10" s="1"/>
  <c r="P1041" i="10" s="1"/>
  <c r="K2295" i="7"/>
  <c r="K1041" i="10" s="1"/>
  <c r="J2295" i="7"/>
  <c r="J1041" i="10" s="1"/>
  <c r="J1041" i="7"/>
  <c r="J325" i="11" s="1"/>
  <c r="K1041" i="7"/>
  <c r="K325" i="11" s="1"/>
  <c r="J325" i="7"/>
  <c r="J325" i="10" s="1"/>
  <c r="K325" i="7"/>
  <c r="K325" i="10" s="1"/>
  <c r="J862" i="7"/>
  <c r="J146" i="11" s="1"/>
  <c r="K862" i="7"/>
  <c r="K146" i="11" s="1"/>
  <c r="J1757" i="7"/>
  <c r="J1041" i="11" s="1"/>
  <c r="K1757" i="7"/>
  <c r="K1041" i="11" s="1"/>
  <c r="J1399" i="7"/>
  <c r="J683" i="11" s="1"/>
  <c r="K1399" i="7"/>
  <c r="K683" i="11" s="1"/>
  <c r="J1578" i="7"/>
  <c r="J862" i="11" s="1"/>
  <c r="K1578" i="7"/>
  <c r="K862" i="11" s="1"/>
  <c r="J504" i="7"/>
  <c r="J504" i="10" s="1"/>
  <c r="K504" i="7"/>
  <c r="K504" i="10" s="1"/>
  <c r="J146" i="7"/>
  <c r="J146" i="10" s="1"/>
  <c r="K146" i="7"/>
  <c r="K146" i="10" s="1"/>
  <c r="J683" i="7"/>
  <c r="J683" i="10" s="1"/>
  <c r="K683" i="7"/>
  <c r="K683" i="10" s="1"/>
  <c r="J1220" i="7"/>
  <c r="J504" i="11" s="1"/>
  <c r="K1220" i="7"/>
  <c r="K504" i="11" s="1"/>
  <c r="I504" i="10"/>
  <c r="I683" i="10"/>
  <c r="I325" i="10"/>
  <c r="E326" i="11"/>
  <c r="E147" i="11"/>
  <c r="I146" i="10"/>
  <c r="E863" i="11"/>
  <c r="E505" i="11"/>
  <c r="E1042" i="11"/>
  <c r="H2296" i="7" l="1"/>
  <c r="E2297" i="7" s="1"/>
  <c r="E1042" i="10"/>
  <c r="I865" i="10"/>
  <c r="J2119" i="7"/>
  <c r="J865" i="10" s="1"/>
  <c r="L2119" i="7"/>
  <c r="L865" i="10" s="1"/>
  <c r="P865" i="10" s="1"/>
  <c r="K2119" i="7"/>
  <c r="K865" i="10" s="1"/>
  <c r="L1041" i="7"/>
  <c r="L325" i="11" s="1"/>
  <c r="P325" i="11" s="1"/>
  <c r="L146" i="7"/>
  <c r="L146" i="10" s="1"/>
  <c r="P146" i="10" s="1"/>
  <c r="L325" i="7"/>
  <c r="L325" i="10" s="1"/>
  <c r="P325" i="10" s="1"/>
  <c r="L683" i="7"/>
  <c r="L683" i="10" s="1"/>
  <c r="P683" i="10" s="1"/>
  <c r="L1220" i="7"/>
  <c r="L504" i="11" s="1"/>
  <c r="P504" i="11" s="1"/>
  <c r="L1757" i="7"/>
  <c r="L1041" i="11" s="1"/>
  <c r="P1041" i="11" s="1"/>
  <c r="L1399" i="7"/>
  <c r="L683" i="11" s="1"/>
  <c r="P683" i="11" s="1"/>
  <c r="L862" i="7"/>
  <c r="L146" i="11" s="1"/>
  <c r="P146" i="11" s="1"/>
  <c r="L1578" i="7"/>
  <c r="L862" i="11" s="1"/>
  <c r="P862" i="11" s="1"/>
  <c r="L504" i="7"/>
  <c r="L504" i="10" s="1"/>
  <c r="P504" i="10" s="1"/>
  <c r="H1758" i="7"/>
  <c r="E1759" i="7" s="1"/>
  <c r="H1221" i="7"/>
  <c r="E1222" i="7" s="1"/>
  <c r="H1579" i="7"/>
  <c r="E1580" i="7" s="1"/>
  <c r="H147" i="7"/>
  <c r="E148" i="7" s="1"/>
  <c r="E147" i="10"/>
  <c r="H863" i="7"/>
  <c r="E864" i="7" s="1"/>
  <c r="H1042" i="7"/>
  <c r="E1043" i="7" s="1"/>
  <c r="H326" i="7"/>
  <c r="E327" i="7" s="1"/>
  <c r="E326" i="10"/>
  <c r="H684" i="7"/>
  <c r="E685" i="7" s="1"/>
  <c r="E684" i="10"/>
  <c r="H1400" i="7"/>
  <c r="E1401" i="7" s="1"/>
  <c r="H505" i="7"/>
  <c r="E506" i="7" s="1"/>
  <c r="E505" i="10"/>
  <c r="I863" i="11" l="1"/>
  <c r="I147" i="11"/>
  <c r="I326" i="11"/>
  <c r="I505" i="11"/>
  <c r="I1042" i="11"/>
  <c r="I684" i="11"/>
  <c r="E685" i="11"/>
  <c r="H2120" i="7"/>
  <c r="E2121" i="7" s="1"/>
  <c r="E866" i="10"/>
  <c r="I1042" i="10"/>
  <c r="J2296" i="7"/>
  <c r="J1042" i="10" s="1"/>
  <c r="K2296" i="7"/>
  <c r="K1042" i="10" s="1"/>
  <c r="L2296" i="7"/>
  <c r="L1042" i="10" s="1"/>
  <c r="P1042" i="10" s="1"/>
  <c r="J326" i="7"/>
  <c r="J326" i="10" s="1"/>
  <c r="K326" i="7"/>
  <c r="K326" i="10" s="1"/>
  <c r="J1758" i="7"/>
  <c r="J1042" i="11" s="1"/>
  <c r="K1758" i="7"/>
  <c r="K1042" i="11" s="1"/>
  <c r="J1042" i="7"/>
  <c r="J326" i="11" s="1"/>
  <c r="K1042" i="7"/>
  <c r="K326" i="11" s="1"/>
  <c r="J147" i="7"/>
  <c r="J147" i="10" s="1"/>
  <c r="K147" i="7"/>
  <c r="K147" i="10" s="1"/>
  <c r="J1400" i="7"/>
  <c r="J684" i="11" s="1"/>
  <c r="K1400" i="7"/>
  <c r="K684" i="11" s="1"/>
  <c r="J1579" i="7"/>
  <c r="J863" i="11" s="1"/>
  <c r="K1579" i="7"/>
  <c r="K863" i="11" s="1"/>
  <c r="J863" i="7"/>
  <c r="J147" i="11" s="1"/>
  <c r="K863" i="7"/>
  <c r="K147" i="11" s="1"/>
  <c r="J505" i="7"/>
  <c r="J505" i="10" s="1"/>
  <c r="K505" i="7"/>
  <c r="K505" i="10" s="1"/>
  <c r="J684" i="7"/>
  <c r="J684" i="10" s="1"/>
  <c r="K684" i="7"/>
  <c r="K684" i="10" s="1"/>
  <c r="J1221" i="7"/>
  <c r="J505" i="11" s="1"/>
  <c r="K1221" i="7"/>
  <c r="K505" i="11" s="1"/>
  <c r="I505" i="10"/>
  <c r="I684" i="10"/>
  <c r="I326" i="10"/>
  <c r="E327" i="11"/>
  <c r="E148" i="11"/>
  <c r="I147" i="10"/>
  <c r="E864" i="11"/>
  <c r="E506" i="11"/>
  <c r="E1043" i="11"/>
  <c r="H2297" i="7" l="1"/>
  <c r="E2298" i="7" s="1"/>
  <c r="E1043" i="10"/>
  <c r="I866" i="10"/>
  <c r="L2120" i="7"/>
  <c r="L866" i="10" s="1"/>
  <c r="P866" i="10" s="1"/>
  <c r="J2120" i="7"/>
  <c r="J866" i="10" s="1"/>
  <c r="K2120" i="7"/>
  <c r="K866" i="10" s="1"/>
  <c r="L1042" i="7"/>
  <c r="L326" i="11" s="1"/>
  <c r="P326" i="11" s="1"/>
  <c r="L147" i="7"/>
  <c r="L147" i="10" s="1"/>
  <c r="P147" i="10" s="1"/>
  <c r="L326" i="7"/>
  <c r="L326" i="10" s="1"/>
  <c r="P326" i="10" s="1"/>
  <c r="L684" i="7"/>
  <c r="L684" i="10" s="1"/>
  <c r="P684" i="10" s="1"/>
  <c r="L1579" i="7"/>
  <c r="L863" i="11" s="1"/>
  <c r="P863" i="11" s="1"/>
  <c r="L1758" i="7"/>
  <c r="L1042" i="11" s="1"/>
  <c r="P1042" i="11" s="1"/>
  <c r="L1221" i="7"/>
  <c r="L505" i="11" s="1"/>
  <c r="P505" i="11" s="1"/>
  <c r="L505" i="7"/>
  <c r="L505" i="10" s="1"/>
  <c r="P505" i="10" s="1"/>
  <c r="L1400" i="7"/>
  <c r="L684" i="11" s="1"/>
  <c r="P684" i="11" s="1"/>
  <c r="L863" i="7"/>
  <c r="L147" i="11" s="1"/>
  <c r="P147" i="11" s="1"/>
  <c r="H1759" i="7"/>
  <c r="E1760" i="7" s="1"/>
  <c r="H1222" i="7"/>
  <c r="E1223" i="7" s="1"/>
  <c r="H1580" i="7"/>
  <c r="E1581" i="7" s="1"/>
  <c r="H148" i="7"/>
  <c r="E149" i="7" s="1"/>
  <c r="E148" i="10"/>
  <c r="H864" i="7"/>
  <c r="E865" i="7" s="1"/>
  <c r="H1043" i="7"/>
  <c r="E1044" i="7" s="1"/>
  <c r="H327" i="7"/>
  <c r="E328" i="7" s="1"/>
  <c r="E327" i="10"/>
  <c r="H685" i="7"/>
  <c r="E686" i="7" s="1"/>
  <c r="E685" i="10"/>
  <c r="H1401" i="7"/>
  <c r="E1402" i="7" s="1"/>
  <c r="H506" i="7"/>
  <c r="E507" i="7" s="1"/>
  <c r="E506" i="10"/>
  <c r="I148" i="11" l="1"/>
  <c r="E149" i="11"/>
  <c r="I327" i="11"/>
  <c r="E328" i="11"/>
  <c r="I864" i="11"/>
  <c r="I506" i="11"/>
  <c r="I1043" i="11"/>
  <c r="I685" i="11"/>
  <c r="E686" i="11"/>
  <c r="H2121" i="7"/>
  <c r="E2122" i="7" s="1"/>
  <c r="E867" i="10"/>
  <c r="I1043" i="10"/>
  <c r="L2297" i="7"/>
  <c r="L1043" i="10" s="1"/>
  <c r="P1043" i="10" s="1"/>
  <c r="K2297" i="7"/>
  <c r="K1043" i="10" s="1"/>
  <c r="J2297" i="7"/>
  <c r="J1043" i="10" s="1"/>
  <c r="J327" i="7"/>
  <c r="J327" i="10" s="1"/>
  <c r="K327" i="7"/>
  <c r="K327" i="10" s="1"/>
  <c r="J506" i="7"/>
  <c r="J506" i="10" s="1"/>
  <c r="K506" i="7"/>
  <c r="K506" i="10" s="1"/>
  <c r="J1401" i="7"/>
  <c r="J685" i="11" s="1"/>
  <c r="K1401" i="7"/>
  <c r="K685" i="11" s="1"/>
  <c r="J1580" i="7"/>
  <c r="J864" i="11" s="1"/>
  <c r="K1580" i="7"/>
  <c r="K864" i="11" s="1"/>
  <c r="J1759" i="7"/>
  <c r="J1043" i="11" s="1"/>
  <c r="K1759" i="7"/>
  <c r="K1043" i="11" s="1"/>
  <c r="J1043" i="7"/>
  <c r="J327" i="11" s="1"/>
  <c r="K1043" i="7"/>
  <c r="K327" i="11" s="1"/>
  <c r="J148" i="7"/>
  <c r="J148" i="10" s="1"/>
  <c r="K148" i="7"/>
  <c r="K148" i="10" s="1"/>
  <c r="J864" i="7"/>
  <c r="J148" i="11" s="1"/>
  <c r="K864" i="7"/>
  <c r="K148" i="11" s="1"/>
  <c r="J685" i="7"/>
  <c r="J685" i="10" s="1"/>
  <c r="K685" i="7"/>
  <c r="K685" i="10" s="1"/>
  <c r="J1222" i="7"/>
  <c r="J506" i="11" s="1"/>
  <c r="K1222" i="7"/>
  <c r="K506" i="11" s="1"/>
  <c r="I506" i="10"/>
  <c r="I685" i="10"/>
  <c r="I327" i="10"/>
  <c r="I148" i="10"/>
  <c r="E865" i="11"/>
  <c r="E507" i="11"/>
  <c r="E1044" i="11"/>
  <c r="H2298" i="7" l="1"/>
  <c r="E2299" i="7" s="1"/>
  <c r="E1044" i="10"/>
  <c r="I867" i="10"/>
  <c r="L2121" i="7"/>
  <c r="L867" i="10" s="1"/>
  <c r="P867" i="10" s="1"/>
  <c r="J2121" i="7"/>
  <c r="J867" i="10" s="1"/>
  <c r="K2121" i="7"/>
  <c r="K867" i="10" s="1"/>
  <c r="L1043" i="7"/>
  <c r="L327" i="11" s="1"/>
  <c r="P327" i="11" s="1"/>
  <c r="L327" i="7"/>
  <c r="L327" i="10" s="1"/>
  <c r="P327" i="10" s="1"/>
  <c r="L148" i="7"/>
  <c r="L148" i="10" s="1"/>
  <c r="P148" i="10" s="1"/>
  <c r="L1401" i="7"/>
  <c r="L685" i="11" s="1"/>
  <c r="P685" i="11" s="1"/>
  <c r="L1222" i="7"/>
  <c r="L506" i="11" s="1"/>
  <c r="P506" i="11" s="1"/>
  <c r="L864" i="7"/>
  <c r="L148" i="11" s="1"/>
  <c r="P148" i="11" s="1"/>
  <c r="L685" i="7"/>
  <c r="L685" i="10" s="1"/>
  <c r="P685" i="10" s="1"/>
  <c r="L1759" i="7"/>
  <c r="L1043" i="11" s="1"/>
  <c r="P1043" i="11" s="1"/>
  <c r="L506" i="7"/>
  <c r="L506" i="10" s="1"/>
  <c r="P506" i="10" s="1"/>
  <c r="L1580" i="7"/>
  <c r="L864" i="11" s="1"/>
  <c r="P864" i="11" s="1"/>
  <c r="H1760" i="7"/>
  <c r="E1761" i="7" s="1"/>
  <c r="H1223" i="7"/>
  <c r="E1224" i="7" s="1"/>
  <c r="H1581" i="7"/>
  <c r="E1582" i="7" s="1"/>
  <c r="H149" i="7"/>
  <c r="E150" i="7" s="1"/>
  <c r="E149" i="10"/>
  <c r="H865" i="7"/>
  <c r="E866" i="7" s="1"/>
  <c r="H1044" i="7"/>
  <c r="E1045" i="7" s="1"/>
  <c r="H328" i="7"/>
  <c r="E329" i="7" s="1"/>
  <c r="E328" i="10"/>
  <c r="H686" i="7"/>
  <c r="E687" i="7" s="1"/>
  <c r="E686" i="10"/>
  <c r="H1402" i="7"/>
  <c r="E1403" i="7" s="1"/>
  <c r="H507" i="7"/>
  <c r="E508" i="7" s="1"/>
  <c r="E507" i="10"/>
  <c r="I865" i="11" l="1"/>
  <c r="E866" i="11"/>
  <c r="I507" i="11"/>
  <c r="E508" i="11"/>
  <c r="I686" i="11"/>
  <c r="I328" i="11"/>
  <c r="I149" i="11"/>
  <c r="E150" i="11"/>
  <c r="I1044" i="11"/>
  <c r="E1045" i="11"/>
  <c r="H2122" i="7"/>
  <c r="E2123" i="7" s="1"/>
  <c r="E868" i="10"/>
  <c r="I1044" i="10"/>
  <c r="L2298" i="7"/>
  <c r="L1044" i="10" s="1"/>
  <c r="P1044" i="10" s="1"/>
  <c r="J2298" i="7"/>
  <c r="J1044" i="10" s="1"/>
  <c r="K2298" i="7"/>
  <c r="K1044" i="10" s="1"/>
  <c r="J1044" i="7"/>
  <c r="J328" i="11" s="1"/>
  <c r="K1044" i="7"/>
  <c r="K328" i="11" s="1"/>
  <c r="J1581" i="7"/>
  <c r="J865" i="11" s="1"/>
  <c r="K1581" i="7"/>
  <c r="K865" i="11" s="1"/>
  <c r="J1760" i="7"/>
  <c r="J1044" i="11" s="1"/>
  <c r="K1760" i="7"/>
  <c r="K1044" i="11" s="1"/>
  <c r="J328" i="7"/>
  <c r="J328" i="10" s="1"/>
  <c r="K328" i="7"/>
  <c r="K328" i="10" s="1"/>
  <c r="J865" i="7"/>
  <c r="J149" i="11" s="1"/>
  <c r="K865" i="7"/>
  <c r="K149" i="11" s="1"/>
  <c r="J507" i="7"/>
  <c r="J507" i="10" s="1"/>
  <c r="K507" i="7"/>
  <c r="K507" i="10" s="1"/>
  <c r="J149" i="7"/>
  <c r="J149" i="10" s="1"/>
  <c r="K149" i="7"/>
  <c r="K149" i="10" s="1"/>
  <c r="J1402" i="7"/>
  <c r="J686" i="11" s="1"/>
  <c r="K1402" i="7"/>
  <c r="K686" i="11" s="1"/>
  <c r="J686" i="7"/>
  <c r="J686" i="10" s="1"/>
  <c r="K686" i="7"/>
  <c r="K686" i="10" s="1"/>
  <c r="J1223" i="7"/>
  <c r="J507" i="11" s="1"/>
  <c r="K1223" i="7"/>
  <c r="K507" i="11" s="1"/>
  <c r="I507" i="10"/>
  <c r="E687" i="11"/>
  <c r="I686" i="10"/>
  <c r="I328" i="10"/>
  <c r="E329" i="11"/>
  <c r="I149" i="10"/>
  <c r="H2299" i="7" l="1"/>
  <c r="E2300" i="7" s="1"/>
  <c r="E1045" i="10"/>
  <c r="I868" i="10"/>
  <c r="L2122" i="7"/>
  <c r="L868" i="10" s="1"/>
  <c r="P868" i="10" s="1"/>
  <c r="J2122" i="7"/>
  <c r="J868" i="10" s="1"/>
  <c r="K2122" i="7"/>
  <c r="K868" i="10" s="1"/>
  <c r="L1044" i="7"/>
  <c r="L328" i="11" s="1"/>
  <c r="P328" i="11" s="1"/>
  <c r="L328" i="7"/>
  <c r="L328" i="10" s="1"/>
  <c r="P328" i="10" s="1"/>
  <c r="L149" i="7"/>
  <c r="L149" i="10" s="1"/>
  <c r="P149" i="10" s="1"/>
  <c r="L686" i="7"/>
  <c r="L686" i="10" s="1"/>
  <c r="P686" i="10" s="1"/>
  <c r="L1402" i="7"/>
  <c r="L686" i="11" s="1"/>
  <c r="P686" i="11" s="1"/>
  <c r="L1760" i="7"/>
  <c r="L1044" i="11" s="1"/>
  <c r="P1044" i="11" s="1"/>
  <c r="L1223" i="7"/>
  <c r="L507" i="11" s="1"/>
  <c r="P507" i="11" s="1"/>
  <c r="L865" i="7"/>
  <c r="L149" i="11" s="1"/>
  <c r="P149" i="11" s="1"/>
  <c r="L1581" i="7"/>
  <c r="L865" i="11" s="1"/>
  <c r="P865" i="11" s="1"/>
  <c r="L507" i="7"/>
  <c r="L507" i="10" s="1"/>
  <c r="P507" i="10" s="1"/>
  <c r="H1761" i="7"/>
  <c r="E1762" i="7" s="1"/>
  <c r="H1224" i="7"/>
  <c r="E1225" i="7" s="1"/>
  <c r="H1582" i="7"/>
  <c r="E1583" i="7" s="1"/>
  <c r="H150" i="7"/>
  <c r="E151" i="7" s="1"/>
  <c r="E150" i="10"/>
  <c r="H866" i="7"/>
  <c r="E867" i="7" s="1"/>
  <c r="H1045" i="7"/>
  <c r="E1046" i="7" s="1"/>
  <c r="H329" i="7"/>
  <c r="E330" i="7" s="1"/>
  <c r="E329" i="10"/>
  <c r="H687" i="7"/>
  <c r="E688" i="7" s="1"/>
  <c r="E687" i="10"/>
  <c r="H1403" i="7"/>
  <c r="E1404" i="7" s="1"/>
  <c r="H508" i="7"/>
  <c r="E509" i="7" s="1"/>
  <c r="E508" i="10"/>
  <c r="I150" i="11" l="1"/>
  <c r="I866" i="11"/>
  <c r="I508" i="11"/>
  <c r="I329" i="11"/>
  <c r="E330" i="11"/>
  <c r="I1045" i="11"/>
  <c r="I687" i="11"/>
  <c r="E688" i="11"/>
  <c r="H2123" i="7"/>
  <c r="E2124" i="7" s="1"/>
  <c r="E869" i="10"/>
  <c r="I1045" i="10"/>
  <c r="K2299" i="7"/>
  <c r="K1045" i="10" s="1"/>
  <c r="J2299" i="7"/>
  <c r="J1045" i="10" s="1"/>
  <c r="L2299" i="7"/>
  <c r="L1045" i="10" s="1"/>
  <c r="P1045" i="10" s="1"/>
  <c r="J1761" i="7"/>
  <c r="J1045" i="11" s="1"/>
  <c r="K1761" i="7"/>
  <c r="K1045" i="11" s="1"/>
  <c r="J866" i="7"/>
  <c r="J150" i="11" s="1"/>
  <c r="K866" i="7"/>
  <c r="K150" i="11" s="1"/>
  <c r="J1045" i="7"/>
  <c r="J329" i="11" s="1"/>
  <c r="K1045" i="7"/>
  <c r="K329" i="11" s="1"/>
  <c r="J508" i="7"/>
  <c r="J508" i="10" s="1"/>
  <c r="K508" i="7"/>
  <c r="K508" i="10" s="1"/>
  <c r="J329" i="7"/>
  <c r="J329" i="10" s="1"/>
  <c r="K329" i="7"/>
  <c r="K329" i="10" s="1"/>
  <c r="J150" i="7"/>
  <c r="J150" i="10" s="1"/>
  <c r="K150" i="7"/>
  <c r="K150" i="10" s="1"/>
  <c r="J1403" i="7"/>
  <c r="J687" i="11" s="1"/>
  <c r="K1403" i="7"/>
  <c r="K687" i="11" s="1"/>
  <c r="J1582" i="7"/>
  <c r="J866" i="11" s="1"/>
  <c r="K1582" i="7"/>
  <c r="K866" i="11" s="1"/>
  <c r="J687" i="7"/>
  <c r="L687" i="7" s="1"/>
  <c r="L687" i="10" s="1"/>
  <c r="P687" i="10" s="1"/>
  <c r="K687" i="7"/>
  <c r="K687" i="10" s="1"/>
  <c r="J1224" i="7"/>
  <c r="J508" i="11" s="1"/>
  <c r="K1224" i="7"/>
  <c r="K508" i="11" s="1"/>
  <c r="I508" i="10"/>
  <c r="I687" i="10"/>
  <c r="I329" i="10"/>
  <c r="E151" i="11"/>
  <c r="I150" i="10"/>
  <c r="E867" i="11"/>
  <c r="E509" i="11"/>
  <c r="E1046" i="11"/>
  <c r="H2300" i="7" l="1"/>
  <c r="E2301" i="7" s="1"/>
  <c r="E1046" i="10"/>
  <c r="I869" i="10"/>
  <c r="K2123" i="7"/>
  <c r="K869" i="10" s="1"/>
  <c r="J2123" i="7"/>
  <c r="J869" i="10" s="1"/>
  <c r="L2123" i="7"/>
  <c r="L869" i="10" s="1"/>
  <c r="P869" i="10" s="1"/>
  <c r="J687" i="10"/>
  <c r="L1045" i="7"/>
  <c r="L329" i="11" s="1"/>
  <c r="P329" i="11" s="1"/>
  <c r="L329" i="7"/>
  <c r="L329" i="10" s="1"/>
  <c r="P329" i="10" s="1"/>
  <c r="L150" i="7"/>
  <c r="L150" i="10" s="1"/>
  <c r="P150" i="10" s="1"/>
  <c r="L1761" i="7"/>
  <c r="L1045" i="11" s="1"/>
  <c r="P1045" i="11" s="1"/>
  <c r="L1224" i="7"/>
  <c r="L508" i="11" s="1"/>
  <c r="P508" i="11" s="1"/>
  <c r="L1403" i="7"/>
  <c r="L687" i="11" s="1"/>
  <c r="P687" i="11" s="1"/>
  <c r="L866" i="7"/>
  <c r="L150" i="11" s="1"/>
  <c r="P150" i="11" s="1"/>
  <c r="L508" i="7"/>
  <c r="L508" i="10" s="1"/>
  <c r="P508" i="10" s="1"/>
  <c r="L1582" i="7"/>
  <c r="L866" i="11" s="1"/>
  <c r="P866" i="11" s="1"/>
  <c r="H1762" i="7"/>
  <c r="E1763" i="7" s="1"/>
  <c r="H1225" i="7"/>
  <c r="E1226" i="7" s="1"/>
  <c r="H1583" i="7"/>
  <c r="E1584" i="7" s="1"/>
  <c r="H151" i="7"/>
  <c r="E152" i="7" s="1"/>
  <c r="E151" i="10"/>
  <c r="H867" i="7"/>
  <c r="E868" i="7" s="1"/>
  <c r="H1046" i="7"/>
  <c r="E1047" i="7" s="1"/>
  <c r="H330" i="7"/>
  <c r="E331" i="7" s="1"/>
  <c r="E330" i="10"/>
  <c r="H688" i="7"/>
  <c r="E689" i="7" s="1"/>
  <c r="E688" i="10"/>
  <c r="H1404" i="7"/>
  <c r="E1405" i="7" s="1"/>
  <c r="H509" i="7"/>
  <c r="E510" i="7" s="1"/>
  <c r="E509" i="10"/>
  <c r="I330" i="11" l="1"/>
  <c r="I151" i="11"/>
  <c r="I867" i="11"/>
  <c r="I509" i="11"/>
  <c r="E510" i="11"/>
  <c r="I1046" i="11"/>
  <c r="I688" i="11"/>
  <c r="E689" i="11"/>
  <c r="H2124" i="7"/>
  <c r="E2125" i="7" s="1"/>
  <c r="E870" i="10"/>
  <c r="I1046" i="10"/>
  <c r="J2300" i="7"/>
  <c r="J1046" i="10" s="1"/>
  <c r="K2300" i="7"/>
  <c r="K1046" i="10" s="1"/>
  <c r="L2300" i="7"/>
  <c r="L1046" i="10" s="1"/>
  <c r="P1046" i="10" s="1"/>
  <c r="J688" i="7"/>
  <c r="J688" i="10" s="1"/>
  <c r="K688" i="7"/>
  <c r="K688" i="10" s="1"/>
  <c r="J1225" i="7"/>
  <c r="J509" i="11" s="1"/>
  <c r="K1225" i="7"/>
  <c r="K509" i="11" s="1"/>
  <c r="J330" i="7"/>
  <c r="J330" i="10" s="1"/>
  <c r="K330" i="7"/>
  <c r="K330" i="10" s="1"/>
  <c r="J1762" i="7"/>
  <c r="J1046" i="11" s="1"/>
  <c r="K1762" i="7"/>
  <c r="K1046" i="11" s="1"/>
  <c r="J1046" i="7"/>
  <c r="J330" i="11" s="1"/>
  <c r="K1046" i="7"/>
  <c r="K330" i="11" s="1"/>
  <c r="J867" i="7"/>
  <c r="J151" i="11" s="1"/>
  <c r="K867" i="7"/>
  <c r="K151" i="11" s="1"/>
  <c r="J1583" i="7"/>
  <c r="J867" i="11" s="1"/>
  <c r="K1583" i="7"/>
  <c r="K867" i="11" s="1"/>
  <c r="J509" i="7"/>
  <c r="J509" i="10" s="1"/>
  <c r="K509" i="7"/>
  <c r="K509" i="10" s="1"/>
  <c r="J151" i="7"/>
  <c r="J151" i="10" s="1"/>
  <c r="K151" i="7"/>
  <c r="K151" i="10" s="1"/>
  <c r="J1404" i="7"/>
  <c r="J688" i="11" s="1"/>
  <c r="K1404" i="7"/>
  <c r="K688" i="11" s="1"/>
  <c r="I509" i="10"/>
  <c r="I688" i="10"/>
  <c r="I330" i="10"/>
  <c r="E331" i="11"/>
  <c r="E152" i="11"/>
  <c r="I151" i="10"/>
  <c r="E868" i="11"/>
  <c r="E1047" i="11"/>
  <c r="H2301" i="7" l="1"/>
  <c r="E2302" i="7" s="1"/>
  <c r="E1047" i="10"/>
  <c r="I870" i="10"/>
  <c r="J2124" i="7"/>
  <c r="J870" i="10" s="1"/>
  <c r="L2124" i="7"/>
  <c r="L870" i="10" s="1"/>
  <c r="P870" i="10" s="1"/>
  <c r="K2124" i="7"/>
  <c r="K870" i="10" s="1"/>
  <c r="L1046" i="7"/>
  <c r="L330" i="11" s="1"/>
  <c r="P330" i="11" s="1"/>
  <c r="L151" i="7"/>
  <c r="L151" i="10" s="1"/>
  <c r="P151" i="10" s="1"/>
  <c r="L330" i="7"/>
  <c r="L330" i="10" s="1"/>
  <c r="P330" i="10" s="1"/>
  <c r="L688" i="7"/>
  <c r="L688" i="10" s="1"/>
  <c r="P688" i="10" s="1"/>
  <c r="L867" i="7"/>
  <c r="L151" i="11" s="1"/>
  <c r="P151" i="11" s="1"/>
  <c r="L1762" i="7"/>
  <c r="L1046" i="11" s="1"/>
  <c r="P1046" i="11" s="1"/>
  <c r="L1404" i="7"/>
  <c r="L688" i="11" s="1"/>
  <c r="P688" i="11" s="1"/>
  <c r="L1225" i="7"/>
  <c r="L509" i="11" s="1"/>
  <c r="P509" i="11" s="1"/>
  <c r="L1583" i="7"/>
  <c r="L867" i="11" s="1"/>
  <c r="P867" i="11" s="1"/>
  <c r="L509" i="7"/>
  <c r="L509" i="10" s="1"/>
  <c r="P509" i="10" s="1"/>
  <c r="H1763" i="7"/>
  <c r="E1764" i="7" s="1"/>
  <c r="H1226" i="7"/>
  <c r="E1227" i="7" s="1"/>
  <c r="H1584" i="7"/>
  <c r="E1585" i="7" s="1"/>
  <c r="H152" i="7"/>
  <c r="E153" i="7" s="1"/>
  <c r="E152" i="10"/>
  <c r="H868" i="7"/>
  <c r="E869" i="7" s="1"/>
  <c r="H1047" i="7"/>
  <c r="E1048" i="7" s="1"/>
  <c r="H331" i="7"/>
  <c r="E332" i="7" s="1"/>
  <c r="E331" i="10"/>
  <c r="H689" i="7"/>
  <c r="E690" i="7" s="1"/>
  <c r="E689" i="10"/>
  <c r="H1405" i="7"/>
  <c r="E1406" i="7" s="1"/>
  <c r="H510" i="7"/>
  <c r="E511" i="7" s="1"/>
  <c r="E510" i="10"/>
  <c r="I868" i="11" l="1"/>
  <c r="I510" i="11"/>
  <c r="E511" i="11"/>
  <c r="I689" i="11"/>
  <c r="E690" i="11"/>
  <c r="I1047" i="11"/>
  <c r="I331" i="11"/>
  <c r="E332" i="11"/>
  <c r="I152" i="11"/>
  <c r="E153" i="11"/>
  <c r="H2125" i="7"/>
  <c r="E2126" i="7" s="1"/>
  <c r="E871" i="10"/>
  <c r="I1047" i="10"/>
  <c r="L2301" i="7"/>
  <c r="L1047" i="10" s="1"/>
  <c r="P1047" i="10" s="1"/>
  <c r="J2301" i="7"/>
  <c r="J1047" i="10" s="1"/>
  <c r="K2301" i="7"/>
  <c r="K1047" i="10" s="1"/>
  <c r="J1047" i="7"/>
  <c r="J331" i="11" s="1"/>
  <c r="K1047" i="7"/>
  <c r="K331" i="11" s="1"/>
  <c r="J510" i="7"/>
  <c r="J510" i="10" s="1"/>
  <c r="K510" i="7"/>
  <c r="K510" i="10" s="1"/>
  <c r="J331" i="7"/>
  <c r="J331" i="10" s="1"/>
  <c r="K331" i="7"/>
  <c r="K331" i="10" s="1"/>
  <c r="J1763" i="7"/>
  <c r="J1047" i="11" s="1"/>
  <c r="K1763" i="7"/>
  <c r="K1047" i="11" s="1"/>
  <c r="J152" i="7"/>
  <c r="J152" i="10" s="1"/>
  <c r="K152" i="7"/>
  <c r="K152" i="10" s="1"/>
  <c r="J1584" i="7"/>
  <c r="J868" i="11" s="1"/>
  <c r="K1584" i="7"/>
  <c r="K868" i="11" s="1"/>
  <c r="J868" i="7"/>
  <c r="J152" i="11" s="1"/>
  <c r="K868" i="7"/>
  <c r="K152" i="11" s="1"/>
  <c r="J1405" i="7"/>
  <c r="J689" i="11" s="1"/>
  <c r="K1405" i="7"/>
  <c r="K689" i="11" s="1"/>
  <c r="J689" i="7"/>
  <c r="J689" i="10" s="1"/>
  <c r="K689" i="7"/>
  <c r="K689" i="10" s="1"/>
  <c r="J1226" i="7"/>
  <c r="J510" i="11" s="1"/>
  <c r="K1226" i="7"/>
  <c r="K510" i="11" s="1"/>
  <c r="I510" i="10"/>
  <c r="I689" i="10"/>
  <c r="I331" i="10"/>
  <c r="I152" i="10"/>
  <c r="E869" i="11"/>
  <c r="E1048" i="11"/>
  <c r="H2302" i="7" l="1"/>
  <c r="E2303" i="7" s="1"/>
  <c r="E1048" i="10"/>
  <c r="I871" i="10"/>
  <c r="L2125" i="7"/>
  <c r="L871" i="10" s="1"/>
  <c r="P871" i="10" s="1"/>
  <c r="J2125" i="7"/>
  <c r="J871" i="10" s="1"/>
  <c r="K2125" i="7"/>
  <c r="K871" i="10" s="1"/>
  <c r="L1047" i="7"/>
  <c r="L331" i="11" s="1"/>
  <c r="P331" i="11" s="1"/>
  <c r="L152" i="7"/>
  <c r="L152" i="10" s="1"/>
  <c r="P152" i="10" s="1"/>
  <c r="L331" i="7"/>
  <c r="L331" i="10" s="1"/>
  <c r="P331" i="10" s="1"/>
  <c r="L689" i="7"/>
  <c r="L689" i="10" s="1"/>
  <c r="P689" i="10" s="1"/>
  <c r="L1584" i="7"/>
  <c r="L868" i="11" s="1"/>
  <c r="P868" i="11" s="1"/>
  <c r="L1405" i="7"/>
  <c r="L689" i="11" s="1"/>
  <c r="P689" i="11" s="1"/>
  <c r="L868" i="7"/>
  <c r="L152" i="11" s="1"/>
  <c r="P152" i="11" s="1"/>
  <c r="L1763" i="7"/>
  <c r="L1047" i="11" s="1"/>
  <c r="P1047" i="11" s="1"/>
  <c r="L1226" i="7"/>
  <c r="L510" i="11" s="1"/>
  <c r="P510" i="11" s="1"/>
  <c r="L510" i="7"/>
  <c r="L510" i="10" s="1"/>
  <c r="P510" i="10" s="1"/>
  <c r="H1764" i="7"/>
  <c r="E1765" i="7" s="1"/>
  <c r="H1227" i="7"/>
  <c r="E1228" i="7" s="1"/>
  <c r="H1585" i="7"/>
  <c r="E1586" i="7" s="1"/>
  <c r="H153" i="7"/>
  <c r="E154" i="7" s="1"/>
  <c r="E153" i="10"/>
  <c r="H869" i="7"/>
  <c r="E870" i="7" s="1"/>
  <c r="H1048" i="7"/>
  <c r="E1049" i="7" s="1"/>
  <c r="H332" i="7"/>
  <c r="E333" i="7" s="1"/>
  <c r="E332" i="10"/>
  <c r="H690" i="7"/>
  <c r="E691" i="7" s="1"/>
  <c r="E690" i="10"/>
  <c r="H1406" i="7"/>
  <c r="E1407" i="7" s="1"/>
  <c r="H511" i="7"/>
  <c r="E512" i="7" s="1"/>
  <c r="E511" i="10"/>
  <c r="I332" i="11" l="1"/>
  <c r="I869" i="11"/>
  <c r="I511" i="11"/>
  <c r="I1048" i="11"/>
  <c r="I153" i="11"/>
  <c r="E154" i="11"/>
  <c r="I690" i="11"/>
  <c r="E691" i="11"/>
  <c r="H2126" i="7"/>
  <c r="E2127" i="7" s="1"/>
  <c r="E872" i="10"/>
  <c r="I1048" i="10"/>
  <c r="L2302" i="7"/>
  <c r="L1048" i="10" s="1"/>
  <c r="P1048" i="10" s="1"/>
  <c r="K2302" i="7"/>
  <c r="K1048" i="10" s="1"/>
  <c r="J2302" i="7"/>
  <c r="J1048" i="10" s="1"/>
  <c r="J1764" i="7"/>
  <c r="J1048" i="11" s="1"/>
  <c r="K1764" i="7"/>
  <c r="K1048" i="11" s="1"/>
  <c r="J1585" i="7"/>
  <c r="J869" i="11" s="1"/>
  <c r="K1585" i="7"/>
  <c r="K869" i="11" s="1"/>
  <c r="J332" i="7"/>
  <c r="J332" i="10" s="1"/>
  <c r="K332" i="7"/>
  <c r="K332" i="10" s="1"/>
  <c r="J1048" i="7"/>
  <c r="J332" i="11" s="1"/>
  <c r="K1048" i="7"/>
  <c r="K332" i="11" s="1"/>
  <c r="J511" i="7"/>
  <c r="J511" i="10" s="1"/>
  <c r="K511" i="7"/>
  <c r="K511" i="10" s="1"/>
  <c r="J153" i="7"/>
  <c r="J153" i="10" s="1"/>
  <c r="K153" i="7"/>
  <c r="K153" i="10" s="1"/>
  <c r="J869" i="7"/>
  <c r="J153" i="11" s="1"/>
  <c r="K869" i="7"/>
  <c r="K153" i="11" s="1"/>
  <c r="J1406" i="7"/>
  <c r="J690" i="11" s="1"/>
  <c r="K1406" i="7"/>
  <c r="K690" i="11" s="1"/>
  <c r="J690" i="7"/>
  <c r="J690" i="10" s="1"/>
  <c r="K690" i="7"/>
  <c r="K690" i="10" s="1"/>
  <c r="J1227" i="7"/>
  <c r="J511" i="11" s="1"/>
  <c r="K1227" i="7"/>
  <c r="K511" i="11" s="1"/>
  <c r="I511" i="10"/>
  <c r="I690" i="10"/>
  <c r="I332" i="10"/>
  <c r="E333" i="11"/>
  <c r="I153" i="10"/>
  <c r="E870" i="11"/>
  <c r="E512" i="11"/>
  <c r="E1049" i="11"/>
  <c r="H2303" i="7" l="1"/>
  <c r="E2304" i="7" s="1"/>
  <c r="E1049" i="10"/>
  <c r="I872" i="10"/>
  <c r="L2126" i="7"/>
  <c r="L872" i="10" s="1"/>
  <c r="P872" i="10" s="1"/>
  <c r="J2126" i="7"/>
  <c r="J872" i="10" s="1"/>
  <c r="K2126" i="7"/>
  <c r="K872" i="10" s="1"/>
  <c r="L1048" i="7"/>
  <c r="L332" i="11" s="1"/>
  <c r="P332" i="11" s="1"/>
  <c r="L153" i="7"/>
  <c r="L153" i="10" s="1"/>
  <c r="P153" i="10" s="1"/>
  <c r="L332" i="7"/>
  <c r="L332" i="10" s="1"/>
  <c r="P332" i="10" s="1"/>
  <c r="L1585" i="7"/>
  <c r="L869" i="11" s="1"/>
  <c r="P869" i="11" s="1"/>
  <c r="L690" i="7"/>
  <c r="L690" i="10" s="1"/>
  <c r="P690" i="10" s="1"/>
  <c r="L511" i="7"/>
  <c r="L511" i="10" s="1"/>
  <c r="P511" i="10" s="1"/>
  <c r="L1764" i="7"/>
  <c r="L1048" i="11" s="1"/>
  <c r="P1048" i="11" s="1"/>
  <c r="L1406" i="7"/>
  <c r="L690" i="11" s="1"/>
  <c r="P690" i="11" s="1"/>
  <c r="L1227" i="7"/>
  <c r="L511" i="11" s="1"/>
  <c r="P511" i="11" s="1"/>
  <c r="L869" i="7"/>
  <c r="L153" i="11" s="1"/>
  <c r="P153" i="11" s="1"/>
  <c r="H1765" i="7"/>
  <c r="E1766" i="7" s="1"/>
  <c r="H1228" i="7"/>
  <c r="E1229" i="7" s="1"/>
  <c r="H1586" i="7"/>
  <c r="E1587" i="7" s="1"/>
  <c r="H154" i="7"/>
  <c r="E155" i="7" s="1"/>
  <c r="E154" i="10"/>
  <c r="H870" i="7"/>
  <c r="E871" i="7" s="1"/>
  <c r="H1049" i="7"/>
  <c r="E1050" i="7" s="1"/>
  <c r="H333" i="7"/>
  <c r="E334" i="7" s="1"/>
  <c r="E333" i="10"/>
  <c r="H691" i="7"/>
  <c r="E692" i="7" s="1"/>
  <c r="E691" i="10"/>
  <c r="H1407" i="7"/>
  <c r="E1408" i="7" s="1"/>
  <c r="H512" i="7"/>
  <c r="E513" i="7" s="1"/>
  <c r="E512" i="10"/>
  <c r="I154" i="11" l="1"/>
  <c r="I333" i="11"/>
  <c r="I870" i="11"/>
  <c r="I512" i="11"/>
  <c r="I1049" i="11"/>
  <c r="I691" i="11"/>
  <c r="E692" i="11"/>
  <c r="H2127" i="7"/>
  <c r="E2128" i="7" s="1"/>
  <c r="E873" i="10"/>
  <c r="I1049" i="10"/>
  <c r="J2303" i="7"/>
  <c r="J1049" i="10" s="1"/>
  <c r="L2303" i="7"/>
  <c r="L1049" i="10" s="1"/>
  <c r="P1049" i="10" s="1"/>
  <c r="K2303" i="7"/>
  <c r="K1049" i="10" s="1"/>
  <c r="J1765" i="7"/>
  <c r="J1049" i="11" s="1"/>
  <c r="K1765" i="7"/>
  <c r="K1049" i="11" s="1"/>
  <c r="J1049" i="7"/>
  <c r="J333" i="11" s="1"/>
  <c r="K1049" i="7"/>
  <c r="K333" i="11" s="1"/>
  <c r="J154" i="7"/>
  <c r="J154" i="10" s="1"/>
  <c r="K154" i="7"/>
  <c r="K154" i="10" s="1"/>
  <c r="J1407" i="7"/>
  <c r="J691" i="11" s="1"/>
  <c r="K1407" i="7"/>
  <c r="K691" i="11" s="1"/>
  <c r="J333" i="7"/>
  <c r="J333" i="10" s="1"/>
  <c r="K333" i="7"/>
  <c r="K333" i="10" s="1"/>
  <c r="J870" i="7"/>
  <c r="J154" i="11" s="1"/>
  <c r="K870" i="7"/>
  <c r="K154" i="11" s="1"/>
  <c r="J512" i="7"/>
  <c r="J512" i="10" s="1"/>
  <c r="K512" i="7"/>
  <c r="K512" i="10" s="1"/>
  <c r="J1586" i="7"/>
  <c r="J870" i="11" s="1"/>
  <c r="K1586" i="7"/>
  <c r="K870" i="11" s="1"/>
  <c r="J691" i="7"/>
  <c r="J691" i="10" s="1"/>
  <c r="K691" i="7"/>
  <c r="K691" i="10" s="1"/>
  <c r="J1228" i="7"/>
  <c r="J512" i="11" s="1"/>
  <c r="K1228" i="7"/>
  <c r="K512" i="11" s="1"/>
  <c r="I512" i="10"/>
  <c r="I691" i="10"/>
  <c r="I333" i="10"/>
  <c r="E334" i="11"/>
  <c r="E155" i="11"/>
  <c r="I154" i="10"/>
  <c r="E871" i="11"/>
  <c r="E513" i="11"/>
  <c r="E1050" i="11"/>
  <c r="H2304" i="7" l="1"/>
  <c r="E2305" i="7" s="1"/>
  <c r="E1050" i="10"/>
  <c r="I873" i="10"/>
  <c r="L2127" i="7"/>
  <c r="L873" i="10" s="1"/>
  <c r="P873" i="10" s="1"/>
  <c r="J2127" i="7"/>
  <c r="J873" i="10" s="1"/>
  <c r="K2127" i="7"/>
  <c r="K873" i="10" s="1"/>
  <c r="L1049" i="7"/>
  <c r="L333" i="11" s="1"/>
  <c r="P333" i="11" s="1"/>
  <c r="L154" i="7"/>
  <c r="L154" i="10" s="1"/>
  <c r="P154" i="10" s="1"/>
  <c r="L333" i="7"/>
  <c r="L333" i="10" s="1"/>
  <c r="P333" i="10" s="1"/>
  <c r="L691" i="7"/>
  <c r="L691" i="10" s="1"/>
  <c r="P691" i="10" s="1"/>
  <c r="L1586" i="7"/>
  <c r="L870" i="11" s="1"/>
  <c r="P870" i="11" s="1"/>
  <c r="L1765" i="7"/>
  <c r="L1049" i="11" s="1"/>
  <c r="P1049" i="11" s="1"/>
  <c r="L1228" i="7"/>
  <c r="L512" i="11" s="1"/>
  <c r="P512" i="11" s="1"/>
  <c r="L1407" i="7"/>
  <c r="L691" i="11" s="1"/>
  <c r="P691" i="11" s="1"/>
  <c r="L870" i="7"/>
  <c r="L154" i="11" s="1"/>
  <c r="P154" i="11" s="1"/>
  <c r="L512" i="7"/>
  <c r="L512" i="10" s="1"/>
  <c r="P512" i="10" s="1"/>
  <c r="H1766" i="7"/>
  <c r="E1767" i="7" s="1"/>
  <c r="H1229" i="7"/>
  <c r="E1230" i="7" s="1"/>
  <c r="H1587" i="7"/>
  <c r="E1588" i="7" s="1"/>
  <c r="H155" i="7"/>
  <c r="E156" i="7" s="1"/>
  <c r="E155" i="10"/>
  <c r="H871" i="7"/>
  <c r="E872" i="7" s="1"/>
  <c r="H1050" i="7"/>
  <c r="E1051" i="7" s="1"/>
  <c r="H334" i="7"/>
  <c r="E335" i="7" s="1"/>
  <c r="E334" i="10"/>
  <c r="H692" i="7"/>
  <c r="E693" i="7" s="1"/>
  <c r="E692" i="10"/>
  <c r="H1408" i="7"/>
  <c r="E1409" i="7" s="1"/>
  <c r="H513" i="7"/>
  <c r="E514" i="7" s="1"/>
  <c r="E513" i="10"/>
  <c r="I334" i="11" l="1"/>
  <c r="I155" i="11"/>
  <c r="I871" i="11"/>
  <c r="I513" i="11"/>
  <c r="I692" i="11"/>
  <c r="E693" i="11"/>
  <c r="I1050" i="11"/>
  <c r="E1051" i="11"/>
  <c r="H2128" i="7"/>
  <c r="E2129" i="7" s="1"/>
  <c r="E874" i="10"/>
  <c r="I1050" i="10"/>
  <c r="K2304" i="7"/>
  <c r="K1050" i="10" s="1"/>
  <c r="L2304" i="7"/>
  <c r="L1050" i="10" s="1"/>
  <c r="P1050" i="10" s="1"/>
  <c r="J2304" i="7"/>
  <c r="J1050" i="10" s="1"/>
  <c r="J871" i="7"/>
  <c r="J155" i="11" s="1"/>
  <c r="K871" i="7"/>
  <c r="K155" i="11" s="1"/>
  <c r="J334" i="7"/>
  <c r="J334" i="10" s="1"/>
  <c r="K334" i="7"/>
  <c r="K334" i="10" s="1"/>
  <c r="J1766" i="7"/>
  <c r="J1050" i="11" s="1"/>
  <c r="K1766" i="7"/>
  <c r="K1050" i="11" s="1"/>
  <c r="J513" i="7"/>
  <c r="J513" i="10" s="1"/>
  <c r="K513" i="7"/>
  <c r="K513" i="10" s="1"/>
  <c r="J155" i="7"/>
  <c r="J155" i="10" s="1"/>
  <c r="K155" i="7"/>
  <c r="K155" i="10" s="1"/>
  <c r="J1050" i="7"/>
  <c r="J334" i="11" s="1"/>
  <c r="K1050" i="7"/>
  <c r="K334" i="11" s="1"/>
  <c r="J1408" i="7"/>
  <c r="J692" i="11" s="1"/>
  <c r="K1408" i="7"/>
  <c r="K692" i="11" s="1"/>
  <c r="J1587" i="7"/>
  <c r="J871" i="11" s="1"/>
  <c r="K1587" i="7"/>
  <c r="K871" i="11" s="1"/>
  <c r="J692" i="7"/>
  <c r="J692" i="10" s="1"/>
  <c r="K692" i="7"/>
  <c r="K692" i="10" s="1"/>
  <c r="J1229" i="7"/>
  <c r="J513" i="11" s="1"/>
  <c r="K1229" i="7"/>
  <c r="K513" i="11" s="1"/>
  <c r="I513" i="10"/>
  <c r="I692" i="10"/>
  <c r="I334" i="10"/>
  <c r="E335" i="11"/>
  <c r="E156" i="11"/>
  <c r="I155" i="10"/>
  <c r="E872" i="11"/>
  <c r="E514" i="11"/>
  <c r="H2305" i="7" l="1"/>
  <c r="E2306" i="7" s="1"/>
  <c r="E1051" i="10"/>
  <c r="I874" i="10"/>
  <c r="J2128" i="7"/>
  <c r="J874" i="10" s="1"/>
  <c r="K2128" i="7"/>
  <c r="K874" i="10" s="1"/>
  <c r="L2128" i="7"/>
  <c r="L874" i="10" s="1"/>
  <c r="P874" i="10" s="1"/>
  <c r="L1050" i="7"/>
  <c r="L334" i="11" s="1"/>
  <c r="P334" i="11" s="1"/>
  <c r="L155" i="7"/>
  <c r="L155" i="10" s="1"/>
  <c r="P155" i="10" s="1"/>
  <c r="L334" i="7"/>
  <c r="L334" i="10" s="1"/>
  <c r="P334" i="10" s="1"/>
  <c r="L692" i="7"/>
  <c r="L692" i="10" s="1"/>
  <c r="P692" i="10" s="1"/>
  <c r="L1408" i="7"/>
  <c r="L692" i="11" s="1"/>
  <c r="P692" i="11" s="1"/>
  <c r="L871" i="7"/>
  <c r="L155" i="11" s="1"/>
  <c r="P155" i="11" s="1"/>
  <c r="L1766" i="7"/>
  <c r="L1050" i="11" s="1"/>
  <c r="P1050" i="11" s="1"/>
  <c r="L1229" i="7"/>
  <c r="L513" i="11" s="1"/>
  <c r="P513" i="11" s="1"/>
  <c r="L513" i="7"/>
  <c r="L513" i="10" s="1"/>
  <c r="P513" i="10" s="1"/>
  <c r="L1587" i="7"/>
  <c r="L871" i="11" s="1"/>
  <c r="P871" i="11" s="1"/>
  <c r="H1767" i="7"/>
  <c r="E1768" i="7" s="1"/>
  <c r="H1230" i="7"/>
  <c r="E1231" i="7" s="1"/>
  <c r="H1588" i="7"/>
  <c r="E1589" i="7" s="1"/>
  <c r="H156" i="7"/>
  <c r="E157" i="7" s="1"/>
  <c r="E156" i="10"/>
  <c r="H872" i="7"/>
  <c r="E873" i="7" s="1"/>
  <c r="H1051" i="7"/>
  <c r="E1052" i="7" s="1"/>
  <c r="H335" i="7"/>
  <c r="E336" i="7" s="1"/>
  <c r="E335" i="10"/>
  <c r="H693" i="7"/>
  <c r="E694" i="7" s="1"/>
  <c r="E693" i="10"/>
  <c r="H1409" i="7"/>
  <c r="E1410" i="7" s="1"/>
  <c r="H514" i="7"/>
  <c r="E515" i="7" s="1"/>
  <c r="E514" i="10"/>
  <c r="I335" i="11" l="1"/>
  <c r="E336" i="11"/>
  <c r="I514" i="11"/>
  <c r="E515" i="11"/>
  <c r="I156" i="11"/>
  <c r="I872" i="11"/>
  <c r="I1051" i="11"/>
  <c r="I693" i="11"/>
  <c r="E694" i="11"/>
  <c r="H2129" i="7"/>
  <c r="E2130" i="7" s="1"/>
  <c r="E875" i="10"/>
  <c r="I1051" i="10"/>
  <c r="J2305" i="7"/>
  <c r="J1051" i="10" s="1"/>
  <c r="K2305" i="7"/>
  <c r="K1051" i="10" s="1"/>
  <c r="L2305" i="7"/>
  <c r="L1051" i="10" s="1"/>
  <c r="P1051" i="10" s="1"/>
  <c r="J156" i="7"/>
  <c r="J156" i="10" s="1"/>
  <c r="K156" i="7"/>
  <c r="K156" i="10" s="1"/>
  <c r="J1051" i="7"/>
  <c r="J335" i="11" s="1"/>
  <c r="K1051" i="7"/>
  <c r="K335" i="11" s="1"/>
  <c r="J514" i="7"/>
  <c r="J514" i="10" s="1"/>
  <c r="K514" i="7"/>
  <c r="K514" i="10" s="1"/>
  <c r="J1409" i="7"/>
  <c r="J693" i="11" s="1"/>
  <c r="K1409" i="7"/>
  <c r="K693" i="11" s="1"/>
  <c r="J1588" i="7"/>
  <c r="J872" i="11" s="1"/>
  <c r="K1588" i="7"/>
  <c r="K872" i="11" s="1"/>
  <c r="J335" i="7"/>
  <c r="J335" i="10" s="1"/>
  <c r="K335" i="7"/>
  <c r="K335" i="10" s="1"/>
  <c r="J1767" i="7"/>
  <c r="J1051" i="11" s="1"/>
  <c r="K1767" i="7"/>
  <c r="K1051" i="11" s="1"/>
  <c r="J872" i="7"/>
  <c r="J156" i="11" s="1"/>
  <c r="K872" i="7"/>
  <c r="K156" i="11" s="1"/>
  <c r="J693" i="7"/>
  <c r="J693" i="10" s="1"/>
  <c r="K693" i="7"/>
  <c r="K693" i="10" s="1"/>
  <c r="J1230" i="7"/>
  <c r="J514" i="11" s="1"/>
  <c r="K1230" i="7"/>
  <c r="K514" i="11" s="1"/>
  <c r="I514" i="10"/>
  <c r="I693" i="10"/>
  <c r="I335" i="10"/>
  <c r="E157" i="11"/>
  <c r="I156" i="10"/>
  <c r="E873" i="11"/>
  <c r="E1052" i="11"/>
  <c r="H2306" i="7" l="1"/>
  <c r="E2307" i="7" s="1"/>
  <c r="E1052" i="10"/>
  <c r="I875" i="10"/>
  <c r="K2129" i="7"/>
  <c r="K875" i="10" s="1"/>
  <c r="J2129" i="7"/>
  <c r="J875" i="10" s="1"/>
  <c r="L2129" i="7"/>
  <c r="L875" i="10" s="1"/>
  <c r="P875" i="10" s="1"/>
  <c r="L1051" i="7"/>
  <c r="L335" i="11" s="1"/>
  <c r="P335" i="11" s="1"/>
  <c r="L335" i="7"/>
  <c r="L335" i="10" s="1"/>
  <c r="P335" i="10" s="1"/>
  <c r="L156" i="7"/>
  <c r="L156" i="10" s="1"/>
  <c r="P156" i="10" s="1"/>
  <c r="L1588" i="7"/>
  <c r="L872" i="11" s="1"/>
  <c r="P872" i="11" s="1"/>
  <c r="L693" i="7"/>
  <c r="L693" i="10" s="1"/>
  <c r="P693" i="10" s="1"/>
  <c r="L1767" i="7"/>
  <c r="L1051" i="11" s="1"/>
  <c r="P1051" i="11" s="1"/>
  <c r="L1230" i="7"/>
  <c r="L514" i="11" s="1"/>
  <c r="P514" i="11" s="1"/>
  <c r="L1409" i="7"/>
  <c r="L693" i="11" s="1"/>
  <c r="P693" i="11" s="1"/>
  <c r="L872" i="7"/>
  <c r="L156" i="11" s="1"/>
  <c r="P156" i="11" s="1"/>
  <c r="L514" i="7"/>
  <c r="L514" i="10" s="1"/>
  <c r="P514" i="10" s="1"/>
  <c r="H1768" i="7"/>
  <c r="E1769" i="7" s="1"/>
  <c r="H1231" i="7"/>
  <c r="E1232" i="7" s="1"/>
  <c r="H1589" i="7"/>
  <c r="E1590" i="7" s="1"/>
  <c r="H157" i="7"/>
  <c r="E158" i="7" s="1"/>
  <c r="E157" i="10"/>
  <c r="H873" i="7"/>
  <c r="E874" i="7" s="1"/>
  <c r="H1052" i="7"/>
  <c r="E1053" i="7" s="1"/>
  <c r="H336" i="7"/>
  <c r="E337" i="7" s="1"/>
  <c r="E336" i="10"/>
  <c r="H694" i="7"/>
  <c r="E695" i="7" s="1"/>
  <c r="E694" i="10"/>
  <c r="H1410" i="7"/>
  <c r="E1411" i="7" s="1"/>
  <c r="H515" i="7"/>
  <c r="E516" i="7" s="1"/>
  <c r="E515" i="10"/>
  <c r="I336" i="11" l="1"/>
  <c r="E337" i="11"/>
  <c r="I157" i="11"/>
  <c r="E158" i="11"/>
  <c r="I873" i="11"/>
  <c r="I515" i="11"/>
  <c r="I694" i="11"/>
  <c r="E695" i="11"/>
  <c r="I1052" i="11"/>
  <c r="E1053" i="11"/>
  <c r="H2130" i="7"/>
  <c r="E2131" i="7" s="1"/>
  <c r="E876" i="10"/>
  <c r="I1052" i="10"/>
  <c r="L2306" i="7"/>
  <c r="L1052" i="10" s="1"/>
  <c r="P1052" i="10" s="1"/>
  <c r="J2306" i="7"/>
  <c r="J1052" i="10" s="1"/>
  <c r="K2306" i="7"/>
  <c r="K1052" i="10" s="1"/>
  <c r="J515" i="7"/>
  <c r="J515" i="10" s="1"/>
  <c r="K515" i="7"/>
  <c r="K515" i="10" s="1"/>
  <c r="J336" i="7"/>
  <c r="J336" i="10" s="1"/>
  <c r="K336" i="7"/>
  <c r="K336" i="10" s="1"/>
  <c r="J1768" i="7"/>
  <c r="J1052" i="11" s="1"/>
  <c r="K1768" i="7"/>
  <c r="K1052" i="11" s="1"/>
  <c r="J1052" i="7"/>
  <c r="J336" i="11" s="1"/>
  <c r="K1052" i="7"/>
  <c r="K336" i="11" s="1"/>
  <c r="J1410" i="7"/>
  <c r="J694" i="11" s="1"/>
  <c r="K1410" i="7"/>
  <c r="K694" i="11" s="1"/>
  <c r="J1589" i="7"/>
  <c r="J873" i="11" s="1"/>
  <c r="K1589" i="7"/>
  <c r="K873" i="11" s="1"/>
  <c r="J873" i="7"/>
  <c r="J157" i="11" s="1"/>
  <c r="K873" i="7"/>
  <c r="K157" i="11" s="1"/>
  <c r="J157" i="7"/>
  <c r="J157" i="10" s="1"/>
  <c r="K157" i="7"/>
  <c r="K157" i="10" s="1"/>
  <c r="J694" i="7"/>
  <c r="J694" i="10" s="1"/>
  <c r="K694" i="7"/>
  <c r="K694" i="10" s="1"/>
  <c r="J1231" i="7"/>
  <c r="J515" i="11" s="1"/>
  <c r="K1231" i="7"/>
  <c r="K515" i="11" s="1"/>
  <c r="I515" i="10"/>
  <c r="I694" i="10"/>
  <c r="I336" i="10"/>
  <c r="I157" i="10"/>
  <c r="E874" i="11"/>
  <c r="E516" i="11"/>
  <c r="H2307" i="7" l="1"/>
  <c r="E2308" i="7" s="1"/>
  <c r="E1053" i="10"/>
  <c r="I876" i="10"/>
  <c r="L2130" i="7"/>
  <c r="L876" i="10" s="1"/>
  <c r="P876" i="10" s="1"/>
  <c r="J2130" i="7"/>
  <c r="J876" i="10" s="1"/>
  <c r="K2130" i="7"/>
  <c r="K876" i="10" s="1"/>
  <c r="L1052" i="7"/>
  <c r="L336" i="11" s="1"/>
  <c r="P336" i="11" s="1"/>
  <c r="L157" i="7"/>
  <c r="L157" i="10" s="1"/>
  <c r="P157" i="10" s="1"/>
  <c r="L336" i="7"/>
  <c r="L336" i="10" s="1"/>
  <c r="P336" i="10" s="1"/>
  <c r="L1768" i="7"/>
  <c r="L1052" i="11" s="1"/>
  <c r="P1052" i="11" s="1"/>
  <c r="L1410" i="7"/>
  <c r="L694" i="11" s="1"/>
  <c r="P694" i="11" s="1"/>
  <c r="L873" i="7"/>
  <c r="L157" i="11" s="1"/>
  <c r="P157" i="11" s="1"/>
  <c r="L694" i="7"/>
  <c r="L694" i="10" s="1"/>
  <c r="P694" i="10" s="1"/>
  <c r="L1231" i="7"/>
  <c r="L515" i="11" s="1"/>
  <c r="P515" i="11" s="1"/>
  <c r="L515" i="7"/>
  <c r="L515" i="10" s="1"/>
  <c r="P515" i="10" s="1"/>
  <c r="L1589" i="7"/>
  <c r="L873" i="11" s="1"/>
  <c r="P873" i="11" s="1"/>
  <c r="H1769" i="7"/>
  <c r="E1770" i="7" s="1"/>
  <c r="H1232" i="7"/>
  <c r="E1233" i="7" s="1"/>
  <c r="H1590" i="7"/>
  <c r="E1591" i="7" s="1"/>
  <c r="H158" i="7"/>
  <c r="E159" i="7" s="1"/>
  <c r="E158" i="10"/>
  <c r="H874" i="7"/>
  <c r="E875" i="7" s="1"/>
  <c r="H1053" i="7"/>
  <c r="E1054" i="7" s="1"/>
  <c r="H337" i="7"/>
  <c r="E338" i="7" s="1"/>
  <c r="E337" i="10"/>
  <c r="H695" i="7"/>
  <c r="E696" i="7" s="1"/>
  <c r="E695" i="10"/>
  <c r="H1411" i="7"/>
  <c r="E1412" i="7" s="1"/>
  <c r="H516" i="7"/>
  <c r="E517" i="7" s="1"/>
  <c r="E516" i="10"/>
  <c r="I158" i="11" l="1"/>
  <c r="E159" i="11"/>
  <c r="I1053" i="11"/>
  <c r="E1054" i="11"/>
  <c r="I695" i="11"/>
  <c r="E696" i="11"/>
  <c r="I337" i="11"/>
  <c r="E338" i="11"/>
  <c r="I874" i="11"/>
  <c r="E875" i="11"/>
  <c r="I516" i="11"/>
  <c r="E517" i="11"/>
  <c r="H2131" i="7"/>
  <c r="E2132" i="7" s="1"/>
  <c r="E877" i="10"/>
  <c r="I1053" i="10"/>
  <c r="L2307" i="7"/>
  <c r="L1053" i="10" s="1"/>
  <c r="P1053" i="10" s="1"/>
  <c r="K2307" i="7"/>
  <c r="K1053" i="10" s="1"/>
  <c r="J2307" i="7"/>
  <c r="J1053" i="10" s="1"/>
  <c r="J1769" i="7"/>
  <c r="J1053" i="11" s="1"/>
  <c r="K1769" i="7"/>
  <c r="K1053" i="11" s="1"/>
  <c r="J516" i="7"/>
  <c r="J516" i="10" s="1"/>
  <c r="K516" i="7"/>
  <c r="K516" i="10" s="1"/>
  <c r="J337" i="7"/>
  <c r="J337" i="10" s="1"/>
  <c r="K337" i="7"/>
  <c r="K337" i="10" s="1"/>
  <c r="J1053" i="7"/>
  <c r="J337" i="11" s="1"/>
  <c r="K1053" i="7"/>
  <c r="K337" i="11" s="1"/>
  <c r="J874" i="7"/>
  <c r="J158" i="11" s="1"/>
  <c r="K874" i="7"/>
  <c r="K158" i="11" s="1"/>
  <c r="J1411" i="7"/>
  <c r="J695" i="11" s="1"/>
  <c r="K1411" i="7"/>
  <c r="K695" i="11" s="1"/>
  <c r="J1590" i="7"/>
  <c r="J874" i="11" s="1"/>
  <c r="K1590" i="7"/>
  <c r="K874" i="11" s="1"/>
  <c r="J158" i="7"/>
  <c r="J158" i="10" s="1"/>
  <c r="K158" i="7"/>
  <c r="K158" i="10" s="1"/>
  <c r="J695" i="7"/>
  <c r="J695" i="10" s="1"/>
  <c r="K695" i="7"/>
  <c r="K695" i="10" s="1"/>
  <c r="J1232" i="7"/>
  <c r="J516" i="11" s="1"/>
  <c r="K1232" i="7"/>
  <c r="K516" i="11" s="1"/>
  <c r="I516" i="10"/>
  <c r="I695" i="10"/>
  <c r="I337" i="10"/>
  <c r="I158" i="10"/>
  <c r="H2308" i="7" l="1"/>
  <c r="E2309" i="7" s="1"/>
  <c r="E1054" i="10"/>
  <c r="I877" i="10"/>
  <c r="J2131" i="7"/>
  <c r="J877" i="10" s="1"/>
  <c r="K2131" i="7"/>
  <c r="K877" i="10" s="1"/>
  <c r="L2131" i="7"/>
  <c r="L877" i="10" s="1"/>
  <c r="P877" i="10" s="1"/>
  <c r="L1053" i="7"/>
  <c r="L337" i="11" s="1"/>
  <c r="P337" i="11" s="1"/>
  <c r="L158" i="7"/>
  <c r="L158" i="10" s="1"/>
  <c r="P158" i="10" s="1"/>
  <c r="L337" i="7"/>
  <c r="L337" i="10" s="1"/>
  <c r="P337" i="10" s="1"/>
  <c r="L1590" i="7"/>
  <c r="L874" i="11" s="1"/>
  <c r="P874" i="11" s="1"/>
  <c r="L695" i="7"/>
  <c r="L695" i="10" s="1"/>
  <c r="P695" i="10" s="1"/>
  <c r="L1411" i="7"/>
  <c r="L695" i="11" s="1"/>
  <c r="P695" i="11" s="1"/>
  <c r="L1769" i="7"/>
  <c r="L1053" i="11" s="1"/>
  <c r="P1053" i="11" s="1"/>
  <c r="L1232" i="7"/>
  <c r="L516" i="11" s="1"/>
  <c r="P516" i="11" s="1"/>
  <c r="L874" i="7"/>
  <c r="L158" i="11" s="1"/>
  <c r="P158" i="11" s="1"/>
  <c r="L516" i="7"/>
  <c r="L516" i="10" s="1"/>
  <c r="P516" i="10" s="1"/>
  <c r="H1770" i="7"/>
  <c r="E1771" i="7" s="1"/>
  <c r="H1233" i="7"/>
  <c r="E1234" i="7" s="1"/>
  <c r="H1591" i="7"/>
  <c r="E1592" i="7" s="1"/>
  <c r="H159" i="7"/>
  <c r="E160" i="7" s="1"/>
  <c r="E159" i="10"/>
  <c r="H875" i="7"/>
  <c r="E876" i="7" s="1"/>
  <c r="H1054" i="7"/>
  <c r="E1055" i="7" s="1"/>
  <c r="H338" i="7"/>
  <c r="E339" i="7" s="1"/>
  <c r="E338" i="10"/>
  <c r="H696" i="7"/>
  <c r="E697" i="7" s="1"/>
  <c r="E696" i="10"/>
  <c r="H1412" i="7"/>
  <c r="E1413" i="7" s="1"/>
  <c r="H517" i="7"/>
  <c r="E518" i="7" s="1"/>
  <c r="E517" i="10"/>
  <c r="I875" i="11" l="1"/>
  <c r="E876" i="11"/>
  <c r="I517" i="11"/>
  <c r="E518" i="11"/>
  <c r="I338" i="11"/>
  <c r="E339" i="11"/>
  <c r="I159" i="11"/>
  <c r="I1054" i="11"/>
  <c r="I696" i="11"/>
  <c r="E697" i="11"/>
  <c r="H2132" i="7"/>
  <c r="E2133" i="7" s="1"/>
  <c r="E878" i="10"/>
  <c r="I1054" i="10"/>
  <c r="J2308" i="7"/>
  <c r="J1054" i="10" s="1"/>
  <c r="K2308" i="7"/>
  <c r="K1054" i="10" s="1"/>
  <c r="L2308" i="7"/>
  <c r="L1054" i="10" s="1"/>
  <c r="P1054" i="10" s="1"/>
  <c r="J1770" i="7"/>
  <c r="J1054" i="11" s="1"/>
  <c r="K1770" i="7"/>
  <c r="K1054" i="11" s="1"/>
  <c r="J875" i="7"/>
  <c r="J159" i="11" s="1"/>
  <c r="K875" i="7"/>
  <c r="K159" i="11" s="1"/>
  <c r="J517" i="7"/>
  <c r="J517" i="10" s="1"/>
  <c r="K517" i="7"/>
  <c r="K517" i="10" s="1"/>
  <c r="J1591" i="7"/>
  <c r="J875" i="11" s="1"/>
  <c r="K1591" i="7"/>
  <c r="K875" i="11" s="1"/>
  <c r="J159" i="7"/>
  <c r="J159" i="10" s="1"/>
  <c r="K159" i="7"/>
  <c r="K159" i="10" s="1"/>
  <c r="J338" i="7"/>
  <c r="J338" i="10" s="1"/>
  <c r="K338" i="7"/>
  <c r="K338" i="10" s="1"/>
  <c r="J1054" i="7"/>
  <c r="J338" i="11" s="1"/>
  <c r="K1054" i="7"/>
  <c r="K338" i="11" s="1"/>
  <c r="J1412" i="7"/>
  <c r="J696" i="11" s="1"/>
  <c r="K1412" i="7"/>
  <c r="K696" i="11" s="1"/>
  <c r="J696" i="7"/>
  <c r="L696" i="7" s="1"/>
  <c r="L696" i="10" s="1"/>
  <c r="P696" i="10" s="1"/>
  <c r="K696" i="7"/>
  <c r="K696" i="10" s="1"/>
  <c r="J1233" i="7"/>
  <c r="J517" i="11" s="1"/>
  <c r="K1233" i="7"/>
  <c r="K517" i="11" s="1"/>
  <c r="I517" i="10"/>
  <c r="I696" i="10"/>
  <c r="I338" i="10"/>
  <c r="E160" i="11"/>
  <c r="I159" i="10"/>
  <c r="E1055" i="11"/>
  <c r="H2309" i="7" l="1"/>
  <c r="E2310" i="7" s="1"/>
  <c r="E1055" i="10"/>
  <c r="I878" i="10"/>
  <c r="L2132" i="7"/>
  <c r="L878" i="10" s="1"/>
  <c r="P878" i="10" s="1"/>
  <c r="J2132" i="7"/>
  <c r="J878" i="10" s="1"/>
  <c r="K2132" i="7"/>
  <c r="K878" i="10" s="1"/>
  <c r="J696" i="10"/>
  <c r="L1054" i="7"/>
  <c r="L338" i="11" s="1"/>
  <c r="P338" i="11" s="1"/>
  <c r="L159" i="7"/>
  <c r="L159" i="10" s="1"/>
  <c r="P159" i="10" s="1"/>
  <c r="L338" i="7"/>
  <c r="L338" i="10" s="1"/>
  <c r="P338" i="10" s="1"/>
  <c r="L1412" i="7"/>
  <c r="L696" i="11" s="1"/>
  <c r="P696" i="11" s="1"/>
  <c r="L1233" i="7"/>
  <c r="L517" i="11" s="1"/>
  <c r="P517" i="11" s="1"/>
  <c r="L1591" i="7"/>
  <c r="L875" i="11" s="1"/>
  <c r="P875" i="11" s="1"/>
  <c r="L1770" i="7"/>
  <c r="L1054" i="11" s="1"/>
  <c r="P1054" i="11" s="1"/>
  <c r="L875" i="7"/>
  <c r="L159" i="11" s="1"/>
  <c r="P159" i="11" s="1"/>
  <c r="L517" i="7"/>
  <c r="L517" i="10" s="1"/>
  <c r="P517" i="10" s="1"/>
  <c r="H1771" i="7"/>
  <c r="E1772" i="7" s="1"/>
  <c r="H1234" i="7"/>
  <c r="E1235" i="7" s="1"/>
  <c r="H1592" i="7"/>
  <c r="E1593" i="7" s="1"/>
  <c r="H160" i="7"/>
  <c r="E161" i="7" s="1"/>
  <c r="E160" i="10"/>
  <c r="H876" i="7"/>
  <c r="E877" i="7" s="1"/>
  <c r="H1055" i="7"/>
  <c r="E1056" i="7" s="1"/>
  <c r="H339" i="7"/>
  <c r="E340" i="7" s="1"/>
  <c r="E339" i="10"/>
  <c r="H697" i="7"/>
  <c r="E698" i="7" s="1"/>
  <c r="E697" i="10"/>
  <c r="H1413" i="7"/>
  <c r="E1414" i="7" s="1"/>
  <c r="H518" i="7"/>
  <c r="E519" i="7" s="1"/>
  <c r="E518" i="10"/>
  <c r="I339" i="11" l="1"/>
  <c r="I160" i="11"/>
  <c r="E161" i="11"/>
  <c r="I876" i="11"/>
  <c r="E877" i="11"/>
  <c r="I518" i="11"/>
  <c r="I1055" i="11"/>
  <c r="I697" i="11"/>
  <c r="E698" i="11"/>
  <c r="H2133" i="7"/>
  <c r="E2134" i="7" s="1"/>
  <c r="E879" i="10"/>
  <c r="I1055" i="10"/>
  <c r="K2309" i="7"/>
  <c r="K1055" i="10" s="1"/>
  <c r="J2309" i="7"/>
  <c r="J1055" i="10" s="1"/>
  <c r="L2309" i="7"/>
  <c r="L1055" i="10" s="1"/>
  <c r="P1055" i="10" s="1"/>
  <c r="J697" i="7"/>
  <c r="J697" i="10" s="1"/>
  <c r="K697" i="7"/>
  <c r="K697" i="10" s="1"/>
  <c r="J1234" i="7"/>
  <c r="J518" i="11" s="1"/>
  <c r="K1234" i="7"/>
  <c r="K518" i="11" s="1"/>
  <c r="J1771" i="7"/>
  <c r="J1055" i="11" s="1"/>
  <c r="K1771" i="7"/>
  <c r="K1055" i="11" s="1"/>
  <c r="J518" i="7"/>
  <c r="J518" i="10" s="1"/>
  <c r="K518" i="7"/>
  <c r="K518" i="10" s="1"/>
  <c r="J339" i="7"/>
  <c r="J339" i="10" s="1"/>
  <c r="K339" i="7"/>
  <c r="K339" i="10" s="1"/>
  <c r="J1055" i="7"/>
  <c r="J339" i="11" s="1"/>
  <c r="K1055" i="7"/>
  <c r="K339" i="11" s="1"/>
  <c r="J876" i="7"/>
  <c r="J160" i="11" s="1"/>
  <c r="K876" i="7"/>
  <c r="K160" i="11" s="1"/>
  <c r="J160" i="7"/>
  <c r="J160" i="10" s="1"/>
  <c r="K160" i="7"/>
  <c r="K160" i="10" s="1"/>
  <c r="J1413" i="7"/>
  <c r="J697" i="11" s="1"/>
  <c r="K1413" i="7"/>
  <c r="K697" i="11" s="1"/>
  <c r="J1592" i="7"/>
  <c r="J876" i="11" s="1"/>
  <c r="K1592" i="7"/>
  <c r="K876" i="11" s="1"/>
  <c r="I518" i="10"/>
  <c r="I697" i="10"/>
  <c r="I339" i="10"/>
  <c r="E340" i="11"/>
  <c r="I160" i="10"/>
  <c r="E519" i="11"/>
  <c r="E1056" i="11"/>
  <c r="H2310" i="7" l="1"/>
  <c r="E2311" i="7" s="1"/>
  <c r="E1056" i="10"/>
  <c r="I879" i="10"/>
  <c r="K2133" i="7"/>
  <c r="K879" i="10" s="1"/>
  <c r="L2133" i="7"/>
  <c r="L879" i="10" s="1"/>
  <c r="P879" i="10" s="1"/>
  <c r="J2133" i="7"/>
  <c r="J879" i="10" s="1"/>
  <c r="L1055" i="7"/>
  <c r="L339" i="11" s="1"/>
  <c r="P339" i="11" s="1"/>
  <c r="L160" i="7"/>
  <c r="L160" i="10" s="1"/>
  <c r="P160" i="10" s="1"/>
  <c r="L339" i="7"/>
  <c r="L339" i="10" s="1"/>
  <c r="P339" i="10" s="1"/>
  <c r="L1592" i="7"/>
  <c r="L876" i="11" s="1"/>
  <c r="P876" i="11" s="1"/>
  <c r="L697" i="7"/>
  <c r="L697" i="10" s="1"/>
  <c r="P697" i="10" s="1"/>
  <c r="L1771" i="7"/>
  <c r="L1055" i="11" s="1"/>
  <c r="P1055" i="11" s="1"/>
  <c r="L1234" i="7"/>
  <c r="L518" i="11" s="1"/>
  <c r="P518" i="11" s="1"/>
  <c r="L1413" i="7"/>
  <c r="L697" i="11" s="1"/>
  <c r="P697" i="11" s="1"/>
  <c r="L876" i="7"/>
  <c r="L160" i="11" s="1"/>
  <c r="P160" i="11" s="1"/>
  <c r="L518" i="7"/>
  <c r="L518" i="10" s="1"/>
  <c r="P518" i="10" s="1"/>
  <c r="H1772" i="7"/>
  <c r="E1773" i="7" s="1"/>
  <c r="H1235" i="7"/>
  <c r="E1236" i="7" s="1"/>
  <c r="H1593" i="7"/>
  <c r="E1594" i="7" s="1"/>
  <c r="H161" i="7"/>
  <c r="E162" i="7" s="1"/>
  <c r="E161" i="10"/>
  <c r="H877" i="7"/>
  <c r="E878" i="7" s="1"/>
  <c r="H1056" i="7"/>
  <c r="E1057" i="7" s="1"/>
  <c r="H340" i="7"/>
  <c r="E341" i="7" s="1"/>
  <c r="E340" i="10"/>
  <c r="H698" i="7"/>
  <c r="E699" i="7" s="1"/>
  <c r="E698" i="10"/>
  <c r="H1414" i="7"/>
  <c r="E1415" i="7" s="1"/>
  <c r="H519" i="7"/>
  <c r="E520" i="7" s="1"/>
  <c r="E519" i="10"/>
  <c r="I698" i="11" l="1"/>
  <c r="I340" i="11"/>
  <c r="I161" i="11"/>
  <c r="I877" i="11"/>
  <c r="I519" i="11"/>
  <c r="E520" i="11"/>
  <c r="I1056" i="11"/>
  <c r="E1057" i="11"/>
  <c r="H2134" i="7"/>
  <c r="E2135" i="7" s="1"/>
  <c r="E880" i="10"/>
  <c r="I1056" i="10"/>
  <c r="J2310" i="7"/>
  <c r="J1056" i="10" s="1"/>
  <c r="L2310" i="7"/>
  <c r="L1056" i="10" s="1"/>
  <c r="P1056" i="10" s="1"/>
  <c r="K2310" i="7"/>
  <c r="K1056" i="10" s="1"/>
  <c r="J1772" i="7"/>
  <c r="J1056" i="11" s="1"/>
  <c r="K1772" i="7"/>
  <c r="K1056" i="11" s="1"/>
  <c r="J340" i="7"/>
  <c r="J340" i="10" s="1"/>
  <c r="K340" i="7"/>
  <c r="K340" i="10" s="1"/>
  <c r="J1056" i="7"/>
  <c r="J340" i="11" s="1"/>
  <c r="K1056" i="7"/>
  <c r="K340" i="11" s="1"/>
  <c r="J877" i="7"/>
  <c r="J161" i="11" s="1"/>
  <c r="K877" i="7"/>
  <c r="K161" i="11" s="1"/>
  <c r="J519" i="7"/>
  <c r="J519" i="10" s="1"/>
  <c r="K519" i="7"/>
  <c r="K519" i="10" s="1"/>
  <c r="J161" i="7"/>
  <c r="J161" i="10" s="1"/>
  <c r="K161" i="7"/>
  <c r="K161" i="10" s="1"/>
  <c r="J1414" i="7"/>
  <c r="J698" i="11" s="1"/>
  <c r="K1414" i="7"/>
  <c r="K698" i="11" s="1"/>
  <c r="J1593" i="7"/>
  <c r="J877" i="11" s="1"/>
  <c r="K1593" i="7"/>
  <c r="K877" i="11" s="1"/>
  <c r="J698" i="7"/>
  <c r="J698" i="10" s="1"/>
  <c r="K698" i="7"/>
  <c r="K698" i="10" s="1"/>
  <c r="J1235" i="7"/>
  <c r="J519" i="11" s="1"/>
  <c r="K1235" i="7"/>
  <c r="K519" i="11" s="1"/>
  <c r="I519" i="10"/>
  <c r="E699" i="11"/>
  <c r="I698" i="10"/>
  <c r="I340" i="10"/>
  <c r="E341" i="11"/>
  <c r="E162" i="11"/>
  <c r="I161" i="10"/>
  <c r="E878" i="11"/>
  <c r="H2311" i="7" l="1"/>
  <c r="E2312" i="7" s="1"/>
  <c r="E1057" i="10"/>
  <c r="I880" i="10"/>
  <c r="J2134" i="7"/>
  <c r="J880" i="10" s="1"/>
  <c r="K2134" i="7"/>
  <c r="K880" i="10" s="1"/>
  <c r="L2134" i="7"/>
  <c r="L880" i="10" s="1"/>
  <c r="P880" i="10" s="1"/>
  <c r="L1056" i="7"/>
  <c r="L340" i="11" s="1"/>
  <c r="P340" i="11" s="1"/>
  <c r="L161" i="7"/>
  <c r="L161" i="10" s="1"/>
  <c r="P161" i="10" s="1"/>
  <c r="L340" i="7"/>
  <c r="L340" i="10" s="1"/>
  <c r="P340" i="10" s="1"/>
  <c r="L698" i="7"/>
  <c r="L698" i="10" s="1"/>
  <c r="P698" i="10" s="1"/>
  <c r="L1593" i="7"/>
  <c r="L877" i="11" s="1"/>
  <c r="P877" i="11" s="1"/>
  <c r="L1772" i="7"/>
  <c r="L1056" i="11" s="1"/>
  <c r="P1056" i="11" s="1"/>
  <c r="L1414" i="7"/>
  <c r="L698" i="11" s="1"/>
  <c r="P698" i="11" s="1"/>
  <c r="L877" i="7"/>
  <c r="L161" i="11" s="1"/>
  <c r="P161" i="11" s="1"/>
  <c r="L519" i="7"/>
  <c r="L519" i="10" s="1"/>
  <c r="P519" i="10" s="1"/>
  <c r="L1235" i="7"/>
  <c r="L519" i="11" s="1"/>
  <c r="P519" i="11" s="1"/>
  <c r="H1773" i="7"/>
  <c r="E1774" i="7" s="1"/>
  <c r="H1236" i="7"/>
  <c r="E1237" i="7" s="1"/>
  <c r="H1594" i="7"/>
  <c r="E1595" i="7" s="1"/>
  <c r="H162" i="7"/>
  <c r="E163" i="7" s="1"/>
  <c r="E162" i="10"/>
  <c r="H878" i="7"/>
  <c r="E879" i="7" s="1"/>
  <c r="H1057" i="7"/>
  <c r="E1058" i="7" s="1"/>
  <c r="H341" i="7"/>
  <c r="E342" i="7" s="1"/>
  <c r="E341" i="10"/>
  <c r="H699" i="7"/>
  <c r="E700" i="7" s="1"/>
  <c r="E699" i="10"/>
  <c r="H1415" i="7"/>
  <c r="E1416" i="7" s="1"/>
  <c r="H520" i="7"/>
  <c r="E521" i="7" s="1"/>
  <c r="E520" i="10"/>
  <c r="I1057" i="11" l="1"/>
  <c r="I699" i="11"/>
  <c r="I341" i="11"/>
  <c r="I162" i="11"/>
  <c r="E163" i="11"/>
  <c r="I878" i="11"/>
  <c r="E879" i="11"/>
  <c r="I520" i="11"/>
  <c r="E521" i="11"/>
  <c r="H2135" i="7"/>
  <c r="E2136" i="7" s="1"/>
  <c r="E881" i="10"/>
  <c r="I1057" i="10"/>
  <c r="J2311" i="7"/>
  <c r="J1057" i="10" s="1"/>
  <c r="L2311" i="7"/>
  <c r="L1057" i="10" s="1"/>
  <c r="P1057" i="10" s="1"/>
  <c r="K2311" i="7"/>
  <c r="K1057" i="10" s="1"/>
  <c r="J341" i="7"/>
  <c r="J341" i="10" s="1"/>
  <c r="K341" i="7"/>
  <c r="K341" i="10" s="1"/>
  <c r="J1057" i="7"/>
  <c r="J341" i="11" s="1"/>
  <c r="K1057" i="7"/>
  <c r="K341" i="11" s="1"/>
  <c r="J1773" i="7"/>
  <c r="J1057" i="11" s="1"/>
  <c r="K1773" i="7"/>
  <c r="K1057" i="11" s="1"/>
  <c r="J878" i="7"/>
  <c r="J162" i="11" s="1"/>
  <c r="K878" i="7"/>
  <c r="K162" i="11" s="1"/>
  <c r="J520" i="7"/>
  <c r="J520" i="10" s="1"/>
  <c r="K520" i="7"/>
  <c r="K520" i="10" s="1"/>
  <c r="J162" i="7"/>
  <c r="J162" i="10" s="1"/>
  <c r="K162" i="7"/>
  <c r="K162" i="10" s="1"/>
  <c r="J1415" i="7"/>
  <c r="J699" i="11" s="1"/>
  <c r="K1415" i="7"/>
  <c r="K699" i="11" s="1"/>
  <c r="J1594" i="7"/>
  <c r="J878" i="11" s="1"/>
  <c r="K1594" i="7"/>
  <c r="K878" i="11" s="1"/>
  <c r="J699" i="7"/>
  <c r="J699" i="10" s="1"/>
  <c r="K699" i="7"/>
  <c r="K699" i="10" s="1"/>
  <c r="J1236" i="7"/>
  <c r="J520" i="11" s="1"/>
  <c r="K1236" i="7"/>
  <c r="K520" i="11" s="1"/>
  <c r="I520" i="10"/>
  <c r="E700" i="11"/>
  <c r="I699" i="10"/>
  <c r="I341" i="10"/>
  <c r="E342" i="11"/>
  <c r="I162" i="10"/>
  <c r="E1058" i="11"/>
  <c r="H2312" i="7" l="1"/>
  <c r="E2313" i="7" s="1"/>
  <c r="E1058" i="10"/>
  <c r="I881" i="10"/>
  <c r="L2135" i="7"/>
  <c r="L881" i="10" s="1"/>
  <c r="P881" i="10" s="1"/>
  <c r="J2135" i="7"/>
  <c r="J881" i="10" s="1"/>
  <c r="K2135" i="7"/>
  <c r="K881" i="10" s="1"/>
  <c r="L1057" i="7"/>
  <c r="L341" i="11" s="1"/>
  <c r="P341" i="11" s="1"/>
  <c r="L162" i="7"/>
  <c r="L162" i="10" s="1"/>
  <c r="P162" i="10" s="1"/>
  <c r="L341" i="7"/>
  <c r="L341" i="10" s="1"/>
  <c r="P341" i="10" s="1"/>
  <c r="L1773" i="7"/>
  <c r="L1057" i="11" s="1"/>
  <c r="P1057" i="11" s="1"/>
  <c r="L1415" i="7"/>
  <c r="L699" i="11" s="1"/>
  <c r="P699" i="11" s="1"/>
  <c r="L699" i="7"/>
  <c r="L699" i="10" s="1"/>
  <c r="P699" i="10" s="1"/>
  <c r="L1236" i="7"/>
  <c r="L520" i="11" s="1"/>
  <c r="P520" i="11" s="1"/>
  <c r="L878" i="7"/>
  <c r="L162" i="11" s="1"/>
  <c r="P162" i="11" s="1"/>
  <c r="L1594" i="7"/>
  <c r="L878" i="11" s="1"/>
  <c r="P878" i="11" s="1"/>
  <c r="L520" i="7"/>
  <c r="L520" i="10" s="1"/>
  <c r="P520" i="10" s="1"/>
  <c r="H1774" i="7"/>
  <c r="E1775" i="7" s="1"/>
  <c r="H1237" i="7"/>
  <c r="E1238" i="7" s="1"/>
  <c r="H1595" i="7"/>
  <c r="E1596" i="7" s="1"/>
  <c r="H163" i="7"/>
  <c r="E164" i="7" s="1"/>
  <c r="E163" i="10"/>
  <c r="H879" i="7"/>
  <c r="E880" i="7" s="1"/>
  <c r="H1058" i="7"/>
  <c r="E1059" i="7" s="1"/>
  <c r="H342" i="7"/>
  <c r="E343" i="7" s="1"/>
  <c r="E342" i="10"/>
  <c r="H700" i="7"/>
  <c r="E701" i="7" s="1"/>
  <c r="E700" i="10"/>
  <c r="H1416" i="7"/>
  <c r="E1417" i="7" s="1"/>
  <c r="H521" i="7"/>
  <c r="E522" i="7" s="1"/>
  <c r="E521" i="10"/>
  <c r="I163" i="11" l="1"/>
  <c r="I521" i="11"/>
  <c r="E522" i="11"/>
  <c r="I1058" i="11"/>
  <c r="I700" i="11"/>
  <c r="I342" i="11"/>
  <c r="I879" i="11"/>
  <c r="E880" i="11"/>
  <c r="H2136" i="7"/>
  <c r="E2137" i="7" s="1"/>
  <c r="E882" i="10"/>
  <c r="I1058" i="10"/>
  <c r="L2312" i="7"/>
  <c r="L1058" i="10" s="1"/>
  <c r="P1058" i="10" s="1"/>
  <c r="J2312" i="7"/>
  <c r="J1058" i="10" s="1"/>
  <c r="K2312" i="7"/>
  <c r="K1058" i="10" s="1"/>
  <c r="J1774" i="7"/>
  <c r="J1058" i="11" s="1"/>
  <c r="K1774" i="7"/>
  <c r="K1058" i="11" s="1"/>
  <c r="J1058" i="7"/>
  <c r="J342" i="11" s="1"/>
  <c r="K1058" i="7"/>
  <c r="K342" i="11" s="1"/>
  <c r="J521" i="7"/>
  <c r="J521" i="10" s="1"/>
  <c r="K521" i="7"/>
  <c r="K521" i="10" s="1"/>
  <c r="J1595" i="7"/>
  <c r="J879" i="11" s="1"/>
  <c r="K1595" i="7"/>
  <c r="K879" i="11" s="1"/>
  <c r="J342" i="7"/>
  <c r="J342" i="10" s="1"/>
  <c r="K342" i="7"/>
  <c r="K342" i="10" s="1"/>
  <c r="J879" i="7"/>
  <c r="J163" i="11" s="1"/>
  <c r="K879" i="7"/>
  <c r="K163" i="11" s="1"/>
  <c r="J163" i="7"/>
  <c r="J163" i="10" s="1"/>
  <c r="K163" i="7"/>
  <c r="K163" i="10" s="1"/>
  <c r="J1416" i="7"/>
  <c r="J700" i="11" s="1"/>
  <c r="K1416" i="7"/>
  <c r="K700" i="11" s="1"/>
  <c r="J700" i="7"/>
  <c r="L700" i="7" s="1"/>
  <c r="L700" i="10" s="1"/>
  <c r="P700" i="10" s="1"/>
  <c r="K700" i="7"/>
  <c r="K700" i="10" s="1"/>
  <c r="J1237" i="7"/>
  <c r="J521" i="11" s="1"/>
  <c r="K1237" i="7"/>
  <c r="K521" i="11" s="1"/>
  <c r="I521" i="10"/>
  <c r="E701" i="11"/>
  <c r="I700" i="10"/>
  <c r="I342" i="10"/>
  <c r="E343" i="11"/>
  <c r="E164" i="11"/>
  <c r="I163" i="10"/>
  <c r="E1059" i="11"/>
  <c r="H2313" i="7" l="1"/>
  <c r="E2314" i="7" s="1"/>
  <c r="E1059" i="10"/>
  <c r="I882" i="10"/>
  <c r="K2136" i="7"/>
  <c r="K882" i="10" s="1"/>
  <c r="L2136" i="7"/>
  <c r="L882" i="10" s="1"/>
  <c r="P882" i="10" s="1"/>
  <c r="J2136" i="7"/>
  <c r="J882" i="10" s="1"/>
  <c r="J700" i="10"/>
  <c r="L1058" i="7"/>
  <c r="L342" i="11" s="1"/>
  <c r="P342" i="11" s="1"/>
  <c r="L163" i="7"/>
  <c r="L163" i="10" s="1"/>
  <c r="P163" i="10" s="1"/>
  <c r="L342" i="7"/>
  <c r="L342" i="10" s="1"/>
  <c r="P342" i="10" s="1"/>
  <c r="L1774" i="7"/>
  <c r="L1058" i="11" s="1"/>
  <c r="P1058" i="11" s="1"/>
  <c r="L1416" i="7"/>
  <c r="L700" i="11" s="1"/>
  <c r="P700" i="11" s="1"/>
  <c r="L1237" i="7"/>
  <c r="L521" i="11" s="1"/>
  <c r="P521" i="11" s="1"/>
  <c r="L879" i="7"/>
  <c r="L163" i="11" s="1"/>
  <c r="P163" i="11" s="1"/>
  <c r="L521" i="7"/>
  <c r="L521" i="10" s="1"/>
  <c r="P521" i="10" s="1"/>
  <c r="L1595" i="7"/>
  <c r="L879" i="11" s="1"/>
  <c r="P879" i="11" s="1"/>
  <c r="H1775" i="7"/>
  <c r="E1776" i="7" s="1"/>
  <c r="H1238" i="7"/>
  <c r="E1239" i="7" s="1"/>
  <c r="H1596" i="7"/>
  <c r="E1597" i="7" s="1"/>
  <c r="H164" i="7"/>
  <c r="E165" i="7" s="1"/>
  <c r="E164" i="10"/>
  <c r="H880" i="7"/>
  <c r="E881" i="7" s="1"/>
  <c r="H1059" i="7"/>
  <c r="E1060" i="7" s="1"/>
  <c r="H343" i="7"/>
  <c r="E344" i="7" s="1"/>
  <c r="E343" i="10"/>
  <c r="H701" i="7"/>
  <c r="E702" i="7" s="1"/>
  <c r="E701" i="10"/>
  <c r="H1417" i="7"/>
  <c r="E1418" i="7" s="1"/>
  <c r="H522" i="7"/>
  <c r="E523" i="7" s="1"/>
  <c r="E522" i="10"/>
  <c r="I522" i="11" l="1"/>
  <c r="I1059" i="11"/>
  <c r="I701" i="11"/>
  <c r="E702" i="11"/>
  <c r="I164" i="11"/>
  <c r="E165" i="11"/>
  <c r="I880" i="11"/>
  <c r="E881" i="11"/>
  <c r="I343" i="11"/>
  <c r="E344" i="11"/>
  <c r="H2137" i="7"/>
  <c r="E2138" i="7" s="1"/>
  <c r="E883" i="10"/>
  <c r="I1059" i="10"/>
  <c r="L2313" i="7"/>
  <c r="L1059" i="10" s="1"/>
  <c r="P1059" i="10" s="1"/>
  <c r="J2313" i="7"/>
  <c r="J1059" i="10" s="1"/>
  <c r="K2313" i="7"/>
  <c r="K1059" i="10" s="1"/>
  <c r="J1238" i="7"/>
  <c r="J522" i="11" s="1"/>
  <c r="K1238" i="7"/>
  <c r="K522" i="11" s="1"/>
  <c r="J1775" i="7"/>
  <c r="J1059" i="11" s="1"/>
  <c r="K1775" i="7"/>
  <c r="K1059" i="11" s="1"/>
  <c r="J164" i="7"/>
  <c r="J164" i="10" s="1"/>
  <c r="K164" i="7"/>
  <c r="K164" i="10" s="1"/>
  <c r="J1059" i="7"/>
  <c r="J343" i="11" s="1"/>
  <c r="K1059" i="7"/>
  <c r="K343" i="11" s="1"/>
  <c r="J880" i="7"/>
  <c r="J164" i="11" s="1"/>
  <c r="K880" i="7"/>
  <c r="K164" i="11" s="1"/>
  <c r="J1417" i="7"/>
  <c r="J701" i="11" s="1"/>
  <c r="K1417" i="7"/>
  <c r="K701" i="11" s="1"/>
  <c r="J1596" i="7"/>
  <c r="J880" i="11" s="1"/>
  <c r="K1596" i="7"/>
  <c r="K880" i="11" s="1"/>
  <c r="J701" i="7"/>
  <c r="J701" i="10" s="1"/>
  <c r="K701" i="7"/>
  <c r="K701" i="10" s="1"/>
  <c r="J343" i="7"/>
  <c r="J343" i="10" s="1"/>
  <c r="K343" i="7"/>
  <c r="K343" i="10" s="1"/>
  <c r="J522" i="7"/>
  <c r="J522" i="10" s="1"/>
  <c r="K522" i="7"/>
  <c r="K522" i="10" s="1"/>
  <c r="I522" i="10"/>
  <c r="I701" i="10"/>
  <c r="I343" i="10"/>
  <c r="I164" i="10"/>
  <c r="E523" i="11"/>
  <c r="E1060" i="11"/>
  <c r="H2314" i="7" l="1"/>
  <c r="E2315" i="7" s="1"/>
  <c r="E1060" i="10"/>
  <c r="I883" i="10"/>
  <c r="L2137" i="7"/>
  <c r="L883" i="10" s="1"/>
  <c r="P883" i="10" s="1"/>
  <c r="K2137" i="7"/>
  <c r="K883" i="10" s="1"/>
  <c r="J2137" i="7"/>
  <c r="J883" i="10" s="1"/>
  <c r="L1059" i="7"/>
  <c r="L343" i="11" s="1"/>
  <c r="P343" i="11" s="1"/>
  <c r="L164" i="7"/>
  <c r="L164" i="10" s="1"/>
  <c r="P164" i="10" s="1"/>
  <c r="L343" i="7"/>
  <c r="L343" i="10" s="1"/>
  <c r="P343" i="10" s="1"/>
  <c r="L701" i="7"/>
  <c r="L701" i="10" s="1"/>
  <c r="P701" i="10" s="1"/>
  <c r="L1775" i="7"/>
  <c r="L1059" i="11" s="1"/>
  <c r="P1059" i="11" s="1"/>
  <c r="L1238" i="7"/>
  <c r="L522" i="11" s="1"/>
  <c r="P522" i="11" s="1"/>
  <c r="L880" i="7"/>
  <c r="L164" i="11" s="1"/>
  <c r="P164" i="11" s="1"/>
  <c r="L1417" i="7"/>
  <c r="L701" i="11" s="1"/>
  <c r="P701" i="11" s="1"/>
  <c r="L522" i="7"/>
  <c r="L522" i="10" s="1"/>
  <c r="P522" i="10" s="1"/>
  <c r="L1596" i="7"/>
  <c r="L880" i="11" s="1"/>
  <c r="P880" i="11" s="1"/>
  <c r="H1776" i="7"/>
  <c r="E1777" i="7" s="1"/>
  <c r="H1239" i="7"/>
  <c r="E1240" i="7" s="1"/>
  <c r="H1597" i="7"/>
  <c r="E1598" i="7" s="1"/>
  <c r="H165" i="7"/>
  <c r="E166" i="7" s="1"/>
  <c r="E165" i="10"/>
  <c r="H881" i="7"/>
  <c r="E882" i="7" s="1"/>
  <c r="H1060" i="7"/>
  <c r="E1061" i="7" s="1"/>
  <c r="H344" i="7"/>
  <c r="E345" i="7" s="1"/>
  <c r="E344" i="10"/>
  <c r="H702" i="7"/>
  <c r="E703" i="7" s="1"/>
  <c r="E702" i="10"/>
  <c r="H1418" i="7"/>
  <c r="E1419" i="7" s="1"/>
  <c r="H523" i="7"/>
  <c r="E524" i="7" s="1"/>
  <c r="E523" i="10"/>
  <c r="I344" i="11" l="1"/>
  <c r="I881" i="11"/>
  <c r="E882" i="11"/>
  <c r="I1060" i="11"/>
  <c r="I165" i="11"/>
  <c r="E166" i="11"/>
  <c r="I523" i="11"/>
  <c r="E524" i="11"/>
  <c r="I702" i="11"/>
  <c r="E703" i="11"/>
  <c r="H2138" i="7"/>
  <c r="E2139" i="7" s="1"/>
  <c r="E884" i="10"/>
  <c r="I1060" i="10"/>
  <c r="L2314" i="7"/>
  <c r="L1060" i="10" s="1"/>
  <c r="P1060" i="10" s="1"/>
  <c r="J2314" i="7"/>
  <c r="J1060" i="10" s="1"/>
  <c r="K2314" i="7"/>
  <c r="K1060" i="10" s="1"/>
  <c r="J1060" i="7"/>
  <c r="J344" i="11" s="1"/>
  <c r="K1060" i="7"/>
  <c r="K344" i="11" s="1"/>
  <c r="J1776" i="7"/>
  <c r="J1060" i="11" s="1"/>
  <c r="K1776" i="7"/>
  <c r="K1060" i="11" s="1"/>
  <c r="J881" i="7"/>
  <c r="J165" i="11" s="1"/>
  <c r="K881" i="7"/>
  <c r="K165" i="11" s="1"/>
  <c r="J523" i="7"/>
  <c r="J523" i="10" s="1"/>
  <c r="K523" i="7"/>
  <c r="K523" i="10" s="1"/>
  <c r="J165" i="7"/>
  <c r="J165" i="10" s="1"/>
  <c r="K165" i="7"/>
  <c r="K165" i="10" s="1"/>
  <c r="J1418" i="7"/>
  <c r="J702" i="11" s="1"/>
  <c r="K1418" i="7"/>
  <c r="K702" i="11" s="1"/>
  <c r="J1597" i="7"/>
  <c r="J881" i="11" s="1"/>
  <c r="K1597" i="7"/>
  <c r="K881" i="11" s="1"/>
  <c r="J344" i="7"/>
  <c r="J344" i="10" s="1"/>
  <c r="K344" i="7"/>
  <c r="K344" i="10" s="1"/>
  <c r="J702" i="7"/>
  <c r="J702" i="10" s="1"/>
  <c r="K702" i="7"/>
  <c r="K702" i="10" s="1"/>
  <c r="J1239" i="7"/>
  <c r="J523" i="11" s="1"/>
  <c r="K1239" i="7"/>
  <c r="K523" i="11" s="1"/>
  <c r="I523" i="10"/>
  <c r="I702" i="10"/>
  <c r="I344" i="10"/>
  <c r="E345" i="11"/>
  <c r="I165" i="10"/>
  <c r="E1061" i="11"/>
  <c r="H2315" i="7" l="1"/>
  <c r="E2316" i="7" s="1"/>
  <c r="E1061" i="10"/>
  <c r="I884" i="10"/>
  <c r="K2138" i="7"/>
  <c r="K884" i="10" s="1"/>
  <c r="J2138" i="7"/>
  <c r="J884" i="10" s="1"/>
  <c r="L2138" i="7"/>
  <c r="L884" i="10" s="1"/>
  <c r="P884" i="10" s="1"/>
  <c r="L1060" i="7"/>
  <c r="L344" i="11" s="1"/>
  <c r="P344" i="11" s="1"/>
  <c r="L344" i="7"/>
  <c r="L344" i="10" s="1"/>
  <c r="P344" i="10" s="1"/>
  <c r="L165" i="7"/>
  <c r="L165" i="10" s="1"/>
  <c r="P165" i="10" s="1"/>
  <c r="L702" i="7"/>
  <c r="L702" i="10" s="1"/>
  <c r="P702" i="10" s="1"/>
  <c r="L1776" i="7"/>
  <c r="L1060" i="11" s="1"/>
  <c r="P1060" i="11" s="1"/>
  <c r="L1597" i="7"/>
  <c r="L881" i="11" s="1"/>
  <c r="P881" i="11" s="1"/>
  <c r="L1418" i="7"/>
  <c r="L702" i="11" s="1"/>
  <c r="P702" i="11" s="1"/>
  <c r="L1239" i="7"/>
  <c r="L523" i="11" s="1"/>
  <c r="P523" i="11" s="1"/>
  <c r="L881" i="7"/>
  <c r="L165" i="11" s="1"/>
  <c r="P165" i="11" s="1"/>
  <c r="L523" i="7"/>
  <c r="L523" i="10" s="1"/>
  <c r="P523" i="10" s="1"/>
  <c r="H1777" i="7"/>
  <c r="E1778" i="7" s="1"/>
  <c r="H1240" i="7"/>
  <c r="E1241" i="7" s="1"/>
  <c r="H1598" i="7"/>
  <c r="E1599" i="7" s="1"/>
  <c r="H166" i="7"/>
  <c r="E167" i="7" s="1"/>
  <c r="E166" i="10"/>
  <c r="H882" i="7"/>
  <c r="E883" i="7" s="1"/>
  <c r="H1061" i="7"/>
  <c r="E1062" i="7" s="1"/>
  <c r="H345" i="7"/>
  <c r="E346" i="7" s="1"/>
  <c r="E345" i="10"/>
  <c r="H703" i="7"/>
  <c r="E704" i="7" s="1"/>
  <c r="E703" i="10"/>
  <c r="H1419" i="7"/>
  <c r="E1420" i="7" s="1"/>
  <c r="H524" i="7"/>
  <c r="E525" i="7" s="1"/>
  <c r="E524" i="10"/>
  <c r="I345" i="11" l="1"/>
  <c r="E346" i="11"/>
  <c r="I166" i="11"/>
  <c r="I882" i="11"/>
  <c r="I1061" i="11"/>
  <c r="I703" i="11"/>
  <c r="E704" i="11"/>
  <c r="I524" i="11"/>
  <c r="E525" i="11"/>
  <c r="H2139" i="7"/>
  <c r="E2140" i="7" s="1"/>
  <c r="E885" i="10"/>
  <c r="I1061" i="10"/>
  <c r="L2315" i="7"/>
  <c r="L1061" i="10" s="1"/>
  <c r="P1061" i="10" s="1"/>
  <c r="J2315" i="7"/>
  <c r="J1061" i="10" s="1"/>
  <c r="K2315" i="7"/>
  <c r="K1061" i="10" s="1"/>
  <c r="J1061" i="7"/>
  <c r="J345" i="11" s="1"/>
  <c r="K1061" i="7"/>
  <c r="K345" i="11" s="1"/>
  <c r="J524" i="7"/>
  <c r="J524" i="10" s="1"/>
  <c r="K524" i="7"/>
  <c r="K524" i="10" s="1"/>
  <c r="J345" i="7"/>
  <c r="J345" i="10" s="1"/>
  <c r="K345" i="7"/>
  <c r="K345" i="10" s="1"/>
  <c r="J882" i="7"/>
  <c r="J166" i="11" s="1"/>
  <c r="K882" i="7"/>
  <c r="K166" i="11" s="1"/>
  <c r="J1419" i="7"/>
  <c r="J703" i="11" s="1"/>
  <c r="K1419" i="7"/>
  <c r="K703" i="11" s="1"/>
  <c r="J1598" i="7"/>
  <c r="J882" i="11" s="1"/>
  <c r="K1598" i="7"/>
  <c r="K882" i="11" s="1"/>
  <c r="J1777" i="7"/>
  <c r="J1061" i="11" s="1"/>
  <c r="K1777" i="7"/>
  <c r="K1061" i="11" s="1"/>
  <c r="J166" i="7"/>
  <c r="J166" i="10" s="1"/>
  <c r="K166" i="7"/>
  <c r="K166" i="10" s="1"/>
  <c r="J703" i="7"/>
  <c r="J703" i="10" s="1"/>
  <c r="K703" i="7"/>
  <c r="K703" i="10" s="1"/>
  <c r="J1240" i="7"/>
  <c r="J524" i="11" s="1"/>
  <c r="K1240" i="7"/>
  <c r="K524" i="11" s="1"/>
  <c r="I524" i="10"/>
  <c r="I703" i="10"/>
  <c r="I345" i="10"/>
  <c r="E167" i="11"/>
  <c r="I166" i="10"/>
  <c r="E883" i="11"/>
  <c r="E1062" i="11"/>
  <c r="H2316" i="7" l="1"/>
  <c r="E2317" i="7" s="1"/>
  <c r="E1062" i="10"/>
  <c r="I885" i="10"/>
  <c r="K2139" i="7"/>
  <c r="K885" i="10" s="1"/>
  <c r="L2139" i="7"/>
  <c r="L885" i="10" s="1"/>
  <c r="P885" i="10" s="1"/>
  <c r="J2139" i="7"/>
  <c r="J885" i="10" s="1"/>
  <c r="L1061" i="7"/>
  <c r="L345" i="11" s="1"/>
  <c r="P345" i="11" s="1"/>
  <c r="L345" i="7"/>
  <c r="L345" i="10" s="1"/>
  <c r="P345" i="10" s="1"/>
  <c r="L166" i="7"/>
  <c r="L166" i="10" s="1"/>
  <c r="P166" i="10" s="1"/>
  <c r="L1419" i="7"/>
  <c r="L703" i="11" s="1"/>
  <c r="P703" i="11" s="1"/>
  <c r="L703" i="7"/>
  <c r="L703" i="10" s="1"/>
  <c r="P703" i="10" s="1"/>
  <c r="L1777" i="7"/>
  <c r="L1061" i="11" s="1"/>
  <c r="P1061" i="11" s="1"/>
  <c r="L1240" i="7"/>
  <c r="L524" i="11" s="1"/>
  <c r="P524" i="11" s="1"/>
  <c r="L524" i="7"/>
  <c r="L524" i="10" s="1"/>
  <c r="P524" i="10" s="1"/>
  <c r="L882" i="7"/>
  <c r="L166" i="11" s="1"/>
  <c r="P166" i="11" s="1"/>
  <c r="L1598" i="7"/>
  <c r="L882" i="11" s="1"/>
  <c r="P882" i="11" s="1"/>
  <c r="H1778" i="7"/>
  <c r="E1779" i="7" s="1"/>
  <c r="H1241" i="7"/>
  <c r="E1242" i="7" s="1"/>
  <c r="H1599" i="7"/>
  <c r="E1600" i="7" s="1"/>
  <c r="H167" i="7"/>
  <c r="E168" i="7" s="1"/>
  <c r="E167" i="10"/>
  <c r="H883" i="7"/>
  <c r="E884" i="7" s="1"/>
  <c r="H1062" i="7"/>
  <c r="E1063" i="7" s="1"/>
  <c r="H346" i="7"/>
  <c r="E347" i="7" s="1"/>
  <c r="E346" i="10"/>
  <c r="H704" i="7"/>
  <c r="E705" i="7" s="1"/>
  <c r="E704" i="10"/>
  <c r="H1420" i="7"/>
  <c r="E1421" i="7" s="1"/>
  <c r="H525" i="7"/>
  <c r="E526" i="7" s="1"/>
  <c r="E525" i="10"/>
  <c r="I704" i="11" l="1"/>
  <c r="I346" i="11"/>
  <c r="I167" i="11"/>
  <c r="I883" i="11"/>
  <c r="E884" i="11"/>
  <c r="I525" i="11"/>
  <c r="I1062" i="11"/>
  <c r="E1063" i="11"/>
  <c r="H2140" i="7"/>
  <c r="E2141" i="7" s="1"/>
  <c r="E886" i="10"/>
  <c r="I1062" i="10"/>
  <c r="L2316" i="7"/>
  <c r="L1062" i="10" s="1"/>
  <c r="P1062" i="10" s="1"/>
  <c r="J2316" i="7"/>
  <c r="J1062" i="10" s="1"/>
  <c r="K2316" i="7"/>
  <c r="K1062" i="10" s="1"/>
  <c r="J346" i="7"/>
  <c r="J346" i="10" s="1"/>
  <c r="K346" i="7"/>
  <c r="K346" i="10" s="1"/>
  <c r="J883" i="7"/>
  <c r="J167" i="11" s="1"/>
  <c r="K883" i="7"/>
  <c r="K167" i="11" s="1"/>
  <c r="J1778" i="7"/>
  <c r="J1062" i="11" s="1"/>
  <c r="K1778" i="7"/>
  <c r="K1062" i="11" s="1"/>
  <c r="J1420" i="7"/>
  <c r="J704" i="11" s="1"/>
  <c r="K1420" i="7"/>
  <c r="K704" i="11" s="1"/>
  <c r="J1599" i="7"/>
  <c r="J883" i="11" s="1"/>
  <c r="K1599" i="7"/>
  <c r="K883" i="11" s="1"/>
  <c r="J1062" i="7"/>
  <c r="J346" i="11" s="1"/>
  <c r="K1062" i="7"/>
  <c r="K346" i="11" s="1"/>
  <c r="J525" i="7"/>
  <c r="J525" i="10" s="1"/>
  <c r="K525" i="7"/>
  <c r="K525" i="10" s="1"/>
  <c r="J167" i="7"/>
  <c r="J167" i="10" s="1"/>
  <c r="K167" i="7"/>
  <c r="K167" i="10" s="1"/>
  <c r="J704" i="7"/>
  <c r="J704" i="10" s="1"/>
  <c r="K704" i="7"/>
  <c r="K704" i="10" s="1"/>
  <c r="J1241" i="7"/>
  <c r="J525" i="11" s="1"/>
  <c r="K1241" i="7"/>
  <c r="K525" i="11" s="1"/>
  <c r="I525" i="10"/>
  <c r="E705" i="11"/>
  <c r="I704" i="10"/>
  <c r="I346" i="10"/>
  <c r="E347" i="11"/>
  <c r="E168" i="11"/>
  <c r="I167" i="10"/>
  <c r="E526" i="11"/>
  <c r="H2317" i="7" l="1"/>
  <c r="E2318" i="7" s="1"/>
  <c r="E1063" i="10"/>
  <c r="I886" i="10"/>
  <c r="J2140" i="7"/>
  <c r="J886" i="10" s="1"/>
  <c r="L2140" i="7"/>
  <c r="L886" i="10" s="1"/>
  <c r="P886" i="10" s="1"/>
  <c r="K2140" i="7"/>
  <c r="K886" i="10" s="1"/>
  <c r="L1062" i="7"/>
  <c r="L346" i="11" s="1"/>
  <c r="P346" i="11" s="1"/>
  <c r="L883" i="7"/>
  <c r="L167" i="11" s="1"/>
  <c r="P167" i="11" s="1"/>
  <c r="L167" i="7"/>
  <c r="L167" i="10" s="1"/>
  <c r="P167" i="10" s="1"/>
  <c r="L346" i="7"/>
  <c r="L346" i="10" s="1"/>
  <c r="P346" i="10" s="1"/>
  <c r="L1241" i="7"/>
  <c r="L525" i="11" s="1"/>
  <c r="P525" i="11" s="1"/>
  <c r="L1599" i="7"/>
  <c r="L883" i="11" s="1"/>
  <c r="P883" i="11" s="1"/>
  <c r="L704" i="7"/>
  <c r="L704" i="10" s="1"/>
  <c r="P704" i="10" s="1"/>
  <c r="L1778" i="7"/>
  <c r="L1062" i="11" s="1"/>
  <c r="P1062" i="11" s="1"/>
  <c r="L1420" i="7"/>
  <c r="L704" i="11" s="1"/>
  <c r="P704" i="11" s="1"/>
  <c r="L525" i="7"/>
  <c r="L525" i="10" s="1"/>
  <c r="P525" i="10" s="1"/>
  <c r="H1779" i="7"/>
  <c r="E1780" i="7" s="1"/>
  <c r="H1242" i="7"/>
  <c r="E1243" i="7" s="1"/>
  <c r="H1600" i="7"/>
  <c r="E1601" i="7" s="1"/>
  <c r="H168" i="7"/>
  <c r="E169" i="7" s="1"/>
  <c r="E168" i="10"/>
  <c r="H884" i="7"/>
  <c r="E885" i="7" s="1"/>
  <c r="H1063" i="7"/>
  <c r="E1064" i="7" s="1"/>
  <c r="H347" i="7"/>
  <c r="E348" i="7" s="1"/>
  <c r="E347" i="10"/>
  <c r="H705" i="7"/>
  <c r="E706" i="7" s="1"/>
  <c r="E705" i="10"/>
  <c r="H1421" i="7"/>
  <c r="E1422" i="7" s="1"/>
  <c r="H526" i="7"/>
  <c r="E527" i="7" s="1"/>
  <c r="E526" i="10"/>
  <c r="I884" i="11" l="1"/>
  <c r="E885" i="11"/>
  <c r="I526" i="11"/>
  <c r="E527" i="11"/>
  <c r="I1063" i="11"/>
  <c r="I347" i="11"/>
  <c r="E348" i="11"/>
  <c r="I168" i="11"/>
  <c r="E169" i="11"/>
  <c r="I705" i="11"/>
  <c r="E706" i="11"/>
  <c r="H2141" i="7"/>
  <c r="E2142" i="7" s="1"/>
  <c r="E887" i="10"/>
  <c r="I1063" i="10"/>
  <c r="L2317" i="7"/>
  <c r="L1063" i="10" s="1"/>
  <c r="P1063" i="10" s="1"/>
  <c r="J2317" i="7"/>
  <c r="J1063" i="10" s="1"/>
  <c r="K2317" i="7"/>
  <c r="K1063" i="10" s="1"/>
  <c r="J1063" i="7"/>
  <c r="J347" i="11" s="1"/>
  <c r="K1063" i="7"/>
  <c r="K347" i="11" s="1"/>
  <c r="J526" i="7"/>
  <c r="J526" i="10" s="1"/>
  <c r="K526" i="7"/>
  <c r="K526" i="10" s="1"/>
  <c r="J347" i="7"/>
  <c r="J347" i="10" s="1"/>
  <c r="K347" i="7"/>
  <c r="K347" i="10" s="1"/>
  <c r="J1779" i="7"/>
  <c r="J1063" i="11" s="1"/>
  <c r="K1779" i="7"/>
  <c r="K1063" i="11" s="1"/>
  <c r="J884" i="7"/>
  <c r="J168" i="11" s="1"/>
  <c r="K884" i="7"/>
  <c r="K168" i="11" s="1"/>
  <c r="J168" i="7"/>
  <c r="J168" i="10" s="1"/>
  <c r="K168" i="7"/>
  <c r="K168" i="10" s="1"/>
  <c r="J1421" i="7"/>
  <c r="J705" i="11" s="1"/>
  <c r="K1421" i="7"/>
  <c r="K705" i="11" s="1"/>
  <c r="J1600" i="7"/>
  <c r="J884" i="11" s="1"/>
  <c r="K1600" i="7"/>
  <c r="K884" i="11" s="1"/>
  <c r="J705" i="7"/>
  <c r="J705" i="10" s="1"/>
  <c r="K705" i="7"/>
  <c r="K705" i="10" s="1"/>
  <c r="J1242" i="7"/>
  <c r="J526" i="11" s="1"/>
  <c r="K1242" i="7"/>
  <c r="K526" i="11" s="1"/>
  <c r="I526" i="10"/>
  <c r="I705" i="10"/>
  <c r="I347" i="10"/>
  <c r="I168" i="10"/>
  <c r="E1064" i="11"/>
  <c r="H2318" i="7" l="1"/>
  <c r="E2319" i="7" s="1"/>
  <c r="E1064" i="10"/>
  <c r="I887" i="10"/>
  <c r="K2141" i="7"/>
  <c r="K887" i="10" s="1"/>
  <c r="J2141" i="7"/>
  <c r="J887" i="10" s="1"/>
  <c r="L2141" i="7"/>
  <c r="L887" i="10" s="1"/>
  <c r="P887" i="10" s="1"/>
  <c r="L1063" i="7"/>
  <c r="L347" i="11" s="1"/>
  <c r="P347" i="11" s="1"/>
  <c r="L347" i="7"/>
  <c r="L347" i="10" s="1"/>
  <c r="P347" i="10" s="1"/>
  <c r="L168" i="7"/>
  <c r="L168" i="10" s="1"/>
  <c r="P168" i="10" s="1"/>
  <c r="L1421" i="7"/>
  <c r="L705" i="11" s="1"/>
  <c r="P705" i="11" s="1"/>
  <c r="L705" i="7"/>
  <c r="L705" i="10" s="1"/>
  <c r="P705" i="10" s="1"/>
  <c r="L1779" i="7"/>
  <c r="L1063" i="11" s="1"/>
  <c r="P1063" i="11" s="1"/>
  <c r="L1242" i="7"/>
  <c r="L526" i="11" s="1"/>
  <c r="P526" i="11" s="1"/>
  <c r="L884" i="7"/>
  <c r="L168" i="11" s="1"/>
  <c r="P168" i="11" s="1"/>
  <c r="L526" i="7"/>
  <c r="L526" i="10" s="1"/>
  <c r="P526" i="10" s="1"/>
  <c r="L1600" i="7"/>
  <c r="L884" i="11" s="1"/>
  <c r="P884" i="11" s="1"/>
  <c r="H1780" i="7"/>
  <c r="E1781" i="7" s="1"/>
  <c r="H1243" i="7"/>
  <c r="E1244" i="7" s="1"/>
  <c r="H1601" i="7"/>
  <c r="E1602" i="7" s="1"/>
  <c r="H169" i="7"/>
  <c r="E170" i="7" s="1"/>
  <c r="E169" i="10"/>
  <c r="H885" i="7"/>
  <c r="E886" i="7" s="1"/>
  <c r="H1064" i="7"/>
  <c r="E1065" i="7" s="1"/>
  <c r="H348" i="7"/>
  <c r="E349" i="7" s="1"/>
  <c r="E348" i="10"/>
  <c r="H706" i="7"/>
  <c r="E707" i="7" s="1"/>
  <c r="E706" i="10"/>
  <c r="H1422" i="7"/>
  <c r="E1423" i="7" s="1"/>
  <c r="H527" i="7"/>
  <c r="E528" i="7" s="1"/>
  <c r="E527" i="10"/>
  <c r="I169" i="11" l="1"/>
  <c r="I885" i="11"/>
  <c r="E886" i="11"/>
  <c r="I527" i="11"/>
  <c r="I1064" i="11"/>
  <c r="I348" i="11"/>
  <c r="E349" i="11"/>
  <c r="I706" i="11"/>
  <c r="E707" i="11"/>
  <c r="H2142" i="7"/>
  <c r="E2143" i="7" s="1"/>
  <c r="E888" i="10"/>
  <c r="I1064" i="10"/>
  <c r="L2318" i="7"/>
  <c r="L1064" i="10" s="1"/>
  <c r="P1064" i="10" s="1"/>
  <c r="J2318" i="7"/>
  <c r="J1064" i="10" s="1"/>
  <c r="K2318" i="7"/>
  <c r="K1064" i="10" s="1"/>
  <c r="J348" i="7"/>
  <c r="J348" i="10" s="1"/>
  <c r="K348" i="7"/>
  <c r="K348" i="10" s="1"/>
  <c r="J1780" i="7"/>
  <c r="J1064" i="11" s="1"/>
  <c r="K1780" i="7"/>
  <c r="K1064" i="11" s="1"/>
  <c r="J1064" i="7"/>
  <c r="J348" i="11" s="1"/>
  <c r="K1064" i="7"/>
  <c r="K348" i="11" s="1"/>
  <c r="J527" i="7"/>
  <c r="J527" i="10" s="1"/>
  <c r="K527" i="7"/>
  <c r="K527" i="10" s="1"/>
  <c r="J1422" i="7"/>
  <c r="J706" i="11" s="1"/>
  <c r="K1422" i="7"/>
  <c r="K706" i="11" s="1"/>
  <c r="J1601" i="7"/>
  <c r="J885" i="11" s="1"/>
  <c r="K1601" i="7"/>
  <c r="K885" i="11" s="1"/>
  <c r="J885" i="7"/>
  <c r="J169" i="11" s="1"/>
  <c r="K885" i="7"/>
  <c r="K169" i="11" s="1"/>
  <c r="J169" i="7"/>
  <c r="J169" i="10" s="1"/>
  <c r="K169" i="7"/>
  <c r="K169" i="10" s="1"/>
  <c r="J706" i="7"/>
  <c r="J706" i="10" s="1"/>
  <c r="K706" i="7"/>
  <c r="K706" i="10" s="1"/>
  <c r="J1243" i="7"/>
  <c r="J527" i="11" s="1"/>
  <c r="K1243" i="7"/>
  <c r="K527" i="11" s="1"/>
  <c r="I527" i="10"/>
  <c r="I706" i="10"/>
  <c r="I348" i="10"/>
  <c r="E170" i="11"/>
  <c r="I169" i="10"/>
  <c r="E528" i="11"/>
  <c r="E1065" i="11"/>
  <c r="H2319" i="7" l="1"/>
  <c r="E2320" i="7" s="1"/>
  <c r="E1065" i="10"/>
  <c r="I888" i="10"/>
  <c r="L2142" i="7"/>
  <c r="L888" i="10" s="1"/>
  <c r="P888" i="10" s="1"/>
  <c r="K2142" i="7"/>
  <c r="K888" i="10" s="1"/>
  <c r="J2142" i="7"/>
  <c r="J888" i="10" s="1"/>
  <c r="L1064" i="7"/>
  <c r="L348" i="11" s="1"/>
  <c r="P348" i="11" s="1"/>
  <c r="L169" i="7"/>
  <c r="L169" i="10" s="1"/>
  <c r="P169" i="10" s="1"/>
  <c r="L348" i="7"/>
  <c r="L348" i="10" s="1"/>
  <c r="P348" i="10" s="1"/>
  <c r="L706" i="7"/>
  <c r="L706" i="10" s="1"/>
  <c r="P706" i="10" s="1"/>
  <c r="L1601" i="7"/>
  <c r="L885" i="11" s="1"/>
  <c r="P885" i="11" s="1"/>
  <c r="L1243" i="7"/>
  <c r="L527" i="11" s="1"/>
  <c r="P527" i="11" s="1"/>
  <c r="L1422" i="7"/>
  <c r="L706" i="11" s="1"/>
  <c r="P706" i="11" s="1"/>
  <c r="L1780" i="7"/>
  <c r="L1064" i="11" s="1"/>
  <c r="P1064" i="11" s="1"/>
  <c r="L885" i="7"/>
  <c r="L169" i="11" s="1"/>
  <c r="P169" i="11" s="1"/>
  <c r="L527" i="7"/>
  <c r="L527" i="10" s="1"/>
  <c r="P527" i="10" s="1"/>
  <c r="H1781" i="7"/>
  <c r="E1782" i="7" s="1"/>
  <c r="H1244" i="7"/>
  <c r="E1245" i="7" s="1"/>
  <c r="H1602" i="7"/>
  <c r="E1603" i="7" s="1"/>
  <c r="H170" i="7"/>
  <c r="E171" i="7" s="1"/>
  <c r="E170" i="10"/>
  <c r="H886" i="7"/>
  <c r="E887" i="7" s="1"/>
  <c r="H1065" i="7"/>
  <c r="E1066" i="7" s="1"/>
  <c r="H349" i="7"/>
  <c r="E350" i="7" s="1"/>
  <c r="E349" i="10"/>
  <c r="H707" i="7"/>
  <c r="E708" i="7" s="1"/>
  <c r="E707" i="10"/>
  <c r="H1423" i="7"/>
  <c r="E1424" i="7" s="1"/>
  <c r="H528" i="7"/>
  <c r="E529" i="7" s="1"/>
  <c r="E528" i="10"/>
  <c r="I349" i="11" l="1"/>
  <c r="I886" i="11"/>
  <c r="E887" i="11"/>
  <c r="I528" i="11"/>
  <c r="I1065" i="11"/>
  <c r="I170" i="11"/>
  <c r="E171" i="11"/>
  <c r="I707" i="11"/>
  <c r="E708" i="11"/>
  <c r="H2143" i="7"/>
  <c r="E2144" i="7" s="1"/>
  <c r="E889" i="10"/>
  <c r="I1065" i="10"/>
  <c r="L2319" i="7"/>
  <c r="L1065" i="10" s="1"/>
  <c r="P1065" i="10" s="1"/>
  <c r="K2319" i="7"/>
  <c r="K1065" i="10" s="1"/>
  <c r="J2319" i="7"/>
  <c r="J1065" i="10" s="1"/>
  <c r="J1065" i="7"/>
  <c r="J349" i="11" s="1"/>
  <c r="K1065" i="7"/>
  <c r="K349" i="11" s="1"/>
  <c r="J349" i="7"/>
  <c r="J349" i="10" s="1"/>
  <c r="K349" i="7"/>
  <c r="K349" i="10" s="1"/>
  <c r="J1781" i="7"/>
  <c r="J1065" i="11" s="1"/>
  <c r="K1781" i="7"/>
  <c r="K1065" i="11" s="1"/>
  <c r="J886" i="7"/>
  <c r="J170" i="11" s="1"/>
  <c r="K886" i="7"/>
  <c r="K170" i="11" s="1"/>
  <c r="J528" i="7"/>
  <c r="J528" i="10" s="1"/>
  <c r="K528" i="7"/>
  <c r="K528" i="10" s="1"/>
  <c r="J170" i="7"/>
  <c r="J170" i="10" s="1"/>
  <c r="K170" i="7"/>
  <c r="K170" i="10" s="1"/>
  <c r="J1423" i="7"/>
  <c r="J707" i="11" s="1"/>
  <c r="K1423" i="7"/>
  <c r="K707" i="11" s="1"/>
  <c r="J1602" i="7"/>
  <c r="J886" i="11" s="1"/>
  <c r="K1602" i="7"/>
  <c r="K886" i="11" s="1"/>
  <c r="J707" i="7"/>
  <c r="J707" i="10" s="1"/>
  <c r="K707" i="7"/>
  <c r="K707" i="10" s="1"/>
  <c r="J1244" i="7"/>
  <c r="J528" i="11" s="1"/>
  <c r="K1244" i="7"/>
  <c r="K528" i="11" s="1"/>
  <c r="I528" i="10"/>
  <c r="I707" i="10"/>
  <c r="I349" i="10"/>
  <c r="E350" i="11"/>
  <c r="I170" i="10"/>
  <c r="E529" i="11"/>
  <c r="E1066" i="11"/>
  <c r="H2320" i="7" l="1"/>
  <c r="E2321" i="7" s="1"/>
  <c r="E1066" i="10"/>
  <c r="I889" i="10"/>
  <c r="K2143" i="7"/>
  <c r="K889" i="10" s="1"/>
  <c r="L2143" i="7"/>
  <c r="L889" i="10" s="1"/>
  <c r="P889" i="10" s="1"/>
  <c r="J2143" i="7"/>
  <c r="J889" i="10" s="1"/>
  <c r="L1065" i="7"/>
  <c r="L349" i="11" s="1"/>
  <c r="P349" i="11" s="1"/>
  <c r="L170" i="7"/>
  <c r="L170" i="10" s="1"/>
  <c r="P170" i="10" s="1"/>
  <c r="L349" i="7"/>
  <c r="L349" i="10" s="1"/>
  <c r="P349" i="10" s="1"/>
  <c r="L1423" i="7"/>
  <c r="L707" i="11" s="1"/>
  <c r="P707" i="11" s="1"/>
  <c r="L1781" i="7"/>
  <c r="L1065" i="11" s="1"/>
  <c r="P1065" i="11" s="1"/>
  <c r="L707" i="7"/>
  <c r="L707" i="10" s="1"/>
  <c r="P707" i="10" s="1"/>
  <c r="L886" i="7"/>
  <c r="L170" i="11" s="1"/>
  <c r="P170" i="11" s="1"/>
  <c r="L1244" i="7"/>
  <c r="L528" i="11" s="1"/>
  <c r="P528" i="11" s="1"/>
  <c r="L1602" i="7"/>
  <c r="L886" i="11" s="1"/>
  <c r="P886" i="11" s="1"/>
  <c r="L528" i="7"/>
  <c r="L528" i="10" s="1"/>
  <c r="P528" i="10" s="1"/>
  <c r="H1782" i="7"/>
  <c r="E1783" i="7" s="1"/>
  <c r="H1245" i="7"/>
  <c r="E1246" i="7" s="1"/>
  <c r="H1603" i="7"/>
  <c r="E1604" i="7" s="1"/>
  <c r="H171" i="7"/>
  <c r="E172" i="7" s="1"/>
  <c r="E171" i="10"/>
  <c r="H887" i="7"/>
  <c r="E888" i="7" s="1"/>
  <c r="H1066" i="7"/>
  <c r="E1067" i="7" s="1"/>
  <c r="H350" i="7"/>
  <c r="E351" i="7" s="1"/>
  <c r="E350" i="10"/>
  <c r="H708" i="7"/>
  <c r="E709" i="7" s="1"/>
  <c r="E708" i="10"/>
  <c r="H1424" i="7"/>
  <c r="E1425" i="7" s="1"/>
  <c r="H529" i="7"/>
  <c r="E530" i="7" s="1"/>
  <c r="E529" i="10"/>
  <c r="I350" i="11" l="1"/>
  <c r="I887" i="11"/>
  <c r="I529" i="11"/>
  <c r="I1066" i="11"/>
  <c r="I171" i="11"/>
  <c r="E172" i="11"/>
  <c r="I708" i="11"/>
  <c r="E709" i="11"/>
  <c r="H2144" i="7"/>
  <c r="E2145" i="7" s="1"/>
  <c r="E890" i="10"/>
  <c r="I1066" i="10"/>
  <c r="J2320" i="7"/>
  <c r="J1066" i="10" s="1"/>
  <c r="K2320" i="7"/>
  <c r="K1066" i="10" s="1"/>
  <c r="L2320" i="7"/>
  <c r="L1066" i="10" s="1"/>
  <c r="P1066" i="10" s="1"/>
  <c r="J529" i="7"/>
  <c r="J529" i="10" s="1"/>
  <c r="K529" i="7"/>
  <c r="K529" i="10" s="1"/>
  <c r="J1782" i="7"/>
  <c r="J1066" i="11" s="1"/>
  <c r="K1782" i="7"/>
  <c r="K1066" i="11" s="1"/>
  <c r="J171" i="7"/>
  <c r="J171" i="10" s="1"/>
  <c r="K171" i="7"/>
  <c r="K171" i="10" s="1"/>
  <c r="J1424" i="7"/>
  <c r="J708" i="11" s="1"/>
  <c r="K1424" i="7"/>
  <c r="K708" i="11" s="1"/>
  <c r="J1603" i="7"/>
  <c r="J887" i="11" s="1"/>
  <c r="K1603" i="7"/>
  <c r="K887" i="11" s="1"/>
  <c r="J350" i="7"/>
  <c r="J350" i="10" s="1"/>
  <c r="K350" i="7"/>
  <c r="K350" i="10" s="1"/>
  <c r="J1066" i="7"/>
  <c r="J350" i="11" s="1"/>
  <c r="K1066" i="7"/>
  <c r="K350" i="11" s="1"/>
  <c r="J887" i="7"/>
  <c r="J171" i="11" s="1"/>
  <c r="K887" i="7"/>
  <c r="K171" i="11" s="1"/>
  <c r="J708" i="7"/>
  <c r="J708" i="10" s="1"/>
  <c r="K708" i="7"/>
  <c r="K708" i="10" s="1"/>
  <c r="J1245" i="7"/>
  <c r="J529" i="11" s="1"/>
  <c r="K1245" i="7"/>
  <c r="K529" i="11" s="1"/>
  <c r="I529" i="10"/>
  <c r="I708" i="10"/>
  <c r="I350" i="10"/>
  <c r="E351" i="11"/>
  <c r="I171" i="10"/>
  <c r="E888" i="11"/>
  <c r="E530" i="11"/>
  <c r="E1067" i="11"/>
  <c r="H2321" i="7" l="1"/>
  <c r="E2322" i="7" s="1"/>
  <c r="E1067" i="10"/>
  <c r="I890" i="10"/>
  <c r="L2144" i="7"/>
  <c r="L890" i="10" s="1"/>
  <c r="P890" i="10" s="1"/>
  <c r="J2144" i="7"/>
  <c r="J890" i="10" s="1"/>
  <c r="K2144" i="7"/>
  <c r="K890" i="10" s="1"/>
  <c r="L1066" i="7"/>
  <c r="L350" i="11" s="1"/>
  <c r="P350" i="11" s="1"/>
  <c r="L171" i="7"/>
  <c r="L171" i="10" s="1"/>
  <c r="P171" i="10" s="1"/>
  <c r="L350" i="7"/>
  <c r="L350" i="10" s="1"/>
  <c r="P350" i="10" s="1"/>
  <c r="L1245" i="7"/>
  <c r="L529" i="11" s="1"/>
  <c r="P529" i="11" s="1"/>
  <c r="L529" i="7"/>
  <c r="L529" i="10" s="1"/>
  <c r="P529" i="10" s="1"/>
  <c r="L887" i="7"/>
  <c r="L171" i="11" s="1"/>
  <c r="P171" i="11" s="1"/>
  <c r="L1782" i="7"/>
  <c r="L1066" i="11" s="1"/>
  <c r="P1066" i="11" s="1"/>
  <c r="L708" i="7"/>
  <c r="L708" i="10" s="1"/>
  <c r="P708" i="10" s="1"/>
  <c r="L1424" i="7"/>
  <c r="L708" i="11" s="1"/>
  <c r="P708" i="11" s="1"/>
  <c r="L1603" i="7"/>
  <c r="L887" i="11" s="1"/>
  <c r="P887" i="11" s="1"/>
  <c r="H1783" i="7"/>
  <c r="E1784" i="7" s="1"/>
  <c r="H1246" i="7"/>
  <c r="E1247" i="7" s="1"/>
  <c r="H1604" i="7"/>
  <c r="E1605" i="7" s="1"/>
  <c r="H172" i="7"/>
  <c r="E173" i="7" s="1"/>
  <c r="E172" i="10"/>
  <c r="H888" i="7"/>
  <c r="E889" i="7" s="1"/>
  <c r="H1067" i="7"/>
  <c r="E1068" i="7" s="1"/>
  <c r="H351" i="7"/>
  <c r="E352" i="7" s="1"/>
  <c r="E351" i="10"/>
  <c r="H709" i="7"/>
  <c r="E710" i="7" s="1"/>
  <c r="E709" i="10"/>
  <c r="H1425" i="7"/>
  <c r="E1426" i="7" s="1"/>
  <c r="H530" i="7"/>
  <c r="E531" i="7" s="1"/>
  <c r="E530" i="10"/>
  <c r="I351" i="11" l="1"/>
  <c r="E352" i="11"/>
  <c r="I172" i="11"/>
  <c r="E173" i="11"/>
  <c r="I888" i="11"/>
  <c r="I530" i="11"/>
  <c r="I709" i="11"/>
  <c r="E710" i="11"/>
  <c r="I1067" i="11"/>
  <c r="E1068" i="11"/>
  <c r="H2145" i="7"/>
  <c r="E2146" i="7" s="1"/>
  <c r="E891" i="10"/>
  <c r="I1067" i="10"/>
  <c r="L2321" i="7"/>
  <c r="L1067" i="10" s="1"/>
  <c r="P1067" i="10" s="1"/>
  <c r="K2321" i="7"/>
  <c r="K1067" i="10" s="1"/>
  <c r="J2321" i="7"/>
  <c r="J1067" i="10" s="1"/>
  <c r="J351" i="7"/>
  <c r="J351" i="10" s="1"/>
  <c r="K351" i="7"/>
  <c r="K351" i="10" s="1"/>
  <c r="J1783" i="7"/>
  <c r="J1067" i="11" s="1"/>
  <c r="K1783" i="7"/>
  <c r="K1067" i="11" s="1"/>
  <c r="J530" i="7"/>
  <c r="J530" i="10" s="1"/>
  <c r="K530" i="7"/>
  <c r="K530" i="10" s="1"/>
  <c r="J1067" i="7"/>
  <c r="J351" i="11" s="1"/>
  <c r="K1067" i="7"/>
  <c r="K351" i="11" s="1"/>
  <c r="J888" i="7"/>
  <c r="J172" i="11" s="1"/>
  <c r="K888" i="7"/>
  <c r="K172" i="11" s="1"/>
  <c r="J172" i="7"/>
  <c r="J172" i="10" s="1"/>
  <c r="K172" i="7"/>
  <c r="K172" i="10" s="1"/>
  <c r="J1425" i="7"/>
  <c r="J709" i="11" s="1"/>
  <c r="K1425" i="7"/>
  <c r="K709" i="11" s="1"/>
  <c r="J1604" i="7"/>
  <c r="J888" i="11" s="1"/>
  <c r="K1604" i="7"/>
  <c r="K888" i="11" s="1"/>
  <c r="J709" i="7"/>
  <c r="J709" i="10" s="1"/>
  <c r="K709" i="7"/>
  <c r="K709" i="10" s="1"/>
  <c r="J1246" i="7"/>
  <c r="J530" i="11" s="1"/>
  <c r="K1246" i="7"/>
  <c r="K530" i="11" s="1"/>
  <c r="I530" i="10"/>
  <c r="I709" i="10"/>
  <c r="I351" i="10"/>
  <c r="I172" i="10"/>
  <c r="E889" i="11"/>
  <c r="E531" i="11"/>
  <c r="H2322" i="7" l="1"/>
  <c r="E2323" i="7" s="1"/>
  <c r="E1068" i="10"/>
  <c r="I891" i="10"/>
  <c r="J2145" i="7"/>
  <c r="J891" i="10" s="1"/>
  <c r="K2145" i="7"/>
  <c r="K891" i="10" s="1"/>
  <c r="L2145" i="7"/>
  <c r="L891" i="10" s="1"/>
  <c r="P891" i="10" s="1"/>
  <c r="L1067" i="7"/>
  <c r="L351" i="11" s="1"/>
  <c r="P351" i="11" s="1"/>
  <c r="L172" i="7"/>
  <c r="L172" i="10" s="1"/>
  <c r="P172" i="10" s="1"/>
  <c r="L351" i="7"/>
  <c r="L351" i="10" s="1"/>
  <c r="P351" i="10" s="1"/>
  <c r="L709" i="7"/>
  <c r="L709" i="10" s="1"/>
  <c r="P709" i="10" s="1"/>
  <c r="L1425" i="7"/>
  <c r="L709" i="11" s="1"/>
  <c r="P709" i="11" s="1"/>
  <c r="L1783" i="7"/>
  <c r="L1067" i="11" s="1"/>
  <c r="P1067" i="11" s="1"/>
  <c r="L1246" i="7"/>
  <c r="L530" i="11" s="1"/>
  <c r="P530" i="11" s="1"/>
  <c r="L888" i="7"/>
  <c r="L172" i="11" s="1"/>
  <c r="P172" i="11" s="1"/>
  <c r="L1604" i="7"/>
  <c r="L888" i="11" s="1"/>
  <c r="P888" i="11" s="1"/>
  <c r="L530" i="7"/>
  <c r="L530" i="10" s="1"/>
  <c r="P530" i="10" s="1"/>
  <c r="H1784" i="7"/>
  <c r="E1785" i="7" s="1"/>
  <c r="H1247" i="7"/>
  <c r="E1248" i="7" s="1"/>
  <c r="H1605" i="7"/>
  <c r="E1606" i="7" s="1"/>
  <c r="H173" i="7"/>
  <c r="E174" i="7" s="1"/>
  <c r="E173" i="10"/>
  <c r="H889" i="7"/>
  <c r="E890" i="7" s="1"/>
  <c r="H1068" i="7"/>
  <c r="E1069" i="7" s="1"/>
  <c r="H352" i="7"/>
  <c r="E353" i="7" s="1"/>
  <c r="E352" i="10"/>
  <c r="H710" i="7"/>
  <c r="E711" i="7" s="1"/>
  <c r="E710" i="10"/>
  <c r="H1426" i="7"/>
  <c r="E1427" i="7" s="1"/>
  <c r="H531" i="7"/>
  <c r="E532" i="7" s="1"/>
  <c r="E531" i="10"/>
  <c r="I710" i="11" l="1"/>
  <c r="I889" i="11"/>
  <c r="I352" i="11"/>
  <c r="I173" i="11"/>
  <c r="E174" i="11"/>
  <c r="I531" i="11"/>
  <c r="I1068" i="11"/>
  <c r="E1069" i="11"/>
  <c r="H2146" i="7"/>
  <c r="E2147" i="7" s="1"/>
  <c r="E892" i="10"/>
  <c r="I1068" i="10"/>
  <c r="L2322" i="7"/>
  <c r="L1068" i="10" s="1"/>
  <c r="P1068" i="10" s="1"/>
  <c r="J2322" i="7"/>
  <c r="J1068" i="10" s="1"/>
  <c r="K2322" i="7"/>
  <c r="K1068" i="10" s="1"/>
  <c r="J1068" i="7"/>
  <c r="J352" i="11" s="1"/>
  <c r="K1068" i="7"/>
  <c r="K352" i="11" s="1"/>
  <c r="J173" i="7"/>
  <c r="J173" i="10" s="1"/>
  <c r="K173" i="7"/>
  <c r="K173" i="10" s="1"/>
  <c r="J889" i="7"/>
  <c r="J173" i="11" s="1"/>
  <c r="K889" i="7"/>
  <c r="K173" i="11" s="1"/>
  <c r="J531" i="7"/>
  <c r="J531" i="10" s="1"/>
  <c r="K531" i="7"/>
  <c r="K531" i="10" s="1"/>
  <c r="J1426" i="7"/>
  <c r="J710" i="11" s="1"/>
  <c r="K1426" i="7"/>
  <c r="K710" i="11" s="1"/>
  <c r="J1605" i="7"/>
  <c r="J889" i="11" s="1"/>
  <c r="K1605" i="7"/>
  <c r="K889" i="11" s="1"/>
  <c r="J352" i="7"/>
  <c r="J352" i="10" s="1"/>
  <c r="K352" i="7"/>
  <c r="K352" i="10" s="1"/>
  <c r="J1784" i="7"/>
  <c r="J1068" i="11" s="1"/>
  <c r="K1784" i="7"/>
  <c r="K1068" i="11" s="1"/>
  <c r="J710" i="7"/>
  <c r="J710" i="10" s="1"/>
  <c r="K710" i="7"/>
  <c r="K710" i="10" s="1"/>
  <c r="J1247" i="7"/>
  <c r="J531" i="11" s="1"/>
  <c r="K1247" i="7"/>
  <c r="K531" i="11" s="1"/>
  <c r="I531" i="10"/>
  <c r="E711" i="11"/>
  <c r="I710" i="10"/>
  <c r="I352" i="10"/>
  <c r="E353" i="11"/>
  <c r="I173" i="10"/>
  <c r="E890" i="11"/>
  <c r="E532" i="11"/>
  <c r="H2323" i="7" l="1"/>
  <c r="E2324" i="7" s="1"/>
  <c r="E1069" i="10"/>
  <c r="I892" i="10"/>
  <c r="L2146" i="7"/>
  <c r="L892" i="10" s="1"/>
  <c r="P892" i="10" s="1"/>
  <c r="K2146" i="7"/>
  <c r="K892" i="10" s="1"/>
  <c r="J2146" i="7"/>
  <c r="J892" i="10" s="1"/>
  <c r="L1068" i="7"/>
  <c r="L352" i="11" s="1"/>
  <c r="P352" i="11" s="1"/>
  <c r="L173" i="7"/>
  <c r="L173" i="10" s="1"/>
  <c r="P173" i="10" s="1"/>
  <c r="L352" i="7"/>
  <c r="L352" i="10" s="1"/>
  <c r="P352" i="10" s="1"/>
  <c r="L710" i="7"/>
  <c r="L710" i="10" s="1"/>
  <c r="P710" i="10" s="1"/>
  <c r="L1605" i="7"/>
  <c r="L889" i="11" s="1"/>
  <c r="P889" i="11" s="1"/>
  <c r="L1426" i="7"/>
  <c r="L710" i="11" s="1"/>
  <c r="P710" i="11" s="1"/>
  <c r="L1784" i="7"/>
  <c r="L1068" i="11" s="1"/>
  <c r="P1068" i="11" s="1"/>
  <c r="L1247" i="7"/>
  <c r="L531" i="11" s="1"/>
  <c r="P531" i="11" s="1"/>
  <c r="L889" i="7"/>
  <c r="L173" i="11" s="1"/>
  <c r="P173" i="11" s="1"/>
  <c r="L531" i="7"/>
  <c r="L531" i="10" s="1"/>
  <c r="P531" i="10" s="1"/>
  <c r="H1785" i="7"/>
  <c r="E1786" i="7" s="1"/>
  <c r="H1248" i="7"/>
  <c r="E1249" i="7" s="1"/>
  <c r="H1606" i="7"/>
  <c r="E1607" i="7" s="1"/>
  <c r="H174" i="7"/>
  <c r="E175" i="7" s="1"/>
  <c r="E174" i="10"/>
  <c r="H890" i="7"/>
  <c r="E891" i="7" s="1"/>
  <c r="H1069" i="7"/>
  <c r="E1070" i="7" s="1"/>
  <c r="H353" i="7"/>
  <c r="E354" i="7" s="1"/>
  <c r="E353" i="10"/>
  <c r="H711" i="7"/>
  <c r="E712" i="7" s="1"/>
  <c r="E711" i="10"/>
  <c r="H1427" i="7"/>
  <c r="E1428" i="7" s="1"/>
  <c r="H532" i="7"/>
  <c r="E533" i="7" s="1"/>
  <c r="E532" i="10"/>
  <c r="I532" i="11" l="1"/>
  <c r="I1069" i="11"/>
  <c r="I353" i="11"/>
  <c r="I174" i="11"/>
  <c r="I890" i="11"/>
  <c r="E891" i="11"/>
  <c r="I711" i="11"/>
  <c r="E712" i="11"/>
  <c r="H2147" i="7"/>
  <c r="E2148" i="7" s="1"/>
  <c r="E893" i="10"/>
  <c r="I1069" i="10"/>
  <c r="L2323" i="7"/>
  <c r="L1069" i="10" s="1"/>
  <c r="P1069" i="10" s="1"/>
  <c r="K2323" i="7"/>
  <c r="K1069" i="10" s="1"/>
  <c r="J2323" i="7"/>
  <c r="J1069" i="10" s="1"/>
  <c r="J890" i="7"/>
  <c r="J174" i="11" s="1"/>
  <c r="K890" i="7"/>
  <c r="K174" i="11" s="1"/>
  <c r="J1427" i="7"/>
  <c r="J711" i="11" s="1"/>
  <c r="K1427" i="7"/>
  <c r="K711" i="11" s="1"/>
  <c r="J1606" i="7"/>
  <c r="J890" i="11" s="1"/>
  <c r="K1606" i="7"/>
  <c r="K890" i="11" s="1"/>
  <c r="J353" i="7"/>
  <c r="J353" i="10" s="1"/>
  <c r="K353" i="7"/>
  <c r="K353" i="10" s="1"/>
  <c r="J1785" i="7"/>
  <c r="J1069" i="11" s="1"/>
  <c r="K1785" i="7"/>
  <c r="K1069" i="11" s="1"/>
  <c r="J1069" i="7"/>
  <c r="J353" i="11" s="1"/>
  <c r="K1069" i="7"/>
  <c r="K353" i="11" s="1"/>
  <c r="J532" i="7"/>
  <c r="J532" i="10" s="1"/>
  <c r="K532" i="7"/>
  <c r="K532" i="10" s="1"/>
  <c r="J174" i="7"/>
  <c r="J174" i="10" s="1"/>
  <c r="K174" i="7"/>
  <c r="K174" i="10" s="1"/>
  <c r="J711" i="7"/>
  <c r="J711" i="10" s="1"/>
  <c r="K711" i="7"/>
  <c r="K711" i="10" s="1"/>
  <c r="J1248" i="7"/>
  <c r="J532" i="11" s="1"/>
  <c r="K1248" i="7"/>
  <c r="K532" i="11" s="1"/>
  <c r="I532" i="10"/>
  <c r="I711" i="10"/>
  <c r="I353" i="10"/>
  <c r="E354" i="11"/>
  <c r="E175" i="11"/>
  <c r="I174" i="10"/>
  <c r="E533" i="11"/>
  <c r="E1070" i="11"/>
  <c r="H2324" i="7" l="1"/>
  <c r="E2325" i="7" s="1"/>
  <c r="E1070" i="10"/>
  <c r="I893" i="10"/>
  <c r="J2147" i="7"/>
  <c r="J893" i="10" s="1"/>
  <c r="K2147" i="7"/>
  <c r="K893" i="10" s="1"/>
  <c r="L2147" i="7"/>
  <c r="L893" i="10" s="1"/>
  <c r="P893" i="10" s="1"/>
  <c r="L1069" i="7"/>
  <c r="L353" i="11" s="1"/>
  <c r="P353" i="11" s="1"/>
  <c r="L174" i="7"/>
  <c r="L174" i="10" s="1"/>
  <c r="P174" i="10" s="1"/>
  <c r="L353" i="7"/>
  <c r="L353" i="10" s="1"/>
  <c r="P353" i="10" s="1"/>
  <c r="L711" i="7"/>
  <c r="L711" i="10" s="1"/>
  <c r="P711" i="10" s="1"/>
  <c r="L1785" i="7"/>
  <c r="L1069" i="11" s="1"/>
  <c r="P1069" i="11" s="1"/>
  <c r="L1427" i="7"/>
  <c r="L711" i="11" s="1"/>
  <c r="P711" i="11" s="1"/>
  <c r="L1248" i="7"/>
  <c r="L532" i="11" s="1"/>
  <c r="P532" i="11" s="1"/>
  <c r="L890" i="7"/>
  <c r="L174" i="11" s="1"/>
  <c r="P174" i="11" s="1"/>
  <c r="L1606" i="7"/>
  <c r="L890" i="11" s="1"/>
  <c r="P890" i="11" s="1"/>
  <c r="L532" i="7"/>
  <c r="L532" i="10" s="1"/>
  <c r="P532" i="10" s="1"/>
  <c r="H1786" i="7"/>
  <c r="E1787" i="7" s="1"/>
  <c r="H1249" i="7"/>
  <c r="E1250" i="7" s="1"/>
  <c r="H1607" i="7"/>
  <c r="E1608" i="7" s="1"/>
  <c r="H175" i="7"/>
  <c r="E176" i="7" s="1"/>
  <c r="E175" i="10"/>
  <c r="H891" i="7"/>
  <c r="E892" i="7" s="1"/>
  <c r="H1070" i="7"/>
  <c r="E1071" i="7" s="1"/>
  <c r="H354" i="7"/>
  <c r="E355" i="7" s="1"/>
  <c r="E354" i="10"/>
  <c r="H712" i="7"/>
  <c r="E713" i="7" s="1"/>
  <c r="E712" i="10"/>
  <c r="H1428" i="7"/>
  <c r="E1429" i="7" s="1"/>
  <c r="H533" i="7"/>
  <c r="E534" i="7" s="1"/>
  <c r="E533" i="10"/>
  <c r="I354" i="11" l="1"/>
  <c r="I175" i="11"/>
  <c r="I891" i="11"/>
  <c r="I533" i="11"/>
  <c r="I1070" i="11"/>
  <c r="E1071" i="11"/>
  <c r="I712" i="11"/>
  <c r="E713" i="11"/>
  <c r="H2148" i="7"/>
  <c r="E2149" i="7" s="1"/>
  <c r="E894" i="10"/>
  <c r="I1070" i="10"/>
  <c r="L2324" i="7"/>
  <c r="L1070" i="10" s="1"/>
  <c r="P1070" i="10" s="1"/>
  <c r="K2324" i="7"/>
  <c r="K1070" i="10" s="1"/>
  <c r="J2324" i="7"/>
  <c r="J1070" i="10" s="1"/>
  <c r="J533" i="7"/>
  <c r="J533" i="10" s="1"/>
  <c r="K533" i="7"/>
  <c r="K533" i="10" s="1"/>
  <c r="J354" i="7"/>
  <c r="J354" i="10" s="1"/>
  <c r="K354" i="7"/>
  <c r="K354" i="10" s="1"/>
  <c r="J1786" i="7"/>
  <c r="J1070" i="11" s="1"/>
  <c r="K1786" i="7"/>
  <c r="K1070" i="11" s="1"/>
  <c r="J891" i="7"/>
  <c r="J175" i="11" s="1"/>
  <c r="K891" i="7"/>
  <c r="K175" i="11" s="1"/>
  <c r="J1428" i="7"/>
  <c r="J712" i="11" s="1"/>
  <c r="K1428" i="7"/>
  <c r="K712" i="11" s="1"/>
  <c r="J1607" i="7"/>
  <c r="J891" i="11" s="1"/>
  <c r="K1607" i="7"/>
  <c r="K891" i="11" s="1"/>
  <c r="J1070" i="7"/>
  <c r="J354" i="11" s="1"/>
  <c r="K1070" i="7"/>
  <c r="K354" i="11" s="1"/>
  <c r="J175" i="7"/>
  <c r="J175" i="10" s="1"/>
  <c r="K175" i="7"/>
  <c r="K175" i="10" s="1"/>
  <c r="J712" i="7"/>
  <c r="J712" i="10" s="1"/>
  <c r="K712" i="7"/>
  <c r="K712" i="10" s="1"/>
  <c r="J1249" i="7"/>
  <c r="J533" i="11" s="1"/>
  <c r="K1249" i="7"/>
  <c r="K533" i="11" s="1"/>
  <c r="I533" i="10"/>
  <c r="I712" i="10"/>
  <c r="I354" i="10"/>
  <c r="E355" i="11"/>
  <c r="E176" i="11"/>
  <c r="I175" i="10"/>
  <c r="E892" i="11"/>
  <c r="E534" i="11"/>
  <c r="H2325" i="7" l="1"/>
  <c r="E2326" i="7" s="1"/>
  <c r="E1071" i="10"/>
  <c r="I894" i="10"/>
  <c r="K2148" i="7"/>
  <c r="K894" i="10" s="1"/>
  <c r="L2148" i="7"/>
  <c r="L894" i="10" s="1"/>
  <c r="P894" i="10" s="1"/>
  <c r="J2148" i="7"/>
  <c r="J894" i="10" s="1"/>
  <c r="L1070" i="7"/>
  <c r="L354" i="11" s="1"/>
  <c r="P354" i="11" s="1"/>
  <c r="L175" i="7"/>
  <c r="L175" i="10" s="1"/>
  <c r="P175" i="10" s="1"/>
  <c r="L354" i="7"/>
  <c r="L354" i="10" s="1"/>
  <c r="P354" i="10" s="1"/>
  <c r="L712" i="7"/>
  <c r="L712" i="10" s="1"/>
  <c r="P712" i="10" s="1"/>
  <c r="L1249" i="7"/>
  <c r="L533" i="11" s="1"/>
  <c r="P533" i="11" s="1"/>
  <c r="L1786" i="7"/>
  <c r="L1070" i="11" s="1"/>
  <c r="P1070" i="11" s="1"/>
  <c r="L1428" i="7"/>
  <c r="L712" i="11" s="1"/>
  <c r="P712" i="11" s="1"/>
  <c r="L891" i="7"/>
  <c r="L175" i="11" s="1"/>
  <c r="P175" i="11" s="1"/>
  <c r="L533" i="7"/>
  <c r="L533" i="10" s="1"/>
  <c r="P533" i="10" s="1"/>
  <c r="L1607" i="7"/>
  <c r="L891" i="11" s="1"/>
  <c r="P891" i="11" s="1"/>
  <c r="H1787" i="7"/>
  <c r="E1788" i="7" s="1"/>
  <c r="H1250" i="7"/>
  <c r="E1251" i="7" s="1"/>
  <c r="H1608" i="7"/>
  <c r="E1609" i="7" s="1"/>
  <c r="H176" i="7"/>
  <c r="E177" i="7" s="1"/>
  <c r="E176" i="10"/>
  <c r="H892" i="7"/>
  <c r="E893" i="7" s="1"/>
  <c r="H1071" i="7"/>
  <c r="E1072" i="7" s="1"/>
  <c r="H355" i="7"/>
  <c r="E356" i="7" s="1"/>
  <c r="E355" i="10"/>
  <c r="H713" i="7"/>
  <c r="E714" i="7" s="1"/>
  <c r="E713" i="10"/>
  <c r="H1429" i="7"/>
  <c r="E1430" i="7" s="1"/>
  <c r="H534" i="7"/>
  <c r="E535" i="7" s="1"/>
  <c r="E534" i="10"/>
  <c r="I1071" i="11" l="1"/>
  <c r="I355" i="11"/>
  <c r="I176" i="11"/>
  <c r="I892" i="11"/>
  <c r="I534" i="11"/>
  <c r="I713" i="11"/>
  <c r="E714" i="11"/>
  <c r="H2149" i="7"/>
  <c r="E2150" i="7" s="1"/>
  <c r="E895" i="10"/>
  <c r="I1071" i="10"/>
  <c r="J2325" i="7"/>
  <c r="J1071" i="10" s="1"/>
  <c r="L2325" i="7"/>
  <c r="L1071" i="10" s="1"/>
  <c r="P1071" i="10" s="1"/>
  <c r="K2325" i="7"/>
  <c r="K1071" i="10" s="1"/>
  <c r="J355" i="7"/>
  <c r="J355" i="10" s="1"/>
  <c r="K355" i="7"/>
  <c r="K355" i="10" s="1"/>
  <c r="J892" i="7"/>
  <c r="J176" i="11" s="1"/>
  <c r="K892" i="7"/>
  <c r="K176" i="11" s="1"/>
  <c r="J534" i="7"/>
  <c r="J534" i="10" s="1"/>
  <c r="K534" i="7"/>
  <c r="K534" i="10" s="1"/>
  <c r="J1787" i="7"/>
  <c r="J1071" i="11" s="1"/>
  <c r="K1787" i="7"/>
  <c r="K1071" i="11" s="1"/>
  <c r="J1071" i="7"/>
  <c r="J355" i="11" s="1"/>
  <c r="K1071" i="7"/>
  <c r="K355" i="11" s="1"/>
  <c r="J176" i="7"/>
  <c r="J176" i="10" s="1"/>
  <c r="K176" i="7"/>
  <c r="K176" i="10" s="1"/>
  <c r="J1429" i="7"/>
  <c r="J713" i="11" s="1"/>
  <c r="K1429" i="7"/>
  <c r="K713" i="11" s="1"/>
  <c r="J1608" i="7"/>
  <c r="J892" i="11" s="1"/>
  <c r="K1608" i="7"/>
  <c r="K892" i="11" s="1"/>
  <c r="J713" i="7"/>
  <c r="J713" i="10" s="1"/>
  <c r="K713" i="7"/>
  <c r="K713" i="10" s="1"/>
  <c r="J1250" i="7"/>
  <c r="J534" i="11" s="1"/>
  <c r="K1250" i="7"/>
  <c r="K534" i="11" s="1"/>
  <c r="I534" i="10"/>
  <c r="I713" i="10"/>
  <c r="I355" i="10"/>
  <c r="E356" i="11"/>
  <c r="E177" i="11"/>
  <c r="I176" i="10"/>
  <c r="E893" i="11"/>
  <c r="E535" i="11"/>
  <c r="E1072" i="11"/>
  <c r="H2326" i="7" l="1"/>
  <c r="E2327" i="7" s="1"/>
  <c r="E1072" i="10"/>
  <c r="I895" i="10"/>
  <c r="K2149" i="7"/>
  <c r="K895" i="10" s="1"/>
  <c r="J2149" i="7"/>
  <c r="J895" i="10" s="1"/>
  <c r="L2149" i="7"/>
  <c r="L895" i="10" s="1"/>
  <c r="P895" i="10" s="1"/>
  <c r="L1071" i="7"/>
  <c r="L355" i="11" s="1"/>
  <c r="P355" i="11" s="1"/>
  <c r="L176" i="7"/>
  <c r="L176" i="10" s="1"/>
  <c r="P176" i="10" s="1"/>
  <c r="L355" i="7"/>
  <c r="L355" i="10" s="1"/>
  <c r="P355" i="10" s="1"/>
  <c r="L713" i="7"/>
  <c r="L713" i="10" s="1"/>
  <c r="P713" i="10" s="1"/>
  <c r="L1429" i="7"/>
  <c r="L713" i="11" s="1"/>
  <c r="P713" i="11" s="1"/>
  <c r="L1787" i="7"/>
  <c r="L1071" i="11" s="1"/>
  <c r="P1071" i="11" s="1"/>
  <c r="L534" i="7"/>
  <c r="L534" i="10" s="1"/>
  <c r="P534" i="10" s="1"/>
  <c r="L1250" i="7"/>
  <c r="L534" i="11" s="1"/>
  <c r="P534" i="11" s="1"/>
  <c r="L892" i="7"/>
  <c r="L176" i="11" s="1"/>
  <c r="P176" i="11" s="1"/>
  <c r="L1608" i="7"/>
  <c r="L892" i="11" s="1"/>
  <c r="P892" i="11" s="1"/>
  <c r="H1788" i="7"/>
  <c r="E1789" i="7" s="1"/>
  <c r="H1251" i="7"/>
  <c r="E1252" i="7" s="1"/>
  <c r="H1609" i="7"/>
  <c r="E1610" i="7" s="1"/>
  <c r="H177" i="7"/>
  <c r="E178" i="7" s="1"/>
  <c r="E177" i="10"/>
  <c r="H893" i="7"/>
  <c r="E894" i="7" s="1"/>
  <c r="H1072" i="7"/>
  <c r="E1073" i="7" s="1"/>
  <c r="H356" i="7"/>
  <c r="E357" i="7" s="1"/>
  <c r="E356" i="10"/>
  <c r="H714" i="7"/>
  <c r="E715" i="7" s="1"/>
  <c r="E714" i="10"/>
  <c r="H1430" i="7"/>
  <c r="E1431" i="7" s="1"/>
  <c r="H535" i="7"/>
  <c r="E536" i="7" s="1"/>
  <c r="E535" i="10"/>
  <c r="I177" i="11" l="1"/>
  <c r="I535" i="11"/>
  <c r="I1072" i="11"/>
  <c r="I714" i="11"/>
  <c r="E715" i="11"/>
  <c r="I356" i="11"/>
  <c r="E357" i="11"/>
  <c r="I893" i="11"/>
  <c r="E894" i="11"/>
  <c r="H2150" i="7"/>
  <c r="E2151" i="7" s="1"/>
  <c r="E896" i="10"/>
  <c r="I1072" i="10"/>
  <c r="K2326" i="7"/>
  <c r="K1072" i="10" s="1"/>
  <c r="L2326" i="7"/>
  <c r="L1072" i="10" s="1"/>
  <c r="P1072" i="10" s="1"/>
  <c r="J2326" i="7"/>
  <c r="J1072" i="10" s="1"/>
  <c r="J356" i="7"/>
  <c r="J356" i="10" s="1"/>
  <c r="K356" i="7"/>
  <c r="K356" i="10" s="1"/>
  <c r="J535" i="7"/>
  <c r="J535" i="10" s="1"/>
  <c r="K535" i="7"/>
  <c r="K535" i="10" s="1"/>
  <c r="J893" i="7"/>
  <c r="J177" i="11" s="1"/>
  <c r="K893" i="7"/>
  <c r="K177" i="11" s="1"/>
  <c r="J1788" i="7"/>
  <c r="J1072" i="11" s="1"/>
  <c r="K1788" i="7"/>
  <c r="K1072" i="11" s="1"/>
  <c r="J1072" i="7"/>
  <c r="J356" i="11" s="1"/>
  <c r="K1072" i="7"/>
  <c r="K356" i="11" s="1"/>
  <c r="J177" i="7"/>
  <c r="J177" i="10" s="1"/>
  <c r="K177" i="7"/>
  <c r="K177" i="10" s="1"/>
  <c r="J1430" i="7"/>
  <c r="J714" i="11" s="1"/>
  <c r="K1430" i="7"/>
  <c r="K714" i="11" s="1"/>
  <c r="J1609" i="7"/>
  <c r="J893" i="11" s="1"/>
  <c r="K1609" i="7"/>
  <c r="K893" i="11" s="1"/>
  <c r="J714" i="7"/>
  <c r="L714" i="7" s="1"/>
  <c r="L714" i="10" s="1"/>
  <c r="P714" i="10" s="1"/>
  <c r="K714" i="7"/>
  <c r="K714" i="10" s="1"/>
  <c r="J1251" i="7"/>
  <c r="J535" i="11" s="1"/>
  <c r="K1251" i="7"/>
  <c r="K535" i="11" s="1"/>
  <c r="I535" i="10"/>
  <c r="I714" i="10"/>
  <c r="I356" i="10"/>
  <c r="E178" i="11"/>
  <c r="I177" i="10"/>
  <c r="E536" i="11"/>
  <c r="E1073" i="11"/>
  <c r="H2327" i="7" l="1"/>
  <c r="E2328" i="7" s="1"/>
  <c r="E1073" i="10"/>
  <c r="I896" i="10"/>
  <c r="K2150" i="7"/>
  <c r="K896" i="10" s="1"/>
  <c r="L2150" i="7"/>
  <c r="L896" i="10" s="1"/>
  <c r="P896" i="10" s="1"/>
  <c r="J2150" i="7"/>
  <c r="J896" i="10" s="1"/>
  <c r="J714" i="10"/>
  <c r="L1072" i="7"/>
  <c r="L356" i="11" s="1"/>
  <c r="P356" i="11" s="1"/>
  <c r="L177" i="7"/>
  <c r="L177" i="10" s="1"/>
  <c r="P177" i="10" s="1"/>
  <c r="L356" i="7"/>
  <c r="L356" i="10" s="1"/>
  <c r="P356" i="10" s="1"/>
  <c r="L1788" i="7"/>
  <c r="L1072" i="11" s="1"/>
  <c r="P1072" i="11" s="1"/>
  <c r="L1251" i="7"/>
  <c r="L535" i="11" s="1"/>
  <c r="P535" i="11" s="1"/>
  <c r="L1430" i="7"/>
  <c r="L714" i="11" s="1"/>
  <c r="P714" i="11" s="1"/>
  <c r="L893" i="7"/>
  <c r="L177" i="11" s="1"/>
  <c r="P177" i="11" s="1"/>
  <c r="L535" i="7"/>
  <c r="L535" i="10" s="1"/>
  <c r="P535" i="10" s="1"/>
  <c r="L1609" i="7"/>
  <c r="L893" i="11" s="1"/>
  <c r="P893" i="11" s="1"/>
  <c r="H1789" i="7"/>
  <c r="E1790" i="7" s="1"/>
  <c r="H1252" i="7"/>
  <c r="E1253" i="7" s="1"/>
  <c r="H1610" i="7"/>
  <c r="E1611" i="7" s="1"/>
  <c r="H178" i="7"/>
  <c r="E179" i="7" s="1"/>
  <c r="E178" i="10"/>
  <c r="H894" i="7"/>
  <c r="E895" i="7" s="1"/>
  <c r="H1073" i="7"/>
  <c r="E1074" i="7" s="1"/>
  <c r="H357" i="7"/>
  <c r="E358" i="7" s="1"/>
  <c r="E357" i="10"/>
  <c r="H715" i="7"/>
  <c r="E716" i="7" s="1"/>
  <c r="E715" i="10"/>
  <c r="H1431" i="7"/>
  <c r="E1432" i="7" s="1"/>
  <c r="H536" i="7"/>
  <c r="E537" i="7" s="1"/>
  <c r="E536" i="10"/>
  <c r="I357" i="11" l="1"/>
  <c r="I894" i="11"/>
  <c r="E895" i="11"/>
  <c r="I1073" i="11"/>
  <c r="I715" i="11"/>
  <c r="E716" i="11"/>
  <c r="I178" i="11"/>
  <c r="I536" i="11"/>
  <c r="E537" i="11"/>
  <c r="H2151" i="7"/>
  <c r="E2152" i="7" s="1"/>
  <c r="E897" i="10"/>
  <c r="I1073" i="10"/>
  <c r="K2327" i="7"/>
  <c r="K1073" i="10" s="1"/>
  <c r="L2327" i="7"/>
  <c r="L1073" i="10" s="1"/>
  <c r="P1073" i="10" s="1"/>
  <c r="J2327" i="7"/>
  <c r="J1073" i="10" s="1"/>
  <c r="J1252" i="7"/>
  <c r="J536" i="11" s="1"/>
  <c r="K1252" i="7"/>
  <c r="K536" i="11" s="1"/>
  <c r="J357" i="7"/>
  <c r="J357" i="10" s="1"/>
  <c r="K357" i="7"/>
  <c r="K357" i="10" s="1"/>
  <c r="J894" i="7"/>
  <c r="J178" i="11" s="1"/>
  <c r="K894" i="7"/>
  <c r="K178" i="11" s="1"/>
  <c r="J1610" i="7"/>
  <c r="J894" i="11" s="1"/>
  <c r="K1610" i="7"/>
  <c r="K894" i="11" s="1"/>
  <c r="J715" i="7"/>
  <c r="J715" i="10" s="1"/>
  <c r="K715" i="7"/>
  <c r="K715" i="10" s="1"/>
  <c r="J1789" i="7"/>
  <c r="J1073" i="11" s="1"/>
  <c r="K1789" i="7"/>
  <c r="K1073" i="11" s="1"/>
  <c r="J1073" i="7"/>
  <c r="J357" i="11" s="1"/>
  <c r="K1073" i="7"/>
  <c r="K357" i="11" s="1"/>
  <c r="J536" i="7"/>
  <c r="J536" i="10" s="1"/>
  <c r="K536" i="7"/>
  <c r="K536" i="10" s="1"/>
  <c r="J178" i="7"/>
  <c r="J178" i="10" s="1"/>
  <c r="K178" i="7"/>
  <c r="K178" i="10" s="1"/>
  <c r="J1431" i="7"/>
  <c r="J715" i="11" s="1"/>
  <c r="K1431" i="7"/>
  <c r="K715" i="11" s="1"/>
  <c r="I536" i="10"/>
  <c r="I715" i="10"/>
  <c r="I357" i="10"/>
  <c r="E358" i="11"/>
  <c r="E179" i="11"/>
  <c r="I178" i="10"/>
  <c r="E1074" i="11"/>
  <c r="H2328" i="7" l="1"/>
  <c r="E2329" i="7" s="1"/>
  <c r="E1074" i="10"/>
  <c r="I897" i="10"/>
  <c r="J2151" i="7"/>
  <c r="J897" i="10" s="1"/>
  <c r="K2151" i="7"/>
  <c r="K897" i="10" s="1"/>
  <c r="L2151" i="7"/>
  <c r="L897" i="10" s="1"/>
  <c r="P897" i="10" s="1"/>
  <c r="L715" i="7"/>
  <c r="L715" i="10" s="1"/>
  <c r="P715" i="10" s="1"/>
  <c r="L1073" i="7"/>
  <c r="L357" i="11" s="1"/>
  <c r="P357" i="11" s="1"/>
  <c r="L178" i="7"/>
  <c r="L178" i="10" s="1"/>
  <c r="P178" i="10" s="1"/>
  <c r="L357" i="7"/>
  <c r="L357" i="10" s="1"/>
  <c r="P357" i="10" s="1"/>
  <c r="L1431" i="7"/>
  <c r="L715" i="11" s="1"/>
  <c r="P715" i="11" s="1"/>
  <c r="L1789" i="7"/>
  <c r="L1073" i="11" s="1"/>
  <c r="P1073" i="11" s="1"/>
  <c r="L1252" i="7"/>
  <c r="L536" i="11" s="1"/>
  <c r="P536" i="11" s="1"/>
  <c r="L894" i="7"/>
  <c r="L178" i="11" s="1"/>
  <c r="P178" i="11" s="1"/>
  <c r="L536" i="7"/>
  <c r="L536" i="10" s="1"/>
  <c r="P536" i="10" s="1"/>
  <c r="L1610" i="7"/>
  <c r="L894" i="11" s="1"/>
  <c r="P894" i="11" s="1"/>
  <c r="H1790" i="7"/>
  <c r="E1791" i="7" s="1"/>
  <c r="H1253" i="7"/>
  <c r="E1254" i="7" s="1"/>
  <c r="H1611" i="7"/>
  <c r="E1612" i="7" s="1"/>
  <c r="H179" i="7"/>
  <c r="E180" i="7" s="1"/>
  <c r="E179" i="10"/>
  <c r="H895" i="7"/>
  <c r="E896" i="7" s="1"/>
  <c r="H1074" i="7"/>
  <c r="E1075" i="7" s="1"/>
  <c r="H358" i="7"/>
  <c r="E359" i="7" s="1"/>
  <c r="E358" i="10"/>
  <c r="H716" i="7"/>
  <c r="E717" i="7" s="1"/>
  <c r="E716" i="10"/>
  <c r="H1432" i="7"/>
  <c r="E1433" i="7" s="1"/>
  <c r="H537" i="7"/>
  <c r="E538" i="7" s="1"/>
  <c r="E537" i="10"/>
  <c r="I179" i="11" l="1"/>
  <c r="E180" i="11"/>
  <c r="I358" i="11"/>
  <c r="I895" i="11"/>
  <c r="I537" i="11"/>
  <c r="I1074" i="11"/>
  <c r="I716" i="11"/>
  <c r="E717" i="11"/>
  <c r="H2152" i="7"/>
  <c r="E898" i="10"/>
  <c r="I1074" i="10"/>
  <c r="L2328" i="7"/>
  <c r="L1074" i="10" s="1"/>
  <c r="P1074" i="10" s="1"/>
  <c r="J2328" i="7"/>
  <c r="J1074" i="10" s="1"/>
  <c r="K2328" i="7"/>
  <c r="K1074" i="10" s="1"/>
  <c r="J895" i="7"/>
  <c r="J179" i="11" s="1"/>
  <c r="K895" i="7"/>
  <c r="K179" i="11" s="1"/>
  <c r="J1253" i="7"/>
  <c r="J537" i="11" s="1"/>
  <c r="K1253" i="7"/>
  <c r="K537" i="11" s="1"/>
  <c r="J1790" i="7"/>
  <c r="J1074" i="11" s="1"/>
  <c r="K1790" i="7"/>
  <c r="K1074" i="11" s="1"/>
  <c r="J1074" i="7"/>
  <c r="J358" i="11" s="1"/>
  <c r="K1074" i="7"/>
  <c r="K358" i="11" s="1"/>
  <c r="J358" i="7"/>
  <c r="J358" i="10" s="1"/>
  <c r="K358" i="7"/>
  <c r="K358" i="10" s="1"/>
  <c r="J1611" i="7"/>
  <c r="J895" i="11" s="1"/>
  <c r="K1611" i="7"/>
  <c r="K895" i="11" s="1"/>
  <c r="J716" i="7"/>
  <c r="J716" i="10" s="1"/>
  <c r="K716" i="7"/>
  <c r="K716" i="10" s="1"/>
  <c r="J537" i="7"/>
  <c r="J537" i="10" s="1"/>
  <c r="K537" i="7"/>
  <c r="K537" i="10" s="1"/>
  <c r="J179" i="7"/>
  <c r="J179" i="10" s="1"/>
  <c r="K179" i="7"/>
  <c r="K179" i="10" s="1"/>
  <c r="J1432" i="7"/>
  <c r="J716" i="11" s="1"/>
  <c r="K1432" i="7"/>
  <c r="K716" i="11" s="1"/>
  <c r="I537" i="10"/>
  <c r="I716" i="10"/>
  <c r="I358" i="10"/>
  <c r="E359" i="11"/>
  <c r="I179" i="10"/>
  <c r="E896" i="11"/>
  <c r="E538" i="11"/>
  <c r="E1075" i="11"/>
  <c r="H2329" i="7" l="1"/>
  <c r="E2330" i="7" s="1"/>
  <c r="E1075" i="10"/>
  <c r="I898" i="10"/>
  <c r="L2152" i="7"/>
  <c r="L898" i="10" s="1"/>
  <c r="P898" i="10" s="1"/>
  <c r="K2152" i="7"/>
  <c r="K898" i="10" s="1"/>
  <c r="J2152" i="7"/>
  <c r="J898" i="10" s="1"/>
  <c r="L1074" i="7"/>
  <c r="L358" i="11" s="1"/>
  <c r="P358" i="11" s="1"/>
  <c r="L179" i="7"/>
  <c r="L179" i="10" s="1"/>
  <c r="P179" i="10" s="1"/>
  <c r="L358" i="7"/>
  <c r="L358" i="10" s="1"/>
  <c r="P358" i="10" s="1"/>
  <c r="L1432" i="7"/>
  <c r="L716" i="11" s="1"/>
  <c r="P716" i="11" s="1"/>
  <c r="L716" i="7"/>
  <c r="L716" i="10" s="1"/>
  <c r="P716" i="10" s="1"/>
  <c r="L1790" i="7"/>
  <c r="L1074" i="11" s="1"/>
  <c r="P1074" i="11" s="1"/>
  <c r="L895" i="7"/>
  <c r="L179" i="11" s="1"/>
  <c r="P179" i="11" s="1"/>
  <c r="L537" i="7"/>
  <c r="L537" i="10" s="1"/>
  <c r="P537" i="10" s="1"/>
  <c r="L1253" i="7"/>
  <c r="L537" i="11" s="1"/>
  <c r="P537" i="11" s="1"/>
  <c r="L1611" i="7"/>
  <c r="L895" i="11" s="1"/>
  <c r="P895" i="11" s="1"/>
  <c r="H1791" i="7"/>
  <c r="E1792" i="7" s="1"/>
  <c r="H1254" i="7"/>
  <c r="E1255" i="7" s="1"/>
  <c r="H1612" i="7"/>
  <c r="E1613" i="7" s="1"/>
  <c r="E180" i="10"/>
  <c r="H180" i="7"/>
  <c r="E181" i="7" s="1"/>
  <c r="H896" i="7"/>
  <c r="E897" i="7" s="1"/>
  <c r="H1075" i="7"/>
  <c r="E1076" i="7" s="1"/>
  <c r="H359" i="7"/>
  <c r="E360" i="7" s="1"/>
  <c r="E359" i="10"/>
  <c r="H717" i="7"/>
  <c r="E718" i="7" s="1"/>
  <c r="E717" i="10"/>
  <c r="H1433" i="7"/>
  <c r="E1434" i="7" s="1"/>
  <c r="H538" i="7"/>
  <c r="E539" i="7" s="1"/>
  <c r="E538" i="10"/>
  <c r="I180" i="11" l="1"/>
  <c r="I538" i="11"/>
  <c r="E539" i="11"/>
  <c r="I359" i="11"/>
  <c r="E360" i="11"/>
  <c r="I1075" i="11"/>
  <c r="I717" i="11"/>
  <c r="E718" i="11"/>
  <c r="I896" i="11"/>
  <c r="E897" i="11"/>
  <c r="I1075" i="10"/>
  <c r="J2329" i="7"/>
  <c r="J1075" i="10" s="1"/>
  <c r="K2329" i="7"/>
  <c r="K1075" i="10" s="1"/>
  <c r="L2329" i="7"/>
  <c r="L1075" i="10" s="1"/>
  <c r="P1075" i="10" s="1"/>
  <c r="J1791" i="7"/>
  <c r="J1075" i="11" s="1"/>
  <c r="K1791" i="7"/>
  <c r="K1075" i="11" s="1"/>
  <c r="J538" i="7"/>
  <c r="J538" i="10" s="1"/>
  <c r="K538" i="7"/>
  <c r="K538" i="10" s="1"/>
  <c r="J359" i="7"/>
  <c r="J359" i="10" s="1"/>
  <c r="K359" i="7"/>
  <c r="K359" i="10" s="1"/>
  <c r="J1075" i="7"/>
  <c r="J359" i="11" s="1"/>
  <c r="K1075" i="7"/>
  <c r="K359" i="11" s="1"/>
  <c r="J896" i="7"/>
  <c r="J180" i="11" s="1"/>
  <c r="K896" i="7"/>
  <c r="K180" i="11" s="1"/>
  <c r="J180" i="7"/>
  <c r="J180" i="10" s="1"/>
  <c r="K180" i="7"/>
  <c r="K180" i="10" s="1"/>
  <c r="J1433" i="7"/>
  <c r="J717" i="11" s="1"/>
  <c r="K1433" i="7"/>
  <c r="K717" i="11" s="1"/>
  <c r="J1612" i="7"/>
  <c r="J896" i="11" s="1"/>
  <c r="K1612" i="7"/>
  <c r="K896" i="11" s="1"/>
  <c r="J717" i="7"/>
  <c r="J717" i="10" s="1"/>
  <c r="K717" i="7"/>
  <c r="K717" i="10" s="1"/>
  <c r="J1254" i="7"/>
  <c r="J538" i="11" s="1"/>
  <c r="K1254" i="7"/>
  <c r="K538" i="11" s="1"/>
  <c r="I538" i="10"/>
  <c r="I717" i="10"/>
  <c r="I359" i="10"/>
  <c r="E181" i="11"/>
  <c r="I180" i="10"/>
  <c r="E1076" i="11"/>
  <c r="H2330" i="7" l="1"/>
  <c r="E2331" i="7" s="1"/>
  <c r="E1076" i="10"/>
  <c r="L1075" i="7"/>
  <c r="L359" i="11" s="1"/>
  <c r="P359" i="11" s="1"/>
  <c r="L180" i="7"/>
  <c r="L180" i="10" s="1"/>
  <c r="P180" i="10" s="1"/>
  <c r="L359" i="7"/>
  <c r="L359" i="10" s="1"/>
  <c r="P359" i="10" s="1"/>
  <c r="L717" i="7"/>
  <c r="L717" i="10" s="1"/>
  <c r="P717" i="10" s="1"/>
  <c r="L1612" i="7"/>
  <c r="L896" i="11" s="1"/>
  <c r="P896" i="11" s="1"/>
  <c r="L1791" i="7"/>
  <c r="L1075" i="11" s="1"/>
  <c r="P1075" i="11" s="1"/>
  <c r="L1433" i="7"/>
  <c r="L717" i="11" s="1"/>
  <c r="P717" i="11" s="1"/>
  <c r="L1254" i="7"/>
  <c r="L538" i="11" s="1"/>
  <c r="P538" i="11" s="1"/>
  <c r="L896" i="7"/>
  <c r="L180" i="11" s="1"/>
  <c r="P180" i="11" s="1"/>
  <c r="L538" i="7"/>
  <c r="L538" i="10" s="1"/>
  <c r="P538" i="10" s="1"/>
  <c r="H1792" i="7"/>
  <c r="E1793" i="7" s="1"/>
  <c r="H1255" i="7"/>
  <c r="E1256" i="7" s="1"/>
  <c r="H1613" i="7"/>
  <c r="E1614" i="7" s="1"/>
  <c r="E181" i="10"/>
  <c r="H181" i="7"/>
  <c r="E182" i="7" s="1"/>
  <c r="H897" i="7"/>
  <c r="E898" i="7" s="1"/>
  <c r="H1076" i="7"/>
  <c r="E1077" i="7" s="1"/>
  <c r="H360" i="7"/>
  <c r="E361" i="7" s="1"/>
  <c r="E360" i="10"/>
  <c r="H718" i="7"/>
  <c r="E719" i="7" s="1"/>
  <c r="E718" i="10"/>
  <c r="H1434" i="7"/>
  <c r="E1435" i="7" s="1"/>
  <c r="H539" i="7"/>
  <c r="E540" i="7" s="1"/>
  <c r="E539" i="10"/>
  <c r="I1076" i="11" l="1"/>
  <c r="E1077" i="11"/>
  <c r="I718" i="11"/>
  <c r="E719" i="11"/>
  <c r="I360" i="11"/>
  <c r="I181" i="11"/>
  <c r="E182" i="11"/>
  <c r="I897" i="11"/>
  <c r="E898" i="11"/>
  <c r="I539" i="11"/>
  <c r="E540" i="11"/>
  <c r="I1076" i="10"/>
  <c r="K2330" i="7"/>
  <c r="K1076" i="10" s="1"/>
  <c r="J2330" i="7"/>
  <c r="J1076" i="10" s="1"/>
  <c r="L2330" i="7"/>
  <c r="L1076" i="10" s="1"/>
  <c r="P1076" i="10" s="1"/>
  <c r="J1076" i="7"/>
  <c r="J360" i="11" s="1"/>
  <c r="K1076" i="7"/>
  <c r="K360" i="11" s="1"/>
  <c r="J181" i="7"/>
  <c r="J181" i="10" s="1"/>
  <c r="K181" i="7"/>
  <c r="K181" i="10" s="1"/>
  <c r="J539" i="7"/>
  <c r="J539" i="10" s="1"/>
  <c r="K539" i="7"/>
  <c r="K539" i="10" s="1"/>
  <c r="J360" i="7"/>
  <c r="J360" i="10" s="1"/>
  <c r="K360" i="7"/>
  <c r="K360" i="10" s="1"/>
  <c r="J1792" i="7"/>
  <c r="J1076" i="11" s="1"/>
  <c r="K1792" i="7"/>
  <c r="K1076" i="11" s="1"/>
  <c r="J897" i="7"/>
  <c r="J181" i="11" s="1"/>
  <c r="K897" i="7"/>
  <c r="K181" i="11" s="1"/>
  <c r="J1434" i="7"/>
  <c r="J718" i="11" s="1"/>
  <c r="K1434" i="7"/>
  <c r="K718" i="11" s="1"/>
  <c r="J1613" i="7"/>
  <c r="J897" i="11" s="1"/>
  <c r="K1613" i="7"/>
  <c r="K897" i="11" s="1"/>
  <c r="J718" i="7"/>
  <c r="J718" i="10" s="1"/>
  <c r="K718" i="7"/>
  <c r="K718" i="10" s="1"/>
  <c r="J1255" i="7"/>
  <c r="J539" i="11" s="1"/>
  <c r="K1255" i="7"/>
  <c r="K539" i="11" s="1"/>
  <c r="I539" i="10"/>
  <c r="I718" i="10"/>
  <c r="I360" i="10"/>
  <c r="E361" i="11"/>
  <c r="I181" i="10"/>
  <c r="H2331" i="7" l="1"/>
  <c r="E1077" i="10"/>
  <c r="L1076" i="7"/>
  <c r="L360" i="11" s="1"/>
  <c r="P360" i="11" s="1"/>
  <c r="L181" i="7"/>
  <c r="L181" i="10" s="1"/>
  <c r="P181" i="10" s="1"/>
  <c r="L360" i="7"/>
  <c r="L360" i="10" s="1"/>
  <c r="P360" i="10" s="1"/>
  <c r="L718" i="7"/>
  <c r="L718" i="10" s="1"/>
  <c r="P718" i="10" s="1"/>
  <c r="L539" i="7"/>
  <c r="L539" i="10" s="1"/>
  <c r="P539" i="10" s="1"/>
  <c r="L1792" i="7"/>
  <c r="L1076" i="11" s="1"/>
  <c r="P1076" i="11" s="1"/>
  <c r="L1434" i="7"/>
  <c r="L718" i="11" s="1"/>
  <c r="P718" i="11" s="1"/>
  <c r="L1255" i="7"/>
  <c r="L539" i="11" s="1"/>
  <c r="P539" i="11" s="1"/>
  <c r="L897" i="7"/>
  <c r="L181" i="11" s="1"/>
  <c r="P181" i="11" s="1"/>
  <c r="L1613" i="7"/>
  <c r="L897" i="11" s="1"/>
  <c r="P897" i="11" s="1"/>
  <c r="H1793" i="7"/>
  <c r="I1077" i="11" s="1"/>
  <c r="H1256" i="7"/>
  <c r="I540" i="11" s="1"/>
  <c r="H1614" i="7"/>
  <c r="I898" i="11" s="1"/>
  <c r="E182" i="10"/>
  <c r="H182" i="7"/>
  <c r="H898" i="7"/>
  <c r="I182" i="11" s="1"/>
  <c r="H1077" i="7"/>
  <c r="I361" i="11" s="1"/>
  <c r="H361" i="7"/>
  <c r="E361" i="10"/>
  <c r="H719" i="7"/>
  <c r="E719" i="10"/>
  <c r="H1435" i="7"/>
  <c r="I719" i="11" s="1"/>
  <c r="H540" i="7"/>
  <c r="E540" i="10"/>
  <c r="I1077" i="10" l="1"/>
  <c r="G36" i="18" a="1"/>
  <c r="G36" i="18" s="1"/>
  <c r="AO7" i="12" s="1"/>
  <c r="AO22" i="12" s="1"/>
  <c r="F45" i="18" a="1"/>
  <c r="F45" i="18" s="1"/>
  <c r="G63" i="18" a="1"/>
  <c r="G63" i="18" s="1"/>
  <c r="BA8" i="12" s="1"/>
  <c r="BA23" i="12" s="1"/>
  <c r="G49" i="18" a="1"/>
  <c r="G49" i="18" s="1"/>
  <c r="AM8" i="12" s="1"/>
  <c r="AM23" i="12" s="1"/>
  <c r="F54" i="18" a="1"/>
  <c r="F54" i="18" s="1"/>
  <c r="I60" i="18" a="1"/>
  <c r="I60" i="18" s="1"/>
  <c r="F63" i="18" a="1"/>
  <c r="F63" i="18" s="1"/>
  <c r="F57" i="18" a="1"/>
  <c r="F57" i="18" s="1"/>
  <c r="I48" i="18" a="1"/>
  <c r="I48" i="18" s="1"/>
  <c r="F50" i="18" a="1"/>
  <c r="F50" i="18" s="1"/>
  <c r="I47" i="18" a="1"/>
  <c r="I47" i="18" s="1"/>
  <c r="I38" i="18" a="1"/>
  <c r="I38" i="18" s="1"/>
  <c r="F35" i="18" a="1"/>
  <c r="F35" i="18" s="1"/>
  <c r="G59" i="18" a="1"/>
  <c r="G59" i="18" s="1"/>
  <c r="AW8" i="12" s="1"/>
  <c r="AW23" i="12" s="1"/>
  <c r="F41" i="18" a="1"/>
  <c r="F41" i="18" s="1"/>
  <c r="G51" i="18" a="1"/>
  <c r="G51" i="18" s="1"/>
  <c r="AO8" i="12" s="1"/>
  <c r="AO23" i="12" s="1"/>
  <c r="G40" i="18" a="1"/>
  <c r="G40" i="18" s="1"/>
  <c r="AS7" i="12" s="1"/>
  <c r="AS22" i="12" s="1"/>
  <c r="F49" i="18" a="1"/>
  <c r="F49" i="18" s="1"/>
  <c r="I35" i="18" a="1"/>
  <c r="I35" i="18" s="1"/>
  <c r="G55" i="18" a="1"/>
  <c r="G55" i="18" s="1"/>
  <c r="AS8" i="12" s="1"/>
  <c r="AS23" i="12" s="1"/>
  <c r="G52" i="18" a="1"/>
  <c r="G52" i="18" s="1"/>
  <c r="AP8" i="12" s="1"/>
  <c r="AP23" i="12" s="1"/>
  <c r="G47" i="18" a="1"/>
  <c r="G47" i="18" s="1"/>
  <c r="AZ7" i="12" s="1"/>
  <c r="AZ22" i="12" s="1"/>
  <c r="I58" i="18" a="1"/>
  <c r="I58" i="18" s="1"/>
  <c r="G53" i="18" a="1"/>
  <c r="G53" i="18" s="1"/>
  <c r="AQ8" i="12" s="1"/>
  <c r="AQ23" i="12" s="1"/>
  <c r="I34" i="18" a="1"/>
  <c r="I34" i="18" s="1"/>
  <c r="I49" i="18" a="1"/>
  <c r="I49" i="18" s="1"/>
  <c r="I62" i="18" a="1"/>
  <c r="I62" i="18" s="1"/>
  <c r="G44" i="18" a="1"/>
  <c r="G44" i="18" s="1"/>
  <c r="AW7" i="12" s="1"/>
  <c r="AW22" i="12" s="1"/>
  <c r="I56" i="18" a="1"/>
  <c r="I56" i="18" s="1"/>
  <c r="I59" i="18" a="1"/>
  <c r="I59" i="18" s="1"/>
  <c r="F59" i="18" a="1"/>
  <c r="F59" i="18" s="1"/>
  <c r="G48" i="18" a="1"/>
  <c r="G48" i="18" s="1"/>
  <c r="BA7" i="12" s="1"/>
  <c r="BA22" i="12" s="1"/>
  <c r="F42" i="18" a="1"/>
  <c r="F42" i="18" s="1"/>
  <c r="F56" i="18" a="1"/>
  <c r="F56" i="18" s="1"/>
  <c r="I55" i="18" a="1"/>
  <c r="I55" i="18" s="1"/>
  <c r="I61" i="18" a="1"/>
  <c r="I61" i="18" s="1"/>
  <c r="G45" i="18" a="1"/>
  <c r="G45" i="18" s="1"/>
  <c r="AX7" i="12" s="1"/>
  <c r="AX22" i="12" s="1"/>
  <c r="G50" i="18" a="1"/>
  <c r="G50" i="18" s="1"/>
  <c r="AN8" i="12" s="1"/>
  <c r="AN23" i="12" s="1"/>
  <c r="F40" i="18" a="1"/>
  <c r="F40" i="18" s="1"/>
  <c r="F46" i="18" a="1"/>
  <c r="F46" i="18" s="1"/>
  <c r="F37" i="18" a="1"/>
  <c r="F37" i="18" s="1"/>
  <c r="F48" i="18" a="1"/>
  <c r="F48" i="18" s="1"/>
  <c r="I45" i="18" a="1"/>
  <c r="I45" i="18" s="1"/>
  <c r="F34" i="18" a="1"/>
  <c r="F34" i="18" s="1"/>
  <c r="G62" i="18" a="1"/>
  <c r="G62" i="18" s="1"/>
  <c r="AZ8" i="12" s="1"/>
  <c r="AZ23" i="12" s="1"/>
  <c r="I51" i="18" a="1"/>
  <c r="I51" i="18" s="1"/>
  <c r="F52" i="18" a="1"/>
  <c r="F52" i="18" s="1"/>
  <c r="I52" i="18" a="1"/>
  <c r="I52" i="18" s="1"/>
  <c r="G61" i="18" a="1"/>
  <c r="G61" i="18" s="1"/>
  <c r="AY8" i="12" s="1"/>
  <c r="AY23" i="12" s="1"/>
  <c r="I39" i="18" a="1"/>
  <c r="I39" i="18" s="1"/>
  <c r="I42" i="18" a="1"/>
  <c r="I42" i="18" s="1"/>
  <c r="G43" i="18" a="1"/>
  <c r="G43" i="18" s="1"/>
  <c r="AV7" i="12" s="1"/>
  <c r="AV22" i="12" s="1"/>
  <c r="F61" i="18" a="1"/>
  <c r="F61" i="18" s="1"/>
  <c r="I43" i="18" a="1"/>
  <c r="I43" i="18" s="1"/>
  <c r="F44" i="18" a="1"/>
  <c r="F44" i="18" s="1"/>
  <c r="F55" i="18" a="1"/>
  <c r="F55" i="18" s="1"/>
  <c r="I41" i="18" a="1"/>
  <c r="I41" i="18" s="1"/>
  <c r="F47" i="18" a="1"/>
  <c r="F47" i="18" s="1"/>
  <c r="I37" i="18" a="1"/>
  <c r="I37" i="18" s="1"/>
  <c r="G38" i="18" a="1"/>
  <c r="G38" i="18" s="1"/>
  <c r="AQ7" i="12" s="1"/>
  <c r="AQ22" i="12" s="1"/>
  <c r="F43" i="18" a="1"/>
  <c r="F43" i="18" s="1"/>
  <c r="I54" i="18" a="1"/>
  <c r="I54" i="18" s="1"/>
  <c r="G57" i="18" a="1"/>
  <c r="G57" i="18" s="1"/>
  <c r="AU8" i="12" s="1"/>
  <c r="AU23" i="12" s="1"/>
  <c r="G42" i="18" a="1"/>
  <c r="G42" i="18" s="1"/>
  <c r="AU7" i="12" s="1"/>
  <c r="AU22" i="12" s="1"/>
  <c r="G58" i="18" a="1"/>
  <c r="G58" i="18" s="1"/>
  <c r="AV8" i="12" s="1"/>
  <c r="AV23" i="12" s="1"/>
  <c r="F39" i="18" a="1"/>
  <c r="F39" i="18" s="1"/>
  <c r="G60" i="18" a="1"/>
  <c r="G60" i="18" s="1"/>
  <c r="AX8" i="12" s="1"/>
  <c r="AX23" i="12" s="1"/>
  <c r="I57" i="18" a="1"/>
  <c r="I57" i="18" s="1"/>
  <c r="F62" i="18" a="1"/>
  <c r="F62" i="18" s="1"/>
  <c r="G35" i="18" a="1"/>
  <c r="G35" i="18" s="1"/>
  <c r="AN7" i="12" s="1"/>
  <c r="AN22" i="12" s="1"/>
  <c r="I40" i="18" a="1"/>
  <c r="I40" i="18" s="1"/>
  <c r="I63" i="18" a="1"/>
  <c r="I63" i="18" s="1"/>
  <c r="I44" i="18" a="1"/>
  <c r="I44" i="18" s="1"/>
  <c r="F51" i="18" a="1"/>
  <c r="F51" i="18" s="1"/>
  <c r="I50" i="18" a="1"/>
  <c r="I50" i="18" s="1"/>
  <c r="F58" i="18" a="1"/>
  <c r="F58" i="18" s="1"/>
  <c r="F36" i="18" a="1"/>
  <c r="F36" i="18" s="1"/>
  <c r="F53" i="18" a="1"/>
  <c r="F53" i="18" s="1"/>
  <c r="G41" i="18" a="1"/>
  <c r="G41" i="18" s="1"/>
  <c r="AT7" i="12" s="1"/>
  <c r="AT22" i="12" s="1"/>
  <c r="I46" i="18" a="1"/>
  <c r="I46" i="18" s="1"/>
  <c r="F60" i="18" a="1"/>
  <c r="F60" i="18" s="1"/>
  <c r="G37" i="18" a="1"/>
  <c r="G37" i="18" s="1"/>
  <c r="AP7" i="12" s="1"/>
  <c r="AP22" i="12" s="1"/>
  <c r="G54" i="18" a="1"/>
  <c r="G54" i="18" s="1"/>
  <c r="AR8" i="12" s="1"/>
  <c r="AR23" i="12" s="1"/>
  <c r="G56" i="18" a="1"/>
  <c r="G56" i="18" s="1"/>
  <c r="AT8" i="12" s="1"/>
  <c r="AT23" i="12" s="1"/>
  <c r="G39" i="18" a="1"/>
  <c r="G39" i="18" s="1"/>
  <c r="AR7" i="12" s="1"/>
  <c r="AR22" i="12" s="1"/>
  <c r="G34" i="18" a="1"/>
  <c r="G34" i="18" s="1"/>
  <c r="AM7" i="12" s="1"/>
  <c r="AM22" i="12" s="1"/>
  <c r="F38" i="18" a="1"/>
  <c r="F38" i="18" s="1"/>
  <c r="G46" i="18" a="1"/>
  <c r="G46" i="18" s="1"/>
  <c r="AY7" i="12" s="1"/>
  <c r="AY22" i="12" s="1"/>
  <c r="I36" i="18" a="1"/>
  <c r="I36" i="18" s="1"/>
  <c r="I53" i="18" a="1"/>
  <c r="I53" i="18" s="1"/>
  <c r="L2331" i="7"/>
  <c r="L1077" i="10" s="1"/>
  <c r="P1077" i="10" s="1"/>
  <c r="J2331" i="7"/>
  <c r="J1077" i="10" s="1"/>
  <c r="K2331" i="7"/>
  <c r="K1077" i="10" s="1"/>
  <c r="E14" i="17" a="1"/>
  <c r="E14" i="17" s="1"/>
  <c r="E13" i="17" a="1"/>
  <c r="E13" i="17" s="1"/>
  <c r="I33" i="18" a="1"/>
  <c r="I33" i="18" s="1"/>
  <c r="I104" i="18" a="1"/>
  <c r="I104" i="18" s="1"/>
  <c r="F137" i="18" a="1"/>
  <c r="F137" i="18" s="1"/>
  <c r="D37" i="17" a="1"/>
  <c r="D37" i="17" s="1"/>
  <c r="G166" i="18" a="1"/>
  <c r="G166" i="18" s="1"/>
  <c r="G8" i="18" a="1"/>
  <c r="G8" i="18" s="1"/>
  <c r="G121" i="18" a="1"/>
  <c r="G121" i="18" s="1"/>
  <c r="I90" i="18" a="1"/>
  <c r="I90" i="18" s="1"/>
  <c r="I25" i="18" a="1"/>
  <c r="I25" i="18" s="1"/>
  <c r="G171" i="18" a="1"/>
  <c r="G171" i="18" s="1"/>
  <c r="G138" i="18" a="1"/>
  <c r="G138" i="18" s="1"/>
  <c r="E20" i="17" a="1"/>
  <c r="E20" i="17" s="1"/>
  <c r="G116" i="18" a="1"/>
  <c r="G116" i="18" s="1"/>
  <c r="G176" i="18" a="1"/>
  <c r="G176" i="18" s="1"/>
  <c r="I76" i="18" a="1"/>
  <c r="I76" i="18" s="1"/>
  <c r="I75" i="18" a="1"/>
  <c r="I75" i="18" s="1"/>
  <c r="G87" i="18" a="1"/>
  <c r="G87" i="18" s="1"/>
  <c r="F105" i="18" a="1"/>
  <c r="F105" i="18" s="1"/>
  <c r="F67" i="18" a="1"/>
  <c r="F67" i="18" s="1"/>
  <c r="I11" i="18" a="1"/>
  <c r="I11" i="18" s="1"/>
  <c r="G146" i="18" a="1"/>
  <c r="G146" i="18" s="1"/>
  <c r="G12" i="18" a="1"/>
  <c r="G12" i="18" s="1"/>
  <c r="D34" i="17" a="1"/>
  <c r="D34" i="17" s="1"/>
  <c r="I151" i="18" a="1"/>
  <c r="I151" i="18" s="1"/>
  <c r="I97" i="18" a="1"/>
  <c r="I97" i="18" s="1"/>
  <c r="I144" i="18" a="1"/>
  <c r="I144" i="18" s="1"/>
  <c r="I86" i="18" a="1"/>
  <c r="I86" i="18" s="1"/>
  <c r="G178" i="18" a="1"/>
  <c r="G178" i="18" s="1"/>
  <c r="F153" i="18" a="1"/>
  <c r="F153" i="18" s="1"/>
  <c r="G148" i="18" a="1"/>
  <c r="G148" i="18" s="1"/>
  <c r="F138" i="18" a="1"/>
  <c r="F138" i="18" s="1"/>
  <c r="G140" i="18" a="1"/>
  <c r="G140" i="18" s="1"/>
  <c r="G101" i="18" a="1"/>
  <c r="G101" i="18" s="1"/>
  <c r="F113" i="18" a="1"/>
  <c r="F113" i="18" s="1"/>
  <c r="I95" i="18" a="1"/>
  <c r="I95" i="18" s="1"/>
  <c r="G117" i="18" a="1"/>
  <c r="G117" i="18" s="1"/>
  <c r="F178" i="18" a="1"/>
  <c r="F178" i="18" s="1"/>
  <c r="I132" i="18" a="1"/>
  <c r="I132" i="18" s="1"/>
  <c r="G179" i="18" a="1"/>
  <c r="G179" i="18" s="1"/>
  <c r="G161" i="18" a="1"/>
  <c r="G161" i="18" s="1"/>
  <c r="G78" i="18" a="1"/>
  <c r="G78" i="18" s="1"/>
  <c r="E18" i="17" a="1"/>
  <c r="E18" i="17" s="1"/>
  <c r="G64" i="18" a="1"/>
  <c r="G64" i="18" s="1"/>
  <c r="G72" i="18" a="1"/>
  <c r="G72" i="18" s="1"/>
  <c r="F163" i="18" a="1"/>
  <c r="F163" i="18" s="1"/>
  <c r="D46" i="17" a="1"/>
  <c r="D46" i="17" s="1"/>
  <c r="F8" i="18" a="1"/>
  <c r="F8" i="18" s="1"/>
  <c r="I158" i="18" a="1"/>
  <c r="I158" i="18" s="1"/>
  <c r="I109" i="18" a="1"/>
  <c r="I109" i="18" s="1"/>
  <c r="F5" i="18" a="1"/>
  <c r="F5" i="18" s="1"/>
  <c r="I136" i="18" a="1"/>
  <c r="I136" i="18" s="1"/>
  <c r="G24" i="18" a="1"/>
  <c r="G24" i="18" s="1"/>
  <c r="G105" i="18" a="1"/>
  <c r="G105" i="18" s="1"/>
  <c r="I18" i="18" a="1"/>
  <c r="I18" i="18" s="1"/>
  <c r="I127" i="18" a="1"/>
  <c r="I127" i="18" s="1"/>
  <c r="G30" i="18" a="1"/>
  <c r="G30" i="18" s="1"/>
  <c r="F68" i="18" a="1"/>
  <c r="F68" i="18" s="1"/>
  <c r="E16" i="17" a="1"/>
  <c r="E16" i="17" s="1"/>
  <c r="F112" i="18" a="1"/>
  <c r="F112" i="18" s="1"/>
  <c r="I181" i="18" a="1"/>
  <c r="I181" i="18" s="1"/>
  <c r="F108" i="18" a="1"/>
  <c r="F108" i="18" s="1"/>
  <c r="G160" i="18" a="1"/>
  <c r="G160" i="18" s="1"/>
  <c r="I17" i="18" a="1"/>
  <c r="I17" i="18" s="1"/>
  <c r="I32" i="18" a="1"/>
  <c r="I32" i="18" s="1"/>
  <c r="G134" i="18" a="1"/>
  <c r="G134" i="18" s="1"/>
  <c r="F152" i="18" a="1"/>
  <c r="F152" i="18" s="1"/>
  <c r="G84" i="18" a="1"/>
  <c r="G84" i="18" s="1"/>
  <c r="D39" i="17" a="1"/>
  <c r="D39" i="17" s="1"/>
  <c r="F69" i="18" a="1"/>
  <c r="F69" i="18" s="1"/>
  <c r="G110" i="18" a="1"/>
  <c r="G110" i="18" s="1"/>
  <c r="F97" i="18" a="1"/>
  <c r="F97" i="18" s="1"/>
  <c r="G144" i="18" a="1"/>
  <c r="G144" i="18" s="1"/>
  <c r="F157" i="18" a="1"/>
  <c r="F157" i="18" s="1"/>
  <c r="I159" i="18" a="1"/>
  <c r="I159" i="18" s="1"/>
  <c r="G187" i="18" a="1"/>
  <c r="G187" i="18" s="1"/>
  <c r="F21" i="18" a="1"/>
  <c r="F21" i="18" s="1"/>
  <c r="I154" i="18" a="1"/>
  <c r="I154" i="18" s="1"/>
  <c r="F33" i="18" a="1"/>
  <c r="F33" i="18" s="1"/>
  <c r="I91" i="18" a="1"/>
  <c r="I91" i="18" s="1"/>
  <c r="I169" i="18" a="1"/>
  <c r="I169" i="18" s="1"/>
  <c r="D33" i="17" a="1"/>
  <c r="D33" i="17" s="1"/>
  <c r="G70" i="18" a="1"/>
  <c r="G70" i="18" s="1"/>
  <c r="F22" i="18" a="1"/>
  <c r="F22" i="18" s="1"/>
  <c r="F13" i="18" a="1"/>
  <c r="F13" i="18" s="1"/>
  <c r="G145" i="18" a="1"/>
  <c r="G145" i="18" s="1"/>
  <c r="AS14" i="12" s="1"/>
  <c r="AS29" i="12" s="1"/>
  <c r="F125" i="18" a="1"/>
  <c r="F125" i="18" s="1"/>
  <c r="G82" i="18" a="1"/>
  <c r="G82" i="18" s="1"/>
  <c r="AP10" i="12" s="1"/>
  <c r="AP25" i="12" s="1"/>
  <c r="E19" i="17" a="1"/>
  <c r="E19" i="17" s="1"/>
  <c r="I87" i="18" a="1"/>
  <c r="I87" i="18" s="1"/>
  <c r="F79" i="18" a="1"/>
  <c r="F79" i="18" s="1"/>
  <c r="I119" i="18" a="1"/>
  <c r="I119" i="18" s="1"/>
  <c r="F85" i="18" a="1"/>
  <c r="F85" i="18" s="1"/>
  <c r="G141" i="18" a="1"/>
  <c r="G141" i="18" s="1"/>
  <c r="F28" i="18" a="1"/>
  <c r="F28" i="18" s="1"/>
  <c r="G163" i="18" a="1"/>
  <c r="G163" i="18" s="1"/>
  <c r="G129" i="18" a="1"/>
  <c r="G129" i="18" s="1"/>
  <c r="G174" i="18" a="1"/>
  <c r="G174" i="18" s="1"/>
  <c r="D42" i="17" a="1"/>
  <c r="D42" i="17" s="1"/>
  <c r="F115" i="18" a="1"/>
  <c r="F115" i="18" s="1"/>
  <c r="G4" i="18" a="1"/>
  <c r="G4" i="18" s="1"/>
  <c r="I68" i="18" a="1"/>
  <c r="I68" i="18" s="1"/>
  <c r="F101" i="18" a="1"/>
  <c r="F101" i="18" s="1"/>
  <c r="F170" i="18" a="1"/>
  <c r="F170" i="18" s="1"/>
  <c r="I105" i="18" a="1"/>
  <c r="I105" i="18" s="1"/>
  <c r="I4" i="18" a="1"/>
  <c r="I4" i="18" s="1"/>
  <c r="I157" i="18" a="1"/>
  <c r="I157" i="18" s="1"/>
  <c r="E23" i="17" a="1"/>
  <c r="E23" i="17" s="1"/>
  <c r="I82" i="18" a="1"/>
  <c r="I82" i="18" s="1"/>
  <c r="G6" i="18" a="1"/>
  <c r="G6" i="18" s="1"/>
  <c r="G155" i="18" a="1"/>
  <c r="G155" i="18" s="1"/>
  <c r="AN15" i="12" s="1"/>
  <c r="AN30" i="12" s="1"/>
  <c r="F27" i="18" a="1"/>
  <c r="F27" i="18" s="1"/>
  <c r="G131" i="18" a="1"/>
  <c r="G131" i="18" s="1"/>
  <c r="G68" i="18" a="1"/>
  <c r="G68" i="18" s="1"/>
  <c r="I146" i="18" a="1"/>
  <c r="I146" i="18" s="1"/>
  <c r="F165" i="18" a="1"/>
  <c r="F165" i="18" s="1"/>
  <c r="E12" i="17" a="1"/>
  <c r="E12" i="17" s="1"/>
  <c r="F31" i="18" a="1"/>
  <c r="F31" i="18" s="1"/>
  <c r="I160" i="18" a="1"/>
  <c r="I160" i="18" s="1"/>
  <c r="I71" i="18" a="1"/>
  <c r="I71" i="18" s="1"/>
  <c r="I148" i="18" a="1"/>
  <c r="I148" i="18" s="1"/>
  <c r="I140" i="18" a="1"/>
  <c r="I140" i="18" s="1"/>
  <c r="I155" i="18" a="1"/>
  <c r="I155" i="18" s="1"/>
  <c r="F167" i="18" a="1"/>
  <c r="F167" i="18" s="1"/>
  <c r="G192" i="18" a="1"/>
  <c r="G192" i="18" s="1"/>
  <c r="G74" i="18" a="1"/>
  <c r="G74" i="18" s="1"/>
  <c r="AW9" i="12" s="1"/>
  <c r="AW24" i="12" s="1"/>
  <c r="G27" i="18" a="1"/>
  <c r="G27" i="18" s="1"/>
  <c r="D44" i="17" a="1"/>
  <c r="D44" i="17" s="1"/>
  <c r="G29" i="18" a="1"/>
  <c r="G29" i="18" s="1"/>
  <c r="G114" i="18" a="1"/>
  <c r="G114" i="18" s="1"/>
  <c r="F64" i="18" a="1"/>
  <c r="F64" i="18" s="1"/>
  <c r="I98" i="18" a="1"/>
  <c r="I98" i="18" s="1"/>
  <c r="F91" i="18" a="1"/>
  <c r="F91" i="18" s="1"/>
  <c r="F102" i="18" a="1"/>
  <c r="F102" i="18" s="1"/>
  <c r="I179" i="18" a="1"/>
  <c r="I179" i="18" s="1"/>
  <c r="I126" i="18" a="1"/>
  <c r="I126" i="18" s="1"/>
  <c r="F17" i="18" a="1"/>
  <c r="F17" i="18" s="1"/>
  <c r="F141" i="18" a="1"/>
  <c r="F141" i="18" s="1"/>
  <c r="I29" i="18" a="1"/>
  <c r="I29" i="18" s="1"/>
  <c r="G125" i="18" a="1"/>
  <c r="G125" i="18" s="1"/>
  <c r="AN13" i="12" s="1"/>
  <c r="AN28" i="12" s="1"/>
  <c r="F135" i="18" a="1"/>
  <c r="F135" i="18" s="1"/>
  <c r="I173" i="18" a="1"/>
  <c r="I173" i="18" s="1"/>
  <c r="G147" i="18" a="1"/>
  <c r="G147" i="18" s="1"/>
  <c r="AU14" i="12" s="1"/>
  <c r="AU29" i="12" s="1"/>
  <c r="D43" i="17" a="1"/>
  <c r="D43" i="17" s="1"/>
  <c r="I100" i="18" a="1"/>
  <c r="I100" i="18" s="1"/>
  <c r="I167" i="18" a="1"/>
  <c r="I167" i="18" s="1"/>
  <c r="G67" i="18" a="1"/>
  <c r="G67" i="18" s="1"/>
  <c r="AP9" i="12" s="1"/>
  <c r="AP24" i="12" s="1"/>
  <c r="F154" i="18" a="1"/>
  <c r="F154" i="18" s="1"/>
  <c r="G26" i="18" a="1"/>
  <c r="G26" i="18" s="1"/>
  <c r="I163" i="18" a="1"/>
  <c r="I163" i="18" s="1"/>
  <c r="D28" i="17" a="1"/>
  <c r="D28" i="17" s="1"/>
  <c r="G75" i="18" a="1"/>
  <c r="G75" i="18" s="1"/>
  <c r="AX9" i="12" s="1"/>
  <c r="AX24" i="12" s="1"/>
  <c r="D41" i="17" a="1"/>
  <c r="D41" i="17" s="1"/>
  <c r="G76" i="18" a="1"/>
  <c r="G76" i="18" s="1"/>
  <c r="AY9" i="12" s="1"/>
  <c r="AY24" i="12" s="1"/>
  <c r="F20" i="18" a="1"/>
  <c r="F20" i="18" s="1"/>
  <c r="F70" i="18" a="1"/>
  <c r="F70" i="18" s="1"/>
  <c r="F155" i="18" a="1"/>
  <c r="F155" i="18" s="1"/>
  <c r="F160" i="18" a="1"/>
  <c r="F160" i="18" s="1"/>
  <c r="I164" i="18" a="1"/>
  <c r="I164" i="18" s="1"/>
  <c r="G31" i="18" a="1"/>
  <c r="G31" i="18" s="1"/>
  <c r="AY6" i="12" s="1"/>
  <c r="AY21" i="12" s="1"/>
  <c r="G5" i="18" a="1"/>
  <c r="G5" i="18" s="1"/>
  <c r="AN5" i="12" s="1"/>
  <c r="AN20" i="12" s="1"/>
  <c r="G97" i="18" a="1"/>
  <c r="G97" i="18" s="1"/>
  <c r="AP11" i="12" s="1"/>
  <c r="AP26" i="12" s="1"/>
  <c r="I131" i="18" a="1"/>
  <c r="I131" i="18" s="1"/>
  <c r="I171" i="18" a="1"/>
  <c r="I171" i="18" s="1"/>
  <c r="G126" i="18" a="1"/>
  <c r="G126" i="18" s="1"/>
  <c r="AO13" i="12" s="1"/>
  <c r="AO28" i="12" s="1"/>
  <c r="F86" i="18" a="1"/>
  <c r="F86" i="18" s="1"/>
  <c r="I72" i="18" a="1"/>
  <c r="I72" i="18" s="1"/>
  <c r="F16" i="18" a="1"/>
  <c r="F16" i="18" s="1"/>
  <c r="I101" i="18" a="1"/>
  <c r="I101" i="18" s="1"/>
  <c r="F127" i="18" a="1"/>
  <c r="F127" i="18" s="1"/>
  <c r="G32" i="18" a="1"/>
  <c r="G32" i="18" s="1"/>
  <c r="AZ6" i="12" s="1"/>
  <c r="AZ21" i="12" s="1"/>
  <c r="F144" i="18" a="1"/>
  <c r="F144" i="18" s="1"/>
  <c r="I70" i="18" a="1"/>
  <c r="I70" i="18" s="1"/>
  <c r="F143" i="18" a="1"/>
  <c r="F143" i="18" s="1"/>
  <c r="I89" i="18" a="1"/>
  <c r="I89" i="18" s="1"/>
  <c r="G173" i="18" a="1"/>
  <c r="G173" i="18" s="1"/>
  <c r="AQ16" i="12" s="1"/>
  <c r="AQ31" i="12" s="1"/>
  <c r="F72" i="18" a="1"/>
  <c r="F72" i="18" s="1"/>
  <c r="E22" i="17" a="1"/>
  <c r="E22" i="17" s="1"/>
  <c r="F140" i="18" a="1"/>
  <c r="F140" i="18" s="1"/>
  <c r="G162" i="18" a="1"/>
  <c r="G162" i="18" s="1"/>
  <c r="AU15" i="12" s="1"/>
  <c r="AU30" i="12" s="1"/>
  <c r="G11" i="18" a="1"/>
  <c r="G11" i="18" s="1"/>
  <c r="AT5" i="12" s="1"/>
  <c r="AT20" i="12" s="1"/>
  <c r="I21" i="18" a="1"/>
  <c r="I21" i="18" s="1"/>
  <c r="G7" i="18" a="1"/>
  <c r="G7" i="18" s="1"/>
  <c r="AP5" i="12" s="1"/>
  <c r="AP20" i="12" s="1"/>
  <c r="G136" i="18" a="1"/>
  <c r="G136" i="18" s="1"/>
  <c r="AY13" i="12" s="1"/>
  <c r="AY28" i="12" s="1"/>
  <c r="G94" i="18" a="1"/>
  <c r="G94" i="18" s="1"/>
  <c r="AM11" i="12" s="1"/>
  <c r="AM26" i="12" s="1"/>
  <c r="I138" i="18" a="1"/>
  <c r="I138" i="18" s="1"/>
  <c r="F30" i="18" a="1"/>
  <c r="F30" i="18" s="1"/>
  <c r="G9" i="18" a="1"/>
  <c r="G9" i="18" s="1"/>
  <c r="AR5" i="12" s="1"/>
  <c r="AR20" i="12" s="1"/>
  <c r="F129" i="18" a="1"/>
  <c r="F129" i="18" s="1"/>
  <c r="G183" i="18" a="1"/>
  <c r="G183" i="18" s="1"/>
  <c r="BA16" i="12" s="1"/>
  <c r="G65" i="18" a="1"/>
  <c r="G65" i="18" s="1"/>
  <c r="AN9" i="12" s="1"/>
  <c r="AN24" i="12" s="1"/>
  <c r="F179" i="18" a="1"/>
  <c r="F179" i="18" s="1"/>
  <c r="F177" i="18" a="1"/>
  <c r="F177" i="18" s="1"/>
  <c r="G189" i="18" a="1"/>
  <c r="G189" i="18" s="1"/>
  <c r="F145" i="18" a="1"/>
  <c r="F145" i="18" s="1"/>
  <c r="G194" i="18" a="1"/>
  <c r="G194" i="18" s="1"/>
  <c r="I123" i="18" a="1"/>
  <c r="I123" i="18" s="1"/>
  <c r="F168" i="18" a="1"/>
  <c r="F168" i="18" s="1"/>
  <c r="I135" i="18" a="1"/>
  <c r="I135" i="18" s="1"/>
  <c r="I13" i="18" a="1"/>
  <c r="I13" i="18" s="1"/>
  <c r="F6" i="18" a="1"/>
  <c r="F6" i="18" s="1"/>
  <c r="I64" i="18" a="1"/>
  <c r="I64" i="18" s="1"/>
  <c r="G186" i="18" a="1"/>
  <c r="G186" i="18" s="1"/>
  <c r="G133" i="18" a="1"/>
  <c r="G133" i="18" s="1"/>
  <c r="AV13" i="12" s="1"/>
  <c r="AV28" i="12" s="1"/>
  <c r="F151" i="18" a="1"/>
  <c r="F151" i="18" s="1"/>
  <c r="G180" i="18" a="1"/>
  <c r="G180" i="18" s="1"/>
  <c r="AX16" i="12" s="1"/>
  <c r="AX31" i="12" s="1"/>
  <c r="G71" i="18" a="1"/>
  <c r="G71" i="18" s="1"/>
  <c r="AT9" i="12" s="1"/>
  <c r="AT24" i="12" s="1"/>
  <c r="I93" i="18" a="1"/>
  <c r="I93" i="18" s="1"/>
  <c r="G190" i="18" a="1"/>
  <c r="G190" i="18" s="1"/>
  <c r="F114" i="18" a="1"/>
  <c r="F114" i="18" s="1"/>
  <c r="G137" i="18" a="1"/>
  <c r="G137" i="18" s="1"/>
  <c r="AZ13" i="12" s="1"/>
  <c r="AZ28" i="12" s="1"/>
  <c r="I77" i="18" a="1"/>
  <c r="I77" i="18" s="1"/>
  <c r="F164" i="18" a="1"/>
  <c r="F164" i="18" s="1"/>
  <c r="D45" i="17" a="1"/>
  <c r="D45" i="17" s="1"/>
  <c r="F14" i="18" a="1"/>
  <c r="F14" i="18" s="1"/>
  <c r="I112" i="18" a="1"/>
  <c r="I112" i="18" s="1"/>
  <c r="I118" i="18" a="1"/>
  <c r="I118" i="18" s="1"/>
  <c r="I106" i="18" a="1"/>
  <c r="I106" i="18" s="1"/>
  <c r="I150" i="18" a="1"/>
  <c r="I150" i="18" s="1"/>
  <c r="F11" i="18" a="1"/>
  <c r="F11" i="18" s="1"/>
  <c r="G196" i="18" a="1"/>
  <c r="G196" i="18" s="1"/>
  <c r="F147" i="18" a="1"/>
  <c r="F147" i="18" s="1"/>
  <c r="I108" i="18" a="1"/>
  <c r="I108" i="18" s="1"/>
  <c r="G168" i="18" a="1"/>
  <c r="G168" i="18" s="1"/>
  <c r="BA15" i="12" s="1"/>
  <c r="G175" i="18" a="1"/>
  <c r="G175" i="18" s="1"/>
  <c r="AS16" i="12" s="1"/>
  <c r="AS31" i="12" s="1"/>
  <c r="D36" i="17" a="1"/>
  <c r="D36" i="17" s="1"/>
  <c r="G159" i="18" a="1"/>
  <c r="G159" i="18" s="1"/>
  <c r="AR15" i="12" s="1"/>
  <c r="AR30" i="12" s="1"/>
  <c r="G167" i="18" a="1"/>
  <c r="G167" i="18" s="1"/>
  <c r="AZ15" i="12" s="1"/>
  <c r="AZ30" i="12" s="1"/>
  <c r="G111" i="18" a="1"/>
  <c r="G111" i="18" s="1"/>
  <c r="AO12" i="12" s="1"/>
  <c r="AO27" i="12" s="1"/>
  <c r="I120" i="18" a="1"/>
  <c r="I120" i="18" s="1"/>
  <c r="F111" i="18" a="1"/>
  <c r="F111" i="18" s="1"/>
  <c r="I128" i="18" a="1"/>
  <c r="I128" i="18" s="1"/>
  <c r="G165" i="18" a="1"/>
  <c r="G165" i="18" s="1"/>
  <c r="AX15" i="12" s="1"/>
  <c r="AX30" i="12" s="1"/>
  <c r="G109" i="18" a="1"/>
  <c r="G109" i="18" s="1"/>
  <c r="AM12" i="12" s="1"/>
  <c r="AM27" i="12" s="1"/>
  <c r="G154" i="18" a="1"/>
  <c r="G154" i="18" s="1"/>
  <c r="AM15" i="12" s="1"/>
  <c r="AM30" i="12" s="1"/>
  <c r="G135" i="18" a="1"/>
  <c r="G135" i="18" s="1"/>
  <c r="AX13" i="12" s="1"/>
  <c r="AX28" i="12" s="1"/>
  <c r="G89" i="18" a="1"/>
  <c r="G89" i="18" s="1"/>
  <c r="AW10" i="12" s="1"/>
  <c r="AW25" i="12" s="1"/>
  <c r="F142" i="18" a="1"/>
  <c r="F142" i="18" s="1"/>
  <c r="G182" i="18" a="1"/>
  <c r="G182" i="18" s="1"/>
  <c r="AZ16" i="12" s="1"/>
  <c r="AZ31" i="12" s="1"/>
  <c r="I74" i="18" a="1"/>
  <c r="I74" i="18" s="1"/>
  <c r="I10" i="18" a="1"/>
  <c r="I10" i="18" s="1"/>
  <c r="G112" i="18" a="1"/>
  <c r="G112" i="18" s="1"/>
  <c r="AP12" i="12" s="1"/>
  <c r="AP27" i="12" s="1"/>
  <c r="D47" i="17" a="1"/>
  <c r="D47" i="17" s="1"/>
  <c r="G188" i="18" a="1"/>
  <c r="G188" i="18" s="1"/>
  <c r="I78" i="18" a="1"/>
  <c r="I78" i="18" s="1"/>
  <c r="G79" i="18" a="1"/>
  <c r="G79" i="18" s="1"/>
  <c r="AM10" i="12" s="1"/>
  <c r="AM25" i="12" s="1"/>
  <c r="F19" i="18" a="1"/>
  <c r="F19" i="18" s="1"/>
  <c r="F181" i="18" a="1"/>
  <c r="F181" i="18" s="1"/>
  <c r="G19" i="18" a="1"/>
  <c r="G19" i="18" s="1"/>
  <c r="AM6" i="12" s="1"/>
  <c r="AM21" i="12" s="1"/>
  <c r="G120" i="18" a="1"/>
  <c r="G120" i="18" s="1"/>
  <c r="AX12" i="12" s="1"/>
  <c r="AX27" i="12" s="1"/>
  <c r="I96" i="18" a="1"/>
  <c r="I96" i="18" s="1"/>
  <c r="I66" i="18" a="1"/>
  <c r="I66" i="18" s="1"/>
  <c r="G139" i="18" a="1"/>
  <c r="G139" i="18" s="1"/>
  <c r="AM14" i="12" s="1"/>
  <c r="AM29" i="12" s="1"/>
  <c r="G106" i="18" a="1"/>
  <c r="G106" i="18" s="1"/>
  <c r="AY11" i="12" s="1"/>
  <c r="AY26" i="12" s="1"/>
  <c r="G10" i="18" a="1"/>
  <c r="G10" i="18" s="1"/>
  <c r="AS5" i="12" s="1"/>
  <c r="AS20" i="12" s="1"/>
  <c r="I180" i="18" a="1"/>
  <c r="I180" i="18" s="1"/>
  <c r="G66" i="18" a="1"/>
  <c r="G66" i="18" s="1"/>
  <c r="AO9" i="12" s="1"/>
  <c r="AO24" i="12" s="1"/>
  <c r="I31" i="18" a="1"/>
  <c r="I31" i="18" s="1"/>
  <c r="I168" i="18" a="1"/>
  <c r="I168" i="18" s="1"/>
  <c r="F171" i="18" a="1"/>
  <c r="F171" i="18" s="1"/>
  <c r="F159" i="18" a="1"/>
  <c r="F159" i="18" s="1"/>
  <c r="F93" i="18" a="1"/>
  <c r="F93" i="18" s="1"/>
  <c r="D27" i="17" a="1"/>
  <c r="D27" i="17" s="1"/>
  <c r="I175" i="18" a="1"/>
  <c r="I175" i="18" s="1"/>
  <c r="F24" i="18" a="1"/>
  <c r="F24" i="18" s="1"/>
  <c r="E15" i="17" a="1"/>
  <c r="E15" i="17" s="1"/>
  <c r="F73" i="18" a="1"/>
  <c r="F73" i="18" s="1"/>
  <c r="F23" i="18" a="1"/>
  <c r="F23" i="18" s="1"/>
  <c r="G164" i="18" a="1"/>
  <c r="G164" i="18" s="1"/>
  <c r="AW15" i="12" s="1"/>
  <c r="AW30" i="12" s="1"/>
  <c r="G172" i="18" a="1"/>
  <c r="G172" i="18" s="1"/>
  <c r="AP16" i="12" s="1"/>
  <c r="AP31" i="12" s="1"/>
  <c r="F173" i="18" a="1"/>
  <c r="F173" i="18" s="1"/>
  <c r="F132" i="18" a="1"/>
  <c r="F132" i="18" s="1"/>
  <c r="G102" i="18" a="1"/>
  <c r="G102" i="18" s="1"/>
  <c r="AU11" i="12" s="1"/>
  <c r="AU26" i="12" s="1"/>
  <c r="F162" i="18" a="1"/>
  <c r="F162" i="18" s="1"/>
  <c r="G103" i="18" a="1"/>
  <c r="G103" i="18" s="1"/>
  <c r="AV11" i="12" s="1"/>
  <c r="AV26" i="12" s="1"/>
  <c r="I124" i="18" a="1"/>
  <c r="I124" i="18" s="1"/>
  <c r="I134" i="18" a="1"/>
  <c r="I134" i="18" s="1"/>
  <c r="F9" i="18" a="1"/>
  <c r="F9" i="18" s="1"/>
  <c r="I92" i="18" a="1"/>
  <c r="I92" i="18" s="1"/>
  <c r="F15" i="18" a="1"/>
  <c r="F15" i="18" s="1"/>
  <c r="D35" i="17" a="1"/>
  <c r="D35" i="17" s="1"/>
  <c r="F150" i="18" a="1"/>
  <c r="F150" i="18" s="1"/>
  <c r="I7" i="18" a="1"/>
  <c r="I7" i="18" s="1"/>
  <c r="F84" i="18" a="1"/>
  <c r="F84" i="18" s="1"/>
  <c r="D38" i="17" a="1"/>
  <c r="D38" i="17" s="1"/>
  <c r="F95" i="18" a="1"/>
  <c r="F95" i="18" s="1"/>
  <c r="I9" i="18" a="1"/>
  <c r="I9" i="18" s="1"/>
  <c r="F128" i="18" a="1"/>
  <c r="F128" i="18" s="1"/>
  <c r="F148" i="18" a="1"/>
  <c r="F148" i="18" s="1"/>
  <c r="G181" i="18" a="1"/>
  <c r="G181" i="18" s="1"/>
  <c r="AY16" i="12" s="1"/>
  <c r="AY31" i="12" s="1"/>
  <c r="I94" i="18" a="1"/>
  <c r="I94" i="18" s="1"/>
  <c r="F156" i="18" a="1"/>
  <c r="F156" i="18" s="1"/>
  <c r="F116" i="18" a="1"/>
  <c r="F116" i="18" s="1"/>
  <c r="F76" i="18" a="1"/>
  <c r="F76" i="18" s="1"/>
  <c r="G123" i="18" a="1"/>
  <c r="G123" i="18" s="1"/>
  <c r="BA12" i="12" s="1"/>
  <c r="F166" i="18" a="1"/>
  <c r="F166" i="18" s="1"/>
  <c r="I177" i="18" a="1"/>
  <c r="I177" i="18" s="1"/>
  <c r="F94" i="18" a="1"/>
  <c r="F94" i="18" s="1"/>
  <c r="F109" i="18" a="1"/>
  <c r="F109" i="18" s="1"/>
  <c r="I137" i="18" a="1"/>
  <c r="I137" i="18" s="1"/>
  <c r="G198" i="18" a="1"/>
  <c r="G198" i="18" s="1"/>
  <c r="G22" i="18" a="1"/>
  <c r="G22" i="18" s="1"/>
  <c r="AP6" i="12" s="1"/>
  <c r="AP21" i="12" s="1"/>
  <c r="I23" i="18" a="1"/>
  <c r="I23" i="18" s="1"/>
  <c r="G142" i="18" a="1"/>
  <c r="G142" i="18" s="1"/>
  <c r="AP14" i="12" s="1"/>
  <c r="AP29" i="12" s="1"/>
  <c r="I5" i="18" a="1"/>
  <c r="I5" i="18" s="1"/>
  <c r="G69" i="18" a="1"/>
  <c r="G69" i="18" s="1"/>
  <c r="AR9" i="12" s="1"/>
  <c r="AR24" i="12" s="1"/>
  <c r="I69" i="18" a="1"/>
  <c r="I69" i="18" s="1"/>
  <c r="G91" i="18" a="1"/>
  <c r="G91" i="18" s="1"/>
  <c r="AY10" i="12" s="1"/>
  <c r="AY25" i="12" s="1"/>
  <c r="I156" i="18" a="1"/>
  <c r="I156" i="18" s="1"/>
  <c r="G17" i="18" a="1"/>
  <c r="G17" i="18" s="1"/>
  <c r="AZ5" i="12" s="1"/>
  <c r="AZ20" i="12" s="1"/>
  <c r="I27" i="18" a="1"/>
  <c r="I27" i="18" s="1"/>
  <c r="G92" i="18" a="1"/>
  <c r="G92" i="18" s="1"/>
  <c r="AZ10" i="12" s="1"/>
  <c r="AZ25" i="12" s="1"/>
  <c r="E11" i="17" a="1"/>
  <c r="E11" i="17" s="1"/>
  <c r="G77" i="18" a="1"/>
  <c r="G77" i="18" s="1"/>
  <c r="AZ9" i="12" s="1"/>
  <c r="AZ24" i="12" s="1"/>
  <c r="G33" i="18" a="1"/>
  <c r="G33" i="18" s="1"/>
  <c r="BA6" i="12" s="1"/>
  <c r="F104" i="18" a="1"/>
  <c r="F104" i="18" s="1"/>
  <c r="I88" i="18" a="1"/>
  <c r="I88" i="18" s="1"/>
  <c r="G177" i="18" a="1"/>
  <c r="G177" i="18" s="1"/>
  <c r="AU16" i="12" s="1"/>
  <c r="AU31" i="12" s="1"/>
  <c r="I8" i="18" a="1"/>
  <c r="I8" i="18" s="1"/>
  <c r="G153" i="18" a="1"/>
  <c r="G153" i="18" s="1"/>
  <c r="BA14" i="12" s="1"/>
  <c r="F26" i="18" a="1"/>
  <c r="F26" i="18" s="1"/>
  <c r="I142" i="18" a="1"/>
  <c r="I142" i="18" s="1"/>
  <c r="F139" i="18" a="1"/>
  <c r="F139" i="18" s="1"/>
  <c r="D29" i="17" a="1"/>
  <c r="D29" i="17" s="1"/>
  <c r="G108" i="18" a="1"/>
  <c r="G108" i="18" s="1"/>
  <c r="BA11" i="12" s="1"/>
  <c r="F172" i="18" a="1"/>
  <c r="F172" i="18" s="1"/>
  <c r="I110" i="18" a="1"/>
  <c r="I110" i="18" s="1"/>
  <c r="I67" i="18" a="1"/>
  <c r="I67" i="18" s="1"/>
  <c r="G81" i="18" a="1"/>
  <c r="G81" i="18" s="1"/>
  <c r="AO10" i="12" s="1"/>
  <c r="AO25" i="12" s="1"/>
  <c r="F90" i="18" a="1"/>
  <c r="F90" i="18" s="1"/>
  <c r="D49" i="17" a="1"/>
  <c r="D49" i="17" s="1"/>
  <c r="I65" i="18" a="1"/>
  <c r="I65" i="18" s="1"/>
  <c r="I26" i="18" a="1"/>
  <c r="I26" i="18" s="1"/>
  <c r="F98" i="18" a="1"/>
  <c r="F98" i="18" s="1"/>
  <c r="F29" i="18" a="1"/>
  <c r="F29" i="18" s="1"/>
  <c r="I153" i="18" a="1"/>
  <c r="I153" i="18" s="1"/>
  <c r="G93" i="18" a="1"/>
  <c r="G93" i="18" s="1"/>
  <c r="BA10" i="12" s="1"/>
  <c r="G130" i="18" a="1"/>
  <c r="G130" i="18" s="1"/>
  <c r="AS13" i="12" s="1"/>
  <c r="AS28" i="12" s="1"/>
  <c r="G25" i="18" a="1"/>
  <c r="G25" i="18" s="1"/>
  <c r="AS6" i="12" s="1"/>
  <c r="AS21" i="12" s="1"/>
  <c r="G90" i="18" a="1"/>
  <c r="G90" i="18" s="1"/>
  <c r="AX10" i="12" s="1"/>
  <c r="AX25" i="12" s="1"/>
  <c r="F182" i="18" a="1"/>
  <c r="F182" i="18" s="1"/>
  <c r="I22" i="18" a="1"/>
  <c r="I22" i="18" s="1"/>
  <c r="I83" i="18" a="1"/>
  <c r="I83" i="18" s="1"/>
  <c r="G86" i="18" a="1"/>
  <c r="G86" i="18" s="1"/>
  <c r="AT10" i="12" s="1"/>
  <c r="AT25" i="12" s="1"/>
  <c r="I115" i="18" a="1"/>
  <c r="I115" i="18" s="1"/>
  <c r="G115" i="18" a="1"/>
  <c r="G115" i="18" s="1"/>
  <c r="AS12" i="12" s="1"/>
  <c r="AS27" i="12" s="1"/>
  <c r="I141" i="18" a="1"/>
  <c r="I141" i="18" s="1"/>
  <c r="I176" i="18" a="1"/>
  <c r="I176" i="18" s="1"/>
  <c r="I84" i="18" a="1"/>
  <c r="I84" i="18" s="1"/>
  <c r="F120" i="18" a="1"/>
  <c r="F120" i="18" s="1"/>
  <c r="G88" i="18" a="1"/>
  <c r="G88" i="18" s="1"/>
  <c r="AV10" i="12" s="1"/>
  <c r="AV25" i="12" s="1"/>
  <c r="F126" i="18" a="1"/>
  <c r="F126" i="18" s="1"/>
  <c r="G151" i="18" a="1"/>
  <c r="G151" i="18" s="1"/>
  <c r="AY14" i="12" s="1"/>
  <c r="AY29" i="12" s="1"/>
  <c r="D48" i="17" a="1"/>
  <c r="D48" i="17" s="1"/>
  <c r="G16" i="18" a="1"/>
  <c r="G16" i="18" s="1"/>
  <c r="AY5" i="12" s="1"/>
  <c r="AY20" i="12" s="1"/>
  <c r="G18" i="18" a="1"/>
  <c r="G18" i="18" s="1"/>
  <c r="BA5" i="12" s="1"/>
  <c r="F133" i="18" a="1"/>
  <c r="F133" i="18" s="1"/>
  <c r="F83" i="18" a="1"/>
  <c r="F83" i="18" s="1"/>
  <c r="F119" i="18" a="1"/>
  <c r="F119" i="18" s="1"/>
  <c r="F18" i="18" a="1"/>
  <c r="F18" i="18" s="1"/>
  <c r="F158" i="18" a="1"/>
  <c r="F158" i="18" s="1"/>
  <c r="I103" i="18" a="1"/>
  <c r="I103" i="18" s="1"/>
  <c r="I79" i="18" a="1"/>
  <c r="I79" i="18" s="1"/>
  <c r="F82" i="18" a="1"/>
  <c r="F82" i="18" s="1"/>
  <c r="G28" i="18" a="1"/>
  <c r="G28" i="18" s="1"/>
  <c r="AV6" i="12" s="1"/>
  <c r="AV21" i="12" s="1"/>
  <c r="F136" i="18" a="1"/>
  <c r="F136" i="18" s="1"/>
  <c r="I16" i="18" a="1"/>
  <c r="I16" i="18" s="1"/>
  <c r="I172" i="18" a="1"/>
  <c r="I172" i="18" s="1"/>
  <c r="F134" i="18" a="1"/>
  <c r="F134" i="18" s="1"/>
  <c r="G99" i="18" a="1"/>
  <c r="G99" i="18" s="1"/>
  <c r="AR11" i="12" s="1"/>
  <c r="AR26" i="12" s="1"/>
  <c r="I99" i="18" a="1"/>
  <c r="I99" i="18" s="1"/>
  <c r="I130" i="18" a="1"/>
  <c r="I130" i="18" s="1"/>
  <c r="F87" i="18" a="1"/>
  <c r="F87" i="18" s="1"/>
  <c r="F4" i="18" a="1"/>
  <c r="F4" i="18" s="1"/>
  <c r="D31" i="17" a="1"/>
  <c r="D31" i="17" s="1"/>
  <c r="I6" i="18" a="1"/>
  <c r="I6" i="18" s="1"/>
  <c r="F71" i="18" a="1"/>
  <c r="F71" i="18" s="1"/>
  <c r="G107" i="18" a="1"/>
  <c r="G107" i="18" s="1"/>
  <c r="AZ11" i="12" s="1"/>
  <c r="AZ26" i="12" s="1"/>
  <c r="D32" i="17" a="1"/>
  <c r="D32" i="17" s="1"/>
  <c r="I133" i="18" a="1"/>
  <c r="I133" i="18" s="1"/>
  <c r="G191" i="18" a="1"/>
  <c r="G191" i="18" s="1"/>
  <c r="G150" i="18" a="1"/>
  <c r="G150" i="18" s="1"/>
  <c r="AX14" i="12" s="1"/>
  <c r="AX29" i="12" s="1"/>
  <c r="F149" i="18" a="1"/>
  <c r="F149" i="18" s="1"/>
  <c r="G118" i="18" a="1"/>
  <c r="G118" i="18" s="1"/>
  <c r="AV12" i="12" s="1"/>
  <c r="AV27" i="12" s="1"/>
  <c r="G104" i="18" a="1"/>
  <c r="G104" i="18" s="1"/>
  <c r="AW11" i="12" s="1"/>
  <c r="AW26" i="12" s="1"/>
  <c r="F123" i="18" a="1"/>
  <c r="F123" i="18" s="1"/>
  <c r="G170" i="18" a="1"/>
  <c r="G170" i="18" s="1"/>
  <c r="AN16" i="12" s="1"/>
  <c r="AN31" i="12" s="1"/>
  <c r="I161" i="18" a="1"/>
  <c r="I161" i="18" s="1"/>
  <c r="E17" i="17" a="1"/>
  <c r="E17" i="17" s="1"/>
  <c r="I113" i="18" a="1"/>
  <c r="I113" i="18" s="1"/>
  <c r="I125" i="18" a="1"/>
  <c r="I125" i="18" s="1"/>
  <c r="I143" i="18" a="1"/>
  <c r="I143" i="18" s="1"/>
  <c r="F183" i="18" a="1"/>
  <c r="F183" i="18" s="1"/>
  <c r="I149" i="18" a="1"/>
  <c r="I149" i="18" s="1"/>
  <c r="G95" i="18" a="1"/>
  <c r="G95" i="18" s="1"/>
  <c r="AN11" i="12" s="1"/>
  <c r="AN26" i="12" s="1"/>
  <c r="F106" i="18" a="1"/>
  <c r="F106" i="18" s="1"/>
  <c r="F100" i="18" a="1"/>
  <c r="F100" i="18" s="1"/>
  <c r="I116" i="18" a="1"/>
  <c r="I116" i="18" s="1"/>
  <c r="I162" i="18" a="1"/>
  <c r="I162" i="18" s="1"/>
  <c r="F66" i="18" a="1"/>
  <c r="F66" i="18" s="1"/>
  <c r="I30" i="18" a="1"/>
  <c r="I30" i="18" s="1"/>
  <c r="I121" i="18" a="1"/>
  <c r="I121" i="18" s="1"/>
  <c r="F81" i="18" a="1"/>
  <c r="F81" i="18" s="1"/>
  <c r="G184" i="18" a="1"/>
  <c r="G184" i="18" s="1"/>
  <c r="I152" i="18" a="1"/>
  <c r="I152" i="18" s="1"/>
  <c r="F88" i="18" a="1"/>
  <c r="F88" i="18" s="1"/>
  <c r="F146" i="18" a="1"/>
  <c r="F146" i="18" s="1"/>
  <c r="G157" i="18" a="1"/>
  <c r="G157" i="18" s="1"/>
  <c r="AP15" i="12" s="1"/>
  <c r="AP30" i="12" s="1"/>
  <c r="I147" i="18" a="1"/>
  <c r="I147" i="18" s="1"/>
  <c r="I139" i="18" a="1"/>
  <c r="I139" i="18" s="1"/>
  <c r="F96" i="18" a="1"/>
  <c r="F96" i="18" s="1"/>
  <c r="F75" i="18" a="1"/>
  <c r="F75" i="18" s="1"/>
  <c r="G197" i="18" a="1"/>
  <c r="G197" i="18" s="1"/>
  <c r="G195" i="18" a="1"/>
  <c r="G195" i="18" s="1"/>
  <c r="G13" i="18" a="1"/>
  <c r="G13" i="18" s="1"/>
  <c r="AV5" i="12" s="1"/>
  <c r="AV20" i="12" s="1"/>
  <c r="F103" i="18" a="1"/>
  <c r="F103" i="18" s="1"/>
  <c r="F99" i="18" a="1"/>
  <c r="F99" i="18" s="1"/>
  <c r="G128" i="18" a="1"/>
  <c r="G128" i="18" s="1"/>
  <c r="AQ13" i="12" s="1"/>
  <c r="AQ28" i="12" s="1"/>
  <c r="F130" i="18" a="1"/>
  <c r="F130" i="18" s="1"/>
  <c r="I15" i="18" a="1"/>
  <c r="I15" i="18" s="1"/>
  <c r="I170" i="18" a="1"/>
  <c r="I170" i="18" s="1"/>
  <c r="G119" i="18" a="1"/>
  <c r="G119" i="18" s="1"/>
  <c r="AW12" i="12" s="1"/>
  <c r="AW27" i="12" s="1"/>
  <c r="G132" i="18" a="1"/>
  <c r="G132" i="18" s="1"/>
  <c r="AU13" i="12" s="1"/>
  <c r="AU28" i="12" s="1"/>
  <c r="G127" i="18" a="1"/>
  <c r="G127" i="18" s="1"/>
  <c r="AP13" i="12" s="1"/>
  <c r="AP28" i="12" s="1"/>
  <c r="G158" i="18" a="1"/>
  <c r="G158" i="18" s="1"/>
  <c r="AQ15" i="12" s="1"/>
  <c r="AQ30" i="12" s="1"/>
  <c r="I183" i="18" a="1"/>
  <c r="I183" i="18" s="1"/>
  <c r="G20" i="18" a="1"/>
  <c r="G20" i="18" s="1"/>
  <c r="AN6" i="12" s="1"/>
  <c r="AN21" i="12" s="1"/>
  <c r="D30" i="17" a="1"/>
  <c r="D30" i="17" s="1"/>
  <c r="G21" i="18" a="1"/>
  <c r="G21" i="18" s="1"/>
  <c r="AO6" i="12" s="1"/>
  <c r="AO21" i="12" s="1"/>
  <c r="I107" i="18" a="1"/>
  <c r="I107" i="18" s="1"/>
  <c r="F174" i="18" a="1"/>
  <c r="F174" i="18" s="1"/>
  <c r="F131" i="18" a="1"/>
  <c r="F131" i="18" s="1"/>
  <c r="E21" i="17" a="1"/>
  <c r="E21" i="17" s="1"/>
  <c r="F12" i="18" a="1"/>
  <c r="F12" i="18" s="1"/>
  <c r="F121" i="18" a="1"/>
  <c r="F121" i="18" s="1"/>
  <c r="I28" i="18" a="1"/>
  <c r="I28" i="18" s="1"/>
  <c r="F80" i="18" a="1"/>
  <c r="F80" i="18" s="1"/>
  <c r="G83" i="18" a="1"/>
  <c r="G83" i="18" s="1"/>
  <c r="AQ10" i="12" s="1"/>
  <c r="AQ25" i="12" s="1"/>
  <c r="F92" i="18" a="1"/>
  <c r="F92" i="18" s="1"/>
  <c r="I111" i="18" a="1"/>
  <c r="I111" i="18" s="1"/>
  <c r="F117" i="18" a="1"/>
  <c r="F117" i="18" s="1"/>
  <c r="I24" i="18" a="1"/>
  <c r="I24" i="18" s="1"/>
  <c r="F89" i="18" a="1"/>
  <c r="F89" i="18" s="1"/>
  <c r="G85" i="18" a="1"/>
  <c r="G85" i="18" s="1"/>
  <c r="AS10" i="12" s="1"/>
  <c r="AS25" i="12" s="1"/>
  <c r="F32" i="18" a="1"/>
  <c r="F32" i="18" s="1"/>
  <c r="F175" i="18" a="1"/>
  <c r="F175" i="18" s="1"/>
  <c r="G149" i="18" a="1"/>
  <c r="G149" i="18" s="1"/>
  <c r="AW14" i="12" s="1"/>
  <c r="AW29" i="12" s="1"/>
  <c r="G143" i="18" a="1"/>
  <c r="G143" i="18" s="1"/>
  <c r="AQ14" i="12" s="1"/>
  <c r="AQ29" i="12" s="1"/>
  <c r="D40" i="17" a="1"/>
  <c r="D40" i="17" s="1"/>
  <c r="G185" i="18" a="1"/>
  <c r="G185" i="18" s="1"/>
  <c r="F110" i="18" a="1"/>
  <c r="F110" i="18" s="1"/>
  <c r="F176" i="18" a="1"/>
  <c r="F176" i="18" s="1"/>
  <c r="F25" i="18" a="1"/>
  <c r="F25" i="18" s="1"/>
  <c r="I178" i="18" a="1"/>
  <c r="I178" i="18" s="1"/>
  <c r="I20" i="18" a="1"/>
  <c r="I20" i="18" s="1"/>
  <c r="I19" i="18" a="1"/>
  <c r="I19" i="18" s="1"/>
  <c r="I129" i="18" a="1"/>
  <c r="I129" i="18" s="1"/>
  <c r="G96" i="18" a="1"/>
  <c r="G96" i="18" s="1"/>
  <c r="AO11" i="12" s="1"/>
  <c r="AO26" i="12" s="1"/>
  <c r="I14" i="18" a="1"/>
  <c r="I14" i="18" s="1"/>
  <c r="G80" i="18" a="1"/>
  <c r="G80" i="18" s="1"/>
  <c r="AN10" i="12" s="1"/>
  <c r="AN25" i="12" s="1"/>
  <c r="I145" i="18" a="1"/>
  <c r="I145" i="18" s="1"/>
  <c r="G122" i="18" a="1"/>
  <c r="G122" i="18" s="1"/>
  <c r="AZ12" i="12" s="1"/>
  <c r="AZ27" i="12" s="1"/>
  <c r="I122" i="18" a="1"/>
  <c r="I122" i="18" s="1"/>
  <c r="F122" i="18" a="1"/>
  <c r="F122" i="18" s="1"/>
  <c r="F161" i="18" a="1"/>
  <c r="F161" i="18" s="1"/>
  <c r="F65" i="18" a="1"/>
  <c r="F65" i="18" s="1"/>
  <c r="I73" i="18" a="1"/>
  <c r="I73" i="18" s="1"/>
  <c r="F169" i="18" a="1"/>
  <c r="F169" i="18" s="1"/>
  <c r="F77" i="18" a="1"/>
  <c r="F77" i="18" s="1"/>
  <c r="G113" i="18" a="1"/>
  <c r="G113" i="18" s="1"/>
  <c r="AQ12" i="12" s="1"/>
  <c r="AQ27" i="12" s="1"/>
  <c r="F124" i="18" a="1"/>
  <c r="F124" i="18" s="1"/>
  <c r="G152" i="18" a="1"/>
  <c r="G152" i="18" s="1"/>
  <c r="AZ14" i="12" s="1"/>
  <c r="AZ29" i="12" s="1"/>
  <c r="F74" i="18" a="1"/>
  <c r="F74" i="18" s="1"/>
  <c r="G15" i="18" a="1"/>
  <c r="G15" i="18" s="1"/>
  <c r="AX5" i="12" s="1"/>
  <c r="AX20" i="12" s="1"/>
  <c r="G98" i="18" a="1"/>
  <c r="G98" i="18" s="1"/>
  <c r="AQ11" i="12" s="1"/>
  <c r="AQ26" i="12" s="1"/>
  <c r="F7" i="18" a="1"/>
  <c r="F7" i="18" s="1"/>
  <c r="G100" i="18" a="1"/>
  <c r="G100" i="18" s="1"/>
  <c r="AS11" i="12" s="1"/>
  <c r="AS26" i="12" s="1"/>
  <c r="I165" i="18" a="1"/>
  <c r="I165" i="18" s="1"/>
  <c r="I81" i="18" a="1"/>
  <c r="I81" i="18" s="1"/>
  <c r="I12" i="18" a="1"/>
  <c r="I12" i="18" s="1"/>
  <c r="G23" i="18" a="1"/>
  <c r="G23" i="18" s="1"/>
  <c r="AQ6" i="12" s="1"/>
  <c r="AQ21" i="12" s="1"/>
  <c r="F107" i="18" a="1"/>
  <c r="F107" i="18" s="1"/>
  <c r="D50" i="17" a="1"/>
  <c r="D50" i="17" s="1"/>
  <c r="F10" i="18" a="1"/>
  <c r="F10" i="18" s="1"/>
  <c r="I80" i="18" a="1"/>
  <c r="I80" i="18" s="1"/>
  <c r="G124" i="18" a="1"/>
  <c r="G124" i="18" s="1"/>
  <c r="AM13" i="12" s="1"/>
  <c r="AM28" i="12" s="1"/>
  <c r="I102" i="18" a="1"/>
  <c r="I102" i="18" s="1"/>
  <c r="I182" i="18" a="1"/>
  <c r="I182" i="18" s="1"/>
  <c r="G73" i="18" a="1"/>
  <c r="G73" i="18" s="1"/>
  <c r="AV9" i="12" s="1"/>
  <c r="AV24" i="12" s="1"/>
  <c r="I166" i="18" a="1"/>
  <c r="I166" i="18" s="1"/>
  <c r="F118" i="18" a="1"/>
  <c r="F118" i="18" s="1"/>
  <c r="I85" i="18" a="1"/>
  <c r="I85" i="18" s="1"/>
  <c r="G193" i="18" a="1"/>
  <c r="G193" i="18" s="1"/>
  <c r="F78" i="18" a="1"/>
  <c r="F78" i="18" s="1"/>
  <c r="G156" i="18" a="1"/>
  <c r="G156" i="18" s="1"/>
  <c r="AO15" i="12" s="1"/>
  <c r="AO30" i="12" s="1"/>
  <c r="I117" i="18" a="1"/>
  <c r="I117" i="18" s="1"/>
  <c r="G14" i="18" a="1"/>
  <c r="G14" i="18" s="1"/>
  <c r="AW5" i="12" s="1"/>
  <c r="AW20" i="12" s="1"/>
  <c r="G169" i="18" a="1"/>
  <c r="G169" i="18" s="1"/>
  <c r="AM16" i="12" s="1"/>
  <c r="AM31" i="12" s="1"/>
  <c r="F180" i="18" a="1"/>
  <c r="F180" i="18" s="1"/>
  <c r="I114" i="18" a="1"/>
  <c r="I114" i="18" s="1"/>
  <c r="I174" i="18" a="1"/>
  <c r="I174" i="18" s="1"/>
  <c r="J361" i="7"/>
  <c r="J361" i="10" s="1"/>
  <c r="K361" i="7"/>
  <c r="K361" i="10" s="1"/>
  <c r="J1077" i="7"/>
  <c r="J361" i="11" s="1"/>
  <c r="K1077" i="7"/>
  <c r="K361" i="11" s="1"/>
  <c r="J1793" i="7"/>
  <c r="J1077" i="11" s="1"/>
  <c r="K1793" i="7"/>
  <c r="K1077" i="11" s="1"/>
  <c r="J898" i="7"/>
  <c r="J182" i="11" s="1"/>
  <c r="K898" i="7"/>
  <c r="K182" i="11" s="1"/>
  <c r="J182" i="7"/>
  <c r="J182" i="10" s="1"/>
  <c r="K182" i="7"/>
  <c r="K182" i="10" s="1"/>
  <c r="J540" i="7"/>
  <c r="J540" i="10" s="1"/>
  <c r="K540" i="7"/>
  <c r="K540" i="10" s="1"/>
  <c r="J1435" i="7"/>
  <c r="J719" i="11" s="1"/>
  <c r="K1435" i="7"/>
  <c r="K719" i="11" s="1"/>
  <c r="J1614" i="7"/>
  <c r="J898" i="11" s="1"/>
  <c r="K1614" i="7"/>
  <c r="K898" i="11" s="1"/>
  <c r="J719" i="7"/>
  <c r="J719" i="10" s="1"/>
  <c r="K719" i="7"/>
  <c r="K719" i="10" s="1"/>
  <c r="J1256" i="7"/>
  <c r="J540" i="11" s="1"/>
  <c r="K1256" i="7"/>
  <c r="K540" i="11" s="1"/>
  <c r="AX6" i="12"/>
  <c r="AX21" i="12" s="1"/>
  <c r="AQ9" i="12"/>
  <c r="AQ24" i="12" s="1"/>
  <c r="AR13" i="12"/>
  <c r="AR28" i="12" s="1"/>
  <c r="AT14" i="12"/>
  <c r="AT29" i="12" s="1"/>
  <c r="AU12" i="12"/>
  <c r="AU27" i="12" s="1"/>
  <c r="AT16" i="12"/>
  <c r="AT31" i="12" s="1"/>
  <c r="AW13" i="12"/>
  <c r="AW28" i="12" s="1"/>
  <c r="AQ5" i="12"/>
  <c r="AQ20" i="12" s="1"/>
  <c r="AR16" i="12"/>
  <c r="AR31" i="12" s="1"/>
  <c r="AR14" i="12"/>
  <c r="AR29" i="12" s="1"/>
  <c r="AO16" i="12"/>
  <c r="AO31" i="12" s="1"/>
  <c r="AW16" i="12"/>
  <c r="AW31" i="12" s="1"/>
  <c r="AU6" i="12"/>
  <c r="AU21" i="12" s="1"/>
  <c r="AR6" i="12"/>
  <c r="AR21" i="12" s="1"/>
  <c r="AT15" i="12"/>
  <c r="AT30" i="12" s="1"/>
  <c r="AR12" i="12"/>
  <c r="AR27" i="12" s="1"/>
  <c r="AM9" i="12"/>
  <c r="AM24" i="12" s="1"/>
  <c r="BA13" i="12"/>
  <c r="AT12" i="12"/>
  <c r="AT27" i="12" s="1"/>
  <c r="AR10" i="12"/>
  <c r="AR25" i="12" s="1"/>
  <c r="AM5" i="12"/>
  <c r="AM20" i="12" s="1"/>
  <c r="AT6" i="12"/>
  <c r="AT21" i="12" s="1"/>
  <c r="AW6" i="12"/>
  <c r="AW21" i="12" s="1"/>
  <c r="AT13" i="12"/>
  <c r="AT28" i="12" s="1"/>
  <c r="AU10" i="12"/>
  <c r="AU25" i="12" s="1"/>
  <c r="AY15" i="12"/>
  <c r="AY30" i="12" s="1"/>
  <c r="AT11" i="12"/>
  <c r="AT26" i="12" s="1"/>
  <c r="AV16" i="12"/>
  <c r="AV31" i="12" s="1"/>
  <c r="AX11" i="12"/>
  <c r="AX26" i="12" s="1"/>
  <c r="AU9" i="12"/>
  <c r="AU24" i="12" s="1"/>
  <c r="AO5" i="12"/>
  <c r="AO20" i="12" s="1"/>
  <c r="AU5" i="12"/>
  <c r="AU20" i="12" s="1"/>
  <c r="AO14" i="12"/>
  <c r="AO29" i="12" s="1"/>
  <c r="AV14" i="12"/>
  <c r="AV29" i="12" s="1"/>
  <c r="BA9" i="12"/>
  <c r="AY12" i="12"/>
  <c r="AY27" i="12" s="1"/>
  <c r="AN14" i="12"/>
  <c r="AN29" i="12" s="1"/>
  <c r="AS9" i="12"/>
  <c r="AS24" i="12" s="1"/>
  <c r="AS15" i="12"/>
  <c r="AS30" i="12" s="1"/>
  <c r="AN12" i="12"/>
  <c r="AN27" i="12" s="1"/>
  <c r="AV15" i="12"/>
  <c r="AV30" i="12" s="1"/>
  <c r="I540" i="10"/>
  <c r="I719" i="10"/>
  <c r="I361" i="10"/>
  <c r="I182" i="10"/>
  <c r="J62" i="18" l="1" a="1"/>
  <c r="J62" i="18" s="1"/>
  <c r="J63" i="18" a="1"/>
  <c r="J63" i="18" s="1"/>
  <c r="H62" i="18" a="1"/>
  <c r="H62" i="18" s="1"/>
  <c r="H63" i="18" a="1"/>
  <c r="H63" i="18" s="1"/>
  <c r="J60" i="18" a="1"/>
  <c r="J60" i="18" s="1"/>
  <c r="J61" i="18" a="1"/>
  <c r="J61" i="18" s="1"/>
  <c r="H60" i="18" a="1"/>
  <c r="H60" i="18" s="1"/>
  <c r="H61" i="18" a="1"/>
  <c r="H61" i="18" s="1"/>
  <c r="J58" i="18" a="1"/>
  <c r="J58" i="18" s="1"/>
  <c r="J59" i="18" a="1"/>
  <c r="J59" i="18" s="1"/>
  <c r="H58" i="18" a="1"/>
  <c r="H58" i="18" s="1"/>
  <c r="H59" i="18" a="1"/>
  <c r="H59" i="18" s="1"/>
  <c r="J56" i="18" a="1"/>
  <c r="J56" i="18" s="1"/>
  <c r="J57" i="18" a="1"/>
  <c r="J57" i="18" s="1"/>
  <c r="H56" i="18" a="1"/>
  <c r="H56" i="18" s="1"/>
  <c r="H57" i="18" a="1"/>
  <c r="H57" i="18" s="1"/>
  <c r="J54" i="18" a="1"/>
  <c r="J54" i="18" s="1"/>
  <c r="J55" i="18" a="1"/>
  <c r="J55" i="18" s="1"/>
  <c r="H54" i="18" a="1"/>
  <c r="H54" i="18" s="1"/>
  <c r="H55" i="18" a="1"/>
  <c r="H55" i="18" s="1"/>
  <c r="J52" i="18" a="1"/>
  <c r="J52" i="18" s="1"/>
  <c r="J53" i="18" a="1"/>
  <c r="J53" i="18" s="1"/>
  <c r="H52" i="18" a="1"/>
  <c r="H52" i="18" s="1"/>
  <c r="H53" i="18" a="1"/>
  <c r="H53" i="18" s="1"/>
  <c r="J50" i="18" a="1"/>
  <c r="J50" i="18" s="1"/>
  <c r="J51" i="18" a="1"/>
  <c r="J51" i="18" s="1"/>
  <c r="H50" i="18" a="1"/>
  <c r="H50" i="18" s="1"/>
  <c r="H51" i="18" a="1"/>
  <c r="H51" i="18" s="1"/>
  <c r="J48" i="18" a="1"/>
  <c r="J48" i="18" s="1"/>
  <c r="J49" i="18" a="1"/>
  <c r="J49" i="18" s="1"/>
  <c r="H48" i="18" a="1"/>
  <c r="H48" i="18" s="1"/>
  <c r="H49" i="18" a="1"/>
  <c r="H49" i="18" s="1"/>
  <c r="J46" i="18" a="1"/>
  <c r="J46" i="18" s="1"/>
  <c r="J47" i="18" a="1"/>
  <c r="J47" i="18" s="1"/>
  <c r="H46" i="18" a="1"/>
  <c r="H46" i="18" s="1"/>
  <c r="H47" i="18" a="1"/>
  <c r="H47" i="18" s="1"/>
  <c r="J44" i="18" a="1"/>
  <c r="J44" i="18" s="1"/>
  <c r="J45" i="18" a="1"/>
  <c r="J45" i="18" s="1"/>
  <c r="H44" i="18" a="1"/>
  <c r="H44" i="18" s="1"/>
  <c r="H45" i="18" a="1"/>
  <c r="H45" i="18" s="1"/>
  <c r="J42" i="18" a="1"/>
  <c r="J42" i="18" s="1"/>
  <c r="J43" i="18" a="1"/>
  <c r="J43" i="18" s="1"/>
  <c r="H42" i="18" a="1"/>
  <c r="H42" i="18" s="1"/>
  <c r="H43" i="18" a="1"/>
  <c r="H43" i="18" s="1"/>
  <c r="J40" i="18" a="1"/>
  <c r="J40" i="18" s="1"/>
  <c r="J41" i="18" a="1"/>
  <c r="J41" i="18" s="1"/>
  <c r="H40" i="18" a="1"/>
  <c r="H40" i="18" s="1"/>
  <c r="H41" i="18" a="1"/>
  <c r="H41" i="18" s="1"/>
  <c r="J38" i="18" a="1"/>
  <c r="J38" i="18" s="1"/>
  <c r="J39" i="18" a="1"/>
  <c r="J39" i="18" s="1"/>
  <c r="H38" i="18" a="1"/>
  <c r="H38" i="18" s="1"/>
  <c r="H39" i="18" a="1"/>
  <c r="H39" i="18" s="1"/>
  <c r="J36" i="18" a="1"/>
  <c r="J36" i="18" s="1"/>
  <c r="J37" i="18" a="1"/>
  <c r="J37" i="18" s="1"/>
  <c r="H36" i="18" a="1"/>
  <c r="H36" i="18" s="1"/>
  <c r="H37" i="18" a="1"/>
  <c r="H37" i="18" s="1"/>
  <c r="H34" i="18" a="1"/>
  <c r="H34" i="18" s="1"/>
  <c r="H35" i="18" a="1"/>
  <c r="H35" i="18" s="1"/>
  <c r="J34" i="18" a="1"/>
  <c r="J34" i="18" s="1"/>
  <c r="J35" i="18" a="1"/>
  <c r="J35" i="18" s="1"/>
  <c r="G13" i="17" a="1"/>
  <c r="G13" i="17" s="1"/>
  <c r="G14" i="17" a="1"/>
  <c r="G14" i="17" s="1"/>
  <c r="F13" i="17" a="1"/>
  <c r="F13" i="17" s="1"/>
  <c r="F14" i="17" a="1"/>
  <c r="F14" i="17" s="1"/>
  <c r="G23" i="17" a="1"/>
  <c r="G23" i="17" s="1"/>
  <c r="F23" i="17" a="1"/>
  <c r="F23" i="17" s="1"/>
  <c r="G19" i="17" a="1"/>
  <c r="G19" i="17" s="1"/>
  <c r="G20" i="17" a="1"/>
  <c r="G20" i="17" s="1"/>
  <c r="G16" i="17" a="1"/>
  <c r="G16" i="17" s="1"/>
  <c r="G12" i="17" a="1"/>
  <c r="G12" i="17" s="1"/>
  <c r="G21" i="17" a="1"/>
  <c r="G21" i="17" s="1"/>
  <c r="G22" i="17" a="1"/>
  <c r="G22" i="17" s="1"/>
  <c r="G17" i="17" a="1"/>
  <c r="G17" i="17" s="1"/>
  <c r="G18" i="17" a="1"/>
  <c r="G18" i="17" s="1"/>
  <c r="G15" i="17" a="1"/>
  <c r="G15" i="17" s="1"/>
  <c r="G11" i="17" a="1"/>
  <c r="G11" i="17" s="1"/>
  <c r="F22" i="17" a="1"/>
  <c r="F22" i="17" s="1"/>
  <c r="F18" i="17" a="1"/>
  <c r="F18" i="17" s="1"/>
  <c r="E46" i="17" a="1"/>
  <c r="E46" i="17" s="1"/>
  <c r="E47" i="17" a="1"/>
  <c r="E47" i="17" s="1"/>
  <c r="E30" i="17" a="1"/>
  <c r="E30" i="17" s="1"/>
  <c r="F11" i="17" a="1"/>
  <c r="F11" i="17" s="1"/>
  <c r="E44" i="17" a="1"/>
  <c r="E44" i="17" s="1"/>
  <c r="E50" i="17" a="1"/>
  <c r="E50" i="17" s="1"/>
  <c r="E48" i="17" a="1"/>
  <c r="E48" i="17" s="1"/>
  <c r="E32" i="17" a="1"/>
  <c r="E32" i="17" s="1"/>
  <c r="E41" i="17" a="1"/>
  <c r="E41" i="17" s="1"/>
  <c r="F17" i="17" a="1"/>
  <c r="F17" i="17" s="1"/>
  <c r="E28" i="17" a="1"/>
  <c r="E28" i="17" s="1"/>
  <c r="E42" i="17" a="1"/>
  <c r="E42" i="17" s="1"/>
  <c r="E37" i="17" a="1"/>
  <c r="E37" i="17" s="1"/>
  <c r="E34" i="17" a="1"/>
  <c r="E34" i="17" s="1"/>
  <c r="E43" i="17" a="1"/>
  <c r="E43" i="17" s="1"/>
  <c r="F19" i="17" a="1"/>
  <c r="F19" i="17" s="1"/>
  <c r="E29" i="17" a="1"/>
  <c r="E29" i="17" s="1"/>
  <c r="E49" i="17" a="1"/>
  <c r="E49" i="17" s="1"/>
  <c r="E31" i="17" a="1"/>
  <c r="E31" i="17" s="1"/>
  <c r="F12" i="17" a="1"/>
  <c r="F12" i="17" s="1"/>
  <c r="E40" i="17" a="1"/>
  <c r="E40" i="17" s="1"/>
  <c r="F15" i="17" a="1"/>
  <c r="F15" i="17" s="1"/>
  <c r="F20" i="17" a="1"/>
  <c r="F20" i="17" s="1"/>
  <c r="F16" i="17" a="1"/>
  <c r="F16" i="17" s="1"/>
  <c r="E45" i="17" a="1"/>
  <c r="E45" i="17" s="1"/>
  <c r="E35" i="17" a="1"/>
  <c r="E35" i="17" s="1"/>
  <c r="F21" i="17" a="1"/>
  <c r="F21" i="17" s="1"/>
  <c r="E33" i="17" a="1"/>
  <c r="E33" i="17" s="1"/>
  <c r="E39" i="17" a="1"/>
  <c r="E39" i="17" s="1"/>
  <c r="E38" i="17" a="1"/>
  <c r="E38" i="17" s="1"/>
  <c r="E27" i="17" a="1"/>
  <c r="E27" i="17" s="1"/>
  <c r="E36" i="17" a="1"/>
  <c r="E36" i="17" s="1"/>
  <c r="H198" i="18" a="1"/>
  <c r="H198" i="18" s="1"/>
  <c r="J112" i="18" a="1"/>
  <c r="J112" i="18" s="1"/>
  <c r="H193" i="18" a="1"/>
  <c r="H193" i="18" s="1"/>
  <c r="J162" i="18" a="1"/>
  <c r="J162" i="18" s="1"/>
  <c r="J27" i="18" a="1"/>
  <c r="J27" i="18" s="1"/>
  <c r="J11" i="18" a="1"/>
  <c r="J11" i="18" s="1"/>
  <c r="J158" i="18" a="1"/>
  <c r="J158" i="18" s="1"/>
  <c r="J74" i="18" a="1"/>
  <c r="J74" i="18" s="1"/>
  <c r="J152" i="18" a="1"/>
  <c r="J152" i="18" s="1"/>
  <c r="H192" i="18" a="1"/>
  <c r="H192" i="18" s="1"/>
  <c r="J15" i="18" a="1"/>
  <c r="J15" i="18" s="1"/>
  <c r="J127" i="18" a="1"/>
  <c r="J127" i="18" s="1"/>
  <c r="J166" i="18" a="1"/>
  <c r="J166" i="18" s="1"/>
  <c r="H187" i="18" a="1"/>
  <c r="H187" i="18" s="1"/>
  <c r="J77" i="18" a="1"/>
  <c r="J77" i="18" s="1"/>
  <c r="J65" i="18" a="1"/>
  <c r="J65" i="18" s="1"/>
  <c r="J96" i="18" a="1"/>
  <c r="J96" i="18" s="1"/>
  <c r="J33" i="18" a="1"/>
  <c r="J33" i="18" s="1"/>
  <c r="J178" i="18" a="1"/>
  <c r="J178" i="18" s="1"/>
  <c r="J70" i="18" a="1"/>
  <c r="J70" i="18" s="1"/>
  <c r="J145" i="18" a="1"/>
  <c r="J145" i="18" s="1"/>
  <c r="J113" i="18" a="1"/>
  <c r="J113" i="18" s="1"/>
  <c r="J10" i="18" a="1"/>
  <c r="J10" i="18" s="1"/>
  <c r="J9" i="18" a="1"/>
  <c r="J9" i="18" s="1"/>
  <c r="J159" i="18" a="1"/>
  <c r="J159" i="18" s="1"/>
  <c r="J172" i="18" a="1"/>
  <c r="J172" i="18" s="1"/>
  <c r="J148" i="18" a="1"/>
  <c r="J148" i="18" s="1"/>
  <c r="J85" i="18" a="1"/>
  <c r="J85" i="18" s="1"/>
  <c r="J79" i="18" a="1"/>
  <c r="J79" i="18" s="1"/>
  <c r="J29" i="18" a="1"/>
  <c r="J29" i="18" s="1"/>
  <c r="J108" i="18" a="1"/>
  <c r="J108" i="18" s="1"/>
  <c r="H195" i="18" a="1"/>
  <c r="H195" i="18" s="1"/>
  <c r="J26" i="18" a="1"/>
  <c r="J26" i="18" s="1"/>
  <c r="J23" i="18" a="1"/>
  <c r="J23" i="18" s="1"/>
  <c r="J147" i="18" a="1"/>
  <c r="J147" i="18" s="1"/>
  <c r="J176" i="18" a="1"/>
  <c r="J176" i="18" s="1"/>
  <c r="J107" i="18" a="1"/>
  <c r="J107" i="18" s="1"/>
  <c r="H197" i="18" a="1"/>
  <c r="H197" i="18" s="1"/>
  <c r="J133" i="18" a="1"/>
  <c r="J133" i="18" s="1"/>
  <c r="J137" i="18" a="1"/>
  <c r="J137" i="18" s="1"/>
  <c r="J111" i="18" a="1"/>
  <c r="J111" i="18" s="1"/>
  <c r="J146" i="18" a="1"/>
  <c r="J146" i="18" s="1"/>
  <c r="J115" i="18" a="1"/>
  <c r="J115" i="18" s="1"/>
  <c r="J71" i="18" a="1"/>
  <c r="J71" i="18" s="1"/>
  <c r="J106" i="18" a="1"/>
  <c r="J106" i="18" s="1"/>
  <c r="J142" i="18" a="1"/>
  <c r="J142" i="18" s="1"/>
  <c r="J91" i="18" a="1"/>
  <c r="J91" i="18" s="1"/>
  <c r="J165" i="18" a="1"/>
  <c r="J165" i="18" s="1"/>
  <c r="J92" i="18" a="1"/>
  <c r="J92" i="18" s="1"/>
  <c r="J132" i="18" a="1"/>
  <c r="J132" i="18" s="1"/>
  <c r="J13" i="18" a="1"/>
  <c r="J13" i="18" s="1"/>
  <c r="J76" i="18" a="1"/>
  <c r="J76" i="18" s="1"/>
  <c r="J104" i="18" a="1"/>
  <c r="J104" i="18" s="1"/>
  <c r="J177" i="18" a="1"/>
  <c r="J177" i="18" s="1"/>
  <c r="J73" i="18" a="1"/>
  <c r="J73" i="18" s="1"/>
  <c r="J84" i="18" a="1"/>
  <c r="J84" i="18" s="1"/>
  <c r="J12" i="18" a="1"/>
  <c r="J12" i="18" s="1"/>
  <c r="J136" i="18" a="1"/>
  <c r="J136" i="18" s="1"/>
  <c r="J8" i="18" a="1"/>
  <c r="J8" i="18" s="1"/>
  <c r="J174" i="18" a="1"/>
  <c r="J174" i="18" s="1"/>
  <c r="J140" i="18" a="1"/>
  <c r="J140" i="18" s="1"/>
  <c r="J80" i="18" a="1"/>
  <c r="J80" i="18" s="1"/>
  <c r="J75" i="18" a="1"/>
  <c r="J75" i="18" s="1"/>
  <c r="H189" i="18" a="1"/>
  <c r="H189" i="18" s="1"/>
  <c r="J102" i="18" a="1"/>
  <c r="J102" i="18" s="1"/>
  <c r="J125" i="18" a="1"/>
  <c r="J125" i="18" s="1"/>
  <c r="J114" i="18" a="1"/>
  <c r="J114" i="18" s="1"/>
  <c r="J143" i="18" a="1"/>
  <c r="J143" i="18" s="1"/>
  <c r="J138" i="18" a="1"/>
  <c r="J138" i="18" s="1"/>
  <c r="J17" i="18" a="1"/>
  <c r="J17" i="18" s="1"/>
  <c r="J21" i="18" a="1"/>
  <c r="J21" i="18" s="1"/>
  <c r="J139" i="18" a="1"/>
  <c r="J139" i="18" s="1"/>
  <c r="J157" i="18" a="1"/>
  <c r="J157" i="18" s="1"/>
  <c r="J124" i="18" a="1"/>
  <c r="J124" i="18" s="1"/>
  <c r="J100" i="18" a="1"/>
  <c r="J100" i="18" s="1"/>
  <c r="J164" i="18" a="1"/>
  <c r="J164" i="18" s="1"/>
  <c r="H186" i="18" a="1"/>
  <c r="H186" i="18" s="1"/>
  <c r="J87" i="18" a="1"/>
  <c r="J87" i="18" s="1"/>
  <c r="J169" i="18" a="1"/>
  <c r="J169" i="18" s="1"/>
  <c r="J151" i="18" a="1"/>
  <c r="J151" i="18" s="1"/>
  <c r="J16" i="18" a="1"/>
  <c r="J16" i="18" s="1"/>
  <c r="J154" i="18" a="1"/>
  <c r="J154" i="18" s="1"/>
  <c r="H191" i="18" a="1"/>
  <c r="H191" i="18" s="1"/>
  <c r="J30" i="18" a="1"/>
  <c r="J30" i="18" s="1"/>
  <c r="J150" i="18" a="1"/>
  <c r="J150" i="18" s="1"/>
  <c r="J14" i="18" a="1"/>
  <c r="J14" i="18" s="1"/>
  <c r="J105" i="18" a="1"/>
  <c r="J105" i="18" s="1"/>
  <c r="J130" i="18" a="1"/>
  <c r="J130" i="18" s="1"/>
  <c r="H190" i="18" a="1"/>
  <c r="H190" i="18" s="1"/>
  <c r="J149" i="18" a="1"/>
  <c r="J149" i="18" s="1"/>
  <c r="J103" i="18" a="1"/>
  <c r="J103" i="18" s="1"/>
  <c r="J64" i="18" a="1"/>
  <c r="J64" i="18" s="1"/>
  <c r="H188" i="18" a="1"/>
  <c r="H188" i="18" s="1"/>
  <c r="J129" i="18" a="1"/>
  <c r="J129" i="18" s="1"/>
  <c r="H185" i="18" a="1"/>
  <c r="H185" i="18" s="1"/>
  <c r="J120" i="18" a="1"/>
  <c r="J120" i="18" s="1"/>
  <c r="J98" i="18" a="1"/>
  <c r="J98" i="18" s="1"/>
  <c r="J116" i="18" a="1"/>
  <c r="J116" i="18" s="1"/>
  <c r="J25" i="18" a="1"/>
  <c r="J25" i="18" s="1"/>
  <c r="J135" i="18" a="1"/>
  <c r="J135" i="18" s="1"/>
  <c r="J117" i="18" a="1"/>
  <c r="J117" i="18" s="1"/>
  <c r="J175" i="18" a="1"/>
  <c r="J175" i="18" s="1"/>
  <c r="J19" i="18" a="1"/>
  <c r="J19" i="18" s="1"/>
  <c r="J78" i="18" a="1"/>
  <c r="J78" i="18" s="1"/>
  <c r="J99" i="18" a="1"/>
  <c r="J99" i="18" s="1"/>
  <c r="J134" i="18" a="1"/>
  <c r="J134" i="18" s="1"/>
  <c r="J155" i="18" a="1"/>
  <c r="J155" i="18" s="1"/>
  <c r="H184" i="18" a="1"/>
  <c r="H184" i="18" s="1"/>
  <c r="J83" i="18" a="1"/>
  <c r="J83" i="18" s="1"/>
  <c r="J173" i="18" a="1"/>
  <c r="J173" i="18" s="1"/>
  <c r="J68" i="18" a="1"/>
  <c r="J68" i="18" s="1"/>
  <c r="J97" i="18" a="1"/>
  <c r="J97" i="18" s="1"/>
  <c r="J81" i="18" a="1"/>
  <c r="J81" i="18" s="1"/>
  <c r="J168" i="18" a="1"/>
  <c r="J168" i="18" s="1"/>
  <c r="J118" i="18" a="1"/>
  <c r="J118" i="18" s="1"/>
  <c r="J7" i="18" a="1"/>
  <c r="J7" i="18" s="1"/>
  <c r="J171" i="18" a="1"/>
  <c r="J171" i="18" s="1"/>
  <c r="J32" i="18" a="1"/>
  <c r="J32" i="18" s="1"/>
  <c r="J167" i="18" a="1"/>
  <c r="J167" i="18" s="1"/>
  <c r="J121" i="18" a="1"/>
  <c r="J121" i="18" s="1"/>
  <c r="J20" i="18" a="1"/>
  <c r="J20" i="18" s="1"/>
  <c r="J93" i="18" a="1"/>
  <c r="J93" i="18" s="1"/>
  <c r="H196" i="18" a="1"/>
  <c r="H196" i="18" s="1"/>
  <c r="J144" i="18" a="1"/>
  <c r="J144" i="18" s="1"/>
  <c r="J72" i="18" a="1"/>
  <c r="J72" i="18" s="1"/>
  <c r="J4" i="18" a="1"/>
  <c r="J4" i="18" s="1"/>
  <c r="J181" i="18" a="1"/>
  <c r="J181" i="18" s="1"/>
  <c r="J31" i="18" a="1"/>
  <c r="J31" i="18" s="1"/>
  <c r="J182" i="18" a="1"/>
  <c r="J182" i="18" s="1"/>
  <c r="J183" i="18" a="1"/>
  <c r="J183" i="18" s="1"/>
  <c r="J24" i="18" a="1"/>
  <c r="J24" i="18" s="1"/>
  <c r="J6" i="18" a="1"/>
  <c r="J6" i="18" s="1"/>
  <c r="J170" i="18" a="1"/>
  <c r="J170" i="18" s="1"/>
  <c r="J90" i="18" a="1"/>
  <c r="J90" i="18" s="1"/>
  <c r="J122" i="18" a="1"/>
  <c r="J122" i="18" s="1"/>
  <c r="J69" i="18" a="1"/>
  <c r="J69" i="18" s="1"/>
  <c r="J82" i="18" a="1"/>
  <c r="J82" i="18" s="1"/>
  <c r="J101" i="18" a="1"/>
  <c r="J101" i="18" s="1"/>
  <c r="J22" i="18" a="1"/>
  <c r="J22" i="18" s="1"/>
  <c r="J67" i="18" a="1"/>
  <c r="J67" i="18" s="1"/>
  <c r="J119" i="18" a="1"/>
  <c r="J119" i="18" s="1"/>
  <c r="J86" i="18" a="1"/>
  <c r="J86" i="18" s="1"/>
  <c r="J66" i="18" a="1"/>
  <c r="J66" i="18" s="1"/>
  <c r="J160" i="18" a="1"/>
  <c r="J160" i="18" s="1"/>
  <c r="J88" i="18" a="1"/>
  <c r="J88" i="18" s="1"/>
  <c r="J131" i="18" a="1"/>
  <c r="J131" i="18" s="1"/>
  <c r="J156" i="18" a="1"/>
  <c r="J156" i="18" s="1"/>
  <c r="J95" i="18" a="1"/>
  <c r="J95" i="18" s="1"/>
  <c r="J5" i="18" a="1"/>
  <c r="J5" i="18" s="1"/>
  <c r="J141" i="18" a="1"/>
  <c r="J141" i="18" s="1"/>
  <c r="J163" i="18" a="1"/>
  <c r="J163" i="18" s="1"/>
  <c r="J109" i="18" a="1"/>
  <c r="J109" i="18" s="1"/>
  <c r="J110" i="18" a="1"/>
  <c r="J110" i="18" s="1"/>
  <c r="H194" i="18" a="1"/>
  <c r="H194" i="18" s="1"/>
  <c r="J94" i="18" a="1"/>
  <c r="J94" i="18" s="1"/>
  <c r="J180" i="18" a="1"/>
  <c r="J180" i="18" s="1"/>
  <c r="J153" i="18" a="1"/>
  <c r="J153" i="18" s="1"/>
  <c r="J128" i="18" a="1"/>
  <c r="J128" i="18" s="1"/>
  <c r="J18" i="18" a="1"/>
  <c r="J18" i="18" s="1"/>
  <c r="J179" i="18" a="1"/>
  <c r="J179" i="18" s="1"/>
  <c r="J89" i="18" a="1"/>
  <c r="J89" i="18" s="1"/>
  <c r="J161" i="18" a="1"/>
  <c r="J161" i="18" s="1"/>
  <c r="J126" i="18" a="1"/>
  <c r="J126" i="18" s="1"/>
  <c r="J123" i="18" a="1"/>
  <c r="J123" i="18" s="1"/>
  <c r="J28" i="18" a="1"/>
  <c r="J28" i="18" s="1"/>
  <c r="H133" i="18" a="1"/>
  <c r="H133" i="18" s="1"/>
  <c r="H107" i="18" a="1"/>
  <c r="H107" i="18" s="1"/>
  <c r="H10" i="18" a="1"/>
  <c r="H10" i="18" s="1"/>
  <c r="H151" i="18" a="1"/>
  <c r="H151" i="18" s="1"/>
  <c r="H68" i="18" a="1"/>
  <c r="H68" i="18" s="1"/>
  <c r="H32" i="18" a="1"/>
  <c r="H32" i="18" s="1"/>
  <c r="H110" i="18" a="1"/>
  <c r="H110" i="18" s="1"/>
  <c r="H165" i="18" a="1"/>
  <c r="H165" i="18" s="1"/>
  <c r="H104" i="18" a="1"/>
  <c r="H104" i="18" s="1"/>
  <c r="H160" i="18" a="1"/>
  <c r="H160" i="18" s="1"/>
  <c r="H82" i="18" a="1"/>
  <c r="H82" i="18" s="1"/>
  <c r="H6" i="18" a="1"/>
  <c r="H6" i="18" s="1"/>
  <c r="H149" i="18" a="1"/>
  <c r="H149" i="18" s="1"/>
  <c r="H33" i="18" a="1"/>
  <c r="H33" i="18" s="1"/>
  <c r="F193" i="18" a="1"/>
  <c r="F193" i="18" s="1"/>
  <c r="F186" i="18" a="1"/>
  <c r="F186" i="18" s="1"/>
  <c r="H73" i="18" a="1"/>
  <c r="H73" i="18" s="1"/>
  <c r="H117" i="18" a="1"/>
  <c r="H117" i="18" s="1"/>
  <c r="H96" i="18" a="1"/>
  <c r="H96" i="18" s="1"/>
  <c r="H132" i="18" a="1"/>
  <c r="H132" i="18" s="1"/>
  <c r="H116" i="18" a="1"/>
  <c r="H116" i="18" s="1"/>
  <c r="H21" i="18" a="1"/>
  <c r="H21" i="18" s="1"/>
  <c r="H17" i="18" a="1"/>
  <c r="H17" i="18" s="1"/>
  <c r="H173" i="18" a="1"/>
  <c r="H173" i="18" s="1"/>
  <c r="H135" i="18" a="1"/>
  <c r="H135" i="18" s="1"/>
  <c r="H153" i="18" a="1"/>
  <c r="H153" i="18" s="1"/>
  <c r="H29" i="18" a="1"/>
  <c r="H29" i="18" s="1"/>
  <c r="H178" i="18" a="1"/>
  <c r="H178" i="18" s="1"/>
  <c r="H152" i="18" a="1"/>
  <c r="H152" i="18" s="1"/>
  <c r="H27" i="18" a="1"/>
  <c r="H27" i="18" s="1"/>
  <c r="H113" i="18" a="1"/>
  <c r="H113" i="18" s="1"/>
  <c r="H179" i="18" a="1"/>
  <c r="H179" i="18" s="1"/>
  <c r="H169" i="18" a="1"/>
  <c r="H169" i="18" s="1"/>
  <c r="H76" i="18" a="1"/>
  <c r="H76" i="18" s="1"/>
  <c r="H5" i="18" a="1"/>
  <c r="H5" i="18" s="1"/>
  <c r="H77" i="18" a="1"/>
  <c r="H77" i="18" s="1"/>
  <c r="H92" i="18" a="1"/>
  <c r="H92" i="18" s="1"/>
  <c r="H103" i="18" a="1"/>
  <c r="H103" i="18" s="1"/>
  <c r="H25" i="18" a="1"/>
  <c r="H25" i="18" s="1"/>
  <c r="H158" i="18" a="1"/>
  <c r="H158" i="18" s="1"/>
  <c r="H69" i="18" a="1"/>
  <c r="H69" i="18" s="1"/>
  <c r="H118" i="18" a="1"/>
  <c r="H118" i="18" s="1"/>
  <c r="H174" i="18" a="1"/>
  <c r="H174" i="18" s="1"/>
  <c r="F198" i="18" a="1"/>
  <c r="F198" i="18" s="1"/>
  <c r="H130" i="18" a="1"/>
  <c r="H130" i="18" s="1"/>
  <c r="H181" i="18" a="1"/>
  <c r="H181" i="18" s="1"/>
  <c r="H163" i="18" a="1"/>
  <c r="H163" i="18" s="1"/>
  <c r="H134" i="18" a="1"/>
  <c r="H134" i="18" s="1"/>
  <c r="H81" i="18" a="1"/>
  <c r="H81" i="18" s="1"/>
  <c r="H112" i="18" a="1"/>
  <c r="H112" i="18" s="1"/>
  <c r="H161" i="18" a="1"/>
  <c r="H161" i="18" s="1"/>
  <c r="H182" i="18" a="1"/>
  <c r="H182" i="18" s="1"/>
  <c r="H30" i="18" a="1"/>
  <c r="H30" i="18" s="1"/>
  <c r="H11" i="18" a="1"/>
  <c r="H11" i="18" s="1"/>
  <c r="H22" i="18" a="1"/>
  <c r="H22" i="18" s="1"/>
  <c r="F195" i="18" a="1"/>
  <c r="F195" i="18" s="1"/>
  <c r="H20" i="18" a="1"/>
  <c r="H20" i="18" s="1"/>
  <c r="H139" i="18" a="1"/>
  <c r="H139" i="18" s="1"/>
  <c r="H99" i="18" a="1"/>
  <c r="H99" i="18" s="1"/>
  <c r="H175" i="18" a="1"/>
  <c r="H175" i="18" s="1"/>
  <c r="H28" i="18" a="1"/>
  <c r="H28" i="18" s="1"/>
  <c r="F197" i="18" a="1"/>
  <c r="F197" i="18" s="1"/>
  <c r="H71" i="18" a="1"/>
  <c r="H71" i="18" s="1"/>
  <c r="H106" i="18" a="1"/>
  <c r="H106" i="18" s="1"/>
  <c r="F190" i="18" a="1"/>
  <c r="F190" i="18" s="1"/>
  <c r="H154" i="18" a="1"/>
  <c r="H154" i="18" s="1"/>
  <c r="H79" i="18" a="1"/>
  <c r="H79" i="18" s="1"/>
  <c r="H170" i="18" a="1"/>
  <c r="H170" i="18" s="1"/>
  <c r="H128" i="18" a="1"/>
  <c r="H128" i="18" s="1"/>
  <c r="H120" i="18" a="1"/>
  <c r="H120" i="18" s="1"/>
  <c r="F191" i="18" a="1"/>
  <c r="F191" i="18" s="1"/>
  <c r="H108" i="18" a="1"/>
  <c r="H108" i="18" s="1"/>
  <c r="H171" i="18" a="1"/>
  <c r="H171" i="18" s="1"/>
  <c r="H166" i="18" a="1"/>
  <c r="H166" i="18" s="1"/>
  <c r="H164" i="18" a="1"/>
  <c r="H164" i="18" s="1"/>
  <c r="F188" i="18" a="1"/>
  <c r="F188" i="18" s="1"/>
  <c r="H147" i="18" a="1"/>
  <c r="H147" i="18" s="1"/>
  <c r="H144" i="18" a="1"/>
  <c r="H144" i="18" s="1"/>
  <c r="H65" i="18" a="1"/>
  <c r="H65" i="18" s="1"/>
  <c r="F187" i="18" a="1"/>
  <c r="F187" i="18" s="1"/>
  <c r="H85" i="18" a="1"/>
  <c r="H85" i="18" s="1"/>
  <c r="H7" i="18" a="1"/>
  <c r="H7" i="18" s="1"/>
  <c r="H141" i="18" a="1"/>
  <c r="H141" i="18" s="1"/>
  <c r="H83" i="18" a="1"/>
  <c r="H83" i="18" s="1"/>
  <c r="H12" i="18" a="1"/>
  <c r="H12" i="18" s="1"/>
  <c r="H90" i="18" a="1"/>
  <c r="H90" i="18" s="1"/>
  <c r="H67" i="18" a="1"/>
  <c r="H67" i="18" s="1"/>
  <c r="H8" i="18" a="1"/>
  <c r="H8" i="18" s="1"/>
  <c r="H78" i="18" a="1"/>
  <c r="H78" i="18" s="1"/>
  <c r="H183" i="18" a="1"/>
  <c r="H183" i="18" s="1"/>
  <c r="H159" i="18" a="1"/>
  <c r="H159" i="18" s="1"/>
  <c r="H23" i="18" a="1"/>
  <c r="H23" i="18" s="1"/>
  <c r="H16" i="18" a="1"/>
  <c r="H16" i="18" s="1"/>
  <c r="H122" i="18" a="1"/>
  <c r="H122" i="18" s="1"/>
  <c r="H138" i="18" a="1"/>
  <c r="H138" i="18" s="1"/>
  <c r="H91" i="18" a="1"/>
  <c r="H91" i="18" s="1"/>
  <c r="H177" i="18" a="1"/>
  <c r="H177" i="18" s="1"/>
  <c r="H143" i="18" a="1"/>
  <c r="H143" i="18" s="1"/>
  <c r="H97" i="18" a="1"/>
  <c r="H97" i="18" s="1"/>
  <c r="H98" i="18" a="1"/>
  <c r="H98" i="18" s="1"/>
  <c r="H125" i="18" a="1"/>
  <c r="H125" i="18" s="1"/>
  <c r="H127" i="18" a="1"/>
  <c r="H127" i="18" s="1"/>
  <c r="H14" i="18" a="1"/>
  <c r="H14" i="18" s="1"/>
  <c r="F185" i="18" a="1"/>
  <c r="F185" i="18" s="1"/>
  <c r="H95" i="18" a="1"/>
  <c r="H95" i="18" s="1"/>
  <c r="H86" i="18" a="1"/>
  <c r="H86" i="18" s="1"/>
  <c r="H72" i="18" a="1"/>
  <c r="H72" i="18" s="1"/>
  <c r="H15" i="18" a="1"/>
  <c r="H15" i="18" s="1"/>
  <c r="F189" i="18" a="1"/>
  <c r="F189" i="18" s="1"/>
  <c r="H115" i="18" a="1"/>
  <c r="H115" i="18" s="1"/>
  <c r="F194" i="18" a="1"/>
  <c r="F194" i="18" s="1"/>
  <c r="H18" i="18" a="1"/>
  <c r="H18" i="18" s="1"/>
  <c r="H172" i="18" a="1"/>
  <c r="H172" i="18" s="1"/>
  <c r="H119" i="18" a="1"/>
  <c r="H119" i="18" s="1"/>
  <c r="H129" i="18" a="1"/>
  <c r="H129" i="18" s="1"/>
  <c r="H84" i="18" a="1"/>
  <c r="H84" i="18" s="1"/>
  <c r="H146" i="18" a="1"/>
  <c r="H146" i="18" s="1"/>
  <c r="H31" i="18" a="1"/>
  <c r="H31" i="18" s="1"/>
  <c r="H121" i="18" a="1"/>
  <c r="H121" i="18" s="1"/>
  <c r="H123" i="18" a="1"/>
  <c r="H123" i="18" s="1"/>
  <c r="H80" i="18" a="1"/>
  <c r="H80" i="18" s="1"/>
  <c r="H155" i="18" a="1"/>
  <c r="H155" i="18" s="1"/>
  <c r="H13" i="18" a="1"/>
  <c r="H13" i="18" s="1"/>
  <c r="H24" i="18" a="1"/>
  <c r="H24" i="18" s="1"/>
  <c r="F192" i="18" a="1"/>
  <c r="F192" i="18" s="1"/>
  <c r="H162" i="18" a="1"/>
  <c r="H162" i="18" s="1"/>
  <c r="H75" i="18" a="1"/>
  <c r="H75" i="18" s="1"/>
  <c r="H105" i="18" a="1"/>
  <c r="H105" i="18" s="1"/>
  <c r="H145" i="18" a="1"/>
  <c r="H145" i="18" s="1"/>
  <c r="H176" i="18" a="1"/>
  <c r="H176" i="18" s="1"/>
  <c r="H140" i="18" a="1"/>
  <c r="H140" i="18" s="1"/>
  <c r="F184" i="18" a="1"/>
  <c r="F184" i="18" s="1"/>
  <c r="H102" i="18" a="1"/>
  <c r="H102" i="18" s="1"/>
  <c r="H167" i="18" a="1"/>
  <c r="H167" i="18" s="1"/>
  <c r="H111" i="18" a="1"/>
  <c r="H111" i="18" s="1"/>
  <c r="H126" i="18" a="1"/>
  <c r="H126" i="18" s="1"/>
  <c r="H9" i="18" a="1"/>
  <c r="H9" i="18" s="1"/>
  <c r="H66" i="18" a="1"/>
  <c r="H66" i="18" s="1"/>
  <c r="H94" i="18" a="1"/>
  <c r="H94" i="18" s="1"/>
  <c r="F196" i="18" a="1"/>
  <c r="F196" i="18" s="1"/>
  <c r="H109" i="18" a="1"/>
  <c r="H109" i="18" s="1"/>
  <c r="H19" i="18" a="1"/>
  <c r="H19" i="18" s="1"/>
  <c r="H100" i="18" a="1"/>
  <c r="H100" i="18" s="1"/>
  <c r="H26" i="18" a="1"/>
  <c r="H26" i="18" s="1"/>
  <c r="H64" i="18" a="1"/>
  <c r="H64" i="18" s="1"/>
  <c r="H136" i="18" a="1"/>
  <c r="H136" i="18" s="1"/>
  <c r="H156" i="18" a="1"/>
  <c r="H156" i="18" s="1"/>
  <c r="H148" i="18" a="1"/>
  <c r="H148" i="18" s="1"/>
  <c r="H150" i="18" a="1"/>
  <c r="H150" i="18" s="1"/>
  <c r="H131" i="18" a="1"/>
  <c r="H131" i="18" s="1"/>
  <c r="H124" i="18" a="1"/>
  <c r="H124" i="18" s="1"/>
  <c r="H168" i="18" a="1"/>
  <c r="H168" i="18" s="1"/>
  <c r="H180" i="18" a="1"/>
  <c r="H180" i="18" s="1"/>
  <c r="H157" i="18" a="1"/>
  <c r="H157" i="18" s="1"/>
  <c r="H101" i="18" a="1"/>
  <c r="H101" i="18" s="1"/>
  <c r="H114" i="18" a="1"/>
  <c r="H114" i="18" s="1"/>
  <c r="H142" i="18" a="1"/>
  <c r="H142" i="18" s="1"/>
  <c r="H70" i="18" a="1"/>
  <c r="H70" i="18" s="1"/>
  <c r="H137" i="18" a="1"/>
  <c r="H137" i="18" s="1"/>
  <c r="H4" i="18" a="1"/>
  <c r="H4" i="18" s="1"/>
  <c r="H74" i="18" a="1"/>
  <c r="H74" i="18" s="1"/>
  <c r="H88" i="18" a="1"/>
  <c r="H88" i="18" s="1"/>
  <c r="H89" i="18" a="1"/>
  <c r="H89" i="18" s="1"/>
  <c r="H87" i="18" a="1"/>
  <c r="H87" i="18" s="1"/>
  <c r="H93" i="18" a="1"/>
  <c r="H93" i="18" s="1"/>
  <c r="L1077" i="7"/>
  <c r="L361" i="11" s="1"/>
  <c r="P361" i="11" s="1"/>
  <c r="L182" i="7"/>
  <c r="L182" i="10" s="1"/>
  <c r="P182" i="10" s="1"/>
  <c r="L361" i="7"/>
  <c r="L361" i="10" s="1"/>
  <c r="P361" i="10" s="1"/>
  <c r="L1614" i="7"/>
  <c r="L898" i="11" s="1"/>
  <c r="P898" i="11" s="1"/>
  <c r="L719" i="7"/>
  <c r="L719" i="10" s="1"/>
  <c r="P719" i="10" s="1"/>
  <c r="L1435" i="7"/>
  <c r="L719" i="11" s="1"/>
  <c r="P719" i="11" s="1"/>
  <c r="L1256" i="7"/>
  <c r="L540" i="11" s="1"/>
  <c r="P540" i="11" s="1"/>
  <c r="L898" i="7"/>
  <c r="L182" i="11" s="1"/>
  <c r="P182" i="11" s="1"/>
  <c r="L540" i="7"/>
  <c r="L540" i="10" s="1"/>
  <c r="P540" i="10" s="1"/>
  <c r="L1793" i="7"/>
  <c r="L1077" i="11" s="1"/>
  <c r="P1077" i="11" s="1"/>
  <c r="K63" i="18" l="1" a="1"/>
  <c r="K63" i="18" s="1"/>
  <c r="K62" i="18" a="1"/>
  <c r="K62" i="18" s="1"/>
  <c r="K61" i="18" a="1"/>
  <c r="K61" i="18" s="1"/>
  <c r="K60" i="18" a="1"/>
  <c r="K60" i="18" s="1"/>
  <c r="K59" i="18" a="1"/>
  <c r="K59" i="18" s="1"/>
  <c r="K57" i="18" a="1"/>
  <c r="K57" i="18" s="1"/>
  <c r="K58" i="18" a="1"/>
  <c r="K58" i="18" s="1"/>
  <c r="K56" i="18" a="1"/>
  <c r="K56" i="18" s="1"/>
  <c r="K55" i="18" a="1"/>
  <c r="K55" i="18" s="1"/>
  <c r="K54" i="18" a="1"/>
  <c r="K54" i="18" s="1"/>
  <c r="K53" i="18" a="1"/>
  <c r="K53" i="18" s="1"/>
  <c r="K51" i="18" a="1"/>
  <c r="K51" i="18" s="1"/>
  <c r="K52" i="18" a="1"/>
  <c r="K52" i="18" s="1"/>
  <c r="K50" i="18" a="1"/>
  <c r="K50" i="18" s="1"/>
  <c r="K49" i="18" a="1"/>
  <c r="K49" i="18" s="1"/>
  <c r="K48" i="18" a="1"/>
  <c r="K48" i="18" s="1"/>
  <c r="K47" i="18" a="1"/>
  <c r="K47" i="18" s="1"/>
  <c r="K46" i="18" a="1"/>
  <c r="K46" i="18" s="1"/>
  <c r="K45" i="18" a="1"/>
  <c r="K45" i="18" s="1"/>
  <c r="K44" i="18" a="1"/>
  <c r="K44" i="18" s="1"/>
  <c r="K43" i="18" a="1"/>
  <c r="K43" i="18" s="1"/>
  <c r="K42" i="18" a="1"/>
  <c r="K42" i="18" s="1"/>
  <c r="K41" i="18" a="1"/>
  <c r="K41" i="18" s="1"/>
  <c r="K40" i="18" a="1"/>
  <c r="K40" i="18" s="1"/>
  <c r="K39" i="18" a="1"/>
  <c r="K39" i="18" s="1"/>
  <c r="K38" i="18" a="1"/>
  <c r="K38" i="18" s="1"/>
  <c r="K37" i="18" a="1"/>
  <c r="K37" i="18" s="1"/>
  <c r="K36" i="18" a="1"/>
  <c r="K36" i="18" s="1"/>
  <c r="K35" i="18" a="1"/>
  <c r="K35" i="18" s="1"/>
  <c r="K34" i="18" a="1"/>
  <c r="K34" i="18" s="1"/>
  <c r="H14" i="17" a="1"/>
  <c r="H14" i="17" s="1"/>
  <c r="H13" i="17" a="1"/>
  <c r="H13" i="17" s="1"/>
  <c r="H23" i="17" a="1"/>
  <c r="H23" i="17" s="1"/>
  <c r="H21" i="17" a="1"/>
  <c r="H21" i="17" s="1"/>
  <c r="H15" i="17" a="1"/>
  <c r="H15" i="17" s="1"/>
  <c r="H19" i="17" a="1"/>
  <c r="H19" i="17" s="1"/>
  <c r="H16" i="17" a="1"/>
  <c r="H16" i="17" s="1"/>
  <c r="H12" i="17" a="1"/>
  <c r="H12" i="17" s="1"/>
  <c r="H11" i="17" a="1"/>
  <c r="H11" i="17" s="1"/>
  <c r="H22" i="17" a="1"/>
  <c r="H22" i="17" s="1"/>
  <c r="H20" i="17" a="1"/>
  <c r="H20" i="17" s="1"/>
  <c r="H18" i="17" a="1"/>
  <c r="H18" i="17" s="1"/>
  <c r="J4" i="17" a="1"/>
  <c r="J4" i="17" s="1"/>
  <c r="G4" i="17" a="1"/>
  <c r="G4" i="17" s="1"/>
  <c r="H17" i="17" a="1"/>
  <c r="H17" i="17" s="1"/>
  <c r="K176" i="18" a="1"/>
  <c r="K176" i="18" s="1"/>
  <c r="K158" i="18" a="1"/>
  <c r="K158" i="18" s="1"/>
  <c r="K32" i="18" a="1"/>
  <c r="K32" i="18" s="1"/>
  <c r="K82" i="18" a="1"/>
  <c r="K82" i="18" s="1"/>
  <c r="K73" i="18" a="1"/>
  <c r="K73" i="18" s="1"/>
  <c r="K69" i="18" a="1"/>
  <c r="K69" i="18" s="1"/>
  <c r="K121" i="18" a="1"/>
  <c r="K121" i="18" s="1"/>
  <c r="K101" i="18" a="1"/>
  <c r="K101" i="18" s="1"/>
  <c r="K33" i="18" a="1"/>
  <c r="K33" i="18" s="1"/>
  <c r="K164" i="18" a="1"/>
  <c r="K164" i="18" s="1"/>
  <c r="K172" i="18" a="1"/>
  <c r="K172" i="18" s="1"/>
  <c r="K171" i="18" a="1"/>
  <c r="K171" i="18" s="1"/>
  <c r="K100" i="18" a="1"/>
  <c r="K100" i="18" s="1"/>
  <c r="K104" i="18" a="1"/>
  <c r="K104" i="18" s="1"/>
  <c r="K145" i="18" a="1"/>
  <c r="K145" i="18" s="1"/>
  <c r="K97" i="18" a="1"/>
  <c r="K97" i="18" s="1"/>
  <c r="K163" i="18" a="1"/>
  <c r="K163" i="18" s="1"/>
  <c r="K21" i="18" a="1"/>
  <c r="K21" i="18" s="1"/>
  <c r="K155" i="18" a="1"/>
  <c r="K155" i="18" s="1"/>
  <c r="K170" i="18" a="1"/>
  <c r="K170" i="18" s="1"/>
  <c r="K81" i="18" a="1"/>
  <c r="K81" i="18" s="1"/>
  <c r="K8" i="18" a="1"/>
  <c r="K8" i="18" s="1"/>
  <c r="K140" i="18" a="1"/>
  <c r="K140" i="18" s="1"/>
  <c r="K27" i="18" a="1"/>
  <c r="K27" i="18" s="1"/>
  <c r="K7" i="18" a="1"/>
  <c r="K7" i="18" s="1"/>
  <c r="K167" i="18" a="1"/>
  <c r="K167" i="18" s="1"/>
  <c r="K16" i="18" a="1"/>
  <c r="K16" i="18" s="1"/>
  <c r="K19" i="18" a="1"/>
  <c r="K19" i="18" s="1"/>
  <c r="K118" i="18" a="1"/>
  <c r="K118" i="18" s="1"/>
  <c r="K174" i="18" a="1"/>
  <c r="K174" i="18" s="1"/>
  <c r="K86" i="18" a="1"/>
  <c r="K86" i="18" s="1"/>
  <c r="K161" i="18" a="1"/>
  <c r="K161" i="18" s="1"/>
  <c r="K98" i="18" a="1"/>
  <c r="K98" i="18" s="1"/>
  <c r="K115" i="18" a="1"/>
  <c r="K115" i="18" s="1"/>
  <c r="K64" i="18" a="1"/>
  <c r="K64" i="18" s="1"/>
  <c r="K30" i="18" a="1"/>
  <c r="K30" i="18" s="1"/>
  <c r="K160" i="18" a="1"/>
  <c r="K160" i="18" s="1"/>
  <c r="K10" i="18" a="1"/>
  <c r="K10" i="18" s="1"/>
  <c r="K72" i="18" a="1"/>
  <c r="K72" i="18" s="1"/>
  <c r="K107" i="18" a="1"/>
  <c r="K107" i="18" s="1"/>
  <c r="K87" i="18" a="1"/>
  <c r="K87" i="18" s="1"/>
  <c r="K96" i="18" a="1"/>
  <c r="K96" i="18" s="1"/>
  <c r="K128" i="18" a="1"/>
  <c r="K128" i="18" s="1"/>
  <c r="K28" i="18" a="1"/>
  <c r="K28" i="18" s="1"/>
  <c r="K106" i="18" a="1"/>
  <c r="K106" i="18" s="1"/>
  <c r="K14" i="18" a="1"/>
  <c r="K14" i="18" s="1"/>
  <c r="K119" i="18" a="1"/>
  <c r="K119" i="18" s="1"/>
  <c r="K80" i="18" a="1"/>
  <c r="K80" i="18" s="1"/>
  <c r="K120" i="18" a="1"/>
  <c r="K120" i="18" s="1"/>
  <c r="K131" i="18" a="1"/>
  <c r="K131" i="18" s="1"/>
  <c r="K11" i="18" a="1"/>
  <c r="K11" i="18" s="1"/>
  <c r="K65" i="18" a="1"/>
  <c r="K65" i="18" s="1"/>
  <c r="K144" i="18" a="1"/>
  <c r="K144" i="18" s="1"/>
  <c r="K29" i="18" a="1"/>
  <c r="K29" i="18" s="1"/>
  <c r="K141" i="18" a="1"/>
  <c r="K141" i="18" s="1"/>
  <c r="K6" i="18" a="1"/>
  <c r="K6" i="18" s="1"/>
  <c r="K4" i="18" a="1"/>
  <c r="K4" i="18" s="1"/>
  <c r="K90" i="18" a="1"/>
  <c r="K90" i="18" s="1"/>
  <c r="K71" i="18" a="1"/>
  <c r="K71" i="18" s="1"/>
  <c r="K162" i="18" a="1"/>
  <c r="K162" i="18" s="1"/>
  <c r="K78" i="18" a="1"/>
  <c r="K78" i="18" s="1"/>
  <c r="K112" i="18" a="1"/>
  <c r="K112" i="18" s="1"/>
  <c r="K126" i="18" a="1"/>
  <c r="K126" i="18" s="1"/>
  <c r="K166" i="18" a="1"/>
  <c r="K166" i="18" s="1"/>
  <c r="K13" i="18" a="1"/>
  <c r="K13" i="18" s="1"/>
  <c r="K75" i="18" a="1"/>
  <c r="K75" i="18" s="1"/>
  <c r="K109" i="18" a="1"/>
  <c r="K109" i="18" s="1"/>
  <c r="K74" i="18" a="1"/>
  <c r="K74" i="18" s="1"/>
  <c r="K77" i="18" a="1"/>
  <c r="K77" i="18" s="1"/>
  <c r="K105" i="18" a="1"/>
  <c r="K105" i="18" s="1"/>
  <c r="K31" i="18" a="1"/>
  <c r="K31" i="18" s="1"/>
  <c r="K122" i="18" a="1"/>
  <c r="K122" i="18" s="1"/>
  <c r="K103" i="18" a="1"/>
  <c r="K103" i="18" s="1"/>
  <c r="K138" i="18" a="1"/>
  <c r="K138" i="18" s="1"/>
  <c r="K26" i="18" a="1"/>
  <c r="K26" i="18" s="1"/>
  <c r="K67" i="18" a="1"/>
  <c r="K67" i="18" s="1"/>
  <c r="K76" i="18" a="1"/>
  <c r="K76" i="18" s="1"/>
  <c r="K5" i="18" a="1"/>
  <c r="K5" i="18" s="1"/>
  <c r="K165" i="18" a="1"/>
  <c r="K165" i="18" s="1"/>
  <c r="K22" i="18" a="1"/>
  <c r="K22" i="18" s="1"/>
  <c r="K93" i="18" a="1"/>
  <c r="K93" i="18" s="1"/>
  <c r="K66" i="18" a="1"/>
  <c r="K66" i="18" s="1"/>
  <c r="K169" i="18" a="1"/>
  <c r="K169" i="18" s="1"/>
  <c r="K114" i="18" a="1"/>
  <c r="K114" i="18" s="1"/>
  <c r="K178" i="18" a="1"/>
  <c r="K178" i="18" s="1"/>
  <c r="K150" i="18" a="1"/>
  <c r="K150" i="18" s="1"/>
  <c r="K95" i="18" a="1"/>
  <c r="K95" i="18" s="1"/>
  <c r="K180" i="18" a="1"/>
  <c r="K180" i="18" s="1"/>
  <c r="K117" i="18" a="1"/>
  <c r="K117" i="18" s="1"/>
  <c r="K83" i="18" a="1"/>
  <c r="K83" i="18" s="1"/>
  <c r="K132" i="18" a="1"/>
  <c r="K132" i="18" s="1"/>
  <c r="K70" i="18" a="1"/>
  <c r="K70" i="18" s="1"/>
  <c r="K151" i="18" a="1"/>
  <c r="K151" i="18" s="1"/>
  <c r="K183" i="18" a="1"/>
  <c r="K183" i="18" s="1"/>
  <c r="K135" i="18" a="1"/>
  <c r="K135" i="18" s="1"/>
  <c r="K143" i="18" a="1"/>
  <c r="K143" i="18" s="1"/>
  <c r="K110" i="18" a="1"/>
  <c r="K110" i="18" s="1"/>
  <c r="K17" i="18" a="1"/>
  <c r="K17" i="18" s="1"/>
  <c r="K68" i="18" a="1"/>
  <c r="K68" i="18" s="1"/>
  <c r="K84" i="18" a="1"/>
  <c r="K84" i="18" s="1"/>
  <c r="K92" i="18" a="1"/>
  <c r="K92" i="18" s="1"/>
  <c r="K85" i="18" a="1"/>
  <c r="K85" i="18" s="1"/>
  <c r="K18" i="18" a="1"/>
  <c r="K18" i="18" s="1"/>
  <c r="K182" i="18" a="1"/>
  <c r="K182" i="18" s="1"/>
  <c r="K142" i="18" a="1"/>
  <c r="K142" i="18" s="1"/>
  <c r="K181" i="18" a="1"/>
  <c r="K181" i="18" s="1"/>
  <c r="K159" i="18" a="1"/>
  <c r="K159" i="18" s="1"/>
  <c r="K79" i="18" a="1"/>
  <c r="K79" i="18" s="1"/>
  <c r="K173" i="18" a="1"/>
  <c r="K173" i="18" s="1"/>
  <c r="K152" i="18" a="1"/>
  <c r="K152" i="18" s="1"/>
  <c r="K124" i="18" a="1"/>
  <c r="K124" i="18" s="1"/>
  <c r="K99" i="18" a="1"/>
  <c r="K99" i="18" s="1"/>
  <c r="K175" i="18" a="1"/>
  <c r="K175" i="18" s="1"/>
  <c r="K146" i="18" a="1"/>
  <c r="K146" i="18" s="1"/>
  <c r="K123" i="18" a="1"/>
  <c r="K123" i="18" s="1"/>
  <c r="K12" i="18" a="1"/>
  <c r="K12" i="18" s="1"/>
  <c r="K157" i="18" a="1"/>
  <c r="K157" i="18" s="1"/>
  <c r="K125" i="18" a="1"/>
  <c r="K125" i="18" s="1"/>
  <c r="K25" i="18" a="1"/>
  <c r="K25" i="18" s="1"/>
  <c r="K89" i="18" a="1"/>
  <c r="K89" i="18" s="1"/>
  <c r="K133" i="18" a="1"/>
  <c r="K133" i="18" s="1"/>
  <c r="K177" i="18" a="1"/>
  <c r="K177" i="18" s="1"/>
  <c r="K134" i="18" a="1"/>
  <c r="K134" i="18" s="1"/>
  <c r="K9" i="18" a="1"/>
  <c r="K9" i="18" s="1"/>
  <c r="K102" i="18" a="1"/>
  <c r="K102" i="18" s="1"/>
  <c r="K153" i="18" a="1"/>
  <c r="K153" i="18" s="1"/>
  <c r="K116" i="18" a="1"/>
  <c r="K116" i="18" s="1"/>
  <c r="K129" i="18" a="1"/>
  <c r="K129" i="18" s="1"/>
  <c r="K154" i="18" a="1"/>
  <c r="K154" i="18" s="1"/>
  <c r="K168" i="18" a="1"/>
  <c r="K168" i="18" s="1"/>
  <c r="K91" i="18" a="1"/>
  <c r="K91" i="18" s="1"/>
  <c r="K147" i="18" a="1"/>
  <c r="K147" i="18" s="1"/>
  <c r="K139" i="18" a="1"/>
  <c r="K139" i="18" s="1"/>
  <c r="K23" i="18" a="1"/>
  <c r="K23" i="18" s="1"/>
  <c r="K15" i="18" a="1"/>
  <c r="K15" i="18" s="1"/>
  <c r="K137" i="18" a="1"/>
  <c r="K137" i="18" s="1"/>
  <c r="K127" i="18" a="1"/>
  <c r="K127" i="18" s="1"/>
  <c r="K94" i="18" a="1"/>
  <c r="K94" i="18" s="1"/>
  <c r="K20" i="18" a="1"/>
  <c r="K20" i="18" s="1"/>
  <c r="K24" i="18" a="1"/>
  <c r="K24" i="18" s="1"/>
  <c r="K113" i="18" a="1"/>
  <c r="K113" i="18" s="1"/>
  <c r="K149" i="18" a="1"/>
  <c r="K149" i="18" s="1"/>
  <c r="K88" i="18" a="1"/>
  <c r="K88" i="18" s="1"/>
  <c r="K148" i="18" a="1"/>
  <c r="K148" i="18" s="1"/>
  <c r="K130" i="18" a="1"/>
  <c r="K130" i="18" s="1"/>
  <c r="K111" i="18" a="1"/>
  <c r="K111" i="18" s="1"/>
  <c r="K108" i="18" a="1"/>
  <c r="K108" i="18" s="1"/>
  <c r="K179" i="18" a="1"/>
  <c r="K179" i="18" s="1"/>
  <c r="K136" i="18" a="1"/>
  <c r="K136" i="18" s="1"/>
  <c r="K156" i="18" a="1"/>
  <c r="K156" i="1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Holmbeck, Ryan</author>
  </authors>
  <commentList>
    <comment ref="A1" authorId="0" shapeId="0" xr:uid="{7987E978-B6D4-44DA-BE3E-6BC34344A6CC}">
      <text>
        <r>
          <rPr>
            <b/>
            <sz val="9"/>
            <color indexed="81"/>
            <rFont val="Tahoma"/>
            <family val="2"/>
          </rPr>
          <t>Holmbeck, Ryan:</t>
        </r>
        <r>
          <rPr>
            <sz val="9"/>
            <color indexed="81"/>
            <rFont val="Tahoma"/>
            <family val="2"/>
          </rPr>
          <t xml:space="preserve">
Toggle: type "Combined" to merge EU demand into the main product aggregates (original HTML behavior).
Type "Split" to keep EU demand as separate EU Stock products.
When "Combined": EU rows show as "188mg LP" / "47mg LP" and get picked up by Planning Engine.
When "Split": EU rows show as "188mg LP - EU Stock" / "47mg LP - EU Stock" and roll up separately.</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<sst xmlns="http://schemas.openxmlformats.org/spreadsheetml/2006/main" count="15001" uniqueCount="2833">
  <si>
    <t>Geron S&amp;OP V2 — Supplier Registry  |  Yellow = editable  |  Red = cancellation policy (rolling quarters)</t>
  </si>
  <si>
    <t>Active Start/End + Toggle control supplier inclusion. Binding Period drives forecast template green columns. Cancellation % = rolling quarter from model start date.</t>
  </si>
  <si>
    <t>Product</t>
  </si>
  <si>
    <t>Supplier / Facility Name</t>
  </si>
  <si>
    <t>Category</t>
  </si>
  <si>
    <t>Unit</t>
  </si>
  <si>
    <t>Batch Size</t>
  </si>
  <si>
    <t>Lead Time
(mo)</t>
  </si>
  <si>
    <t>Target MOH</t>
  </si>
  <si>
    <t>Critical MOH</t>
  </si>
  <si>
    <t>Overstock MOH</t>
  </si>
  <si>
    <t>Active Start</t>
  </si>
  <si>
    <t>Active End
(blank=ongoing)</t>
  </si>
  <si>
    <t>Manual Toggle
(1=Active 0=Off)</t>
  </si>
  <si>
    <t>Primary?
(1=Yes 0=No)</t>
  </si>
  <si>
    <t>Is Active?
(formula)</t>
  </si>
  <si>
    <t>Notes</t>
  </si>
  <si>
    <t>Binding
Period (mo)</t>
  </si>
  <si>
    <t>Cancel %
Q1 (mo 1-3)</t>
  </si>
  <si>
    <t>Cancel %
Q2 (mo 4-6)</t>
  </si>
  <si>
    <t>Cancel %
Q3 (mo 7-9)</t>
  </si>
  <si>
    <t>Cancel %
Q4 (mo 10-12)</t>
  </si>
  <si>
    <t>Cancel %
Q5 (mo 13-15)</t>
  </si>
  <si>
    <t>Cancel %
Q6 (mo 16-18)</t>
  </si>
  <si>
    <t>Cancel
Notice (mo)</t>
  </si>
  <si>
    <t>Policy Notes</t>
  </si>
  <si>
    <t>188mg LP</t>
  </si>
  <si>
    <t>Fisher / ThermoFisher Allentown</t>
  </si>
  <si>
    <t>Label/Pack</t>
  </si>
  <si>
    <t>units</t>
  </si>
  <si>
    <t>2026-01-01</t>
  </si>
  <si>
    <t>Simtra (L&amp;P)</t>
  </si>
  <si>
    <t>2026-07-01</t>
  </si>
  <si>
    <t>Patheon (L&amp;P EU)</t>
  </si>
  <si>
    <t>2027-01-01</t>
  </si>
  <si>
    <t>47mg LP</t>
  </si>
  <si>
    <t>200mg DP</t>
  </si>
  <si>
    <t>Catalent</t>
  </si>
  <si>
    <t>Drug Product</t>
  </si>
  <si>
    <t>2026-06-30</t>
  </si>
  <si>
    <t>Patheon PDS-2</t>
  </si>
  <si>
    <t>Simtra</t>
  </si>
  <si>
    <t>2028-02-01</t>
  </si>
  <si>
    <t>50mg DP</t>
  </si>
  <si>
    <t>Patheon PDS-1</t>
  </si>
  <si>
    <t>Drug Substance</t>
  </si>
  <si>
    <t>ST Pharm (Oligo P1 F2)</t>
  </si>
  <si>
    <t>Bulk API/DS</t>
  </si>
  <si>
    <t>kg</t>
  </si>
  <si>
    <t>ST Pharm (Second Source)</t>
  </si>
  <si>
    <t>LLPS</t>
  </si>
  <si>
    <t>Kinovate</t>
  </si>
  <si>
    <t>Raw Material</t>
  </si>
  <si>
    <t>Hongene</t>
  </si>
  <si>
    <t>APAD</t>
  </si>
  <si>
    <t>ST Pharm</t>
  </si>
  <si>
    <t>APC</t>
  </si>
  <si>
    <t>APG</t>
  </si>
  <si>
    <t>APT</t>
  </si>
  <si>
    <t>Geron S&amp;OP V2 — SKU Master  |  Indication × Region × Country × Registration</t>
  </si>
  <si>
    <t>EU registration numbers by country system: PZN (DE/AT) · CIP (FR) · AIFA (IT) · CN (ES) · RVG (NL). Yellow = editable.</t>
  </si>
  <si>
    <t>SKU Code</t>
  </si>
  <si>
    <t>Indication</t>
  </si>
  <si>
    <t>Region</t>
  </si>
  <si>
    <t>Country</t>
  </si>
  <si>
    <t>Active?
(1=Yes 0=No)</t>
  </si>
  <si>
    <t>Launch Date</t>
  </si>
  <si>
    <t>Country Reg #
(PZN/CIP/AIFA/CN/RVG)</t>
  </si>
  <si>
    <t>Reg System</t>
  </si>
  <si>
    <t>Batch Size
(country)</t>
  </si>
  <si>
    <t>Regulatory
Status</t>
  </si>
  <si>
    <t>Price/Unit
(USD)</t>
  </si>
  <si>
    <t>Local Price
(local curr)</t>
  </si>
  <si>
    <t>Currency</t>
  </si>
  <si>
    <t>188mg-US-LR-MDS</t>
  </si>
  <si>
    <t>LR-MDS</t>
  </si>
  <si>
    <t>US</t>
  </si>
  <si>
    <t>United States</t>
  </si>
  <si>
    <t>2024-06-01</t>
  </si>
  <si>
    <t>NDC-00000-188-01</t>
  </si>
  <si>
    <t>NDC</t>
  </si>
  <si>
    <t>FDA Approved</t>
  </si>
  <si>
    <t>USD</t>
  </si>
  <si>
    <t>US LR-MDS commercial</t>
  </si>
  <si>
    <t>188mg-US-MF</t>
  </si>
  <si>
    <t>MF</t>
  </si>
  <si>
    <t>NDC-00000-188-02</t>
  </si>
  <si>
    <t>MF US launch</t>
  </si>
  <si>
    <t>188mg-US-HR-MDS</t>
  </si>
  <si>
    <t>HR-MDS</t>
  </si>
  <si>
    <t>TBD</t>
  </si>
  <si>
    <t>Placeholder</t>
  </si>
  <si>
    <t>Not yet approved</t>
  </si>
  <si>
    <t>188mg-US-AML</t>
  </si>
  <si>
    <t>AML</t>
  </si>
  <si>
    <t>47mg-US-LR-MDS</t>
  </si>
  <si>
    <t>NDC-00000-047-01</t>
  </si>
  <si>
    <t>LR-MDS US commercial</t>
  </si>
  <si>
    <t>47mg-US-MF</t>
  </si>
  <si>
    <t>NDC-00000-047-02</t>
  </si>
  <si>
    <t>47mg-US-HR-MDS</t>
  </si>
  <si>
    <t>47mg-US-AML</t>
  </si>
  <si>
    <t>188mg-DE-LR-MDS</t>
  </si>
  <si>
    <t>EU</t>
  </si>
  <si>
    <t>Germany</t>
  </si>
  <si>
    <t>2026-11-01</t>
  </si>
  <si>
    <t>PZN</t>
  </si>
  <si>
    <t>EMA Approved</t>
  </si>
  <si>
    <t>EUR</t>
  </si>
  <si>
    <t>DE launch Nov 2026</t>
  </si>
  <si>
    <t>188mg-AT-LR-MDS</t>
  </si>
  <si>
    <t>Austria</t>
  </si>
  <si>
    <t>AT launch Nov 2026</t>
  </si>
  <si>
    <t>188mg-FR-LR-MDS</t>
  </si>
  <si>
    <t>France</t>
  </si>
  <si>
    <t>CIP</t>
  </si>
  <si>
    <t>FR launch Nov 2026</t>
  </si>
  <si>
    <t>47mg-DE-LR-MDS</t>
  </si>
  <si>
    <t>47mg-AT-LR-MDS</t>
  </si>
  <si>
    <t>47mg-FR-LR-MDS</t>
  </si>
  <si>
    <t>188mg-IT-LR-MDS</t>
  </si>
  <si>
    <t>Italy</t>
  </si>
  <si>
    <t>2028-01-01</t>
  </si>
  <si>
    <t>AIFA</t>
  </si>
  <si>
    <t>Pending Launch</t>
  </si>
  <si>
    <t>Next round EU</t>
  </si>
  <si>
    <t>188mg-ES-LR-MDS</t>
  </si>
  <si>
    <t>Spain</t>
  </si>
  <si>
    <t>CN</t>
  </si>
  <si>
    <t>188mg-NL-LR-MDS</t>
  </si>
  <si>
    <t>Netherlands</t>
  </si>
  <si>
    <t>RVG</t>
  </si>
  <si>
    <t>47mg-IT-LR-MDS</t>
  </si>
  <si>
    <t>47mg-ES-LR-MDS</t>
  </si>
  <si>
    <t>47mg-NL-LR-MDS</t>
  </si>
  <si>
    <t>188mg-DE-MF</t>
  </si>
  <si>
    <t>2029-01-01</t>
  </si>
  <si>
    <t>Pending Approval</t>
  </si>
  <si>
    <t>EU MF placeholder</t>
  </si>
  <si>
    <t>188mg-AT-MF</t>
  </si>
  <si>
    <t>188mg-FR-MF</t>
  </si>
  <si>
    <t>Enhanced S&amp;OP Controls and Product Parameters — V2</t>
  </si>
  <si>
    <t>Global controls + per-product parameters. Supplier-specific parameters now live in Supplier Registry tab.</t>
  </si>
  <si>
    <t>GLOBAL CONTROLS</t>
  </si>
  <si>
    <t>Parameter</t>
  </si>
  <si>
    <t>Value</t>
  </si>
  <si>
    <t>Format</t>
  </si>
  <si>
    <t>Model start month</t>
  </si>
  <si>
    <t>MMM-YY</t>
  </si>
  <si>
    <t>Start of planning horizon</t>
  </si>
  <si>
    <t>Dashboard lookahead start</t>
  </si>
  <si>
    <t>Start for HTML dashboard filter</t>
  </si>
  <si>
    <t>Dashboard lookahead months</t>
  </si>
  <si>
    <t>#</t>
  </si>
  <si>
    <t>Default lookahead window</t>
  </si>
  <si>
    <t>MOH averaging window (mo)</t>
  </si>
  <si>
    <t>Months used for avg future demand</t>
  </si>
  <si>
    <t>US LR-MDS active (1/0)</t>
  </si>
  <si>
    <t>Toggle US LR-MDS demand stream</t>
  </si>
  <si>
    <t>US MF active (1/0)</t>
  </si>
  <si>
    <t>Toggle US MF demand stream</t>
  </si>
  <si>
    <t>EU LR-MDS active (1/0)</t>
  </si>
  <si>
    <t>Toggle EU LR-MDS demand stream</t>
  </si>
  <si>
    <t>EU MF active (1/0)</t>
  </si>
  <si>
    <t>Toggle EU MF demand stream</t>
  </si>
  <si>
    <t>HR-MDS active (1/0)</t>
  </si>
  <si>
    <t>Placeholder — not yet launched</t>
  </si>
  <si>
    <t>AML active (1/0)</t>
  </si>
  <si>
    <t>Spotlight product</t>
  </si>
  <si>
    <t>@</t>
  </si>
  <si>
    <t>Default spotlight for dashboard</t>
  </si>
  <si>
    <t>PRODUCT PARAMETERS</t>
  </si>
  <si>
    <t>Start Inventory</t>
  </si>
  <si>
    <t>Batch Size
(primary)</t>
  </si>
  <si>
    <t>Lead Time
(primary, mo)</t>
  </si>
  <si>
    <t>Primary Supplier
(auto from Registry)</t>
  </si>
  <si>
    <t>Active Suppliers
(auto count)</t>
  </si>
  <si>
    <t>See Supplier Registry for full detail</t>
  </si>
  <si>
    <t>Demand Inputs V2 — Indication × Region × Country × SKU  |  Rows aggregate to Drug Product level automatically</t>
  </si>
  <si>
    <t>Yellow = enter demand manually per SKU  |  'Total Active Demand' rows auto-sum (black = formula)  |  Inactive SKUs (Active=0 in SKU Master) contribute 0</t>
  </si>
  <si>
    <t>Active?
(SKU Master)</t>
  </si>
  <si>
    <t>Feb-26</t>
  </si>
  <si>
    <t>Mar-26</t>
  </si>
  <si>
    <t>Apr-26</t>
  </si>
  <si>
    <t>May-26</t>
  </si>
  <si>
    <t>Jun-26</t>
  </si>
  <si>
    <t>Jul-26</t>
  </si>
  <si>
    <t>Aug-26</t>
  </si>
  <si>
    <t>Sep-26</t>
  </si>
  <si>
    <t>Oct-26</t>
  </si>
  <si>
    <t>Nov-26</t>
  </si>
  <si>
    <t>Dec-26</t>
  </si>
  <si>
    <t>Jan-27</t>
  </si>
  <si>
    <t>Feb-27</t>
  </si>
  <si>
    <t>Mar-27</t>
  </si>
  <si>
    <t>Apr-27</t>
  </si>
  <si>
    <t>May-27</t>
  </si>
  <si>
    <t>Jun-27</t>
  </si>
  <si>
    <t>Jul-27</t>
  </si>
  <si>
    <t>Aug-27</t>
  </si>
  <si>
    <t>Sep-27</t>
  </si>
  <si>
    <t>Oct-27</t>
  </si>
  <si>
    <t>Nov-27</t>
  </si>
  <si>
    <t>Dec-27</t>
  </si>
  <si>
    <t>Jan-28</t>
  </si>
  <si>
    <t>Feb-28</t>
  </si>
  <si>
    <t>Mar-28</t>
  </si>
  <si>
    <t>Apr-28</t>
  </si>
  <si>
    <t>May-28</t>
  </si>
  <si>
    <t>Jun-28</t>
  </si>
  <si>
    <t>Jul-28</t>
  </si>
  <si>
    <t>Aug-28</t>
  </si>
  <si>
    <t>Sep-28</t>
  </si>
  <si>
    <t>Oct-28</t>
  </si>
  <si>
    <t>Nov-28</t>
  </si>
  <si>
    <t>Dec-28</t>
  </si>
  <si>
    <t>Jan-29</t>
  </si>
  <si>
    <t>Feb-29</t>
  </si>
  <si>
    <t>Mar-29</t>
  </si>
  <si>
    <t>Apr-29</t>
  </si>
  <si>
    <t>May-29</t>
  </si>
  <si>
    <t>Jun-29</t>
  </si>
  <si>
    <t>Jul-29</t>
  </si>
  <si>
    <t>Aug-29</t>
  </si>
  <si>
    <t>Sep-29</t>
  </si>
  <si>
    <t>Oct-29</t>
  </si>
  <si>
    <t>Nov-29</t>
  </si>
  <si>
    <t>Dec-29</t>
  </si>
  <si>
    <t>Jan-30</t>
  </si>
  <si>
    <t>Feb-30</t>
  </si>
  <si>
    <t>Mar-30</t>
  </si>
  <si>
    <t>Apr-30</t>
  </si>
  <si>
    <t>May-30</t>
  </si>
  <si>
    <t>Jun-30</t>
  </si>
  <si>
    <t>Jul-30</t>
  </si>
  <si>
    <t>Aug-30</t>
  </si>
  <si>
    <t>Sep-30</t>
  </si>
  <si>
    <t>Oct-30</t>
  </si>
  <si>
    <t>Nov-30</t>
  </si>
  <si>
    <t>Dec-30</t>
  </si>
  <si>
    <t>Jan-31</t>
  </si>
  <si>
    <t>Feb-31</t>
  </si>
  <si>
    <t>Mar-31</t>
  </si>
  <si>
    <t>Apr-31</t>
  </si>
  <si>
    <t>May-31</t>
  </si>
  <si>
    <t>Jun-31</t>
  </si>
  <si>
    <t>Jul-31</t>
  </si>
  <si>
    <t>Aug-31</t>
  </si>
  <si>
    <t>Sep-31</t>
  </si>
  <si>
    <t>Oct-31</t>
  </si>
  <si>
    <t>Nov-31</t>
  </si>
  <si>
    <t>Dec-31</t>
  </si>
  <si>
    <t>Jan-32</t>
  </si>
  <si>
    <t>Feb-32</t>
  </si>
  <si>
    <t>Mar-32</t>
  </si>
  <si>
    <t>Apr-32</t>
  </si>
  <si>
    <t>May-32</t>
  </si>
  <si>
    <t>Jun-32</t>
  </si>
  <si>
    <t>Jul-32</t>
  </si>
  <si>
    <t>Aug-32</t>
  </si>
  <si>
    <t>Sep-32</t>
  </si>
  <si>
    <t>Oct-32</t>
  </si>
  <si>
    <t>Nov-32</t>
  </si>
  <si>
    <t>Dec-32</t>
  </si>
  <si>
    <t>Jan-33</t>
  </si>
  <si>
    <t>Feb-33</t>
  </si>
  <si>
    <t>Mar-33</t>
  </si>
  <si>
    <t>Apr-33</t>
  </si>
  <si>
    <t>May-33</t>
  </si>
  <si>
    <t>Jun-33</t>
  </si>
  <si>
    <t>Jul-33</t>
  </si>
  <si>
    <t>Aug-33</t>
  </si>
  <si>
    <t>Sep-33</t>
  </si>
  <si>
    <t>Oct-33</t>
  </si>
  <si>
    <t>Nov-33</t>
  </si>
  <si>
    <t>Dec-33</t>
  </si>
  <si>
    <t>Jan-34</t>
  </si>
  <si>
    <t>Feb-34</t>
  </si>
  <si>
    <t>Mar-34</t>
  </si>
  <si>
    <t>Apr-34</t>
  </si>
  <si>
    <t>May-34</t>
  </si>
  <si>
    <t>Jun-34</t>
  </si>
  <si>
    <t>Jul-34</t>
  </si>
  <si>
    <t>Aug-34</t>
  </si>
  <si>
    <t>Sep-34</t>
  </si>
  <si>
    <t>Oct-34</t>
  </si>
  <si>
    <t>Nov-34</t>
  </si>
  <si>
    <t>Dec-34</t>
  </si>
  <si>
    <t>Jan-35</t>
  </si>
  <si>
    <t>Feb-35</t>
  </si>
  <si>
    <t>Mar-35</t>
  </si>
  <si>
    <t>Apr-35</t>
  </si>
  <si>
    <t>May-35</t>
  </si>
  <si>
    <t>Jun-35</t>
  </si>
  <si>
    <t>Jul-35</t>
  </si>
  <si>
    <t>Aug-35</t>
  </si>
  <si>
    <t>Sep-35</t>
  </si>
  <si>
    <t>Oct-35</t>
  </si>
  <si>
    <t>Nov-35</t>
  </si>
  <si>
    <t>Dec-35</t>
  </si>
  <si>
    <t>Jan-36</t>
  </si>
  <si>
    <t>Feb-36</t>
  </si>
  <si>
    <t>Mar-36</t>
  </si>
  <si>
    <t>Apr-36</t>
  </si>
  <si>
    <t>May-36</t>
  </si>
  <si>
    <t>Jun-36</t>
  </si>
  <si>
    <t>Jul-36</t>
  </si>
  <si>
    <t>Aug-36</t>
  </si>
  <si>
    <t>Sep-36</t>
  </si>
  <si>
    <t>Oct-36</t>
  </si>
  <si>
    <t>Nov-36</t>
  </si>
  <si>
    <t>Dec-36</t>
  </si>
  <si>
    <t>Jan-37</t>
  </si>
  <si>
    <t>Feb-37</t>
  </si>
  <si>
    <t>Mar-37</t>
  </si>
  <si>
    <t>Apr-37</t>
  </si>
  <si>
    <t>May-37</t>
  </si>
  <si>
    <t>Jun-37</t>
  </si>
  <si>
    <t>Jul-37</t>
  </si>
  <si>
    <t>Aug-37</t>
  </si>
  <si>
    <t>Sep-37</t>
  </si>
  <si>
    <t>Oct-37</t>
  </si>
  <si>
    <t>Nov-37</t>
  </si>
  <si>
    <t>Dec-37</t>
  </si>
  <si>
    <t>Jan-38</t>
  </si>
  <si>
    <t>Feb-38</t>
  </si>
  <si>
    <t>Mar-38</t>
  </si>
  <si>
    <t>Apr-38</t>
  </si>
  <si>
    <t>May-38</t>
  </si>
  <si>
    <t>Jun-38</t>
  </si>
  <si>
    <t>Jul-38</t>
  </si>
  <si>
    <t>Aug-38</t>
  </si>
  <si>
    <t>Sep-38</t>
  </si>
  <si>
    <t>Oct-38</t>
  </si>
  <si>
    <t>Nov-38</t>
  </si>
  <si>
    <t>Dec-38</t>
  </si>
  <si>
    <t>Jan-39</t>
  </si>
  <si>
    <t>Feb-39</t>
  </si>
  <si>
    <t>Mar-39</t>
  </si>
  <si>
    <t>Apr-39</t>
  </si>
  <si>
    <t>May-39</t>
  </si>
  <si>
    <t>Jun-39</t>
  </si>
  <si>
    <t>Jul-39</t>
  </si>
  <si>
    <t>Aug-39</t>
  </si>
  <si>
    <t>Sep-39</t>
  </si>
  <si>
    <t>Oct-39</t>
  </si>
  <si>
    <t>Nov-39</t>
  </si>
  <si>
    <t>Dec-39</t>
  </si>
  <si>
    <t>Jan-40</t>
  </si>
  <si>
    <t>Feb-40</t>
  </si>
  <si>
    <t>Mar-40</t>
  </si>
  <si>
    <t>Apr-40</t>
  </si>
  <si>
    <t>May-40</t>
  </si>
  <si>
    <t>Jun-40</t>
  </si>
  <si>
    <t>Jul-40</t>
  </si>
  <si>
    <t>Aug-40</t>
  </si>
  <si>
    <t>Sep-40</t>
  </si>
  <si>
    <t>Oct-40</t>
  </si>
  <si>
    <t>Nov-40</t>
  </si>
  <si>
    <t>Dec-40</t>
  </si>
  <si>
    <t>FY2026</t>
  </si>
  <si>
    <t>FY2027</t>
  </si>
  <si>
    <t>FY2028</t>
  </si>
  <si>
    <t>FY2029</t>
  </si>
  <si>
    <t>FY2030</t>
  </si>
  <si>
    <t>FY2031</t>
  </si>
  <si>
    <t>FY2032</t>
  </si>
  <si>
    <t>FY2033</t>
  </si>
  <si>
    <t>FY2034</t>
  </si>
  <si>
    <t>FY2035</t>
  </si>
  <si>
    <t>FY2036</t>
  </si>
  <si>
    <t>FY2037</t>
  </si>
  <si>
    <t>FY2038</t>
  </si>
  <si>
    <t>FY2039</t>
  </si>
  <si>
    <t>FY2040</t>
  </si>
  <si>
    <t>▸ 188mg LP</t>
  </si>
  <si>
    <t>188mg-EU-HR-MDS</t>
  </si>
  <si>
    <t>188mg-EU-AML</t>
  </si>
  <si>
    <t>AGGREGATE</t>
  </si>
  <si>
    <t>All</t>
  </si>
  <si>
    <t>AUTO</t>
  </si>
  <si>
    <t>▸ 47mg LP</t>
  </si>
  <si>
    <t>Production Inputs V2 — Per Supplier  |  One row per product per supplier</t>
  </si>
  <si>
    <t>Yellow = enter planned production/receipts  |  Toggle in Supplier Registry controls whether supplier is active  |  'Total Active Production' = sum of active suppliers only</t>
  </si>
  <si>
    <t>Supplier</t>
  </si>
  <si>
    <t>Is Active?
(from Registry)</t>
  </si>
  <si>
    <t>Primary?
(from Registry)</t>
  </si>
  <si>
    <t>Batch Size
(from Registry)</t>
  </si>
  <si>
    <t>Binding
Through</t>
  </si>
  <si>
    <t>Cancel
Deadline</t>
  </si>
  <si>
    <t>TOTAL ACTIVE</t>
  </si>
  <si>
    <t>▸ 200mg DP</t>
  </si>
  <si>
    <t>▸ 50mg DP</t>
  </si>
  <si>
    <t>▸ Drug Substance</t>
  </si>
  <si>
    <t>▸ LLPS</t>
  </si>
  <si>
    <t>▸ APAD</t>
  </si>
  <si>
    <t>▸ APC</t>
  </si>
  <si>
    <t>▸ APG</t>
  </si>
  <si>
    <t>▸ APT</t>
  </si>
  <si>
    <t>🟢 BINDING = within binding period from model start  |  🟡 NON-BINDING = outside binding period, auto-generated from Production Required  |  Blue = editable inputs</t>
  </si>
  <si>
    <t>Dependency Map and Conversion Factors V2</t>
  </si>
  <si>
    <t>Defines how products convert through the supply chain. Active dates control when each dependency applies. Multiple rows allowed per parent/child pair for supplier-specific factors.</t>
  </si>
  <si>
    <t>Parent Product
(consumes)</t>
  </si>
  <si>
    <t>Child Product
(is consumed)</t>
  </si>
  <si>
    <t>Supplier
(blank = all)</t>
  </si>
  <si>
    <t>Factor per 1
Parent Unit</t>
  </si>
  <si>
    <t>Basis / Units</t>
  </si>
  <si>
    <t>Active Start
(blank = always)</t>
  </si>
  <si>
    <t>Active End
(blank = ongoing)</t>
  </si>
  <si>
    <t>DP units per LP unit (1:1)</t>
  </si>
  <si>
    <t>LP 188 batch of 17,500 consumes 17,500 DP units</t>
  </si>
  <si>
    <t>LP 47 batch of 11,000 consumes 11,000 DP units</t>
  </si>
  <si>
    <t>kg DS per 200mg DP unit</t>
  </si>
  <si>
    <t>Catalent: 4.18kg DS per batch of 17,500 vials</t>
  </si>
  <si>
    <t>Patheon: same DS consumption per vial</t>
  </si>
  <si>
    <t>Simtra: same DS consumption per vial</t>
  </si>
  <si>
    <t>kg DS per 50mg DP unit</t>
  </si>
  <si>
    <t>kg LLPS per kg DS</t>
  </si>
  <si>
    <t>Kinovate primary — new facility Q2/Q3 2026</t>
  </si>
  <si>
    <t>Hongene secondary — activate when qualified</t>
  </si>
  <si>
    <t>kg APAD per kg DS</t>
  </si>
  <si>
    <t>ST Pharm primary amidite</t>
  </si>
  <si>
    <t>Hongene backup amidite</t>
  </si>
  <si>
    <t>kg APC per kg DS</t>
  </si>
  <si>
    <t>kg APG per kg DS</t>
  </si>
  <si>
    <t>kg APT per kg DS</t>
  </si>
  <si>
    <t>Normalized Planning Engine V2 — Dynamic: reads Demand V2 aggregate + Production V2 active total</t>
  </si>
  <si>
    <t>Month | Product | Category | Unit | BI | Demand (agg) | Planned Prod (active suppliers) | EI | MOH | Risk | Supplier | Release | Required</t>
  </si>
  <si>
    <t>Month</t>
  </si>
  <si>
    <t>Beginning
Inventory</t>
  </si>
  <si>
    <t>Demand
(Aggregated)</t>
  </si>
  <si>
    <t>Ending
Inventory</t>
  </si>
  <si>
    <t>Avg Future
Demand</t>
  </si>
  <si>
    <t>MOH</t>
  </si>
  <si>
    <t>Production
Required</t>
  </si>
  <si>
    <t>Risk Status</t>
  </si>
  <si>
    <t>Target
MOH</t>
  </si>
  <si>
    <t>Critical
MOH</t>
  </si>
  <si>
    <t>Overstock
MOH</t>
  </si>
  <si>
    <t>Lead Time</t>
  </si>
  <si>
    <t>Primary Supplier</t>
  </si>
  <si>
    <t>Release Month
(Lead Time Offset)</t>
  </si>
  <si>
    <t>Release Qty</t>
  </si>
  <si>
    <t>Geron Corporation — S&amp;OP Cost Inputs  |  Edit yellow cells to update dashboard</t>
  </si>
  <si>
    <t>SCRIPT_META</t>
  </si>
  <si>
    <t>Last updated by refresh script: March 16, 2026  |  All costs in USD  |  Yellow = editable  |  Blue = calculated</t>
  </si>
  <si>
    <t>unit_cost_data_col_product=1</t>
  </si>
  <si>
    <t>unit_cost_data_col_price=4</t>
  </si>
  <si>
    <t>TABLE 1 — UNIT COSTS &amp; COGS BY PRODUCT</t>
  </si>
  <si>
    <t>unit_cost_data_col_batch=5</t>
  </si>
  <si>
    <t>Avg Price / Unit ($)</t>
  </si>
  <si>
    <t>Fixed Batch Cost ($)</t>
  </si>
  <si>
    <t>Est. Inv Value Formula</t>
  </si>
  <si>
    <t>budget_table_row=22</t>
  </si>
  <si>
    <t>KG</t>
  </si>
  <si>
    <t>Amidite A — ST Pharm / Hongene</t>
  </si>
  <si>
    <t>actuals_table_row=38</t>
  </si>
  <si>
    <t>Amidite G — ST Pharm / Hongene</t>
  </si>
  <si>
    <t>Amidite C — ST Pharm / Hongene</t>
  </si>
  <si>
    <t>Amidite T — ST Pharm / Hongene</t>
  </si>
  <si>
    <t>G</t>
  </si>
  <si>
    <t>Kinovate / Hongene — per gram / per batch</t>
  </si>
  <si>
    <t>Bulk API / DS</t>
  </si>
  <si>
    <t>ST Pharm — per gram / per batch</t>
  </si>
  <si>
    <t>EA</t>
  </si>
  <si>
    <t>Patheon / Simtra — per vial / per batch</t>
  </si>
  <si>
    <t>Catalent — per vial / per batch</t>
  </si>
  <si>
    <t>50mg LP</t>
  </si>
  <si>
    <t>Fisher Allentown — per vial</t>
  </si>
  <si>
    <t>200mg LP</t>
  </si>
  <si>
    <t>200mg DP - Simtra</t>
  </si>
  <si>
    <t>Simtra 188mg — per vial incl. L&amp;P</t>
  </si>
  <si>
    <t>200mg DP - Patheon</t>
  </si>
  <si>
    <t>Patheon 188mg — per vial / per batch</t>
  </si>
  <si>
    <t>50mg DP - Scale UP</t>
  </si>
  <si>
    <t>Scale-up batch cost TBD</t>
  </si>
  <si>
    <t>TABLE 2 — 2026 PRODUCTION BUDGET BY CDMO (PLANNED)  |  Yellow = editable</t>
  </si>
  <si>
    <t>CDMO</t>
  </si>
  <si>
    <t>Jan-26</t>
  </si>
  <si>
    <t>2026 Total</t>
  </si>
  <si>
    <t>ST Pharm (DS)</t>
  </si>
  <si>
    <t>ST Pharm (Amidites)</t>
  </si>
  <si>
    <t>Hongene (Amidites)</t>
  </si>
  <si>
    <t>Hongene (LLPS)</t>
  </si>
  <si>
    <t>Kinovate (LLPS)</t>
  </si>
  <si>
    <t>Catalent (188mg DP)</t>
  </si>
  <si>
    <t>Patheon (188mg DP)</t>
  </si>
  <si>
    <t>Patheon (47mg DP)</t>
  </si>
  <si>
    <t>Patheon (Label/Pack)</t>
  </si>
  <si>
    <t>Simtra (188mg DP)</t>
  </si>
  <si>
    <t>Simtra (47mg DP)</t>
  </si>
  <si>
    <t>Fisher / ThermoFisher Allentown (L&amp;P)</t>
  </si>
  <si>
    <t>TOTAL PLANNED BUDGET</t>
  </si>
  <si>
    <t>TABLE 3 — 2026 ACTUALS TO DATE  |  Finance pastes actuals here monthly</t>
  </si>
  <si>
    <t>YTD Actual</t>
  </si>
  <si>
    <t>TOTAL ACTUALS YTD</t>
  </si>
  <si>
    <t>TABLE 4 — BUDGET vs ACTUALS VARIANCE  |  Auto-calculated (do not edit)</t>
  </si>
  <si>
    <t>YTD Variance</t>
  </si>
  <si>
    <t>TOTAL VARIANCE</t>
  </si>
  <si>
    <t>TABLE 5 — ROLLING 18-MONTH PRODUCTION BUDGET  |  Links to Production Inputs V2 × Unit Cost</t>
  </si>
  <si>
    <t>18-Mo Total</t>
  </si>
  <si>
    <t>Catalent (188mg)</t>
  </si>
  <si>
    <t>Patheon (188mg)</t>
  </si>
  <si>
    <t>Simtra (188mg)</t>
  </si>
  <si>
    <t>Patheon (47mg)</t>
  </si>
  <si>
    <t>Simtra (47mg)</t>
  </si>
  <si>
    <t>Fisher Allentown (188mg LP)</t>
  </si>
  <si>
    <t>Fisher Allentown (47mg LP)</t>
  </si>
  <si>
    <t>Geron S&amp;OP — Cancellation Policy  |  Rolling 6 Quarters from Model Start</t>
  </si>
  <si>
    <t>Q1 = months 1-3, Q2 = months 4-6, ... Q6 = months 16-18 from model start. Cancellation % × committed production value = financial exposure. Binding period from Supplier Registry drives which quarters are binding.</t>
  </si>
  <si>
    <t>TABLE A — CANCELLATION TIERS BY SUPPLIER (rolling quarters from model start)</t>
  </si>
  <si>
    <t>Supplier / Facility</t>
  </si>
  <si>
    <t>Q1
Mo 1-3</t>
  </si>
  <si>
    <t>Q2
Mo 4-6</t>
  </si>
  <si>
    <t>Q3
Mo 7-9</t>
  </si>
  <si>
    <t>Q4
Mo 10-12</t>
  </si>
  <si>
    <t>Q5
Mo 13-15</t>
  </si>
  <si>
    <t>Q6
Mo 16-18</t>
  </si>
  <si>
    <t>Policy Source / Notes</t>
  </si>
  <si>
    <t>Effective From</t>
  </si>
  <si>
    <t>Effective To
(blank=ongoing)</t>
  </si>
  <si>
    <t>Active?</t>
  </si>
  <si>
    <t>Last Updated</t>
  </si>
  <si>
    <t>Per C153 Q1 2026 Forecast — OAI exit Jun 2026</t>
  </si>
  <si>
    <t>2026-03-22</t>
  </si>
  <si>
    <t>Per Patheon Q1 2026 Forecast — PDS-2 facility</t>
  </si>
  <si>
    <t>Per Patheon Q1 2026 Forecast — PDS-1 facility</t>
  </si>
  <si>
    <t>188mg LP + 47mg LP</t>
  </si>
  <si>
    <t>Per Allentown Q4 2025 Quarterly Forecast</t>
  </si>
  <si>
    <t>DS long lead — highest cancellation exposure</t>
  </si>
  <si>
    <t>Amidites (APAD/APC/APG/APT)</t>
  </si>
  <si>
    <t>ST Pharm amidites standard commercial terms</t>
  </si>
  <si>
    <t>200mg DP + 50mg DP</t>
  </si>
  <si>
    <t>Simtra commercial terms — activation 2028</t>
  </si>
  <si>
    <t>Kinovate LLPS — new facility Q2/Q3 2026</t>
  </si>
  <si>
    <t>Amidites + LLPS</t>
  </si>
  <si>
    <t>Hongene standard commercial terms</t>
  </si>
  <si>
    <t>TABLE B — CANCELLATION EXPOSURE BY QUARTER  |  Links to Production Inputs × Cost Inputs</t>
  </si>
  <si>
    <t>Q1 Prod($)</t>
  </si>
  <si>
    <t>Cancel%</t>
  </si>
  <si>
    <t>Exposure($)</t>
  </si>
  <si>
    <t>Q2 Prod($)</t>
  </si>
  <si>
    <t>Q3 Prod($)</t>
  </si>
  <si>
    <t>Q4 Prod($)</t>
  </si>
  <si>
    <t>Q5 Prod($)</t>
  </si>
  <si>
    <t>Q6 Prod($)</t>
  </si>
  <si>
    <t>Total 6Q Exposure</t>
  </si>
  <si>
    <t>ℹ  Yellow = enter committed production value ($) per quarter. Cancel % auto-links from Table A. Exposure = Prod Value × Cancel %.</t>
  </si>
  <si>
    <t>FG Enhanced Plan  |  Finished goods with lot-level expiry overlay</t>
  </si>
  <si>
    <t>Reads Planning Engine V2 + Lot Inputs. Shows production, inventory, and expiry risk per month per product.</t>
  </si>
  <si>
    <t>Beginning Inventory</t>
  </si>
  <si>
    <t>Demand</t>
  </si>
  <si>
    <t>Planned Production</t>
  </si>
  <si>
    <t>Net Flow</t>
  </si>
  <si>
    <t>Ending Inventory</t>
  </si>
  <si>
    <t>Production Required</t>
  </si>
  <si>
    <t>Release Month</t>
  </si>
  <si>
    <t>Release Status</t>
  </si>
  <si>
    <t>Recommended Action</t>
  </si>
  <si>
    <t>Supply Enhanced Plan  |  DS, Raw Materials, and upstream supply view</t>
  </si>
  <si>
    <t>Upstream supply planning: Drug Substance, APAD, APC, APG, APT, LLPS. Links to Planning Engine V2.</t>
  </si>
  <si>
    <t>Long-Range Macro View  |  Annual demand, production, and inventory through 2040</t>
  </si>
  <si>
    <t>All values auto-calculated from Annual Summary (which reads Planning Engine V2). No manual input needed.</t>
  </si>
  <si>
    <t>Annual Demand</t>
  </si>
  <si>
    <t>Annual Planned Production</t>
  </si>
  <si>
    <t>Year-end Inventory</t>
  </si>
  <si>
    <t>2026</t>
  </si>
  <si>
    <t>2027</t>
  </si>
  <si>
    <t>2028</t>
  </si>
  <si>
    <t>2029</t>
  </si>
  <si>
    <t>2030</t>
  </si>
  <si>
    <t>2031</t>
  </si>
  <si>
    <t>2032</t>
  </si>
  <si>
    <t>2033</t>
  </si>
  <si>
    <t>2034</t>
  </si>
  <si>
    <t>2035</t>
  </si>
  <si>
    <t>2036</t>
  </si>
  <si>
    <t>2037</t>
  </si>
  <si>
    <t>2038</t>
  </si>
  <si>
    <t>2039</t>
  </si>
  <si>
    <t>2040</t>
  </si>
  <si>
    <t>Lot Inputs for Expiry / FEFO (manual entry)</t>
  </si>
  <si>
    <t>Enter lot-level inventory with expiry dates. FEFO analysis auto-sorts by earliest expiry and compares against the planning engine demand profile.</t>
  </si>
  <si>
    <t>Lot ID</t>
  </si>
  <si>
    <t>Receipt Date</t>
  </si>
  <si>
    <t>Expiry Date</t>
  </si>
  <si>
    <t>Qty Available</t>
  </si>
  <si>
    <t>Qty Reserved</t>
  </si>
  <si>
    <t>Net Available</t>
  </si>
  <si>
    <t>Months to Expiry</t>
  </si>
  <si>
    <t>Sort Key</t>
  </si>
  <si>
    <t>P117908010</t>
  </si>
  <si>
    <t>P117905009</t>
  </si>
  <si>
    <t>P117906004</t>
  </si>
  <si>
    <t>P117907006</t>
  </si>
  <si>
    <t>P117909012</t>
  </si>
  <si>
    <t>P117910013</t>
  </si>
  <si>
    <t>P117911014</t>
  </si>
  <si>
    <t>P117912C</t>
  </si>
  <si>
    <t>P117913C</t>
  </si>
  <si>
    <t>P117914C</t>
  </si>
  <si>
    <t>P117915C</t>
  </si>
  <si>
    <t>P117917C</t>
  </si>
  <si>
    <t>P117918C</t>
  </si>
  <si>
    <t>P117919C</t>
  </si>
  <si>
    <t>C025D24008</t>
  </si>
  <si>
    <t>C022H24011</t>
  </si>
  <si>
    <t>C011J24015</t>
  </si>
  <si>
    <t>FEFO Analysis and Expiry Runout Model</t>
  </si>
  <si>
    <t>Selected Product</t>
  </si>
  <si>
    <t>Lots analyzed</t>
  </si>
  <si>
    <t>Qty at risk</t>
  </si>
  <si>
    <t>Earliest expiry</t>
  </si>
  <si>
    <t>Expiry risk</t>
  </si>
  <si>
    <t>Risk window (months)</t>
  </si>
  <si>
    <t>Seq</t>
  </si>
  <si>
    <t>Cum Available</t>
  </si>
  <si>
    <t>Demand to Expiry</t>
  </si>
  <si>
    <t>Qty Consumed
by Expiry</t>
  </si>
  <si>
    <t>Qty At Risk</t>
  </si>
  <si>
    <t>Months to
Expiry</t>
  </si>
  <si>
    <t>Projected
Runout Month</t>
  </si>
  <si>
    <t>FEFO Status</t>
  </si>
  <si>
    <t>Release Priority</t>
  </si>
  <si>
    <t>Cumulative
Demand</t>
  </si>
  <si>
    <t>Demand to
Risk Window</t>
  </si>
  <si>
    <t>Expiry Runout and Risk Summary  |  Auto-calculated from Lot Inputs V2</t>
  </si>
  <si>
    <t>Formula-linked to Lot Inputs tab. Add lots there and this summary auto-updates.</t>
  </si>
  <si>
    <t>Earliest Expiry</t>
  </si>
  <si>
    <t>Net Lot Inventory</t>
  </si>
  <si>
    <t>Qty Expiring ≤3m</t>
  </si>
  <si>
    <t>Qty Expiring ≤6m</t>
  </si>
  <si>
    <t>Qty Expiring ≤12m</t>
  </si>
  <si>
    <t>Demand Next 6m</t>
  </si>
  <si>
    <t>Demand Next 12m</t>
  </si>
  <si>
    <t>Expiry Risk Status</t>
  </si>
  <si>
    <t>FEFO Review</t>
  </si>
  <si>
    <t>Next Lot at Risk</t>
  </si>
  <si>
    <t>Risk Qty</t>
  </si>
  <si>
    <t>Exception Summary / Risk Register  |  Auto-populated from Planning Engine V2</t>
  </si>
  <si>
    <t>Flags all Planning Engine rows where Risk = High or Medium. Filters out Low and Overstock. Updates automatically when Planning Engine recalculates.</t>
  </si>
  <si>
    <t>Individual column approach (non-365 Excel):</t>
  </si>
  <si>
    <t>Executive S&amp;OP Dashboard  |  Geron Corporation</t>
  </si>
  <si>
    <t>KPIs driven by Controls!B5 (Model Start). Change model start to advance planning period.</t>
  </si>
  <si>
    <t>LOOKAHEAD START</t>
  </si>
  <si>
    <t>LOOKAHEAD WINDOW</t>
  </si>
  <si>
    <t>HIGH RISK ROWS</t>
  </si>
  <si>
    <t>MEDIUM RISK ROWS</t>
  </si>
  <si>
    <t>PRODUCTS</t>
  </si>
  <si>
    <t>HIGH EXPIRY RISK</t>
  </si>
  <si>
    <t>QTY EXPIRING ≤6M</t>
  </si>
  <si>
    <t>SPOTLIGHT:</t>
  </si>
  <si>
    <t>LOOKAHEAD (mo):</t>
  </si>
  <si>
    <t>PORTFOLIO OVERVIEW — ALL PRODUCTS</t>
  </si>
  <si>
    <t>Total Demand
(lookahead)</t>
  </si>
  <si>
    <t>Planned Prod
(lookahead)</t>
  </si>
  <si>
    <t>End Inventory
(@ horizon)</t>
  </si>
  <si>
    <t>Min MOH</t>
  </si>
  <si>
    <t>Prod Required</t>
  </si>
  <si>
    <t>Worst Risk</t>
  </si>
  <si>
    <t>SPOTLIGHT — MONTH BY MONTH DETAIL</t>
  </si>
  <si>
    <t>Planned Prod</t>
  </si>
  <si>
    <t>Ending Inv</t>
  </si>
  <si>
    <t>Risk</t>
  </si>
  <si>
    <t>Annual S&amp;OP Summary  |  Auto-calculated from Planning Engine V2</t>
  </si>
  <si>
    <t>Uses SUMIFS with date range criteria. Press Ctrl+Alt+F9 to recalculate after data entry.</t>
  </si>
  <si>
    <t>Year</t>
  </si>
  <si>
    <t>Total Demand</t>
  </si>
  <si>
    <t>Avg Ending Inventory</t>
  </si>
  <si>
    <t>Total Prod Required</t>
  </si>
  <si>
    <t>GERON CORPORATION — SUPPLIER PRODUCTION FORECAST</t>
  </si>
  <si>
    <t>Supplier: Catalent  |  Product(s): 200mg DP  |  Category: Drug Product  |  Issued: March 22, 2026  |  Binding: 9 months</t>
  </si>
  <si>
    <t>Geron Contact:</t>
  </si>
  <si>
    <t>Supply Chain / CMC</t>
  </si>
  <si>
    <t>Supplier Contact:</t>
  </si>
  <si>
    <t>Batch Size:</t>
  </si>
  <si>
    <t>18,000 units</t>
  </si>
  <si>
    <t>Lead Time:</t>
  </si>
  <si>
    <t>5 months</t>
  </si>
  <si>
    <t>Binding Period:</t>
  </si>
  <si>
    <t>9 months</t>
  </si>
  <si>
    <t>PO Numbers:</t>
  </si>
  <si>
    <t>(see monthly rows below)</t>
  </si>
  <si>
    <t>Q4 2027</t>
  </si>
  <si>
    <t>Q1 2028</t>
  </si>
  <si>
    <t>Q2 2028</t>
  </si>
  <si>
    <t>Q3 2028</t>
  </si>
  <si>
    <t>Q4 2028</t>
  </si>
  <si>
    <t>Q1 2029</t>
  </si>
  <si>
    <t>Q2 2029</t>
  </si>
  <si>
    <t>Q3 2029</t>
  </si>
  <si>
    <t>BATCH START DATE
(auto from lead time)</t>
  </si>
  <si>
    <t>TARGET DELIVERY /
BATCH COMPLETE</t>
  </si>
  <si>
    <t>BATCH NUMBER</t>
  </si>
  <si>
    <t>PO NUMBER</t>
  </si>
  <si>
    <t>QTY ORDERED
(units or kg)</t>
  </si>
  <si>
    <t>QTY CONFIRMED
(supplier)</t>
  </si>
  <si>
    <t>BINDING STATUS</t>
  </si>
  <si>
    <t>BINDING</t>
  </si>
  <si>
    <t>NON-BINDING</t>
  </si>
  <si>
    <t>TOTAL QTY</t>
  </si>
  <si>
    <t>GERON CORPORATION</t>
  </si>
  <si>
    <t>CATALENT</t>
  </si>
  <si>
    <t>Authorized Representative:</t>
  </si>
  <si>
    <t>Name (Print):</t>
  </si>
  <si>
    <t>Title:</t>
  </si>
  <si>
    <t>Date:</t>
  </si>
  <si>
    <t>Email:</t>
  </si>
  <si>
    <t>🟢 GREEN = BINDING (cancellation fees apply per Cancellation Policy)  |  🟡 YELLOW = NON-BINDING  |  Grey = Quarterly  |  Blue = auto from lead time</t>
  </si>
  <si>
    <t>Supplier: Patheon PDS-2  |  Product(s): 200mg DP  |  Category: Drug Product  |  Issued: March 22, 2026  |  Binding: 9 months</t>
  </si>
  <si>
    <t>PATHEON PDS-2</t>
  </si>
  <si>
    <t>Supplier: Patheon PDS-1  |  Product(s): 50mg DP  |  Category: Drug Product  |  Issued: March 22, 2026  |  Binding: 9 months</t>
  </si>
  <si>
    <t>11,500 units</t>
  </si>
  <si>
    <t>3 months</t>
  </si>
  <si>
    <t>PATHEON PDS-1</t>
  </si>
  <si>
    <t>Supplier: Simtra  |  Product(s): 200mg DP + 50mg DP  |  Category: Drug Product  |  Issued: March 22, 2026  |  Binding: 6 months</t>
  </si>
  <si>
    <t>6 months</t>
  </si>
  <si>
    <t>SIMTRA</t>
  </si>
  <si>
    <t>Supplier: Fisher / ThermoFisher Allentown  |  Product(s): 188mg LP + 47mg LP  |  Category: Label/Pack  |  Issued: March 22, 2026  |  Binding: 6 months</t>
  </si>
  <si>
    <t>17,500 units</t>
  </si>
  <si>
    <t>FISHER / THERMOFISHER ALL</t>
  </si>
  <si>
    <t>Supplier: ST Pharm (Oligo P1 F2)  |  Product(s): Drug Substance  |  Category: Bulk API/DS  |  Issued: March 22, 2026  |  Binding: 12 months</t>
  </si>
  <si>
    <t>4.3 kg</t>
  </si>
  <si>
    <t>12 months</t>
  </si>
  <si>
    <t>ST PHARM (OLIGO P1 F2)</t>
  </si>
  <si>
    <t>Supplier: ST Pharm  |  Product(s): APAD / APC / APG / APT  |  Category: Raw Materials  |  Issued: March 22, 2026  |  Binding: 9 months</t>
  </si>
  <si>
    <t>20.0 units</t>
  </si>
  <si>
    <t>ST PHARM</t>
  </si>
  <si>
    <t>Supplier: Kinovate  |  Product(s): LLPS  |  Category: Raw Material  |  Issued: March 22, 2026  |  Binding: 6 months</t>
  </si>
  <si>
    <t>5.0 kg</t>
  </si>
  <si>
    <t>KINOVATE</t>
  </si>
  <si>
    <t>Supplier: Hongene  |  Product(s): APAD / APC / APG / APT / LLPS  |  Category: Raw Materials  |  Issued: March 22, 2026  |  Binding: 9 months</t>
  </si>
  <si>
    <t>HONGENE</t>
  </si>
  <si>
    <t>47mg-DE-MF</t>
  </si>
  <si>
    <t>47mg-AT-MF</t>
  </si>
  <si>
    <t>47mg-FR-MF</t>
  </si>
  <si>
    <t>47mg-IT-MF</t>
  </si>
  <si>
    <t>47mg-ES-MF</t>
  </si>
  <si>
    <t>47mg-NL-MF</t>
  </si>
  <si>
    <t>188mg-IT-MF</t>
  </si>
  <si>
    <t>188mg-ES-MF</t>
  </si>
  <si>
    <t>188mg-NL-MF</t>
  </si>
  <si>
    <t>3/1/2026</t>
  </si>
  <si>
    <t>2/1/2026</t>
  </si>
  <si>
    <t>4/1/2026</t>
  </si>
  <si>
    <t>0+M5:M30</t>
  </si>
  <si>
    <t>Product names in Planning Engine, Lot Inputs, FEFO Analysis, and Controls!A must be IDENTICAL — including capitalization and spacing.</t>
  </si>
  <si>
    <t>Product name matching</t>
  </si>
  <si>
    <t>179 rows = 1 product × ~15 years of months. Never mix rows from different product blocks.</t>
  </si>
  <si>
    <t>Planning Engine</t>
  </si>
  <si>
    <t>Formulas shown use {row} as a placeholder — substitute the actual Excel row number when entering</t>
  </si>
  <si>
    <t>Col F (Key Formula)</t>
  </si>
  <si>
    <t>CONDITIONAL step — only needed based on product type (see col D)</t>
  </si>
  <si>
    <t>Yellow row</t>
  </si>
  <si>
    <t>REQUIRED step — must be completed for every new product regardless of type</t>
  </si>
  <si>
    <t>Green row</t>
  </si>
  <si>
    <t>LEGEND</t>
  </si>
  <si>
    <t>HTML dashboard opens and shows the new product in dropdowns / panels. No JavaScript console errors.</t>
  </si>
  <si>
    <t>N/A</t>
  </si>
  <si>
    <t>N/A — run the .bat file after all workbook edits are saved and closed.</t>
  </si>
  <si>
    <t>The script has a hardcoded product list. If you added a new product, open refresh_dashboard.py and find the list (search for '188mg LP') and add the new product name in the same format. Then run: double-click Refresh_Dashboard.bat</t>
  </si>
  <si>
    <t>Run the Python refresh script to regenerate the HTML dashboard with updated data. The script reads Planning Engine, FEFO Analysis, Lot Inputs, and other tabs. It will not pick up new products automatically unless the script's product list is also updated.</t>
  </si>
  <si>
    <t>All items — after all tabs are updated</t>
  </si>
  <si>
    <t>REQUIRED</t>
  </si>
  <si>
    <t>refresh_dashboard.py</t>
  </si>
  <si>
    <t>── FINAL STEP ──</t>
  </si>
  <si>
    <t>B3 product name matches a product in Lot Inputs exactly. Seq count in D4 matches the number of lot rows for that product.</t>
  </si>
  <si>
    <t>No row copies needed unless extending beyond 200 lots.</t>
  </si>
  <si>
    <t>B3 (Selected Product — dropdown or manual entry), B4 (Risk Window months — manual). Rows 7–206 are fully formula-driven.</t>
  </si>
  <si>
    <t>Key lookup formula in col B (Lot ID): searches Lot Inputs filtered by B3 (Selected Product), sorted by expiry date using SMALL/INDEX pattern. If lot count &gt; 200, extend the formula range from row 206 downward.</t>
  </si>
  <si>
    <t>The FEFO Analysis tab currently supports a product selected via the 'Selected Product' cell (B3). The lot lookup range (rows 7–206) uses formulas that filter Lot Inputs by that product name. If you have added lots in Lot Inputs, the FEFO formulas should pick them up automatically — no new rows needed in FEFO Analysis unless lot count exceeds 200.</t>
  </si>
  <si>
    <t>Products in Lot Inputs with expiry tracking</t>
  </si>
  <si>
    <t>CONDITIONAL</t>
  </si>
  <si>
    <t>FEFO Analysis</t>
  </si>
  <si>
    <t>Product name in col A matches the Planning Engine name character-for-character. Months to Expiry col I is a positive integer for future lots.</t>
  </si>
  <si>
    <t>Copy any row in the 47mg LP block. Update product name and all manual fields.</t>
  </si>
  <si>
    <t>A (Product — must match Planning Engine product name exactly), B (Lot ID), C (Category), D (Receipt Date), E (Expiry Date), F (Qty Available — manual), G (Qty Reserved — manual or blank), H–J (formulas)</t>
  </si>
  <si>
    <t>Col H (Net Available): =F{row}-G{row}. Col I (Months to Expiry): =IFERROR(DATEDIF(TODAY(),E{row},"M"),""). Col J (Sort Key): =IF(E{row}&lt;&gt;"",E{row},"")</t>
  </si>
  <si>
    <t>Add rows for each physical lot: lot ID, receipt date, expiry date, and qty available. Qty reserved is manual (optional). Net Available, Months to Expiry, and Sort Key are formula-driven.</t>
  </si>
  <si>
    <t>Products with lot-level expiry tracking (LP, DP)</t>
  </si>
  <si>
    <t>Lot Inputs</t>
  </si>
  <si>
    <t>Product name in col B matches new product name in Planning Engine.</t>
  </si>
  <si>
    <t>Copy last row group for prior product. Update all PE row references to new block.</t>
  </si>
  <si>
    <t>A–J (all formulas pulling from Planning Engine). No manual entry.</t>
  </si>
  <si>
    <t>Formula pattern in each row: ='Planning Engine'!C{pe_row} — directly references the corresponding Planning Engine row. No VLOOKUP; purely positional. Check that the row range you're extending to matches the new PE block start row.</t>
  </si>
  <si>
    <t>This tab references Planning Engine rows directly by row number. After adding new PE rows, extend the FG Enhanced Plan to include the new product block by copying the row formula pattern and updating row references.</t>
  </si>
  <si>
    <t>Finished goods (LP products)</t>
  </si>
  <si>
    <t>FG Enhanced Plan</t>
  </si>
  <si>
    <t>── OUTPUT / ANALYSIS LAYERS ──</t>
  </si>
  <si>
    <t>Row 1 of new block: Col E BI = hardcoded start inventory matching Controls col D. Row 2+: Col E = =H{prev_row}. Spot-check MOH in col J for a few months.</t>
  </si>
  <si>
    <t>Copy rows 4–182 (188mg LP) for Label/Pack. Copy rows 362–540 (200mg DP) for Drug Product. Copy rows 720–898 (Drug Substance) for Bulk API.</t>
  </si>
  <si>
    <t>Col A (Month — date series, copy from prior block), Col E (BI — =H{prev_row} except first row), Cols F–G (array formulas — copy carefully), Cols H–U (mix of formulas and VLOOKUP/XLOOKUP)</t>
  </si>
  <si>
    <t>Every VLOOKUP in this block uses the product name as a literal string, e.g.: =IFERROR(VLOOKUP("188mg LP",Controls!A:I,7,0),6). After copy-paste, ALL of these still reference the old product. Use Ctrl+H with 'Within Selection' checked to replace. If upgrading to XLOOKUP per the formula guide, apply those replacements here.</t>
  </si>
  <si>
    <t>Each product has a hardcoded 179-row block. Copy the entire 179-row block from the nearest comparable product. Paste immediately below the last existing block. Then use Find &amp; Replace (scoped to the new block only) to replace the old product name with the new one.</t>
  </si>
  <si>
    <t>All items</t>
  </si>
  <si>
    <t>── PLANNING ENGINE ──</t>
  </si>
  <si>
    <t>Supplier name in row 2 matches the name in Supplier Registry col B exactly.</t>
  </si>
  <si>
    <t>Copy entire Fcst_Patheon_PDS-2 tab. Rename. Update rows 1–2 and all product name references.</t>
  </si>
  <si>
    <t>Rows 1–10: Header block (manual). Row 11+: Monthly forecast table pulling from Production Inputs.</t>
  </si>
  <si>
    <t>These tabs are the supplier-facing forecast sheets. They are not formula-linked back into the planning engine directly — they are reference documents that inform the Production Inputs manual entries.</t>
  </si>
  <si>
    <t>If the new supplier has no existing forecast tab, create a new tab named Fcst_[SupplierShortName]. Copy the full layout from Fcst_Patheon_PDS-2 as a template. Update header row 2 with correct supplier name, product(s), and category.</t>
  </si>
  <si>
    <t>New suppliers not already in workbook</t>
  </si>
  <si>
    <t>Fcst_[Supplier]</t>
  </si>
  <si>
    <t>Col E shows 'Active' or 'Inactive' matching Supplier Registry toggle. Binding Through date is plausible.</t>
  </si>
  <si>
    <t>Copy row 5 (188mg LP / Fisher). Update product name, supplier name, and all Registry row refs in cols E–J.</t>
  </si>
  <si>
    <t>A (Product), B (Supplier), C (Category), D (Unit), E–J (formula), K onward (monthly planned production — yellow = manual entry)</t>
  </si>
  <si>
    <t>Col E (Is Active?) formula: ='Supplier Registry'!N{reg_row}. Col G (Batch Size): ='Supplier Registry'!E{reg_row}. Col H (Binding Period): ='Supplier Registry'!P{reg_row}. Col I (Binding Through): =IFERROR(EDATE(Controls!B5,H{row}),""). Col J (Cancel Deadline): =IFERROR(EDATE(I{row},-'Supplier Registry'!Q{reg_row}),"")</t>
  </si>
  <si>
    <t>Add one row per supplier. Cols E–J pull from Supplier Registry via formula. The TOTAL ACTIVE row below each product group is a SUMPRODUCT of active-supplier production — extend its range to include new rows.</t>
  </si>
  <si>
    <t>Production Inputs</t>
  </si>
  <si>
    <t>── PRODUCTION LAYER ──</t>
  </si>
  <si>
    <t>TOTAL ACTIVE row sum matches manual spot-check of active SKU rows for one month column.</t>
  </si>
  <si>
    <t>Copy any existing SKU row. Paste above the TOTAL ACTIVE row for that product. Update SKU reference in col B and Active? formula in col E.</t>
  </si>
  <si>
    <t>A (Drug Product), B (SKU Code), C (Indication), D (Region), E (Active? — formula from SKU Master), F onward (monthly demand values — yellow = manual entry)</t>
  </si>
  <si>
    <t>TOTAL ACTIVE formula pattern: =SUMPRODUCT((E{start}:E{end}=1)*F{start}:F{end}) where col E = Active? from SKU Master and col F onward = monthly demand. The range {start}:{end} must be updated to include any newly inserted rows.</t>
  </si>
  <si>
    <t>Add rows for each new SKU under the appropriate Drug Product group header. The TOTAL ACTIVE row for that product uses SUMPRODUCT — extend its range to include new rows.</t>
  </si>
  <si>
    <t>New finished goods with their own demand stream</t>
  </si>
  <si>
    <t>Demand Inputs</t>
  </si>
  <si>
    <t>SKU Code follows naming convention: [strength]-[country]-[indication]. Active? is numeric 1 or 0, not text.</t>
  </si>
  <si>
    <t>Copy any active row (row 5 for US, row 13 for DE). Update all fields for new country/indication.</t>
  </si>
  <si>
    <t>A (SKU Code), B (Drug Product), C (Indication), D (Region), E (Country), F (Active 1/0), G (Launch Date), H (Reg#), I (Reg System), J (Batch Size), K (Lead Time), L (Reg Status), M–O (Pricing)</t>
  </si>
  <si>
    <t>Col F (Active?) is referenced by Demand Inputs col E formula: ='SKU Master'!F{row}. Setting to 0 silences that SKU's demand in the planning engine automatically.</t>
  </si>
  <si>
    <t>Add one row per country SKU. Set Active? = 1 for launch SKUs, 0 for placeholders. Launch Date, Reg #, Reg System, and Price/Unit are manually entered.</t>
  </si>
  <si>
    <t>New finished goods with country-level tracking</t>
  </si>
  <si>
    <t>SKU Master</t>
  </si>
  <si>
    <t>── SKU / DEMAND LAYER (Finished Goods only) ──</t>
  </si>
  <si>
    <t>Col H shows 'Active' for current date. Factor units are documented in col E.</t>
  </si>
  <si>
    <t>Copy rows 6–7 (200mg DP → Drug Substance) for supplier-date-scoped factors. Copy row 4 for simple 1:1 relationships.</t>
  </si>
  <si>
    <t>A (Parent), B (Child), C (Supplier or blank), D (Factor), E (Basis/Units), F (Active Start), G (Active End), H (formula)</t>
  </si>
  <si>
    <t>Col H (Is Active?) formula — copy exactly from any existing row: =IF(AND(OR(F{row}="",F{row}&lt;=TODAY()),OR(G{row}="",G{row}&gt;=TODAY())),"Active","Inactive")</t>
  </si>
  <si>
    <t>Add one row per parent→child relationship. Specify the conversion factor (units of child per 1 unit of parent). Multiple rows allowed for supplier-specific factors or date-ranged factors.</t>
  </si>
  <si>
    <t>Items that consume other products (DP, LP, DS, Raw Materials)</t>
  </si>
  <si>
    <t>Dependencies</t>
  </si>
  <si>
    <t>Col J (Primary Supplier) shows correct supplier name. Col K count ≥ 1.</t>
  </si>
  <si>
    <t>Copy row 19 (188mg LP). Update product name in col A and update all Registry row references in cols E–K.</t>
  </si>
  <si>
    <t>A (Product), B (Category), C (Unit), D (Start Inv — manual), E–J (Registry refs), K (formula)</t>
  </si>
  <si>
    <t>Col E formula (Batch Size): ='Supplier Registry'!E{reg_row}  — point to the PRIMARY supplier row in Registry. Repeat for cols F–J. Col K (Active Supplier Count): =COUNTIFS('Supplier Registry'!A:A,A{row},'Supplier Registry'!N:N,"Active")</t>
  </si>
  <si>
    <t>Add one row in the Product Parameters block (currently rows 19–28). Enter product name, category, unit, and start inventory. Cols B–K auto-pull from Supplier Registry via direct cell reference.</t>
  </si>
  <si>
    <t>Controls</t>
  </si>
  <si>
    <t>Col N shows 'Active' for intended primary supplier. Batch size and lead time are numeric, not text.</t>
  </si>
  <si>
    <t>Copy row 5 (Fisher/188mg LP) as template. Paste below last row for that product group.</t>
  </si>
  <si>
    <t>A–N minimum; P (Binding Period), Q (Cancel Lead)</t>
  </si>
  <si>
    <t>Col M (Primary?) and Col N (Is Active?) are formula-driven — copy from any adjacent row. Do NOT hardcode. Col N formula: =IF(L{row}=0,"Inactive",IF(AND(OR(J{row}="",J{row}&lt;=TODAY()),OR(K{row}="",K{row}&gt;=TODAY())),"Active","Inactive"))</t>
  </si>
  <si>
    <t>Add one row per supplier for the new product. Fill product name, supplier name, category, unit, batch size, lead time, MOH targets, active start/end, and manual toggle.</t>
  </si>
  <si>
    <t>Supplier Registry</t>
  </si>
  <si>
    <t>── UPSTREAM FOUNDATION ──</t>
  </si>
  <si>
    <t>Verify After</t>
  </si>
  <si>
    <t>Row Pattern to Copy</t>
  </si>
  <si>
    <t>Columns to Fill</t>
  </si>
  <si>
    <t>Key Formula / Note</t>
  </si>
  <si>
    <t>What To Do</t>
  </si>
  <si>
    <t>Item Type</t>
  </si>
  <si>
    <t>Required?</t>
  </si>
  <si>
    <t>Workbook Tab</t>
  </si>
  <si>
    <t>Step</t>
  </si>
  <si>
    <t>Follow steps in order. Each step maps to a named tab in the workbook. Steps marked REQUIRED must be completed for every new product. Steps marked CONDITIONAL apply based on item type.</t>
  </si>
  <si>
    <t>Geron S&amp;OP Workbook — Add New Item Guide</t>
  </si>
  <si>
    <t>C034F25016</t>
  </si>
  <si>
    <t>008H25</t>
  </si>
  <si>
    <t>010H25</t>
  </si>
  <si>
    <t>Relabeling with 4 years dating; May 2026</t>
  </si>
  <si>
    <t>Relabeling with 4 years dating; August 2026</t>
  </si>
  <si>
    <t>Relabeling with 5 years dating; April 2027</t>
  </si>
  <si>
    <t>APAD(2)-3-25004A</t>
  </si>
  <si>
    <t>APAD(2)-3-25004B</t>
  </si>
  <si>
    <t>APAD(2)-3-25003B</t>
  </si>
  <si>
    <t>APAD(2)-3-25003A</t>
  </si>
  <si>
    <t>APAD(2)-3-25002</t>
  </si>
  <si>
    <t>ACP27E1A4</t>
  </si>
  <si>
    <t>APC(2)-3-25001</t>
  </si>
  <si>
    <t>APG(2)-3-25002B</t>
  </si>
  <si>
    <t>APG(2)-3-25002A</t>
  </si>
  <si>
    <t>AGP27D1A4</t>
  </si>
  <si>
    <t>APG(2)-3-25001A</t>
  </si>
  <si>
    <t>AGP27D2A4</t>
  </si>
  <si>
    <t>APG(2)-3-25001B</t>
  </si>
  <si>
    <t>APT-3-25002A</t>
  </si>
  <si>
    <t>APT-3-25001B</t>
  </si>
  <si>
    <t>ATP27D1A4</t>
  </si>
  <si>
    <t>ATP27D2A4</t>
  </si>
  <si>
    <t>Raw Materials</t>
  </si>
  <si>
    <t>G1632511</t>
  </si>
  <si>
    <t>G1632510</t>
  </si>
  <si>
    <t>G1632516</t>
  </si>
  <si>
    <t>G1632515</t>
  </si>
  <si>
    <t>G1632514</t>
  </si>
  <si>
    <t>G1632512</t>
  </si>
  <si>
    <t>G1632513</t>
  </si>
  <si>
    <t>G1632403</t>
  </si>
  <si>
    <t>G1632404</t>
  </si>
  <si>
    <t>G1632505</t>
  </si>
  <si>
    <t>G1632503</t>
  </si>
  <si>
    <t>G1632508</t>
  </si>
  <si>
    <t>G1632504</t>
  </si>
  <si>
    <t>G1632410</t>
  </si>
  <si>
    <t>G1632409</t>
  </si>
  <si>
    <t>G1632408</t>
  </si>
  <si>
    <t>G1632502</t>
  </si>
  <si>
    <t>G1632501</t>
  </si>
  <si>
    <t>G1632411</t>
  </si>
  <si>
    <t>G1632507</t>
  </si>
  <si>
    <t>G1632406</t>
  </si>
  <si>
    <t>G1632405</t>
  </si>
  <si>
    <t>G1632506</t>
  </si>
  <si>
    <t>G1632509</t>
  </si>
  <si>
    <t>L11002</t>
  </si>
  <si>
    <t>L10009</t>
  </si>
  <si>
    <t>L10007</t>
  </si>
  <si>
    <t>L07001</t>
  </si>
  <si>
    <t>L10005</t>
  </si>
  <si>
    <t>L08011</t>
  </si>
  <si>
    <t>L09003</t>
  </si>
  <si>
    <t>L09005</t>
  </si>
  <si>
    <t>L09009</t>
  </si>
  <si>
    <t>L10002</t>
  </si>
  <si>
    <t>L10003</t>
  </si>
  <si>
    <t>L10006</t>
  </si>
  <si>
    <t>L08007</t>
  </si>
  <si>
    <t>L08005</t>
  </si>
  <si>
    <t>L08013</t>
  </si>
  <si>
    <t>L09002</t>
  </si>
  <si>
    <t>L07011</t>
  </si>
  <si>
    <t>L07017</t>
  </si>
  <si>
    <t>1/1/2026</t>
  </si>
  <si>
    <t>47mg Clinical</t>
  </si>
  <si>
    <t>Fisher Clinical</t>
  </si>
  <si>
    <t>units per units (1:1)</t>
  </si>
  <si>
    <t>► 47mg Clinical</t>
  </si>
  <si>
    <t>47mg-US-Clinical</t>
  </si>
  <si>
    <t>NA</t>
  </si>
  <si>
    <t>US Clinical</t>
  </si>
  <si>
    <t>Active</t>
  </si>
  <si>
    <t>FDA Pending - sNDA Pending</t>
  </si>
  <si>
    <t>Patheon: 0.7kg DS per batch of 11,500 vials</t>
  </si>
  <si>
    <t>Simtra PPQ 1</t>
  </si>
  <si>
    <t>EI</t>
  </si>
  <si>
    <t>Target OH (units)</t>
  </si>
  <si>
    <t>188mg LP + 200mg DP Combined</t>
  </si>
  <si>
    <t>47mg LP + 50mg DP Combined</t>
  </si>
  <si>
    <t>Annual Planned Production — Batches</t>
  </si>
  <si>
    <t>Year-end Inventory — Months on Hand (MOH)</t>
  </si>
  <si>
    <t>P117920C</t>
  </si>
  <si>
    <t>P117921C</t>
  </si>
  <si>
    <t>P117922C</t>
  </si>
  <si>
    <t>P117923C</t>
  </si>
  <si>
    <t>P117924C</t>
  </si>
  <si>
    <t>P117925C</t>
  </si>
  <si>
    <t>P117926C</t>
  </si>
  <si>
    <t>P117927C</t>
  </si>
  <si>
    <t>P117928C</t>
  </si>
  <si>
    <t>P117929C</t>
  </si>
  <si>
    <t>Status</t>
  </si>
  <si>
    <t>On Hold</t>
  </si>
  <si>
    <t>Inv Value / UOM</t>
  </si>
  <si>
    <t>Prod Cost / Batch</t>
  </si>
  <si>
    <t>Prod Cost / UOM</t>
  </si>
  <si>
    <t>Simtra PPQ 2</t>
  </si>
  <si>
    <t>Simtra PPQ 3</t>
  </si>
  <si>
    <t>003N25</t>
  </si>
  <si>
    <t>030A26</t>
  </si>
  <si>
    <t>188mg LP - EU Stock</t>
  </si>
  <si>
    <t>47mg LP - EU Stock</t>
  </si>
  <si>
    <t>▸ 188mg LP - EU Stock</t>
  </si>
  <si>
    <t>▸ 47mg LP - EU Stock</t>
  </si>
  <si>
    <t>(no lots assigned yet)</t>
  </si>
  <si>
    <t>=IF(6&lt;Controls!$B$7,TEXT(INDEX(A1974:A2152,MATCH(Controls!$B$5,A1974:A2152,1)+6),"MMM-YY"),"")</t>
  </si>
  <si>
    <t>=IF(7&lt;Controls!$B$7,TEXT(INDEX(A1974:A2152,MATCH(Controls!$B$5,A1974:A2152,1)+7),"MMM-YY"),"")</t>
  </si>
  <si>
    <t>=IF(8&lt;Controls!$B$7,TEXT(INDEX(A1974:A2152,MATCH(Controls!$B$5,A1974:A2152,1)+8),"MMM-YY"),"")</t>
  </si>
  <si>
    <t>=IF(9&lt;Controls!$B$7,TEXT(INDEX(A1974:A2152,MATCH(Controls!$B$5,A1974:A2152,1)+9),"MMM-YY"),"")</t>
  </si>
  <si>
    <t>=IF(10&lt;Controls!$B$7,TEXT(INDEX(A1974:A2152,MATCH(Controls!$B$5,A1974:A2152,1)+10),"MMM-YY"),"")</t>
  </si>
  <si>
    <t>=IF(11&lt;Controls!$B$7,TEXT(INDEX(A1974:A2152,MATCH(Controls!$B$5,A1974:A2152,1)+11),"MMM-YY"),"")</t>
  </si>
  <si>
    <t>=IF(12&lt;Controls!$B$7,TEXT(INDEX(A1974:A2152,MATCH(Controls!$B$5,A1974:A2152,1)+12),"MMM-YY"),"")</t>
  </si>
  <si>
    <t>=IF(13&lt;Controls!$B$7,TEXT(INDEX(A1974:A2152,MATCH(Controls!$B$5,A1974:A2152,1)+13),"MMM-YY"),"")</t>
  </si>
  <si>
    <t>=IF(14&lt;Controls!$B$7,TEXT(INDEX(A1974:A2152,MATCH(Controls!$B$5,A1974:A2152,1)+14),"MMM-YY"),"")</t>
  </si>
  <si>
    <t>=IF(15&lt;Controls!$B$7,TEXT(INDEX(A1974:A2152,MATCH(Controls!$B$5,A1974:A2152,1)+15),"MMM-YY"),"")</t>
  </si>
  <si>
    <t>=IF(16&lt;Controls!$B$7,TEXT(INDEX(A1974:A2152,MATCH(Controls!$B$5,A1974:A2152,1)+16),"MMM-YY"),"")</t>
  </si>
  <si>
    <t>=IF(17&lt;Controls!$B$7,TEXT(INDEX(A1974:A2152,MATCH(Controls!$B$5,A1974:A2152,1)+17),"MMM-YY"),"")</t>
  </si>
  <si>
    <t>=IF(18&lt;Controls!$B$7,TEXT(INDEX(A1974:A2152,MATCH(Controls!$B$5,A1974:A2152,1)+18),"MMM-YY"),"")</t>
  </si>
  <si>
    <t>=IF(19&lt;Controls!$B$7,TEXT(INDEX(A1974:A2152,MATCH(Controls!$B$5,A1974:A2152,1)+19),"MMM-YY"),"")</t>
  </si>
  <si>
    <t>=IF(20&lt;Controls!$B$7,TEXT(INDEX(A1974:A2152,MATCH(Controls!$B$5,A1974:A2152,1)+20),"MMM-YY"),"")</t>
  </si>
  <si>
    <t>=IF(21&lt;Controls!$B$7,TEXT(INDEX(A1974:A2152,MATCH(Controls!$B$5,A1974:A2152,1)+21),"MMM-YY"),"")</t>
  </si>
  <si>
    <t>=IF(22&lt;Controls!$B$7,TEXT(INDEX(A1974:A2152,MATCH(Controls!$B$5,A1974:A2152,1)+22),"MMM-YY"),"")</t>
  </si>
  <si>
    <t>=IF(23&lt;Controls!$B$7,TEXT(INDEX(A1974:A2152,MATCH(Controls!$B$5,A1974:A2152,1)+23),"MMM-YY"),"")</t>
  </si>
  <si>
    <t>=IF(24&lt;Controls!$B$7,TEXT(INDEX(A1974:A2152,MATCH(Controls!$B$5,A1974:A2152,1)+24),"MMM-YY"),"")</t>
  </si>
  <si>
    <t>=IF(25&lt;Controls!$B$7,TEXT(INDEX(A1974:A2152,MATCH(Controls!$B$5,A1974:A2152,1)+25),"MMM-YY"),"")</t>
  </si>
  <si>
    <t>=IF(26&lt;Controls!$B$7,TEXT(INDEX(A1974:A2152,MATCH(Controls!$B$5,A1974:A2152,1)+26),"MMM-YY"),"")</t>
  </si>
  <si>
    <t>=IF(27&lt;Controls!$B$7,TEXT(INDEX(A1974:A2152,MATCH(Controls!$B$5,A1974:A2152,1)+27),"MMM-YY"),"")</t>
  </si>
  <si>
    <t>=IF(28&lt;Controls!$B$7,TEXT(INDEX(A1974:A2152,MATCH(Controls!$B$5,A1974:A2152,1)+28),"MMM-YY"),"")</t>
  </si>
  <si>
    <t>=IF(29&lt;Controls!$B$7,TEXT(INDEX(A1974:A2152,MATCH(Controls!$B$5,A1974:A2152,1)+29),"MMM-YY"),"")</t>
  </si>
  <si>
    <t>=IF(30&lt;Controls!$B$7,TEXT(INDEX(A1974:A2152,MATCH(Controls!$B$5,A1974:A2152,1)+30),"MMM-YY"),"")</t>
  </si>
  <si>
    <t>=IF(31&lt;Controls!$B$7,TEXT(INDEX(A1974:A2152,MATCH(Controls!$B$5,A1974:A2152,1)+31),"MMM-YY"),"")</t>
  </si>
  <si>
    <t>=IF(32&lt;Controls!$B$7,TEXT(INDEX(A1974:A2152,MATCH(Controls!$B$5,A1974:A2152,1)+32),"MMM-YY"),"")</t>
  </si>
  <si>
    <t>=IF(33&lt;Controls!$B$7,TEXT(INDEX(A1974:A2152,MATCH(Controls!$B$5,A1974:A2152,1)+33),"MMM-YY"),"")</t>
  </si>
  <si>
    <t>=IF(34&lt;Controls!$B$7,TEXT(INDEX(A1974:A2152,MATCH(Controls!$B$5,A1974:A2152,1)+34),"MMM-YY"),"")</t>
  </si>
  <si>
    <t>=IF(35&lt;Controls!$B$7,TEXT(INDEX(A1974:A2152,MATCH(Controls!$B$5,A1974:A2152,1)+35),"MMM-YY"),"")</t>
  </si>
  <si>
    <t>=IF(36&lt;Controls!$B$7,TEXT(INDEX(A1974:A2152,MATCH(Controls!$B$5,A1974:A2152,1)+36),"MMM-YY"),"")</t>
  </si>
  <si>
    <t>=IF(37&lt;Controls!$B$7,TEXT(INDEX(A1974:A2152,MATCH(Controls!$B$5,A1974:A2152,1)+37),"MMM-YY"),"")</t>
  </si>
  <si>
    <t>=IF(38&lt;Controls!$B$7,TEXT(INDEX(A1974:A2152,MATCH(Controls!$B$5,A1974:A2152,1)+38),"MMM-YY"),"")</t>
  </si>
  <si>
    <t>=IF(39&lt;Controls!$B$7,TEXT(INDEX(A1974:A2152,MATCH(Controls!$B$5,A1974:A2152,1)+39),"MMM-YY"),"")</t>
  </si>
  <si>
    <t>=IF(40&lt;Controls!$B$7,TEXT(INDEX(A1974:A2152,MATCH(Controls!$B$5,A1974:A2152,1)+40),"MMM-YY"),"")</t>
  </si>
  <si>
    <t>=IF(41&lt;Controls!$B$7,TEXT(INDEX(A1974:A2152,MATCH(Controls!$B$5,A1974:A2152,1)+41),"MMM-YY"),"")</t>
  </si>
  <si>
    <t>=IF(45&lt;Controls!$B$7,TEXT(INDEX(A1974:A2152,MATCH(Controls!$B$5,A1974:A2152,1)+45),"MMM-YY"),"")</t>
  </si>
  <si>
    <t>=IF(46&lt;Controls!$B$7,TEXT(INDEX(A1974:A2152,MATCH(Controls!$B$5,A1974:A2152,1)+46),"MMM-YY"),"")</t>
  </si>
  <si>
    <t>=IF(47&lt;Controls!$B$7,TEXT(INDEX(A1974:A2152,MATCH(Controls!$B$5,A1974:A2152,1)+47),"MMM-YY"),"")</t>
  </si>
  <si>
    <t>=IF(48&lt;Controls!$B$7,TEXT(INDEX(A1974:A2152,MATCH(Controls!$B$5,A1974:A2152,1)+48),"MMM-YY"),"")</t>
  </si>
  <si>
    <t>=IF(49&lt;Controls!$B$7,TEXT(INDEX(A1974:A2152,MATCH(Controls!$B$5,A1974:A2152,1)+49),"MMM-YY"),"")</t>
  </si>
  <si>
    <t>=IF(50&lt;Controls!$B$7,TEXT(INDEX(A1974:A2152,MATCH(Controls!$B$5,A1974:A2152,1)+50),"MMM-YY"),"")</t>
  </si>
  <si>
    <t>=IF(51&lt;Controls!$B$7,TEXT(INDEX(A1974:A2152,MATCH(Controls!$B$5,A1974:A2152,1)+51),"MMM-YY"),"")</t>
  </si>
  <si>
    <t>=IF(52&lt;Controls!$B$7,TEXT(INDEX(A1974:A2152,MATCH(Controls!$B$5,A1974:A2152,1)+52),"MMM-YY"),"")</t>
  </si>
  <si>
    <t>=IF(53&lt;Controls!$B$7,TEXT(INDEX(A1974:A2152,MATCH(Controls!$B$5,A1974:A2152,1)+53),"MMM-YY"),"")</t>
  </si>
  <si>
    <t>=IF(54&lt;Controls!$B$7,TEXT(INDEX(A1974:A2152,MATCH(Controls!$B$5,A1974:A2152,1)+54),"MMM-YY"),"")</t>
  </si>
  <si>
    <t>=IF(55&lt;Controls!$B$7,TEXT(INDEX(A1974:A2152,MATCH(Controls!$B$5,A1974:A2152,1)+55),"MMM-YY"),"")</t>
  </si>
  <si>
    <t>=IF(56&lt;Controls!$B$7,TEXT(INDEX(A1974:A2152,MATCH(Controls!$B$5,A1974:A2152,1)+56),"MMM-YY"),"")</t>
  </si>
  <si>
    <t>=IF(57&lt;Controls!$B$7,TEXT(INDEX(A1974:A2152,MATCH(Controls!$B$5,A1974:A2152,1)+57),"MMM-YY"),"")</t>
  </si>
  <si>
    <t>=IF(58&lt;Controls!$B$7,TEXT(INDEX(A1974:A2152,MATCH(Controls!$B$5,A1974:A2152,1)+58),"MMM-YY"),"")</t>
  </si>
  <si>
    <t>=IF(59&lt;Controls!$B$7,TEXT(INDEX(A1974:A2152,MATCH(Controls!$B$5,A1974:A2152,1)+59),"MMM-YY"),"")</t>
  </si>
  <si>
    <t>=IF(60&lt;Controls!$B$7,TEXT(INDEX(A1974:A2152,MATCH(Controls!$B$5,A1974:A2152,1)+60),"MMM-YY"),"")</t>
  </si>
  <si>
    <t>=IF(61&lt;Controls!$B$7,TEXT(INDEX(A1974:A2152,MATCH(Controls!$B$5,A1974:A2152,1)+61),"MMM-YY"),"")</t>
  </si>
  <si>
    <t>=IF(62&lt;Controls!$B$7,TEXT(INDEX(A1974:A2152,MATCH(Controls!$B$5,A1974:A2152,1)+62),"MMM-YY"),"")</t>
  </si>
  <si>
    <t>=IF(63&lt;Controls!$B$7,TEXT(INDEX(A1974:A2152,MATCH(Controls!$B$5,A1974:A2152,1)+63),"MMM-YY"),"")</t>
  </si>
  <si>
    <t>=IF(64&lt;Controls!$B$7,TEXT(INDEX(A1974:A2152,MATCH(Controls!$B$5,A1974:A2152,1)+64),"MMM-YY"),"")</t>
  </si>
  <si>
    <t>=IF(65&lt;Controls!$B$7,TEXT(INDEX(A1974:A2152,MATCH(Controls!$B$5,A1974:A2152,1)+65),"MMM-YY"),"")</t>
  </si>
  <si>
    <t>=IF(66&lt;Controls!$B$7,TEXT(INDEX(A1974:A2152,MATCH(Controls!$B$5,A1974:A2152,1)+66),"MMM-YY"),"")</t>
  </si>
  <si>
    <t>=IF(67&lt;Controls!$B$7,TEXT(INDEX(A1974:A2152,MATCH(Controls!$B$5,A1974:A2152,1)+67),"MMM-YY"),"")</t>
  </si>
  <si>
    <t>=IF(68&lt;Controls!$B$7,TEXT(INDEX(A1974:A2152,MATCH(Controls!$B$5,A1974:A2152,1)+68),"MMM-YY"),"")</t>
  </si>
  <si>
    <t>=IF(69&lt;Controls!$B$7,TEXT(INDEX(A1974:A2152,MATCH(Controls!$B$5,A1974:A2152,1)+69),"MMM-YY"),"")</t>
  </si>
  <si>
    <t>=IF(70&lt;Controls!$B$7,TEXT(INDEX(A1974:A2152,MATCH(Controls!$B$5,A1974:A2152,1)+70),"MMM-YY"),"")</t>
  </si>
  <si>
    <t>=IF(71&lt;Controls!$B$7,TEXT(INDEX(A1974:A2152,MATCH(Controls!$B$5,A1974:A2152,1)+71),"MMM-YY"),"")</t>
  </si>
  <si>
    <t>=IF(72&lt;Controls!$B$7,TEXT(INDEX(A1974:A2152,MATCH(Controls!$B$5,A1974:A2152,1)+72),"MMM-YY"),"")</t>
  </si>
  <si>
    <t>=IF(73&lt;Controls!$B$7,TEXT(INDEX(A1974:A2152,MATCH(Controls!$B$5,A1974:A2152,1)+73),"MMM-YY"),"")</t>
  </si>
  <si>
    <t>=IF(74&lt;Controls!$B$7,TEXT(INDEX(A1974:A2152,MATCH(Controls!$B$5,A1974:A2152,1)+74),"MMM-YY"),"")</t>
  </si>
  <si>
    <t>=IF(75&lt;Controls!$B$7,TEXT(INDEX(A1974:A2152,MATCH(Controls!$B$5,A1974:A2152,1)+75),"MMM-YY"),"")</t>
  </si>
  <si>
    <t>=IF(76&lt;Controls!$B$7,TEXT(INDEX(A1974:A2152,MATCH(Controls!$B$5,A1974:A2152,1)+76),"MMM-YY"),"")</t>
  </si>
  <si>
    <t>=IF(77&lt;Controls!$B$7,TEXT(INDEX(A1974:A2152,MATCH(Controls!$B$5,A1974:A2152,1)+77),"MMM-YY"),"")</t>
  </si>
  <si>
    <t>=IF(78&lt;Controls!$B$7,TEXT(INDEX(A1974:A2152,MATCH(Controls!$B$5,A1974:A2152,1)+78),"MMM-YY"),"")</t>
  </si>
  <si>
    <t>=IF(79&lt;Controls!$B$7,TEXT(INDEX(A1974:A2152,MATCH(Controls!$B$5,A1974:A2152,1)+79),"MMM-YY"),"")</t>
  </si>
  <si>
    <t>=IF(80&lt;Controls!$B$7,TEXT(INDEX(A1974:A2152,MATCH(Controls!$B$5,A1974:A2152,1)+80),"MMM-YY"),"")</t>
  </si>
  <si>
    <t>=IFERROR(SUMPRODUCT(('Planning Engine'!$B$4:$B$2500="188mg LP")*('Planning Engine'!$A$4:$A$2500=DATE(2026,2,1))*'Planning Engine'!$U$4:$U$2500),"--")</t>
  </si>
  <si>
    <t>=IFERROR(SUMPRODUCT(('Planning Engine'!$B$4:$B$2500="188mg LP")*('Planning Engine'!$A$4:$A$2500=DATE(2026,3,1))*'Planning Engine'!$U$4:$U$2500),"--")</t>
  </si>
  <si>
    <t>=IFERROR(SUMPRODUCT(('Planning Engine'!$B$4:$B$2500="188mg LP")*('Planning Engine'!$A$4:$A$2500=DATE(2026,4,1))*'Planning Engine'!$U$4:$U$2500),"--")</t>
  </si>
  <si>
    <t>=IFERROR(SUMPRODUCT(('Planning Engine'!$B$4:$B$2500="188mg LP")*('Planning Engine'!$A$4:$A$2500=DATE(2026,5,1))*'Planning Engine'!$U$4:$U$2500),"--")</t>
  </si>
  <si>
    <t>=IFERROR(SUMPRODUCT(('Planning Engine'!$B$4:$B$2500="188mg LP")*('Planning Engine'!$A$4:$A$2500=DATE(2026,6,1))*'Planning Engine'!$U$4:$U$2500),"--")</t>
  </si>
  <si>
    <t>=IFERROR(SUMPRODUCT(('Planning Engine'!$B$4:$B$2500="188mg LP")*('Planning Engine'!$A$4:$A$2500=DATE(2026,7,1))*'Planning Engine'!$U$4:$U$2500),"--")</t>
  </si>
  <si>
    <t>=IFERROR(SUMPRODUCT(('Planning Engine'!$B$4:$B$2500="188mg LP")*('Planning Engine'!$A$4:$A$2500=DATE(2026,8,1))*'Planning Engine'!$U$4:$U$2500),"--")</t>
  </si>
  <si>
    <t>=IFERROR(SUMPRODUCT(('Planning Engine'!$B$4:$B$2500="188mg LP")*('Planning Engine'!$A$4:$A$2500=DATE(2026,9,1))*'Planning Engine'!$U$4:$U$2500),"--")</t>
  </si>
  <si>
    <t>=IFERROR(SUMPRODUCT(('Planning Engine'!$B$4:$B$2500="188mg LP")*('Planning Engine'!$A$4:$A$2500=DATE(2026,10,1))*'Planning Engine'!$U$4:$U$2500),"--")</t>
  </si>
  <si>
    <t>=IFERROR(SUMPRODUCT(('Planning Engine'!$B$4:$B$2500="188mg LP")*('Planning Engine'!$A$4:$A$2500=DATE(2026,11,1))*'Planning Engine'!$U$4:$U$2500),"--")</t>
  </si>
  <si>
    <t>=IFERROR(SUMPRODUCT(('Planning Engine'!$B$4:$B$2500="188mg LP")*('Planning Engine'!$A$4:$A$2500=DATE(2026,12,1))*'Planning Engine'!$U$4:$U$2500),"--")</t>
  </si>
  <si>
    <t>=IFERROR(SUMPRODUCT(('Planning Engine'!$B$4:$B$2500="188mg LP")*('Planning Engine'!$A$4:$A$2500=DATE(2027,1,1))*'Planning Engine'!$U$4:$U$2500),"--")</t>
  </si>
  <si>
    <t>=IFERROR(SUMPRODUCT(('Planning Engine'!$B$4:$B$2500="188mg LP")*('Planning Engine'!$A$4:$A$2500=DATE(2027,2,1))*'Planning Engine'!$U$4:$U$2500),"--")</t>
  </si>
  <si>
    <t>=IFERROR(SUMPRODUCT(('Planning Engine'!$B$4:$B$2500="188mg LP")*('Planning Engine'!$A$4:$A$2500=DATE(2027,3,1))*'Planning Engine'!$U$4:$U$2500),"--")</t>
  </si>
  <si>
    <t>=IFERROR(SUMPRODUCT(('Planning Engine'!$B$4:$B$2500="188mg LP")*('Planning Engine'!$A$4:$A$2500=DATE(2027,4,1))*'Planning Engine'!$U$4:$U$2500),"--")</t>
  </si>
  <si>
    <t>=IFERROR(SUMPRODUCT(('Planning Engine'!$B$4:$B$2500="188mg LP")*('Planning Engine'!$A$4:$A$2500=DATE(2027,5,1))*'Planning Engine'!$U$4:$U$2500),"--")</t>
  </si>
  <si>
    <t>=IFERROR(SUMPRODUCT(('Planning Engine'!$B$4:$B$2500="188mg LP")*('Planning Engine'!$A$4:$A$2500=DATE(2027,6,1))*'Planning Engine'!$U$4:$U$2500),"--")</t>
  </si>
  <si>
    <t>=IFERROR(SUMPRODUCT(('Planning Engine'!$B$4:$B$2500="188mg LP")*('Planning Engine'!$A$4:$A$2500=DATE(2027,7,1))*'Planning Engine'!$U$4:$U$2500),"--")</t>
  </si>
  <si>
    <t>=IFERROR(SUMPRODUCT(('Planning Engine'!$B$4:$B$2500="188mg LP")*('Planning Engine'!$A$4:$A$2500=DATE(2027,8,1))*'Planning Engine'!$U$4:$U$2500),"--")</t>
  </si>
  <si>
    <t>=IFERROR(SUMPRODUCT(('Planning Engine'!$B$4:$B$2500="188mg LP")*('Planning Engine'!$A$4:$A$2500=DATE(2027,9,1))*'Planning Engine'!$U$4:$U$2500),"--")</t>
  </si>
  <si>
    <t>=IFERROR(SUMPRODUCT(('Planning Engine'!$B$4:$B$2500="188mg LP")*('Planning Engine'!$A$4:$A$2500=DATE(2027,10,1))*'Planning Engine'!$U$4:$U$2500),"--")</t>
  </si>
  <si>
    <t>=IFERROR(SUMPRODUCT(('Planning Engine'!$B$4:$B$2500="188mg LP")*('Planning Engine'!$A$4:$A$2500=DATE(2027,11,1))*'Planning Engine'!$U$4:$U$2500),"--")</t>
  </si>
  <si>
    <t>=IFERROR(SUMPRODUCT(('Planning Engine'!$B$4:$B$2500="188mg LP")*('Planning Engine'!$A$4:$A$2500=DATE(2027,12,1))*'Planning Engine'!$U$4:$U$2500),"--")</t>
  </si>
  <si>
    <t>=IFERROR(SUMPRODUCT(('Planning Engine'!$B$4:$B$2500="188mg LP")*('Planning Engine'!$A$4:$A$2500=DATE(2028,1,1))*'Planning Engine'!$U$4:$U$2500),"--")</t>
  </si>
  <si>
    <t>=IFERROR(SUMPRODUCT(('Planning Engine'!$B$4:$B$2500="188mg LP")*('Planning Engine'!$A$4:$A$2500=DATE(2028,2,1))*'Planning Engine'!$U$4:$U$2500),"--")</t>
  </si>
  <si>
    <t>=IFERROR(SUMPRODUCT(('Planning Engine'!$B$4:$B$2500="188mg LP")*('Planning Engine'!$A$4:$A$2500=DATE(2028,3,1))*'Planning Engine'!$U$4:$U$2500),"--")</t>
  </si>
  <si>
    <t>=IFERROR(SUMPRODUCT(('Planning Engine'!$B$4:$B$2500="188mg LP")*('Planning Engine'!$A$4:$A$2500=DATE(2028,4,1))*'Planning Engine'!$U$4:$U$2500),"--")</t>
  </si>
  <si>
    <t>=IFERROR(SUMPRODUCT(('Planning Engine'!$B$4:$B$2500="188mg LP")*('Planning Engine'!$A$4:$A$2500=DATE(2028,5,1))*'Planning Engine'!$U$4:$U$2500),"--")</t>
  </si>
  <si>
    <t>=IFERROR(SUMPRODUCT(('Planning Engine'!$B$4:$B$2500="188mg LP")*('Planning Engine'!$A$4:$A$2500=DATE(2028,6,1))*'Planning Engine'!$U$4:$U$2500),"--")</t>
  </si>
  <si>
    <t>=IFERROR(SUMPRODUCT(('Planning Engine'!$B$4:$B$2500="188mg LP")*('Planning Engine'!$A$4:$A$2500=DATE(2028,7,1))*'Planning Engine'!$U$4:$U$2500),"--")</t>
  </si>
  <si>
    <t>=IFERROR(SUMPRODUCT(('Planning Engine'!$B$4:$B$2500="188mg LP")*('Planning Engine'!$A$4:$A$2500=DATE(2028,8,1))*'Planning Engine'!$U$4:$U$2500),"--")</t>
  </si>
  <si>
    <t>=IFERROR(SUMPRODUCT(('Planning Engine'!$B$4:$B$2500="188mg LP")*('Planning Engine'!$A$4:$A$2500=DATE(2028,9,1))*'Planning Engine'!$U$4:$U$2500),"--")</t>
  </si>
  <si>
    <t>=IFERROR(SUMPRODUCT(('Planning Engine'!$B$4:$B$2500="188mg LP")*('Planning Engine'!$A$4:$A$2500=DATE(2028,10,1))*'Planning Engine'!$U$4:$U$2500),"--")</t>
  </si>
  <si>
    <t>=IFERROR(SUMPRODUCT(('Planning Engine'!$B$4:$B$2500="188mg LP")*('Planning Engine'!$A$4:$A$2500=DATE(2028,11,1))*'Planning Engine'!$U$4:$U$2500),"--")</t>
  </si>
  <si>
    <t>=IFERROR(SUMPRODUCT(('Planning Engine'!$B$4:$B$2500="188mg LP")*('Planning Engine'!$A$4:$A$2500=DATE(2028,12,1))*'Planning Engine'!$U$4:$U$2500),"--")</t>
  </si>
  <si>
    <t>=IFERROR(SUMPRODUCT(('Planning Engine'!$B$4:$B$2500="188mg LP")*('Planning Engine'!$A$4:$A$2500=DATE(2029,1,1))*'Planning Engine'!$U$4:$U$2500),"--")</t>
  </si>
  <si>
    <t>=IFERROR(SUMPRODUCT(('Planning Engine'!$B$4:$B$2500="188mg LP")*('Planning Engine'!$A$4:$A$2500=DATE(2029,2,1))*'Planning Engine'!$U$4:$U$2500),"--")</t>
  </si>
  <si>
    <t>=IFERROR(SUMPRODUCT(('Planning Engine'!$B$4:$B$2500="188mg LP")*('Planning Engine'!$A$4:$A$2500=DATE(2029,3,1))*'Planning Engine'!$U$4:$U$2500),"--")</t>
  </si>
  <si>
    <t>=IFERROR(SUMPRODUCT(('Planning Engine'!$B$4:$B$2500="188mg LP")*('Planning Engine'!$A$4:$A$2500=DATE(2029,4,1))*'Planning Engine'!$U$4:$U$2500),"--")</t>
  </si>
  <si>
    <t>=IFERROR(SUMPRODUCT(('Planning Engine'!$B$4:$B$2500="188mg LP")*('Planning Engine'!$A$4:$A$2500=DATE(2029,5,1))*'Planning Engine'!$U$4:$U$2500),"--")</t>
  </si>
  <si>
    <t>=IFERROR(SUMPRODUCT(('Planning Engine'!$B$4:$B$2500="188mg LP")*('Planning Engine'!$A$4:$A$2500=DATE(2029,6,1))*'Planning Engine'!$U$4:$U$2500),"--")</t>
  </si>
  <si>
    <t>=IFERROR(SUMPRODUCT(('Planning Engine'!$B$4:$B$2500="188mg LP")*('Planning Engine'!$A$4:$A$2500=DATE(2029,7,1))*'Planning Engine'!$U$4:$U$2500),"--")</t>
  </si>
  <si>
    <t>=IFERROR(SUMPRODUCT(('Planning Engine'!$B$4:$B$2500="188mg LP")*('Planning Engine'!$A$4:$A$2500=DATE(2029,8,1))*'Planning Engine'!$U$4:$U$2500),"--")</t>
  </si>
  <si>
    <t>=IFERROR(SUMPRODUCT(('Planning Engine'!$B$4:$B$2500="188mg LP")*('Planning Engine'!$A$4:$A$2500=DATE(2029,9,1))*'Planning Engine'!$U$4:$U$2500),"--")</t>
  </si>
  <si>
    <t>=IFERROR(SUMPRODUCT(('Planning Engine'!$B$4:$B$2500="188mg LP")*('Planning Engine'!$A$4:$A$2500=DATE(2029,10,1))*'Planning Engine'!$U$4:$U$2500),"--")</t>
  </si>
  <si>
    <t>=IFERROR(SUMPRODUCT(('Planning Engine'!$B$4:$B$2500="188mg LP")*('Planning Engine'!$A$4:$A$2500=DATE(2029,11,1))*'Planning Engine'!$U$4:$U$2500),"--")</t>
  </si>
  <si>
    <t>=IFERROR(SUMPRODUCT(('Planning Engine'!$B$4:$B$2500="188mg LP")*('Planning Engine'!$A$4:$A$2500=DATE(2029,12,1))*'Planning Engine'!$U$4:$U$2500),"--")</t>
  </si>
  <si>
    <t>=IFERROR(SUMPRODUCT(('Planning Engine'!$B$4:$B$2500="188mg LP")*('Planning Engine'!$A$4:$A$2500=DATE(2030,1,1))*'Planning Engine'!$U$4:$U$2500),"--")</t>
  </si>
  <si>
    <t>=IFERROR(SUMPRODUCT(('Planning Engine'!$B$4:$B$2500="188mg LP")*('Planning Engine'!$A$4:$A$2500=DATE(2030,2,1))*'Planning Engine'!$U$4:$U$2500),"--")</t>
  </si>
  <si>
    <t>=IFERROR(SUMPRODUCT(('Planning Engine'!$B$4:$B$2500="188mg LP")*('Planning Engine'!$A$4:$A$2500=DATE(2030,3,1))*'Planning Engine'!$U$4:$U$2500),"--")</t>
  </si>
  <si>
    <t>=IFERROR(SUMPRODUCT(('Planning Engine'!$B$4:$B$2500="188mg LP")*('Planning Engine'!$A$4:$A$2500=DATE(2030,4,1))*'Planning Engine'!$U$4:$U$2500),"--")</t>
  </si>
  <si>
    <t>=IFERROR(SUMPRODUCT(('Planning Engine'!$B$4:$B$2500="188mg LP")*('Planning Engine'!$A$4:$A$2500=DATE(2030,5,1))*'Planning Engine'!$U$4:$U$2500),"--")</t>
  </si>
  <si>
    <t>=IFERROR(SUMPRODUCT(('Planning Engine'!$B$4:$B$2500="188mg LP")*('Planning Engine'!$A$4:$A$2500=DATE(2030,6,1))*'Planning Engine'!$U$4:$U$2500),"--")</t>
  </si>
  <si>
    <t>=IFERROR(SUMPRODUCT(('Planning Engine'!$B$4:$B$2500="188mg LP")*('Planning Engine'!$A$4:$A$2500=DATE(2030,7,1))*'Planning Engine'!$U$4:$U$2500),"--")</t>
  </si>
  <si>
    <t>=IFERROR(SUMPRODUCT(('Planning Engine'!$B$4:$B$2500="188mg LP")*('Planning Engine'!$A$4:$A$2500=DATE(2030,8,1))*'Planning Engine'!$U$4:$U$2500),"--")</t>
  </si>
  <si>
    <t>=IFERROR(SUMPRODUCT(('Planning Engine'!$B$4:$B$2500="188mg LP")*('Planning Engine'!$A$4:$A$2500=DATE(2030,9,1))*'Planning Engine'!$U$4:$U$2500),"--")</t>
  </si>
  <si>
    <t>=IFERROR(SUMPRODUCT(('Planning Engine'!$B$4:$B$2500="188mg LP")*('Planning Engine'!$A$4:$A$2500=DATE(2030,10,1))*'Planning Engine'!$U$4:$U$2500),"--")</t>
  </si>
  <si>
    <t>=IFERROR(SUMPRODUCT(('Planning Engine'!$B$4:$B$2500="188mg LP")*('Planning Engine'!$A$4:$A$2500=DATE(2030,11,1))*'Planning Engine'!$U$4:$U$2500),"--")</t>
  </si>
  <si>
    <t>=IFERROR(SUMPRODUCT(('Planning Engine'!$B$4:$B$2500="188mg LP")*('Planning Engine'!$A$4:$A$2500=DATE(2030,12,1))*'Planning Engine'!$U$4:$U$2500),"--")</t>
  </si>
  <si>
    <t>=IFERROR(SUMPRODUCT(('Planning Engine'!$B$4:$B$2500="188mg LP")*('Planning Engine'!$A$4:$A$2500=DATE(2031,1,1))*'Planning Engine'!$U$4:$U$2500),"--")</t>
  </si>
  <si>
    <t>=IFERROR(SUMPRODUCT(('Planning Engine'!$B$4:$B$2500="188mg LP")*('Planning Engine'!$A$4:$A$2500=DATE(2031,2,1))*'Planning Engine'!$U$4:$U$2500),"--")</t>
  </si>
  <si>
    <t>=IFERROR(SUMPRODUCT(('Planning Engine'!$B$4:$B$2500="188mg LP")*('Planning Engine'!$A$4:$A$2500=DATE(2031,3,1))*'Planning Engine'!$U$4:$U$2500),"--")</t>
  </si>
  <si>
    <t>=IFERROR(SUMPRODUCT(('Planning Engine'!$B$4:$B$2500="188mg LP")*('Planning Engine'!$A$4:$A$2500=DATE(2031,4,1))*'Planning Engine'!$U$4:$U$2500),"--")</t>
  </si>
  <si>
    <t>=IFERROR(SUMPRODUCT(('Planning Engine'!$B$4:$B$2500="188mg LP")*('Planning Engine'!$A$4:$A$2500=DATE(2031,5,1))*'Planning Engine'!$U$4:$U$2500),"--")</t>
  </si>
  <si>
    <t>=IFERROR(SUMPRODUCT(('Planning Engine'!$B$4:$B$2500="188mg LP")*('Planning Engine'!$A$4:$A$2500=DATE(2031,6,1))*'Planning Engine'!$U$4:$U$2500),"--")</t>
  </si>
  <si>
    <t>=IFERROR(SUMPRODUCT(('Planning Engine'!$B$4:$B$2500="188mg LP")*('Planning Engine'!$A$4:$A$2500=DATE(2031,7,1))*'Planning Engine'!$U$4:$U$2500),"--")</t>
  </si>
  <si>
    <t>=IFERROR(SUMPRODUCT(('Planning Engine'!$B$4:$B$2500="188mg LP")*('Planning Engine'!$A$4:$A$2500=DATE(2031,8,1))*'Planning Engine'!$U$4:$U$2500),"--")</t>
  </si>
  <si>
    <t>=IFERROR(SUMPRODUCT(('Planning Engine'!$B$4:$B$2500="188mg LP")*('Planning Engine'!$A$4:$A$2500=DATE(2031,9,1))*'Planning Engine'!$U$4:$U$2500),"--")</t>
  </si>
  <si>
    <t>=IFERROR(SUMPRODUCT(('Planning Engine'!$B$4:$B$2500="188mg LP")*('Planning Engine'!$A$4:$A$2500=DATE(2031,10,1))*'Planning Engine'!$U$4:$U$2500),"--")</t>
  </si>
  <si>
    <t>=IFERROR(SUMPRODUCT(('Planning Engine'!$B$4:$B$2500="188mg LP")*('Planning Engine'!$A$4:$A$2500=DATE(2031,11,1))*'Planning Engine'!$U$4:$U$2500),"--")</t>
  </si>
  <si>
    <t>=IFERROR(SUMPRODUCT(('Planning Engine'!$B$4:$B$2500="188mg LP")*('Planning Engine'!$A$4:$A$2500=DATE(2031,12,1))*'Planning Engine'!$U$4:$U$2500),"--")</t>
  </si>
  <si>
    <t>=IFERROR(SUMPRODUCT(('Planning Engine'!$B$4:$B$2500="188mg LP")*('Planning Engine'!$A$4:$A$2500=DATE(2032,1,1))*'Planning Engine'!$U$4:$U$2500),"--")</t>
  </si>
  <si>
    <t>=IFERROR(SUMPRODUCT(('Planning Engine'!$B$4:$B$2500="188mg LP")*('Planning Engine'!$A$4:$A$2500=DATE(2032,2,1))*'Planning Engine'!$U$4:$U$2500),"--")</t>
  </si>
  <si>
    <t>=IFERROR(SUMPRODUCT(('Planning Engine'!$B$4:$B$2500="188mg LP")*('Planning Engine'!$A$4:$A$2500=DATE(2032,3,1))*'Planning Engine'!$U$4:$U$2500),"--")</t>
  </si>
  <si>
    <t>=IFERROR(SUMPRODUCT(('Planning Engine'!$B$4:$B$2500="188mg LP")*('Planning Engine'!$A$4:$A$2500=DATE(2032,4,1))*'Planning Engine'!$U$4:$U$2500),"--")</t>
  </si>
  <si>
    <t>=IFERROR(SUMPRODUCT(('Planning Engine'!$B$4:$B$2500="188mg LP")*('Planning Engine'!$A$4:$A$2500=DATE(2032,5,1))*'Planning Engine'!$U$4:$U$2500),"--")</t>
  </si>
  <si>
    <t>=IFERROR(SUMPRODUCT(('Planning Engine'!$B$4:$B$2500="188mg LP")*('Planning Engine'!$A$4:$A$2500=DATE(2032,6,1))*'Planning Engine'!$U$4:$U$2500),"--")</t>
  </si>
  <si>
    <t>=IFERROR(SUMPRODUCT(('Planning Engine'!$B$4:$B$2500="188mg LP")*('Planning Engine'!$A$4:$A$2500=DATE(2032,7,1))*'Planning Engine'!$U$4:$U$2500),"--")</t>
  </si>
  <si>
    <t>=IFERROR(SUMPRODUCT(('Planning Engine'!$B$4:$B$2500="188mg LP")*('Planning Engine'!$A$4:$A$2500=DATE(2032,8,1))*'Planning Engine'!$U$4:$U$2500),"--")</t>
  </si>
  <si>
    <t>=IFERROR(SUMPRODUCT(('Planning Engine'!$B$4:$B$2500="188mg LP")*('Planning Engine'!$A$4:$A$2500=DATE(2032,9,1))*'Planning Engine'!$U$4:$U$2500),"--")</t>
  </si>
  <si>
    <t>=IFERROR(SUMPRODUCT(('Planning Engine'!$B$4:$B$2500="188mg LP")*('Planning Engine'!$A$4:$A$2500=DATE(2032,10,1))*'Planning Engine'!$U$4:$U$2500),"--")</t>
  </si>
  <si>
    <t>=IFERROR(SUMPRODUCT(('Planning Engine'!$B$4:$B$2500="188mg LP")*('Planning Engine'!$A$4:$A$2500=DATE(2032,11,1))*'Planning Engine'!$U$4:$U$2500),"--")</t>
  </si>
  <si>
    <t>=IFERROR(SUMPRODUCT(('Planning Engine'!$B$4:$B$2500="188mg LP")*('Planning Engine'!$A$4:$A$2500=DATE(2032,12,1))*'Planning Engine'!$U$4:$U$2500),"--")</t>
  </si>
  <si>
    <t>=IFERROR(SUMPRODUCT(('Planning Engine'!$B$4:$B$2500="188mg LP")*('Planning Engine'!$A$4:$A$2500=DATE(2033,1,1))*'Planning Engine'!$U$4:$U$2500),"--")</t>
  </si>
  <si>
    <t>=IFERROR(SUMPRODUCT(('Planning Engine'!$B$4:$B$2500="188mg LP")*('Planning Engine'!$A$4:$A$2500=DATE(2033,2,1))*'Planning Engine'!$U$4:$U$2500),"--")</t>
  </si>
  <si>
    <t>=IFERROR(SUMPRODUCT(('Planning Engine'!$B$4:$B$2500="188mg LP")*('Planning Engine'!$A$4:$A$2500=DATE(2033,3,1))*'Planning Engine'!$U$4:$U$2500),"--")</t>
  </si>
  <si>
    <t>=IFERROR(SUMPRODUCT(('Planning Engine'!$B$4:$B$2500="188mg LP")*('Planning Engine'!$A$4:$A$2500=DATE(2033,4,1))*'Planning Engine'!$U$4:$U$2500),"--")</t>
  </si>
  <si>
    <t>=IFERROR(SUMPRODUCT(('Planning Engine'!$B$4:$B$2500="188mg LP")*('Planning Engine'!$A$4:$A$2500=DATE(2033,5,1))*'Planning Engine'!$U$4:$U$2500),"--")</t>
  </si>
  <si>
    <t>=IFERROR(SUMPRODUCT(('Planning Engine'!$B$4:$B$2500="188mg LP")*('Planning Engine'!$A$4:$A$2500=DATE(2033,6,1))*'Planning Engine'!$U$4:$U$2500),"--")</t>
  </si>
  <si>
    <t>=IFERROR(SUMPRODUCT(('Planning Engine'!$B$4:$B$2500="188mg LP")*('Planning Engine'!$A$4:$A$2500=DATE(2033,7,1))*'Planning Engine'!$U$4:$U$2500),"--")</t>
  </si>
  <si>
    <t>=IFERROR(SUMPRODUCT(('Planning Engine'!$B$4:$B$2500="188mg LP")*('Planning Engine'!$A$4:$A$2500=DATE(2033,8,1))*'Planning Engine'!$U$4:$U$2500),"--")</t>
  </si>
  <si>
    <t>=IFERROR(SUMPRODUCT(('Planning Engine'!$B$4:$B$2500="188mg LP")*('Planning Engine'!$A$4:$A$2500=DATE(2033,9,1))*'Planning Engine'!$U$4:$U$2500),"--")</t>
  </si>
  <si>
    <t>=IFERROR(SUMPRODUCT(('Planning Engine'!$B$4:$B$2500="188mg LP")*('Planning Engine'!$A$4:$A$2500=DATE(2033,10,1))*'Planning Engine'!$U$4:$U$2500),"--")</t>
  </si>
  <si>
    <t>=IFERROR(SUMPRODUCT(('Planning Engine'!$B$4:$B$2500="188mg LP")*('Planning Engine'!$A$4:$A$2500=DATE(2033,11,1))*'Planning Engine'!$U$4:$U$2500),"--")</t>
  </si>
  <si>
    <t>=IFERROR(SUMPRODUCT(('Planning Engine'!$B$4:$B$2500="188mg LP")*('Planning Engine'!$A$4:$A$2500=DATE(2033,12,1))*'Planning Engine'!$U$4:$U$2500),"--")</t>
  </si>
  <si>
    <t>=IFERROR(SUMPRODUCT(('Planning Engine'!$B$4:$B$2500="188mg LP")*('Planning Engine'!$A$4:$A$2500=DATE(2034,1,1))*'Planning Engine'!$U$4:$U$2500),"--")</t>
  </si>
  <si>
    <t>=IFERROR(SUMPRODUCT(('Planning Engine'!$B$4:$B$2500="188mg LP")*('Planning Engine'!$A$4:$A$2500=DATE(2034,2,1))*'Planning Engine'!$U$4:$U$2500),"--")</t>
  </si>
  <si>
    <t>=IFERROR(SUMPRODUCT(('Planning Engine'!$B$4:$B$2500="188mg LP")*('Planning Engine'!$A$4:$A$2500=DATE(2034,3,1))*'Planning Engine'!$U$4:$U$2500),"--")</t>
  </si>
  <si>
    <t>=IFERROR(SUMPRODUCT(('Planning Engine'!$B$4:$B$2500="188mg LP")*('Planning Engine'!$A$4:$A$2500=DATE(2034,4,1))*'Planning Engine'!$U$4:$U$2500),"--")</t>
  </si>
  <si>
    <t>=IFERROR(SUMPRODUCT(('Planning Engine'!$B$4:$B$2500="188mg LP")*('Planning Engine'!$A$4:$A$2500=DATE(2034,5,1))*'Planning Engine'!$U$4:$U$2500),"--")</t>
  </si>
  <si>
    <t>=IFERROR(SUMPRODUCT(('Planning Engine'!$B$4:$B$2500="188mg LP")*('Planning Engine'!$A$4:$A$2500=DATE(2034,6,1))*'Planning Engine'!$U$4:$U$2500),"--")</t>
  </si>
  <si>
    <t>=IFERROR(SUMPRODUCT(('Planning Engine'!$B$4:$B$2500="188mg LP")*('Planning Engine'!$A$4:$A$2500=DATE(2034,7,1))*'Planning Engine'!$U$4:$U$2500),"--")</t>
  </si>
  <si>
    <t>=IFERROR(SUMPRODUCT(('Planning Engine'!$B$4:$B$2500="188mg LP")*('Planning Engine'!$A$4:$A$2500=DATE(2034,8,1))*'Planning Engine'!$U$4:$U$2500),"--")</t>
  </si>
  <si>
    <t>=IFERROR(SUMPRODUCT(('Planning Engine'!$B$4:$B$2500="188mg LP")*('Planning Engine'!$A$4:$A$2500=DATE(2034,9,1))*'Planning Engine'!$U$4:$U$2500),"--")</t>
  </si>
  <si>
    <t>=IFERROR(SUMPRODUCT(('Planning Engine'!$B$4:$B$2500="188mg LP")*('Planning Engine'!$A$4:$A$2500=DATE(2034,10,1))*'Planning Engine'!$U$4:$U$2500),"--")</t>
  </si>
  <si>
    <t>=IFERROR(SUMPRODUCT(('Planning Engine'!$B$4:$B$2500="188mg LP")*('Planning Engine'!$A$4:$A$2500=DATE(2034,11,1))*'Planning Engine'!$U$4:$U$2500),"--")</t>
  </si>
  <si>
    <t>=IFERROR(SUMPRODUCT(('Planning Engine'!$B$4:$B$2500="188mg LP")*('Planning Engine'!$A$4:$A$2500=DATE(2034,12,1))*'Planning Engine'!$U$4:$U$2500),"--")</t>
  </si>
  <si>
    <t>=IFERROR(SUMPRODUCT(('Planning Engine'!$B$4:$B$2500="188mg LP")*('Planning Engine'!$A$4:$A$2500=DATE(2035,1,1))*'Planning Engine'!$U$4:$U$2500),"--")</t>
  </si>
  <si>
    <t>=IFERROR(SUMPRODUCT(('Planning Engine'!$B$4:$B$2500="188mg LP")*('Planning Engine'!$A$4:$A$2500=DATE(2035,2,1))*'Planning Engine'!$U$4:$U$2500),"--")</t>
  </si>
  <si>
    <t>=IFERROR(SUMPRODUCT(('Planning Engine'!$B$4:$B$2500="188mg LP")*('Planning Engine'!$A$4:$A$2500=DATE(2035,3,1))*'Planning Engine'!$U$4:$U$2500),"--")</t>
  </si>
  <si>
    <t>=IFERROR(SUMPRODUCT(('Planning Engine'!$B$4:$B$2500="188mg LP")*('Planning Engine'!$A$4:$A$2500=DATE(2035,4,1))*'Planning Engine'!$U$4:$U$2500),"--")</t>
  </si>
  <si>
    <t>=IFERROR(SUMPRODUCT(('Planning Engine'!$B$4:$B$2500="188mg LP")*('Planning Engine'!$A$4:$A$2500=DATE(2035,5,1))*'Planning Engine'!$U$4:$U$2500),"--")</t>
  </si>
  <si>
    <t>=IFERROR(SUMPRODUCT(('Planning Engine'!$B$4:$B$2500="188mg LP")*('Planning Engine'!$A$4:$A$2500=DATE(2035,6,1))*'Planning Engine'!$U$4:$U$2500),"--")</t>
  </si>
  <si>
    <t>=IFERROR(SUMPRODUCT(('Planning Engine'!$B$4:$B$2500="188mg LP")*('Planning Engine'!$A$4:$A$2500=DATE(2035,7,1))*'Planning Engine'!$U$4:$U$2500),"--")</t>
  </si>
  <si>
    <t>=IFERROR(SUMPRODUCT(('Planning Engine'!$B$4:$B$2500="188mg LP")*('Planning Engine'!$A$4:$A$2500=DATE(2035,8,1))*'Planning Engine'!$U$4:$U$2500),"--")</t>
  </si>
  <si>
    <t>=IFERROR(SUMPRODUCT(('Planning Engine'!$B$4:$B$2500="188mg LP")*('Planning Engine'!$A$4:$A$2500=DATE(2035,9,1))*'Planning Engine'!$U$4:$U$2500),"--")</t>
  </si>
  <si>
    <t>=IFERROR(SUMPRODUCT(('Planning Engine'!$B$4:$B$2500="188mg LP")*('Planning Engine'!$A$4:$A$2500=DATE(2035,10,1))*'Planning Engine'!$U$4:$U$2500),"--")</t>
  </si>
  <si>
    <t>=IFERROR(SUMPRODUCT(('Planning Engine'!$B$4:$B$2500="188mg LP")*('Planning Engine'!$A$4:$A$2500=DATE(2035,11,1))*'Planning Engine'!$U$4:$U$2500),"--")</t>
  </si>
  <si>
    <t>=IFERROR(SUMPRODUCT(('Planning Engine'!$B$4:$B$2500="188mg LP")*('Planning Engine'!$A$4:$A$2500=DATE(2035,12,1))*'Planning Engine'!$U$4:$U$2500),"--")</t>
  </si>
  <si>
    <t>=IFERROR(SUMPRODUCT(('Planning Engine'!$B$4:$B$2500="188mg LP")*('Planning Engine'!$A$4:$A$2500=DATE(2036,1,1))*'Planning Engine'!$U$4:$U$2500),"--")</t>
  </si>
  <si>
    <t>=IFERROR(SUMPRODUCT(('Planning Engine'!$B$4:$B$2500="188mg LP")*('Planning Engine'!$A$4:$A$2500=DATE(2036,2,1))*'Planning Engine'!$U$4:$U$2500),"--")</t>
  </si>
  <si>
    <t>=IFERROR(SUMPRODUCT(('Planning Engine'!$B$4:$B$2500="188mg LP")*('Planning Engine'!$A$4:$A$2500=DATE(2036,3,1))*'Planning Engine'!$U$4:$U$2500),"--")</t>
  </si>
  <si>
    <t>=IFERROR(SUMPRODUCT(('Planning Engine'!$B$4:$B$2500="188mg LP")*('Planning Engine'!$A$4:$A$2500=DATE(2036,4,1))*'Planning Engine'!$U$4:$U$2500),"--")</t>
  </si>
  <si>
    <t>=IFERROR(SUMPRODUCT(('Planning Engine'!$B$4:$B$2500="188mg LP")*('Planning Engine'!$A$4:$A$2500=DATE(2036,5,1))*'Planning Engine'!$U$4:$U$2500),"--")</t>
  </si>
  <si>
    <t>=IFERROR(SUMPRODUCT(('Planning Engine'!$B$4:$B$2500="188mg LP")*('Planning Engine'!$A$4:$A$2500=DATE(2036,6,1))*'Planning Engine'!$U$4:$U$2500),"--")</t>
  </si>
  <si>
    <t>=IFERROR(SUMPRODUCT(('Planning Engine'!$B$4:$B$2500="188mg LP")*('Planning Engine'!$A$4:$A$2500=DATE(2036,7,1))*'Planning Engine'!$U$4:$U$2500),"--")</t>
  </si>
  <si>
    <t>=IFERROR(SUMPRODUCT(('Planning Engine'!$B$4:$B$2500="188mg LP")*('Planning Engine'!$A$4:$A$2500=DATE(2036,8,1))*'Planning Engine'!$U$4:$U$2500),"--")</t>
  </si>
  <si>
    <t>=IFERROR(SUMPRODUCT(('Planning Engine'!$B$4:$B$2500="188mg LP")*('Planning Engine'!$A$4:$A$2500=DATE(2036,9,1))*'Planning Engine'!$U$4:$U$2500),"--")</t>
  </si>
  <si>
    <t>=IFERROR(SUMPRODUCT(('Planning Engine'!$B$4:$B$2500="188mg LP")*('Planning Engine'!$A$4:$A$2500=DATE(2036,10,1))*'Planning Engine'!$U$4:$U$2500),"--")</t>
  </si>
  <si>
    <t>=IFERROR(SUMPRODUCT(('Planning Engine'!$B$4:$B$2500="188mg LP")*('Planning Engine'!$A$4:$A$2500=DATE(2036,11,1))*'Planning Engine'!$U$4:$U$2500),"--")</t>
  </si>
  <si>
    <t>=IFERROR(SUMPRODUCT(('Planning Engine'!$B$4:$B$2500="188mg LP")*('Planning Engine'!$A$4:$A$2500=DATE(2036,12,1))*'Planning Engine'!$U$4:$U$2500),"--")</t>
  </si>
  <si>
    <t>=IFERROR(SUMPRODUCT(('Planning Engine'!$B$4:$B$2500="188mg LP")*('Planning Engine'!$A$4:$A$2500=DATE(2037,1,1))*'Planning Engine'!$U$4:$U$2500),"--")</t>
  </si>
  <si>
    <t>=IFERROR(SUMPRODUCT(('Planning Engine'!$B$4:$B$2500="188mg LP")*('Planning Engine'!$A$4:$A$2500=DATE(2037,2,1))*'Planning Engine'!$U$4:$U$2500),"--")</t>
  </si>
  <si>
    <t>=IFERROR(SUMPRODUCT(('Planning Engine'!$B$4:$B$2500="188mg LP")*('Planning Engine'!$A$4:$A$2500=DATE(2037,3,1))*'Planning Engine'!$U$4:$U$2500),"--")</t>
  </si>
  <si>
    <t>=IFERROR(SUMPRODUCT(('Planning Engine'!$B$4:$B$2500="188mg LP")*('Planning Engine'!$A$4:$A$2500=DATE(2037,4,1))*'Planning Engine'!$U$4:$U$2500),"--")</t>
  </si>
  <si>
    <t>=IFERROR(SUMPRODUCT(('Planning Engine'!$B$4:$B$2500="188mg LP")*('Planning Engine'!$A$4:$A$2500=DATE(2037,5,1))*'Planning Engine'!$U$4:$U$2500),"--")</t>
  </si>
  <si>
    <t>=IFERROR(SUMPRODUCT(('Planning Engine'!$B$4:$B$2500="188mg LP")*('Planning Engine'!$A$4:$A$2500=DATE(2037,6,1))*'Planning Engine'!$U$4:$U$2500),"--")</t>
  </si>
  <si>
    <t>=IFERROR(SUMPRODUCT(('Planning Engine'!$B$4:$B$2500="188mg LP")*('Planning Engine'!$A$4:$A$2500=DATE(2037,7,1))*'Planning Engine'!$U$4:$U$2500),"--")</t>
  </si>
  <si>
    <t>=IFERROR(SUMPRODUCT(('Planning Engine'!$B$4:$B$2500="188mg LP")*('Planning Engine'!$A$4:$A$2500=DATE(2037,8,1))*'Planning Engine'!$U$4:$U$2500),"--")</t>
  </si>
  <si>
    <t>=IFERROR(SUMPRODUCT(('Planning Engine'!$B$4:$B$2500="188mg LP")*('Planning Engine'!$A$4:$A$2500=DATE(2037,9,1))*'Planning Engine'!$U$4:$U$2500),"--")</t>
  </si>
  <si>
    <t>=IFERROR(SUMPRODUCT(('Planning Engine'!$B$4:$B$2500="188mg LP")*('Planning Engine'!$A$4:$A$2500=DATE(2037,10,1))*'Planning Engine'!$U$4:$U$2500),"--")</t>
  </si>
  <si>
    <t>=IFERROR(SUMPRODUCT(('Planning Engine'!$B$4:$B$2500="188mg LP")*('Planning Engine'!$A$4:$A$2500=DATE(2037,11,1))*'Planning Engine'!$U$4:$U$2500),"--")</t>
  </si>
  <si>
    <t>=IFERROR(SUMPRODUCT(('Planning Engine'!$B$4:$B$2500="188mg LP")*('Planning Engine'!$A$4:$A$2500=DATE(2037,12,1))*'Planning Engine'!$U$4:$U$2500),"--")</t>
  </si>
  <si>
    <t>=IFERROR(SUMPRODUCT(('Planning Engine'!$B$4:$B$2500="188mg LP")*('Planning Engine'!$A$4:$A$2500=DATE(2038,1,1))*'Planning Engine'!$U$4:$U$2500),"--")</t>
  </si>
  <si>
    <t>=IFERROR(SUMPRODUCT(('Planning Engine'!$B$4:$B$2500="188mg LP")*('Planning Engine'!$A$4:$A$2500=DATE(2038,2,1))*'Planning Engine'!$U$4:$U$2500),"--")</t>
  </si>
  <si>
    <t>=IFERROR(SUMPRODUCT(('Planning Engine'!$B$4:$B$2500="188mg LP")*('Planning Engine'!$A$4:$A$2500=DATE(2038,3,1))*'Planning Engine'!$U$4:$U$2500),"--")</t>
  </si>
  <si>
    <t>=IFERROR(SUMPRODUCT(('Planning Engine'!$B$4:$B$2500="188mg LP")*('Planning Engine'!$A$4:$A$2500=DATE(2038,4,1))*'Planning Engine'!$U$4:$U$2500),"--")</t>
  </si>
  <si>
    <t>=IFERROR(SUMPRODUCT(('Planning Engine'!$B$4:$B$2500="188mg LP")*('Planning Engine'!$A$4:$A$2500=DATE(2038,5,1))*'Planning Engine'!$U$4:$U$2500),"--")</t>
  </si>
  <si>
    <t>=IFERROR(SUMPRODUCT(('Planning Engine'!$B$4:$B$2500="188mg LP")*('Planning Engine'!$A$4:$A$2500=DATE(2038,6,1))*'Planning Engine'!$U$4:$U$2500),"--")</t>
  </si>
  <si>
    <t>=IFERROR(SUMPRODUCT(('Planning Engine'!$B$4:$B$2500="188mg LP")*('Planning Engine'!$A$4:$A$2500=DATE(2038,7,1))*'Planning Engine'!$U$4:$U$2500),"--")</t>
  </si>
  <si>
    <t>=IFERROR(SUMPRODUCT(('Planning Engine'!$B$4:$B$2500="188mg LP")*('Planning Engine'!$A$4:$A$2500=DATE(2038,8,1))*'Planning Engine'!$U$4:$U$2500),"--")</t>
  </si>
  <si>
    <t>=IFERROR(SUMPRODUCT(('Planning Engine'!$B$4:$B$2500="188mg LP")*('Planning Engine'!$A$4:$A$2500=DATE(2038,9,1))*'Planning Engine'!$U$4:$U$2500),"--")</t>
  </si>
  <si>
    <t>=IFERROR(SUMPRODUCT(('Planning Engine'!$B$4:$B$2500="188mg LP")*('Planning Engine'!$A$4:$A$2500=DATE(2038,10,1))*'Planning Engine'!$U$4:$U$2500),"--")</t>
  </si>
  <si>
    <t>=IFERROR(SUMPRODUCT(('Planning Engine'!$B$4:$B$2500="188mg LP")*('Planning Engine'!$A$4:$A$2500=DATE(2038,11,1))*'Planning Engine'!$U$4:$U$2500),"--")</t>
  </si>
  <si>
    <t>=IFERROR(SUMPRODUCT(('Planning Engine'!$B$4:$B$2500="188mg LP")*('Planning Engine'!$A$4:$A$2500=DATE(2038,12,1))*'Planning Engine'!$U$4:$U$2500),"--")</t>
  </si>
  <si>
    <t>=IFERROR(SUMPRODUCT(('Planning Engine'!$B$4:$B$2500="188mg LP")*('Planning Engine'!$A$4:$A$2500=DATE(2039,1,1))*'Planning Engine'!$U$4:$U$2500),"--")</t>
  </si>
  <si>
    <t>=IFERROR(SUMPRODUCT(('Planning Engine'!$B$4:$B$2500="188mg LP")*('Planning Engine'!$A$4:$A$2500=DATE(2039,2,1))*'Planning Engine'!$U$4:$U$2500),"--")</t>
  </si>
  <si>
    <t>=IFERROR(SUMPRODUCT(('Planning Engine'!$B$4:$B$2500="188mg LP")*('Planning Engine'!$A$4:$A$2500=DATE(2039,3,1))*'Planning Engine'!$U$4:$U$2500),"--")</t>
  </si>
  <si>
    <t>=IFERROR(SUMPRODUCT(('Planning Engine'!$B$4:$B$2500="188mg LP")*('Planning Engine'!$A$4:$A$2500=DATE(2039,4,1))*'Planning Engine'!$U$4:$U$2500),"--")</t>
  </si>
  <si>
    <t>=IFERROR(SUMPRODUCT(('Planning Engine'!$B$4:$B$2500="188mg LP")*('Planning Engine'!$A$4:$A$2500=DATE(2039,5,1))*'Planning Engine'!$U$4:$U$2500),"--")</t>
  </si>
  <si>
    <t>=IFERROR(SUMPRODUCT(('Planning Engine'!$B$4:$B$2500="188mg LP")*('Planning Engine'!$A$4:$A$2500=DATE(2039,6,1))*'Planning Engine'!$U$4:$U$2500),"--")</t>
  </si>
  <si>
    <t>=IFERROR(SUMPRODUCT(('Planning Engine'!$B$4:$B$2500="188mg LP")*('Planning Engine'!$A$4:$A$2500=DATE(2039,7,1))*'Planning Engine'!$U$4:$U$2500),"--")</t>
  </si>
  <si>
    <t>=IFERROR(SUMPRODUCT(('Planning Engine'!$B$4:$B$2500="188mg LP")*('Planning Engine'!$A$4:$A$2500=DATE(2039,8,1))*'Planning Engine'!$U$4:$U$2500),"--")</t>
  </si>
  <si>
    <t>=IFERROR(SUMPRODUCT(('Planning Engine'!$B$4:$B$2500="188mg LP")*('Planning Engine'!$A$4:$A$2500=DATE(2039,9,1))*'Planning Engine'!$U$4:$U$2500),"--")</t>
  </si>
  <si>
    <t>=IFERROR(SUMPRODUCT(('Planning Engine'!$B$4:$B$2500="188mg LP")*('Planning Engine'!$A$4:$A$2500=DATE(2039,10,1))*'Planning Engine'!$U$4:$U$2500),"--")</t>
  </si>
  <si>
    <t>=IFERROR(SUMPRODUCT(('Planning Engine'!$B$4:$B$2500="188mg LP")*('Planning Engine'!$A$4:$A$2500=DATE(2039,11,1))*'Planning Engine'!$U$4:$U$2500),"--")</t>
  </si>
  <si>
    <t>=IFERROR(SUMPRODUCT(('Planning Engine'!$B$4:$B$2500="188mg LP")*('Planning Engine'!$A$4:$A$2500=DATE(2039,12,1))*'Planning Engine'!$U$4:$U$2500),"--")</t>
  </si>
  <si>
    <t>=IFERROR(SUMPRODUCT(('Planning Engine'!$B$4:$B$2500="188mg LP")*('Planning Engine'!$A$4:$A$2500=DATE(2040,1,1))*'Planning Engine'!$U$4:$U$2500),"--")</t>
  </si>
  <si>
    <t>=IFERROR(SUMPRODUCT(('Planning Engine'!$B$4:$B$2500="188mg LP")*('Planning Engine'!$A$4:$A$2500=DATE(2040,2,1))*'Planning Engine'!$U$4:$U$2500),"--")</t>
  </si>
  <si>
    <t>=IFERROR(SUMPRODUCT(('Planning Engine'!$B$4:$B$2500="188mg LP")*('Planning Engine'!$A$4:$A$2500=DATE(2040,3,1))*'Planning Engine'!$U$4:$U$2500),"--")</t>
  </si>
  <si>
    <t>=IFERROR(SUMPRODUCT(('Planning Engine'!$B$4:$B$2500="188mg LP")*('Planning Engine'!$A$4:$A$2500=DATE(2040,4,1))*'Planning Engine'!$U$4:$U$2500),"--")</t>
  </si>
  <si>
    <t>=IFERROR(SUMPRODUCT(('Planning Engine'!$B$4:$B$2500="188mg LP")*('Planning Engine'!$A$4:$A$2500=DATE(2040,5,1))*'Planning Engine'!$U$4:$U$2500),"--")</t>
  </si>
  <si>
    <t>=IFERROR(SUMPRODUCT(('Planning Engine'!$B$4:$B$2500="188mg LP")*('Planning Engine'!$A$4:$A$2500=DATE(2040,6,1))*'Planning Engine'!$U$4:$U$2500),"--")</t>
  </si>
  <si>
    <t>=IFERROR(SUMPRODUCT(('Planning Engine'!$B$4:$B$2500="188mg LP")*('Planning Engine'!$A$4:$A$2500=DATE(2040,7,1))*'Planning Engine'!$U$4:$U$2500),"--")</t>
  </si>
  <si>
    <t>=IFERROR(SUMPRODUCT(('Planning Engine'!$B$4:$B$2500="188mg LP")*('Planning Engine'!$A$4:$A$2500=DATE(2040,8,1))*'Planning Engine'!$U$4:$U$2500),"--")</t>
  </si>
  <si>
    <t>=IFERROR(SUMPRODUCT(('Planning Engine'!$B$4:$B$2500="188mg LP")*('Planning Engine'!$A$4:$A$2500=DATE(2040,9,1))*'Planning Engine'!$U$4:$U$2500),"--")</t>
  </si>
  <si>
    <t>=IFERROR(SUMPRODUCT(('Planning Engine'!$B$4:$B$2500="188mg LP")*('Planning Engine'!$A$4:$A$2500=DATE(2040,10,1))*'Planning Engine'!$U$4:$U$2500),"--")</t>
  </si>
  <si>
    <t>=IFERROR(SUMPRODUCT(('Planning Engine'!$B$4:$B$2500="188mg LP")*('Planning Engine'!$A$4:$A$2500=DATE(2040,11,1))*'Planning Engine'!$U$4:$U$2500),"--")</t>
  </si>
  <si>
    <t>=IFERROR(SUMPRODUCT(('Planning Engine'!$B$4:$B$2500="188mg LP")*('Planning Engine'!$A$4:$A$2500=DATE(2040,12,1))*'Planning Engine'!$U$4:$U$2500),"--")</t>
  </si>
  <si>
    <t>=IFERROR(SUMPRODUCT(('Planning Engine'!$B$4:$B$2500="47mg LP")*('Planning Engine'!$A$4:$A$2500=DATE(2026,2,1))*'Planning Engine'!$U$4:$U$2500),"--")</t>
  </si>
  <si>
    <t>=IFERROR(SUMPRODUCT(('Planning Engine'!$B$4:$B$2500="47mg LP")*('Planning Engine'!$A$4:$A$2500=DATE(2026,3,1))*'Planning Engine'!$U$4:$U$2500),"--")</t>
  </si>
  <si>
    <t>=IFERROR(SUMPRODUCT(('Planning Engine'!$B$4:$B$2500="47mg LP")*('Planning Engine'!$A$4:$A$2500=DATE(2026,4,1))*'Planning Engine'!$U$4:$U$2500),"--")</t>
  </si>
  <si>
    <t>=IFERROR(SUMPRODUCT(('Planning Engine'!$B$4:$B$2500="47mg LP")*('Planning Engine'!$A$4:$A$2500=DATE(2026,5,1))*'Planning Engine'!$U$4:$U$2500),"--")</t>
  </si>
  <si>
    <t>=IFERROR(SUMPRODUCT(('Planning Engine'!$B$4:$B$2500="47mg LP")*('Planning Engine'!$A$4:$A$2500=DATE(2026,6,1))*'Planning Engine'!$U$4:$U$2500),"--")</t>
  </si>
  <si>
    <t>=IFERROR(SUMPRODUCT(('Planning Engine'!$B$4:$B$2500="47mg LP")*('Planning Engine'!$A$4:$A$2500=DATE(2026,7,1))*'Planning Engine'!$U$4:$U$2500),"--")</t>
  </si>
  <si>
    <t>=IFERROR(SUMPRODUCT(('Planning Engine'!$B$4:$B$2500="47mg LP")*('Planning Engine'!$A$4:$A$2500=DATE(2026,8,1))*'Planning Engine'!$U$4:$U$2500),"--")</t>
  </si>
  <si>
    <t>=IFERROR(SUMPRODUCT(('Planning Engine'!$B$4:$B$2500="47mg LP")*('Planning Engine'!$A$4:$A$2500=DATE(2026,9,1))*'Planning Engine'!$U$4:$U$2500),"--")</t>
  </si>
  <si>
    <t>=IFERROR(SUMPRODUCT(('Planning Engine'!$B$4:$B$2500="47mg LP")*('Planning Engine'!$A$4:$A$2500=DATE(2026,10,1))*'Planning Engine'!$U$4:$U$2500),"--")</t>
  </si>
  <si>
    <t>=IFERROR(SUMPRODUCT(('Planning Engine'!$B$4:$B$2500="47mg LP")*('Planning Engine'!$A$4:$A$2500=DATE(2026,11,1))*'Planning Engine'!$U$4:$U$2500),"--")</t>
  </si>
  <si>
    <t>=IFERROR(SUMPRODUCT(('Planning Engine'!$B$4:$B$2500="47mg LP")*('Planning Engine'!$A$4:$A$2500=DATE(2026,12,1))*'Planning Engine'!$U$4:$U$2500),"--")</t>
  </si>
  <si>
    <t>=IFERROR(SUMPRODUCT(('Planning Engine'!$B$4:$B$2500="47mg LP")*('Planning Engine'!$A$4:$A$2500=DATE(2027,1,1))*'Planning Engine'!$U$4:$U$2500),"--")</t>
  </si>
  <si>
    <t>=IFERROR(SUMPRODUCT(('Planning Engine'!$B$4:$B$2500="47mg LP")*('Planning Engine'!$A$4:$A$2500=DATE(2027,2,1))*'Planning Engine'!$U$4:$U$2500),"--")</t>
  </si>
  <si>
    <t>=IFERROR(SUMPRODUCT(('Planning Engine'!$B$4:$B$2500="47mg LP")*('Planning Engine'!$A$4:$A$2500=DATE(2027,3,1))*'Planning Engine'!$U$4:$U$2500),"--")</t>
  </si>
  <si>
    <t>=IFERROR(SUMPRODUCT(('Planning Engine'!$B$4:$B$2500="47mg LP")*('Planning Engine'!$A$4:$A$2500=DATE(2027,4,1))*'Planning Engine'!$U$4:$U$2500),"--")</t>
  </si>
  <si>
    <t>=IFERROR(SUMPRODUCT(('Planning Engine'!$B$4:$B$2500="47mg LP")*('Planning Engine'!$A$4:$A$2500=DATE(2027,5,1))*'Planning Engine'!$U$4:$U$2500),"--")</t>
  </si>
  <si>
    <t>=IFERROR(SUMPRODUCT(('Planning Engine'!$B$4:$B$2500="47mg LP")*('Planning Engine'!$A$4:$A$2500=DATE(2027,6,1))*'Planning Engine'!$U$4:$U$2500),"--")</t>
  </si>
  <si>
    <t>=IFERROR(SUMPRODUCT(('Planning Engine'!$B$4:$B$2500="47mg LP")*('Planning Engine'!$A$4:$A$2500=DATE(2027,7,1))*'Planning Engine'!$U$4:$U$2500),"--")</t>
  </si>
  <si>
    <t>=IFERROR(SUMPRODUCT(('Planning Engine'!$B$4:$B$2500="47mg LP")*('Planning Engine'!$A$4:$A$2500=DATE(2027,8,1))*'Planning Engine'!$U$4:$U$2500),"--")</t>
  </si>
  <si>
    <t>=IFERROR(SUMPRODUCT(('Planning Engine'!$B$4:$B$2500="47mg LP")*('Planning Engine'!$A$4:$A$2500=DATE(2027,9,1))*'Planning Engine'!$U$4:$U$2500),"--")</t>
  </si>
  <si>
    <t>=IFERROR(SUMPRODUCT(('Planning Engine'!$B$4:$B$2500="47mg LP")*('Planning Engine'!$A$4:$A$2500=DATE(2027,10,1))*'Planning Engine'!$U$4:$U$2500),"--")</t>
  </si>
  <si>
    <t>=IFERROR(SUMPRODUCT(('Planning Engine'!$B$4:$B$2500="47mg LP")*('Planning Engine'!$A$4:$A$2500=DATE(2027,11,1))*'Planning Engine'!$U$4:$U$2500),"--")</t>
  </si>
  <si>
    <t>=IFERROR(SUMPRODUCT(('Planning Engine'!$B$4:$B$2500="47mg LP")*('Planning Engine'!$A$4:$A$2500=DATE(2027,12,1))*'Planning Engine'!$U$4:$U$2500),"--")</t>
  </si>
  <si>
    <t>=IFERROR(SUMPRODUCT(('Planning Engine'!$B$4:$B$2500="47mg LP")*('Planning Engine'!$A$4:$A$2500=DATE(2028,1,1))*'Planning Engine'!$U$4:$U$2500),"--")</t>
  </si>
  <si>
    <t>=IFERROR(SUMPRODUCT(('Planning Engine'!$B$4:$B$2500="47mg LP")*('Planning Engine'!$A$4:$A$2500=DATE(2028,2,1))*'Planning Engine'!$U$4:$U$2500),"--")</t>
  </si>
  <si>
    <t>=IFERROR(SUMPRODUCT(('Planning Engine'!$B$4:$B$2500="47mg LP")*('Planning Engine'!$A$4:$A$2500=DATE(2028,3,1))*'Planning Engine'!$U$4:$U$2500),"--")</t>
  </si>
  <si>
    <t>=IFERROR(SUMPRODUCT(('Planning Engine'!$B$4:$B$2500="47mg LP")*('Planning Engine'!$A$4:$A$2500=DATE(2028,4,1))*'Planning Engine'!$U$4:$U$2500),"--")</t>
  </si>
  <si>
    <t>=IFERROR(SUMPRODUCT(('Planning Engine'!$B$4:$B$2500="47mg LP")*('Planning Engine'!$A$4:$A$2500=DATE(2028,5,1))*'Planning Engine'!$U$4:$U$2500),"--")</t>
  </si>
  <si>
    <t>=IFERROR(SUMPRODUCT(('Planning Engine'!$B$4:$B$2500="47mg LP")*('Planning Engine'!$A$4:$A$2500=DATE(2028,6,1))*'Planning Engine'!$U$4:$U$2500),"--")</t>
  </si>
  <si>
    <t>=IFERROR(SUMPRODUCT(('Planning Engine'!$B$4:$B$2500="47mg LP")*('Planning Engine'!$A$4:$A$2500=DATE(2028,7,1))*'Planning Engine'!$U$4:$U$2500),"--")</t>
  </si>
  <si>
    <t>=IFERROR(SUMPRODUCT(('Planning Engine'!$B$4:$B$2500="47mg LP")*('Planning Engine'!$A$4:$A$2500=DATE(2028,8,1))*'Planning Engine'!$U$4:$U$2500),"--")</t>
  </si>
  <si>
    <t>=IFERROR(SUMPRODUCT(('Planning Engine'!$B$4:$B$2500="47mg LP")*('Planning Engine'!$A$4:$A$2500=DATE(2028,9,1))*'Planning Engine'!$U$4:$U$2500),"--")</t>
  </si>
  <si>
    <t>=IFERROR(SUMPRODUCT(('Planning Engine'!$B$4:$B$2500="47mg LP")*('Planning Engine'!$A$4:$A$2500=DATE(2028,10,1))*'Planning Engine'!$U$4:$U$2500),"--")</t>
  </si>
  <si>
    <t>=IFERROR(SUMPRODUCT(('Planning Engine'!$B$4:$B$2500="47mg LP")*('Planning Engine'!$A$4:$A$2500=DATE(2028,11,1))*'Planning Engine'!$U$4:$U$2500),"--")</t>
  </si>
  <si>
    <t>=IFERROR(SUMPRODUCT(('Planning Engine'!$B$4:$B$2500="47mg LP")*('Planning Engine'!$A$4:$A$2500=DATE(2028,12,1))*'Planning Engine'!$U$4:$U$2500),"--")</t>
  </si>
  <si>
    <t>=IFERROR(SUMPRODUCT(('Planning Engine'!$B$4:$B$2500="47mg LP")*('Planning Engine'!$A$4:$A$2500=DATE(2029,1,1))*'Planning Engine'!$U$4:$U$2500),"--")</t>
  </si>
  <si>
    <t>=IFERROR(SUMPRODUCT(('Planning Engine'!$B$4:$B$2500="47mg LP")*('Planning Engine'!$A$4:$A$2500=DATE(2029,2,1))*'Planning Engine'!$U$4:$U$2500),"--")</t>
  </si>
  <si>
    <t>=IFERROR(SUMPRODUCT(('Planning Engine'!$B$4:$B$2500="47mg LP")*('Planning Engine'!$A$4:$A$2500=DATE(2029,3,1))*'Planning Engine'!$U$4:$U$2500),"--")</t>
  </si>
  <si>
    <t>=IFERROR(SUMPRODUCT(('Planning Engine'!$B$4:$B$2500="47mg LP")*('Planning Engine'!$A$4:$A$2500=DATE(2029,4,1))*'Planning Engine'!$U$4:$U$2500),"--")</t>
  </si>
  <si>
    <t>=IFERROR(SUMPRODUCT(('Planning Engine'!$B$4:$B$2500="47mg LP")*('Planning Engine'!$A$4:$A$2500=DATE(2029,5,1))*'Planning Engine'!$U$4:$U$2500),"--")</t>
  </si>
  <si>
    <t>=IFERROR(SUMPRODUCT(('Planning Engine'!$B$4:$B$2500="47mg LP")*('Planning Engine'!$A$4:$A$2500=DATE(2029,6,1))*'Planning Engine'!$U$4:$U$2500),"--")</t>
  </si>
  <si>
    <t>=IFERROR(SUMPRODUCT(('Planning Engine'!$B$4:$B$2500="47mg LP")*('Planning Engine'!$A$4:$A$2500=DATE(2029,7,1))*'Planning Engine'!$U$4:$U$2500),"--")</t>
  </si>
  <si>
    <t>=IFERROR(SUMPRODUCT(('Planning Engine'!$B$4:$B$2500="47mg LP")*('Planning Engine'!$A$4:$A$2500=DATE(2029,8,1))*'Planning Engine'!$U$4:$U$2500),"--")</t>
  </si>
  <si>
    <t>=IFERROR(SUMPRODUCT(('Planning Engine'!$B$4:$B$2500="47mg LP")*('Planning Engine'!$A$4:$A$2500=DATE(2029,9,1))*'Planning Engine'!$U$4:$U$2500),"--")</t>
  </si>
  <si>
    <t>=IFERROR(SUMPRODUCT(('Planning Engine'!$B$4:$B$2500="47mg LP")*('Planning Engine'!$A$4:$A$2500=DATE(2029,10,1))*'Planning Engine'!$U$4:$U$2500),"--")</t>
  </si>
  <si>
    <t>=IFERROR(SUMPRODUCT(('Planning Engine'!$B$4:$B$2500="47mg LP")*('Planning Engine'!$A$4:$A$2500=DATE(2029,11,1))*'Planning Engine'!$U$4:$U$2500),"--")</t>
  </si>
  <si>
    <t>=IFERROR(SUMPRODUCT(('Planning Engine'!$B$4:$B$2500="47mg LP")*('Planning Engine'!$A$4:$A$2500=DATE(2029,12,1))*'Planning Engine'!$U$4:$U$2500),"--")</t>
  </si>
  <si>
    <t>=IFERROR(SUMPRODUCT(('Planning Engine'!$B$4:$B$2500="47mg LP")*('Planning Engine'!$A$4:$A$2500=DATE(2030,1,1))*'Planning Engine'!$U$4:$U$2500),"--")</t>
  </si>
  <si>
    <t>=IFERROR(SUMPRODUCT(('Planning Engine'!$B$4:$B$2500="47mg LP")*('Planning Engine'!$A$4:$A$2500=DATE(2030,2,1))*'Planning Engine'!$U$4:$U$2500),"--")</t>
  </si>
  <si>
    <t>=IFERROR(SUMPRODUCT(('Planning Engine'!$B$4:$B$2500="47mg LP")*('Planning Engine'!$A$4:$A$2500=DATE(2030,3,1))*'Planning Engine'!$U$4:$U$2500),"--")</t>
  </si>
  <si>
    <t>=IFERROR(SUMPRODUCT(('Planning Engine'!$B$4:$B$2500="47mg LP")*('Planning Engine'!$A$4:$A$2500=DATE(2030,4,1))*'Planning Engine'!$U$4:$U$2500),"--")</t>
  </si>
  <si>
    <t>=IFERROR(SUMPRODUCT(('Planning Engine'!$B$4:$B$2500="47mg LP")*('Planning Engine'!$A$4:$A$2500=DATE(2030,5,1))*'Planning Engine'!$U$4:$U$2500),"--")</t>
  </si>
  <si>
    <t>=IFERROR(SUMPRODUCT(('Planning Engine'!$B$4:$B$2500="47mg LP")*('Planning Engine'!$A$4:$A$2500=DATE(2030,6,1))*'Planning Engine'!$U$4:$U$2500),"--")</t>
  </si>
  <si>
    <t>=IFERROR(SUMPRODUCT(('Planning Engine'!$B$4:$B$2500="47mg LP")*('Planning Engine'!$A$4:$A$2500=DATE(2030,7,1))*'Planning Engine'!$U$4:$U$2500),"--")</t>
  </si>
  <si>
    <t>=IFERROR(SUMPRODUCT(('Planning Engine'!$B$4:$B$2500="47mg LP")*('Planning Engine'!$A$4:$A$2500=DATE(2030,8,1))*'Planning Engine'!$U$4:$U$2500),"--")</t>
  </si>
  <si>
    <t>=IFERROR(SUMPRODUCT(('Planning Engine'!$B$4:$B$2500="47mg LP")*('Planning Engine'!$A$4:$A$2500=DATE(2030,9,1))*'Planning Engine'!$U$4:$U$2500),"--")</t>
  </si>
  <si>
    <t>=IFERROR(SUMPRODUCT(('Planning Engine'!$B$4:$B$2500="47mg LP")*('Planning Engine'!$A$4:$A$2500=DATE(2030,10,1))*'Planning Engine'!$U$4:$U$2500),"--")</t>
  </si>
  <si>
    <t>=IFERROR(SUMPRODUCT(('Planning Engine'!$B$4:$B$2500="47mg LP")*('Planning Engine'!$A$4:$A$2500=DATE(2030,11,1))*'Planning Engine'!$U$4:$U$2500),"--")</t>
  </si>
  <si>
    <t>=IFERROR(SUMPRODUCT(('Planning Engine'!$B$4:$B$2500="47mg LP")*('Planning Engine'!$A$4:$A$2500=DATE(2030,12,1))*'Planning Engine'!$U$4:$U$2500),"--")</t>
  </si>
  <si>
    <t>=IFERROR(SUMPRODUCT(('Planning Engine'!$B$4:$B$2500="47mg LP")*('Planning Engine'!$A$4:$A$2500=DATE(2031,1,1))*'Planning Engine'!$U$4:$U$2500),"--")</t>
  </si>
  <si>
    <t>=IFERROR(SUMPRODUCT(('Planning Engine'!$B$4:$B$2500="47mg LP")*('Planning Engine'!$A$4:$A$2500=DATE(2031,2,1))*'Planning Engine'!$U$4:$U$2500),"--")</t>
  </si>
  <si>
    <t>=IFERROR(SUMPRODUCT(('Planning Engine'!$B$4:$B$2500="47mg LP")*('Planning Engine'!$A$4:$A$2500=DATE(2031,3,1))*'Planning Engine'!$U$4:$U$2500),"--")</t>
  </si>
  <si>
    <t>=IFERROR(SUMPRODUCT(('Planning Engine'!$B$4:$B$2500="47mg LP")*('Planning Engine'!$A$4:$A$2500=DATE(2031,4,1))*'Planning Engine'!$U$4:$U$2500),"--")</t>
  </si>
  <si>
    <t>=IFERROR(SUMPRODUCT(('Planning Engine'!$B$4:$B$2500="47mg LP")*('Planning Engine'!$A$4:$A$2500=DATE(2031,5,1))*'Planning Engine'!$U$4:$U$2500),"--")</t>
  </si>
  <si>
    <t>=IFERROR(SUMPRODUCT(('Planning Engine'!$B$4:$B$2500="47mg LP")*('Planning Engine'!$A$4:$A$2500=DATE(2031,6,1))*'Planning Engine'!$U$4:$U$2500),"--")</t>
  </si>
  <si>
    <t>=IFERROR(SUMPRODUCT(('Planning Engine'!$B$4:$B$2500="47mg LP")*('Planning Engine'!$A$4:$A$2500=DATE(2031,7,1))*'Planning Engine'!$U$4:$U$2500),"--")</t>
  </si>
  <si>
    <t>=IFERROR(SUMPRODUCT(('Planning Engine'!$B$4:$B$2500="47mg LP")*('Planning Engine'!$A$4:$A$2500=DATE(2031,8,1))*'Planning Engine'!$U$4:$U$2500),"--")</t>
  </si>
  <si>
    <t>=IFERROR(SUMPRODUCT(('Planning Engine'!$B$4:$B$2500="47mg LP")*('Planning Engine'!$A$4:$A$2500=DATE(2031,9,1))*'Planning Engine'!$U$4:$U$2500),"--")</t>
  </si>
  <si>
    <t>=IFERROR(SUMPRODUCT(('Planning Engine'!$B$4:$B$2500="47mg LP")*('Planning Engine'!$A$4:$A$2500=DATE(2031,10,1))*'Planning Engine'!$U$4:$U$2500),"--")</t>
  </si>
  <si>
    <t>=IFERROR(SUMPRODUCT(('Planning Engine'!$B$4:$B$2500="47mg LP")*('Planning Engine'!$A$4:$A$2500=DATE(2031,11,1))*'Planning Engine'!$U$4:$U$2500),"--")</t>
  </si>
  <si>
    <t>=IFERROR(SUMPRODUCT(('Planning Engine'!$B$4:$B$2500="47mg LP")*('Planning Engine'!$A$4:$A$2500=DATE(2031,12,1))*'Planning Engine'!$U$4:$U$2500),"--")</t>
  </si>
  <si>
    <t>=IFERROR(SUMPRODUCT(('Planning Engine'!$B$4:$B$2500="47mg LP")*('Planning Engine'!$A$4:$A$2500=DATE(2032,1,1))*'Planning Engine'!$U$4:$U$2500),"--")</t>
  </si>
  <si>
    <t>=IFERROR(SUMPRODUCT(('Planning Engine'!$B$4:$B$2500="47mg LP")*('Planning Engine'!$A$4:$A$2500=DATE(2032,2,1))*'Planning Engine'!$U$4:$U$2500),"--")</t>
  </si>
  <si>
    <t>=IFERROR(SUMPRODUCT(('Planning Engine'!$B$4:$B$2500="47mg LP")*('Planning Engine'!$A$4:$A$2500=DATE(2032,3,1))*'Planning Engine'!$U$4:$U$2500),"--")</t>
  </si>
  <si>
    <t>=IFERROR(SUMPRODUCT(('Planning Engine'!$B$4:$B$2500="47mg LP")*('Planning Engine'!$A$4:$A$2500=DATE(2032,4,1))*'Planning Engine'!$U$4:$U$2500),"--")</t>
  </si>
  <si>
    <t>=IFERROR(SUMPRODUCT(('Planning Engine'!$B$4:$B$2500="47mg LP")*('Planning Engine'!$A$4:$A$2500=DATE(2032,5,1))*'Planning Engine'!$U$4:$U$2500),"--")</t>
  </si>
  <si>
    <t>=IFERROR(SUMPRODUCT(('Planning Engine'!$B$4:$B$2500="47mg LP")*('Planning Engine'!$A$4:$A$2500=DATE(2032,6,1))*'Planning Engine'!$U$4:$U$2500),"--")</t>
  </si>
  <si>
    <t>=IFERROR(SUMPRODUCT(('Planning Engine'!$B$4:$B$2500="47mg LP")*('Planning Engine'!$A$4:$A$2500=DATE(2032,7,1))*'Planning Engine'!$U$4:$U$2500),"--")</t>
  </si>
  <si>
    <t>=IFERROR(SUMPRODUCT(('Planning Engine'!$B$4:$B$2500="47mg LP")*('Planning Engine'!$A$4:$A$2500=DATE(2032,8,1))*'Planning Engine'!$U$4:$U$2500),"--")</t>
  </si>
  <si>
    <t>=IFERROR(SUMPRODUCT(('Planning Engine'!$B$4:$B$2500="47mg LP")*('Planning Engine'!$A$4:$A$2500=DATE(2032,9,1))*'Planning Engine'!$U$4:$U$2500),"--")</t>
  </si>
  <si>
    <t>=IFERROR(SUMPRODUCT(('Planning Engine'!$B$4:$B$2500="47mg LP")*('Planning Engine'!$A$4:$A$2500=DATE(2032,10,1))*'Planning Engine'!$U$4:$U$2500),"--")</t>
  </si>
  <si>
    <t>=IFERROR(SUMPRODUCT(('Planning Engine'!$B$4:$B$2500="47mg LP")*('Planning Engine'!$A$4:$A$2500=DATE(2032,11,1))*'Planning Engine'!$U$4:$U$2500),"--")</t>
  </si>
  <si>
    <t>=IFERROR(SUMPRODUCT(('Planning Engine'!$B$4:$B$2500="47mg LP")*('Planning Engine'!$A$4:$A$2500=DATE(2032,12,1))*'Planning Engine'!$U$4:$U$2500),"--")</t>
  </si>
  <si>
    <t>=IFERROR(SUMPRODUCT(('Planning Engine'!$B$4:$B$2500="47mg LP")*('Planning Engine'!$A$4:$A$2500=DATE(2033,1,1))*'Planning Engine'!$U$4:$U$2500),"--")</t>
  </si>
  <si>
    <t>=IFERROR(SUMPRODUCT(('Planning Engine'!$B$4:$B$2500="47mg LP")*('Planning Engine'!$A$4:$A$2500=DATE(2033,2,1))*'Planning Engine'!$U$4:$U$2500),"--")</t>
  </si>
  <si>
    <t>=IFERROR(SUMPRODUCT(('Planning Engine'!$B$4:$B$2500="47mg LP")*('Planning Engine'!$A$4:$A$2500=DATE(2033,3,1))*'Planning Engine'!$U$4:$U$2500),"--")</t>
  </si>
  <si>
    <t>=IFERROR(SUMPRODUCT(('Planning Engine'!$B$4:$B$2500="47mg LP")*('Planning Engine'!$A$4:$A$2500=DATE(2033,4,1))*'Planning Engine'!$U$4:$U$2500),"--")</t>
  </si>
  <si>
    <t>=IFERROR(SUMPRODUCT(('Planning Engine'!$B$4:$B$2500="47mg LP")*('Planning Engine'!$A$4:$A$2500=DATE(2033,5,1))*'Planning Engine'!$U$4:$U$2500),"--")</t>
  </si>
  <si>
    <t>=IFERROR(SUMPRODUCT(('Planning Engine'!$B$4:$B$2500="47mg LP")*('Planning Engine'!$A$4:$A$2500=DATE(2033,6,1))*'Planning Engine'!$U$4:$U$2500),"--")</t>
  </si>
  <si>
    <t>=IFERROR(SUMPRODUCT(('Planning Engine'!$B$4:$B$2500="47mg LP")*('Planning Engine'!$A$4:$A$2500=DATE(2033,7,1))*'Planning Engine'!$U$4:$U$2500),"--")</t>
  </si>
  <si>
    <t>=IFERROR(SUMPRODUCT(('Planning Engine'!$B$4:$B$2500="47mg LP")*('Planning Engine'!$A$4:$A$2500=DATE(2033,8,1))*'Planning Engine'!$U$4:$U$2500),"--")</t>
  </si>
  <si>
    <t>=IFERROR(SUMPRODUCT(('Planning Engine'!$B$4:$B$2500="47mg LP")*('Planning Engine'!$A$4:$A$2500=DATE(2033,9,1))*'Planning Engine'!$U$4:$U$2500),"--")</t>
  </si>
  <si>
    <t>=IFERROR(SUMPRODUCT(('Planning Engine'!$B$4:$B$2500="47mg LP")*('Planning Engine'!$A$4:$A$2500=DATE(2033,10,1))*'Planning Engine'!$U$4:$U$2500),"--")</t>
  </si>
  <si>
    <t>=IFERROR(SUMPRODUCT(('Planning Engine'!$B$4:$B$2500="47mg LP")*('Planning Engine'!$A$4:$A$2500=DATE(2033,11,1))*'Planning Engine'!$U$4:$U$2500),"--")</t>
  </si>
  <si>
    <t>=IFERROR(SUMPRODUCT(('Planning Engine'!$B$4:$B$2500="47mg LP")*('Planning Engine'!$A$4:$A$2500=DATE(2033,12,1))*'Planning Engine'!$U$4:$U$2500),"--")</t>
  </si>
  <si>
    <t>=IFERROR(SUMPRODUCT(('Planning Engine'!$B$4:$B$2500="47mg LP")*('Planning Engine'!$A$4:$A$2500=DATE(2034,1,1))*'Planning Engine'!$U$4:$U$2500),"--")</t>
  </si>
  <si>
    <t>=IFERROR(SUMPRODUCT(('Planning Engine'!$B$4:$B$2500="47mg LP")*('Planning Engine'!$A$4:$A$2500=DATE(2034,2,1))*'Planning Engine'!$U$4:$U$2500),"--")</t>
  </si>
  <si>
    <t>=IFERROR(SUMPRODUCT(('Planning Engine'!$B$4:$B$2500="47mg LP")*('Planning Engine'!$A$4:$A$2500=DATE(2034,3,1))*'Planning Engine'!$U$4:$U$2500),"--")</t>
  </si>
  <si>
    <t>=IFERROR(SUMPRODUCT(('Planning Engine'!$B$4:$B$2500="47mg LP")*('Planning Engine'!$A$4:$A$2500=DATE(2034,4,1))*'Planning Engine'!$U$4:$U$2500),"--")</t>
  </si>
  <si>
    <t>=IFERROR(SUMPRODUCT(('Planning Engine'!$B$4:$B$2500="47mg LP")*('Planning Engine'!$A$4:$A$2500=DATE(2034,5,1))*'Planning Engine'!$U$4:$U$2500),"--")</t>
  </si>
  <si>
    <t>=IFERROR(SUMPRODUCT(('Planning Engine'!$B$4:$B$2500="47mg LP")*('Planning Engine'!$A$4:$A$2500=DATE(2034,6,1))*'Planning Engine'!$U$4:$U$2500),"--")</t>
  </si>
  <si>
    <t>=IFERROR(SUMPRODUCT(('Planning Engine'!$B$4:$B$2500="47mg LP")*('Planning Engine'!$A$4:$A$2500=DATE(2034,7,1))*'Planning Engine'!$U$4:$U$2500),"--")</t>
  </si>
  <si>
    <t>=IFERROR(SUMPRODUCT(('Planning Engine'!$B$4:$B$2500="47mg LP")*('Planning Engine'!$A$4:$A$2500=DATE(2034,8,1))*'Planning Engine'!$U$4:$U$2500),"--")</t>
  </si>
  <si>
    <t>=IFERROR(SUMPRODUCT(('Planning Engine'!$B$4:$B$2500="47mg LP")*('Planning Engine'!$A$4:$A$2500=DATE(2034,9,1))*'Planning Engine'!$U$4:$U$2500),"--")</t>
  </si>
  <si>
    <t>=IFERROR(SUMPRODUCT(('Planning Engine'!$B$4:$B$2500="47mg LP")*('Planning Engine'!$A$4:$A$2500=DATE(2034,10,1))*'Planning Engine'!$U$4:$U$2500),"--")</t>
  </si>
  <si>
    <t>=IFERROR(SUMPRODUCT(('Planning Engine'!$B$4:$B$2500="47mg LP")*('Planning Engine'!$A$4:$A$2500=DATE(2034,11,1))*'Planning Engine'!$U$4:$U$2500),"--")</t>
  </si>
  <si>
    <t>=IFERROR(SUMPRODUCT(('Planning Engine'!$B$4:$B$2500="47mg LP")*('Planning Engine'!$A$4:$A$2500=DATE(2034,12,1))*'Planning Engine'!$U$4:$U$2500),"--")</t>
  </si>
  <si>
    <t>=IFERROR(SUMPRODUCT(('Planning Engine'!$B$4:$B$2500="47mg LP")*('Planning Engine'!$A$4:$A$2500=DATE(2035,1,1))*'Planning Engine'!$U$4:$U$2500),"--")</t>
  </si>
  <si>
    <t>=IFERROR(SUMPRODUCT(('Planning Engine'!$B$4:$B$2500="47mg LP")*('Planning Engine'!$A$4:$A$2500=DATE(2035,2,1))*'Planning Engine'!$U$4:$U$2500),"--")</t>
  </si>
  <si>
    <t>=IFERROR(SUMPRODUCT(('Planning Engine'!$B$4:$B$2500="47mg LP")*('Planning Engine'!$A$4:$A$2500=DATE(2035,3,1))*'Planning Engine'!$U$4:$U$2500),"--")</t>
  </si>
  <si>
    <t>=IFERROR(SUMPRODUCT(('Planning Engine'!$B$4:$B$2500="47mg LP")*('Planning Engine'!$A$4:$A$2500=DATE(2035,4,1))*'Planning Engine'!$U$4:$U$2500),"--")</t>
  </si>
  <si>
    <t>=IFERROR(SUMPRODUCT(('Planning Engine'!$B$4:$B$2500="47mg LP")*('Planning Engine'!$A$4:$A$2500=DATE(2035,5,1))*'Planning Engine'!$U$4:$U$2500),"--")</t>
  </si>
  <si>
    <t>=IFERROR(SUMPRODUCT(('Planning Engine'!$B$4:$B$2500="47mg LP")*('Planning Engine'!$A$4:$A$2500=DATE(2035,6,1))*'Planning Engine'!$U$4:$U$2500),"--")</t>
  </si>
  <si>
    <t>=IFERROR(SUMPRODUCT(('Planning Engine'!$B$4:$B$2500="47mg LP")*('Planning Engine'!$A$4:$A$2500=DATE(2035,7,1))*'Planning Engine'!$U$4:$U$2500),"--")</t>
  </si>
  <si>
    <t>=IFERROR(SUMPRODUCT(('Planning Engine'!$B$4:$B$2500="47mg LP")*('Planning Engine'!$A$4:$A$2500=DATE(2035,8,1))*'Planning Engine'!$U$4:$U$2500),"--")</t>
  </si>
  <si>
    <t>=IFERROR(SUMPRODUCT(('Planning Engine'!$B$4:$B$2500="47mg LP")*('Planning Engine'!$A$4:$A$2500=DATE(2035,9,1))*'Planning Engine'!$U$4:$U$2500),"--")</t>
  </si>
  <si>
    <t>=IFERROR(SUMPRODUCT(('Planning Engine'!$B$4:$B$2500="47mg LP")*('Planning Engine'!$A$4:$A$2500=DATE(2035,10,1))*'Planning Engine'!$U$4:$U$2500),"--")</t>
  </si>
  <si>
    <t>=IFERROR(SUMPRODUCT(('Planning Engine'!$B$4:$B$2500="47mg LP")*('Planning Engine'!$A$4:$A$2500=DATE(2035,11,1))*'Planning Engine'!$U$4:$U$2500),"--")</t>
  </si>
  <si>
    <t>=IFERROR(SUMPRODUCT(('Planning Engine'!$B$4:$B$2500="47mg LP")*('Planning Engine'!$A$4:$A$2500=DATE(2035,12,1))*'Planning Engine'!$U$4:$U$2500),"--")</t>
  </si>
  <si>
    <t>=IFERROR(SUMPRODUCT(('Planning Engine'!$B$4:$B$2500="47mg LP")*('Planning Engine'!$A$4:$A$2500=DATE(2036,1,1))*'Planning Engine'!$U$4:$U$2500),"--")</t>
  </si>
  <si>
    <t>=IFERROR(SUMPRODUCT(('Planning Engine'!$B$4:$B$2500="47mg LP")*('Planning Engine'!$A$4:$A$2500=DATE(2036,2,1))*'Planning Engine'!$U$4:$U$2500),"--")</t>
  </si>
  <si>
    <t>=IFERROR(SUMPRODUCT(('Planning Engine'!$B$4:$B$2500="47mg LP")*('Planning Engine'!$A$4:$A$2500=DATE(2036,3,1))*'Planning Engine'!$U$4:$U$2500),"--")</t>
  </si>
  <si>
    <t>=IFERROR(SUMPRODUCT(('Planning Engine'!$B$4:$B$2500="47mg LP")*('Planning Engine'!$A$4:$A$2500=DATE(2036,4,1))*'Planning Engine'!$U$4:$U$2500),"--")</t>
  </si>
  <si>
    <t>=IFERROR(SUMPRODUCT(('Planning Engine'!$B$4:$B$2500="47mg LP")*('Planning Engine'!$A$4:$A$2500=DATE(2036,5,1))*'Planning Engine'!$U$4:$U$2500),"--")</t>
  </si>
  <si>
    <t>=IFERROR(SUMPRODUCT(('Planning Engine'!$B$4:$B$2500="47mg LP")*('Planning Engine'!$A$4:$A$2500=DATE(2036,6,1))*'Planning Engine'!$U$4:$U$2500),"--")</t>
  </si>
  <si>
    <t>=IFERROR(SUMPRODUCT(('Planning Engine'!$B$4:$B$2500="47mg LP")*('Planning Engine'!$A$4:$A$2500=DATE(2036,7,1))*'Planning Engine'!$U$4:$U$2500),"--")</t>
  </si>
  <si>
    <t>=IFERROR(SUMPRODUCT(('Planning Engine'!$B$4:$B$2500="47mg LP")*('Planning Engine'!$A$4:$A$2500=DATE(2036,8,1))*'Planning Engine'!$U$4:$U$2500),"--")</t>
  </si>
  <si>
    <t>=IFERROR(SUMPRODUCT(('Planning Engine'!$B$4:$B$2500="47mg LP")*('Planning Engine'!$A$4:$A$2500=DATE(2036,9,1))*'Planning Engine'!$U$4:$U$2500),"--")</t>
  </si>
  <si>
    <t>=IFERROR(SUMPRODUCT(('Planning Engine'!$B$4:$B$2500="47mg LP")*('Planning Engine'!$A$4:$A$2500=DATE(2036,10,1))*'Planning Engine'!$U$4:$U$2500),"--")</t>
  </si>
  <si>
    <t>=IFERROR(SUMPRODUCT(('Planning Engine'!$B$4:$B$2500="47mg LP")*('Planning Engine'!$A$4:$A$2500=DATE(2036,11,1))*'Planning Engine'!$U$4:$U$2500),"--")</t>
  </si>
  <si>
    <t>=IFERROR(SUMPRODUCT(('Planning Engine'!$B$4:$B$2500="47mg LP")*('Planning Engine'!$A$4:$A$2500=DATE(2036,12,1))*'Planning Engine'!$U$4:$U$2500),"--")</t>
  </si>
  <si>
    <t>=IFERROR(SUMPRODUCT(('Planning Engine'!$B$4:$B$2500="47mg LP")*('Planning Engine'!$A$4:$A$2500=DATE(2037,1,1))*'Planning Engine'!$U$4:$U$2500),"--")</t>
  </si>
  <si>
    <t>=IFERROR(SUMPRODUCT(('Planning Engine'!$B$4:$B$2500="47mg LP")*('Planning Engine'!$A$4:$A$2500=DATE(2037,2,1))*'Planning Engine'!$U$4:$U$2500),"--")</t>
  </si>
  <si>
    <t>=IFERROR(SUMPRODUCT(('Planning Engine'!$B$4:$B$2500="47mg LP")*('Planning Engine'!$A$4:$A$2500=DATE(2037,3,1))*'Planning Engine'!$U$4:$U$2500),"--")</t>
  </si>
  <si>
    <t>=IFERROR(SUMPRODUCT(('Planning Engine'!$B$4:$B$2500="47mg LP")*('Planning Engine'!$A$4:$A$2500=DATE(2037,4,1))*'Planning Engine'!$U$4:$U$2500),"--")</t>
  </si>
  <si>
    <t>=IFERROR(SUMPRODUCT(('Planning Engine'!$B$4:$B$2500="47mg LP")*('Planning Engine'!$A$4:$A$2500=DATE(2037,5,1))*'Planning Engine'!$U$4:$U$2500),"--")</t>
  </si>
  <si>
    <t>=IFERROR(SUMPRODUCT(('Planning Engine'!$B$4:$B$2500="47mg LP")*('Planning Engine'!$A$4:$A$2500=DATE(2037,6,1))*'Planning Engine'!$U$4:$U$2500),"--")</t>
  </si>
  <si>
    <t>=IFERROR(SUMPRODUCT(('Planning Engine'!$B$4:$B$2500="47mg LP")*('Planning Engine'!$A$4:$A$2500=DATE(2037,7,1))*'Planning Engine'!$U$4:$U$2500),"--")</t>
  </si>
  <si>
    <t>=IFERROR(SUMPRODUCT(('Planning Engine'!$B$4:$B$2500="47mg LP")*('Planning Engine'!$A$4:$A$2500=DATE(2037,8,1))*'Planning Engine'!$U$4:$U$2500),"--")</t>
  </si>
  <si>
    <t>=IFERROR(SUMPRODUCT(('Planning Engine'!$B$4:$B$2500="47mg LP")*('Planning Engine'!$A$4:$A$2500=DATE(2037,9,1))*'Planning Engine'!$U$4:$U$2500),"--")</t>
  </si>
  <si>
    <t>=IFERROR(SUMPRODUCT(('Planning Engine'!$B$4:$B$2500="47mg LP")*('Planning Engine'!$A$4:$A$2500=DATE(2037,10,1))*'Planning Engine'!$U$4:$U$2500),"--")</t>
  </si>
  <si>
    <t>=IFERROR(SUMPRODUCT(('Planning Engine'!$B$4:$B$2500="47mg LP")*('Planning Engine'!$A$4:$A$2500=DATE(2037,11,1))*'Planning Engine'!$U$4:$U$2500),"--")</t>
  </si>
  <si>
    <t>=IFERROR(SUMPRODUCT(('Planning Engine'!$B$4:$B$2500="47mg LP")*('Planning Engine'!$A$4:$A$2500=DATE(2037,12,1))*'Planning Engine'!$U$4:$U$2500),"--")</t>
  </si>
  <si>
    <t>=IFERROR(SUMPRODUCT(('Planning Engine'!$B$4:$B$2500="47mg LP")*('Planning Engine'!$A$4:$A$2500=DATE(2038,1,1))*'Planning Engine'!$U$4:$U$2500),"--")</t>
  </si>
  <si>
    <t>=IFERROR(SUMPRODUCT(('Planning Engine'!$B$4:$B$2500="47mg LP")*('Planning Engine'!$A$4:$A$2500=DATE(2038,2,1))*'Planning Engine'!$U$4:$U$2500),"--")</t>
  </si>
  <si>
    <t>=IFERROR(SUMPRODUCT(('Planning Engine'!$B$4:$B$2500="47mg LP")*('Planning Engine'!$A$4:$A$2500=DATE(2038,3,1))*'Planning Engine'!$U$4:$U$2500),"--")</t>
  </si>
  <si>
    <t>=IFERROR(SUMPRODUCT(('Planning Engine'!$B$4:$B$2500="47mg LP")*('Planning Engine'!$A$4:$A$2500=DATE(2038,4,1))*'Planning Engine'!$U$4:$U$2500),"--")</t>
  </si>
  <si>
    <t>=IFERROR(SUMPRODUCT(('Planning Engine'!$B$4:$B$2500="47mg LP")*('Planning Engine'!$A$4:$A$2500=DATE(2038,5,1))*'Planning Engine'!$U$4:$U$2500),"--")</t>
  </si>
  <si>
    <t>=IFERROR(SUMPRODUCT(('Planning Engine'!$B$4:$B$2500="47mg LP")*('Planning Engine'!$A$4:$A$2500=DATE(2038,6,1))*'Planning Engine'!$U$4:$U$2500),"--")</t>
  </si>
  <si>
    <t>=IFERROR(SUMPRODUCT(('Planning Engine'!$B$4:$B$2500="47mg LP")*('Planning Engine'!$A$4:$A$2500=DATE(2038,7,1))*'Planning Engine'!$U$4:$U$2500),"--")</t>
  </si>
  <si>
    <t>=IFERROR(SUMPRODUCT(('Planning Engine'!$B$4:$B$2500="47mg LP")*('Planning Engine'!$A$4:$A$2500=DATE(2038,8,1))*'Planning Engine'!$U$4:$U$2500),"--")</t>
  </si>
  <si>
    <t>=IFERROR(SUMPRODUCT(('Planning Engine'!$B$4:$B$2500="47mg LP")*('Planning Engine'!$A$4:$A$2500=DATE(2038,9,1))*'Planning Engine'!$U$4:$U$2500),"--")</t>
  </si>
  <si>
    <t>=IFERROR(SUMPRODUCT(('Planning Engine'!$B$4:$B$2500="47mg LP")*('Planning Engine'!$A$4:$A$2500=DATE(2038,10,1))*'Planning Engine'!$U$4:$U$2500),"--")</t>
  </si>
  <si>
    <t>=IFERROR(SUMPRODUCT(('Planning Engine'!$B$4:$B$2500="47mg LP")*('Planning Engine'!$A$4:$A$2500=DATE(2038,11,1))*'Planning Engine'!$U$4:$U$2500),"--")</t>
  </si>
  <si>
    <t>=IFERROR(SUMPRODUCT(('Planning Engine'!$B$4:$B$2500="47mg LP")*('Planning Engine'!$A$4:$A$2500=DATE(2038,12,1))*'Planning Engine'!$U$4:$U$2500),"--")</t>
  </si>
  <si>
    <t>=IFERROR(SUMPRODUCT(('Planning Engine'!$B$4:$B$2500="47mg LP")*('Planning Engine'!$A$4:$A$2500=DATE(2039,1,1))*'Planning Engine'!$U$4:$U$2500),"--")</t>
  </si>
  <si>
    <t>=IFERROR(SUMPRODUCT(('Planning Engine'!$B$4:$B$2500="47mg LP")*('Planning Engine'!$A$4:$A$2500=DATE(2039,2,1))*'Planning Engine'!$U$4:$U$2500),"--")</t>
  </si>
  <si>
    <t>=IFERROR(SUMPRODUCT(('Planning Engine'!$B$4:$B$2500="47mg LP")*('Planning Engine'!$A$4:$A$2500=DATE(2039,3,1))*'Planning Engine'!$U$4:$U$2500),"--")</t>
  </si>
  <si>
    <t>=IFERROR(SUMPRODUCT(('Planning Engine'!$B$4:$B$2500="47mg LP")*('Planning Engine'!$A$4:$A$2500=DATE(2039,4,1))*'Planning Engine'!$U$4:$U$2500),"--")</t>
  </si>
  <si>
    <t>=IFERROR(SUMPRODUCT(('Planning Engine'!$B$4:$B$2500="47mg LP")*('Planning Engine'!$A$4:$A$2500=DATE(2039,5,1))*'Planning Engine'!$U$4:$U$2500),"--")</t>
  </si>
  <si>
    <t>=IFERROR(SUMPRODUCT(('Planning Engine'!$B$4:$B$2500="47mg LP")*('Planning Engine'!$A$4:$A$2500=DATE(2039,6,1))*'Planning Engine'!$U$4:$U$2500),"--")</t>
  </si>
  <si>
    <t>=IFERROR(SUMPRODUCT(('Planning Engine'!$B$4:$B$2500="47mg LP")*('Planning Engine'!$A$4:$A$2500=DATE(2039,7,1))*'Planning Engine'!$U$4:$U$2500),"--")</t>
  </si>
  <si>
    <t>=IFERROR(SUMPRODUCT(('Planning Engine'!$B$4:$B$2500="47mg LP")*('Planning Engine'!$A$4:$A$2500=DATE(2039,8,1))*'Planning Engine'!$U$4:$U$2500),"--")</t>
  </si>
  <si>
    <t>=IFERROR(SUMPRODUCT(('Planning Engine'!$B$4:$B$2500="47mg LP")*('Planning Engine'!$A$4:$A$2500=DATE(2039,9,1))*'Planning Engine'!$U$4:$U$2500),"--")</t>
  </si>
  <si>
    <t>=IFERROR(SUMPRODUCT(('Planning Engine'!$B$4:$B$2500="47mg LP")*('Planning Engine'!$A$4:$A$2500=DATE(2039,10,1))*'Planning Engine'!$U$4:$U$2500),"--")</t>
  </si>
  <si>
    <t>=IFERROR(SUMPRODUCT(('Planning Engine'!$B$4:$B$2500="47mg LP")*('Planning Engine'!$A$4:$A$2500=DATE(2039,11,1))*'Planning Engine'!$U$4:$U$2500),"--")</t>
  </si>
  <si>
    <t>=IFERROR(SUMPRODUCT(('Planning Engine'!$B$4:$B$2500="47mg LP")*('Planning Engine'!$A$4:$A$2500=DATE(2039,12,1))*'Planning Engine'!$U$4:$U$2500),"--")</t>
  </si>
  <si>
    <t>=IFERROR(SUMPRODUCT(('Planning Engine'!$B$4:$B$2500="47mg LP")*('Planning Engine'!$A$4:$A$2500=DATE(2040,1,1))*'Planning Engine'!$U$4:$U$2500),"--")</t>
  </si>
  <si>
    <t>=IFERROR(SUMPRODUCT(('Planning Engine'!$B$4:$B$2500="47mg LP")*('Planning Engine'!$A$4:$A$2500=DATE(2040,2,1))*'Planning Engine'!$U$4:$U$2500),"--")</t>
  </si>
  <si>
    <t>=IFERROR(SUMPRODUCT(('Planning Engine'!$B$4:$B$2500="47mg LP")*('Planning Engine'!$A$4:$A$2500=DATE(2040,3,1))*'Planning Engine'!$U$4:$U$2500),"--")</t>
  </si>
  <si>
    <t>=IFERROR(SUMPRODUCT(('Planning Engine'!$B$4:$B$2500="47mg LP")*('Planning Engine'!$A$4:$A$2500=DATE(2040,4,1))*'Planning Engine'!$U$4:$U$2500),"--")</t>
  </si>
  <si>
    <t>=IFERROR(SUMPRODUCT(('Planning Engine'!$B$4:$B$2500="47mg LP")*('Planning Engine'!$A$4:$A$2500=DATE(2040,5,1))*'Planning Engine'!$U$4:$U$2500),"--")</t>
  </si>
  <si>
    <t>=IFERROR(SUMPRODUCT(('Planning Engine'!$B$4:$B$2500="47mg LP")*('Planning Engine'!$A$4:$A$2500=DATE(2040,6,1))*'Planning Engine'!$U$4:$U$2500),"--")</t>
  </si>
  <si>
    <t>=IFERROR(SUMPRODUCT(('Planning Engine'!$B$4:$B$2500="47mg LP")*('Planning Engine'!$A$4:$A$2500=DATE(2040,7,1))*'Planning Engine'!$U$4:$U$2500),"--")</t>
  </si>
  <si>
    <t>=IFERROR(SUMPRODUCT(('Planning Engine'!$B$4:$B$2500="47mg LP")*('Planning Engine'!$A$4:$A$2500=DATE(2040,8,1))*'Planning Engine'!$U$4:$U$2500),"--")</t>
  </si>
  <si>
    <t>=IFERROR(SUMPRODUCT(('Planning Engine'!$B$4:$B$2500="47mg LP")*('Planning Engine'!$A$4:$A$2500=DATE(2040,9,1))*'Planning Engine'!$U$4:$U$2500),"--")</t>
  </si>
  <si>
    <t>=IFERROR(SUMPRODUCT(('Planning Engine'!$B$4:$B$2500="47mg LP")*('Planning Engine'!$A$4:$A$2500=DATE(2040,10,1))*'Planning Engine'!$U$4:$U$2500),"--")</t>
  </si>
  <si>
    <t>=IFERROR(SUMPRODUCT(('Planning Engine'!$B$4:$B$2500="47mg LP")*('Planning Engine'!$A$4:$A$2500=DATE(2040,11,1))*'Planning Engine'!$U$4:$U$2500),"--")</t>
  </si>
  <si>
    <t>=IFERROR(SUMPRODUCT(('Planning Engine'!$B$4:$B$2500="47mg LP")*('Planning Engine'!$A$4:$A$2500=DATE(2040,12,1))*'Planning Engine'!$U$4:$U$2500),"--")</t>
  </si>
  <si>
    <t>=IFERROR(SUMPRODUCT(('Planning Engine'!$B$4:$B$2500="200mg DP")*('Planning Engine'!$A$4:$A$2500=DATE(2026,2,1))*'Planning Engine'!$U$4:$U$2500),"--")</t>
  </si>
  <si>
    <t>=IFERROR(SUMPRODUCT(('Planning Engine'!$B$4:$B$2500="200mg DP")*('Planning Engine'!$A$4:$A$2500=DATE(2026,3,1))*'Planning Engine'!$U$4:$U$2500),"--")</t>
  </si>
  <si>
    <t>=IFERROR(SUMPRODUCT(('Planning Engine'!$B$4:$B$2500="200mg DP")*('Planning Engine'!$A$4:$A$2500=DATE(2026,4,1))*'Planning Engine'!$U$4:$U$2500),"--")</t>
  </si>
  <si>
    <t>=IFERROR(SUMPRODUCT(('Planning Engine'!$B$4:$B$2500="200mg DP")*('Planning Engine'!$A$4:$A$2500=DATE(2026,5,1))*'Planning Engine'!$U$4:$U$2500),"--")</t>
  </si>
  <si>
    <t>=IFERROR(SUMPRODUCT(('Planning Engine'!$B$4:$B$2500="200mg DP")*('Planning Engine'!$A$4:$A$2500=DATE(2026,6,1))*'Planning Engine'!$U$4:$U$2500),"--")</t>
  </si>
  <si>
    <t>=IFERROR(SUMPRODUCT(('Planning Engine'!$B$4:$B$2500="200mg DP")*('Planning Engine'!$A$4:$A$2500=DATE(2026,7,1))*'Planning Engine'!$U$4:$U$2500),"--")</t>
  </si>
  <si>
    <t>=IFERROR(SUMPRODUCT(('Planning Engine'!$B$4:$B$2500="200mg DP")*('Planning Engine'!$A$4:$A$2500=DATE(2026,8,1))*'Planning Engine'!$U$4:$U$2500),"--")</t>
  </si>
  <si>
    <t>=IFERROR(SUMPRODUCT(('Planning Engine'!$B$4:$B$2500="200mg DP")*('Planning Engine'!$A$4:$A$2500=DATE(2026,9,1))*'Planning Engine'!$U$4:$U$2500),"--")</t>
  </si>
  <si>
    <t>=IFERROR(SUMPRODUCT(('Planning Engine'!$B$4:$B$2500="200mg DP")*('Planning Engine'!$A$4:$A$2500=DATE(2026,10,1))*'Planning Engine'!$U$4:$U$2500),"--")</t>
  </si>
  <si>
    <t>=IFERROR(SUMPRODUCT(('Planning Engine'!$B$4:$B$2500="200mg DP")*('Planning Engine'!$A$4:$A$2500=DATE(2026,11,1))*'Planning Engine'!$U$4:$U$2500),"--")</t>
  </si>
  <si>
    <t>=IFERROR(SUMPRODUCT(('Planning Engine'!$B$4:$B$2500="200mg DP")*('Planning Engine'!$A$4:$A$2500=DATE(2026,12,1))*'Planning Engine'!$U$4:$U$2500),"--")</t>
  </si>
  <si>
    <t>=IFERROR(SUMPRODUCT(('Planning Engine'!$B$4:$B$2500="200mg DP")*('Planning Engine'!$A$4:$A$2500=DATE(2027,1,1))*'Planning Engine'!$U$4:$U$2500),"--")</t>
  </si>
  <si>
    <t>=IFERROR(SUMPRODUCT(('Planning Engine'!$B$4:$B$2500="200mg DP")*('Planning Engine'!$A$4:$A$2500=DATE(2027,2,1))*'Planning Engine'!$U$4:$U$2500),"--")</t>
  </si>
  <si>
    <t>=IFERROR(SUMPRODUCT(('Planning Engine'!$B$4:$B$2500="200mg DP")*('Planning Engine'!$A$4:$A$2500=DATE(2027,3,1))*'Planning Engine'!$U$4:$U$2500),"--")</t>
  </si>
  <si>
    <t>=IFERROR(SUMPRODUCT(('Planning Engine'!$B$4:$B$2500="200mg DP")*('Planning Engine'!$A$4:$A$2500=DATE(2027,4,1))*'Planning Engine'!$U$4:$U$2500),"--")</t>
  </si>
  <si>
    <t>=IFERROR(SUMPRODUCT(('Planning Engine'!$B$4:$B$2500="200mg DP")*('Planning Engine'!$A$4:$A$2500=DATE(2027,5,1))*'Planning Engine'!$U$4:$U$2500),"--")</t>
  </si>
  <si>
    <t>=IFERROR(SUMPRODUCT(('Planning Engine'!$B$4:$B$2500="200mg DP")*('Planning Engine'!$A$4:$A$2500=DATE(2027,6,1))*'Planning Engine'!$U$4:$U$2500),"--")</t>
  </si>
  <si>
    <t>=IFERROR(SUMPRODUCT(('Planning Engine'!$B$4:$B$2500="200mg DP")*('Planning Engine'!$A$4:$A$2500=DATE(2027,7,1))*'Planning Engine'!$U$4:$U$2500),"--")</t>
  </si>
  <si>
    <t>=IFERROR(SUMPRODUCT(('Planning Engine'!$B$4:$B$2500="200mg DP")*('Planning Engine'!$A$4:$A$2500=DATE(2027,8,1))*'Planning Engine'!$U$4:$U$2500),"--")</t>
  </si>
  <si>
    <t>=IFERROR(SUMPRODUCT(('Planning Engine'!$B$4:$B$2500="200mg DP")*('Planning Engine'!$A$4:$A$2500=DATE(2027,9,1))*'Planning Engine'!$U$4:$U$2500),"--")</t>
  </si>
  <si>
    <t>=IFERROR(SUMPRODUCT(('Planning Engine'!$B$4:$B$2500="200mg DP")*('Planning Engine'!$A$4:$A$2500=DATE(2027,10,1))*'Planning Engine'!$U$4:$U$2500),"--")</t>
  </si>
  <si>
    <t>=IFERROR(SUMPRODUCT(('Planning Engine'!$B$4:$B$2500="200mg DP")*('Planning Engine'!$A$4:$A$2500=DATE(2027,11,1))*'Planning Engine'!$U$4:$U$2500),"--")</t>
  </si>
  <si>
    <t>=IFERROR(SUMPRODUCT(('Planning Engine'!$B$4:$B$2500="200mg DP")*('Planning Engine'!$A$4:$A$2500=DATE(2027,12,1))*'Planning Engine'!$U$4:$U$2500),"--")</t>
  </si>
  <si>
    <t>=IFERROR(SUMPRODUCT(('Planning Engine'!$B$4:$B$2500="200mg DP")*('Planning Engine'!$A$4:$A$2500=DATE(2028,1,1))*'Planning Engine'!$U$4:$U$2500),"--")</t>
  </si>
  <si>
    <t>=IFERROR(SUMPRODUCT(('Planning Engine'!$B$4:$B$2500="200mg DP")*('Planning Engine'!$A$4:$A$2500=DATE(2028,2,1))*'Planning Engine'!$U$4:$U$2500),"--")</t>
  </si>
  <si>
    <t>=IFERROR(SUMPRODUCT(('Planning Engine'!$B$4:$B$2500="200mg DP")*('Planning Engine'!$A$4:$A$2500=DATE(2028,3,1))*'Planning Engine'!$U$4:$U$2500),"--")</t>
  </si>
  <si>
    <t>=IFERROR(SUMPRODUCT(('Planning Engine'!$B$4:$B$2500="200mg DP")*('Planning Engine'!$A$4:$A$2500=DATE(2028,4,1))*'Planning Engine'!$U$4:$U$2500),"--")</t>
  </si>
  <si>
    <t>=IFERROR(SUMPRODUCT(('Planning Engine'!$B$4:$B$2500="200mg DP")*('Planning Engine'!$A$4:$A$2500=DATE(2028,5,1))*'Planning Engine'!$U$4:$U$2500),"--")</t>
  </si>
  <si>
    <t>=IFERROR(SUMPRODUCT(('Planning Engine'!$B$4:$B$2500="200mg DP")*('Planning Engine'!$A$4:$A$2500=DATE(2028,6,1))*'Planning Engine'!$U$4:$U$2500),"--")</t>
  </si>
  <si>
    <t>=IFERROR(SUMPRODUCT(('Planning Engine'!$B$4:$B$2500="200mg DP")*('Planning Engine'!$A$4:$A$2500=DATE(2028,7,1))*'Planning Engine'!$U$4:$U$2500),"--")</t>
  </si>
  <si>
    <t>=IFERROR(SUMPRODUCT(('Planning Engine'!$B$4:$B$2500="200mg DP")*('Planning Engine'!$A$4:$A$2500=DATE(2028,8,1))*'Planning Engine'!$U$4:$U$2500),"--")</t>
  </si>
  <si>
    <t>=IFERROR(SUMPRODUCT(('Planning Engine'!$B$4:$B$2500="200mg DP")*('Planning Engine'!$A$4:$A$2500=DATE(2028,9,1))*'Planning Engine'!$U$4:$U$2500),"--")</t>
  </si>
  <si>
    <t>=IFERROR(SUMPRODUCT(('Planning Engine'!$B$4:$B$2500="200mg DP")*('Planning Engine'!$A$4:$A$2500=DATE(2028,10,1))*'Planning Engine'!$U$4:$U$2500),"--")</t>
  </si>
  <si>
    <t>=IFERROR(SUMPRODUCT(('Planning Engine'!$B$4:$B$2500="200mg DP")*('Planning Engine'!$A$4:$A$2500=DATE(2028,11,1))*'Planning Engine'!$U$4:$U$2500),"--")</t>
  </si>
  <si>
    <t>=IFERROR(SUMPRODUCT(('Planning Engine'!$B$4:$B$2500="200mg DP")*('Planning Engine'!$A$4:$A$2500=DATE(2028,12,1))*'Planning Engine'!$U$4:$U$2500),"--")</t>
  </si>
  <si>
    <t>=IFERROR(SUMPRODUCT(('Planning Engine'!$B$4:$B$2500="200mg DP")*('Planning Engine'!$A$4:$A$2500=DATE(2029,1,1))*'Planning Engine'!$U$4:$U$2500),"--")</t>
  </si>
  <si>
    <t>=IFERROR(SUMPRODUCT(('Planning Engine'!$B$4:$B$2500="200mg DP")*('Planning Engine'!$A$4:$A$2500=DATE(2029,2,1))*'Planning Engine'!$U$4:$U$2500),"--")</t>
  </si>
  <si>
    <t>=IFERROR(SUMPRODUCT(('Planning Engine'!$B$4:$B$2500="200mg DP")*('Planning Engine'!$A$4:$A$2500=DATE(2029,3,1))*'Planning Engine'!$U$4:$U$2500),"--")</t>
  </si>
  <si>
    <t>=IFERROR(SUMPRODUCT(('Planning Engine'!$B$4:$B$2500="200mg DP")*('Planning Engine'!$A$4:$A$2500=DATE(2029,4,1))*'Planning Engine'!$U$4:$U$2500),"--")</t>
  </si>
  <si>
    <t>=IFERROR(SUMPRODUCT(('Planning Engine'!$B$4:$B$2500="200mg DP")*('Planning Engine'!$A$4:$A$2500=DATE(2029,5,1))*'Planning Engine'!$U$4:$U$2500),"--")</t>
  </si>
  <si>
    <t>=IFERROR(SUMPRODUCT(('Planning Engine'!$B$4:$B$2500="200mg DP")*('Planning Engine'!$A$4:$A$2500=DATE(2029,6,1))*'Planning Engine'!$U$4:$U$2500),"--")</t>
  </si>
  <si>
    <t>=IFERROR(SUMPRODUCT(('Planning Engine'!$B$4:$B$2500="200mg DP")*('Planning Engine'!$A$4:$A$2500=DATE(2029,7,1))*'Planning Engine'!$U$4:$U$2500),"--")</t>
  </si>
  <si>
    <t>=IFERROR(SUMPRODUCT(('Planning Engine'!$B$4:$B$2500="200mg DP")*('Planning Engine'!$A$4:$A$2500=DATE(2029,8,1))*'Planning Engine'!$U$4:$U$2500),"--")</t>
  </si>
  <si>
    <t>=IFERROR(SUMPRODUCT(('Planning Engine'!$B$4:$B$2500="200mg DP")*('Planning Engine'!$A$4:$A$2500=DATE(2029,9,1))*'Planning Engine'!$U$4:$U$2500),"--")</t>
  </si>
  <si>
    <t>=IFERROR(SUMPRODUCT(('Planning Engine'!$B$4:$B$2500="200mg DP")*('Planning Engine'!$A$4:$A$2500=DATE(2029,10,1))*'Planning Engine'!$U$4:$U$2500),"--")</t>
  </si>
  <si>
    <t>=IFERROR(SUMPRODUCT(('Planning Engine'!$B$4:$B$2500="200mg DP")*('Planning Engine'!$A$4:$A$2500=DATE(2029,11,1))*'Planning Engine'!$U$4:$U$2500),"--")</t>
  </si>
  <si>
    <t>=IFERROR(SUMPRODUCT(('Planning Engine'!$B$4:$B$2500="200mg DP")*('Planning Engine'!$A$4:$A$2500=DATE(2029,12,1))*'Planning Engine'!$U$4:$U$2500),"--")</t>
  </si>
  <si>
    <t>=IFERROR(SUMPRODUCT(('Planning Engine'!$B$4:$B$2500="200mg DP")*('Planning Engine'!$A$4:$A$2500=DATE(2030,1,1))*'Planning Engine'!$U$4:$U$2500),"--")</t>
  </si>
  <si>
    <t>=IFERROR(SUMPRODUCT(('Planning Engine'!$B$4:$B$2500="200mg DP")*('Planning Engine'!$A$4:$A$2500=DATE(2030,2,1))*'Planning Engine'!$U$4:$U$2500),"--")</t>
  </si>
  <si>
    <t>=IFERROR(SUMPRODUCT(('Planning Engine'!$B$4:$B$2500="200mg DP")*('Planning Engine'!$A$4:$A$2500=DATE(2030,3,1))*'Planning Engine'!$U$4:$U$2500),"--")</t>
  </si>
  <si>
    <t>=IFERROR(SUMPRODUCT(('Planning Engine'!$B$4:$B$2500="200mg DP")*('Planning Engine'!$A$4:$A$2500=DATE(2030,4,1))*'Planning Engine'!$U$4:$U$2500),"--")</t>
  </si>
  <si>
    <t>=IFERROR(SUMPRODUCT(('Planning Engine'!$B$4:$B$2500="200mg DP")*('Planning Engine'!$A$4:$A$2500=DATE(2030,5,1))*'Planning Engine'!$U$4:$U$2500),"--")</t>
  </si>
  <si>
    <t>=IFERROR(SUMPRODUCT(('Planning Engine'!$B$4:$B$2500="200mg DP")*('Planning Engine'!$A$4:$A$2500=DATE(2030,6,1))*'Planning Engine'!$U$4:$U$2500),"--")</t>
  </si>
  <si>
    <t>=IFERROR(SUMPRODUCT(('Planning Engine'!$B$4:$B$2500="200mg DP")*('Planning Engine'!$A$4:$A$2500=DATE(2030,7,1))*'Planning Engine'!$U$4:$U$2500),"--")</t>
  </si>
  <si>
    <t>=IFERROR(SUMPRODUCT(('Planning Engine'!$B$4:$B$2500="200mg DP")*('Planning Engine'!$A$4:$A$2500=DATE(2030,8,1))*'Planning Engine'!$U$4:$U$2500),"--")</t>
  </si>
  <si>
    <t>=IFERROR(SUMPRODUCT(('Planning Engine'!$B$4:$B$2500="200mg DP")*('Planning Engine'!$A$4:$A$2500=DATE(2030,9,1))*'Planning Engine'!$U$4:$U$2500),"--")</t>
  </si>
  <si>
    <t>=IFERROR(SUMPRODUCT(('Planning Engine'!$B$4:$B$2500="200mg DP")*('Planning Engine'!$A$4:$A$2500=DATE(2030,10,1))*'Planning Engine'!$U$4:$U$2500),"--")</t>
  </si>
  <si>
    <t>=IFERROR(SUMPRODUCT(('Planning Engine'!$B$4:$B$2500="200mg DP")*('Planning Engine'!$A$4:$A$2500=DATE(2030,11,1))*'Planning Engine'!$U$4:$U$2500),"--")</t>
  </si>
  <si>
    <t>=IFERROR(SUMPRODUCT(('Planning Engine'!$B$4:$B$2500="200mg DP")*('Planning Engine'!$A$4:$A$2500=DATE(2030,12,1))*'Planning Engine'!$U$4:$U$2500),"--")</t>
  </si>
  <si>
    <t>=IFERROR(SUMPRODUCT(('Planning Engine'!$B$4:$B$2500="200mg DP")*('Planning Engine'!$A$4:$A$2500=DATE(2031,1,1))*'Planning Engine'!$U$4:$U$2500),"--")</t>
  </si>
  <si>
    <t>=IFERROR(SUMPRODUCT(('Planning Engine'!$B$4:$B$2500="200mg DP")*('Planning Engine'!$A$4:$A$2500=DATE(2031,2,1))*'Planning Engine'!$U$4:$U$2500),"--")</t>
  </si>
  <si>
    <t>=IFERROR(SUMPRODUCT(('Planning Engine'!$B$4:$B$2500="200mg DP")*('Planning Engine'!$A$4:$A$2500=DATE(2031,3,1))*'Planning Engine'!$U$4:$U$2500),"--")</t>
  </si>
  <si>
    <t>=IFERROR(SUMPRODUCT(('Planning Engine'!$B$4:$B$2500="200mg DP")*('Planning Engine'!$A$4:$A$2500=DATE(2031,4,1))*'Planning Engine'!$U$4:$U$2500),"--")</t>
  </si>
  <si>
    <t>=IFERROR(SUMPRODUCT(('Planning Engine'!$B$4:$B$2500="200mg DP")*('Planning Engine'!$A$4:$A$2500=DATE(2031,5,1))*'Planning Engine'!$U$4:$U$2500),"--")</t>
  </si>
  <si>
    <t>=IFERROR(SUMPRODUCT(('Planning Engine'!$B$4:$B$2500="200mg DP")*('Planning Engine'!$A$4:$A$2500=DATE(2031,6,1))*'Planning Engine'!$U$4:$U$2500),"--")</t>
  </si>
  <si>
    <t>=IFERROR(SUMPRODUCT(('Planning Engine'!$B$4:$B$2500="200mg DP")*('Planning Engine'!$A$4:$A$2500=DATE(2031,7,1))*'Planning Engine'!$U$4:$U$2500),"--")</t>
  </si>
  <si>
    <t>=IFERROR(SUMPRODUCT(('Planning Engine'!$B$4:$B$2500="200mg DP")*('Planning Engine'!$A$4:$A$2500=DATE(2031,8,1))*'Planning Engine'!$U$4:$U$2500),"--")</t>
  </si>
  <si>
    <t>=IFERROR(SUMPRODUCT(('Planning Engine'!$B$4:$B$2500="200mg DP")*('Planning Engine'!$A$4:$A$2500=DATE(2031,9,1))*'Planning Engine'!$U$4:$U$2500),"--")</t>
  </si>
  <si>
    <t>=IFERROR(SUMPRODUCT(('Planning Engine'!$B$4:$B$2500="200mg DP")*('Planning Engine'!$A$4:$A$2500=DATE(2031,10,1))*'Planning Engine'!$U$4:$U$2500),"--")</t>
  </si>
  <si>
    <t>=IFERROR(SUMPRODUCT(('Planning Engine'!$B$4:$B$2500="200mg DP")*('Planning Engine'!$A$4:$A$2500=DATE(2031,11,1))*'Planning Engine'!$U$4:$U$2500),"--")</t>
  </si>
  <si>
    <t>=IFERROR(SUMPRODUCT(('Planning Engine'!$B$4:$B$2500="200mg DP")*('Planning Engine'!$A$4:$A$2500=DATE(2031,12,1))*'Planning Engine'!$U$4:$U$2500),"--")</t>
  </si>
  <si>
    <t>=IFERROR(SUMPRODUCT(('Planning Engine'!$B$4:$B$2500="200mg DP")*('Planning Engine'!$A$4:$A$2500=DATE(2032,1,1))*'Planning Engine'!$U$4:$U$2500),"--")</t>
  </si>
  <si>
    <t>=IFERROR(SUMPRODUCT(('Planning Engine'!$B$4:$B$2500="200mg DP")*('Planning Engine'!$A$4:$A$2500=DATE(2032,2,1))*'Planning Engine'!$U$4:$U$2500),"--")</t>
  </si>
  <si>
    <t>=IFERROR(SUMPRODUCT(('Planning Engine'!$B$4:$B$2500="200mg DP")*('Planning Engine'!$A$4:$A$2500=DATE(2032,3,1))*'Planning Engine'!$U$4:$U$2500),"--")</t>
  </si>
  <si>
    <t>=IFERROR(SUMPRODUCT(('Planning Engine'!$B$4:$B$2500="200mg DP")*('Planning Engine'!$A$4:$A$2500=DATE(2032,4,1))*'Planning Engine'!$U$4:$U$2500),"--")</t>
  </si>
  <si>
    <t>=IFERROR(SUMPRODUCT(('Planning Engine'!$B$4:$B$2500="200mg DP")*('Planning Engine'!$A$4:$A$2500=DATE(2032,5,1))*'Planning Engine'!$U$4:$U$2500),"--")</t>
  </si>
  <si>
    <t>=IFERROR(SUMPRODUCT(('Planning Engine'!$B$4:$B$2500="200mg DP")*('Planning Engine'!$A$4:$A$2500=DATE(2032,6,1))*'Planning Engine'!$U$4:$U$2500),"--")</t>
  </si>
  <si>
    <t>=IFERROR(SUMPRODUCT(('Planning Engine'!$B$4:$B$2500="200mg DP")*('Planning Engine'!$A$4:$A$2500=DATE(2032,7,1))*'Planning Engine'!$U$4:$U$2500),"--")</t>
  </si>
  <si>
    <t>=IFERROR(SUMPRODUCT(('Planning Engine'!$B$4:$B$2500="200mg DP")*('Planning Engine'!$A$4:$A$2500=DATE(2032,8,1))*'Planning Engine'!$U$4:$U$2500),"--")</t>
  </si>
  <si>
    <t>=IFERROR(SUMPRODUCT(('Planning Engine'!$B$4:$B$2500="200mg DP")*('Planning Engine'!$A$4:$A$2500=DATE(2032,9,1))*'Planning Engine'!$U$4:$U$2500),"--")</t>
  </si>
  <si>
    <t>=IFERROR(SUMPRODUCT(('Planning Engine'!$B$4:$B$2500="200mg DP")*('Planning Engine'!$A$4:$A$2500=DATE(2032,10,1))*'Planning Engine'!$U$4:$U$2500),"--")</t>
  </si>
  <si>
    <t>=IFERROR(SUMPRODUCT(('Planning Engine'!$B$4:$B$2500="200mg DP")*('Planning Engine'!$A$4:$A$2500=DATE(2032,11,1))*'Planning Engine'!$U$4:$U$2500),"--")</t>
  </si>
  <si>
    <t>=IFERROR(SUMPRODUCT(('Planning Engine'!$B$4:$B$2500="200mg DP")*('Planning Engine'!$A$4:$A$2500=DATE(2032,12,1))*'Planning Engine'!$U$4:$U$2500),"--")</t>
  </si>
  <si>
    <t>=IFERROR(SUMPRODUCT(('Planning Engine'!$B$4:$B$2500="200mg DP")*('Planning Engine'!$A$4:$A$2500=DATE(2033,1,1))*'Planning Engine'!$U$4:$U$2500),"--")</t>
  </si>
  <si>
    <t>=IFERROR(SUMPRODUCT(('Planning Engine'!$B$4:$B$2500="200mg DP")*('Planning Engine'!$A$4:$A$2500=DATE(2033,2,1))*'Planning Engine'!$U$4:$U$2500),"--")</t>
  </si>
  <si>
    <t>=IFERROR(SUMPRODUCT(('Planning Engine'!$B$4:$B$2500="200mg DP")*('Planning Engine'!$A$4:$A$2500=DATE(2033,3,1))*'Planning Engine'!$U$4:$U$2500),"--")</t>
  </si>
  <si>
    <t>=IFERROR(SUMPRODUCT(('Planning Engine'!$B$4:$B$2500="200mg DP")*('Planning Engine'!$A$4:$A$2500=DATE(2033,4,1))*'Planning Engine'!$U$4:$U$2500),"--")</t>
  </si>
  <si>
    <t>=IFERROR(SUMPRODUCT(('Planning Engine'!$B$4:$B$2500="200mg DP")*('Planning Engine'!$A$4:$A$2500=DATE(2033,5,1))*'Planning Engine'!$U$4:$U$2500),"--")</t>
  </si>
  <si>
    <t>=IFERROR(SUMPRODUCT(('Planning Engine'!$B$4:$B$2500="200mg DP")*('Planning Engine'!$A$4:$A$2500=DATE(2033,6,1))*'Planning Engine'!$U$4:$U$2500),"--")</t>
  </si>
  <si>
    <t>=IFERROR(SUMPRODUCT(('Planning Engine'!$B$4:$B$2500="200mg DP")*('Planning Engine'!$A$4:$A$2500=DATE(2033,7,1))*'Planning Engine'!$U$4:$U$2500),"--")</t>
  </si>
  <si>
    <t>=IFERROR(SUMPRODUCT(('Planning Engine'!$B$4:$B$2500="200mg DP")*('Planning Engine'!$A$4:$A$2500=DATE(2033,8,1))*'Planning Engine'!$U$4:$U$2500),"--")</t>
  </si>
  <si>
    <t>=IFERROR(SUMPRODUCT(('Planning Engine'!$B$4:$B$2500="200mg DP")*('Planning Engine'!$A$4:$A$2500=DATE(2033,9,1))*'Planning Engine'!$U$4:$U$2500),"--")</t>
  </si>
  <si>
    <t>=IFERROR(SUMPRODUCT(('Planning Engine'!$B$4:$B$2500="200mg DP")*('Planning Engine'!$A$4:$A$2500=DATE(2033,10,1))*'Planning Engine'!$U$4:$U$2500),"--")</t>
  </si>
  <si>
    <t>=IFERROR(SUMPRODUCT(('Planning Engine'!$B$4:$B$2500="200mg DP")*('Planning Engine'!$A$4:$A$2500=DATE(2033,11,1))*'Planning Engine'!$U$4:$U$2500),"--")</t>
  </si>
  <si>
    <t>=IFERROR(SUMPRODUCT(('Planning Engine'!$B$4:$B$2500="200mg DP")*('Planning Engine'!$A$4:$A$2500=DATE(2033,12,1))*'Planning Engine'!$U$4:$U$2500),"--")</t>
  </si>
  <si>
    <t>=IFERROR(SUMPRODUCT(('Planning Engine'!$B$4:$B$2500="200mg DP")*('Planning Engine'!$A$4:$A$2500=DATE(2034,1,1))*'Planning Engine'!$U$4:$U$2500),"--")</t>
  </si>
  <si>
    <t>=IFERROR(SUMPRODUCT(('Planning Engine'!$B$4:$B$2500="200mg DP")*('Planning Engine'!$A$4:$A$2500=DATE(2034,2,1))*'Planning Engine'!$U$4:$U$2500),"--")</t>
  </si>
  <si>
    <t>=IFERROR(SUMPRODUCT(('Planning Engine'!$B$4:$B$2500="200mg DP")*('Planning Engine'!$A$4:$A$2500=DATE(2034,3,1))*'Planning Engine'!$U$4:$U$2500),"--")</t>
  </si>
  <si>
    <t>=IFERROR(SUMPRODUCT(('Planning Engine'!$B$4:$B$2500="200mg DP")*('Planning Engine'!$A$4:$A$2500=DATE(2034,4,1))*'Planning Engine'!$U$4:$U$2500),"--")</t>
  </si>
  <si>
    <t>=IFERROR(SUMPRODUCT(('Planning Engine'!$B$4:$B$2500="200mg DP")*('Planning Engine'!$A$4:$A$2500=DATE(2034,5,1))*'Planning Engine'!$U$4:$U$2500),"--")</t>
  </si>
  <si>
    <t>=IFERROR(SUMPRODUCT(('Planning Engine'!$B$4:$B$2500="200mg DP")*('Planning Engine'!$A$4:$A$2500=DATE(2034,6,1))*'Planning Engine'!$U$4:$U$2500),"--")</t>
  </si>
  <si>
    <t>=IFERROR(SUMPRODUCT(('Planning Engine'!$B$4:$B$2500="200mg DP")*('Planning Engine'!$A$4:$A$2500=DATE(2034,7,1))*'Planning Engine'!$U$4:$U$2500),"--")</t>
  </si>
  <si>
    <t>=IFERROR(SUMPRODUCT(('Planning Engine'!$B$4:$B$2500="200mg DP")*('Planning Engine'!$A$4:$A$2500=DATE(2034,8,1))*'Planning Engine'!$U$4:$U$2500),"--")</t>
  </si>
  <si>
    <t>=IFERROR(SUMPRODUCT(('Planning Engine'!$B$4:$B$2500="200mg DP")*('Planning Engine'!$A$4:$A$2500=DATE(2034,9,1))*'Planning Engine'!$U$4:$U$2500),"--")</t>
  </si>
  <si>
    <t>=IFERROR(SUMPRODUCT(('Planning Engine'!$B$4:$B$2500="200mg DP")*('Planning Engine'!$A$4:$A$2500=DATE(2034,10,1))*'Planning Engine'!$U$4:$U$2500),"--")</t>
  </si>
  <si>
    <t>=IFERROR(SUMPRODUCT(('Planning Engine'!$B$4:$B$2500="200mg DP")*('Planning Engine'!$A$4:$A$2500=DATE(2034,11,1))*'Planning Engine'!$U$4:$U$2500),"--")</t>
  </si>
  <si>
    <t>=IFERROR(SUMPRODUCT(('Planning Engine'!$B$4:$B$2500="200mg DP")*('Planning Engine'!$A$4:$A$2500=DATE(2034,12,1))*'Planning Engine'!$U$4:$U$2500),"--")</t>
  </si>
  <si>
    <t>=IFERROR(SUMPRODUCT(('Planning Engine'!$B$4:$B$2500="200mg DP")*('Planning Engine'!$A$4:$A$2500=DATE(2035,1,1))*'Planning Engine'!$U$4:$U$2500),"--")</t>
  </si>
  <si>
    <t>=IFERROR(SUMPRODUCT(('Planning Engine'!$B$4:$B$2500="200mg DP")*('Planning Engine'!$A$4:$A$2500=DATE(2035,2,1))*'Planning Engine'!$U$4:$U$2500),"--")</t>
  </si>
  <si>
    <t>=IFERROR(SUMPRODUCT(('Planning Engine'!$B$4:$B$2500="200mg DP")*('Planning Engine'!$A$4:$A$2500=DATE(2035,3,1))*'Planning Engine'!$U$4:$U$2500),"--")</t>
  </si>
  <si>
    <t>=IFERROR(SUMPRODUCT(('Planning Engine'!$B$4:$B$2500="200mg DP")*('Planning Engine'!$A$4:$A$2500=DATE(2035,4,1))*'Planning Engine'!$U$4:$U$2500),"--")</t>
  </si>
  <si>
    <t>=IFERROR(SUMPRODUCT(('Planning Engine'!$B$4:$B$2500="200mg DP")*('Planning Engine'!$A$4:$A$2500=DATE(2035,5,1))*'Planning Engine'!$U$4:$U$2500),"--")</t>
  </si>
  <si>
    <t>=IFERROR(SUMPRODUCT(('Planning Engine'!$B$4:$B$2500="200mg DP")*('Planning Engine'!$A$4:$A$2500=DATE(2035,6,1))*'Planning Engine'!$U$4:$U$2500),"--")</t>
  </si>
  <si>
    <t>=IFERROR(SUMPRODUCT(('Planning Engine'!$B$4:$B$2500="200mg DP")*('Planning Engine'!$A$4:$A$2500=DATE(2035,7,1))*'Planning Engine'!$U$4:$U$2500),"--")</t>
  </si>
  <si>
    <t>=IFERROR(SUMPRODUCT(('Planning Engine'!$B$4:$B$2500="200mg DP")*('Planning Engine'!$A$4:$A$2500=DATE(2035,8,1))*'Planning Engine'!$U$4:$U$2500),"--")</t>
  </si>
  <si>
    <t>=IFERROR(SUMPRODUCT(('Planning Engine'!$B$4:$B$2500="200mg DP")*('Planning Engine'!$A$4:$A$2500=DATE(2035,9,1))*'Planning Engine'!$U$4:$U$2500),"--")</t>
  </si>
  <si>
    <t>=IFERROR(SUMPRODUCT(('Planning Engine'!$B$4:$B$2500="200mg DP")*('Planning Engine'!$A$4:$A$2500=DATE(2035,10,1))*'Planning Engine'!$U$4:$U$2500),"--")</t>
  </si>
  <si>
    <t>=IFERROR(SUMPRODUCT(('Planning Engine'!$B$4:$B$2500="200mg DP")*('Planning Engine'!$A$4:$A$2500=DATE(2035,11,1))*'Planning Engine'!$U$4:$U$2500),"--")</t>
  </si>
  <si>
    <t>=IFERROR(SUMPRODUCT(('Planning Engine'!$B$4:$B$2500="200mg DP")*('Planning Engine'!$A$4:$A$2500=DATE(2035,12,1))*'Planning Engine'!$U$4:$U$2500),"--")</t>
  </si>
  <si>
    <t>=IFERROR(SUMPRODUCT(('Planning Engine'!$B$4:$B$2500="200mg DP")*('Planning Engine'!$A$4:$A$2500=DATE(2036,1,1))*'Planning Engine'!$U$4:$U$2500),"--")</t>
  </si>
  <si>
    <t>=IFERROR(SUMPRODUCT(('Planning Engine'!$B$4:$B$2500="200mg DP")*('Planning Engine'!$A$4:$A$2500=DATE(2036,2,1))*'Planning Engine'!$U$4:$U$2500),"--")</t>
  </si>
  <si>
    <t>=IFERROR(SUMPRODUCT(('Planning Engine'!$B$4:$B$2500="200mg DP")*('Planning Engine'!$A$4:$A$2500=DATE(2036,3,1))*'Planning Engine'!$U$4:$U$2500),"--")</t>
  </si>
  <si>
    <t>=IFERROR(SUMPRODUCT(('Planning Engine'!$B$4:$B$2500="200mg DP")*('Planning Engine'!$A$4:$A$2500=DATE(2036,4,1))*'Planning Engine'!$U$4:$U$2500),"--")</t>
  </si>
  <si>
    <t>=IFERROR(SUMPRODUCT(('Planning Engine'!$B$4:$B$2500="200mg DP")*('Planning Engine'!$A$4:$A$2500=DATE(2036,5,1))*'Planning Engine'!$U$4:$U$2500),"--")</t>
  </si>
  <si>
    <t>=IFERROR(SUMPRODUCT(('Planning Engine'!$B$4:$B$2500="200mg DP")*('Planning Engine'!$A$4:$A$2500=DATE(2036,6,1))*'Planning Engine'!$U$4:$U$2500),"--")</t>
  </si>
  <si>
    <t>=IFERROR(SUMPRODUCT(('Planning Engine'!$B$4:$B$2500="200mg DP")*('Planning Engine'!$A$4:$A$2500=DATE(2036,7,1))*'Planning Engine'!$U$4:$U$2500),"--")</t>
  </si>
  <si>
    <t>=IFERROR(SUMPRODUCT(('Planning Engine'!$B$4:$B$2500="200mg DP")*('Planning Engine'!$A$4:$A$2500=DATE(2036,8,1))*'Planning Engine'!$U$4:$U$2500),"--")</t>
  </si>
  <si>
    <t>=IFERROR(SUMPRODUCT(('Planning Engine'!$B$4:$B$2500="200mg DP")*('Planning Engine'!$A$4:$A$2500=DATE(2036,9,1))*'Planning Engine'!$U$4:$U$2500),"--")</t>
  </si>
  <si>
    <t>=IFERROR(SUMPRODUCT(('Planning Engine'!$B$4:$B$2500="200mg DP")*('Planning Engine'!$A$4:$A$2500=DATE(2036,10,1))*'Planning Engine'!$U$4:$U$2500),"--")</t>
  </si>
  <si>
    <t>=IFERROR(SUMPRODUCT(('Planning Engine'!$B$4:$B$2500="200mg DP")*('Planning Engine'!$A$4:$A$2500=DATE(2036,11,1))*'Planning Engine'!$U$4:$U$2500),"--")</t>
  </si>
  <si>
    <t>=IFERROR(SUMPRODUCT(('Planning Engine'!$B$4:$B$2500="200mg DP")*('Planning Engine'!$A$4:$A$2500=DATE(2036,12,1))*'Planning Engine'!$U$4:$U$2500),"--")</t>
  </si>
  <si>
    <t>=IFERROR(SUMPRODUCT(('Planning Engine'!$B$4:$B$2500="200mg DP")*('Planning Engine'!$A$4:$A$2500=DATE(2037,1,1))*'Planning Engine'!$U$4:$U$2500),"--")</t>
  </si>
  <si>
    <t>=IFERROR(SUMPRODUCT(('Planning Engine'!$B$4:$B$2500="200mg DP")*('Planning Engine'!$A$4:$A$2500=DATE(2037,2,1))*'Planning Engine'!$U$4:$U$2500),"--")</t>
  </si>
  <si>
    <t>=IFERROR(SUMPRODUCT(('Planning Engine'!$B$4:$B$2500="200mg DP")*('Planning Engine'!$A$4:$A$2500=DATE(2037,3,1))*'Planning Engine'!$U$4:$U$2500),"--")</t>
  </si>
  <si>
    <t>=IFERROR(SUMPRODUCT(('Planning Engine'!$B$4:$B$2500="200mg DP")*('Planning Engine'!$A$4:$A$2500=DATE(2037,4,1))*'Planning Engine'!$U$4:$U$2500),"--")</t>
  </si>
  <si>
    <t>=IFERROR(SUMPRODUCT(('Planning Engine'!$B$4:$B$2500="200mg DP")*('Planning Engine'!$A$4:$A$2500=DATE(2037,5,1))*'Planning Engine'!$U$4:$U$2500),"--")</t>
  </si>
  <si>
    <t>=IFERROR(SUMPRODUCT(('Planning Engine'!$B$4:$B$2500="200mg DP")*('Planning Engine'!$A$4:$A$2500=DATE(2037,6,1))*'Planning Engine'!$U$4:$U$2500),"--")</t>
  </si>
  <si>
    <t>=IFERROR(SUMPRODUCT(('Planning Engine'!$B$4:$B$2500="200mg DP")*('Planning Engine'!$A$4:$A$2500=DATE(2037,7,1))*'Planning Engine'!$U$4:$U$2500),"--")</t>
  </si>
  <si>
    <t>=IFERROR(SUMPRODUCT(('Planning Engine'!$B$4:$B$2500="200mg DP")*('Planning Engine'!$A$4:$A$2500=DATE(2037,8,1))*'Planning Engine'!$U$4:$U$2500),"--")</t>
  </si>
  <si>
    <t>=IFERROR(SUMPRODUCT(('Planning Engine'!$B$4:$B$2500="200mg DP")*('Planning Engine'!$A$4:$A$2500=DATE(2037,9,1))*'Planning Engine'!$U$4:$U$2500),"--")</t>
  </si>
  <si>
    <t>=IFERROR(SUMPRODUCT(('Planning Engine'!$B$4:$B$2500="200mg DP")*('Planning Engine'!$A$4:$A$2500=DATE(2037,10,1))*'Planning Engine'!$U$4:$U$2500),"--")</t>
  </si>
  <si>
    <t>=IFERROR(SUMPRODUCT(('Planning Engine'!$B$4:$B$2500="200mg DP")*('Planning Engine'!$A$4:$A$2500=DATE(2037,11,1))*'Planning Engine'!$U$4:$U$2500),"--")</t>
  </si>
  <si>
    <t>=IFERROR(SUMPRODUCT(('Planning Engine'!$B$4:$B$2500="200mg DP")*('Planning Engine'!$A$4:$A$2500=DATE(2037,12,1))*'Planning Engine'!$U$4:$U$2500),"--")</t>
  </si>
  <si>
    <t>=IFERROR(SUMPRODUCT(('Planning Engine'!$B$4:$B$2500="200mg DP")*('Planning Engine'!$A$4:$A$2500=DATE(2038,1,1))*'Planning Engine'!$U$4:$U$2500),"--")</t>
  </si>
  <si>
    <t>=IFERROR(SUMPRODUCT(('Planning Engine'!$B$4:$B$2500="200mg DP")*('Planning Engine'!$A$4:$A$2500=DATE(2038,2,1))*'Planning Engine'!$U$4:$U$2500),"--")</t>
  </si>
  <si>
    <t>=IFERROR(SUMPRODUCT(('Planning Engine'!$B$4:$B$2500="200mg DP")*('Planning Engine'!$A$4:$A$2500=DATE(2038,3,1))*'Planning Engine'!$U$4:$U$2500),"--")</t>
  </si>
  <si>
    <t>=IFERROR(SUMPRODUCT(('Planning Engine'!$B$4:$B$2500="200mg DP")*('Planning Engine'!$A$4:$A$2500=DATE(2038,4,1))*'Planning Engine'!$U$4:$U$2500),"--")</t>
  </si>
  <si>
    <t>=IFERROR(SUMPRODUCT(('Planning Engine'!$B$4:$B$2500="200mg DP")*('Planning Engine'!$A$4:$A$2500=DATE(2038,5,1))*'Planning Engine'!$U$4:$U$2500),"--")</t>
  </si>
  <si>
    <t>=IFERROR(SUMPRODUCT(('Planning Engine'!$B$4:$B$2500="200mg DP")*('Planning Engine'!$A$4:$A$2500=DATE(2038,6,1))*'Planning Engine'!$U$4:$U$2500),"--")</t>
  </si>
  <si>
    <t>=IFERROR(SUMPRODUCT(('Planning Engine'!$B$4:$B$2500="200mg DP")*('Planning Engine'!$A$4:$A$2500=DATE(2038,7,1))*'Planning Engine'!$U$4:$U$2500),"--")</t>
  </si>
  <si>
    <t>=IFERROR(SUMPRODUCT(('Planning Engine'!$B$4:$B$2500="200mg DP")*('Planning Engine'!$A$4:$A$2500=DATE(2038,8,1))*'Planning Engine'!$U$4:$U$2500),"--")</t>
  </si>
  <si>
    <t>=IFERROR(SUMPRODUCT(('Planning Engine'!$B$4:$B$2500="200mg DP")*('Planning Engine'!$A$4:$A$2500=DATE(2038,9,1))*'Planning Engine'!$U$4:$U$2500),"--")</t>
  </si>
  <si>
    <t>=IFERROR(SUMPRODUCT(('Planning Engine'!$B$4:$B$2500="200mg DP")*('Planning Engine'!$A$4:$A$2500=DATE(2038,10,1))*'Planning Engine'!$U$4:$U$2500),"--")</t>
  </si>
  <si>
    <t>=IFERROR(SUMPRODUCT(('Planning Engine'!$B$4:$B$2500="200mg DP")*('Planning Engine'!$A$4:$A$2500=DATE(2038,11,1))*'Planning Engine'!$U$4:$U$2500),"--")</t>
  </si>
  <si>
    <t>=IFERROR(SUMPRODUCT(('Planning Engine'!$B$4:$B$2500="200mg DP")*('Planning Engine'!$A$4:$A$2500=DATE(2038,12,1))*'Planning Engine'!$U$4:$U$2500),"--")</t>
  </si>
  <si>
    <t>=IFERROR(SUMPRODUCT(('Planning Engine'!$B$4:$B$2500="200mg DP")*('Planning Engine'!$A$4:$A$2500=DATE(2039,1,1))*'Planning Engine'!$U$4:$U$2500),"--")</t>
  </si>
  <si>
    <t>=IFERROR(SUMPRODUCT(('Planning Engine'!$B$4:$B$2500="200mg DP")*('Planning Engine'!$A$4:$A$2500=DATE(2039,2,1))*'Planning Engine'!$U$4:$U$2500),"--")</t>
  </si>
  <si>
    <t>=IFERROR(SUMPRODUCT(('Planning Engine'!$B$4:$B$2500="200mg DP")*('Planning Engine'!$A$4:$A$2500=DATE(2039,3,1))*'Planning Engine'!$U$4:$U$2500),"--")</t>
  </si>
  <si>
    <t>=IFERROR(SUMPRODUCT(('Planning Engine'!$B$4:$B$2500="200mg DP")*('Planning Engine'!$A$4:$A$2500=DATE(2039,4,1))*'Planning Engine'!$U$4:$U$2500),"--")</t>
  </si>
  <si>
    <t>=IFERROR(SUMPRODUCT(('Planning Engine'!$B$4:$B$2500="200mg DP")*('Planning Engine'!$A$4:$A$2500=DATE(2039,5,1))*'Planning Engine'!$U$4:$U$2500),"--")</t>
  </si>
  <si>
    <t>=IFERROR(SUMPRODUCT(('Planning Engine'!$B$4:$B$2500="200mg DP")*('Planning Engine'!$A$4:$A$2500=DATE(2039,6,1))*'Planning Engine'!$U$4:$U$2500),"--")</t>
  </si>
  <si>
    <t>=IFERROR(SUMPRODUCT(('Planning Engine'!$B$4:$B$2500="200mg DP")*('Planning Engine'!$A$4:$A$2500=DATE(2039,7,1))*'Planning Engine'!$U$4:$U$2500),"--")</t>
  </si>
  <si>
    <t>=IFERROR(SUMPRODUCT(('Planning Engine'!$B$4:$B$2500="200mg DP")*('Planning Engine'!$A$4:$A$2500=DATE(2039,8,1))*'Planning Engine'!$U$4:$U$2500),"--")</t>
  </si>
  <si>
    <t>=IFERROR(SUMPRODUCT(('Planning Engine'!$B$4:$B$2500="200mg DP")*('Planning Engine'!$A$4:$A$2500=DATE(2039,9,1))*'Planning Engine'!$U$4:$U$2500),"--")</t>
  </si>
  <si>
    <t>=IFERROR(SUMPRODUCT(('Planning Engine'!$B$4:$B$2500="200mg DP")*('Planning Engine'!$A$4:$A$2500=DATE(2039,10,1))*'Planning Engine'!$U$4:$U$2500),"--")</t>
  </si>
  <si>
    <t>=IFERROR(SUMPRODUCT(('Planning Engine'!$B$4:$B$2500="200mg DP")*('Planning Engine'!$A$4:$A$2500=DATE(2039,11,1))*'Planning Engine'!$U$4:$U$2500),"--")</t>
  </si>
  <si>
    <t>=IFERROR(SUMPRODUCT(('Planning Engine'!$B$4:$B$2500="200mg DP")*('Planning Engine'!$A$4:$A$2500=DATE(2039,12,1))*'Planning Engine'!$U$4:$U$2500),"--")</t>
  </si>
  <si>
    <t>=IFERROR(SUMPRODUCT(('Planning Engine'!$B$4:$B$2500="200mg DP")*('Planning Engine'!$A$4:$A$2500=DATE(2040,1,1))*'Planning Engine'!$U$4:$U$2500),"--")</t>
  </si>
  <si>
    <t>=IFERROR(SUMPRODUCT(('Planning Engine'!$B$4:$B$2500="200mg DP")*('Planning Engine'!$A$4:$A$2500=DATE(2040,2,1))*'Planning Engine'!$U$4:$U$2500),"--")</t>
  </si>
  <si>
    <t>=IFERROR(SUMPRODUCT(('Planning Engine'!$B$4:$B$2500="200mg DP")*('Planning Engine'!$A$4:$A$2500=DATE(2040,3,1))*'Planning Engine'!$U$4:$U$2500),"--")</t>
  </si>
  <si>
    <t>=IFERROR(SUMPRODUCT(('Planning Engine'!$B$4:$B$2500="200mg DP")*('Planning Engine'!$A$4:$A$2500=DATE(2040,4,1))*'Planning Engine'!$U$4:$U$2500),"--")</t>
  </si>
  <si>
    <t>=IFERROR(SUMPRODUCT(('Planning Engine'!$B$4:$B$2500="200mg DP")*('Planning Engine'!$A$4:$A$2500=DATE(2040,5,1))*'Planning Engine'!$U$4:$U$2500),"--")</t>
  </si>
  <si>
    <t>=IFERROR(SUMPRODUCT(('Planning Engine'!$B$4:$B$2500="200mg DP")*('Planning Engine'!$A$4:$A$2500=DATE(2040,6,1))*'Planning Engine'!$U$4:$U$2500),"--")</t>
  </si>
  <si>
    <t>=IFERROR(SUMPRODUCT(('Planning Engine'!$B$4:$B$2500="200mg DP")*('Planning Engine'!$A$4:$A$2500=DATE(2040,7,1))*'Planning Engine'!$U$4:$U$2500),"--")</t>
  </si>
  <si>
    <t>=IFERROR(SUMPRODUCT(('Planning Engine'!$B$4:$B$2500="200mg DP")*('Planning Engine'!$A$4:$A$2500=DATE(2040,8,1))*'Planning Engine'!$U$4:$U$2500),"--")</t>
  </si>
  <si>
    <t>=IFERROR(SUMPRODUCT(('Planning Engine'!$B$4:$B$2500="200mg DP")*('Planning Engine'!$A$4:$A$2500=DATE(2040,9,1))*'Planning Engine'!$U$4:$U$2500),"--")</t>
  </si>
  <si>
    <t>=IFERROR(SUMPRODUCT(('Planning Engine'!$B$4:$B$2500="200mg DP")*('Planning Engine'!$A$4:$A$2500=DATE(2040,10,1))*'Planning Engine'!$U$4:$U$2500),"--")</t>
  </si>
  <si>
    <t>=IFERROR(SUMPRODUCT(('Planning Engine'!$B$4:$B$2500="200mg DP")*('Planning Engine'!$A$4:$A$2500=DATE(2040,11,1))*'Planning Engine'!$U$4:$U$2500),"--")</t>
  </si>
  <si>
    <t>=IFERROR(SUMPRODUCT(('Planning Engine'!$B$4:$B$2500="200mg DP")*('Planning Engine'!$A$4:$A$2500=DATE(2040,12,1))*'Planning Engine'!$U$4:$U$2500),"--")</t>
  </si>
  <si>
    <t>=IFERROR(SUMPRODUCT(('Planning Engine'!$B$4:$B$2500="50mg DP")*('Planning Engine'!$A$4:$A$2500=DATE(2026,2,1))*'Planning Engine'!$U$4:$U$2500),"--")</t>
  </si>
  <si>
    <t>=IFERROR(SUMPRODUCT(('Planning Engine'!$B$4:$B$2500="50mg DP")*('Planning Engine'!$A$4:$A$2500=DATE(2026,3,1))*'Planning Engine'!$U$4:$U$2500),"--")</t>
  </si>
  <si>
    <t>=IFERROR(SUMPRODUCT(('Planning Engine'!$B$4:$B$2500="50mg DP")*('Planning Engine'!$A$4:$A$2500=DATE(2026,4,1))*'Planning Engine'!$U$4:$U$2500),"--")</t>
  </si>
  <si>
    <t>=IFERROR(SUMPRODUCT(('Planning Engine'!$B$4:$B$2500="50mg DP")*('Planning Engine'!$A$4:$A$2500=DATE(2026,5,1))*'Planning Engine'!$U$4:$U$2500),"--")</t>
  </si>
  <si>
    <t>=IFERROR(SUMPRODUCT(('Planning Engine'!$B$4:$B$2500="50mg DP")*('Planning Engine'!$A$4:$A$2500=DATE(2026,6,1))*'Planning Engine'!$U$4:$U$2500),"--")</t>
  </si>
  <si>
    <t>=IFERROR(SUMPRODUCT(('Planning Engine'!$B$4:$B$2500="50mg DP")*('Planning Engine'!$A$4:$A$2500=DATE(2026,7,1))*'Planning Engine'!$U$4:$U$2500),"--")</t>
  </si>
  <si>
    <t>=IFERROR(SUMPRODUCT(('Planning Engine'!$B$4:$B$2500="50mg DP")*('Planning Engine'!$A$4:$A$2500=DATE(2026,8,1))*'Planning Engine'!$U$4:$U$2500),"--")</t>
  </si>
  <si>
    <t>=IFERROR(SUMPRODUCT(('Planning Engine'!$B$4:$B$2500="50mg DP")*('Planning Engine'!$A$4:$A$2500=DATE(2026,9,1))*'Planning Engine'!$U$4:$U$2500),"--")</t>
  </si>
  <si>
    <t>=IFERROR(SUMPRODUCT(('Planning Engine'!$B$4:$B$2500="50mg DP")*('Planning Engine'!$A$4:$A$2500=DATE(2026,10,1))*'Planning Engine'!$U$4:$U$2500),"--")</t>
  </si>
  <si>
    <t>=IFERROR(SUMPRODUCT(('Planning Engine'!$B$4:$B$2500="50mg DP")*('Planning Engine'!$A$4:$A$2500=DATE(2026,11,1))*'Planning Engine'!$U$4:$U$2500),"--")</t>
  </si>
  <si>
    <t>=IFERROR(SUMPRODUCT(('Planning Engine'!$B$4:$B$2500="50mg DP")*('Planning Engine'!$A$4:$A$2500=DATE(2026,12,1))*'Planning Engine'!$U$4:$U$2500),"--")</t>
  </si>
  <si>
    <t>=IFERROR(SUMPRODUCT(('Planning Engine'!$B$4:$B$2500="50mg DP")*('Planning Engine'!$A$4:$A$2500=DATE(2027,1,1))*'Planning Engine'!$U$4:$U$2500),"--")</t>
  </si>
  <si>
    <t>=IFERROR(SUMPRODUCT(('Planning Engine'!$B$4:$B$2500="50mg DP")*('Planning Engine'!$A$4:$A$2500=DATE(2027,2,1))*'Planning Engine'!$U$4:$U$2500),"--")</t>
  </si>
  <si>
    <t>=IFERROR(SUMPRODUCT(('Planning Engine'!$B$4:$B$2500="50mg DP")*('Planning Engine'!$A$4:$A$2500=DATE(2027,3,1))*'Planning Engine'!$U$4:$U$2500),"--")</t>
  </si>
  <si>
    <t>=IFERROR(SUMPRODUCT(('Planning Engine'!$B$4:$B$2500="50mg DP")*('Planning Engine'!$A$4:$A$2500=DATE(2027,4,1))*'Planning Engine'!$U$4:$U$2500),"--")</t>
  </si>
  <si>
    <t>=IFERROR(SUMPRODUCT(('Planning Engine'!$B$4:$B$2500="50mg DP")*('Planning Engine'!$A$4:$A$2500=DATE(2027,5,1))*'Planning Engine'!$U$4:$U$2500),"--")</t>
  </si>
  <si>
    <t>=IFERROR(SUMPRODUCT(('Planning Engine'!$B$4:$B$2500="50mg DP")*('Planning Engine'!$A$4:$A$2500=DATE(2027,6,1))*'Planning Engine'!$U$4:$U$2500),"--")</t>
  </si>
  <si>
    <t>=IFERROR(SUMPRODUCT(('Planning Engine'!$B$4:$B$2500="50mg DP")*('Planning Engine'!$A$4:$A$2500=DATE(2027,7,1))*'Planning Engine'!$U$4:$U$2500),"--")</t>
  </si>
  <si>
    <t>=IFERROR(SUMPRODUCT(('Planning Engine'!$B$4:$B$2500="50mg DP")*('Planning Engine'!$A$4:$A$2500=DATE(2027,8,1))*'Planning Engine'!$U$4:$U$2500),"--")</t>
  </si>
  <si>
    <t>=IFERROR(SUMPRODUCT(('Planning Engine'!$B$4:$B$2500="50mg DP")*('Planning Engine'!$A$4:$A$2500=DATE(2027,9,1))*'Planning Engine'!$U$4:$U$2500),"--")</t>
  </si>
  <si>
    <t>=IFERROR(SUMPRODUCT(('Planning Engine'!$B$4:$B$2500="50mg DP")*('Planning Engine'!$A$4:$A$2500=DATE(2027,10,1))*'Planning Engine'!$U$4:$U$2500),"--")</t>
  </si>
  <si>
    <t>=IFERROR(SUMPRODUCT(('Planning Engine'!$B$4:$B$2500="50mg DP")*('Planning Engine'!$A$4:$A$2500=DATE(2027,11,1))*'Planning Engine'!$U$4:$U$2500),"--")</t>
  </si>
  <si>
    <t>=IFERROR(SUMPRODUCT(('Planning Engine'!$B$4:$B$2500="50mg DP")*('Planning Engine'!$A$4:$A$2500=DATE(2027,12,1))*'Planning Engine'!$U$4:$U$2500),"--")</t>
  </si>
  <si>
    <t>=IFERROR(SUMPRODUCT(('Planning Engine'!$B$4:$B$2500="50mg DP")*('Planning Engine'!$A$4:$A$2500=DATE(2028,1,1))*'Planning Engine'!$U$4:$U$2500),"--")</t>
  </si>
  <si>
    <t>=IFERROR(SUMPRODUCT(('Planning Engine'!$B$4:$B$2500="50mg DP")*('Planning Engine'!$A$4:$A$2500=DATE(2028,2,1))*'Planning Engine'!$U$4:$U$2500),"--")</t>
  </si>
  <si>
    <t>=IFERROR(SUMPRODUCT(('Planning Engine'!$B$4:$B$2500="50mg DP")*('Planning Engine'!$A$4:$A$2500=DATE(2028,3,1))*'Planning Engine'!$U$4:$U$2500),"--")</t>
  </si>
  <si>
    <t>=IFERROR(SUMPRODUCT(('Planning Engine'!$B$4:$B$2500="50mg DP")*('Planning Engine'!$A$4:$A$2500=DATE(2028,4,1))*'Planning Engine'!$U$4:$U$2500),"--")</t>
  </si>
  <si>
    <t>=IFERROR(SUMPRODUCT(('Planning Engine'!$B$4:$B$2500="50mg DP")*('Planning Engine'!$A$4:$A$2500=DATE(2028,5,1))*'Planning Engine'!$U$4:$U$2500),"--")</t>
  </si>
  <si>
    <t>=IFERROR(SUMPRODUCT(('Planning Engine'!$B$4:$B$2500="50mg DP")*('Planning Engine'!$A$4:$A$2500=DATE(2028,6,1))*'Planning Engine'!$U$4:$U$2500),"--")</t>
  </si>
  <si>
    <t>=IFERROR(SUMPRODUCT(('Planning Engine'!$B$4:$B$2500="50mg DP")*('Planning Engine'!$A$4:$A$2500=DATE(2028,7,1))*'Planning Engine'!$U$4:$U$2500),"--")</t>
  </si>
  <si>
    <t>=IFERROR(SUMPRODUCT(('Planning Engine'!$B$4:$B$2500="50mg DP")*('Planning Engine'!$A$4:$A$2500=DATE(2028,8,1))*'Planning Engine'!$U$4:$U$2500),"--")</t>
  </si>
  <si>
    <t>=IFERROR(SUMPRODUCT(('Planning Engine'!$B$4:$B$2500="50mg DP")*('Planning Engine'!$A$4:$A$2500=DATE(2028,9,1))*'Planning Engine'!$U$4:$U$2500),"--")</t>
  </si>
  <si>
    <t>=IFERROR(SUMPRODUCT(('Planning Engine'!$B$4:$B$2500="50mg DP")*('Planning Engine'!$A$4:$A$2500=DATE(2028,10,1))*'Planning Engine'!$U$4:$U$2500),"--")</t>
  </si>
  <si>
    <t>=IFERROR(SUMPRODUCT(('Planning Engine'!$B$4:$B$2500="50mg DP")*('Planning Engine'!$A$4:$A$2500=DATE(2028,11,1))*'Planning Engine'!$U$4:$U$2500),"--")</t>
  </si>
  <si>
    <t>=IFERROR(SUMPRODUCT(('Planning Engine'!$B$4:$B$2500="50mg DP")*('Planning Engine'!$A$4:$A$2500=DATE(2028,12,1))*'Planning Engine'!$U$4:$U$2500),"--")</t>
  </si>
  <si>
    <t>=IFERROR(SUMPRODUCT(('Planning Engine'!$B$4:$B$2500="50mg DP")*('Planning Engine'!$A$4:$A$2500=DATE(2029,1,1))*'Planning Engine'!$U$4:$U$2500),"--")</t>
  </si>
  <si>
    <t>=IFERROR(SUMPRODUCT(('Planning Engine'!$B$4:$B$2500="50mg DP")*('Planning Engine'!$A$4:$A$2500=DATE(2029,2,1))*'Planning Engine'!$U$4:$U$2500),"--")</t>
  </si>
  <si>
    <t>=IFERROR(SUMPRODUCT(('Planning Engine'!$B$4:$B$2500="50mg DP")*('Planning Engine'!$A$4:$A$2500=DATE(2029,3,1))*'Planning Engine'!$U$4:$U$2500),"--")</t>
  </si>
  <si>
    <t>=IFERROR(SUMPRODUCT(('Planning Engine'!$B$4:$B$2500="50mg DP")*('Planning Engine'!$A$4:$A$2500=DATE(2029,4,1))*'Planning Engine'!$U$4:$U$2500),"--")</t>
  </si>
  <si>
    <t>=IFERROR(SUMPRODUCT(('Planning Engine'!$B$4:$B$2500="50mg DP")*('Planning Engine'!$A$4:$A$2500=DATE(2029,5,1))*'Planning Engine'!$U$4:$U$2500),"--")</t>
  </si>
  <si>
    <t>=IFERROR(SUMPRODUCT(('Planning Engine'!$B$4:$B$2500="50mg DP")*('Planning Engine'!$A$4:$A$2500=DATE(2029,6,1))*'Planning Engine'!$U$4:$U$2500),"--")</t>
  </si>
  <si>
    <t>=IFERROR(SUMPRODUCT(('Planning Engine'!$B$4:$B$2500="50mg DP")*('Planning Engine'!$A$4:$A$2500=DATE(2029,7,1))*'Planning Engine'!$U$4:$U$2500),"--")</t>
  </si>
  <si>
    <t>=IFERROR(SUMPRODUCT(('Planning Engine'!$B$4:$B$2500="50mg DP")*('Planning Engine'!$A$4:$A$2500=DATE(2029,8,1))*'Planning Engine'!$U$4:$U$2500),"--")</t>
  </si>
  <si>
    <t>=IFERROR(SUMPRODUCT(('Planning Engine'!$B$4:$B$2500="50mg DP")*('Planning Engine'!$A$4:$A$2500=DATE(2029,9,1))*'Planning Engine'!$U$4:$U$2500),"--")</t>
  </si>
  <si>
    <t>=IFERROR(SUMPRODUCT(('Planning Engine'!$B$4:$B$2500="50mg DP")*('Planning Engine'!$A$4:$A$2500=DATE(2029,10,1))*'Planning Engine'!$U$4:$U$2500),"--")</t>
  </si>
  <si>
    <t>=IFERROR(SUMPRODUCT(('Planning Engine'!$B$4:$B$2500="50mg DP")*('Planning Engine'!$A$4:$A$2500=DATE(2029,11,1))*'Planning Engine'!$U$4:$U$2500),"--")</t>
  </si>
  <si>
    <t>=IFERROR(SUMPRODUCT(('Planning Engine'!$B$4:$B$2500="50mg DP")*('Planning Engine'!$A$4:$A$2500=DATE(2029,12,1))*'Planning Engine'!$U$4:$U$2500),"--")</t>
  </si>
  <si>
    <t>=IFERROR(SUMPRODUCT(('Planning Engine'!$B$4:$B$2500="50mg DP")*('Planning Engine'!$A$4:$A$2500=DATE(2030,1,1))*'Planning Engine'!$U$4:$U$2500),"--")</t>
  </si>
  <si>
    <t>=IFERROR(SUMPRODUCT(('Planning Engine'!$B$4:$B$2500="50mg DP")*('Planning Engine'!$A$4:$A$2500=DATE(2030,2,1))*'Planning Engine'!$U$4:$U$2500),"--")</t>
  </si>
  <si>
    <t>=IFERROR(SUMPRODUCT(('Planning Engine'!$B$4:$B$2500="50mg DP")*('Planning Engine'!$A$4:$A$2500=DATE(2030,3,1))*'Planning Engine'!$U$4:$U$2500),"--")</t>
  </si>
  <si>
    <t>=IFERROR(SUMPRODUCT(('Planning Engine'!$B$4:$B$2500="50mg DP")*('Planning Engine'!$A$4:$A$2500=DATE(2030,4,1))*'Planning Engine'!$U$4:$U$2500),"--")</t>
  </si>
  <si>
    <t>=IFERROR(SUMPRODUCT(('Planning Engine'!$B$4:$B$2500="50mg DP")*('Planning Engine'!$A$4:$A$2500=DATE(2030,5,1))*'Planning Engine'!$U$4:$U$2500),"--")</t>
  </si>
  <si>
    <t>=IFERROR(SUMPRODUCT(('Planning Engine'!$B$4:$B$2500="50mg DP")*('Planning Engine'!$A$4:$A$2500=DATE(2030,6,1))*'Planning Engine'!$U$4:$U$2500),"--")</t>
  </si>
  <si>
    <t>=IFERROR(SUMPRODUCT(('Planning Engine'!$B$4:$B$2500="50mg DP")*('Planning Engine'!$A$4:$A$2500=DATE(2030,7,1))*'Planning Engine'!$U$4:$U$2500),"--")</t>
  </si>
  <si>
    <t>=IFERROR(SUMPRODUCT(('Planning Engine'!$B$4:$B$2500="50mg DP")*('Planning Engine'!$A$4:$A$2500=DATE(2030,8,1))*'Planning Engine'!$U$4:$U$2500),"--")</t>
  </si>
  <si>
    <t>=IFERROR(SUMPRODUCT(('Planning Engine'!$B$4:$B$2500="50mg DP")*('Planning Engine'!$A$4:$A$2500=DATE(2030,9,1))*'Planning Engine'!$U$4:$U$2500),"--")</t>
  </si>
  <si>
    <t>=IFERROR(SUMPRODUCT(('Planning Engine'!$B$4:$B$2500="50mg DP")*('Planning Engine'!$A$4:$A$2500=DATE(2030,10,1))*'Planning Engine'!$U$4:$U$2500),"--")</t>
  </si>
  <si>
    <t>=IFERROR(SUMPRODUCT(('Planning Engine'!$B$4:$B$2500="50mg DP")*('Planning Engine'!$A$4:$A$2500=DATE(2030,11,1))*'Planning Engine'!$U$4:$U$2500),"--")</t>
  </si>
  <si>
    <t>=IFERROR(SUMPRODUCT(('Planning Engine'!$B$4:$B$2500="50mg DP")*('Planning Engine'!$A$4:$A$2500=DATE(2030,12,1))*'Planning Engine'!$U$4:$U$2500),"--")</t>
  </si>
  <si>
    <t>=IFERROR(SUMPRODUCT(('Planning Engine'!$B$4:$B$2500="50mg DP")*('Planning Engine'!$A$4:$A$2500=DATE(2031,1,1))*'Planning Engine'!$U$4:$U$2500),"--")</t>
  </si>
  <si>
    <t>=IFERROR(SUMPRODUCT(('Planning Engine'!$B$4:$B$2500="50mg DP")*('Planning Engine'!$A$4:$A$2500=DATE(2031,2,1))*'Planning Engine'!$U$4:$U$2500),"--")</t>
  </si>
  <si>
    <t>=IFERROR(SUMPRODUCT(('Planning Engine'!$B$4:$B$2500="50mg DP")*('Planning Engine'!$A$4:$A$2500=DATE(2031,3,1))*'Planning Engine'!$U$4:$U$2500),"--")</t>
  </si>
  <si>
    <t>=IFERROR(SUMPRODUCT(('Planning Engine'!$B$4:$B$2500="50mg DP")*('Planning Engine'!$A$4:$A$2500=DATE(2031,4,1))*'Planning Engine'!$U$4:$U$2500),"--")</t>
  </si>
  <si>
    <t>=IFERROR(SUMPRODUCT(('Planning Engine'!$B$4:$B$2500="50mg DP")*('Planning Engine'!$A$4:$A$2500=DATE(2031,5,1))*'Planning Engine'!$U$4:$U$2500),"--")</t>
  </si>
  <si>
    <t>=IFERROR(SUMPRODUCT(('Planning Engine'!$B$4:$B$2500="50mg DP")*('Planning Engine'!$A$4:$A$2500=DATE(2031,6,1))*'Planning Engine'!$U$4:$U$2500),"--")</t>
  </si>
  <si>
    <t>=IFERROR(SUMPRODUCT(('Planning Engine'!$B$4:$B$2500="50mg DP")*('Planning Engine'!$A$4:$A$2500=DATE(2031,7,1))*'Planning Engine'!$U$4:$U$2500),"--")</t>
  </si>
  <si>
    <t>=IFERROR(SUMPRODUCT(('Planning Engine'!$B$4:$B$2500="50mg DP")*('Planning Engine'!$A$4:$A$2500=DATE(2031,8,1))*'Planning Engine'!$U$4:$U$2500),"--")</t>
  </si>
  <si>
    <t>=IFERROR(SUMPRODUCT(('Planning Engine'!$B$4:$B$2500="50mg DP")*('Planning Engine'!$A$4:$A$2500=DATE(2031,9,1))*'Planning Engine'!$U$4:$U$2500),"--")</t>
  </si>
  <si>
    <t>=IFERROR(SUMPRODUCT(('Planning Engine'!$B$4:$B$2500="50mg DP")*('Planning Engine'!$A$4:$A$2500=DATE(2031,10,1))*'Planning Engine'!$U$4:$U$2500),"--")</t>
  </si>
  <si>
    <t>=IFERROR(SUMPRODUCT(('Planning Engine'!$B$4:$B$2500="50mg DP")*('Planning Engine'!$A$4:$A$2500=DATE(2031,11,1))*'Planning Engine'!$U$4:$U$2500),"--")</t>
  </si>
  <si>
    <t>=IFERROR(SUMPRODUCT(('Planning Engine'!$B$4:$B$2500="50mg DP")*('Planning Engine'!$A$4:$A$2500=DATE(2031,12,1))*'Planning Engine'!$U$4:$U$2500),"--")</t>
  </si>
  <si>
    <t>=IFERROR(SUMPRODUCT(('Planning Engine'!$B$4:$B$2500="50mg DP")*('Planning Engine'!$A$4:$A$2500=DATE(2032,1,1))*'Planning Engine'!$U$4:$U$2500),"--")</t>
  </si>
  <si>
    <t>=IFERROR(SUMPRODUCT(('Planning Engine'!$B$4:$B$2500="50mg DP")*('Planning Engine'!$A$4:$A$2500=DATE(2032,2,1))*'Planning Engine'!$U$4:$U$2500),"--")</t>
  </si>
  <si>
    <t>=IFERROR(SUMPRODUCT(('Planning Engine'!$B$4:$B$2500="50mg DP")*('Planning Engine'!$A$4:$A$2500=DATE(2032,3,1))*'Planning Engine'!$U$4:$U$2500),"--")</t>
  </si>
  <si>
    <t>=IFERROR(SUMPRODUCT(('Planning Engine'!$B$4:$B$2500="50mg DP")*('Planning Engine'!$A$4:$A$2500=DATE(2032,4,1))*'Planning Engine'!$U$4:$U$2500),"--")</t>
  </si>
  <si>
    <t>=IFERROR(SUMPRODUCT(('Planning Engine'!$B$4:$B$2500="50mg DP")*('Planning Engine'!$A$4:$A$2500=DATE(2032,5,1))*'Planning Engine'!$U$4:$U$2500),"--")</t>
  </si>
  <si>
    <t>=IFERROR(SUMPRODUCT(('Planning Engine'!$B$4:$B$2500="50mg DP")*('Planning Engine'!$A$4:$A$2500=DATE(2032,6,1))*'Planning Engine'!$U$4:$U$2500),"--")</t>
  </si>
  <si>
    <t>=IFERROR(SUMPRODUCT(('Planning Engine'!$B$4:$B$2500="50mg DP")*('Planning Engine'!$A$4:$A$2500=DATE(2032,7,1))*'Planning Engine'!$U$4:$U$2500),"--")</t>
  </si>
  <si>
    <t>=IFERROR(SUMPRODUCT(('Planning Engine'!$B$4:$B$2500="50mg DP")*('Planning Engine'!$A$4:$A$2500=DATE(2032,8,1))*'Planning Engine'!$U$4:$U$2500),"--")</t>
  </si>
  <si>
    <t>=IFERROR(SUMPRODUCT(('Planning Engine'!$B$4:$B$2500="50mg DP")*('Planning Engine'!$A$4:$A$2500=DATE(2032,9,1))*'Planning Engine'!$U$4:$U$2500),"--")</t>
  </si>
  <si>
    <t>=IFERROR(SUMPRODUCT(('Planning Engine'!$B$4:$B$2500="50mg DP")*('Planning Engine'!$A$4:$A$2500=DATE(2032,10,1))*'Planning Engine'!$U$4:$U$2500),"--")</t>
  </si>
  <si>
    <t>=IFERROR(SUMPRODUCT(('Planning Engine'!$B$4:$B$2500="50mg DP")*('Planning Engine'!$A$4:$A$2500=DATE(2032,11,1))*'Planning Engine'!$U$4:$U$2500),"--")</t>
  </si>
  <si>
    <t>=IFERROR(SUMPRODUCT(('Planning Engine'!$B$4:$B$2500="50mg DP")*('Planning Engine'!$A$4:$A$2500=DATE(2032,12,1))*'Planning Engine'!$U$4:$U$2500),"--")</t>
  </si>
  <si>
    <t>=IFERROR(SUMPRODUCT(('Planning Engine'!$B$4:$B$2500="50mg DP")*('Planning Engine'!$A$4:$A$2500=DATE(2033,1,1))*'Planning Engine'!$U$4:$U$2500),"--")</t>
  </si>
  <si>
    <t>=IFERROR(SUMPRODUCT(('Planning Engine'!$B$4:$B$2500="50mg DP")*('Planning Engine'!$A$4:$A$2500=DATE(2033,2,1))*'Planning Engine'!$U$4:$U$2500),"--")</t>
  </si>
  <si>
    <t>=IFERROR(SUMPRODUCT(('Planning Engine'!$B$4:$B$2500="50mg DP")*('Planning Engine'!$A$4:$A$2500=DATE(2033,3,1))*'Planning Engine'!$U$4:$U$2500),"--")</t>
  </si>
  <si>
    <t>=IFERROR(SUMPRODUCT(('Planning Engine'!$B$4:$B$2500="50mg DP")*('Planning Engine'!$A$4:$A$2500=DATE(2033,4,1))*'Planning Engine'!$U$4:$U$2500),"--")</t>
  </si>
  <si>
    <t>=IFERROR(SUMPRODUCT(('Planning Engine'!$B$4:$B$2500="50mg DP")*('Planning Engine'!$A$4:$A$2500=DATE(2033,5,1))*'Planning Engine'!$U$4:$U$2500),"--")</t>
  </si>
  <si>
    <t>=IFERROR(SUMPRODUCT(('Planning Engine'!$B$4:$B$2500="50mg DP")*('Planning Engine'!$A$4:$A$2500=DATE(2033,6,1))*'Planning Engine'!$U$4:$U$2500),"--")</t>
  </si>
  <si>
    <t>=IFERROR(SUMPRODUCT(('Planning Engine'!$B$4:$B$2500="50mg DP")*('Planning Engine'!$A$4:$A$2500=DATE(2033,7,1))*'Planning Engine'!$U$4:$U$2500),"--")</t>
  </si>
  <si>
    <t>=IFERROR(SUMPRODUCT(('Planning Engine'!$B$4:$B$2500="50mg DP")*('Planning Engine'!$A$4:$A$2500=DATE(2033,8,1))*'Planning Engine'!$U$4:$U$2500),"--")</t>
  </si>
  <si>
    <t>=IFERROR(SUMPRODUCT(('Planning Engine'!$B$4:$B$2500="50mg DP")*('Planning Engine'!$A$4:$A$2500=DATE(2033,9,1))*'Planning Engine'!$U$4:$U$2500),"--")</t>
  </si>
  <si>
    <t>=IFERROR(SUMPRODUCT(('Planning Engine'!$B$4:$B$2500="50mg DP")*('Planning Engine'!$A$4:$A$2500=DATE(2033,10,1))*'Planning Engine'!$U$4:$U$2500),"--")</t>
  </si>
  <si>
    <t>=IFERROR(SUMPRODUCT(('Planning Engine'!$B$4:$B$2500="50mg DP")*('Planning Engine'!$A$4:$A$2500=DATE(2033,11,1))*'Planning Engine'!$U$4:$U$2500),"--")</t>
  </si>
  <si>
    <t>=IFERROR(SUMPRODUCT(('Planning Engine'!$B$4:$B$2500="50mg DP")*('Planning Engine'!$A$4:$A$2500=DATE(2033,12,1))*'Planning Engine'!$U$4:$U$2500),"--")</t>
  </si>
  <si>
    <t>=IFERROR(SUMPRODUCT(('Planning Engine'!$B$4:$B$2500="50mg DP")*('Planning Engine'!$A$4:$A$2500=DATE(2034,1,1))*'Planning Engine'!$U$4:$U$2500),"--")</t>
  </si>
  <si>
    <t>=IFERROR(SUMPRODUCT(('Planning Engine'!$B$4:$B$2500="50mg DP")*('Planning Engine'!$A$4:$A$2500=DATE(2034,2,1))*'Planning Engine'!$U$4:$U$2500),"--")</t>
  </si>
  <si>
    <t>=IFERROR(SUMPRODUCT(('Planning Engine'!$B$4:$B$2500="50mg DP")*('Planning Engine'!$A$4:$A$2500=DATE(2034,3,1))*'Planning Engine'!$U$4:$U$2500),"--")</t>
  </si>
  <si>
    <t>=IFERROR(SUMPRODUCT(('Planning Engine'!$B$4:$B$2500="50mg DP")*('Planning Engine'!$A$4:$A$2500=DATE(2034,4,1))*'Planning Engine'!$U$4:$U$2500),"--")</t>
  </si>
  <si>
    <t>=IFERROR(SUMPRODUCT(('Planning Engine'!$B$4:$B$2500="50mg DP")*('Planning Engine'!$A$4:$A$2500=DATE(2034,5,1))*'Planning Engine'!$U$4:$U$2500),"--")</t>
  </si>
  <si>
    <t>=IFERROR(SUMPRODUCT(('Planning Engine'!$B$4:$B$2500="50mg DP")*('Planning Engine'!$A$4:$A$2500=DATE(2034,6,1))*'Planning Engine'!$U$4:$U$2500),"--")</t>
  </si>
  <si>
    <t>=IFERROR(SUMPRODUCT(('Planning Engine'!$B$4:$B$2500="50mg DP")*('Planning Engine'!$A$4:$A$2500=DATE(2034,7,1))*'Planning Engine'!$U$4:$U$2500),"--")</t>
  </si>
  <si>
    <t>=IFERROR(SUMPRODUCT(('Planning Engine'!$B$4:$B$2500="50mg DP")*('Planning Engine'!$A$4:$A$2500=DATE(2034,8,1))*'Planning Engine'!$U$4:$U$2500),"--")</t>
  </si>
  <si>
    <t>=IFERROR(SUMPRODUCT(('Planning Engine'!$B$4:$B$2500="50mg DP")*('Planning Engine'!$A$4:$A$2500=DATE(2034,9,1))*'Planning Engine'!$U$4:$U$2500),"--")</t>
  </si>
  <si>
    <t>=IFERROR(SUMPRODUCT(('Planning Engine'!$B$4:$B$2500="50mg DP")*('Planning Engine'!$A$4:$A$2500=DATE(2034,10,1))*'Planning Engine'!$U$4:$U$2500),"--")</t>
  </si>
  <si>
    <t>=IFERROR(SUMPRODUCT(('Planning Engine'!$B$4:$B$2500="50mg DP")*('Planning Engine'!$A$4:$A$2500=DATE(2034,11,1))*'Planning Engine'!$U$4:$U$2500),"--")</t>
  </si>
  <si>
    <t>=IFERROR(SUMPRODUCT(('Planning Engine'!$B$4:$B$2500="50mg DP")*('Planning Engine'!$A$4:$A$2500=DATE(2034,12,1))*'Planning Engine'!$U$4:$U$2500),"--")</t>
  </si>
  <si>
    <t>=IFERROR(SUMPRODUCT(('Planning Engine'!$B$4:$B$2500="50mg DP")*('Planning Engine'!$A$4:$A$2500=DATE(2035,1,1))*'Planning Engine'!$U$4:$U$2500),"--")</t>
  </si>
  <si>
    <t>=IFERROR(SUMPRODUCT(('Planning Engine'!$B$4:$B$2500="50mg DP")*('Planning Engine'!$A$4:$A$2500=DATE(2035,2,1))*'Planning Engine'!$U$4:$U$2500),"--")</t>
  </si>
  <si>
    <t>=IFERROR(SUMPRODUCT(('Planning Engine'!$B$4:$B$2500="50mg DP")*('Planning Engine'!$A$4:$A$2500=DATE(2035,3,1))*'Planning Engine'!$U$4:$U$2500),"--")</t>
  </si>
  <si>
    <t>=IFERROR(SUMPRODUCT(('Planning Engine'!$B$4:$B$2500="50mg DP")*('Planning Engine'!$A$4:$A$2500=DATE(2035,4,1))*'Planning Engine'!$U$4:$U$2500),"--")</t>
  </si>
  <si>
    <t>=IFERROR(SUMPRODUCT(('Planning Engine'!$B$4:$B$2500="50mg DP")*('Planning Engine'!$A$4:$A$2500=DATE(2035,5,1))*'Planning Engine'!$U$4:$U$2500),"--")</t>
  </si>
  <si>
    <t>=IFERROR(SUMPRODUCT(('Planning Engine'!$B$4:$B$2500="50mg DP")*('Planning Engine'!$A$4:$A$2500=DATE(2035,6,1))*'Planning Engine'!$U$4:$U$2500),"--")</t>
  </si>
  <si>
    <t>=IFERROR(SUMPRODUCT(('Planning Engine'!$B$4:$B$2500="50mg DP")*('Planning Engine'!$A$4:$A$2500=DATE(2035,7,1))*'Planning Engine'!$U$4:$U$2500),"--")</t>
  </si>
  <si>
    <t>=IFERROR(SUMPRODUCT(('Planning Engine'!$B$4:$B$2500="50mg DP")*('Planning Engine'!$A$4:$A$2500=DATE(2035,8,1))*'Planning Engine'!$U$4:$U$2500),"--")</t>
  </si>
  <si>
    <t>=IFERROR(SUMPRODUCT(('Planning Engine'!$B$4:$B$2500="50mg DP")*('Planning Engine'!$A$4:$A$2500=DATE(2035,9,1))*'Planning Engine'!$U$4:$U$2500),"--")</t>
  </si>
  <si>
    <t>=IFERROR(SUMPRODUCT(('Planning Engine'!$B$4:$B$2500="50mg DP")*('Planning Engine'!$A$4:$A$2500=DATE(2035,10,1))*'Planning Engine'!$U$4:$U$2500),"--")</t>
  </si>
  <si>
    <t>=IFERROR(SUMPRODUCT(('Planning Engine'!$B$4:$B$2500="50mg DP")*('Planning Engine'!$A$4:$A$2500=DATE(2035,11,1))*'Planning Engine'!$U$4:$U$2500),"--")</t>
  </si>
  <si>
    <t>=IFERROR(SUMPRODUCT(('Planning Engine'!$B$4:$B$2500="50mg DP")*('Planning Engine'!$A$4:$A$2500=DATE(2035,12,1))*'Planning Engine'!$U$4:$U$2500),"--")</t>
  </si>
  <si>
    <t>=IFERROR(SUMPRODUCT(('Planning Engine'!$B$4:$B$2500="50mg DP")*('Planning Engine'!$A$4:$A$2500=DATE(2036,1,1))*'Planning Engine'!$U$4:$U$2500),"--")</t>
  </si>
  <si>
    <t>=IFERROR(SUMPRODUCT(('Planning Engine'!$B$4:$B$2500="50mg DP")*('Planning Engine'!$A$4:$A$2500=DATE(2036,2,1))*'Planning Engine'!$U$4:$U$2500),"--")</t>
  </si>
  <si>
    <t>=IFERROR(SUMPRODUCT(('Planning Engine'!$B$4:$B$2500="50mg DP")*('Planning Engine'!$A$4:$A$2500=DATE(2036,3,1))*'Planning Engine'!$U$4:$U$2500),"--")</t>
  </si>
  <si>
    <t>=IFERROR(SUMPRODUCT(('Planning Engine'!$B$4:$B$2500="50mg DP")*('Planning Engine'!$A$4:$A$2500=DATE(2036,4,1))*'Planning Engine'!$U$4:$U$2500),"--")</t>
  </si>
  <si>
    <t>=IFERROR(SUMPRODUCT(('Planning Engine'!$B$4:$B$2500="50mg DP")*('Planning Engine'!$A$4:$A$2500=DATE(2036,5,1))*'Planning Engine'!$U$4:$U$2500),"--")</t>
  </si>
  <si>
    <t>=IFERROR(SUMPRODUCT(('Planning Engine'!$B$4:$B$2500="50mg DP")*('Planning Engine'!$A$4:$A$2500=DATE(2036,6,1))*'Planning Engine'!$U$4:$U$2500),"--")</t>
  </si>
  <si>
    <t>=IFERROR(SUMPRODUCT(('Planning Engine'!$B$4:$B$2500="50mg DP")*('Planning Engine'!$A$4:$A$2500=DATE(2036,7,1))*'Planning Engine'!$U$4:$U$2500),"--")</t>
  </si>
  <si>
    <t>=IFERROR(SUMPRODUCT(('Planning Engine'!$B$4:$B$2500="50mg DP")*('Planning Engine'!$A$4:$A$2500=DATE(2036,8,1))*'Planning Engine'!$U$4:$U$2500),"--")</t>
  </si>
  <si>
    <t>=IFERROR(SUMPRODUCT(('Planning Engine'!$B$4:$B$2500="50mg DP")*('Planning Engine'!$A$4:$A$2500=DATE(2036,9,1))*'Planning Engine'!$U$4:$U$2500),"--")</t>
  </si>
  <si>
    <t>=IFERROR(SUMPRODUCT(('Planning Engine'!$B$4:$B$2500="50mg DP")*('Planning Engine'!$A$4:$A$2500=DATE(2036,10,1))*'Planning Engine'!$U$4:$U$2500),"--")</t>
  </si>
  <si>
    <t>=IFERROR(SUMPRODUCT(('Planning Engine'!$B$4:$B$2500="50mg DP")*('Planning Engine'!$A$4:$A$2500=DATE(2036,11,1))*'Planning Engine'!$U$4:$U$2500),"--")</t>
  </si>
  <si>
    <t>=IFERROR(SUMPRODUCT(('Planning Engine'!$B$4:$B$2500="50mg DP")*('Planning Engine'!$A$4:$A$2500=DATE(2036,12,1))*'Planning Engine'!$U$4:$U$2500),"--")</t>
  </si>
  <si>
    <t>=IFERROR(SUMPRODUCT(('Planning Engine'!$B$4:$B$2500="50mg DP")*('Planning Engine'!$A$4:$A$2500=DATE(2037,1,1))*'Planning Engine'!$U$4:$U$2500),"--")</t>
  </si>
  <si>
    <t>=IFERROR(SUMPRODUCT(('Planning Engine'!$B$4:$B$2500="50mg DP")*('Planning Engine'!$A$4:$A$2500=DATE(2037,2,1))*'Planning Engine'!$U$4:$U$2500),"--")</t>
  </si>
  <si>
    <t>=IFERROR(SUMPRODUCT(('Planning Engine'!$B$4:$B$2500="50mg DP")*('Planning Engine'!$A$4:$A$2500=DATE(2037,3,1))*'Planning Engine'!$U$4:$U$2500),"--")</t>
  </si>
  <si>
    <t>=IFERROR(SUMPRODUCT(('Planning Engine'!$B$4:$B$2500="50mg DP")*('Planning Engine'!$A$4:$A$2500=DATE(2037,4,1))*'Planning Engine'!$U$4:$U$2500),"--")</t>
  </si>
  <si>
    <t>=IFERROR(SUMPRODUCT(('Planning Engine'!$B$4:$B$2500="50mg DP")*('Planning Engine'!$A$4:$A$2500=DATE(2037,5,1))*'Planning Engine'!$U$4:$U$2500),"--")</t>
  </si>
  <si>
    <t>=IFERROR(SUMPRODUCT(('Planning Engine'!$B$4:$B$2500="50mg DP")*('Planning Engine'!$A$4:$A$2500=DATE(2037,6,1))*'Planning Engine'!$U$4:$U$2500),"--")</t>
  </si>
  <si>
    <t>=IFERROR(SUMPRODUCT(('Planning Engine'!$B$4:$B$2500="50mg DP")*('Planning Engine'!$A$4:$A$2500=DATE(2037,7,1))*'Planning Engine'!$U$4:$U$2500),"--")</t>
  </si>
  <si>
    <t>=IFERROR(SUMPRODUCT(('Planning Engine'!$B$4:$B$2500="50mg DP")*('Planning Engine'!$A$4:$A$2500=DATE(2037,8,1))*'Planning Engine'!$U$4:$U$2500),"--")</t>
  </si>
  <si>
    <t>=IFERROR(SUMPRODUCT(('Planning Engine'!$B$4:$B$2500="50mg DP")*('Planning Engine'!$A$4:$A$2500=DATE(2037,9,1))*'Planning Engine'!$U$4:$U$2500),"--")</t>
  </si>
  <si>
    <t>=IFERROR(SUMPRODUCT(('Planning Engine'!$B$4:$B$2500="50mg DP")*('Planning Engine'!$A$4:$A$2500=DATE(2037,10,1))*'Planning Engine'!$U$4:$U$2500),"--")</t>
  </si>
  <si>
    <t>=IFERROR(SUMPRODUCT(('Planning Engine'!$B$4:$B$2500="50mg DP")*('Planning Engine'!$A$4:$A$2500=DATE(2037,11,1))*'Planning Engine'!$U$4:$U$2500),"--")</t>
  </si>
  <si>
    <t>=IFERROR(SUMPRODUCT(('Planning Engine'!$B$4:$B$2500="50mg DP")*('Planning Engine'!$A$4:$A$2500=DATE(2037,12,1))*'Planning Engine'!$U$4:$U$2500),"--")</t>
  </si>
  <si>
    <t>=IFERROR(SUMPRODUCT(('Planning Engine'!$B$4:$B$2500="50mg DP")*('Planning Engine'!$A$4:$A$2500=DATE(2038,1,1))*'Planning Engine'!$U$4:$U$2500),"--")</t>
  </si>
  <si>
    <t>=IFERROR(SUMPRODUCT(('Planning Engine'!$B$4:$B$2500="50mg DP")*('Planning Engine'!$A$4:$A$2500=DATE(2038,2,1))*'Planning Engine'!$U$4:$U$2500),"--")</t>
  </si>
  <si>
    <t>=IFERROR(SUMPRODUCT(('Planning Engine'!$B$4:$B$2500="50mg DP")*('Planning Engine'!$A$4:$A$2500=DATE(2038,3,1))*'Planning Engine'!$U$4:$U$2500),"--")</t>
  </si>
  <si>
    <t>=IFERROR(SUMPRODUCT(('Planning Engine'!$B$4:$B$2500="50mg DP")*('Planning Engine'!$A$4:$A$2500=DATE(2038,4,1))*'Planning Engine'!$U$4:$U$2500),"--")</t>
  </si>
  <si>
    <t>=IFERROR(SUMPRODUCT(('Planning Engine'!$B$4:$B$2500="50mg DP")*('Planning Engine'!$A$4:$A$2500=DATE(2038,5,1))*'Planning Engine'!$U$4:$U$2500),"--")</t>
  </si>
  <si>
    <t>=IFERROR(SUMPRODUCT(('Planning Engine'!$B$4:$B$2500="50mg DP")*('Planning Engine'!$A$4:$A$2500=DATE(2038,6,1))*'Planning Engine'!$U$4:$U$2500),"--")</t>
  </si>
  <si>
    <t>=IFERROR(SUMPRODUCT(('Planning Engine'!$B$4:$B$2500="50mg DP")*('Planning Engine'!$A$4:$A$2500=DATE(2038,7,1))*'Planning Engine'!$U$4:$U$2500),"--")</t>
  </si>
  <si>
    <t>=IFERROR(SUMPRODUCT(('Planning Engine'!$B$4:$B$2500="50mg DP")*('Planning Engine'!$A$4:$A$2500=DATE(2038,8,1))*'Planning Engine'!$U$4:$U$2500),"--")</t>
  </si>
  <si>
    <t>=IFERROR(SUMPRODUCT(('Planning Engine'!$B$4:$B$2500="50mg DP")*('Planning Engine'!$A$4:$A$2500=DATE(2038,9,1))*'Planning Engine'!$U$4:$U$2500),"--")</t>
  </si>
  <si>
    <t>=IFERROR(SUMPRODUCT(('Planning Engine'!$B$4:$B$2500="50mg DP")*('Planning Engine'!$A$4:$A$2500=DATE(2038,10,1))*'Planning Engine'!$U$4:$U$2500),"--")</t>
  </si>
  <si>
    <t>=IFERROR(SUMPRODUCT(('Planning Engine'!$B$4:$B$2500="50mg DP")*('Planning Engine'!$A$4:$A$2500=DATE(2038,11,1))*'Planning Engine'!$U$4:$U$2500),"--")</t>
  </si>
  <si>
    <t>=IFERROR(SUMPRODUCT(('Planning Engine'!$B$4:$B$2500="50mg DP")*('Planning Engine'!$A$4:$A$2500=DATE(2038,12,1))*'Planning Engine'!$U$4:$U$2500),"--")</t>
  </si>
  <si>
    <t>=IFERROR(SUMPRODUCT(('Planning Engine'!$B$4:$B$2500="50mg DP")*('Planning Engine'!$A$4:$A$2500=DATE(2039,1,1))*'Planning Engine'!$U$4:$U$2500),"--")</t>
  </si>
  <si>
    <t>=IFERROR(SUMPRODUCT(('Planning Engine'!$B$4:$B$2500="50mg DP")*('Planning Engine'!$A$4:$A$2500=DATE(2039,2,1))*'Planning Engine'!$U$4:$U$2500),"--")</t>
  </si>
  <si>
    <t>=IFERROR(SUMPRODUCT(('Planning Engine'!$B$4:$B$2500="50mg DP")*('Planning Engine'!$A$4:$A$2500=DATE(2039,3,1))*'Planning Engine'!$U$4:$U$2500),"--")</t>
  </si>
  <si>
    <t>=IFERROR(SUMPRODUCT(('Planning Engine'!$B$4:$B$2500="50mg DP")*('Planning Engine'!$A$4:$A$2500=DATE(2039,4,1))*'Planning Engine'!$U$4:$U$2500),"--")</t>
  </si>
  <si>
    <t>=IFERROR(SUMPRODUCT(('Planning Engine'!$B$4:$B$2500="50mg DP")*('Planning Engine'!$A$4:$A$2500=DATE(2039,5,1))*'Planning Engine'!$U$4:$U$2500),"--")</t>
  </si>
  <si>
    <t>=IFERROR(SUMPRODUCT(('Planning Engine'!$B$4:$B$2500="50mg DP")*('Planning Engine'!$A$4:$A$2500=DATE(2039,6,1))*'Planning Engine'!$U$4:$U$2500),"--")</t>
  </si>
  <si>
    <t>=IFERROR(SUMPRODUCT(('Planning Engine'!$B$4:$B$2500="50mg DP")*('Planning Engine'!$A$4:$A$2500=DATE(2039,7,1))*'Planning Engine'!$U$4:$U$2500),"--")</t>
  </si>
  <si>
    <t>=IFERROR(SUMPRODUCT(('Planning Engine'!$B$4:$B$2500="50mg DP")*('Planning Engine'!$A$4:$A$2500=DATE(2039,8,1))*'Planning Engine'!$U$4:$U$2500),"--")</t>
  </si>
  <si>
    <t>=IFERROR(SUMPRODUCT(('Planning Engine'!$B$4:$B$2500="50mg DP")*('Planning Engine'!$A$4:$A$2500=DATE(2039,9,1))*'Planning Engine'!$U$4:$U$2500),"--")</t>
  </si>
  <si>
    <t>=IFERROR(SUMPRODUCT(('Planning Engine'!$B$4:$B$2500="50mg DP")*('Planning Engine'!$A$4:$A$2500=DATE(2039,10,1))*'Planning Engine'!$U$4:$U$2500),"--")</t>
  </si>
  <si>
    <t>=IFERROR(SUMPRODUCT(('Planning Engine'!$B$4:$B$2500="50mg DP")*('Planning Engine'!$A$4:$A$2500=DATE(2039,11,1))*'Planning Engine'!$U$4:$U$2500),"--")</t>
  </si>
  <si>
    <t>=IFERROR(SUMPRODUCT(('Planning Engine'!$B$4:$B$2500="50mg DP")*('Planning Engine'!$A$4:$A$2500=DATE(2039,12,1))*'Planning Engine'!$U$4:$U$2500),"--")</t>
  </si>
  <si>
    <t>=IFERROR(SUMPRODUCT(('Planning Engine'!$B$4:$B$2500="50mg DP")*('Planning Engine'!$A$4:$A$2500=DATE(2040,1,1))*'Planning Engine'!$U$4:$U$2500),"--")</t>
  </si>
  <si>
    <t>=IFERROR(SUMPRODUCT(('Planning Engine'!$B$4:$B$2500="50mg DP")*('Planning Engine'!$A$4:$A$2500=DATE(2040,2,1))*'Planning Engine'!$U$4:$U$2500),"--")</t>
  </si>
  <si>
    <t>=IFERROR(SUMPRODUCT(('Planning Engine'!$B$4:$B$2500="50mg DP")*('Planning Engine'!$A$4:$A$2500=DATE(2040,3,1))*'Planning Engine'!$U$4:$U$2500),"--")</t>
  </si>
  <si>
    <t>=IFERROR(SUMPRODUCT(('Planning Engine'!$B$4:$B$2500="50mg DP")*('Planning Engine'!$A$4:$A$2500=DATE(2040,4,1))*'Planning Engine'!$U$4:$U$2500),"--")</t>
  </si>
  <si>
    <t>=IFERROR(SUMPRODUCT(('Planning Engine'!$B$4:$B$2500="50mg DP")*('Planning Engine'!$A$4:$A$2500=DATE(2040,5,1))*'Planning Engine'!$U$4:$U$2500),"--")</t>
  </si>
  <si>
    <t>=IFERROR(SUMPRODUCT(('Planning Engine'!$B$4:$B$2500="50mg DP")*('Planning Engine'!$A$4:$A$2500=DATE(2040,6,1))*'Planning Engine'!$U$4:$U$2500),"--")</t>
  </si>
  <si>
    <t>=IFERROR(SUMPRODUCT(('Planning Engine'!$B$4:$B$2500="50mg DP")*('Planning Engine'!$A$4:$A$2500=DATE(2040,7,1))*'Planning Engine'!$U$4:$U$2500),"--")</t>
  </si>
  <si>
    <t>=IFERROR(SUMPRODUCT(('Planning Engine'!$B$4:$B$2500="50mg DP")*('Planning Engine'!$A$4:$A$2500=DATE(2040,8,1))*'Planning Engine'!$U$4:$U$2500),"--")</t>
  </si>
  <si>
    <t>=IFERROR(SUMPRODUCT(('Planning Engine'!$B$4:$B$2500="50mg DP")*('Planning Engine'!$A$4:$A$2500=DATE(2040,9,1))*'Planning Engine'!$U$4:$U$2500),"--")</t>
  </si>
  <si>
    <t>=IFERROR(SUMPRODUCT(('Planning Engine'!$B$4:$B$2500="50mg DP")*('Planning Engine'!$A$4:$A$2500=DATE(2040,10,1))*'Planning Engine'!$U$4:$U$2500),"--")</t>
  </si>
  <si>
    <t>=IFERROR(SUMPRODUCT(('Planning Engine'!$B$4:$B$2500="50mg DP")*('Planning Engine'!$A$4:$A$2500=DATE(2040,11,1))*'Planning Engine'!$U$4:$U$2500),"--")</t>
  </si>
  <si>
    <t>=IFERROR(SUMPRODUCT(('Planning Engine'!$B$4:$B$2500="50mg DP")*('Planning Engine'!$A$4:$A$2500=DATE(2040,12,1))*'Planning Engine'!$U$4:$U$2500),"--")</t>
  </si>
  <si>
    <t>=IFERROR(SUMPRODUCT(('Planning Engine'!$B$4:$B$2500="Drug Substance")*('Planning Engine'!$A$4:$A$2500=DATE(2026,2,1))*'Planning Engine'!$U$4:$U$2500),"--")</t>
  </si>
  <si>
    <t>=IFERROR(SUMPRODUCT(('Planning Engine'!$B$4:$B$2500="Drug Substance")*('Planning Engine'!$A$4:$A$2500=DATE(2026,3,1))*'Planning Engine'!$U$4:$U$2500),"--")</t>
  </si>
  <si>
    <t>=IFERROR(SUMPRODUCT(('Planning Engine'!$B$4:$B$2500="Drug Substance")*('Planning Engine'!$A$4:$A$2500=DATE(2026,4,1))*'Planning Engine'!$U$4:$U$2500),"--")</t>
  </si>
  <si>
    <t>=IFERROR(SUMPRODUCT(('Planning Engine'!$B$4:$B$2500="Drug Substance")*('Planning Engine'!$A$4:$A$2500=DATE(2026,5,1))*'Planning Engine'!$U$4:$U$2500),"--")</t>
  </si>
  <si>
    <t>=IFERROR(SUMPRODUCT(('Planning Engine'!$B$4:$B$2500="Drug Substance")*('Planning Engine'!$A$4:$A$2500=DATE(2026,6,1))*'Planning Engine'!$U$4:$U$2500),"--")</t>
  </si>
  <si>
    <t>=IFERROR(SUMPRODUCT(('Planning Engine'!$B$4:$B$2500="Drug Substance")*('Planning Engine'!$A$4:$A$2500=DATE(2026,7,1))*'Planning Engine'!$U$4:$U$2500),"--")</t>
  </si>
  <si>
    <t>=IFERROR(SUMPRODUCT(('Planning Engine'!$B$4:$B$2500="Drug Substance")*('Planning Engine'!$A$4:$A$2500=DATE(2026,8,1))*'Planning Engine'!$U$4:$U$2500),"--")</t>
  </si>
  <si>
    <t>=IFERROR(SUMPRODUCT(('Planning Engine'!$B$4:$B$2500="Drug Substance")*('Planning Engine'!$A$4:$A$2500=DATE(2026,9,1))*'Planning Engine'!$U$4:$U$2500),"--")</t>
  </si>
  <si>
    <t>=IFERROR(SUMPRODUCT(('Planning Engine'!$B$4:$B$2500="Drug Substance")*('Planning Engine'!$A$4:$A$2500=DATE(2026,10,1))*'Planning Engine'!$U$4:$U$2500),"--")</t>
  </si>
  <si>
    <t>=IFERROR(SUMPRODUCT(('Planning Engine'!$B$4:$B$2500="Drug Substance")*('Planning Engine'!$A$4:$A$2500=DATE(2026,11,1))*'Planning Engine'!$U$4:$U$2500),"--")</t>
  </si>
  <si>
    <t>=IFERROR(SUMPRODUCT(('Planning Engine'!$B$4:$B$2500="Drug Substance")*('Planning Engine'!$A$4:$A$2500=DATE(2026,12,1))*'Planning Engine'!$U$4:$U$2500),"--")</t>
  </si>
  <si>
    <t>=IFERROR(SUMPRODUCT(('Planning Engine'!$B$4:$B$2500="Drug Substance")*('Planning Engine'!$A$4:$A$2500=DATE(2027,1,1))*'Planning Engine'!$U$4:$U$2500),"--")</t>
  </si>
  <si>
    <t>=IFERROR(SUMPRODUCT(('Planning Engine'!$B$4:$B$2500="Drug Substance")*('Planning Engine'!$A$4:$A$2500=DATE(2027,2,1))*'Planning Engine'!$U$4:$U$2500),"--")</t>
  </si>
  <si>
    <t>=IFERROR(SUMPRODUCT(('Planning Engine'!$B$4:$B$2500="Drug Substance")*('Planning Engine'!$A$4:$A$2500=DATE(2027,3,1))*'Planning Engine'!$U$4:$U$2500),"--")</t>
  </si>
  <si>
    <t>=IFERROR(SUMPRODUCT(('Planning Engine'!$B$4:$B$2500="Drug Substance")*('Planning Engine'!$A$4:$A$2500=DATE(2027,4,1))*'Planning Engine'!$U$4:$U$2500),"--")</t>
  </si>
  <si>
    <t>=IFERROR(SUMPRODUCT(('Planning Engine'!$B$4:$B$2500="Drug Substance")*('Planning Engine'!$A$4:$A$2500=DATE(2027,5,1))*'Planning Engine'!$U$4:$U$2500),"--")</t>
  </si>
  <si>
    <t>=IFERROR(SUMPRODUCT(('Planning Engine'!$B$4:$B$2500="Drug Substance")*('Planning Engine'!$A$4:$A$2500=DATE(2027,6,1))*'Planning Engine'!$U$4:$U$2500),"--")</t>
  </si>
  <si>
    <t>=IFERROR(SUMPRODUCT(('Planning Engine'!$B$4:$B$2500="Drug Substance")*('Planning Engine'!$A$4:$A$2500=DATE(2027,7,1))*'Planning Engine'!$U$4:$U$2500),"--")</t>
  </si>
  <si>
    <t>=IFERROR(SUMPRODUCT(('Planning Engine'!$B$4:$B$2500="Drug Substance")*('Planning Engine'!$A$4:$A$2500=DATE(2027,8,1))*'Planning Engine'!$U$4:$U$2500),"--")</t>
  </si>
  <si>
    <t>=IFERROR(SUMPRODUCT(('Planning Engine'!$B$4:$B$2500="Drug Substance")*('Planning Engine'!$A$4:$A$2500=DATE(2027,9,1))*'Planning Engine'!$U$4:$U$2500),"--")</t>
  </si>
  <si>
    <t>=IFERROR(SUMPRODUCT(('Planning Engine'!$B$4:$B$2500="Drug Substance")*('Planning Engine'!$A$4:$A$2500=DATE(2027,10,1))*'Planning Engine'!$U$4:$U$2500),"--")</t>
  </si>
  <si>
    <t>=IFERROR(SUMPRODUCT(('Planning Engine'!$B$4:$B$2500="Drug Substance")*('Planning Engine'!$A$4:$A$2500=DATE(2027,11,1))*'Planning Engine'!$U$4:$U$2500),"--")</t>
  </si>
  <si>
    <t>=IFERROR(SUMPRODUCT(('Planning Engine'!$B$4:$B$2500="Drug Substance")*('Planning Engine'!$A$4:$A$2500=DATE(2027,12,1))*'Planning Engine'!$U$4:$U$2500),"--")</t>
  </si>
  <si>
    <t>=IFERROR(SUMPRODUCT(('Planning Engine'!$B$4:$B$2500="Drug Substance")*('Planning Engine'!$A$4:$A$2500=DATE(2028,1,1))*'Planning Engine'!$U$4:$U$2500),"--")</t>
  </si>
  <si>
    <t>=IFERROR(SUMPRODUCT(('Planning Engine'!$B$4:$B$2500="Drug Substance")*('Planning Engine'!$A$4:$A$2500=DATE(2028,2,1))*'Planning Engine'!$U$4:$U$2500),"--")</t>
  </si>
  <si>
    <t>=IFERROR(SUMPRODUCT(('Planning Engine'!$B$4:$B$2500="Drug Substance")*('Planning Engine'!$A$4:$A$2500=DATE(2028,3,1))*'Planning Engine'!$U$4:$U$2500),"--")</t>
  </si>
  <si>
    <t>=IFERROR(SUMPRODUCT(('Planning Engine'!$B$4:$B$2500="Drug Substance")*('Planning Engine'!$A$4:$A$2500=DATE(2028,4,1))*'Planning Engine'!$U$4:$U$2500),"--")</t>
  </si>
  <si>
    <t>=IFERROR(SUMPRODUCT(('Planning Engine'!$B$4:$B$2500="Drug Substance")*('Planning Engine'!$A$4:$A$2500=DATE(2028,5,1))*'Planning Engine'!$U$4:$U$2500),"--")</t>
  </si>
  <si>
    <t>=IFERROR(SUMPRODUCT(('Planning Engine'!$B$4:$B$2500="Drug Substance")*('Planning Engine'!$A$4:$A$2500=DATE(2028,6,1))*'Planning Engine'!$U$4:$U$2500),"--")</t>
  </si>
  <si>
    <t>=IFERROR(SUMPRODUCT(('Planning Engine'!$B$4:$B$2500="Drug Substance")*('Planning Engine'!$A$4:$A$2500=DATE(2028,7,1))*'Planning Engine'!$U$4:$U$2500),"--")</t>
  </si>
  <si>
    <t>=IFERROR(SUMPRODUCT(('Planning Engine'!$B$4:$B$2500="Drug Substance")*('Planning Engine'!$A$4:$A$2500=DATE(2028,8,1))*'Planning Engine'!$U$4:$U$2500),"--")</t>
  </si>
  <si>
    <t>=IFERROR(SUMPRODUCT(('Planning Engine'!$B$4:$B$2500="Drug Substance")*('Planning Engine'!$A$4:$A$2500=DATE(2028,9,1))*'Planning Engine'!$U$4:$U$2500),"--")</t>
  </si>
  <si>
    <t>=IFERROR(SUMPRODUCT(('Planning Engine'!$B$4:$B$2500="Drug Substance")*('Planning Engine'!$A$4:$A$2500=DATE(2028,10,1))*'Planning Engine'!$U$4:$U$2500),"--")</t>
  </si>
  <si>
    <t>=IFERROR(SUMPRODUCT(('Planning Engine'!$B$4:$B$2500="Drug Substance")*('Planning Engine'!$A$4:$A$2500=DATE(2028,11,1))*'Planning Engine'!$U$4:$U$2500),"--")</t>
  </si>
  <si>
    <t>=IFERROR(SUMPRODUCT(('Planning Engine'!$B$4:$B$2500="Drug Substance")*('Planning Engine'!$A$4:$A$2500=DATE(2028,12,1))*'Planning Engine'!$U$4:$U$2500),"--")</t>
  </si>
  <si>
    <t>=IFERROR(SUMPRODUCT(('Planning Engine'!$B$4:$B$2500="Drug Substance")*('Planning Engine'!$A$4:$A$2500=DATE(2029,1,1))*'Planning Engine'!$U$4:$U$2500),"--")</t>
  </si>
  <si>
    <t>=IFERROR(SUMPRODUCT(('Planning Engine'!$B$4:$B$2500="Drug Substance")*('Planning Engine'!$A$4:$A$2500=DATE(2029,2,1))*'Planning Engine'!$U$4:$U$2500),"--")</t>
  </si>
  <si>
    <t>=IFERROR(SUMPRODUCT(('Planning Engine'!$B$4:$B$2500="Drug Substance")*('Planning Engine'!$A$4:$A$2500=DATE(2029,3,1))*'Planning Engine'!$U$4:$U$2500),"--")</t>
  </si>
  <si>
    <t>=IFERROR(SUMPRODUCT(('Planning Engine'!$B$4:$B$2500="Drug Substance")*('Planning Engine'!$A$4:$A$2500=DATE(2029,4,1))*'Planning Engine'!$U$4:$U$2500),"--")</t>
  </si>
  <si>
    <t>=IFERROR(SUMPRODUCT(('Planning Engine'!$B$4:$B$2500="Drug Substance")*('Planning Engine'!$A$4:$A$2500=DATE(2029,5,1))*'Planning Engine'!$U$4:$U$2500),"--")</t>
  </si>
  <si>
    <t>=IFERROR(SUMPRODUCT(('Planning Engine'!$B$4:$B$2500="Drug Substance")*('Planning Engine'!$A$4:$A$2500=DATE(2029,6,1))*'Planning Engine'!$U$4:$U$2500),"--")</t>
  </si>
  <si>
    <t>=IFERROR(SUMPRODUCT(('Planning Engine'!$B$4:$B$2500="Drug Substance")*('Planning Engine'!$A$4:$A$2500=DATE(2029,7,1))*'Planning Engine'!$U$4:$U$2500),"--")</t>
  </si>
  <si>
    <t>=IFERROR(SUMPRODUCT(('Planning Engine'!$B$4:$B$2500="Drug Substance")*('Planning Engine'!$A$4:$A$2500=DATE(2029,8,1))*'Planning Engine'!$U$4:$U$2500),"--")</t>
  </si>
  <si>
    <t>=IFERROR(SUMPRODUCT(('Planning Engine'!$B$4:$B$2500="Drug Substance")*('Planning Engine'!$A$4:$A$2500=DATE(2029,9,1))*'Planning Engine'!$U$4:$U$2500),"--")</t>
  </si>
  <si>
    <t>=IFERROR(SUMPRODUCT(('Planning Engine'!$B$4:$B$2500="Drug Substance")*('Planning Engine'!$A$4:$A$2500=DATE(2029,10,1))*'Planning Engine'!$U$4:$U$2500),"--")</t>
  </si>
  <si>
    <t>=IFERROR(SUMPRODUCT(('Planning Engine'!$B$4:$B$2500="Drug Substance")*('Planning Engine'!$A$4:$A$2500=DATE(2029,11,1))*'Planning Engine'!$U$4:$U$2500),"--")</t>
  </si>
  <si>
    <t>=IFERROR(SUMPRODUCT(('Planning Engine'!$B$4:$B$2500="Drug Substance")*('Planning Engine'!$A$4:$A$2500=DATE(2029,12,1))*'Planning Engine'!$U$4:$U$2500),"--")</t>
  </si>
  <si>
    <t>=IFERROR(SUMPRODUCT(('Planning Engine'!$B$4:$B$2500="Drug Substance")*('Planning Engine'!$A$4:$A$2500=DATE(2030,1,1))*'Planning Engine'!$U$4:$U$2500),"--")</t>
  </si>
  <si>
    <t>=IFERROR(SUMPRODUCT(('Planning Engine'!$B$4:$B$2500="Drug Substance")*('Planning Engine'!$A$4:$A$2500=DATE(2030,2,1))*'Planning Engine'!$U$4:$U$2500),"--")</t>
  </si>
  <si>
    <t>=IFERROR(SUMPRODUCT(('Planning Engine'!$B$4:$B$2500="Drug Substance")*('Planning Engine'!$A$4:$A$2500=DATE(2030,3,1))*'Planning Engine'!$U$4:$U$2500),"--")</t>
  </si>
  <si>
    <t>=IFERROR(SUMPRODUCT(('Planning Engine'!$B$4:$B$2500="Drug Substance")*('Planning Engine'!$A$4:$A$2500=DATE(2030,4,1))*'Planning Engine'!$U$4:$U$2500),"--")</t>
  </si>
  <si>
    <t>=IFERROR(SUMPRODUCT(('Planning Engine'!$B$4:$B$2500="Drug Substance")*('Planning Engine'!$A$4:$A$2500=DATE(2030,5,1))*'Planning Engine'!$U$4:$U$2500),"--")</t>
  </si>
  <si>
    <t>=IFERROR(SUMPRODUCT(('Planning Engine'!$B$4:$B$2500="Drug Substance")*('Planning Engine'!$A$4:$A$2500=DATE(2030,6,1))*'Planning Engine'!$U$4:$U$2500),"--")</t>
  </si>
  <si>
    <t>=IFERROR(SUMPRODUCT(('Planning Engine'!$B$4:$B$2500="Drug Substance")*('Planning Engine'!$A$4:$A$2500=DATE(2030,7,1))*'Planning Engine'!$U$4:$U$2500),"--")</t>
  </si>
  <si>
    <t>=IFERROR(SUMPRODUCT(('Planning Engine'!$B$4:$B$2500="Drug Substance")*('Planning Engine'!$A$4:$A$2500=DATE(2030,8,1))*'Planning Engine'!$U$4:$U$2500),"--")</t>
  </si>
  <si>
    <t>=IFERROR(SUMPRODUCT(('Planning Engine'!$B$4:$B$2500="Drug Substance")*('Planning Engine'!$A$4:$A$2500=DATE(2030,9,1))*'Planning Engine'!$U$4:$U$2500),"--")</t>
  </si>
  <si>
    <t>=IFERROR(SUMPRODUCT(('Planning Engine'!$B$4:$B$2500="Drug Substance")*('Planning Engine'!$A$4:$A$2500=DATE(2030,10,1))*'Planning Engine'!$U$4:$U$2500),"--")</t>
  </si>
  <si>
    <t>=IFERROR(SUMPRODUCT(('Planning Engine'!$B$4:$B$2500="Drug Substance")*('Planning Engine'!$A$4:$A$2500=DATE(2030,11,1))*'Planning Engine'!$U$4:$U$2500),"--")</t>
  </si>
  <si>
    <t>=IFERROR(SUMPRODUCT(('Planning Engine'!$B$4:$B$2500="Drug Substance")*('Planning Engine'!$A$4:$A$2500=DATE(2030,12,1))*'Planning Engine'!$U$4:$U$2500),"--")</t>
  </si>
  <si>
    <t>=IFERROR(SUMPRODUCT(('Planning Engine'!$B$4:$B$2500="Drug Substance")*('Planning Engine'!$A$4:$A$2500=DATE(2031,1,1))*'Planning Engine'!$U$4:$U$2500),"--")</t>
  </si>
  <si>
    <t>=IFERROR(SUMPRODUCT(('Planning Engine'!$B$4:$B$2500="Drug Substance")*('Planning Engine'!$A$4:$A$2500=DATE(2031,2,1))*'Planning Engine'!$U$4:$U$2500),"--")</t>
  </si>
  <si>
    <t>=IFERROR(SUMPRODUCT(('Planning Engine'!$B$4:$B$2500="Drug Substance")*('Planning Engine'!$A$4:$A$2500=DATE(2031,3,1))*'Planning Engine'!$U$4:$U$2500),"--")</t>
  </si>
  <si>
    <t>=IFERROR(SUMPRODUCT(('Planning Engine'!$B$4:$B$2500="Drug Substance")*('Planning Engine'!$A$4:$A$2500=DATE(2031,4,1))*'Planning Engine'!$U$4:$U$2500),"--")</t>
  </si>
  <si>
    <t>=IFERROR(SUMPRODUCT(('Planning Engine'!$B$4:$B$2500="Drug Substance")*('Planning Engine'!$A$4:$A$2500=DATE(2031,5,1))*'Planning Engine'!$U$4:$U$2500),"--")</t>
  </si>
  <si>
    <t>=IFERROR(SUMPRODUCT(('Planning Engine'!$B$4:$B$2500="Drug Substance")*('Planning Engine'!$A$4:$A$2500=DATE(2031,6,1))*'Planning Engine'!$U$4:$U$2500),"--")</t>
  </si>
  <si>
    <t>=IFERROR(SUMPRODUCT(('Planning Engine'!$B$4:$B$2500="Drug Substance")*('Planning Engine'!$A$4:$A$2500=DATE(2031,7,1))*'Planning Engine'!$U$4:$U$2500),"--")</t>
  </si>
  <si>
    <t>=IFERROR(SUMPRODUCT(('Planning Engine'!$B$4:$B$2500="Drug Substance")*('Planning Engine'!$A$4:$A$2500=DATE(2031,8,1))*'Planning Engine'!$U$4:$U$2500),"--")</t>
  </si>
  <si>
    <t>=IFERROR(SUMPRODUCT(('Planning Engine'!$B$4:$B$2500="Drug Substance")*('Planning Engine'!$A$4:$A$2500=DATE(2031,9,1))*'Planning Engine'!$U$4:$U$2500),"--")</t>
  </si>
  <si>
    <t>=IFERROR(SUMPRODUCT(('Planning Engine'!$B$4:$B$2500="Drug Substance")*('Planning Engine'!$A$4:$A$2500=DATE(2031,10,1))*'Planning Engine'!$U$4:$U$2500),"--")</t>
  </si>
  <si>
    <t>=IFERROR(SUMPRODUCT(('Planning Engine'!$B$4:$B$2500="Drug Substance")*('Planning Engine'!$A$4:$A$2500=DATE(2031,11,1))*'Planning Engine'!$U$4:$U$2500),"--")</t>
  </si>
  <si>
    <t>=IFERROR(SUMPRODUCT(('Planning Engine'!$B$4:$B$2500="Drug Substance")*('Planning Engine'!$A$4:$A$2500=DATE(2031,12,1))*'Planning Engine'!$U$4:$U$2500),"--")</t>
  </si>
  <si>
    <t>=IFERROR(SUMPRODUCT(('Planning Engine'!$B$4:$B$2500="Drug Substance")*('Planning Engine'!$A$4:$A$2500=DATE(2032,1,1))*'Planning Engine'!$U$4:$U$2500),"--")</t>
  </si>
  <si>
    <t>=IFERROR(SUMPRODUCT(('Planning Engine'!$B$4:$B$2500="Drug Substance")*('Planning Engine'!$A$4:$A$2500=DATE(2032,2,1))*'Planning Engine'!$U$4:$U$2500),"--")</t>
  </si>
  <si>
    <t>=IFERROR(SUMPRODUCT(('Planning Engine'!$B$4:$B$2500="Drug Substance")*('Planning Engine'!$A$4:$A$2500=DATE(2032,3,1))*'Planning Engine'!$U$4:$U$2500),"--")</t>
  </si>
  <si>
    <t>=IFERROR(SUMPRODUCT(('Planning Engine'!$B$4:$B$2500="Drug Substance")*('Planning Engine'!$A$4:$A$2500=DATE(2032,4,1))*'Planning Engine'!$U$4:$U$2500),"--")</t>
  </si>
  <si>
    <t>=IFERROR(SUMPRODUCT(('Planning Engine'!$B$4:$B$2500="Drug Substance")*('Planning Engine'!$A$4:$A$2500=DATE(2032,5,1))*'Planning Engine'!$U$4:$U$2500),"--")</t>
  </si>
  <si>
    <t>=IFERROR(SUMPRODUCT(('Planning Engine'!$B$4:$B$2500="Drug Substance")*('Planning Engine'!$A$4:$A$2500=DATE(2032,6,1))*'Planning Engine'!$U$4:$U$2500),"--")</t>
  </si>
  <si>
    <t>=IFERROR(SUMPRODUCT(('Planning Engine'!$B$4:$B$2500="Drug Substance")*('Planning Engine'!$A$4:$A$2500=DATE(2032,7,1))*'Planning Engine'!$U$4:$U$2500),"--")</t>
  </si>
  <si>
    <t>=IFERROR(SUMPRODUCT(('Planning Engine'!$B$4:$B$2500="Drug Substance")*('Planning Engine'!$A$4:$A$2500=DATE(2032,8,1))*'Planning Engine'!$U$4:$U$2500),"--")</t>
  </si>
  <si>
    <t>=IFERROR(SUMPRODUCT(('Planning Engine'!$B$4:$B$2500="Drug Substance")*('Planning Engine'!$A$4:$A$2500=DATE(2032,9,1))*'Planning Engine'!$U$4:$U$2500),"--")</t>
  </si>
  <si>
    <t>=IFERROR(SUMPRODUCT(('Planning Engine'!$B$4:$B$2500="Drug Substance")*('Planning Engine'!$A$4:$A$2500=DATE(2032,10,1))*'Planning Engine'!$U$4:$U$2500),"--")</t>
  </si>
  <si>
    <t>=IFERROR(SUMPRODUCT(('Planning Engine'!$B$4:$B$2500="Drug Substance")*('Planning Engine'!$A$4:$A$2500=DATE(2032,11,1))*'Planning Engine'!$U$4:$U$2500),"--")</t>
  </si>
  <si>
    <t>=IFERROR(SUMPRODUCT(('Planning Engine'!$B$4:$B$2500="Drug Substance")*('Planning Engine'!$A$4:$A$2500=DATE(2032,12,1))*'Planning Engine'!$U$4:$U$2500),"--")</t>
  </si>
  <si>
    <t>=IFERROR(SUMPRODUCT(('Planning Engine'!$B$4:$B$2500="Drug Substance")*('Planning Engine'!$A$4:$A$2500=DATE(2033,1,1))*'Planning Engine'!$U$4:$U$2500),"--")</t>
  </si>
  <si>
    <t>=IFERROR(SUMPRODUCT(('Planning Engine'!$B$4:$B$2500="Drug Substance")*('Planning Engine'!$A$4:$A$2500=DATE(2033,2,1))*'Planning Engine'!$U$4:$U$2500),"--")</t>
  </si>
  <si>
    <t>=IFERROR(SUMPRODUCT(('Planning Engine'!$B$4:$B$2500="Drug Substance")*('Planning Engine'!$A$4:$A$2500=DATE(2033,3,1))*'Planning Engine'!$U$4:$U$2500),"--")</t>
  </si>
  <si>
    <t>=IFERROR(SUMPRODUCT(('Planning Engine'!$B$4:$B$2500="Drug Substance")*('Planning Engine'!$A$4:$A$2500=DATE(2033,4,1))*'Planning Engine'!$U$4:$U$2500),"--")</t>
  </si>
  <si>
    <t>=IFERROR(SUMPRODUCT(('Planning Engine'!$B$4:$B$2500="Drug Substance")*('Planning Engine'!$A$4:$A$2500=DATE(2033,5,1))*'Planning Engine'!$U$4:$U$2500),"--")</t>
  </si>
  <si>
    <t>=IFERROR(SUMPRODUCT(('Planning Engine'!$B$4:$B$2500="Drug Substance")*('Planning Engine'!$A$4:$A$2500=DATE(2033,6,1))*'Planning Engine'!$U$4:$U$2500),"--")</t>
  </si>
  <si>
    <t>=IFERROR(SUMPRODUCT(('Planning Engine'!$B$4:$B$2500="Drug Substance")*('Planning Engine'!$A$4:$A$2500=DATE(2033,7,1))*'Planning Engine'!$U$4:$U$2500),"--")</t>
  </si>
  <si>
    <t>=IFERROR(SUMPRODUCT(('Planning Engine'!$B$4:$B$2500="Drug Substance")*('Planning Engine'!$A$4:$A$2500=DATE(2033,8,1))*'Planning Engine'!$U$4:$U$2500),"--")</t>
  </si>
  <si>
    <t>=IFERROR(SUMPRODUCT(('Planning Engine'!$B$4:$B$2500="Drug Substance")*('Planning Engine'!$A$4:$A$2500=DATE(2033,9,1))*'Planning Engine'!$U$4:$U$2500),"--")</t>
  </si>
  <si>
    <t>=IFERROR(SUMPRODUCT(('Planning Engine'!$B$4:$B$2500="Drug Substance")*('Planning Engine'!$A$4:$A$2500=DATE(2033,10,1))*'Planning Engine'!$U$4:$U$2500),"--")</t>
  </si>
  <si>
    <t>=IFERROR(SUMPRODUCT(('Planning Engine'!$B$4:$B$2500="Drug Substance")*('Planning Engine'!$A$4:$A$2500=DATE(2033,11,1))*'Planning Engine'!$U$4:$U$2500),"--")</t>
  </si>
  <si>
    <t>=IFERROR(SUMPRODUCT(('Planning Engine'!$B$4:$B$2500="Drug Substance")*('Planning Engine'!$A$4:$A$2500=DATE(2033,12,1))*'Planning Engine'!$U$4:$U$2500),"--")</t>
  </si>
  <si>
    <t>=IFERROR(SUMPRODUCT(('Planning Engine'!$B$4:$B$2500="Drug Substance")*('Planning Engine'!$A$4:$A$2500=DATE(2034,1,1))*'Planning Engine'!$U$4:$U$2500),"--")</t>
  </si>
  <si>
    <t>=IFERROR(SUMPRODUCT(('Planning Engine'!$B$4:$B$2500="Drug Substance")*('Planning Engine'!$A$4:$A$2500=DATE(2034,2,1))*'Planning Engine'!$U$4:$U$2500),"--")</t>
  </si>
  <si>
    <t>=IFERROR(SUMPRODUCT(('Planning Engine'!$B$4:$B$2500="Drug Substance")*('Planning Engine'!$A$4:$A$2500=DATE(2034,3,1))*'Planning Engine'!$U$4:$U$2500),"--")</t>
  </si>
  <si>
    <t>=IFERROR(SUMPRODUCT(('Planning Engine'!$B$4:$B$2500="Drug Substance")*('Planning Engine'!$A$4:$A$2500=DATE(2034,4,1))*'Planning Engine'!$U$4:$U$2500),"--")</t>
  </si>
  <si>
    <t>=IFERROR(SUMPRODUCT(('Planning Engine'!$B$4:$B$2500="Drug Substance")*('Planning Engine'!$A$4:$A$2500=DATE(2034,5,1))*'Planning Engine'!$U$4:$U$2500),"--")</t>
  </si>
  <si>
    <t>=IFERROR(SUMPRODUCT(('Planning Engine'!$B$4:$B$2500="Drug Substance")*('Planning Engine'!$A$4:$A$2500=DATE(2034,6,1))*'Planning Engine'!$U$4:$U$2500),"--")</t>
  </si>
  <si>
    <t>=IFERROR(SUMPRODUCT(('Planning Engine'!$B$4:$B$2500="Drug Substance")*('Planning Engine'!$A$4:$A$2500=DATE(2034,7,1))*'Planning Engine'!$U$4:$U$2500),"--")</t>
  </si>
  <si>
    <t>=IFERROR(SUMPRODUCT(('Planning Engine'!$B$4:$B$2500="Drug Substance")*('Planning Engine'!$A$4:$A$2500=DATE(2034,8,1))*'Planning Engine'!$U$4:$U$2500),"--")</t>
  </si>
  <si>
    <t>=IFERROR(SUMPRODUCT(('Planning Engine'!$B$4:$B$2500="Drug Substance")*('Planning Engine'!$A$4:$A$2500=DATE(2034,9,1))*'Planning Engine'!$U$4:$U$2500),"--")</t>
  </si>
  <si>
    <t>=IFERROR(SUMPRODUCT(('Planning Engine'!$B$4:$B$2500="Drug Substance")*('Planning Engine'!$A$4:$A$2500=DATE(2034,10,1))*'Planning Engine'!$U$4:$U$2500),"--")</t>
  </si>
  <si>
    <t>=IFERROR(SUMPRODUCT(('Planning Engine'!$B$4:$B$2500="Drug Substance")*('Planning Engine'!$A$4:$A$2500=DATE(2034,11,1))*'Planning Engine'!$U$4:$U$2500),"--")</t>
  </si>
  <si>
    <t>=IFERROR(SUMPRODUCT(('Planning Engine'!$B$4:$B$2500="Drug Substance")*('Planning Engine'!$A$4:$A$2500=DATE(2034,12,1))*'Planning Engine'!$U$4:$U$2500),"--")</t>
  </si>
  <si>
    <t>=IFERROR(SUMPRODUCT(('Planning Engine'!$B$4:$B$2500="Drug Substance")*('Planning Engine'!$A$4:$A$2500=DATE(2035,1,1))*'Planning Engine'!$U$4:$U$2500),"--")</t>
  </si>
  <si>
    <t>=IFERROR(SUMPRODUCT(('Planning Engine'!$B$4:$B$2500="Drug Substance")*('Planning Engine'!$A$4:$A$2500=DATE(2035,2,1))*'Planning Engine'!$U$4:$U$2500),"--")</t>
  </si>
  <si>
    <t>=IFERROR(SUMPRODUCT(('Planning Engine'!$B$4:$B$2500="Drug Substance")*('Planning Engine'!$A$4:$A$2500=DATE(2035,3,1))*'Planning Engine'!$U$4:$U$2500),"--")</t>
  </si>
  <si>
    <t>=IFERROR(SUMPRODUCT(('Planning Engine'!$B$4:$B$2500="Drug Substance")*('Planning Engine'!$A$4:$A$2500=DATE(2035,4,1))*'Planning Engine'!$U$4:$U$2500),"--")</t>
  </si>
  <si>
    <t>=IFERROR(SUMPRODUCT(('Planning Engine'!$B$4:$B$2500="Drug Substance")*('Planning Engine'!$A$4:$A$2500=DATE(2035,5,1))*'Planning Engine'!$U$4:$U$2500),"--")</t>
  </si>
  <si>
    <t>=IFERROR(SUMPRODUCT(('Planning Engine'!$B$4:$B$2500="Drug Substance")*('Planning Engine'!$A$4:$A$2500=DATE(2035,6,1))*'Planning Engine'!$U$4:$U$2500),"--")</t>
  </si>
  <si>
    <t>=IFERROR(SUMPRODUCT(('Planning Engine'!$B$4:$B$2500="Drug Substance")*('Planning Engine'!$A$4:$A$2500=DATE(2035,7,1))*'Planning Engine'!$U$4:$U$2500),"--")</t>
  </si>
  <si>
    <t>=IFERROR(SUMPRODUCT(('Planning Engine'!$B$4:$B$2500="Drug Substance")*('Planning Engine'!$A$4:$A$2500=DATE(2035,8,1))*'Planning Engine'!$U$4:$U$2500),"--")</t>
  </si>
  <si>
    <t>=IFERROR(SUMPRODUCT(('Planning Engine'!$B$4:$B$2500="Drug Substance")*('Planning Engine'!$A$4:$A$2500=DATE(2035,9,1))*'Planning Engine'!$U$4:$U$2500),"--")</t>
  </si>
  <si>
    <t>=IFERROR(SUMPRODUCT(('Planning Engine'!$B$4:$B$2500="Drug Substance")*('Planning Engine'!$A$4:$A$2500=DATE(2035,10,1))*'Planning Engine'!$U$4:$U$2500),"--")</t>
  </si>
  <si>
    <t>=IFERROR(SUMPRODUCT(('Planning Engine'!$B$4:$B$2500="Drug Substance")*('Planning Engine'!$A$4:$A$2500=DATE(2035,11,1))*'Planning Engine'!$U$4:$U$2500),"--")</t>
  </si>
  <si>
    <t>=IFERROR(SUMPRODUCT(('Planning Engine'!$B$4:$B$2500="Drug Substance")*('Planning Engine'!$A$4:$A$2500=DATE(2035,12,1))*'Planning Engine'!$U$4:$U$2500),"--")</t>
  </si>
  <si>
    <t>=IFERROR(SUMPRODUCT(('Planning Engine'!$B$4:$B$2500="Drug Substance")*('Planning Engine'!$A$4:$A$2500=DATE(2036,1,1))*'Planning Engine'!$U$4:$U$2500),"--")</t>
  </si>
  <si>
    <t>=IFERROR(SUMPRODUCT(('Planning Engine'!$B$4:$B$2500="Drug Substance")*('Planning Engine'!$A$4:$A$2500=DATE(2036,2,1))*'Planning Engine'!$U$4:$U$2500),"--")</t>
  </si>
  <si>
    <t>=IFERROR(SUMPRODUCT(('Planning Engine'!$B$4:$B$2500="Drug Substance")*('Planning Engine'!$A$4:$A$2500=DATE(2036,3,1))*'Planning Engine'!$U$4:$U$2500),"--")</t>
  </si>
  <si>
    <t>=IFERROR(SUMPRODUCT(('Planning Engine'!$B$4:$B$2500="Drug Substance")*('Planning Engine'!$A$4:$A$2500=DATE(2036,4,1))*'Planning Engine'!$U$4:$U$2500),"--")</t>
  </si>
  <si>
    <t>=IFERROR(SUMPRODUCT(('Planning Engine'!$B$4:$B$2500="Drug Substance")*('Planning Engine'!$A$4:$A$2500=DATE(2036,5,1))*'Planning Engine'!$U$4:$U$2500),"--")</t>
  </si>
  <si>
    <t>=IFERROR(SUMPRODUCT(('Planning Engine'!$B$4:$B$2500="Drug Substance")*('Planning Engine'!$A$4:$A$2500=DATE(2036,6,1))*'Planning Engine'!$U$4:$U$2500),"--")</t>
  </si>
  <si>
    <t>=IFERROR(SUMPRODUCT(('Planning Engine'!$B$4:$B$2500="Drug Substance")*('Planning Engine'!$A$4:$A$2500=DATE(2036,7,1))*'Planning Engine'!$U$4:$U$2500),"--")</t>
  </si>
  <si>
    <t>=IFERROR(SUMPRODUCT(('Planning Engine'!$B$4:$B$2500="Drug Substance")*('Planning Engine'!$A$4:$A$2500=DATE(2036,8,1))*'Planning Engine'!$U$4:$U$2500),"--")</t>
  </si>
  <si>
    <t>=IFERROR(SUMPRODUCT(('Planning Engine'!$B$4:$B$2500="Drug Substance")*('Planning Engine'!$A$4:$A$2500=DATE(2036,9,1))*'Planning Engine'!$U$4:$U$2500),"--")</t>
  </si>
  <si>
    <t>=IFERROR(SUMPRODUCT(('Planning Engine'!$B$4:$B$2500="Drug Substance")*('Planning Engine'!$A$4:$A$2500=DATE(2036,10,1))*'Planning Engine'!$U$4:$U$2500),"--")</t>
  </si>
  <si>
    <t>=IFERROR(SUMPRODUCT(('Planning Engine'!$B$4:$B$2500="Drug Substance")*('Planning Engine'!$A$4:$A$2500=DATE(2036,11,1))*'Planning Engine'!$U$4:$U$2500),"--")</t>
  </si>
  <si>
    <t>=IFERROR(SUMPRODUCT(('Planning Engine'!$B$4:$B$2500="Drug Substance")*('Planning Engine'!$A$4:$A$2500=DATE(2036,12,1))*'Planning Engine'!$U$4:$U$2500),"--")</t>
  </si>
  <si>
    <t>=IFERROR(SUMPRODUCT(('Planning Engine'!$B$4:$B$2500="Drug Substance")*('Planning Engine'!$A$4:$A$2500=DATE(2037,1,1))*'Planning Engine'!$U$4:$U$2500),"--")</t>
  </si>
  <si>
    <t>=IFERROR(SUMPRODUCT(('Planning Engine'!$B$4:$B$2500="Drug Substance")*('Planning Engine'!$A$4:$A$2500=DATE(2037,2,1))*'Planning Engine'!$U$4:$U$2500),"--")</t>
  </si>
  <si>
    <t>=IFERROR(SUMPRODUCT(('Planning Engine'!$B$4:$B$2500="Drug Substance")*('Planning Engine'!$A$4:$A$2500=DATE(2037,3,1))*'Planning Engine'!$U$4:$U$2500),"--")</t>
  </si>
  <si>
    <t>=IFERROR(SUMPRODUCT(('Planning Engine'!$B$4:$B$2500="Drug Substance")*('Planning Engine'!$A$4:$A$2500=DATE(2037,4,1))*'Planning Engine'!$U$4:$U$2500),"--")</t>
  </si>
  <si>
    <t>=IFERROR(SUMPRODUCT(('Planning Engine'!$B$4:$B$2500="Drug Substance")*('Planning Engine'!$A$4:$A$2500=DATE(2037,5,1))*'Planning Engine'!$U$4:$U$2500),"--")</t>
  </si>
  <si>
    <t>=IFERROR(SUMPRODUCT(('Planning Engine'!$B$4:$B$2500="Drug Substance")*('Planning Engine'!$A$4:$A$2500=DATE(2037,6,1))*'Planning Engine'!$U$4:$U$2500),"--")</t>
  </si>
  <si>
    <t>=IFERROR(SUMPRODUCT(('Planning Engine'!$B$4:$B$2500="Drug Substance")*('Planning Engine'!$A$4:$A$2500=DATE(2037,7,1))*'Planning Engine'!$U$4:$U$2500),"--")</t>
  </si>
  <si>
    <t>=IFERROR(SUMPRODUCT(('Planning Engine'!$B$4:$B$2500="Drug Substance")*('Planning Engine'!$A$4:$A$2500=DATE(2037,8,1))*'Planning Engine'!$U$4:$U$2500),"--")</t>
  </si>
  <si>
    <t>=IFERROR(SUMPRODUCT(('Planning Engine'!$B$4:$B$2500="Drug Substance")*('Planning Engine'!$A$4:$A$2500=DATE(2037,9,1))*'Planning Engine'!$U$4:$U$2500),"--")</t>
  </si>
  <si>
    <t>=IFERROR(SUMPRODUCT(('Planning Engine'!$B$4:$B$2500="Drug Substance")*('Planning Engine'!$A$4:$A$2500=DATE(2037,10,1))*'Planning Engine'!$U$4:$U$2500),"--")</t>
  </si>
  <si>
    <t>=IFERROR(SUMPRODUCT(('Planning Engine'!$B$4:$B$2500="Drug Substance")*('Planning Engine'!$A$4:$A$2500=DATE(2037,11,1))*'Planning Engine'!$U$4:$U$2500),"--")</t>
  </si>
  <si>
    <t>=IFERROR(SUMPRODUCT(('Planning Engine'!$B$4:$B$2500="Drug Substance")*('Planning Engine'!$A$4:$A$2500=DATE(2037,12,1))*'Planning Engine'!$U$4:$U$2500),"--")</t>
  </si>
  <si>
    <t>=IFERROR(SUMPRODUCT(('Planning Engine'!$B$4:$B$2500="Drug Substance")*('Planning Engine'!$A$4:$A$2500=DATE(2038,1,1))*'Planning Engine'!$U$4:$U$2500),"--")</t>
  </si>
  <si>
    <t>=IFERROR(SUMPRODUCT(('Planning Engine'!$B$4:$B$2500="Drug Substance")*('Planning Engine'!$A$4:$A$2500=DATE(2038,2,1))*'Planning Engine'!$U$4:$U$2500),"--")</t>
  </si>
  <si>
    <t>=IFERROR(SUMPRODUCT(('Planning Engine'!$B$4:$B$2500="Drug Substance")*('Planning Engine'!$A$4:$A$2500=DATE(2038,3,1))*'Planning Engine'!$U$4:$U$2500),"--")</t>
  </si>
  <si>
    <t>=IFERROR(SUMPRODUCT(('Planning Engine'!$B$4:$B$2500="Drug Substance")*('Planning Engine'!$A$4:$A$2500=DATE(2038,4,1))*'Planning Engine'!$U$4:$U$2500),"--")</t>
  </si>
  <si>
    <t>=IFERROR(SUMPRODUCT(('Planning Engine'!$B$4:$B$2500="Drug Substance")*('Planning Engine'!$A$4:$A$2500=DATE(2038,5,1))*'Planning Engine'!$U$4:$U$2500),"--")</t>
  </si>
  <si>
    <t>=IFERROR(SUMPRODUCT(('Planning Engine'!$B$4:$B$2500="Drug Substance")*('Planning Engine'!$A$4:$A$2500=DATE(2038,6,1))*'Planning Engine'!$U$4:$U$2500),"--")</t>
  </si>
  <si>
    <t>=IFERROR(SUMPRODUCT(('Planning Engine'!$B$4:$B$2500="Drug Substance")*('Planning Engine'!$A$4:$A$2500=DATE(2038,7,1))*'Planning Engine'!$U$4:$U$2500),"--")</t>
  </si>
  <si>
    <t>=IFERROR(SUMPRODUCT(('Planning Engine'!$B$4:$B$2500="Drug Substance")*('Planning Engine'!$A$4:$A$2500=DATE(2038,8,1))*'Planning Engine'!$U$4:$U$2500),"--")</t>
  </si>
  <si>
    <t>=IFERROR(SUMPRODUCT(('Planning Engine'!$B$4:$B$2500="Drug Substance")*('Planning Engine'!$A$4:$A$2500=DATE(2038,9,1))*'Planning Engine'!$U$4:$U$2500),"--")</t>
  </si>
  <si>
    <t>=IFERROR(SUMPRODUCT(('Planning Engine'!$B$4:$B$2500="Drug Substance")*('Planning Engine'!$A$4:$A$2500=DATE(2038,10,1))*'Planning Engine'!$U$4:$U$2500),"--")</t>
  </si>
  <si>
    <t>=IFERROR(SUMPRODUCT(('Planning Engine'!$B$4:$B$2500="Drug Substance")*('Planning Engine'!$A$4:$A$2500=DATE(2038,11,1))*'Planning Engine'!$U$4:$U$2500),"--")</t>
  </si>
  <si>
    <t>=IFERROR(SUMPRODUCT(('Planning Engine'!$B$4:$B$2500="Drug Substance")*('Planning Engine'!$A$4:$A$2500=DATE(2038,12,1))*'Planning Engine'!$U$4:$U$2500),"--")</t>
  </si>
  <si>
    <t>=IFERROR(SUMPRODUCT(('Planning Engine'!$B$4:$B$2500="Drug Substance")*('Planning Engine'!$A$4:$A$2500=DATE(2039,1,1))*'Planning Engine'!$U$4:$U$2500),"--")</t>
  </si>
  <si>
    <t>=IFERROR(SUMPRODUCT(('Planning Engine'!$B$4:$B$2500="Drug Substance")*('Planning Engine'!$A$4:$A$2500=DATE(2039,2,1))*'Planning Engine'!$U$4:$U$2500),"--")</t>
  </si>
  <si>
    <t>=IFERROR(SUMPRODUCT(('Planning Engine'!$B$4:$B$2500="Drug Substance")*('Planning Engine'!$A$4:$A$2500=DATE(2039,3,1))*'Planning Engine'!$U$4:$U$2500),"--")</t>
  </si>
  <si>
    <t>=IFERROR(SUMPRODUCT(('Planning Engine'!$B$4:$B$2500="Drug Substance")*('Planning Engine'!$A$4:$A$2500=DATE(2039,4,1))*'Planning Engine'!$U$4:$U$2500),"--")</t>
  </si>
  <si>
    <t>=IFERROR(SUMPRODUCT(('Planning Engine'!$B$4:$B$2500="Drug Substance")*('Planning Engine'!$A$4:$A$2500=DATE(2039,5,1))*'Planning Engine'!$U$4:$U$2500),"--")</t>
  </si>
  <si>
    <t>=IFERROR(SUMPRODUCT(('Planning Engine'!$B$4:$B$2500="Drug Substance")*('Planning Engine'!$A$4:$A$2500=DATE(2039,6,1))*'Planning Engine'!$U$4:$U$2500),"--")</t>
  </si>
  <si>
    <t>=IFERROR(SUMPRODUCT(('Planning Engine'!$B$4:$B$2500="Drug Substance")*('Planning Engine'!$A$4:$A$2500=DATE(2039,7,1))*'Planning Engine'!$U$4:$U$2500),"--")</t>
  </si>
  <si>
    <t>=IFERROR(SUMPRODUCT(('Planning Engine'!$B$4:$B$2500="Drug Substance")*('Planning Engine'!$A$4:$A$2500=DATE(2039,8,1))*'Planning Engine'!$U$4:$U$2500),"--")</t>
  </si>
  <si>
    <t>=IFERROR(SUMPRODUCT(('Planning Engine'!$B$4:$B$2500="Drug Substance")*('Planning Engine'!$A$4:$A$2500=DATE(2039,9,1))*'Planning Engine'!$U$4:$U$2500),"--")</t>
  </si>
  <si>
    <t>=IFERROR(SUMPRODUCT(('Planning Engine'!$B$4:$B$2500="Drug Substance")*('Planning Engine'!$A$4:$A$2500=DATE(2039,10,1))*'Planning Engine'!$U$4:$U$2500),"--")</t>
  </si>
  <si>
    <t>=IFERROR(SUMPRODUCT(('Planning Engine'!$B$4:$B$2500="Drug Substance")*('Planning Engine'!$A$4:$A$2500=DATE(2039,11,1))*'Planning Engine'!$U$4:$U$2500),"--")</t>
  </si>
  <si>
    <t>=IFERROR(SUMPRODUCT(('Planning Engine'!$B$4:$B$2500="Drug Substance")*('Planning Engine'!$A$4:$A$2500=DATE(2039,12,1))*'Planning Engine'!$U$4:$U$2500),"--")</t>
  </si>
  <si>
    <t>=IFERROR(SUMPRODUCT(('Planning Engine'!$B$4:$B$2500="Drug Substance")*('Planning Engine'!$A$4:$A$2500=DATE(2040,1,1))*'Planning Engine'!$U$4:$U$2500),"--")</t>
  </si>
  <si>
    <t>=IFERROR(SUMPRODUCT(('Planning Engine'!$B$4:$B$2500="Drug Substance")*('Planning Engine'!$A$4:$A$2500=DATE(2040,2,1))*'Planning Engine'!$U$4:$U$2500),"--")</t>
  </si>
  <si>
    <t>=IFERROR(SUMPRODUCT(('Planning Engine'!$B$4:$B$2500="Drug Substance")*('Planning Engine'!$A$4:$A$2500=DATE(2040,3,1))*'Planning Engine'!$U$4:$U$2500),"--")</t>
  </si>
  <si>
    <t>=IFERROR(SUMPRODUCT(('Planning Engine'!$B$4:$B$2500="Drug Substance")*('Planning Engine'!$A$4:$A$2500=DATE(2040,4,1))*'Planning Engine'!$U$4:$U$2500),"--")</t>
  </si>
  <si>
    <t>=IFERROR(SUMPRODUCT(('Planning Engine'!$B$4:$B$2500="Drug Substance")*('Planning Engine'!$A$4:$A$2500=DATE(2040,5,1))*'Planning Engine'!$U$4:$U$2500),"--")</t>
  </si>
  <si>
    <t>=IFERROR(SUMPRODUCT(('Planning Engine'!$B$4:$B$2500="Drug Substance")*('Planning Engine'!$A$4:$A$2500=DATE(2040,6,1))*'Planning Engine'!$U$4:$U$2500),"--")</t>
  </si>
  <si>
    <t>=IFERROR(SUMPRODUCT(('Planning Engine'!$B$4:$B$2500="Drug Substance")*('Planning Engine'!$A$4:$A$2500=DATE(2040,7,1))*'Planning Engine'!$U$4:$U$2500),"--")</t>
  </si>
  <si>
    <t>=IFERROR(SUMPRODUCT(('Planning Engine'!$B$4:$B$2500="Drug Substance")*('Planning Engine'!$A$4:$A$2500=DATE(2040,8,1))*'Planning Engine'!$U$4:$U$2500),"--")</t>
  </si>
  <si>
    <t>=IFERROR(SUMPRODUCT(('Planning Engine'!$B$4:$B$2500="Drug Substance")*('Planning Engine'!$A$4:$A$2500=DATE(2040,9,1))*'Planning Engine'!$U$4:$U$2500),"--")</t>
  </si>
  <si>
    <t>=IFERROR(SUMPRODUCT(('Planning Engine'!$B$4:$B$2500="Drug Substance")*('Planning Engine'!$A$4:$A$2500=DATE(2040,10,1))*'Planning Engine'!$U$4:$U$2500),"--")</t>
  </si>
  <si>
    <t>=IFERROR(SUMPRODUCT(('Planning Engine'!$B$4:$B$2500="Drug Substance")*('Planning Engine'!$A$4:$A$2500=DATE(2040,11,1))*'Planning Engine'!$U$4:$U$2500),"--")</t>
  </si>
  <si>
    <t>=IFERROR(SUMPRODUCT(('Planning Engine'!$B$4:$B$2500="Drug Substance")*('Planning Engine'!$A$4:$A$2500=DATE(2040,12,1))*'Planning Engine'!$U$4:$U$2500),"--")</t>
  </si>
  <si>
    <t>=IFERROR(SUMPRODUCT(('Planning Engine'!$B$4:$B$2500="APAD")*('Planning Engine'!$A$4:$A$2500=DATE(2026,2,1))*'Planning Engine'!$U$4:$U$2500),"--")</t>
  </si>
  <si>
    <t>=IFERROR(SUMPRODUCT(('Planning Engine'!$B$4:$B$2500="APAD")*('Planning Engine'!$A$4:$A$2500=DATE(2026,3,1))*'Planning Engine'!$U$4:$U$2500),"--")</t>
  </si>
  <si>
    <t>=IFERROR(SUMPRODUCT(('Planning Engine'!$B$4:$B$2500="APAD")*('Planning Engine'!$A$4:$A$2500=DATE(2026,4,1))*'Planning Engine'!$U$4:$U$2500),"--")</t>
  </si>
  <si>
    <t>=IFERROR(SUMPRODUCT(('Planning Engine'!$B$4:$B$2500="APAD")*('Planning Engine'!$A$4:$A$2500=DATE(2026,5,1))*'Planning Engine'!$U$4:$U$2500),"--")</t>
  </si>
  <si>
    <t>=IFERROR(SUMPRODUCT(('Planning Engine'!$B$4:$B$2500="APAD")*('Planning Engine'!$A$4:$A$2500=DATE(2026,6,1))*'Planning Engine'!$U$4:$U$2500),"--")</t>
  </si>
  <si>
    <t>=IFERROR(SUMPRODUCT(('Planning Engine'!$B$4:$B$2500="APAD")*('Planning Engine'!$A$4:$A$2500=DATE(2026,7,1))*'Planning Engine'!$U$4:$U$2500),"--")</t>
  </si>
  <si>
    <t>=IFERROR(SUMPRODUCT(('Planning Engine'!$B$4:$B$2500="APAD")*('Planning Engine'!$A$4:$A$2500=DATE(2026,8,1))*'Planning Engine'!$U$4:$U$2500),"--")</t>
  </si>
  <si>
    <t>=IFERROR(SUMPRODUCT(('Planning Engine'!$B$4:$B$2500="APAD")*('Planning Engine'!$A$4:$A$2500=DATE(2026,9,1))*'Planning Engine'!$U$4:$U$2500),"--")</t>
  </si>
  <si>
    <t>=IFERROR(SUMPRODUCT(('Planning Engine'!$B$4:$B$2500="APAD")*('Planning Engine'!$A$4:$A$2500=DATE(2026,10,1))*'Planning Engine'!$U$4:$U$2500),"--")</t>
  </si>
  <si>
    <t>=IFERROR(SUMPRODUCT(('Planning Engine'!$B$4:$B$2500="APAD")*('Planning Engine'!$A$4:$A$2500=DATE(2026,11,1))*'Planning Engine'!$U$4:$U$2500),"--")</t>
  </si>
  <si>
    <t>=IFERROR(SUMPRODUCT(('Planning Engine'!$B$4:$B$2500="APAD")*('Planning Engine'!$A$4:$A$2500=DATE(2026,12,1))*'Planning Engine'!$U$4:$U$2500),"--")</t>
  </si>
  <si>
    <t>=IFERROR(SUMPRODUCT(('Planning Engine'!$B$4:$B$2500="APAD")*('Planning Engine'!$A$4:$A$2500=DATE(2027,1,1))*'Planning Engine'!$U$4:$U$2500),"--")</t>
  </si>
  <si>
    <t>=IFERROR(SUMPRODUCT(('Planning Engine'!$B$4:$B$2500="APAD")*('Planning Engine'!$A$4:$A$2500=DATE(2027,2,1))*'Planning Engine'!$U$4:$U$2500),"--")</t>
  </si>
  <si>
    <t>=IFERROR(SUMPRODUCT(('Planning Engine'!$B$4:$B$2500="APAD")*('Planning Engine'!$A$4:$A$2500=DATE(2027,3,1))*'Planning Engine'!$U$4:$U$2500),"--")</t>
  </si>
  <si>
    <t>=IFERROR(SUMPRODUCT(('Planning Engine'!$B$4:$B$2500="APAD")*('Planning Engine'!$A$4:$A$2500=DATE(2027,4,1))*'Planning Engine'!$U$4:$U$2500),"--")</t>
  </si>
  <si>
    <t>=IFERROR(SUMPRODUCT(('Planning Engine'!$B$4:$B$2500="APAD")*('Planning Engine'!$A$4:$A$2500=DATE(2027,5,1))*'Planning Engine'!$U$4:$U$2500),"--")</t>
  </si>
  <si>
    <t>=IFERROR(SUMPRODUCT(('Planning Engine'!$B$4:$B$2500="APAD")*('Planning Engine'!$A$4:$A$2500=DATE(2027,6,1))*'Planning Engine'!$U$4:$U$2500),"--")</t>
  </si>
  <si>
    <t>=IFERROR(SUMPRODUCT(('Planning Engine'!$B$4:$B$2500="APAD")*('Planning Engine'!$A$4:$A$2500=DATE(2027,7,1))*'Planning Engine'!$U$4:$U$2500),"--")</t>
  </si>
  <si>
    <t>=IFERROR(SUMPRODUCT(('Planning Engine'!$B$4:$B$2500="APAD")*('Planning Engine'!$A$4:$A$2500=DATE(2027,8,1))*'Planning Engine'!$U$4:$U$2500),"--")</t>
  </si>
  <si>
    <t>=IFERROR(SUMPRODUCT(('Planning Engine'!$B$4:$B$2500="APAD")*('Planning Engine'!$A$4:$A$2500=DATE(2027,9,1))*'Planning Engine'!$U$4:$U$2500),"--")</t>
  </si>
  <si>
    <t>=IFERROR(SUMPRODUCT(('Planning Engine'!$B$4:$B$2500="APAD")*('Planning Engine'!$A$4:$A$2500=DATE(2027,10,1))*'Planning Engine'!$U$4:$U$2500),"--")</t>
  </si>
  <si>
    <t>=IFERROR(SUMPRODUCT(('Planning Engine'!$B$4:$B$2500="APAD")*('Planning Engine'!$A$4:$A$2500=DATE(2027,11,1))*'Planning Engine'!$U$4:$U$2500),"--")</t>
  </si>
  <si>
    <t>=IFERROR(SUMPRODUCT(('Planning Engine'!$B$4:$B$2500="APAD")*('Planning Engine'!$A$4:$A$2500=DATE(2027,12,1))*'Planning Engine'!$U$4:$U$2500),"--")</t>
  </si>
  <si>
    <t>=IFERROR(SUMPRODUCT(('Planning Engine'!$B$4:$B$2500="APAD")*('Planning Engine'!$A$4:$A$2500=DATE(2028,1,1))*'Planning Engine'!$U$4:$U$2500),"--")</t>
  </si>
  <si>
    <t>=IFERROR(SUMPRODUCT(('Planning Engine'!$B$4:$B$2500="APAD")*('Planning Engine'!$A$4:$A$2500=DATE(2028,2,1))*'Planning Engine'!$U$4:$U$2500),"--")</t>
  </si>
  <si>
    <t>=IFERROR(SUMPRODUCT(('Planning Engine'!$B$4:$B$2500="APAD")*('Planning Engine'!$A$4:$A$2500=DATE(2028,3,1))*'Planning Engine'!$U$4:$U$2500),"--")</t>
  </si>
  <si>
    <t>=IFERROR(SUMPRODUCT(('Planning Engine'!$B$4:$B$2500="APAD")*('Planning Engine'!$A$4:$A$2500=DATE(2028,4,1))*'Planning Engine'!$U$4:$U$2500),"--")</t>
  </si>
  <si>
    <t>=IFERROR(SUMPRODUCT(('Planning Engine'!$B$4:$B$2500="APAD")*('Planning Engine'!$A$4:$A$2500=DATE(2028,5,1))*'Planning Engine'!$U$4:$U$2500),"--")</t>
  </si>
  <si>
    <t>=IFERROR(SUMPRODUCT(('Planning Engine'!$B$4:$B$2500="APAD")*('Planning Engine'!$A$4:$A$2500=DATE(2028,6,1))*'Planning Engine'!$U$4:$U$2500),"--")</t>
  </si>
  <si>
    <t>=IFERROR(SUMPRODUCT(('Planning Engine'!$B$4:$B$2500="APAD")*('Planning Engine'!$A$4:$A$2500=DATE(2028,7,1))*'Planning Engine'!$U$4:$U$2500),"--")</t>
  </si>
  <si>
    <t>=IFERROR(SUMPRODUCT(('Planning Engine'!$B$4:$B$2500="APAD")*('Planning Engine'!$A$4:$A$2500=DATE(2028,8,1))*'Planning Engine'!$U$4:$U$2500),"--")</t>
  </si>
  <si>
    <t>=IFERROR(SUMPRODUCT(('Planning Engine'!$B$4:$B$2500="APAD")*('Planning Engine'!$A$4:$A$2500=DATE(2028,9,1))*'Planning Engine'!$U$4:$U$2500),"--")</t>
  </si>
  <si>
    <t>=IFERROR(SUMPRODUCT(('Planning Engine'!$B$4:$B$2500="APAD")*('Planning Engine'!$A$4:$A$2500=DATE(2028,10,1))*'Planning Engine'!$U$4:$U$2500),"--")</t>
  </si>
  <si>
    <t>=IFERROR(SUMPRODUCT(('Planning Engine'!$B$4:$B$2500="APAD")*('Planning Engine'!$A$4:$A$2500=DATE(2028,11,1))*'Planning Engine'!$U$4:$U$2500),"--")</t>
  </si>
  <si>
    <t>=IFERROR(SUMPRODUCT(('Planning Engine'!$B$4:$B$2500="APAD")*('Planning Engine'!$A$4:$A$2500=DATE(2028,12,1))*'Planning Engine'!$U$4:$U$2500),"--")</t>
  </si>
  <si>
    <t>=IFERROR(SUMPRODUCT(('Planning Engine'!$B$4:$B$2500="APAD")*('Planning Engine'!$A$4:$A$2500=DATE(2029,1,1))*'Planning Engine'!$U$4:$U$2500),"--")</t>
  </si>
  <si>
    <t>=IFERROR(SUMPRODUCT(('Planning Engine'!$B$4:$B$2500="APAD")*('Planning Engine'!$A$4:$A$2500=DATE(2029,2,1))*'Planning Engine'!$U$4:$U$2500),"--")</t>
  </si>
  <si>
    <t>=IFERROR(SUMPRODUCT(('Planning Engine'!$B$4:$B$2500="APAD")*('Planning Engine'!$A$4:$A$2500=DATE(2029,3,1))*'Planning Engine'!$U$4:$U$2500),"--")</t>
  </si>
  <si>
    <t>=IFERROR(SUMPRODUCT(('Planning Engine'!$B$4:$B$2500="APAD")*('Planning Engine'!$A$4:$A$2500=DATE(2029,4,1))*'Planning Engine'!$U$4:$U$2500),"--")</t>
  </si>
  <si>
    <t>=IFERROR(SUMPRODUCT(('Planning Engine'!$B$4:$B$2500="APAD")*('Planning Engine'!$A$4:$A$2500=DATE(2029,5,1))*'Planning Engine'!$U$4:$U$2500),"--")</t>
  </si>
  <si>
    <t>=IFERROR(SUMPRODUCT(('Planning Engine'!$B$4:$B$2500="APAD")*('Planning Engine'!$A$4:$A$2500=DATE(2029,6,1))*'Planning Engine'!$U$4:$U$2500),"--")</t>
  </si>
  <si>
    <t>=IFERROR(SUMPRODUCT(('Planning Engine'!$B$4:$B$2500="APAD")*('Planning Engine'!$A$4:$A$2500=DATE(2029,7,1))*'Planning Engine'!$U$4:$U$2500),"--")</t>
  </si>
  <si>
    <t>=IFERROR(SUMPRODUCT(('Planning Engine'!$B$4:$B$2500="APAD")*('Planning Engine'!$A$4:$A$2500=DATE(2029,8,1))*'Planning Engine'!$U$4:$U$2500),"--")</t>
  </si>
  <si>
    <t>=IFERROR(SUMPRODUCT(('Planning Engine'!$B$4:$B$2500="APAD")*('Planning Engine'!$A$4:$A$2500=DATE(2029,9,1))*'Planning Engine'!$U$4:$U$2500),"--")</t>
  </si>
  <si>
    <t>=IFERROR(SUMPRODUCT(('Planning Engine'!$B$4:$B$2500="APAD")*('Planning Engine'!$A$4:$A$2500=DATE(2029,10,1))*'Planning Engine'!$U$4:$U$2500),"--")</t>
  </si>
  <si>
    <t>=IFERROR(SUMPRODUCT(('Planning Engine'!$B$4:$B$2500="APAD")*('Planning Engine'!$A$4:$A$2500=DATE(2029,11,1))*'Planning Engine'!$U$4:$U$2500),"--")</t>
  </si>
  <si>
    <t>=IFERROR(SUMPRODUCT(('Planning Engine'!$B$4:$B$2500="APAD")*('Planning Engine'!$A$4:$A$2500=DATE(2029,12,1))*'Planning Engine'!$U$4:$U$2500),"--")</t>
  </si>
  <si>
    <t>=IFERROR(SUMPRODUCT(('Planning Engine'!$B$4:$B$2500="APAD")*('Planning Engine'!$A$4:$A$2500=DATE(2030,1,1))*'Planning Engine'!$U$4:$U$2500),"--")</t>
  </si>
  <si>
    <t>=IFERROR(SUMPRODUCT(('Planning Engine'!$B$4:$B$2500="APAD")*('Planning Engine'!$A$4:$A$2500=DATE(2030,2,1))*'Planning Engine'!$U$4:$U$2500),"--")</t>
  </si>
  <si>
    <t>=IFERROR(SUMPRODUCT(('Planning Engine'!$B$4:$B$2500="APAD")*('Planning Engine'!$A$4:$A$2500=DATE(2030,3,1))*'Planning Engine'!$U$4:$U$2500),"--")</t>
  </si>
  <si>
    <t>=IFERROR(SUMPRODUCT(('Planning Engine'!$B$4:$B$2500="APAD")*('Planning Engine'!$A$4:$A$2500=DATE(2030,4,1))*'Planning Engine'!$U$4:$U$2500),"--")</t>
  </si>
  <si>
    <t>=IFERROR(SUMPRODUCT(('Planning Engine'!$B$4:$B$2500="APAD")*('Planning Engine'!$A$4:$A$2500=DATE(2030,5,1))*'Planning Engine'!$U$4:$U$2500),"--")</t>
  </si>
  <si>
    <t>=IFERROR(SUMPRODUCT(('Planning Engine'!$B$4:$B$2500="APAD")*('Planning Engine'!$A$4:$A$2500=DATE(2030,6,1))*'Planning Engine'!$U$4:$U$2500),"--")</t>
  </si>
  <si>
    <t>=IFERROR(SUMPRODUCT(('Planning Engine'!$B$4:$B$2500="APAD")*('Planning Engine'!$A$4:$A$2500=DATE(2030,7,1))*'Planning Engine'!$U$4:$U$2500),"--")</t>
  </si>
  <si>
    <t>=IFERROR(SUMPRODUCT(('Planning Engine'!$B$4:$B$2500="APAD")*('Planning Engine'!$A$4:$A$2500=DATE(2030,8,1))*'Planning Engine'!$U$4:$U$2500),"--")</t>
  </si>
  <si>
    <t>=IFERROR(SUMPRODUCT(('Planning Engine'!$B$4:$B$2500="APAD")*('Planning Engine'!$A$4:$A$2500=DATE(2030,9,1))*'Planning Engine'!$U$4:$U$2500),"--")</t>
  </si>
  <si>
    <t>=IFERROR(SUMPRODUCT(('Planning Engine'!$B$4:$B$2500="APAD")*('Planning Engine'!$A$4:$A$2500=DATE(2030,10,1))*'Planning Engine'!$U$4:$U$2500),"--")</t>
  </si>
  <si>
    <t>=IFERROR(SUMPRODUCT(('Planning Engine'!$B$4:$B$2500="APAD")*('Planning Engine'!$A$4:$A$2500=DATE(2030,11,1))*'Planning Engine'!$U$4:$U$2500),"--")</t>
  </si>
  <si>
    <t>=IFERROR(SUMPRODUCT(('Planning Engine'!$B$4:$B$2500="APAD")*('Planning Engine'!$A$4:$A$2500=DATE(2030,12,1))*'Planning Engine'!$U$4:$U$2500),"--")</t>
  </si>
  <si>
    <t>=IFERROR(SUMPRODUCT(('Planning Engine'!$B$4:$B$2500="APAD")*('Planning Engine'!$A$4:$A$2500=DATE(2031,1,1))*'Planning Engine'!$U$4:$U$2500),"--")</t>
  </si>
  <si>
    <t>=IFERROR(SUMPRODUCT(('Planning Engine'!$B$4:$B$2500="APAD")*('Planning Engine'!$A$4:$A$2500=DATE(2031,2,1))*'Planning Engine'!$U$4:$U$2500),"--")</t>
  </si>
  <si>
    <t>=IFERROR(SUMPRODUCT(('Planning Engine'!$B$4:$B$2500="APAD")*('Planning Engine'!$A$4:$A$2500=DATE(2031,3,1))*'Planning Engine'!$U$4:$U$2500),"--")</t>
  </si>
  <si>
    <t>=IFERROR(SUMPRODUCT(('Planning Engine'!$B$4:$B$2500="APAD")*('Planning Engine'!$A$4:$A$2500=DATE(2031,4,1))*'Planning Engine'!$U$4:$U$2500),"--")</t>
  </si>
  <si>
    <t>=IFERROR(SUMPRODUCT(('Planning Engine'!$B$4:$B$2500="APAD")*('Planning Engine'!$A$4:$A$2500=DATE(2031,5,1))*'Planning Engine'!$U$4:$U$2500),"--")</t>
  </si>
  <si>
    <t>=IFERROR(SUMPRODUCT(('Planning Engine'!$B$4:$B$2500="APAD")*('Planning Engine'!$A$4:$A$2500=DATE(2031,6,1))*'Planning Engine'!$U$4:$U$2500),"--")</t>
  </si>
  <si>
    <t>=IFERROR(SUMPRODUCT(('Planning Engine'!$B$4:$B$2500="APAD")*('Planning Engine'!$A$4:$A$2500=DATE(2031,7,1))*'Planning Engine'!$U$4:$U$2500),"--")</t>
  </si>
  <si>
    <t>=IFERROR(SUMPRODUCT(('Planning Engine'!$B$4:$B$2500="APAD")*('Planning Engine'!$A$4:$A$2500=DATE(2031,8,1))*'Planning Engine'!$U$4:$U$2500),"--")</t>
  </si>
  <si>
    <t>=IFERROR(SUMPRODUCT(('Planning Engine'!$B$4:$B$2500="APAD")*('Planning Engine'!$A$4:$A$2500=DATE(2031,9,1))*'Planning Engine'!$U$4:$U$2500),"--")</t>
  </si>
  <si>
    <t>=IFERROR(SUMPRODUCT(('Planning Engine'!$B$4:$B$2500="APAD")*('Planning Engine'!$A$4:$A$2500=DATE(2031,10,1))*'Planning Engine'!$U$4:$U$2500),"--")</t>
  </si>
  <si>
    <t>=IFERROR(SUMPRODUCT(('Planning Engine'!$B$4:$B$2500="APAD")*('Planning Engine'!$A$4:$A$2500=DATE(2031,11,1))*'Planning Engine'!$U$4:$U$2500),"--")</t>
  </si>
  <si>
    <t>=IFERROR(SUMPRODUCT(('Planning Engine'!$B$4:$B$2500="APAD")*('Planning Engine'!$A$4:$A$2500=DATE(2031,12,1))*'Planning Engine'!$U$4:$U$2500),"--")</t>
  </si>
  <si>
    <t>=IFERROR(SUMPRODUCT(('Planning Engine'!$B$4:$B$2500="APAD")*('Planning Engine'!$A$4:$A$2500=DATE(2032,1,1))*'Planning Engine'!$U$4:$U$2500),"--")</t>
  </si>
  <si>
    <t>=IFERROR(SUMPRODUCT(('Planning Engine'!$B$4:$B$2500="APAD")*('Planning Engine'!$A$4:$A$2500=DATE(2032,2,1))*'Planning Engine'!$U$4:$U$2500),"--")</t>
  </si>
  <si>
    <t>=IFERROR(SUMPRODUCT(('Planning Engine'!$B$4:$B$2500="APAD")*('Planning Engine'!$A$4:$A$2500=DATE(2032,3,1))*'Planning Engine'!$U$4:$U$2500),"--")</t>
  </si>
  <si>
    <t>=IFERROR(SUMPRODUCT(('Planning Engine'!$B$4:$B$2500="APAD")*('Planning Engine'!$A$4:$A$2500=DATE(2032,4,1))*'Planning Engine'!$U$4:$U$2500),"--")</t>
  </si>
  <si>
    <t>=IFERROR(SUMPRODUCT(('Planning Engine'!$B$4:$B$2500="APAD")*('Planning Engine'!$A$4:$A$2500=DATE(2032,5,1))*'Planning Engine'!$U$4:$U$2500),"--")</t>
  </si>
  <si>
    <t>=IFERROR(SUMPRODUCT(('Planning Engine'!$B$4:$B$2500="APAD")*('Planning Engine'!$A$4:$A$2500=DATE(2032,6,1))*'Planning Engine'!$U$4:$U$2500),"--")</t>
  </si>
  <si>
    <t>=IFERROR(SUMPRODUCT(('Planning Engine'!$B$4:$B$2500="APAD")*('Planning Engine'!$A$4:$A$2500=DATE(2032,7,1))*'Planning Engine'!$U$4:$U$2500),"--")</t>
  </si>
  <si>
    <t>=IFERROR(SUMPRODUCT(('Planning Engine'!$B$4:$B$2500="APAD")*('Planning Engine'!$A$4:$A$2500=DATE(2032,8,1))*'Planning Engine'!$U$4:$U$2500),"--")</t>
  </si>
  <si>
    <t>=IFERROR(SUMPRODUCT(('Planning Engine'!$B$4:$B$2500="APAD")*('Planning Engine'!$A$4:$A$2500=DATE(2032,9,1))*'Planning Engine'!$U$4:$U$2500),"--")</t>
  </si>
  <si>
    <t>=IFERROR(SUMPRODUCT(('Planning Engine'!$B$4:$B$2500="APAD")*('Planning Engine'!$A$4:$A$2500=DATE(2032,10,1))*'Planning Engine'!$U$4:$U$2500),"--")</t>
  </si>
  <si>
    <t>=IFERROR(SUMPRODUCT(('Planning Engine'!$B$4:$B$2500="APAD")*('Planning Engine'!$A$4:$A$2500=DATE(2032,11,1))*'Planning Engine'!$U$4:$U$2500),"--")</t>
  </si>
  <si>
    <t>=IFERROR(SUMPRODUCT(('Planning Engine'!$B$4:$B$2500="APAD")*('Planning Engine'!$A$4:$A$2500=DATE(2032,12,1))*'Planning Engine'!$U$4:$U$2500),"--")</t>
  </si>
  <si>
    <t>=IFERROR(SUMPRODUCT(('Planning Engine'!$B$4:$B$2500="APAD")*('Planning Engine'!$A$4:$A$2500=DATE(2033,1,1))*'Planning Engine'!$U$4:$U$2500),"--")</t>
  </si>
  <si>
    <t>=IFERROR(SUMPRODUCT(('Planning Engine'!$B$4:$B$2500="APAD")*('Planning Engine'!$A$4:$A$2500=DATE(2033,2,1))*'Planning Engine'!$U$4:$U$2500),"--")</t>
  </si>
  <si>
    <t>=IFERROR(SUMPRODUCT(('Planning Engine'!$B$4:$B$2500="APAD")*('Planning Engine'!$A$4:$A$2500=DATE(2033,3,1))*'Planning Engine'!$U$4:$U$2500),"--")</t>
  </si>
  <si>
    <t>=IFERROR(SUMPRODUCT(('Planning Engine'!$B$4:$B$2500="APAD")*('Planning Engine'!$A$4:$A$2500=DATE(2033,4,1))*'Planning Engine'!$U$4:$U$2500),"--")</t>
  </si>
  <si>
    <t>=IFERROR(SUMPRODUCT(('Planning Engine'!$B$4:$B$2500="APAD")*('Planning Engine'!$A$4:$A$2500=DATE(2033,5,1))*'Planning Engine'!$U$4:$U$2500),"--")</t>
  </si>
  <si>
    <t>=IFERROR(SUMPRODUCT(('Planning Engine'!$B$4:$B$2500="APAD")*('Planning Engine'!$A$4:$A$2500=DATE(2033,6,1))*'Planning Engine'!$U$4:$U$2500),"--")</t>
  </si>
  <si>
    <t>=IFERROR(SUMPRODUCT(('Planning Engine'!$B$4:$B$2500="APAD")*('Planning Engine'!$A$4:$A$2500=DATE(2033,7,1))*'Planning Engine'!$U$4:$U$2500),"--")</t>
  </si>
  <si>
    <t>=IFERROR(SUMPRODUCT(('Planning Engine'!$B$4:$B$2500="APAD")*('Planning Engine'!$A$4:$A$2500=DATE(2033,8,1))*'Planning Engine'!$U$4:$U$2500),"--")</t>
  </si>
  <si>
    <t>=IFERROR(SUMPRODUCT(('Planning Engine'!$B$4:$B$2500="APAD")*('Planning Engine'!$A$4:$A$2500=DATE(2033,9,1))*'Planning Engine'!$U$4:$U$2500),"--")</t>
  </si>
  <si>
    <t>=IFERROR(SUMPRODUCT(('Planning Engine'!$B$4:$B$2500="APAD")*('Planning Engine'!$A$4:$A$2500=DATE(2033,10,1))*'Planning Engine'!$U$4:$U$2500),"--")</t>
  </si>
  <si>
    <t>=IFERROR(SUMPRODUCT(('Planning Engine'!$B$4:$B$2500="APAD")*('Planning Engine'!$A$4:$A$2500=DATE(2033,11,1))*'Planning Engine'!$U$4:$U$2500),"--")</t>
  </si>
  <si>
    <t>=IFERROR(SUMPRODUCT(('Planning Engine'!$B$4:$B$2500="APAD")*('Planning Engine'!$A$4:$A$2500=DATE(2033,12,1))*'Planning Engine'!$U$4:$U$2500),"--")</t>
  </si>
  <si>
    <t>=IFERROR(SUMPRODUCT(('Planning Engine'!$B$4:$B$2500="APAD")*('Planning Engine'!$A$4:$A$2500=DATE(2034,1,1))*'Planning Engine'!$U$4:$U$2500),"--")</t>
  </si>
  <si>
    <t>=IFERROR(SUMPRODUCT(('Planning Engine'!$B$4:$B$2500="APAD")*('Planning Engine'!$A$4:$A$2500=DATE(2034,2,1))*'Planning Engine'!$U$4:$U$2500),"--")</t>
  </si>
  <si>
    <t>=IFERROR(SUMPRODUCT(('Planning Engine'!$B$4:$B$2500="APAD")*('Planning Engine'!$A$4:$A$2500=DATE(2034,3,1))*'Planning Engine'!$U$4:$U$2500),"--")</t>
  </si>
  <si>
    <t>=IFERROR(SUMPRODUCT(('Planning Engine'!$B$4:$B$2500="APAD")*('Planning Engine'!$A$4:$A$2500=DATE(2034,4,1))*'Planning Engine'!$U$4:$U$2500),"--")</t>
  </si>
  <si>
    <t>=IFERROR(SUMPRODUCT(('Planning Engine'!$B$4:$B$2500="APAD")*('Planning Engine'!$A$4:$A$2500=DATE(2034,5,1))*'Planning Engine'!$U$4:$U$2500),"--")</t>
  </si>
  <si>
    <t>=IFERROR(SUMPRODUCT(('Planning Engine'!$B$4:$B$2500="APAD")*('Planning Engine'!$A$4:$A$2500=DATE(2034,6,1))*'Planning Engine'!$U$4:$U$2500),"--")</t>
  </si>
  <si>
    <t>=IFERROR(SUMPRODUCT(('Planning Engine'!$B$4:$B$2500="APAD")*('Planning Engine'!$A$4:$A$2500=DATE(2034,7,1))*'Planning Engine'!$U$4:$U$2500),"--")</t>
  </si>
  <si>
    <t>=IFERROR(SUMPRODUCT(('Planning Engine'!$B$4:$B$2500="APAD")*('Planning Engine'!$A$4:$A$2500=DATE(2034,8,1))*'Planning Engine'!$U$4:$U$2500),"--")</t>
  </si>
  <si>
    <t>=IFERROR(SUMPRODUCT(('Planning Engine'!$B$4:$B$2500="APAD")*('Planning Engine'!$A$4:$A$2500=DATE(2034,9,1))*'Planning Engine'!$U$4:$U$2500),"--")</t>
  </si>
  <si>
    <t>=IFERROR(SUMPRODUCT(('Planning Engine'!$B$4:$B$2500="APAD")*('Planning Engine'!$A$4:$A$2500=DATE(2034,10,1))*'Planning Engine'!$U$4:$U$2500),"--")</t>
  </si>
  <si>
    <t>=IFERROR(SUMPRODUCT(('Planning Engine'!$B$4:$B$2500="APAD")*('Planning Engine'!$A$4:$A$2500=DATE(2034,11,1))*'Planning Engine'!$U$4:$U$2500),"--")</t>
  </si>
  <si>
    <t>=IFERROR(SUMPRODUCT(('Planning Engine'!$B$4:$B$2500="APAD")*('Planning Engine'!$A$4:$A$2500=DATE(2034,12,1))*'Planning Engine'!$U$4:$U$2500),"--")</t>
  </si>
  <si>
    <t>=IFERROR(SUMPRODUCT(('Planning Engine'!$B$4:$B$2500="APAD")*('Planning Engine'!$A$4:$A$2500=DATE(2035,1,1))*'Planning Engine'!$U$4:$U$2500),"--")</t>
  </si>
  <si>
    <t>=IFERROR(SUMPRODUCT(('Planning Engine'!$B$4:$B$2500="APAD")*('Planning Engine'!$A$4:$A$2500=DATE(2035,2,1))*'Planning Engine'!$U$4:$U$2500),"--")</t>
  </si>
  <si>
    <t>=IFERROR(SUMPRODUCT(('Planning Engine'!$B$4:$B$2500="APAD")*('Planning Engine'!$A$4:$A$2500=DATE(2035,3,1))*'Planning Engine'!$U$4:$U$2500),"--")</t>
  </si>
  <si>
    <t>=IFERROR(SUMPRODUCT(('Planning Engine'!$B$4:$B$2500="APAD")*('Planning Engine'!$A$4:$A$2500=DATE(2035,4,1))*'Planning Engine'!$U$4:$U$2500),"--")</t>
  </si>
  <si>
    <t>=IFERROR(SUMPRODUCT(('Planning Engine'!$B$4:$B$2500="APAD")*('Planning Engine'!$A$4:$A$2500=DATE(2035,5,1))*'Planning Engine'!$U$4:$U$2500),"--")</t>
  </si>
  <si>
    <t>=IFERROR(SUMPRODUCT(('Planning Engine'!$B$4:$B$2500="APAD")*('Planning Engine'!$A$4:$A$2500=DATE(2035,6,1))*'Planning Engine'!$U$4:$U$2500),"--")</t>
  </si>
  <si>
    <t>=IFERROR(SUMPRODUCT(('Planning Engine'!$B$4:$B$2500="APAD")*('Planning Engine'!$A$4:$A$2500=DATE(2035,7,1))*'Planning Engine'!$U$4:$U$2500),"--")</t>
  </si>
  <si>
    <t>=IFERROR(SUMPRODUCT(('Planning Engine'!$B$4:$B$2500="APAD")*('Planning Engine'!$A$4:$A$2500=DATE(2035,8,1))*'Planning Engine'!$U$4:$U$2500),"--")</t>
  </si>
  <si>
    <t>=IFERROR(SUMPRODUCT(('Planning Engine'!$B$4:$B$2500="APAD")*('Planning Engine'!$A$4:$A$2500=DATE(2035,9,1))*'Planning Engine'!$U$4:$U$2500),"--")</t>
  </si>
  <si>
    <t>=IFERROR(SUMPRODUCT(('Planning Engine'!$B$4:$B$2500="APAD")*('Planning Engine'!$A$4:$A$2500=DATE(2035,10,1))*'Planning Engine'!$U$4:$U$2500),"--")</t>
  </si>
  <si>
    <t>=IFERROR(SUMPRODUCT(('Planning Engine'!$B$4:$B$2500="APAD")*('Planning Engine'!$A$4:$A$2500=DATE(2035,11,1))*'Planning Engine'!$U$4:$U$2500),"--")</t>
  </si>
  <si>
    <t>=IFERROR(SUMPRODUCT(('Planning Engine'!$B$4:$B$2500="APAD")*('Planning Engine'!$A$4:$A$2500=DATE(2035,12,1))*'Planning Engine'!$U$4:$U$2500),"--")</t>
  </si>
  <si>
    <t>=IFERROR(SUMPRODUCT(('Planning Engine'!$B$4:$B$2500="APAD")*('Planning Engine'!$A$4:$A$2500=DATE(2036,1,1))*'Planning Engine'!$U$4:$U$2500),"--")</t>
  </si>
  <si>
    <t>=IFERROR(SUMPRODUCT(('Planning Engine'!$B$4:$B$2500="APAD")*('Planning Engine'!$A$4:$A$2500=DATE(2036,2,1))*'Planning Engine'!$U$4:$U$2500),"--")</t>
  </si>
  <si>
    <t>=IFERROR(SUMPRODUCT(('Planning Engine'!$B$4:$B$2500="APAD")*('Planning Engine'!$A$4:$A$2500=DATE(2036,3,1))*'Planning Engine'!$U$4:$U$2500),"--")</t>
  </si>
  <si>
    <t>=IFERROR(SUMPRODUCT(('Planning Engine'!$B$4:$B$2500="APAD")*('Planning Engine'!$A$4:$A$2500=DATE(2036,4,1))*'Planning Engine'!$U$4:$U$2500),"--")</t>
  </si>
  <si>
    <t>=IFERROR(SUMPRODUCT(('Planning Engine'!$B$4:$B$2500="APAD")*('Planning Engine'!$A$4:$A$2500=DATE(2036,5,1))*'Planning Engine'!$U$4:$U$2500),"--")</t>
  </si>
  <si>
    <t>=IFERROR(SUMPRODUCT(('Planning Engine'!$B$4:$B$2500="APAD")*('Planning Engine'!$A$4:$A$2500=DATE(2036,6,1))*'Planning Engine'!$U$4:$U$2500),"--")</t>
  </si>
  <si>
    <t>=IFERROR(SUMPRODUCT(('Planning Engine'!$B$4:$B$2500="APAD")*('Planning Engine'!$A$4:$A$2500=DATE(2036,7,1))*'Planning Engine'!$U$4:$U$2500),"--")</t>
  </si>
  <si>
    <t>=IFERROR(SUMPRODUCT(('Planning Engine'!$B$4:$B$2500="APAD")*('Planning Engine'!$A$4:$A$2500=DATE(2036,8,1))*'Planning Engine'!$U$4:$U$2500),"--")</t>
  </si>
  <si>
    <t>=IFERROR(SUMPRODUCT(('Planning Engine'!$B$4:$B$2500="APAD")*('Planning Engine'!$A$4:$A$2500=DATE(2036,9,1))*'Planning Engine'!$U$4:$U$2500),"--")</t>
  </si>
  <si>
    <t>=IFERROR(SUMPRODUCT(('Planning Engine'!$B$4:$B$2500="APAD")*('Planning Engine'!$A$4:$A$2500=DATE(2036,10,1))*'Planning Engine'!$U$4:$U$2500),"--")</t>
  </si>
  <si>
    <t>=IFERROR(SUMPRODUCT(('Planning Engine'!$B$4:$B$2500="APAD")*('Planning Engine'!$A$4:$A$2500=DATE(2036,11,1))*'Planning Engine'!$U$4:$U$2500),"--")</t>
  </si>
  <si>
    <t>=IFERROR(SUMPRODUCT(('Planning Engine'!$B$4:$B$2500="APAD")*('Planning Engine'!$A$4:$A$2500=DATE(2036,12,1))*'Planning Engine'!$U$4:$U$2500),"--")</t>
  </si>
  <si>
    <t>=IFERROR(SUMPRODUCT(('Planning Engine'!$B$4:$B$2500="APAD")*('Planning Engine'!$A$4:$A$2500=DATE(2037,1,1))*'Planning Engine'!$U$4:$U$2500),"--")</t>
  </si>
  <si>
    <t>=IFERROR(SUMPRODUCT(('Planning Engine'!$B$4:$B$2500="APAD")*('Planning Engine'!$A$4:$A$2500=DATE(2037,2,1))*'Planning Engine'!$U$4:$U$2500),"--")</t>
  </si>
  <si>
    <t>=IFERROR(SUMPRODUCT(('Planning Engine'!$B$4:$B$2500="APAD")*('Planning Engine'!$A$4:$A$2500=DATE(2037,3,1))*'Planning Engine'!$U$4:$U$2500),"--")</t>
  </si>
  <si>
    <t>=IFERROR(SUMPRODUCT(('Planning Engine'!$B$4:$B$2500="APAD")*('Planning Engine'!$A$4:$A$2500=DATE(2037,4,1))*'Planning Engine'!$U$4:$U$2500),"--")</t>
  </si>
  <si>
    <t>=IFERROR(SUMPRODUCT(('Planning Engine'!$B$4:$B$2500="APAD")*('Planning Engine'!$A$4:$A$2500=DATE(2037,5,1))*'Planning Engine'!$U$4:$U$2500),"--")</t>
  </si>
  <si>
    <t>=IFERROR(SUMPRODUCT(('Planning Engine'!$B$4:$B$2500="APAD")*('Planning Engine'!$A$4:$A$2500=DATE(2037,6,1))*'Planning Engine'!$U$4:$U$2500),"--")</t>
  </si>
  <si>
    <t>=IFERROR(SUMPRODUCT(('Planning Engine'!$B$4:$B$2500="APAD")*('Planning Engine'!$A$4:$A$2500=DATE(2037,7,1))*'Planning Engine'!$U$4:$U$2500),"--")</t>
  </si>
  <si>
    <t>=IFERROR(SUMPRODUCT(('Planning Engine'!$B$4:$B$2500="APAD")*('Planning Engine'!$A$4:$A$2500=DATE(2037,8,1))*'Planning Engine'!$U$4:$U$2500),"--")</t>
  </si>
  <si>
    <t>=IFERROR(SUMPRODUCT(('Planning Engine'!$B$4:$B$2500="APAD")*('Planning Engine'!$A$4:$A$2500=DATE(2037,9,1))*'Planning Engine'!$U$4:$U$2500),"--")</t>
  </si>
  <si>
    <t>=IFERROR(SUMPRODUCT(('Planning Engine'!$B$4:$B$2500="APAD")*('Planning Engine'!$A$4:$A$2500=DATE(2037,10,1))*'Planning Engine'!$U$4:$U$2500),"--")</t>
  </si>
  <si>
    <t>=IFERROR(SUMPRODUCT(('Planning Engine'!$B$4:$B$2500="APAD")*('Planning Engine'!$A$4:$A$2500=DATE(2037,11,1))*'Planning Engine'!$U$4:$U$2500),"--")</t>
  </si>
  <si>
    <t>=IFERROR(SUMPRODUCT(('Planning Engine'!$B$4:$B$2500="APAD")*('Planning Engine'!$A$4:$A$2500=DATE(2037,12,1))*'Planning Engine'!$U$4:$U$2500),"--")</t>
  </si>
  <si>
    <t>=IFERROR(SUMPRODUCT(('Planning Engine'!$B$4:$B$2500="APAD")*('Planning Engine'!$A$4:$A$2500=DATE(2038,1,1))*'Planning Engine'!$U$4:$U$2500),"--")</t>
  </si>
  <si>
    <t>=IFERROR(SUMPRODUCT(('Planning Engine'!$B$4:$B$2500="APAD")*('Planning Engine'!$A$4:$A$2500=DATE(2038,2,1))*'Planning Engine'!$U$4:$U$2500),"--")</t>
  </si>
  <si>
    <t>=IFERROR(SUMPRODUCT(('Planning Engine'!$B$4:$B$2500="APAD")*('Planning Engine'!$A$4:$A$2500=DATE(2038,3,1))*'Planning Engine'!$U$4:$U$2500),"--")</t>
  </si>
  <si>
    <t>=IFERROR(SUMPRODUCT(('Planning Engine'!$B$4:$B$2500="APAD")*('Planning Engine'!$A$4:$A$2500=DATE(2038,4,1))*'Planning Engine'!$U$4:$U$2500),"--")</t>
  </si>
  <si>
    <t>=IFERROR(SUMPRODUCT(('Planning Engine'!$B$4:$B$2500="APAD")*('Planning Engine'!$A$4:$A$2500=DATE(2038,5,1))*'Planning Engine'!$U$4:$U$2500),"--")</t>
  </si>
  <si>
    <t>=IFERROR(SUMPRODUCT(('Planning Engine'!$B$4:$B$2500="APAD")*('Planning Engine'!$A$4:$A$2500=DATE(2038,6,1))*'Planning Engine'!$U$4:$U$2500),"--")</t>
  </si>
  <si>
    <t>=IFERROR(SUMPRODUCT(('Planning Engine'!$B$4:$B$2500="APAD")*('Planning Engine'!$A$4:$A$2500=DATE(2038,7,1))*'Planning Engine'!$U$4:$U$2500),"--")</t>
  </si>
  <si>
    <t>=IFERROR(SUMPRODUCT(('Planning Engine'!$B$4:$B$2500="APAD")*('Planning Engine'!$A$4:$A$2500=DATE(2038,8,1))*'Planning Engine'!$U$4:$U$2500),"--")</t>
  </si>
  <si>
    <t>=IFERROR(SUMPRODUCT(('Planning Engine'!$B$4:$B$2500="APAD")*('Planning Engine'!$A$4:$A$2500=DATE(2038,9,1))*'Planning Engine'!$U$4:$U$2500),"--")</t>
  </si>
  <si>
    <t>=IFERROR(SUMPRODUCT(('Planning Engine'!$B$4:$B$2500="APAD")*('Planning Engine'!$A$4:$A$2500=DATE(2038,10,1))*'Planning Engine'!$U$4:$U$2500),"--")</t>
  </si>
  <si>
    <t>=IFERROR(SUMPRODUCT(('Planning Engine'!$B$4:$B$2500="APAD")*('Planning Engine'!$A$4:$A$2500=DATE(2038,11,1))*'Planning Engine'!$U$4:$U$2500),"--")</t>
  </si>
  <si>
    <t>=IFERROR(SUMPRODUCT(('Planning Engine'!$B$4:$B$2500="APAD")*('Planning Engine'!$A$4:$A$2500=DATE(2038,12,1))*'Planning Engine'!$U$4:$U$2500),"--")</t>
  </si>
  <si>
    <t>=IFERROR(SUMPRODUCT(('Planning Engine'!$B$4:$B$2500="APAD")*('Planning Engine'!$A$4:$A$2500=DATE(2039,1,1))*'Planning Engine'!$U$4:$U$2500),"--")</t>
  </si>
  <si>
    <t>=IFERROR(SUMPRODUCT(('Planning Engine'!$B$4:$B$2500="APAD")*('Planning Engine'!$A$4:$A$2500=DATE(2039,2,1))*'Planning Engine'!$U$4:$U$2500),"--")</t>
  </si>
  <si>
    <t>=IFERROR(SUMPRODUCT(('Planning Engine'!$B$4:$B$2500="APAD")*('Planning Engine'!$A$4:$A$2500=DATE(2039,3,1))*'Planning Engine'!$U$4:$U$2500),"--")</t>
  </si>
  <si>
    <t>=IFERROR(SUMPRODUCT(('Planning Engine'!$B$4:$B$2500="APAD")*('Planning Engine'!$A$4:$A$2500=DATE(2039,4,1))*'Planning Engine'!$U$4:$U$2500),"--")</t>
  </si>
  <si>
    <t>=IFERROR(SUMPRODUCT(('Planning Engine'!$B$4:$B$2500="APAD")*('Planning Engine'!$A$4:$A$2500=DATE(2039,5,1))*'Planning Engine'!$U$4:$U$2500),"--")</t>
  </si>
  <si>
    <t>=IFERROR(SUMPRODUCT(('Planning Engine'!$B$4:$B$2500="APAD")*('Planning Engine'!$A$4:$A$2500=DATE(2039,6,1))*'Planning Engine'!$U$4:$U$2500),"--")</t>
  </si>
  <si>
    <t>=IFERROR(SUMPRODUCT(('Planning Engine'!$B$4:$B$2500="APAD")*('Planning Engine'!$A$4:$A$2500=DATE(2039,7,1))*'Planning Engine'!$U$4:$U$2500),"--")</t>
  </si>
  <si>
    <t>=IFERROR(SUMPRODUCT(('Planning Engine'!$B$4:$B$2500="APAD")*('Planning Engine'!$A$4:$A$2500=DATE(2039,8,1))*'Planning Engine'!$U$4:$U$2500),"--")</t>
  </si>
  <si>
    <t>=IFERROR(SUMPRODUCT(('Planning Engine'!$B$4:$B$2500="APAD")*('Planning Engine'!$A$4:$A$2500=DATE(2039,9,1))*'Planning Engine'!$U$4:$U$2500),"--")</t>
  </si>
  <si>
    <t>=IFERROR(SUMPRODUCT(('Planning Engine'!$B$4:$B$2500="APAD")*('Planning Engine'!$A$4:$A$2500=DATE(2039,10,1))*'Planning Engine'!$U$4:$U$2500),"--")</t>
  </si>
  <si>
    <t>=IFERROR(SUMPRODUCT(('Planning Engine'!$B$4:$B$2500="APAD")*('Planning Engine'!$A$4:$A$2500=DATE(2039,11,1))*'Planning Engine'!$U$4:$U$2500),"--")</t>
  </si>
  <si>
    <t>=IFERROR(SUMPRODUCT(('Planning Engine'!$B$4:$B$2500="APAD")*('Planning Engine'!$A$4:$A$2500=DATE(2039,12,1))*'Planning Engine'!$U$4:$U$2500),"--")</t>
  </si>
  <si>
    <t>=IFERROR(SUMPRODUCT(('Planning Engine'!$B$4:$B$2500="APAD")*('Planning Engine'!$A$4:$A$2500=DATE(2040,1,1))*'Planning Engine'!$U$4:$U$2500),"--")</t>
  </si>
  <si>
    <t>=IFERROR(SUMPRODUCT(('Planning Engine'!$B$4:$B$2500="APAD")*('Planning Engine'!$A$4:$A$2500=DATE(2040,2,1))*'Planning Engine'!$U$4:$U$2500),"--")</t>
  </si>
  <si>
    <t>=IFERROR(SUMPRODUCT(('Planning Engine'!$B$4:$B$2500="APAD")*('Planning Engine'!$A$4:$A$2500=DATE(2040,3,1))*'Planning Engine'!$U$4:$U$2500),"--")</t>
  </si>
  <si>
    <t>=IFERROR(SUMPRODUCT(('Planning Engine'!$B$4:$B$2500="APAD")*('Planning Engine'!$A$4:$A$2500=DATE(2040,4,1))*'Planning Engine'!$U$4:$U$2500),"--")</t>
  </si>
  <si>
    <t>=IFERROR(SUMPRODUCT(('Planning Engine'!$B$4:$B$2500="APAD")*('Planning Engine'!$A$4:$A$2500=DATE(2040,5,1))*'Planning Engine'!$U$4:$U$2500),"--")</t>
  </si>
  <si>
    <t>=IFERROR(SUMPRODUCT(('Planning Engine'!$B$4:$B$2500="APAD")*('Planning Engine'!$A$4:$A$2500=DATE(2040,6,1))*'Planning Engine'!$U$4:$U$2500),"--")</t>
  </si>
  <si>
    <t>=IFERROR(SUMPRODUCT(('Planning Engine'!$B$4:$B$2500="APAD")*('Planning Engine'!$A$4:$A$2500=DATE(2040,7,1))*'Planning Engine'!$U$4:$U$2500),"--")</t>
  </si>
  <si>
    <t>=IFERROR(SUMPRODUCT(('Planning Engine'!$B$4:$B$2500="APAD")*('Planning Engine'!$A$4:$A$2500=DATE(2040,8,1))*'Planning Engine'!$U$4:$U$2500),"--")</t>
  </si>
  <si>
    <t>=IFERROR(SUMPRODUCT(('Planning Engine'!$B$4:$B$2500="APAD")*('Planning Engine'!$A$4:$A$2500=DATE(2040,9,1))*'Planning Engine'!$U$4:$U$2500),"--")</t>
  </si>
  <si>
    <t>=IFERROR(SUMPRODUCT(('Planning Engine'!$B$4:$B$2500="APAD")*('Planning Engine'!$A$4:$A$2500=DATE(2040,10,1))*'Planning Engine'!$U$4:$U$2500),"--")</t>
  </si>
  <si>
    <t>=IFERROR(SUMPRODUCT(('Planning Engine'!$B$4:$B$2500="APAD")*('Planning Engine'!$A$4:$A$2500=DATE(2040,11,1))*'Planning Engine'!$U$4:$U$2500),"--")</t>
  </si>
  <si>
    <t>=IFERROR(SUMPRODUCT(('Planning Engine'!$B$4:$B$2500="APAD")*('Planning Engine'!$A$4:$A$2500=DATE(2040,12,1))*'Planning Engine'!$U$4:$U$2500),"--")</t>
  </si>
  <si>
    <t>=IFERROR(SUMPRODUCT(('Planning Engine'!$B$4:$B$2500="APC")*('Planning Engine'!$A$4:$A$2500=DATE(2026,2,1))*'Planning Engine'!$U$4:$U$2500),"--")</t>
  </si>
  <si>
    <t>=IFERROR(SUMPRODUCT(('Planning Engine'!$B$4:$B$2500="APC")*('Planning Engine'!$A$4:$A$2500=DATE(2026,3,1))*'Planning Engine'!$U$4:$U$2500),"--")</t>
  </si>
  <si>
    <t>=IFERROR(SUMPRODUCT(('Planning Engine'!$B$4:$B$2500="APC")*('Planning Engine'!$A$4:$A$2500=DATE(2026,4,1))*'Planning Engine'!$U$4:$U$2500),"--")</t>
  </si>
  <si>
    <t>=IFERROR(SUMPRODUCT(('Planning Engine'!$B$4:$B$2500="APC")*('Planning Engine'!$A$4:$A$2500=DATE(2026,5,1))*'Planning Engine'!$U$4:$U$2500),"--")</t>
  </si>
  <si>
    <t>=IFERROR(SUMPRODUCT(('Planning Engine'!$B$4:$B$2500="APC")*('Planning Engine'!$A$4:$A$2500=DATE(2026,6,1))*'Planning Engine'!$U$4:$U$2500),"--")</t>
  </si>
  <si>
    <t>=IFERROR(SUMPRODUCT(('Planning Engine'!$B$4:$B$2500="APC")*('Planning Engine'!$A$4:$A$2500=DATE(2026,7,1))*'Planning Engine'!$U$4:$U$2500),"--")</t>
  </si>
  <si>
    <t>=IFERROR(SUMPRODUCT(('Planning Engine'!$B$4:$B$2500="APC")*('Planning Engine'!$A$4:$A$2500=DATE(2026,8,1))*'Planning Engine'!$U$4:$U$2500),"--")</t>
  </si>
  <si>
    <t>=IFERROR(SUMPRODUCT(('Planning Engine'!$B$4:$B$2500="APC")*('Planning Engine'!$A$4:$A$2500=DATE(2026,9,1))*'Planning Engine'!$U$4:$U$2500),"--")</t>
  </si>
  <si>
    <t>=IFERROR(SUMPRODUCT(('Planning Engine'!$B$4:$B$2500="APC")*('Planning Engine'!$A$4:$A$2500=DATE(2026,10,1))*'Planning Engine'!$U$4:$U$2500),"--")</t>
  </si>
  <si>
    <t>=IFERROR(SUMPRODUCT(('Planning Engine'!$B$4:$B$2500="APC")*('Planning Engine'!$A$4:$A$2500=DATE(2026,11,1))*'Planning Engine'!$U$4:$U$2500),"--")</t>
  </si>
  <si>
    <t>=IFERROR(SUMPRODUCT(('Planning Engine'!$B$4:$B$2500="APC")*('Planning Engine'!$A$4:$A$2500=DATE(2026,12,1))*'Planning Engine'!$U$4:$U$2500),"--")</t>
  </si>
  <si>
    <t>=IFERROR(SUMPRODUCT(('Planning Engine'!$B$4:$B$2500="APC")*('Planning Engine'!$A$4:$A$2500=DATE(2027,1,1))*'Planning Engine'!$U$4:$U$2500),"--")</t>
  </si>
  <si>
    <t>=IFERROR(SUMPRODUCT(('Planning Engine'!$B$4:$B$2500="APC")*('Planning Engine'!$A$4:$A$2500=DATE(2027,2,1))*'Planning Engine'!$U$4:$U$2500),"--")</t>
  </si>
  <si>
    <t>=IFERROR(SUMPRODUCT(('Planning Engine'!$B$4:$B$2500="APC")*('Planning Engine'!$A$4:$A$2500=DATE(2027,3,1))*'Planning Engine'!$U$4:$U$2500),"--")</t>
  </si>
  <si>
    <t>=IFERROR(SUMPRODUCT(('Planning Engine'!$B$4:$B$2500="APC")*('Planning Engine'!$A$4:$A$2500=DATE(2027,4,1))*'Planning Engine'!$U$4:$U$2500),"--")</t>
  </si>
  <si>
    <t>=IFERROR(SUMPRODUCT(('Planning Engine'!$B$4:$B$2500="APC")*('Planning Engine'!$A$4:$A$2500=DATE(2027,5,1))*'Planning Engine'!$U$4:$U$2500),"--")</t>
  </si>
  <si>
    <t>=IFERROR(SUMPRODUCT(('Planning Engine'!$B$4:$B$2500="APC")*('Planning Engine'!$A$4:$A$2500=DATE(2027,6,1))*'Planning Engine'!$U$4:$U$2500),"--")</t>
  </si>
  <si>
    <t>=IFERROR(SUMPRODUCT(('Planning Engine'!$B$4:$B$2500="APC")*('Planning Engine'!$A$4:$A$2500=DATE(2027,7,1))*'Planning Engine'!$U$4:$U$2500),"--")</t>
  </si>
  <si>
    <t>=IFERROR(SUMPRODUCT(('Planning Engine'!$B$4:$B$2500="APC")*('Planning Engine'!$A$4:$A$2500=DATE(2027,8,1))*'Planning Engine'!$U$4:$U$2500),"--")</t>
  </si>
  <si>
    <t>=IFERROR(SUMPRODUCT(('Planning Engine'!$B$4:$B$2500="APC")*('Planning Engine'!$A$4:$A$2500=DATE(2027,9,1))*'Planning Engine'!$U$4:$U$2500),"--")</t>
  </si>
  <si>
    <t>=IFERROR(SUMPRODUCT(('Planning Engine'!$B$4:$B$2500="APC")*('Planning Engine'!$A$4:$A$2500=DATE(2027,10,1))*'Planning Engine'!$U$4:$U$2500),"--")</t>
  </si>
  <si>
    <t>=IFERROR(SUMPRODUCT(('Planning Engine'!$B$4:$B$2500="APC")*('Planning Engine'!$A$4:$A$2500=DATE(2027,11,1))*'Planning Engine'!$U$4:$U$2500),"--")</t>
  </si>
  <si>
    <t>=IFERROR(SUMPRODUCT(('Planning Engine'!$B$4:$B$2500="APC")*('Planning Engine'!$A$4:$A$2500=DATE(2027,12,1))*'Planning Engine'!$U$4:$U$2500),"--")</t>
  </si>
  <si>
    <t>=IFERROR(SUMPRODUCT(('Planning Engine'!$B$4:$B$2500="APC")*('Planning Engine'!$A$4:$A$2500=DATE(2028,1,1))*'Planning Engine'!$U$4:$U$2500),"--")</t>
  </si>
  <si>
    <t>=IFERROR(SUMPRODUCT(('Planning Engine'!$B$4:$B$2500="APC")*('Planning Engine'!$A$4:$A$2500=DATE(2028,2,1))*'Planning Engine'!$U$4:$U$2500),"--")</t>
  </si>
  <si>
    <t>=IFERROR(SUMPRODUCT(('Planning Engine'!$B$4:$B$2500="APC")*('Planning Engine'!$A$4:$A$2500=DATE(2028,3,1))*'Planning Engine'!$U$4:$U$2500),"--")</t>
  </si>
  <si>
    <t>=IFERROR(SUMPRODUCT(('Planning Engine'!$B$4:$B$2500="APC")*('Planning Engine'!$A$4:$A$2500=DATE(2028,4,1))*'Planning Engine'!$U$4:$U$2500),"--")</t>
  </si>
  <si>
    <t>=IFERROR(SUMPRODUCT(('Planning Engine'!$B$4:$B$2500="APC")*('Planning Engine'!$A$4:$A$2500=DATE(2028,5,1))*'Planning Engine'!$U$4:$U$2500),"--")</t>
  </si>
  <si>
    <t>=IFERROR(SUMPRODUCT(('Planning Engine'!$B$4:$B$2500="APC")*('Planning Engine'!$A$4:$A$2500=DATE(2028,6,1))*'Planning Engine'!$U$4:$U$2500),"--")</t>
  </si>
  <si>
    <t>=IFERROR(SUMPRODUCT(('Planning Engine'!$B$4:$B$2500="APC")*('Planning Engine'!$A$4:$A$2500=DATE(2028,7,1))*'Planning Engine'!$U$4:$U$2500),"--")</t>
  </si>
  <si>
    <t>=IFERROR(SUMPRODUCT(('Planning Engine'!$B$4:$B$2500="APC")*('Planning Engine'!$A$4:$A$2500=DATE(2028,8,1))*'Planning Engine'!$U$4:$U$2500),"--")</t>
  </si>
  <si>
    <t>=IFERROR(SUMPRODUCT(('Planning Engine'!$B$4:$B$2500="APC")*('Planning Engine'!$A$4:$A$2500=DATE(2028,9,1))*'Planning Engine'!$U$4:$U$2500),"--")</t>
  </si>
  <si>
    <t>=IFERROR(SUMPRODUCT(('Planning Engine'!$B$4:$B$2500="APC")*('Planning Engine'!$A$4:$A$2500=DATE(2028,10,1))*'Planning Engine'!$U$4:$U$2500),"--")</t>
  </si>
  <si>
    <t>=IFERROR(SUMPRODUCT(('Planning Engine'!$B$4:$B$2500="APC")*('Planning Engine'!$A$4:$A$2500=DATE(2028,11,1))*'Planning Engine'!$U$4:$U$2500),"--")</t>
  </si>
  <si>
    <t>=IFERROR(SUMPRODUCT(('Planning Engine'!$B$4:$B$2500="APC")*('Planning Engine'!$A$4:$A$2500=DATE(2028,12,1))*'Planning Engine'!$U$4:$U$2500),"--")</t>
  </si>
  <si>
    <t>=IFERROR(SUMPRODUCT(('Planning Engine'!$B$4:$B$2500="APC")*('Planning Engine'!$A$4:$A$2500=DATE(2029,1,1))*'Planning Engine'!$U$4:$U$2500),"--")</t>
  </si>
  <si>
    <t>=IFERROR(SUMPRODUCT(('Planning Engine'!$B$4:$B$2500="APC")*('Planning Engine'!$A$4:$A$2500=DATE(2029,2,1))*'Planning Engine'!$U$4:$U$2500),"--")</t>
  </si>
  <si>
    <t>=IFERROR(SUMPRODUCT(('Planning Engine'!$B$4:$B$2500="APC")*('Planning Engine'!$A$4:$A$2500=DATE(2029,3,1))*'Planning Engine'!$U$4:$U$2500),"--")</t>
  </si>
  <si>
    <t>=IFERROR(SUMPRODUCT(('Planning Engine'!$B$4:$B$2500="APC")*('Planning Engine'!$A$4:$A$2500=DATE(2029,4,1))*'Planning Engine'!$U$4:$U$2500),"--")</t>
  </si>
  <si>
    <t>=IFERROR(SUMPRODUCT(('Planning Engine'!$B$4:$B$2500="APC")*('Planning Engine'!$A$4:$A$2500=DATE(2029,5,1))*'Planning Engine'!$U$4:$U$2500),"--")</t>
  </si>
  <si>
    <t>=IFERROR(SUMPRODUCT(('Planning Engine'!$B$4:$B$2500="APC")*('Planning Engine'!$A$4:$A$2500=DATE(2029,6,1))*'Planning Engine'!$U$4:$U$2500),"--")</t>
  </si>
  <si>
    <t>=IFERROR(SUMPRODUCT(('Planning Engine'!$B$4:$B$2500="APC")*('Planning Engine'!$A$4:$A$2500=DATE(2029,7,1))*'Planning Engine'!$U$4:$U$2500),"--")</t>
  </si>
  <si>
    <t>=IFERROR(SUMPRODUCT(('Planning Engine'!$B$4:$B$2500="APC")*('Planning Engine'!$A$4:$A$2500=DATE(2029,8,1))*'Planning Engine'!$U$4:$U$2500),"--")</t>
  </si>
  <si>
    <t>=IFERROR(SUMPRODUCT(('Planning Engine'!$B$4:$B$2500="APC")*('Planning Engine'!$A$4:$A$2500=DATE(2029,9,1))*'Planning Engine'!$U$4:$U$2500),"--")</t>
  </si>
  <si>
    <t>=IFERROR(SUMPRODUCT(('Planning Engine'!$B$4:$B$2500="APC")*('Planning Engine'!$A$4:$A$2500=DATE(2029,10,1))*'Planning Engine'!$U$4:$U$2500),"--")</t>
  </si>
  <si>
    <t>=IFERROR(SUMPRODUCT(('Planning Engine'!$B$4:$B$2500="APC")*('Planning Engine'!$A$4:$A$2500=DATE(2029,11,1))*'Planning Engine'!$U$4:$U$2500),"--")</t>
  </si>
  <si>
    <t>=IFERROR(SUMPRODUCT(('Planning Engine'!$B$4:$B$2500="APC")*('Planning Engine'!$A$4:$A$2500=DATE(2029,12,1))*'Planning Engine'!$U$4:$U$2500),"--")</t>
  </si>
  <si>
    <t>=IFERROR(SUMPRODUCT(('Planning Engine'!$B$4:$B$2500="APC")*('Planning Engine'!$A$4:$A$2500=DATE(2030,1,1))*'Planning Engine'!$U$4:$U$2500),"--")</t>
  </si>
  <si>
    <t>=IFERROR(SUMPRODUCT(('Planning Engine'!$B$4:$B$2500="APC")*('Planning Engine'!$A$4:$A$2500=DATE(2030,2,1))*'Planning Engine'!$U$4:$U$2500),"--")</t>
  </si>
  <si>
    <t>=IFERROR(SUMPRODUCT(('Planning Engine'!$B$4:$B$2500="APC")*('Planning Engine'!$A$4:$A$2500=DATE(2030,3,1))*'Planning Engine'!$U$4:$U$2500),"--")</t>
  </si>
  <si>
    <t>=IFERROR(SUMPRODUCT(('Planning Engine'!$B$4:$B$2500="APC")*('Planning Engine'!$A$4:$A$2500=DATE(2030,4,1))*'Planning Engine'!$U$4:$U$2500),"--")</t>
  </si>
  <si>
    <t>=IFERROR(SUMPRODUCT(('Planning Engine'!$B$4:$B$2500="APC")*('Planning Engine'!$A$4:$A$2500=DATE(2030,5,1))*'Planning Engine'!$U$4:$U$2500),"--")</t>
  </si>
  <si>
    <t>=IFERROR(SUMPRODUCT(('Planning Engine'!$B$4:$B$2500="APC")*('Planning Engine'!$A$4:$A$2500=DATE(2030,6,1))*'Planning Engine'!$U$4:$U$2500),"--")</t>
  </si>
  <si>
    <t>=IFERROR(SUMPRODUCT(('Planning Engine'!$B$4:$B$2500="APC")*('Planning Engine'!$A$4:$A$2500=DATE(2030,7,1))*'Planning Engine'!$U$4:$U$2500),"--")</t>
  </si>
  <si>
    <t>=IFERROR(SUMPRODUCT(('Planning Engine'!$B$4:$B$2500="APC")*('Planning Engine'!$A$4:$A$2500=DATE(2030,8,1))*'Planning Engine'!$U$4:$U$2500),"--")</t>
  </si>
  <si>
    <t>=IFERROR(SUMPRODUCT(('Planning Engine'!$B$4:$B$2500="APC")*('Planning Engine'!$A$4:$A$2500=DATE(2030,9,1))*'Planning Engine'!$U$4:$U$2500),"--")</t>
  </si>
  <si>
    <t>=IFERROR(SUMPRODUCT(('Planning Engine'!$B$4:$B$2500="APC")*('Planning Engine'!$A$4:$A$2500=DATE(2030,10,1))*'Planning Engine'!$U$4:$U$2500),"--")</t>
  </si>
  <si>
    <t>=IFERROR(SUMPRODUCT(('Planning Engine'!$B$4:$B$2500="APC")*('Planning Engine'!$A$4:$A$2500=DATE(2030,11,1))*'Planning Engine'!$U$4:$U$2500),"--")</t>
  </si>
  <si>
    <t>=IFERROR(SUMPRODUCT(('Planning Engine'!$B$4:$B$2500="APC")*('Planning Engine'!$A$4:$A$2500=DATE(2030,12,1))*'Planning Engine'!$U$4:$U$2500),"--")</t>
  </si>
  <si>
    <t>=IFERROR(SUMPRODUCT(('Planning Engine'!$B$4:$B$2500="APC")*('Planning Engine'!$A$4:$A$2500=DATE(2031,1,1))*'Planning Engine'!$U$4:$U$2500),"--")</t>
  </si>
  <si>
    <t>=IFERROR(SUMPRODUCT(('Planning Engine'!$B$4:$B$2500="APC")*('Planning Engine'!$A$4:$A$2500=DATE(2031,2,1))*'Planning Engine'!$U$4:$U$2500),"--")</t>
  </si>
  <si>
    <t>=IFERROR(SUMPRODUCT(('Planning Engine'!$B$4:$B$2500="APC")*('Planning Engine'!$A$4:$A$2500=DATE(2031,3,1))*'Planning Engine'!$U$4:$U$2500),"--")</t>
  </si>
  <si>
    <t>=IFERROR(SUMPRODUCT(('Planning Engine'!$B$4:$B$2500="APC")*('Planning Engine'!$A$4:$A$2500=DATE(2031,4,1))*'Planning Engine'!$U$4:$U$2500),"--")</t>
  </si>
  <si>
    <t>=IFERROR(SUMPRODUCT(('Planning Engine'!$B$4:$B$2500="APC")*('Planning Engine'!$A$4:$A$2500=DATE(2031,5,1))*'Planning Engine'!$U$4:$U$2500),"--")</t>
  </si>
  <si>
    <t>=IFERROR(SUMPRODUCT(('Planning Engine'!$B$4:$B$2500="APC")*('Planning Engine'!$A$4:$A$2500=DATE(2031,6,1))*'Planning Engine'!$U$4:$U$2500),"--")</t>
  </si>
  <si>
    <t>=IFERROR(SUMPRODUCT(('Planning Engine'!$B$4:$B$2500="APC")*('Planning Engine'!$A$4:$A$2500=DATE(2031,7,1))*'Planning Engine'!$U$4:$U$2500),"--")</t>
  </si>
  <si>
    <t>=IFERROR(SUMPRODUCT(('Planning Engine'!$B$4:$B$2500="APC")*('Planning Engine'!$A$4:$A$2500=DATE(2031,8,1))*'Planning Engine'!$U$4:$U$2500),"--")</t>
  </si>
  <si>
    <t>=IFERROR(SUMPRODUCT(('Planning Engine'!$B$4:$B$2500="APC")*('Planning Engine'!$A$4:$A$2500=DATE(2031,9,1))*'Planning Engine'!$U$4:$U$2500),"--")</t>
  </si>
  <si>
    <t>=IFERROR(SUMPRODUCT(('Planning Engine'!$B$4:$B$2500="APC")*('Planning Engine'!$A$4:$A$2500=DATE(2031,10,1))*'Planning Engine'!$U$4:$U$2500),"--")</t>
  </si>
  <si>
    <t>=IFERROR(SUMPRODUCT(('Planning Engine'!$B$4:$B$2500="APC")*('Planning Engine'!$A$4:$A$2500=DATE(2031,11,1))*'Planning Engine'!$U$4:$U$2500),"--")</t>
  </si>
  <si>
    <t>=IFERROR(SUMPRODUCT(('Planning Engine'!$B$4:$B$2500="APC")*('Planning Engine'!$A$4:$A$2500=DATE(2031,12,1))*'Planning Engine'!$U$4:$U$2500),"--")</t>
  </si>
  <si>
    <t>=IFERROR(SUMPRODUCT(('Planning Engine'!$B$4:$B$2500="APC")*('Planning Engine'!$A$4:$A$2500=DATE(2032,1,1))*'Planning Engine'!$U$4:$U$2500),"--")</t>
  </si>
  <si>
    <t>=IFERROR(SUMPRODUCT(('Planning Engine'!$B$4:$B$2500="APC")*('Planning Engine'!$A$4:$A$2500=DATE(2032,2,1))*'Planning Engine'!$U$4:$U$2500),"--")</t>
  </si>
  <si>
    <t>=IFERROR(SUMPRODUCT(('Planning Engine'!$B$4:$B$2500="APC")*('Planning Engine'!$A$4:$A$2500=DATE(2032,3,1))*'Planning Engine'!$U$4:$U$2500),"--")</t>
  </si>
  <si>
    <t>=IFERROR(SUMPRODUCT(('Planning Engine'!$B$4:$B$2500="APC")*('Planning Engine'!$A$4:$A$2500=DATE(2032,4,1))*'Planning Engine'!$U$4:$U$2500),"--")</t>
  </si>
  <si>
    <t>=IFERROR(SUMPRODUCT(('Planning Engine'!$B$4:$B$2500="APC")*('Planning Engine'!$A$4:$A$2500=DATE(2032,5,1))*'Planning Engine'!$U$4:$U$2500),"--")</t>
  </si>
  <si>
    <t>=IFERROR(SUMPRODUCT(('Planning Engine'!$B$4:$B$2500="APC")*('Planning Engine'!$A$4:$A$2500=DATE(2032,6,1))*'Planning Engine'!$U$4:$U$2500),"--")</t>
  </si>
  <si>
    <t>=IFERROR(SUMPRODUCT(('Planning Engine'!$B$4:$B$2500="APC")*('Planning Engine'!$A$4:$A$2500=DATE(2032,7,1))*'Planning Engine'!$U$4:$U$2500),"--")</t>
  </si>
  <si>
    <t>=IFERROR(SUMPRODUCT(('Planning Engine'!$B$4:$B$2500="APC")*('Planning Engine'!$A$4:$A$2500=DATE(2032,8,1))*'Planning Engine'!$U$4:$U$2500),"--")</t>
  </si>
  <si>
    <t>=IFERROR(SUMPRODUCT(('Planning Engine'!$B$4:$B$2500="APC")*('Planning Engine'!$A$4:$A$2500=DATE(2032,9,1))*'Planning Engine'!$U$4:$U$2500),"--")</t>
  </si>
  <si>
    <t>=IFERROR(SUMPRODUCT(('Planning Engine'!$B$4:$B$2500="APC")*('Planning Engine'!$A$4:$A$2500=DATE(2032,10,1))*'Planning Engine'!$U$4:$U$2500),"--")</t>
  </si>
  <si>
    <t>=IFERROR(SUMPRODUCT(('Planning Engine'!$B$4:$B$2500="APC")*('Planning Engine'!$A$4:$A$2500=DATE(2032,11,1))*'Planning Engine'!$U$4:$U$2500),"--")</t>
  </si>
  <si>
    <t>=IFERROR(SUMPRODUCT(('Planning Engine'!$B$4:$B$2500="APC")*('Planning Engine'!$A$4:$A$2500=DATE(2032,12,1))*'Planning Engine'!$U$4:$U$2500),"--")</t>
  </si>
  <si>
    <t>=IFERROR(SUMPRODUCT(('Planning Engine'!$B$4:$B$2500="APC")*('Planning Engine'!$A$4:$A$2500=DATE(2033,1,1))*'Planning Engine'!$U$4:$U$2500),"--")</t>
  </si>
  <si>
    <t>=IFERROR(SUMPRODUCT(('Planning Engine'!$B$4:$B$2500="APC")*('Planning Engine'!$A$4:$A$2500=DATE(2033,2,1))*'Planning Engine'!$U$4:$U$2500),"--")</t>
  </si>
  <si>
    <t>=IFERROR(SUMPRODUCT(('Planning Engine'!$B$4:$B$2500="APC")*('Planning Engine'!$A$4:$A$2500=DATE(2033,3,1))*'Planning Engine'!$U$4:$U$2500),"--")</t>
  </si>
  <si>
    <t>=IFERROR(SUMPRODUCT(('Planning Engine'!$B$4:$B$2500="APC")*('Planning Engine'!$A$4:$A$2500=DATE(2033,4,1))*'Planning Engine'!$U$4:$U$2500),"--")</t>
  </si>
  <si>
    <t>=IFERROR(SUMPRODUCT(('Planning Engine'!$B$4:$B$2500="APC")*('Planning Engine'!$A$4:$A$2500=DATE(2033,5,1))*'Planning Engine'!$U$4:$U$2500),"--")</t>
  </si>
  <si>
    <t>=IFERROR(SUMPRODUCT(('Planning Engine'!$B$4:$B$2500="APC")*('Planning Engine'!$A$4:$A$2500=DATE(2033,6,1))*'Planning Engine'!$U$4:$U$2500),"--")</t>
  </si>
  <si>
    <t>=IFERROR(SUMPRODUCT(('Planning Engine'!$B$4:$B$2500="APC")*('Planning Engine'!$A$4:$A$2500=DATE(2033,7,1))*'Planning Engine'!$U$4:$U$2500),"--")</t>
  </si>
  <si>
    <t>=IFERROR(SUMPRODUCT(('Planning Engine'!$B$4:$B$2500="APC")*('Planning Engine'!$A$4:$A$2500=DATE(2033,8,1))*'Planning Engine'!$U$4:$U$2500),"--")</t>
  </si>
  <si>
    <t>=IFERROR(SUMPRODUCT(('Planning Engine'!$B$4:$B$2500="APC")*('Planning Engine'!$A$4:$A$2500=DATE(2033,9,1))*'Planning Engine'!$U$4:$U$2500),"--")</t>
  </si>
  <si>
    <t>=IFERROR(SUMPRODUCT(('Planning Engine'!$B$4:$B$2500="APC")*('Planning Engine'!$A$4:$A$2500=DATE(2033,10,1))*'Planning Engine'!$U$4:$U$2500),"--")</t>
  </si>
  <si>
    <t>=IFERROR(SUMPRODUCT(('Planning Engine'!$B$4:$B$2500="APC")*('Planning Engine'!$A$4:$A$2500=DATE(2033,11,1))*'Planning Engine'!$U$4:$U$2500),"--")</t>
  </si>
  <si>
    <t>=IFERROR(SUMPRODUCT(('Planning Engine'!$B$4:$B$2500="APC")*('Planning Engine'!$A$4:$A$2500=DATE(2033,12,1))*'Planning Engine'!$U$4:$U$2500),"--")</t>
  </si>
  <si>
    <t>=IFERROR(SUMPRODUCT(('Planning Engine'!$B$4:$B$2500="APC")*('Planning Engine'!$A$4:$A$2500=DATE(2034,1,1))*'Planning Engine'!$U$4:$U$2500),"--")</t>
  </si>
  <si>
    <t>=IFERROR(SUMPRODUCT(('Planning Engine'!$B$4:$B$2500="APC")*('Planning Engine'!$A$4:$A$2500=DATE(2034,2,1))*'Planning Engine'!$U$4:$U$2500),"--")</t>
  </si>
  <si>
    <t>=IFERROR(SUMPRODUCT(('Planning Engine'!$B$4:$B$2500="APC")*('Planning Engine'!$A$4:$A$2500=DATE(2034,3,1))*'Planning Engine'!$U$4:$U$2500),"--")</t>
  </si>
  <si>
    <t>=IFERROR(SUMPRODUCT(('Planning Engine'!$B$4:$B$2500="APC")*('Planning Engine'!$A$4:$A$2500=DATE(2034,4,1))*'Planning Engine'!$U$4:$U$2500),"--")</t>
  </si>
  <si>
    <t>=IFERROR(SUMPRODUCT(('Planning Engine'!$B$4:$B$2500="APC")*('Planning Engine'!$A$4:$A$2500=DATE(2034,5,1))*'Planning Engine'!$U$4:$U$2500),"--")</t>
  </si>
  <si>
    <t>=IFERROR(SUMPRODUCT(('Planning Engine'!$B$4:$B$2500="APC")*('Planning Engine'!$A$4:$A$2500=DATE(2034,6,1))*'Planning Engine'!$U$4:$U$2500),"--")</t>
  </si>
  <si>
    <t>=IFERROR(SUMPRODUCT(('Planning Engine'!$B$4:$B$2500="APC")*('Planning Engine'!$A$4:$A$2500=DATE(2034,7,1))*'Planning Engine'!$U$4:$U$2500),"--")</t>
  </si>
  <si>
    <t>=IFERROR(SUMPRODUCT(('Planning Engine'!$B$4:$B$2500="APC")*('Planning Engine'!$A$4:$A$2500=DATE(2034,8,1))*'Planning Engine'!$U$4:$U$2500),"--")</t>
  </si>
  <si>
    <t>=IFERROR(SUMPRODUCT(('Planning Engine'!$B$4:$B$2500="APC")*('Planning Engine'!$A$4:$A$2500=DATE(2034,9,1))*'Planning Engine'!$U$4:$U$2500),"--")</t>
  </si>
  <si>
    <t>=IFERROR(SUMPRODUCT(('Planning Engine'!$B$4:$B$2500="APC")*('Planning Engine'!$A$4:$A$2500=DATE(2034,10,1))*'Planning Engine'!$U$4:$U$2500),"--")</t>
  </si>
  <si>
    <t>=IFERROR(SUMPRODUCT(('Planning Engine'!$B$4:$B$2500="APC")*('Planning Engine'!$A$4:$A$2500=DATE(2034,11,1))*'Planning Engine'!$U$4:$U$2500),"--")</t>
  </si>
  <si>
    <t>=IFERROR(SUMPRODUCT(('Planning Engine'!$B$4:$B$2500="APC")*('Planning Engine'!$A$4:$A$2500=DATE(2034,12,1))*'Planning Engine'!$U$4:$U$2500),"--")</t>
  </si>
  <si>
    <t>=IFERROR(SUMPRODUCT(('Planning Engine'!$B$4:$B$2500="APC")*('Planning Engine'!$A$4:$A$2500=DATE(2035,1,1))*'Planning Engine'!$U$4:$U$2500),"--")</t>
  </si>
  <si>
    <t>=IFERROR(SUMPRODUCT(('Planning Engine'!$B$4:$B$2500="APC")*('Planning Engine'!$A$4:$A$2500=DATE(2035,2,1))*'Planning Engine'!$U$4:$U$2500),"--")</t>
  </si>
  <si>
    <t>=IFERROR(SUMPRODUCT(('Planning Engine'!$B$4:$B$2500="APC")*('Planning Engine'!$A$4:$A$2500=DATE(2035,3,1))*'Planning Engine'!$U$4:$U$2500),"--")</t>
  </si>
  <si>
    <t>=IFERROR(SUMPRODUCT(('Planning Engine'!$B$4:$B$2500="APC")*('Planning Engine'!$A$4:$A$2500=DATE(2035,4,1))*'Planning Engine'!$U$4:$U$2500),"--")</t>
  </si>
  <si>
    <t>=IFERROR(SUMPRODUCT(('Planning Engine'!$B$4:$B$2500="APC")*('Planning Engine'!$A$4:$A$2500=DATE(2035,5,1))*'Planning Engine'!$U$4:$U$2500),"--")</t>
  </si>
  <si>
    <t>=IFERROR(SUMPRODUCT(('Planning Engine'!$B$4:$B$2500="APC")*('Planning Engine'!$A$4:$A$2500=DATE(2035,6,1))*'Planning Engine'!$U$4:$U$2500),"--")</t>
  </si>
  <si>
    <t>=IFERROR(SUMPRODUCT(('Planning Engine'!$B$4:$B$2500="APC")*('Planning Engine'!$A$4:$A$2500=DATE(2035,7,1))*'Planning Engine'!$U$4:$U$2500),"--")</t>
  </si>
  <si>
    <t>=IFERROR(SUMPRODUCT(('Planning Engine'!$B$4:$B$2500="APC")*('Planning Engine'!$A$4:$A$2500=DATE(2035,8,1))*'Planning Engine'!$U$4:$U$2500),"--")</t>
  </si>
  <si>
    <t>=IFERROR(SUMPRODUCT(('Planning Engine'!$B$4:$B$2500="APC")*('Planning Engine'!$A$4:$A$2500=DATE(2035,9,1))*'Planning Engine'!$U$4:$U$2500),"--")</t>
  </si>
  <si>
    <t>=IFERROR(SUMPRODUCT(('Planning Engine'!$B$4:$B$2500="APC")*('Planning Engine'!$A$4:$A$2500=DATE(2035,10,1))*'Planning Engine'!$U$4:$U$2500),"--")</t>
  </si>
  <si>
    <t>=IFERROR(SUMPRODUCT(('Planning Engine'!$B$4:$B$2500="APC")*('Planning Engine'!$A$4:$A$2500=DATE(2035,11,1))*'Planning Engine'!$U$4:$U$2500),"--")</t>
  </si>
  <si>
    <t>=IFERROR(SUMPRODUCT(('Planning Engine'!$B$4:$B$2500="APC")*('Planning Engine'!$A$4:$A$2500=DATE(2035,12,1))*'Planning Engine'!$U$4:$U$2500),"--")</t>
  </si>
  <si>
    <t>=IFERROR(SUMPRODUCT(('Planning Engine'!$B$4:$B$2500="APC")*('Planning Engine'!$A$4:$A$2500=DATE(2036,1,1))*'Planning Engine'!$U$4:$U$2500),"--")</t>
  </si>
  <si>
    <t>=IFERROR(SUMPRODUCT(('Planning Engine'!$B$4:$B$2500="APC")*('Planning Engine'!$A$4:$A$2500=DATE(2036,2,1))*'Planning Engine'!$U$4:$U$2500),"--")</t>
  </si>
  <si>
    <t>=IFERROR(SUMPRODUCT(('Planning Engine'!$B$4:$B$2500="APC")*('Planning Engine'!$A$4:$A$2500=DATE(2036,3,1))*'Planning Engine'!$U$4:$U$2500),"--")</t>
  </si>
  <si>
    <t>=IFERROR(SUMPRODUCT(('Planning Engine'!$B$4:$B$2500="APC")*('Planning Engine'!$A$4:$A$2500=DATE(2036,4,1))*'Planning Engine'!$U$4:$U$2500),"--")</t>
  </si>
  <si>
    <t>=IFERROR(SUMPRODUCT(('Planning Engine'!$B$4:$B$2500="APC")*('Planning Engine'!$A$4:$A$2500=DATE(2036,5,1))*'Planning Engine'!$U$4:$U$2500),"--")</t>
  </si>
  <si>
    <t>=IFERROR(SUMPRODUCT(('Planning Engine'!$B$4:$B$2500="APC")*('Planning Engine'!$A$4:$A$2500=DATE(2036,6,1))*'Planning Engine'!$U$4:$U$2500),"--")</t>
  </si>
  <si>
    <t>=IFERROR(SUMPRODUCT(('Planning Engine'!$B$4:$B$2500="APC")*('Planning Engine'!$A$4:$A$2500=DATE(2036,7,1))*'Planning Engine'!$U$4:$U$2500),"--")</t>
  </si>
  <si>
    <t>=IFERROR(SUMPRODUCT(('Planning Engine'!$B$4:$B$2500="APC")*('Planning Engine'!$A$4:$A$2500=DATE(2036,8,1))*'Planning Engine'!$U$4:$U$2500),"--")</t>
  </si>
  <si>
    <t>=IFERROR(SUMPRODUCT(('Planning Engine'!$B$4:$B$2500="APC")*('Planning Engine'!$A$4:$A$2500=DATE(2036,9,1))*'Planning Engine'!$U$4:$U$2500),"--")</t>
  </si>
  <si>
    <t>=IFERROR(SUMPRODUCT(('Planning Engine'!$B$4:$B$2500="APC")*('Planning Engine'!$A$4:$A$2500=DATE(2036,10,1))*'Planning Engine'!$U$4:$U$2500),"--")</t>
  </si>
  <si>
    <t>=IFERROR(SUMPRODUCT(('Planning Engine'!$B$4:$B$2500="APC")*('Planning Engine'!$A$4:$A$2500=DATE(2036,11,1))*'Planning Engine'!$U$4:$U$2500),"--")</t>
  </si>
  <si>
    <t>=IFERROR(SUMPRODUCT(('Planning Engine'!$B$4:$B$2500="APC")*('Planning Engine'!$A$4:$A$2500=DATE(2036,12,1))*'Planning Engine'!$U$4:$U$2500),"--")</t>
  </si>
  <si>
    <t>=IFERROR(SUMPRODUCT(('Planning Engine'!$B$4:$B$2500="APC")*('Planning Engine'!$A$4:$A$2500=DATE(2037,1,1))*'Planning Engine'!$U$4:$U$2500),"--")</t>
  </si>
  <si>
    <t>=IFERROR(SUMPRODUCT(('Planning Engine'!$B$4:$B$2500="APC")*('Planning Engine'!$A$4:$A$2500=DATE(2037,2,1))*'Planning Engine'!$U$4:$U$2500),"--")</t>
  </si>
  <si>
    <t>=IFERROR(SUMPRODUCT(('Planning Engine'!$B$4:$B$2500="APC")*('Planning Engine'!$A$4:$A$2500=DATE(2037,3,1))*'Planning Engine'!$U$4:$U$2500),"--")</t>
  </si>
  <si>
    <t>=IFERROR(SUMPRODUCT(('Planning Engine'!$B$4:$B$2500="APC")*('Planning Engine'!$A$4:$A$2500=DATE(2037,4,1))*'Planning Engine'!$U$4:$U$2500),"--")</t>
  </si>
  <si>
    <t>=IFERROR(SUMPRODUCT(('Planning Engine'!$B$4:$B$2500="APC")*('Planning Engine'!$A$4:$A$2500=DATE(2037,5,1))*'Planning Engine'!$U$4:$U$2500),"--")</t>
  </si>
  <si>
    <t>=IFERROR(SUMPRODUCT(('Planning Engine'!$B$4:$B$2500="APC")*('Planning Engine'!$A$4:$A$2500=DATE(2037,6,1))*'Planning Engine'!$U$4:$U$2500),"--")</t>
  </si>
  <si>
    <t>=IFERROR(SUMPRODUCT(('Planning Engine'!$B$4:$B$2500="APC")*('Planning Engine'!$A$4:$A$2500=DATE(2037,7,1))*'Planning Engine'!$U$4:$U$2500),"--")</t>
  </si>
  <si>
    <t>=IFERROR(SUMPRODUCT(('Planning Engine'!$B$4:$B$2500="APC")*('Planning Engine'!$A$4:$A$2500=DATE(2037,8,1))*'Planning Engine'!$U$4:$U$2500),"--")</t>
  </si>
  <si>
    <t>=IFERROR(SUMPRODUCT(('Planning Engine'!$B$4:$B$2500="APC")*('Planning Engine'!$A$4:$A$2500=DATE(2037,9,1))*'Planning Engine'!$U$4:$U$2500),"--")</t>
  </si>
  <si>
    <t>=IFERROR(SUMPRODUCT(('Planning Engine'!$B$4:$B$2500="APC")*('Planning Engine'!$A$4:$A$2500=DATE(2037,10,1))*'Planning Engine'!$U$4:$U$2500),"--")</t>
  </si>
  <si>
    <t>=IFERROR(SUMPRODUCT(('Planning Engine'!$B$4:$B$2500="APC")*('Planning Engine'!$A$4:$A$2500=DATE(2037,11,1))*'Planning Engine'!$U$4:$U$2500),"--")</t>
  </si>
  <si>
    <t>=IFERROR(SUMPRODUCT(('Planning Engine'!$B$4:$B$2500="APC")*('Planning Engine'!$A$4:$A$2500=DATE(2037,12,1))*'Planning Engine'!$U$4:$U$2500),"--")</t>
  </si>
  <si>
    <t>=IFERROR(SUMPRODUCT(('Planning Engine'!$B$4:$B$2500="APC")*('Planning Engine'!$A$4:$A$2500=DATE(2038,1,1))*'Planning Engine'!$U$4:$U$2500),"--")</t>
  </si>
  <si>
    <t>=IFERROR(SUMPRODUCT(('Planning Engine'!$B$4:$B$2500="APC")*('Planning Engine'!$A$4:$A$2500=DATE(2038,2,1))*'Planning Engine'!$U$4:$U$2500),"--")</t>
  </si>
  <si>
    <t>=IFERROR(SUMPRODUCT(('Planning Engine'!$B$4:$B$2500="APC")*('Planning Engine'!$A$4:$A$2500=DATE(2038,3,1))*'Planning Engine'!$U$4:$U$2500),"--")</t>
  </si>
  <si>
    <t>=IFERROR(SUMPRODUCT(('Planning Engine'!$B$4:$B$2500="APC")*('Planning Engine'!$A$4:$A$2500=DATE(2038,4,1))*'Planning Engine'!$U$4:$U$2500),"--")</t>
  </si>
  <si>
    <t>=IFERROR(SUMPRODUCT(('Planning Engine'!$B$4:$B$2500="APC")*('Planning Engine'!$A$4:$A$2500=DATE(2038,5,1))*'Planning Engine'!$U$4:$U$2500),"--")</t>
  </si>
  <si>
    <t>=IFERROR(SUMPRODUCT(('Planning Engine'!$B$4:$B$2500="APC")*('Planning Engine'!$A$4:$A$2500=DATE(2038,6,1))*'Planning Engine'!$U$4:$U$2500),"--")</t>
  </si>
  <si>
    <t>=IFERROR(SUMPRODUCT(('Planning Engine'!$B$4:$B$2500="APC")*('Planning Engine'!$A$4:$A$2500=DATE(2038,7,1))*'Planning Engine'!$U$4:$U$2500),"--")</t>
  </si>
  <si>
    <t>=IFERROR(SUMPRODUCT(('Planning Engine'!$B$4:$B$2500="APC")*('Planning Engine'!$A$4:$A$2500=DATE(2038,8,1))*'Planning Engine'!$U$4:$U$2500),"--")</t>
  </si>
  <si>
    <t>=IFERROR(SUMPRODUCT(('Planning Engine'!$B$4:$B$2500="APC")*('Planning Engine'!$A$4:$A$2500=DATE(2038,9,1))*'Planning Engine'!$U$4:$U$2500),"--")</t>
  </si>
  <si>
    <t>=IFERROR(SUMPRODUCT(('Planning Engine'!$B$4:$B$2500="APC")*('Planning Engine'!$A$4:$A$2500=DATE(2038,10,1))*'Planning Engine'!$U$4:$U$2500),"--")</t>
  </si>
  <si>
    <t>=IFERROR(SUMPRODUCT(('Planning Engine'!$B$4:$B$2500="APC")*('Planning Engine'!$A$4:$A$2500=DATE(2038,11,1))*'Planning Engine'!$U$4:$U$2500),"--")</t>
  </si>
  <si>
    <t>=IFERROR(SUMPRODUCT(('Planning Engine'!$B$4:$B$2500="APC")*('Planning Engine'!$A$4:$A$2500=DATE(2038,12,1))*'Planning Engine'!$U$4:$U$2500),"--")</t>
  </si>
  <si>
    <t>=IFERROR(SUMPRODUCT(('Planning Engine'!$B$4:$B$2500="APC")*('Planning Engine'!$A$4:$A$2500=DATE(2039,1,1))*'Planning Engine'!$U$4:$U$2500),"--")</t>
  </si>
  <si>
    <t>=IFERROR(SUMPRODUCT(('Planning Engine'!$B$4:$B$2500="APC")*('Planning Engine'!$A$4:$A$2500=DATE(2039,2,1))*'Planning Engine'!$U$4:$U$2500),"--")</t>
  </si>
  <si>
    <t>=IFERROR(SUMPRODUCT(('Planning Engine'!$B$4:$B$2500="APC")*('Planning Engine'!$A$4:$A$2500=DATE(2039,3,1))*'Planning Engine'!$U$4:$U$2500),"--")</t>
  </si>
  <si>
    <t>=IFERROR(SUMPRODUCT(('Planning Engine'!$B$4:$B$2500="APC")*('Planning Engine'!$A$4:$A$2500=DATE(2039,4,1))*'Planning Engine'!$U$4:$U$2500),"--")</t>
  </si>
  <si>
    <t>=IFERROR(SUMPRODUCT(('Planning Engine'!$B$4:$B$2500="APC")*('Planning Engine'!$A$4:$A$2500=DATE(2039,5,1))*'Planning Engine'!$U$4:$U$2500),"--")</t>
  </si>
  <si>
    <t>=IFERROR(SUMPRODUCT(('Planning Engine'!$B$4:$B$2500="APC")*('Planning Engine'!$A$4:$A$2500=DATE(2039,6,1))*'Planning Engine'!$U$4:$U$2500),"--")</t>
  </si>
  <si>
    <t>=IFERROR(SUMPRODUCT(('Planning Engine'!$B$4:$B$2500="APC")*('Planning Engine'!$A$4:$A$2500=DATE(2039,7,1))*'Planning Engine'!$U$4:$U$2500),"--")</t>
  </si>
  <si>
    <t>=IFERROR(SUMPRODUCT(('Planning Engine'!$B$4:$B$2500="APC")*('Planning Engine'!$A$4:$A$2500=DATE(2039,8,1))*'Planning Engine'!$U$4:$U$2500),"--")</t>
  </si>
  <si>
    <t>=IFERROR(SUMPRODUCT(('Planning Engine'!$B$4:$B$2500="APC")*('Planning Engine'!$A$4:$A$2500=DATE(2039,9,1))*'Planning Engine'!$U$4:$U$2500),"--")</t>
  </si>
  <si>
    <t>=IFERROR(SUMPRODUCT(('Planning Engine'!$B$4:$B$2500="APC")*('Planning Engine'!$A$4:$A$2500=DATE(2039,10,1))*'Planning Engine'!$U$4:$U$2500),"--")</t>
  </si>
  <si>
    <t>=IFERROR(SUMPRODUCT(('Planning Engine'!$B$4:$B$2500="APC")*('Planning Engine'!$A$4:$A$2500=DATE(2039,11,1))*'Planning Engine'!$U$4:$U$2500),"--")</t>
  </si>
  <si>
    <t>=IFERROR(SUMPRODUCT(('Planning Engine'!$B$4:$B$2500="APC")*('Planning Engine'!$A$4:$A$2500=DATE(2039,12,1))*'Planning Engine'!$U$4:$U$2500),"--")</t>
  </si>
  <si>
    <t>=IFERROR(SUMPRODUCT(('Planning Engine'!$B$4:$B$2500="APC")*('Planning Engine'!$A$4:$A$2500=DATE(2040,1,1))*'Planning Engine'!$U$4:$U$2500),"--")</t>
  </si>
  <si>
    <t>=IFERROR(SUMPRODUCT(('Planning Engine'!$B$4:$B$2500="APC")*('Planning Engine'!$A$4:$A$2500=DATE(2040,2,1))*'Planning Engine'!$U$4:$U$2500),"--")</t>
  </si>
  <si>
    <t>=IFERROR(SUMPRODUCT(('Planning Engine'!$B$4:$B$2500="APC")*('Planning Engine'!$A$4:$A$2500=DATE(2040,3,1))*'Planning Engine'!$U$4:$U$2500),"--")</t>
  </si>
  <si>
    <t>=IFERROR(SUMPRODUCT(('Planning Engine'!$B$4:$B$2500="APC")*('Planning Engine'!$A$4:$A$2500=DATE(2040,4,1))*'Planning Engine'!$U$4:$U$2500),"--")</t>
  </si>
  <si>
    <t>=IFERROR(SUMPRODUCT(('Planning Engine'!$B$4:$B$2500="APC")*('Planning Engine'!$A$4:$A$2500=DATE(2040,5,1))*'Planning Engine'!$U$4:$U$2500),"--")</t>
  </si>
  <si>
    <t>=IFERROR(SUMPRODUCT(('Planning Engine'!$B$4:$B$2500="APC")*('Planning Engine'!$A$4:$A$2500=DATE(2040,6,1))*'Planning Engine'!$U$4:$U$2500),"--")</t>
  </si>
  <si>
    <t>=IFERROR(SUMPRODUCT(('Planning Engine'!$B$4:$B$2500="APC")*('Planning Engine'!$A$4:$A$2500=DATE(2040,7,1))*'Planning Engine'!$U$4:$U$2500),"--")</t>
  </si>
  <si>
    <t>=IFERROR(SUMPRODUCT(('Planning Engine'!$B$4:$B$2500="APC")*('Planning Engine'!$A$4:$A$2500=DATE(2040,8,1))*'Planning Engine'!$U$4:$U$2500),"--")</t>
  </si>
  <si>
    <t>=IFERROR(SUMPRODUCT(('Planning Engine'!$B$4:$B$2500="APC")*('Planning Engine'!$A$4:$A$2500=DATE(2040,9,1))*'Planning Engine'!$U$4:$U$2500),"--")</t>
  </si>
  <si>
    <t>=IFERROR(SUMPRODUCT(('Planning Engine'!$B$4:$B$2500="APC")*('Planning Engine'!$A$4:$A$2500=DATE(2040,10,1))*'Planning Engine'!$U$4:$U$2500),"--")</t>
  </si>
  <si>
    <t>=IFERROR(SUMPRODUCT(('Planning Engine'!$B$4:$B$2500="APC")*('Planning Engine'!$A$4:$A$2500=DATE(2040,11,1))*'Planning Engine'!$U$4:$U$2500),"--")</t>
  </si>
  <si>
    <t>=IFERROR(SUMPRODUCT(('Planning Engine'!$B$4:$B$2500="APC")*('Planning Engine'!$A$4:$A$2500=DATE(2040,12,1))*'Planning Engine'!$U$4:$U$2500),"--")</t>
  </si>
  <si>
    <t>=IFERROR(SUMPRODUCT(('Planning Engine'!$B$4:$B$2500="APG")*('Planning Engine'!$A$4:$A$2500=DATE(2026,2,1))*'Planning Engine'!$U$4:$U$2500),"--")</t>
  </si>
  <si>
    <t>=IFERROR(SUMPRODUCT(('Planning Engine'!$B$4:$B$2500="APG")*('Planning Engine'!$A$4:$A$2500=DATE(2026,3,1))*'Planning Engine'!$U$4:$U$2500),"--")</t>
  </si>
  <si>
    <t>=IFERROR(SUMPRODUCT(('Planning Engine'!$B$4:$B$2500="APG")*('Planning Engine'!$A$4:$A$2500=DATE(2026,4,1))*'Planning Engine'!$U$4:$U$2500),"--")</t>
  </si>
  <si>
    <t>=IFERROR(SUMPRODUCT(('Planning Engine'!$B$4:$B$2500="APG")*('Planning Engine'!$A$4:$A$2500=DATE(2026,5,1))*'Planning Engine'!$U$4:$U$2500),"--")</t>
  </si>
  <si>
    <t>=IFERROR(SUMPRODUCT(('Planning Engine'!$B$4:$B$2500="APG")*('Planning Engine'!$A$4:$A$2500=DATE(2026,6,1))*'Planning Engine'!$U$4:$U$2500),"--")</t>
  </si>
  <si>
    <t>=IFERROR(SUMPRODUCT(('Planning Engine'!$B$4:$B$2500="APG")*('Planning Engine'!$A$4:$A$2500=DATE(2026,7,1))*'Planning Engine'!$U$4:$U$2500),"--")</t>
  </si>
  <si>
    <t>=IFERROR(SUMPRODUCT(('Planning Engine'!$B$4:$B$2500="APG")*('Planning Engine'!$A$4:$A$2500=DATE(2026,8,1))*'Planning Engine'!$U$4:$U$2500),"--")</t>
  </si>
  <si>
    <t>=IFERROR(SUMPRODUCT(('Planning Engine'!$B$4:$B$2500="APG")*('Planning Engine'!$A$4:$A$2500=DATE(2026,9,1))*'Planning Engine'!$U$4:$U$2500),"--")</t>
  </si>
  <si>
    <t>=IFERROR(SUMPRODUCT(('Planning Engine'!$B$4:$B$2500="APG")*('Planning Engine'!$A$4:$A$2500=DATE(2026,10,1))*'Planning Engine'!$U$4:$U$2500),"--")</t>
  </si>
  <si>
    <t>=IFERROR(SUMPRODUCT(('Planning Engine'!$B$4:$B$2500="APG")*('Planning Engine'!$A$4:$A$2500=DATE(2026,11,1))*'Planning Engine'!$U$4:$U$2500),"--")</t>
  </si>
  <si>
    <t>=IFERROR(SUMPRODUCT(('Planning Engine'!$B$4:$B$2500="APG")*('Planning Engine'!$A$4:$A$2500=DATE(2026,12,1))*'Planning Engine'!$U$4:$U$2500),"--")</t>
  </si>
  <si>
    <t>=IFERROR(SUMPRODUCT(('Planning Engine'!$B$4:$B$2500="APG")*('Planning Engine'!$A$4:$A$2500=DATE(2027,1,1))*'Planning Engine'!$U$4:$U$2500),"--")</t>
  </si>
  <si>
    <t>=IFERROR(SUMPRODUCT(('Planning Engine'!$B$4:$B$2500="APG")*('Planning Engine'!$A$4:$A$2500=DATE(2027,2,1))*'Planning Engine'!$U$4:$U$2500),"--")</t>
  </si>
  <si>
    <t>=IFERROR(SUMPRODUCT(('Planning Engine'!$B$4:$B$2500="APG")*('Planning Engine'!$A$4:$A$2500=DATE(2027,3,1))*'Planning Engine'!$U$4:$U$2500),"--")</t>
  </si>
  <si>
    <t>=IFERROR(SUMPRODUCT(('Planning Engine'!$B$4:$B$2500="APG")*('Planning Engine'!$A$4:$A$2500=DATE(2027,4,1))*'Planning Engine'!$U$4:$U$2500),"--")</t>
  </si>
  <si>
    <t>=IFERROR(SUMPRODUCT(('Planning Engine'!$B$4:$B$2500="APG")*('Planning Engine'!$A$4:$A$2500=DATE(2027,5,1))*'Planning Engine'!$U$4:$U$2500),"--")</t>
  </si>
  <si>
    <t>=IFERROR(SUMPRODUCT(('Planning Engine'!$B$4:$B$2500="APG")*('Planning Engine'!$A$4:$A$2500=DATE(2027,6,1))*'Planning Engine'!$U$4:$U$2500),"--")</t>
  </si>
  <si>
    <t>=IFERROR(SUMPRODUCT(('Planning Engine'!$B$4:$B$2500="APG")*('Planning Engine'!$A$4:$A$2500=DATE(2027,7,1))*'Planning Engine'!$U$4:$U$2500),"--")</t>
  </si>
  <si>
    <t>=IFERROR(SUMPRODUCT(('Planning Engine'!$B$4:$B$2500="APG")*('Planning Engine'!$A$4:$A$2500=DATE(2027,8,1))*'Planning Engine'!$U$4:$U$2500),"--")</t>
  </si>
  <si>
    <t>=IFERROR(SUMPRODUCT(('Planning Engine'!$B$4:$B$2500="APG")*('Planning Engine'!$A$4:$A$2500=DATE(2027,9,1))*'Planning Engine'!$U$4:$U$2500),"--")</t>
  </si>
  <si>
    <t>=IFERROR(SUMPRODUCT(('Planning Engine'!$B$4:$B$2500="APG")*('Planning Engine'!$A$4:$A$2500=DATE(2027,10,1))*'Planning Engine'!$U$4:$U$2500),"--")</t>
  </si>
  <si>
    <t>=IFERROR(SUMPRODUCT(('Planning Engine'!$B$4:$B$2500="APG")*('Planning Engine'!$A$4:$A$2500=DATE(2027,11,1))*'Planning Engine'!$U$4:$U$2500),"--")</t>
  </si>
  <si>
    <t>=IFERROR(SUMPRODUCT(('Planning Engine'!$B$4:$B$2500="APG")*('Planning Engine'!$A$4:$A$2500=DATE(2027,12,1))*'Planning Engine'!$U$4:$U$2500),"--")</t>
  </si>
  <si>
    <t>=IFERROR(SUMPRODUCT(('Planning Engine'!$B$4:$B$2500="APG")*('Planning Engine'!$A$4:$A$2500=DATE(2028,1,1))*'Planning Engine'!$U$4:$U$2500),"--")</t>
  </si>
  <si>
    <t>=IFERROR(SUMPRODUCT(('Planning Engine'!$B$4:$B$2500="APG")*('Planning Engine'!$A$4:$A$2500=DATE(2028,2,1))*'Planning Engine'!$U$4:$U$2500),"--")</t>
  </si>
  <si>
    <t>=IFERROR(SUMPRODUCT(('Planning Engine'!$B$4:$B$2500="APG")*('Planning Engine'!$A$4:$A$2500=DATE(2028,3,1))*'Planning Engine'!$U$4:$U$2500),"--")</t>
  </si>
  <si>
    <t>=IFERROR(SUMPRODUCT(('Planning Engine'!$B$4:$B$2500="APG")*('Planning Engine'!$A$4:$A$2500=DATE(2028,4,1))*'Planning Engine'!$U$4:$U$2500),"--")</t>
  </si>
  <si>
    <t>=IFERROR(SUMPRODUCT(('Planning Engine'!$B$4:$B$2500="APG")*('Planning Engine'!$A$4:$A$2500=DATE(2028,5,1))*'Planning Engine'!$U$4:$U$2500),"--")</t>
  </si>
  <si>
    <t>=IFERROR(SUMPRODUCT(('Planning Engine'!$B$4:$B$2500="APG")*('Planning Engine'!$A$4:$A$2500=DATE(2028,6,1))*'Planning Engine'!$U$4:$U$2500),"--")</t>
  </si>
  <si>
    <t>=IFERROR(SUMPRODUCT(('Planning Engine'!$B$4:$B$2500="APG")*('Planning Engine'!$A$4:$A$2500=DATE(2028,7,1))*'Planning Engine'!$U$4:$U$2500),"--")</t>
  </si>
  <si>
    <t>=IFERROR(SUMPRODUCT(('Planning Engine'!$B$4:$B$2500="APG")*('Planning Engine'!$A$4:$A$2500=DATE(2028,8,1))*'Planning Engine'!$U$4:$U$2500),"--")</t>
  </si>
  <si>
    <t>=IFERROR(SUMPRODUCT(('Planning Engine'!$B$4:$B$2500="APG")*('Planning Engine'!$A$4:$A$2500=DATE(2028,9,1))*'Planning Engine'!$U$4:$U$2500),"--")</t>
  </si>
  <si>
    <t>=IFERROR(SUMPRODUCT(('Planning Engine'!$B$4:$B$2500="APG")*('Planning Engine'!$A$4:$A$2500=DATE(2028,10,1))*'Planning Engine'!$U$4:$U$2500),"--")</t>
  </si>
  <si>
    <t>=IFERROR(SUMPRODUCT(('Planning Engine'!$B$4:$B$2500="APG")*('Planning Engine'!$A$4:$A$2500=DATE(2028,11,1))*'Planning Engine'!$U$4:$U$2500),"--")</t>
  </si>
  <si>
    <t>=IFERROR(SUMPRODUCT(('Planning Engine'!$B$4:$B$2500="APG")*('Planning Engine'!$A$4:$A$2500=DATE(2028,12,1))*'Planning Engine'!$U$4:$U$2500),"--")</t>
  </si>
  <si>
    <t>=IFERROR(SUMPRODUCT(('Planning Engine'!$B$4:$B$2500="APG")*('Planning Engine'!$A$4:$A$2500=DATE(2029,1,1))*'Planning Engine'!$U$4:$U$2500),"--")</t>
  </si>
  <si>
    <t>=IFERROR(SUMPRODUCT(('Planning Engine'!$B$4:$B$2500="APG")*('Planning Engine'!$A$4:$A$2500=DATE(2029,2,1))*'Planning Engine'!$U$4:$U$2500),"--")</t>
  </si>
  <si>
    <t>=IFERROR(SUMPRODUCT(('Planning Engine'!$B$4:$B$2500="APG")*('Planning Engine'!$A$4:$A$2500=DATE(2029,3,1))*'Planning Engine'!$U$4:$U$2500),"--")</t>
  </si>
  <si>
    <t>=IFERROR(SUMPRODUCT(('Planning Engine'!$B$4:$B$2500="APG")*('Planning Engine'!$A$4:$A$2500=DATE(2029,4,1))*'Planning Engine'!$U$4:$U$2500),"--")</t>
  </si>
  <si>
    <t>=IFERROR(SUMPRODUCT(('Planning Engine'!$B$4:$B$2500="APG")*('Planning Engine'!$A$4:$A$2500=DATE(2029,5,1))*'Planning Engine'!$U$4:$U$2500),"--")</t>
  </si>
  <si>
    <t>=IFERROR(SUMPRODUCT(('Planning Engine'!$B$4:$B$2500="APG")*('Planning Engine'!$A$4:$A$2500=DATE(2029,6,1))*'Planning Engine'!$U$4:$U$2500),"--")</t>
  </si>
  <si>
    <t>=IFERROR(SUMPRODUCT(('Planning Engine'!$B$4:$B$2500="APG")*('Planning Engine'!$A$4:$A$2500=DATE(2029,7,1))*'Planning Engine'!$U$4:$U$2500),"--")</t>
  </si>
  <si>
    <t>=IFERROR(SUMPRODUCT(('Planning Engine'!$B$4:$B$2500="APG")*('Planning Engine'!$A$4:$A$2500=DATE(2029,8,1))*'Planning Engine'!$U$4:$U$2500),"--")</t>
  </si>
  <si>
    <t>=IFERROR(SUMPRODUCT(('Planning Engine'!$B$4:$B$2500="APG")*('Planning Engine'!$A$4:$A$2500=DATE(2029,9,1))*'Planning Engine'!$U$4:$U$2500),"--")</t>
  </si>
  <si>
    <t>=IFERROR(SUMPRODUCT(('Planning Engine'!$B$4:$B$2500="APG")*('Planning Engine'!$A$4:$A$2500=DATE(2029,10,1))*'Planning Engine'!$U$4:$U$2500),"--")</t>
  </si>
  <si>
    <t>=IFERROR(SUMPRODUCT(('Planning Engine'!$B$4:$B$2500="APG")*('Planning Engine'!$A$4:$A$2500=DATE(2029,11,1))*'Planning Engine'!$U$4:$U$2500),"--")</t>
  </si>
  <si>
    <t>=IFERROR(SUMPRODUCT(('Planning Engine'!$B$4:$B$2500="APG")*('Planning Engine'!$A$4:$A$2500=DATE(2029,12,1))*'Planning Engine'!$U$4:$U$2500),"--")</t>
  </si>
  <si>
    <t>=IFERROR(SUMPRODUCT(('Planning Engine'!$B$4:$B$2500="APG")*('Planning Engine'!$A$4:$A$2500=DATE(2030,1,1))*'Planning Engine'!$U$4:$U$2500),"--")</t>
  </si>
  <si>
    <t>=IFERROR(SUMPRODUCT(('Planning Engine'!$B$4:$B$2500="APG")*('Planning Engine'!$A$4:$A$2500=DATE(2030,2,1))*'Planning Engine'!$U$4:$U$2500),"--")</t>
  </si>
  <si>
    <t>=IFERROR(SUMPRODUCT(('Planning Engine'!$B$4:$B$2500="APG")*('Planning Engine'!$A$4:$A$2500=DATE(2030,3,1))*'Planning Engine'!$U$4:$U$2500),"--")</t>
  </si>
  <si>
    <t>=IFERROR(SUMPRODUCT(('Planning Engine'!$B$4:$B$2500="APG")*('Planning Engine'!$A$4:$A$2500=DATE(2030,4,1))*'Planning Engine'!$U$4:$U$2500),"--")</t>
  </si>
  <si>
    <t>=IFERROR(SUMPRODUCT(('Planning Engine'!$B$4:$B$2500="APG")*('Planning Engine'!$A$4:$A$2500=DATE(2030,5,1))*'Planning Engine'!$U$4:$U$2500),"--")</t>
  </si>
  <si>
    <t>=IFERROR(SUMPRODUCT(('Planning Engine'!$B$4:$B$2500="APG")*('Planning Engine'!$A$4:$A$2500=DATE(2030,6,1))*'Planning Engine'!$U$4:$U$2500),"--")</t>
  </si>
  <si>
    <t>=IFERROR(SUMPRODUCT(('Planning Engine'!$B$4:$B$2500="APG")*('Planning Engine'!$A$4:$A$2500=DATE(2030,7,1))*'Planning Engine'!$U$4:$U$2500),"--")</t>
  </si>
  <si>
    <t>=IFERROR(SUMPRODUCT(('Planning Engine'!$B$4:$B$2500="APG")*('Planning Engine'!$A$4:$A$2500=DATE(2030,8,1))*'Planning Engine'!$U$4:$U$2500),"--")</t>
  </si>
  <si>
    <t>=IFERROR(SUMPRODUCT(('Planning Engine'!$B$4:$B$2500="APG")*('Planning Engine'!$A$4:$A$2500=DATE(2030,9,1))*'Planning Engine'!$U$4:$U$2500),"--")</t>
  </si>
  <si>
    <t>=IFERROR(SUMPRODUCT(('Planning Engine'!$B$4:$B$2500="APG")*('Planning Engine'!$A$4:$A$2500=DATE(2030,10,1))*'Planning Engine'!$U$4:$U$2500),"--")</t>
  </si>
  <si>
    <t>=IFERROR(SUMPRODUCT(('Planning Engine'!$B$4:$B$2500="APG")*('Planning Engine'!$A$4:$A$2500=DATE(2030,11,1))*'Planning Engine'!$U$4:$U$2500),"--")</t>
  </si>
  <si>
    <t>=IFERROR(SUMPRODUCT(('Planning Engine'!$B$4:$B$2500="APG")*('Planning Engine'!$A$4:$A$2500=DATE(2030,12,1))*'Planning Engine'!$U$4:$U$2500),"--")</t>
  </si>
  <si>
    <t>=IFERROR(SUMPRODUCT(('Planning Engine'!$B$4:$B$2500="APG")*('Planning Engine'!$A$4:$A$2500=DATE(2031,1,1))*'Planning Engine'!$U$4:$U$2500),"--")</t>
  </si>
  <si>
    <t>=IFERROR(SUMPRODUCT(('Planning Engine'!$B$4:$B$2500="APG")*('Planning Engine'!$A$4:$A$2500=DATE(2031,2,1))*'Planning Engine'!$U$4:$U$2500),"--")</t>
  </si>
  <si>
    <t>=IFERROR(SUMPRODUCT(('Planning Engine'!$B$4:$B$2500="APG")*('Planning Engine'!$A$4:$A$2500=DATE(2031,3,1))*'Planning Engine'!$U$4:$U$2500),"--")</t>
  </si>
  <si>
    <t>=IFERROR(SUMPRODUCT(('Planning Engine'!$B$4:$B$2500="APG")*('Planning Engine'!$A$4:$A$2500=DATE(2031,4,1))*'Planning Engine'!$U$4:$U$2500),"--")</t>
  </si>
  <si>
    <t>=IFERROR(SUMPRODUCT(('Planning Engine'!$B$4:$B$2500="APG")*('Planning Engine'!$A$4:$A$2500=DATE(2031,5,1))*'Planning Engine'!$U$4:$U$2500),"--")</t>
  </si>
  <si>
    <t>=IFERROR(SUMPRODUCT(('Planning Engine'!$B$4:$B$2500="APG")*('Planning Engine'!$A$4:$A$2500=DATE(2031,6,1))*'Planning Engine'!$U$4:$U$2500),"--")</t>
  </si>
  <si>
    <t>=IFERROR(SUMPRODUCT(('Planning Engine'!$B$4:$B$2500="APG")*('Planning Engine'!$A$4:$A$2500=DATE(2031,7,1))*'Planning Engine'!$U$4:$U$2500),"--")</t>
  </si>
  <si>
    <t>=IFERROR(SUMPRODUCT(('Planning Engine'!$B$4:$B$2500="APG")*('Planning Engine'!$A$4:$A$2500=DATE(2031,8,1))*'Planning Engine'!$U$4:$U$2500),"--")</t>
  </si>
  <si>
    <t>=IFERROR(SUMPRODUCT(('Planning Engine'!$B$4:$B$2500="APG")*('Planning Engine'!$A$4:$A$2500=DATE(2031,9,1))*'Planning Engine'!$U$4:$U$2500),"--")</t>
  </si>
  <si>
    <t>=IFERROR(SUMPRODUCT(('Planning Engine'!$B$4:$B$2500="APG")*('Planning Engine'!$A$4:$A$2500=DATE(2031,10,1))*'Planning Engine'!$U$4:$U$2500),"--")</t>
  </si>
  <si>
    <t>=IFERROR(SUMPRODUCT(('Planning Engine'!$B$4:$B$2500="APG")*('Planning Engine'!$A$4:$A$2500=DATE(2031,11,1))*'Planning Engine'!$U$4:$U$2500),"--")</t>
  </si>
  <si>
    <t>=IFERROR(SUMPRODUCT(('Planning Engine'!$B$4:$B$2500="APG")*('Planning Engine'!$A$4:$A$2500=DATE(2031,12,1))*'Planning Engine'!$U$4:$U$2500),"--")</t>
  </si>
  <si>
    <t>=IFERROR(SUMPRODUCT(('Planning Engine'!$B$4:$B$2500="APG")*('Planning Engine'!$A$4:$A$2500=DATE(2032,1,1))*'Planning Engine'!$U$4:$U$2500),"--")</t>
  </si>
  <si>
    <t>=IFERROR(SUMPRODUCT(('Planning Engine'!$B$4:$B$2500="APG")*('Planning Engine'!$A$4:$A$2500=DATE(2032,2,1))*'Planning Engine'!$U$4:$U$2500),"--")</t>
  </si>
  <si>
    <t>=IFERROR(SUMPRODUCT(('Planning Engine'!$B$4:$B$2500="APG")*('Planning Engine'!$A$4:$A$2500=DATE(2032,3,1))*'Planning Engine'!$U$4:$U$2500),"--")</t>
  </si>
  <si>
    <t>=IFERROR(SUMPRODUCT(('Planning Engine'!$B$4:$B$2500="APG")*('Planning Engine'!$A$4:$A$2500=DATE(2032,4,1))*'Planning Engine'!$U$4:$U$2500),"--")</t>
  </si>
  <si>
    <t>=IFERROR(SUMPRODUCT(('Planning Engine'!$B$4:$B$2500="APG")*('Planning Engine'!$A$4:$A$2500=DATE(2032,5,1))*'Planning Engine'!$U$4:$U$2500),"--")</t>
  </si>
  <si>
    <t>=IFERROR(SUMPRODUCT(('Planning Engine'!$B$4:$B$2500="APG")*('Planning Engine'!$A$4:$A$2500=DATE(2032,6,1))*'Planning Engine'!$U$4:$U$2500),"--")</t>
  </si>
  <si>
    <t>=IFERROR(SUMPRODUCT(('Planning Engine'!$B$4:$B$2500="APG")*('Planning Engine'!$A$4:$A$2500=DATE(2032,7,1))*'Planning Engine'!$U$4:$U$2500),"--")</t>
  </si>
  <si>
    <t>=IFERROR(SUMPRODUCT(('Planning Engine'!$B$4:$B$2500="APG")*('Planning Engine'!$A$4:$A$2500=DATE(2032,8,1))*'Planning Engine'!$U$4:$U$2500),"--")</t>
  </si>
  <si>
    <t>=IFERROR(SUMPRODUCT(('Planning Engine'!$B$4:$B$2500="APG")*('Planning Engine'!$A$4:$A$2500=DATE(2032,9,1))*'Planning Engine'!$U$4:$U$2500),"--")</t>
  </si>
  <si>
    <t>=IFERROR(SUMPRODUCT(('Planning Engine'!$B$4:$B$2500="APG")*('Planning Engine'!$A$4:$A$2500=DATE(2032,10,1))*'Planning Engine'!$U$4:$U$2500),"--")</t>
  </si>
  <si>
    <t>=IFERROR(SUMPRODUCT(('Planning Engine'!$B$4:$B$2500="APG")*('Planning Engine'!$A$4:$A$2500=DATE(2032,11,1))*'Planning Engine'!$U$4:$U$2500),"--")</t>
  </si>
  <si>
    <t>=IFERROR(SUMPRODUCT(('Planning Engine'!$B$4:$B$2500="APG")*('Planning Engine'!$A$4:$A$2500=DATE(2032,12,1))*'Planning Engine'!$U$4:$U$2500),"--")</t>
  </si>
  <si>
    <t>=IFERROR(SUMPRODUCT(('Planning Engine'!$B$4:$B$2500="APG")*('Planning Engine'!$A$4:$A$2500=DATE(2033,1,1))*'Planning Engine'!$U$4:$U$2500),"--")</t>
  </si>
  <si>
    <t>=IFERROR(SUMPRODUCT(('Planning Engine'!$B$4:$B$2500="APG")*('Planning Engine'!$A$4:$A$2500=DATE(2033,2,1))*'Planning Engine'!$U$4:$U$2500),"--")</t>
  </si>
  <si>
    <t>=IFERROR(SUMPRODUCT(('Planning Engine'!$B$4:$B$2500="APG")*('Planning Engine'!$A$4:$A$2500=DATE(2033,3,1))*'Planning Engine'!$U$4:$U$2500),"--")</t>
  </si>
  <si>
    <t>=IFERROR(SUMPRODUCT(('Planning Engine'!$B$4:$B$2500="APG")*('Planning Engine'!$A$4:$A$2500=DATE(2033,4,1))*'Planning Engine'!$U$4:$U$2500),"--")</t>
  </si>
  <si>
    <t>=IFERROR(SUMPRODUCT(('Planning Engine'!$B$4:$B$2500="APG")*('Planning Engine'!$A$4:$A$2500=DATE(2033,5,1))*'Planning Engine'!$U$4:$U$2500),"--")</t>
  </si>
  <si>
    <t>=IFERROR(SUMPRODUCT(('Planning Engine'!$B$4:$B$2500="APG")*('Planning Engine'!$A$4:$A$2500=DATE(2033,6,1))*'Planning Engine'!$U$4:$U$2500),"--")</t>
  </si>
  <si>
    <t>=IFERROR(SUMPRODUCT(('Planning Engine'!$B$4:$B$2500="APG")*('Planning Engine'!$A$4:$A$2500=DATE(2033,7,1))*'Planning Engine'!$U$4:$U$2500),"--")</t>
  </si>
  <si>
    <t>=IFERROR(SUMPRODUCT(('Planning Engine'!$B$4:$B$2500="APG")*('Planning Engine'!$A$4:$A$2500=DATE(2033,8,1))*'Planning Engine'!$U$4:$U$2500),"--")</t>
  </si>
  <si>
    <t>=IFERROR(SUMPRODUCT(('Planning Engine'!$B$4:$B$2500="APG")*('Planning Engine'!$A$4:$A$2500=DATE(2033,9,1))*'Planning Engine'!$U$4:$U$2500),"--")</t>
  </si>
  <si>
    <t>=IFERROR(SUMPRODUCT(('Planning Engine'!$B$4:$B$2500="APG")*('Planning Engine'!$A$4:$A$2500=DATE(2033,10,1))*'Planning Engine'!$U$4:$U$2500),"--")</t>
  </si>
  <si>
    <t>=IFERROR(SUMPRODUCT(('Planning Engine'!$B$4:$B$2500="APG")*('Planning Engine'!$A$4:$A$2500=DATE(2033,11,1))*'Planning Engine'!$U$4:$U$2500),"--")</t>
  </si>
  <si>
    <t>=IFERROR(SUMPRODUCT(('Planning Engine'!$B$4:$B$2500="APG")*('Planning Engine'!$A$4:$A$2500=DATE(2033,12,1))*'Planning Engine'!$U$4:$U$2500),"--")</t>
  </si>
  <si>
    <t>=IFERROR(SUMPRODUCT(('Planning Engine'!$B$4:$B$2500="APG")*('Planning Engine'!$A$4:$A$2500=DATE(2034,1,1))*'Planning Engine'!$U$4:$U$2500),"--")</t>
  </si>
  <si>
    <t>=IFERROR(SUMPRODUCT(('Planning Engine'!$B$4:$B$2500="APG")*('Planning Engine'!$A$4:$A$2500=DATE(2034,2,1))*'Planning Engine'!$U$4:$U$2500),"--")</t>
  </si>
  <si>
    <t>=IFERROR(SUMPRODUCT(('Planning Engine'!$B$4:$B$2500="APG")*('Planning Engine'!$A$4:$A$2500=DATE(2034,3,1))*'Planning Engine'!$U$4:$U$2500),"--")</t>
  </si>
  <si>
    <t>=IFERROR(SUMPRODUCT(('Planning Engine'!$B$4:$B$2500="APG")*('Planning Engine'!$A$4:$A$2500=DATE(2034,4,1))*'Planning Engine'!$U$4:$U$2500),"--")</t>
  </si>
  <si>
    <t>=IFERROR(SUMPRODUCT(('Planning Engine'!$B$4:$B$2500="APG")*('Planning Engine'!$A$4:$A$2500=DATE(2034,5,1))*'Planning Engine'!$U$4:$U$2500),"--")</t>
  </si>
  <si>
    <t>=IFERROR(SUMPRODUCT(('Planning Engine'!$B$4:$B$2500="APG")*('Planning Engine'!$A$4:$A$2500=DATE(2034,6,1))*'Planning Engine'!$U$4:$U$2500),"--")</t>
  </si>
  <si>
    <t>=IFERROR(SUMPRODUCT(('Planning Engine'!$B$4:$B$2500="APG")*('Planning Engine'!$A$4:$A$2500=DATE(2034,7,1))*'Planning Engine'!$U$4:$U$2500),"--")</t>
  </si>
  <si>
    <t>=IFERROR(SUMPRODUCT(('Planning Engine'!$B$4:$B$2500="APG")*('Planning Engine'!$A$4:$A$2500=DATE(2034,8,1))*'Planning Engine'!$U$4:$U$2500),"--")</t>
  </si>
  <si>
    <t>=IFERROR(SUMPRODUCT(('Planning Engine'!$B$4:$B$2500="APG")*('Planning Engine'!$A$4:$A$2500=DATE(2034,9,1))*'Planning Engine'!$U$4:$U$2500),"--")</t>
  </si>
  <si>
    <t>=IFERROR(SUMPRODUCT(('Planning Engine'!$B$4:$B$2500="APG")*('Planning Engine'!$A$4:$A$2500=DATE(2034,10,1))*'Planning Engine'!$U$4:$U$2500),"--")</t>
  </si>
  <si>
    <t>=IFERROR(SUMPRODUCT(('Planning Engine'!$B$4:$B$2500="APG")*('Planning Engine'!$A$4:$A$2500=DATE(2034,11,1))*'Planning Engine'!$U$4:$U$2500),"--")</t>
  </si>
  <si>
    <t>=IFERROR(SUMPRODUCT(('Planning Engine'!$B$4:$B$2500="APG")*('Planning Engine'!$A$4:$A$2500=DATE(2034,12,1))*'Planning Engine'!$U$4:$U$2500),"--")</t>
  </si>
  <si>
    <t>=IFERROR(SUMPRODUCT(('Planning Engine'!$B$4:$B$2500="APG")*('Planning Engine'!$A$4:$A$2500=DATE(2035,1,1))*'Planning Engine'!$U$4:$U$2500),"--")</t>
  </si>
  <si>
    <t>=IFERROR(SUMPRODUCT(('Planning Engine'!$B$4:$B$2500="APG")*('Planning Engine'!$A$4:$A$2500=DATE(2035,2,1))*'Planning Engine'!$U$4:$U$2500),"--")</t>
  </si>
  <si>
    <t>=IFERROR(SUMPRODUCT(('Planning Engine'!$B$4:$B$2500="APG")*('Planning Engine'!$A$4:$A$2500=DATE(2035,3,1))*'Planning Engine'!$U$4:$U$2500),"--")</t>
  </si>
  <si>
    <t>=IFERROR(SUMPRODUCT(('Planning Engine'!$B$4:$B$2500="APG")*('Planning Engine'!$A$4:$A$2500=DATE(2035,4,1))*'Planning Engine'!$U$4:$U$2500),"--")</t>
  </si>
  <si>
    <t>=IFERROR(SUMPRODUCT(('Planning Engine'!$B$4:$B$2500="APG")*('Planning Engine'!$A$4:$A$2500=DATE(2035,5,1))*'Planning Engine'!$U$4:$U$2500),"--")</t>
  </si>
  <si>
    <t>=IFERROR(SUMPRODUCT(('Planning Engine'!$B$4:$B$2500="APG")*('Planning Engine'!$A$4:$A$2500=DATE(2035,6,1))*'Planning Engine'!$U$4:$U$2500),"--")</t>
  </si>
  <si>
    <t>=IFERROR(SUMPRODUCT(('Planning Engine'!$B$4:$B$2500="APG")*('Planning Engine'!$A$4:$A$2500=DATE(2035,7,1))*'Planning Engine'!$U$4:$U$2500),"--")</t>
  </si>
  <si>
    <t>=IFERROR(SUMPRODUCT(('Planning Engine'!$B$4:$B$2500="APG")*('Planning Engine'!$A$4:$A$2500=DATE(2035,8,1))*'Planning Engine'!$U$4:$U$2500),"--")</t>
  </si>
  <si>
    <t>=IFERROR(SUMPRODUCT(('Planning Engine'!$B$4:$B$2500="APG")*('Planning Engine'!$A$4:$A$2500=DATE(2035,9,1))*'Planning Engine'!$U$4:$U$2500),"--")</t>
  </si>
  <si>
    <t>=IFERROR(SUMPRODUCT(('Planning Engine'!$B$4:$B$2500="APG")*('Planning Engine'!$A$4:$A$2500=DATE(2035,10,1))*'Planning Engine'!$U$4:$U$2500),"--")</t>
  </si>
  <si>
    <t>=IFERROR(SUMPRODUCT(('Planning Engine'!$B$4:$B$2500="APG")*('Planning Engine'!$A$4:$A$2500=DATE(2035,11,1))*'Planning Engine'!$U$4:$U$2500),"--")</t>
  </si>
  <si>
    <t>=IFERROR(SUMPRODUCT(('Planning Engine'!$B$4:$B$2500="APG")*('Planning Engine'!$A$4:$A$2500=DATE(2035,12,1))*'Planning Engine'!$U$4:$U$2500),"--")</t>
  </si>
  <si>
    <t>=IFERROR(SUMPRODUCT(('Planning Engine'!$B$4:$B$2500="APG")*('Planning Engine'!$A$4:$A$2500=DATE(2036,1,1))*'Planning Engine'!$U$4:$U$2500),"--")</t>
  </si>
  <si>
    <t>=IFERROR(SUMPRODUCT(('Planning Engine'!$B$4:$B$2500="APG")*('Planning Engine'!$A$4:$A$2500=DATE(2036,2,1))*'Planning Engine'!$U$4:$U$2500),"--")</t>
  </si>
  <si>
    <t>=IFERROR(SUMPRODUCT(('Planning Engine'!$B$4:$B$2500="APG")*('Planning Engine'!$A$4:$A$2500=DATE(2036,3,1))*'Planning Engine'!$U$4:$U$2500),"--")</t>
  </si>
  <si>
    <t>=IFERROR(SUMPRODUCT(('Planning Engine'!$B$4:$B$2500="APG")*('Planning Engine'!$A$4:$A$2500=DATE(2036,4,1))*'Planning Engine'!$U$4:$U$2500),"--")</t>
  </si>
  <si>
    <t>=IFERROR(SUMPRODUCT(('Planning Engine'!$B$4:$B$2500="APG")*('Planning Engine'!$A$4:$A$2500=DATE(2036,5,1))*'Planning Engine'!$U$4:$U$2500),"--")</t>
  </si>
  <si>
    <t>=IFERROR(SUMPRODUCT(('Planning Engine'!$B$4:$B$2500="APG")*('Planning Engine'!$A$4:$A$2500=DATE(2036,6,1))*'Planning Engine'!$U$4:$U$2500),"--")</t>
  </si>
  <si>
    <t>=IFERROR(SUMPRODUCT(('Planning Engine'!$B$4:$B$2500="APG")*('Planning Engine'!$A$4:$A$2500=DATE(2036,7,1))*'Planning Engine'!$U$4:$U$2500),"--")</t>
  </si>
  <si>
    <t>=IFERROR(SUMPRODUCT(('Planning Engine'!$B$4:$B$2500="APG")*('Planning Engine'!$A$4:$A$2500=DATE(2036,8,1))*'Planning Engine'!$U$4:$U$2500),"--")</t>
  </si>
  <si>
    <t>=IFERROR(SUMPRODUCT(('Planning Engine'!$B$4:$B$2500="APG")*('Planning Engine'!$A$4:$A$2500=DATE(2036,9,1))*'Planning Engine'!$U$4:$U$2500),"--")</t>
  </si>
  <si>
    <t>=IFERROR(SUMPRODUCT(('Planning Engine'!$B$4:$B$2500="APG")*('Planning Engine'!$A$4:$A$2500=DATE(2036,10,1))*'Planning Engine'!$U$4:$U$2500),"--")</t>
  </si>
  <si>
    <t>=IFERROR(SUMPRODUCT(('Planning Engine'!$B$4:$B$2500="APG")*('Planning Engine'!$A$4:$A$2500=DATE(2036,11,1))*'Planning Engine'!$U$4:$U$2500),"--")</t>
  </si>
  <si>
    <t>=IFERROR(SUMPRODUCT(('Planning Engine'!$B$4:$B$2500="APG")*('Planning Engine'!$A$4:$A$2500=DATE(2036,12,1))*'Planning Engine'!$U$4:$U$2500),"--")</t>
  </si>
  <si>
    <t>=IFERROR(SUMPRODUCT(('Planning Engine'!$B$4:$B$2500="APG")*('Planning Engine'!$A$4:$A$2500=DATE(2037,1,1))*'Planning Engine'!$U$4:$U$2500),"--")</t>
  </si>
  <si>
    <t>=IFERROR(SUMPRODUCT(('Planning Engine'!$B$4:$B$2500="APG")*('Planning Engine'!$A$4:$A$2500=DATE(2037,2,1))*'Planning Engine'!$U$4:$U$2500),"--")</t>
  </si>
  <si>
    <t>=IFERROR(SUMPRODUCT(('Planning Engine'!$B$4:$B$2500="APG")*('Planning Engine'!$A$4:$A$2500=DATE(2037,3,1))*'Planning Engine'!$U$4:$U$2500),"--")</t>
  </si>
  <si>
    <t>=IFERROR(SUMPRODUCT(('Planning Engine'!$B$4:$B$2500="APG")*('Planning Engine'!$A$4:$A$2500=DATE(2037,4,1))*'Planning Engine'!$U$4:$U$2500),"--")</t>
  </si>
  <si>
    <t>=IFERROR(SUMPRODUCT(('Planning Engine'!$B$4:$B$2500="APG")*('Planning Engine'!$A$4:$A$2500=DATE(2037,5,1))*'Planning Engine'!$U$4:$U$2500),"--")</t>
  </si>
  <si>
    <t>=IFERROR(SUMPRODUCT(('Planning Engine'!$B$4:$B$2500="APG")*('Planning Engine'!$A$4:$A$2500=DATE(2037,6,1))*'Planning Engine'!$U$4:$U$2500),"--")</t>
  </si>
  <si>
    <t>=IFERROR(SUMPRODUCT(('Planning Engine'!$B$4:$B$2500="APG")*('Planning Engine'!$A$4:$A$2500=DATE(2037,7,1))*'Planning Engine'!$U$4:$U$2500),"--")</t>
  </si>
  <si>
    <t>=IFERROR(SUMPRODUCT(('Planning Engine'!$B$4:$B$2500="APG")*('Planning Engine'!$A$4:$A$2500=DATE(2037,8,1))*'Planning Engine'!$U$4:$U$2500),"--")</t>
  </si>
  <si>
    <t>=IFERROR(SUMPRODUCT(('Planning Engine'!$B$4:$B$2500="APG")*('Planning Engine'!$A$4:$A$2500=DATE(2037,9,1))*'Planning Engine'!$U$4:$U$2500),"--")</t>
  </si>
  <si>
    <t>=IFERROR(SUMPRODUCT(('Planning Engine'!$B$4:$B$2500="APG")*('Planning Engine'!$A$4:$A$2500=DATE(2037,10,1))*'Planning Engine'!$U$4:$U$2500),"--")</t>
  </si>
  <si>
    <t>=IFERROR(SUMPRODUCT(('Planning Engine'!$B$4:$B$2500="APG")*('Planning Engine'!$A$4:$A$2500=DATE(2037,11,1))*'Planning Engine'!$U$4:$U$2500),"--")</t>
  </si>
  <si>
    <t>=IFERROR(SUMPRODUCT(('Planning Engine'!$B$4:$B$2500="APG")*('Planning Engine'!$A$4:$A$2500=DATE(2037,12,1))*'Planning Engine'!$U$4:$U$2500),"--")</t>
  </si>
  <si>
    <t>=IFERROR(SUMPRODUCT(('Planning Engine'!$B$4:$B$2500="APG")*('Planning Engine'!$A$4:$A$2500=DATE(2038,1,1))*'Planning Engine'!$U$4:$U$2500),"--")</t>
  </si>
  <si>
    <t>=IFERROR(SUMPRODUCT(('Planning Engine'!$B$4:$B$2500="APG")*('Planning Engine'!$A$4:$A$2500=DATE(2038,2,1))*'Planning Engine'!$U$4:$U$2500),"--")</t>
  </si>
  <si>
    <t>=IFERROR(SUMPRODUCT(('Planning Engine'!$B$4:$B$2500="APG")*('Planning Engine'!$A$4:$A$2500=DATE(2038,3,1))*'Planning Engine'!$U$4:$U$2500),"--")</t>
  </si>
  <si>
    <t>=IFERROR(SUMPRODUCT(('Planning Engine'!$B$4:$B$2500="APG")*('Planning Engine'!$A$4:$A$2500=DATE(2038,4,1))*'Planning Engine'!$U$4:$U$2500),"--")</t>
  </si>
  <si>
    <t>=IFERROR(SUMPRODUCT(('Planning Engine'!$B$4:$B$2500="APG")*('Planning Engine'!$A$4:$A$2500=DATE(2038,5,1))*'Planning Engine'!$U$4:$U$2500),"--")</t>
  </si>
  <si>
    <t>=IFERROR(SUMPRODUCT(('Planning Engine'!$B$4:$B$2500="APG")*('Planning Engine'!$A$4:$A$2500=DATE(2038,6,1))*'Planning Engine'!$U$4:$U$2500),"--")</t>
  </si>
  <si>
    <t>=IFERROR(SUMPRODUCT(('Planning Engine'!$B$4:$B$2500="APG")*('Planning Engine'!$A$4:$A$2500=DATE(2038,7,1))*'Planning Engine'!$U$4:$U$2500),"--")</t>
  </si>
  <si>
    <t>=IFERROR(SUMPRODUCT(('Planning Engine'!$B$4:$B$2500="APG")*('Planning Engine'!$A$4:$A$2500=DATE(2038,8,1))*'Planning Engine'!$U$4:$U$2500),"--")</t>
  </si>
  <si>
    <t>=IFERROR(SUMPRODUCT(('Planning Engine'!$B$4:$B$2500="APG")*('Planning Engine'!$A$4:$A$2500=DATE(2038,9,1))*'Planning Engine'!$U$4:$U$2500),"--")</t>
  </si>
  <si>
    <t>=IFERROR(SUMPRODUCT(('Planning Engine'!$B$4:$B$2500="APG")*('Planning Engine'!$A$4:$A$2500=DATE(2038,10,1))*'Planning Engine'!$U$4:$U$2500),"--")</t>
  </si>
  <si>
    <t>=IFERROR(SUMPRODUCT(('Planning Engine'!$B$4:$B$2500="APG")*('Planning Engine'!$A$4:$A$2500=DATE(2038,11,1))*'Planning Engine'!$U$4:$U$2500),"--")</t>
  </si>
  <si>
    <t>=IFERROR(SUMPRODUCT(('Planning Engine'!$B$4:$B$2500="APG")*('Planning Engine'!$A$4:$A$2500=DATE(2038,12,1))*'Planning Engine'!$U$4:$U$2500),"--")</t>
  </si>
  <si>
    <t>=IFERROR(SUMPRODUCT(('Planning Engine'!$B$4:$B$2500="APG")*('Planning Engine'!$A$4:$A$2500=DATE(2039,1,1))*'Planning Engine'!$U$4:$U$2500),"--")</t>
  </si>
  <si>
    <t>=IFERROR(SUMPRODUCT(('Planning Engine'!$B$4:$B$2500="APG")*('Planning Engine'!$A$4:$A$2500=DATE(2039,2,1))*'Planning Engine'!$U$4:$U$2500),"--")</t>
  </si>
  <si>
    <t>=IFERROR(SUMPRODUCT(('Planning Engine'!$B$4:$B$2500="APG")*('Planning Engine'!$A$4:$A$2500=DATE(2039,3,1))*'Planning Engine'!$U$4:$U$2500),"--")</t>
  </si>
  <si>
    <t>=IFERROR(SUMPRODUCT(('Planning Engine'!$B$4:$B$2500="APG")*('Planning Engine'!$A$4:$A$2500=DATE(2039,4,1))*'Planning Engine'!$U$4:$U$2500),"--")</t>
  </si>
  <si>
    <t>=IFERROR(SUMPRODUCT(('Planning Engine'!$B$4:$B$2500="APG")*('Planning Engine'!$A$4:$A$2500=DATE(2039,5,1))*'Planning Engine'!$U$4:$U$2500),"--")</t>
  </si>
  <si>
    <t>=IFERROR(SUMPRODUCT(('Planning Engine'!$B$4:$B$2500="APG")*('Planning Engine'!$A$4:$A$2500=DATE(2039,6,1))*'Planning Engine'!$U$4:$U$2500),"--")</t>
  </si>
  <si>
    <t>=IFERROR(SUMPRODUCT(('Planning Engine'!$B$4:$B$2500="APG")*('Planning Engine'!$A$4:$A$2500=DATE(2039,7,1))*'Planning Engine'!$U$4:$U$2500),"--")</t>
  </si>
  <si>
    <t>=IFERROR(SUMPRODUCT(('Planning Engine'!$B$4:$B$2500="APG")*('Planning Engine'!$A$4:$A$2500=DATE(2039,8,1))*'Planning Engine'!$U$4:$U$2500),"--")</t>
  </si>
  <si>
    <t>=IFERROR(SUMPRODUCT(('Planning Engine'!$B$4:$B$2500="APG")*('Planning Engine'!$A$4:$A$2500=DATE(2039,9,1))*'Planning Engine'!$U$4:$U$2500),"--")</t>
  </si>
  <si>
    <t>=IFERROR(SUMPRODUCT(('Planning Engine'!$B$4:$B$2500="APG")*('Planning Engine'!$A$4:$A$2500=DATE(2039,10,1))*'Planning Engine'!$U$4:$U$2500),"--")</t>
  </si>
  <si>
    <t>=IFERROR(SUMPRODUCT(('Planning Engine'!$B$4:$B$2500="APG")*('Planning Engine'!$A$4:$A$2500=DATE(2039,11,1))*'Planning Engine'!$U$4:$U$2500),"--")</t>
  </si>
  <si>
    <t>=IFERROR(SUMPRODUCT(('Planning Engine'!$B$4:$B$2500="APG")*('Planning Engine'!$A$4:$A$2500=DATE(2039,12,1))*'Planning Engine'!$U$4:$U$2500),"--")</t>
  </si>
  <si>
    <t>=IFERROR(SUMPRODUCT(('Planning Engine'!$B$4:$B$2500="APG")*('Planning Engine'!$A$4:$A$2500=DATE(2040,1,1))*'Planning Engine'!$U$4:$U$2500),"--")</t>
  </si>
  <si>
    <t>=IFERROR(SUMPRODUCT(('Planning Engine'!$B$4:$B$2500="APG")*('Planning Engine'!$A$4:$A$2500=DATE(2040,2,1))*'Planning Engine'!$U$4:$U$2500),"--")</t>
  </si>
  <si>
    <t>=IFERROR(SUMPRODUCT(('Planning Engine'!$B$4:$B$2500="APG")*('Planning Engine'!$A$4:$A$2500=DATE(2040,3,1))*'Planning Engine'!$U$4:$U$2500),"--")</t>
  </si>
  <si>
    <t>=IFERROR(SUMPRODUCT(('Planning Engine'!$B$4:$B$2500="APG")*('Planning Engine'!$A$4:$A$2500=DATE(2040,4,1))*'Planning Engine'!$U$4:$U$2500),"--")</t>
  </si>
  <si>
    <t>=IFERROR(SUMPRODUCT(('Planning Engine'!$B$4:$B$2500="APG")*('Planning Engine'!$A$4:$A$2500=DATE(2040,5,1))*'Planning Engine'!$U$4:$U$2500),"--")</t>
  </si>
  <si>
    <t>=IFERROR(SUMPRODUCT(('Planning Engine'!$B$4:$B$2500="APG")*('Planning Engine'!$A$4:$A$2500=DATE(2040,6,1))*'Planning Engine'!$U$4:$U$2500),"--")</t>
  </si>
  <si>
    <t>=IFERROR(SUMPRODUCT(('Planning Engine'!$B$4:$B$2500="APG")*('Planning Engine'!$A$4:$A$2500=DATE(2040,7,1))*'Planning Engine'!$U$4:$U$2500),"--")</t>
  </si>
  <si>
    <t>=IFERROR(SUMPRODUCT(('Planning Engine'!$B$4:$B$2500="APG")*('Planning Engine'!$A$4:$A$2500=DATE(2040,8,1))*'Planning Engine'!$U$4:$U$2500),"--")</t>
  </si>
  <si>
    <t>=IFERROR(SUMPRODUCT(('Planning Engine'!$B$4:$B$2500="APG")*('Planning Engine'!$A$4:$A$2500=DATE(2040,9,1))*'Planning Engine'!$U$4:$U$2500),"--")</t>
  </si>
  <si>
    <t>=IFERROR(SUMPRODUCT(('Planning Engine'!$B$4:$B$2500="APG")*('Planning Engine'!$A$4:$A$2500=DATE(2040,10,1))*'Planning Engine'!$U$4:$U$2500),"--")</t>
  </si>
  <si>
    <t>=IFERROR(SUMPRODUCT(('Planning Engine'!$B$4:$B$2500="APG")*('Planning Engine'!$A$4:$A$2500=DATE(2040,11,1))*'Planning Engine'!$U$4:$U$2500),"--")</t>
  </si>
  <si>
    <t>=IFERROR(SUMPRODUCT(('Planning Engine'!$B$4:$B$2500="APG")*('Planning Engine'!$A$4:$A$2500=DATE(2040,12,1))*'Planning Engine'!$U$4:$U$2500),"--")</t>
  </si>
  <si>
    <t>=IFERROR(SUMPRODUCT(('Planning Engine'!$B$4:$B$2500="APT")*('Planning Engine'!$A$4:$A$2500=DATE(2026,2,1))*'Planning Engine'!$U$4:$U$2500),"--")</t>
  </si>
  <si>
    <t>=IFERROR(SUMPRODUCT(('Planning Engine'!$B$4:$B$2500="APT")*('Planning Engine'!$A$4:$A$2500=DATE(2026,3,1))*'Planning Engine'!$U$4:$U$2500),"--")</t>
  </si>
  <si>
    <t>=IFERROR(SUMPRODUCT(('Planning Engine'!$B$4:$B$2500="APT")*('Planning Engine'!$A$4:$A$2500=DATE(2026,4,1))*'Planning Engine'!$U$4:$U$2500),"--")</t>
  </si>
  <si>
    <t>=IFERROR(SUMPRODUCT(('Planning Engine'!$B$4:$B$2500="APT")*('Planning Engine'!$A$4:$A$2500=DATE(2026,5,1))*'Planning Engine'!$U$4:$U$2500),"--")</t>
  </si>
  <si>
    <t>=IFERROR(SUMPRODUCT(('Planning Engine'!$B$4:$B$2500="APT")*('Planning Engine'!$A$4:$A$2500=DATE(2026,6,1))*'Planning Engine'!$U$4:$U$2500),"--")</t>
  </si>
  <si>
    <t>=IFERROR(SUMPRODUCT(('Planning Engine'!$B$4:$B$2500="APT")*('Planning Engine'!$A$4:$A$2500=DATE(2026,7,1))*'Planning Engine'!$U$4:$U$2500),"--")</t>
  </si>
  <si>
    <t>=IFERROR(SUMPRODUCT(('Planning Engine'!$B$4:$B$2500="APT")*('Planning Engine'!$A$4:$A$2500=DATE(2026,8,1))*'Planning Engine'!$U$4:$U$2500),"--")</t>
  </si>
  <si>
    <t>=IFERROR(SUMPRODUCT(('Planning Engine'!$B$4:$B$2500="APT")*('Planning Engine'!$A$4:$A$2500=DATE(2026,9,1))*'Planning Engine'!$U$4:$U$2500),"--")</t>
  </si>
  <si>
    <t>=IFERROR(SUMPRODUCT(('Planning Engine'!$B$4:$B$2500="APT")*('Planning Engine'!$A$4:$A$2500=DATE(2026,10,1))*'Planning Engine'!$U$4:$U$2500),"--")</t>
  </si>
  <si>
    <t>=IFERROR(SUMPRODUCT(('Planning Engine'!$B$4:$B$2500="APT")*('Planning Engine'!$A$4:$A$2500=DATE(2026,11,1))*'Planning Engine'!$U$4:$U$2500),"--")</t>
  </si>
  <si>
    <t>=IFERROR(SUMPRODUCT(('Planning Engine'!$B$4:$B$2500="APT")*('Planning Engine'!$A$4:$A$2500=DATE(2026,12,1))*'Planning Engine'!$U$4:$U$2500),"--")</t>
  </si>
  <si>
    <t>=IFERROR(SUMPRODUCT(('Planning Engine'!$B$4:$B$2500="APT")*('Planning Engine'!$A$4:$A$2500=DATE(2027,1,1))*'Planning Engine'!$U$4:$U$2500),"--")</t>
  </si>
  <si>
    <t>=IFERROR(SUMPRODUCT(('Planning Engine'!$B$4:$B$2500="APT")*('Planning Engine'!$A$4:$A$2500=DATE(2027,2,1))*'Planning Engine'!$U$4:$U$2500),"--")</t>
  </si>
  <si>
    <t>=IFERROR(SUMPRODUCT(('Planning Engine'!$B$4:$B$2500="APT")*('Planning Engine'!$A$4:$A$2500=DATE(2027,3,1))*'Planning Engine'!$U$4:$U$2500),"--")</t>
  </si>
  <si>
    <t>=IFERROR(SUMPRODUCT(('Planning Engine'!$B$4:$B$2500="APT")*('Planning Engine'!$A$4:$A$2500=DATE(2027,4,1))*'Planning Engine'!$U$4:$U$2500),"--")</t>
  </si>
  <si>
    <t>=IFERROR(SUMPRODUCT(('Planning Engine'!$B$4:$B$2500="APT")*('Planning Engine'!$A$4:$A$2500=DATE(2027,5,1))*'Planning Engine'!$U$4:$U$2500),"--")</t>
  </si>
  <si>
    <t>=IFERROR(SUMPRODUCT(('Planning Engine'!$B$4:$B$2500="APT")*('Planning Engine'!$A$4:$A$2500=DATE(2027,6,1))*'Planning Engine'!$U$4:$U$2500),"--")</t>
  </si>
  <si>
    <t>=IFERROR(SUMPRODUCT(('Planning Engine'!$B$4:$B$2500="APT")*('Planning Engine'!$A$4:$A$2500=DATE(2027,7,1))*'Planning Engine'!$U$4:$U$2500),"--")</t>
  </si>
  <si>
    <t>=IFERROR(SUMPRODUCT(('Planning Engine'!$B$4:$B$2500="APT")*('Planning Engine'!$A$4:$A$2500=DATE(2027,8,1))*'Planning Engine'!$U$4:$U$2500),"--")</t>
  </si>
  <si>
    <t>=IFERROR(SUMPRODUCT(('Planning Engine'!$B$4:$B$2500="APT")*('Planning Engine'!$A$4:$A$2500=DATE(2027,9,1))*'Planning Engine'!$U$4:$U$2500),"--")</t>
  </si>
  <si>
    <t>=IFERROR(SUMPRODUCT(('Planning Engine'!$B$4:$B$2500="APT")*('Planning Engine'!$A$4:$A$2500=DATE(2027,10,1))*'Planning Engine'!$U$4:$U$2500),"--")</t>
  </si>
  <si>
    <t>=IFERROR(SUMPRODUCT(('Planning Engine'!$B$4:$B$2500="APT")*('Planning Engine'!$A$4:$A$2500=DATE(2027,11,1))*'Planning Engine'!$U$4:$U$2500),"--")</t>
  </si>
  <si>
    <t>=IFERROR(SUMPRODUCT(('Planning Engine'!$B$4:$B$2500="APT")*('Planning Engine'!$A$4:$A$2500=DATE(2027,12,1))*'Planning Engine'!$U$4:$U$2500),"--")</t>
  </si>
  <si>
    <t>=IFERROR(SUMPRODUCT(('Planning Engine'!$B$4:$B$2500="APT")*('Planning Engine'!$A$4:$A$2500=DATE(2028,1,1))*'Planning Engine'!$U$4:$U$2500),"--")</t>
  </si>
  <si>
    <t>=IFERROR(SUMPRODUCT(('Planning Engine'!$B$4:$B$2500="APT")*('Planning Engine'!$A$4:$A$2500=DATE(2028,2,1))*'Planning Engine'!$U$4:$U$2500),"--")</t>
  </si>
  <si>
    <t>=IFERROR(SUMPRODUCT(('Planning Engine'!$B$4:$B$2500="APT")*('Planning Engine'!$A$4:$A$2500=DATE(2028,3,1))*'Planning Engine'!$U$4:$U$2500),"--")</t>
  </si>
  <si>
    <t>=IFERROR(SUMPRODUCT(('Planning Engine'!$B$4:$B$2500="APT")*('Planning Engine'!$A$4:$A$2500=DATE(2028,4,1))*'Planning Engine'!$U$4:$U$2500),"--")</t>
  </si>
  <si>
    <t>=IFERROR(SUMPRODUCT(('Planning Engine'!$B$4:$B$2500="APT")*('Planning Engine'!$A$4:$A$2500=DATE(2028,5,1))*'Planning Engine'!$U$4:$U$2500),"--")</t>
  </si>
  <si>
    <t>=IFERROR(SUMPRODUCT(('Planning Engine'!$B$4:$B$2500="APT")*('Planning Engine'!$A$4:$A$2500=DATE(2028,6,1))*'Planning Engine'!$U$4:$U$2500),"--")</t>
  </si>
  <si>
    <t>=IFERROR(SUMPRODUCT(('Planning Engine'!$B$4:$B$2500="APT")*('Planning Engine'!$A$4:$A$2500=DATE(2028,7,1))*'Planning Engine'!$U$4:$U$2500),"--")</t>
  </si>
  <si>
    <t>=IFERROR(SUMPRODUCT(('Planning Engine'!$B$4:$B$2500="APT")*('Planning Engine'!$A$4:$A$2500=DATE(2028,8,1))*'Planning Engine'!$U$4:$U$2500),"--")</t>
  </si>
  <si>
    <t>=IFERROR(SUMPRODUCT(('Planning Engine'!$B$4:$B$2500="APT")*('Planning Engine'!$A$4:$A$2500=DATE(2028,9,1))*'Planning Engine'!$U$4:$U$2500),"--")</t>
  </si>
  <si>
    <t>=IFERROR(SUMPRODUCT(('Planning Engine'!$B$4:$B$2500="APT")*('Planning Engine'!$A$4:$A$2500=DATE(2028,10,1))*'Planning Engine'!$U$4:$U$2500),"--")</t>
  </si>
  <si>
    <t>=IFERROR(SUMPRODUCT(('Planning Engine'!$B$4:$B$2500="APT")*('Planning Engine'!$A$4:$A$2500=DATE(2028,11,1))*'Planning Engine'!$U$4:$U$2500),"--")</t>
  </si>
  <si>
    <t>=IFERROR(SUMPRODUCT(('Planning Engine'!$B$4:$B$2500="APT")*('Planning Engine'!$A$4:$A$2500=DATE(2028,12,1))*'Planning Engine'!$U$4:$U$2500),"--")</t>
  </si>
  <si>
    <t>=IFERROR(SUMPRODUCT(('Planning Engine'!$B$4:$B$2500="APT")*('Planning Engine'!$A$4:$A$2500=DATE(2029,1,1))*'Planning Engine'!$U$4:$U$2500),"--")</t>
  </si>
  <si>
    <t>=IFERROR(SUMPRODUCT(('Planning Engine'!$B$4:$B$2500="APT")*('Planning Engine'!$A$4:$A$2500=DATE(2029,2,1))*'Planning Engine'!$U$4:$U$2500),"--")</t>
  </si>
  <si>
    <t>=IFERROR(SUMPRODUCT(('Planning Engine'!$B$4:$B$2500="APT")*('Planning Engine'!$A$4:$A$2500=DATE(2029,3,1))*'Planning Engine'!$U$4:$U$2500),"--")</t>
  </si>
  <si>
    <t>=IFERROR(SUMPRODUCT(('Planning Engine'!$B$4:$B$2500="APT")*('Planning Engine'!$A$4:$A$2500=DATE(2029,4,1))*'Planning Engine'!$U$4:$U$2500),"--")</t>
  </si>
  <si>
    <t>=IFERROR(SUMPRODUCT(('Planning Engine'!$B$4:$B$2500="APT")*('Planning Engine'!$A$4:$A$2500=DATE(2029,5,1))*'Planning Engine'!$U$4:$U$2500),"--")</t>
  </si>
  <si>
    <t>=IFERROR(SUMPRODUCT(('Planning Engine'!$B$4:$B$2500="APT")*('Planning Engine'!$A$4:$A$2500=DATE(2029,6,1))*'Planning Engine'!$U$4:$U$2500),"--")</t>
  </si>
  <si>
    <t>=IFERROR(SUMPRODUCT(('Planning Engine'!$B$4:$B$2500="APT")*('Planning Engine'!$A$4:$A$2500=DATE(2029,7,1))*'Planning Engine'!$U$4:$U$2500),"--")</t>
  </si>
  <si>
    <t>=IFERROR(SUMPRODUCT(('Planning Engine'!$B$4:$B$2500="APT")*('Planning Engine'!$A$4:$A$2500=DATE(2029,8,1))*'Planning Engine'!$U$4:$U$2500),"--")</t>
  </si>
  <si>
    <t>=IFERROR(SUMPRODUCT(('Planning Engine'!$B$4:$B$2500="APT")*('Planning Engine'!$A$4:$A$2500=DATE(2029,9,1))*'Planning Engine'!$U$4:$U$2500),"--")</t>
  </si>
  <si>
    <t>=IFERROR(SUMPRODUCT(('Planning Engine'!$B$4:$B$2500="APT")*('Planning Engine'!$A$4:$A$2500=DATE(2029,10,1))*'Planning Engine'!$U$4:$U$2500),"--")</t>
  </si>
  <si>
    <t>=IFERROR(SUMPRODUCT(('Planning Engine'!$B$4:$B$2500="APT")*('Planning Engine'!$A$4:$A$2500=DATE(2029,11,1))*'Planning Engine'!$U$4:$U$2500),"--")</t>
  </si>
  <si>
    <t>=IFERROR(SUMPRODUCT(('Planning Engine'!$B$4:$B$2500="APT")*('Planning Engine'!$A$4:$A$2500=DATE(2029,12,1))*'Planning Engine'!$U$4:$U$2500),"--")</t>
  </si>
  <si>
    <t>=IFERROR(SUMPRODUCT(('Planning Engine'!$B$4:$B$2500="APT")*('Planning Engine'!$A$4:$A$2500=DATE(2030,1,1))*'Planning Engine'!$U$4:$U$2500),"--")</t>
  </si>
  <si>
    <t>=IFERROR(SUMPRODUCT(('Planning Engine'!$B$4:$B$2500="APT")*('Planning Engine'!$A$4:$A$2500=DATE(2030,2,1))*'Planning Engine'!$U$4:$U$2500),"--")</t>
  </si>
  <si>
    <t>=IFERROR(SUMPRODUCT(('Planning Engine'!$B$4:$B$2500="APT")*('Planning Engine'!$A$4:$A$2500=DATE(2030,3,1))*'Planning Engine'!$U$4:$U$2500),"--")</t>
  </si>
  <si>
    <t>=IFERROR(SUMPRODUCT(('Planning Engine'!$B$4:$B$2500="APT")*('Planning Engine'!$A$4:$A$2500=DATE(2030,4,1))*'Planning Engine'!$U$4:$U$2500),"--")</t>
  </si>
  <si>
    <t>=IFERROR(SUMPRODUCT(('Planning Engine'!$B$4:$B$2500="APT")*('Planning Engine'!$A$4:$A$2500=DATE(2030,5,1))*'Planning Engine'!$U$4:$U$2500),"--")</t>
  </si>
  <si>
    <t>=IFERROR(SUMPRODUCT(('Planning Engine'!$B$4:$B$2500="APT")*('Planning Engine'!$A$4:$A$2500=DATE(2030,6,1))*'Planning Engine'!$U$4:$U$2500),"--")</t>
  </si>
  <si>
    <t>=IFERROR(SUMPRODUCT(('Planning Engine'!$B$4:$B$2500="APT")*('Planning Engine'!$A$4:$A$2500=DATE(2030,7,1))*'Planning Engine'!$U$4:$U$2500),"--")</t>
  </si>
  <si>
    <t>=IFERROR(SUMPRODUCT(('Planning Engine'!$B$4:$B$2500="APT")*('Planning Engine'!$A$4:$A$2500=DATE(2030,8,1))*'Planning Engine'!$U$4:$U$2500),"--")</t>
  </si>
  <si>
    <t>=IFERROR(SUMPRODUCT(('Planning Engine'!$B$4:$B$2500="APT")*('Planning Engine'!$A$4:$A$2500=DATE(2030,9,1))*'Planning Engine'!$U$4:$U$2500),"--")</t>
  </si>
  <si>
    <t>=IFERROR(SUMPRODUCT(('Planning Engine'!$B$4:$B$2500="APT")*('Planning Engine'!$A$4:$A$2500=DATE(2030,10,1))*'Planning Engine'!$U$4:$U$2500),"--")</t>
  </si>
  <si>
    <t>=IFERROR(SUMPRODUCT(('Planning Engine'!$B$4:$B$2500="APT")*('Planning Engine'!$A$4:$A$2500=DATE(2030,11,1))*'Planning Engine'!$U$4:$U$2500),"--")</t>
  </si>
  <si>
    <t>=IFERROR(SUMPRODUCT(('Planning Engine'!$B$4:$B$2500="APT")*('Planning Engine'!$A$4:$A$2500=DATE(2030,12,1))*'Planning Engine'!$U$4:$U$2500),"--")</t>
  </si>
  <si>
    <t>=IFERROR(SUMPRODUCT(('Planning Engine'!$B$4:$B$2500="APT")*('Planning Engine'!$A$4:$A$2500=DATE(2031,1,1))*'Planning Engine'!$U$4:$U$2500),"--")</t>
  </si>
  <si>
    <t>=IFERROR(SUMPRODUCT(('Planning Engine'!$B$4:$B$2500="APT")*('Planning Engine'!$A$4:$A$2500=DATE(2031,2,1))*'Planning Engine'!$U$4:$U$2500),"--")</t>
  </si>
  <si>
    <t>=IFERROR(SUMPRODUCT(('Planning Engine'!$B$4:$B$2500="APT")*('Planning Engine'!$A$4:$A$2500=DATE(2031,3,1))*'Planning Engine'!$U$4:$U$2500),"--")</t>
  </si>
  <si>
    <t>=IFERROR(SUMPRODUCT(('Planning Engine'!$B$4:$B$2500="APT")*('Planning Engine'!$A$4:$A$2500=DATE(2031,4,1))*'Planning Engine'!$U$4:$U$2500),"--")</t>
  </si>
  <si>
    <t>=IFERROR(SUMPRODUCT(('Planning Engine'!$B$4:$B$2500="APT")*('Planning Engine'!$A$4:$A$2500=DATE(2031,5,1))*'Planning Engine'!$U$4:$U$2500),"--")</t>
  </si>
  <si>
    <t>=IFERROR(SUMPRODUCT(('Planning Engine'!$B$4:$B$2500="APT")*('Planning Engine'!$A$4:$A$2500=DATE(2031,6,1))*'Planning Engine'!$U$4:$U$2500),"--")</t>
  </si>
  <si>
    <t>=IFERROR(SUMPRODUCT(('Planning Engine'!$B$4:$B$2500="APT")*('Planning Engine'!$A$4:$A$2500=DATE(2031,7,1))*'Planning Engine'!$U$4:$U$2500),"--")</t>
  </si>
  <si>
    <t>=IFERROR(SUMPRODUCT(('Planning Engine'!$B$4:$B$2500="APT")*('Planning Engine'!$A$4:$A$2500=DATE(2031,8,1))*'Planning Engine'!$U$4:$U$2500),"--")</t>
  </si>
  <si>
    <t>=IFERROR(SUMPRODUCT(('Planning Engine'!$B$4:$B$2500="APT")*('Planning Engine'!$A$4:$A$2500=DATE(2031,9,1))*'Planning Engine'!$U$4:$U$2500),"--")</t>
  </si>
  <si>
    <t>=IFERROR(SUMPRODUCT(('Planning Engine'!$B$4:$B$2500="APT")*('Planning Engine'!$A$4:$A$2500=DATE(2031,10,1))*'Planning Engine'!$U$4:$U$2500),"--")</t>
  </si>
  <si>
    <t>=IFERROR(SUMPRODUCT(('Planning Engine'!$B$4:$B$2500="APT")*('Planning Engine'!$A$4:$A$2500=DATE(2031,11,1))*'Planning Engine'!$U$4:$U$2500),"--")</t>
  </si>
  <si>
    <t>=IFERROR(SUMPRODUCT(('Planning Engine'!$B$4:$B$2500="APT")*('Planning Engine'!$A$4:$A$2500=DATE(2031,12,1))*'Planning Engine'!$U$4:$U$2500),"--")</t>
  </si>
  <si>
    <t>=IFERROR(SUMPRODUCT(('Planning Engine'!$B$4:$B$2500="APT")*('Planning Engine'!$A$4:$A$2500=DATE(2032,1,1))*'Planning Engine'!$U$4:$U$2500),"--")</t>
  </si>
  <si>
    <t>=IFERROR(SUMPRODUCT(('Planning Engine'!$B$4:$B$2500="APT")*('Planning Engine'!$A$4:$A$2500=DATE(2032,2,1))*'Planning Engine'!$U$4:$U$2500),"--")</t>
  </si>
  <si>
    <t>=IFERROR(SUMPRODUCT(('Planning Engine'!$B$4:$B$2500="APT")*('Planning Engine'!$A$4:$A$2500=DATE(2032,3,1))*'Planning Engine'!$U$4:$U$2500),"--")</t>
  </si>
  <si>
    <t>=IFERROR(SUMPRODUCT(('Planning Engine'!$B$4:$B$2500="APT")*('Planning Engine'!$A$4:$A$2500=DATE(2032,4,1))*'Planning Engine'!$U$4:$U$2500),"--")</t>
  </si>
  <si>
    <t>=IFERROR(SUMPRODUCT(('Planning Engine'!$B$4:$B$2500="APT")*('Planning Engine'!$A$4:$A$2500=DATE(2032,5,1))*'Planning Engine'!$U$4:$U$2500),"--")</t>
  </si>
  <si>
    <t>=IFERROR(SUMPRODUCT(('Planning Engine'!$B$4:$B$2500="APT")*('Planning Engine'!$A$4:$A$2500=DATE(2032,6,1))*'Planning Engine'!$U$4:$U$2500),"--")</t>
  </si>
  <si>
    <t>=IFERROR(SUMPRODUCT(('Planning Engine'!$B$4:$B$2500="APT")*('Planning Engine'!$A$4:$A$2500=DATE(2032,7,1))*'Planning Engine'!$U$4:$U$2500),"--")</t>
  </si>
  <si>
    <t>=IFERROR(SUMPRODUCT(('Planning Engine'!$B$4:$B$2500="APT")*('Planning Engine'!$A$4:$A$2500=DATE(2032,8,1))*'Planning Engine'!$U$4:$U$2500),"--")</t>
  </si>
  <si>
    <t>=IFERROR(SUMPRODUCT(('Planning Engine'!$B$4:$B$2500="APT")*('Planning Engine'!$A$4:$A$2500=DATE(2032,9,1))*'Planning Engine'!$U$4:$U$2500),"--")</t>
  </si>
  <si>
    <t>=IFERROR(SUMPRODUCT(('Planning Engine'!$B$4:$B$2500="APT")*('Planning Engine'!$A$4:$A$2500=DATE(2032,10,1))*'Planning Engine'!$U$4:$U$2500),"--")</t>
  </si>
  <si>
    <t>=IFERROR(SUMPRODUCT(('Planning Engine'!$B$4:$B$2500="APT")*('Planning Engine'!$A$4:$A$2500=DATE(2032,11,1))*'Planning Engine'!$U$4:$U$2500),"--")</t>
  </si>
  <si>
    <t>=IFERROR(SUMPRODUCT(('Planning Engine'!$B$4:$B$2500="APT")*('Planning Engine'!$A$4:$A$2500=DATE(2032,12,1))*'Planning Engine'!$U$4:$U$2500),"--")</t>
  </si>
  <si>
    <t>=IFERROR(SUMPRODUCT(('Planning Engine'!$B$4:$B$2500="APT")*('Planning Engine'!$A$4:$A$2500=DATE(2033,1,1))*'Planning Engine'!$U$4:$U$2500),"--")</t>
  </si>
  <si>
    <t>=IFERROR(SUMPRODUCT(('Planning Engine'!$B$4:$B$2500="APT")*('Planning Engine'!$A$4:$A$2500=DATE(2033,2,1))*'Planning Engine'!$U$4:$U$2500),"--")</t>
  </si>
  <si>
    <t>=IFERROR(SUMPRODUCT(('Planning Engine'!$B$4:$B$2500="APT")*('Planning Engine'!$A$4:$A$2500=DATE(2033,3,1))*'Planning Engine'!$U$4:$U$2500),"--")</t>
  </si>
  <si>
    <t>=IFERROR(SUMPRODUCT(('Planning Engine'!$B$4:$B$2500="APT")*('Planning Engine'!$A$4:$A$2500=DATE(2033,4,1))*'Planning Engine'!$U$4:$U$2500),"--")</t>
  </si>
  <si>
    <t>=IFERROR(SUMPRODUCT(('Planning Engine'!$B$4:$B$2500="APT")*('Planning Engine'!$A$4:$A$2500=DATE(2033,5,1))*'Planning Engine'!$U$4:$U$2500),"--")</t>
  </si>
  <si>
    <t>=IFERROR(SUMPRODUCT(('Planning Engine'!$B$4:$B$2500="APT")*('Planning Engine'!$A$4:$A$2500=DATE(2033,6,1))*'Planning Engine'!$U$4:$U$2500),"--")</t>
  </si>
  <si>
    <t>=IFERROR(SUMPRODUCT(('Planning Engine'!$B$4:$B$2500="APT")*('Planning Engine'!$A$4:$A$2500=DATE(2033,7,1))*'Planning Engine'!$U$4:$U$2500),"--")</t>
  </si>
  <si>
    <t>=IFERROR(SUMPRODUCT(('Planning Engine'!$B$4:$B$2500="APT")*('Planning Engine'!$A$4:$A$2500=DATE(2033,8,1))*'Planning Engine'!$U$4:$U$2500),"--")</t>
  </si>
  <si>
    <t>=IFERROR(SUMPRODUCT(('Planning Engine'!$B$4:$B$2500="APT")*('Planning Engine'!$A$4:$A$2500=DATE(2033,9,1))*'Planning Engine'!$U$4:$U$2500),"--")</t>
  </si>
  <si>
    <t>=IFERROR(SUMPRODUCT(('Planning Engine'!$B$4:$B$2500="APT")*('Planning Engine'!$A$4:$A$2500=DATE(2033,10,1))*'Planning Engine'!$U$4:$U$2500),"--")</t>
  </si>
  <si>
    <t>=IFERROR(SUMPRODUCT(('Planning Engine'!$B$4:$B$2500="APT")*('Planning Engine'!$A$4:$A$2500=DATE(2033,11,1))*'Planning Engine'!$U$4:$U$2500),"--")</t>
  </si>
  <si>
    <t>=IFERROR(SUMPRODUCT(('Planning Engine'!$B$4:$B$2500="APT")*('Planning Engine'!$A$4:$A$2500=DATE(2033,12,1))*'Planning Engine'!$U$4:$U$2500),"--")</t>
  </si>
  <si>
    <t>=IFERROR(SUMPRODUCT(('Planning Engine'!$B$4:$B$2500="APT")*('Planning Engine'!$A$4:$A$2500=DATE(2034,1,1))*'Planning Engine'!$U$4:$U$2500),"--")</t>
  </si>
  <si>
    <t>=IFERROR(SUMPRODUCT(('Planning Engine'!$B$4:$B$2500="APT")*('Planning Engine'!$A$4:$A$2500=DATE(2034,2,1))*'Planning Engine'!$U$4:$U$2500),"--")</t>
  </si>
  <si>
    <t>=IFERROR(SUMPRODUCT(('Planning Engine'!$B$4:$B$2500="APT")*('Planning Engine'!$A$4:$A$2500=DATE(2034,3,1))*'Planning Engine'!$U$4:$U$2500),"--")</t>
  </si>
  <si>
    <t>=IFERROR(SUMPRODUCT(('Planning Engine'!$B$4:$B$2500="APT")*('Planning Engine'!$A$4:$A$2500=DATE(2034,4,1))*'Planning Engine'!$U$4:$U$2500),"--")</t>
  </si>
  <si>
    <t>=IFERROR(SUMPRODUCT(('Planning Engine'!$B$4:$B$2500="APT")*('Planning Engine'!$A$4:$A$2500=DATE(2034,5,1))*'Planning Engine'!$U$4:$U$2500),"--")</t>
  </si>
  <si>
    <t>=IFERROR(SUMPRODUCT(('Planning Engine'!$B$4:$B$2500="APT")*('Planning Engine'!$A$4:$A$2500=DATE(2034,6,1))*'Planning Engine'!$U$4:$U$2500),"--")</t>
  </si>
  <si>
    <t>=IFERROR(SUMPRODUCT(('Planning Engine'!$B$4:$B$2500="APT")*('Planning Engine'!$A$4:$A$2500=DATE(2034,7,1))*'Planning Engine'!$U$4:$U$2500),"--")</t>
  </si>
  <si>
    <t>=IFERROR(SUMPRODUCT(('Planning Engine'!$B$4:$B$2500="APT")*('Planning Engine'!$A$4:$A$2500=DATE(2034,8,1))*'Planning Engine'!$U$4:$U$2500),"--")</t>
  </si>
  <si>
    <t>=IFERROR(SUMPRODUCT(('Planning Engine'!$B$4:$B$2500="APT")*('Planning Engine'!$A$4:$A$2500=DATE(2034,9,1))*'Planning Engine'!$U$4:$U$2500),"--")</t>
  </si>
  <si>
    <t>=IFERROR(SUMPRODUCT(('Planning Engine'!$B$4:$B$2500="APT")*('Planning Engine'!$A$4:$A$2500=DATE(2034,10,1))*'Planning Engine'!$U$4:$U$2500),"--")</t>
  </si>
  <si>
    <t>=IFERROR(SUMPRODUCT(('Planning Engine'!$B$4:$B$2500="APT")*('Planning Engine'!$A$4:$A$2500=DATE(2034,11,1))*'Planning Engine'!$U$4:$U$2500),"--")</t>
  </si>
  <si>
    <t>=IFERROR(SUMPRODUCT(('Planning Engine'!$B$4:$B$2500="APT")*('Planning Engine'!$A$4:$A$2500=DATE(2034,12,1))*'Planning Engine'!$U$4:$U$2500),"--")</t>
  </si>
  <si>
    <t>=IFERROR(SUMPRODUCT(('Planning Engine'!$B$4:$B$2500="APT")*('Planning Engine'!$A$4:$A$2500=DATE(2035,1,1))*'Planning Engine'!$U$4:$U$2500),"--")</t>
  </si>
  <si>
    <t>=IFERROR(SUMPRODUCT(('Planning Engine'!$B$4:$B$2500="APT")*('Planning Engine'!$A$4:$A$2500=DATE(2035,2,1))*'Planning Engine'!$U$4:$U$2500),"--")</t>
  </si>
  <si>
    <t>=IFERROR(SUMPRODUCT(('Planning Engine'!$B$4:$B$2500="APT")*('Planning Engine'!$A$4:$A$2500=DATE(2035,3,1))*'Planning Engine'!$U$4:$U$2500),"--")</t>
  </si>
  <si>
    <t>=IFERROR(SUMPRODUCT(('Planning Engine'!$B$4:$B$2500="APT")*('Planning Engine'!$A$4:$A$2500=DATE(2035,4,1))*'Planning Engine'!$U$4:$U$2500),"--")</t>
  </si>
  <si>
    <t>=IFERROR(SUMPRODUCT(('Planning Engine'!$B$4:$B$2500="APT")*('Planning Engine'!$A$4:$A$2500=DATE(2035,5,1))*'Planning Engine'!$U$4:$U$2500),"--")</t>
  </si>
  <si>
    <t>=IFERROR(SUMPRODUCT(('Planning Engine'!$B$4:$B$2500="APT")*('Planning Engine'!$A$4:$A$2500=DATE(2035,6,1))*'Planning Engine'!$U$4:$U$2500),"--")</t>
  </si>
  <si>
    <t>=IFERROR(SUMPRODUCT(('Planning Engine'!$B$4:$B$2500="APT")*('Planning Engine'!$A$4:$A$2500=DATE(2035,7,1))*'Planning Engine'!$U$4:$U$2500),"--")</t>
  </si>
  <si>
    <t>=IFERROR(SUMPRODUCT(('Planning Engine'!$B$4:$B$2500="APT")*('Planning Engine'!$A$4:$A$2500=DATE(2035,8,1))*'Planning Engine'!$U$4:$U$2500),"--")</t>
  </si>
  <si>
    <t>=IFERROR(SUMPRODUCT(('Planning Engine'!$B$4:$B$2500="APT")*('Planning Engine'!$A$4:$A$2500=DATE(2035,9,1))*'Planning Engine'!$U$4:$U$2500),"--")</t>
  </si>
  <si>
    <t>=IFERROR(SUMPRODUCT(('Planning Engine'!$B$4:$B$2500="APT")*('Planning Engine'!$A$4:$A$2500=DATE(2035,10,1))*'Planning Engine'!$U$4:$U$2500),"--")</t>
  </si>
  <si>
    <t>=IFERROR(SUMPRODUCT(('Planning Engine'!$B$4:$B$2500="APT")*('Planning Engine'!$A$4:$A$2500=DATE(2035,11,1))*'Planning Engine'!$U$4:$U$2500),"--")</t>
  </si>
  <si>
    <t>=IFERROR(SUMPRODUCT(('Planning Engine'!$B$4:$B$2500="APT")*('Planning Engine'!$A$4:$A$2500=DATE(2035,12,1))*'Planning Engine'!$U$4:$U$2500),"--")</t>
  </si>
  <si>
    <t>=IFERROR(SUMPRODUCT(('Planning Engine'!$B$4:$B$2500="APT")*('Planning Engine'!$A$4:$A$2500=DATE(2036,1,1))*'Planning Engine'!$U$4:$U$2500),"--")</t>
  </si>
  <si>
    <t>=IFERROR(SUMPRODUCT(('Planning Engine'!$B$4:$B$2500="APT")*('Planning Engine'!$A$4:$A$2500=DATE(2036,2,1))*'Planning Engine'!$U$4:$U$2500),"--")</t>
  </si>
  <si>
    <t>=IFERROR(SUMPRODUCT(('Planning Engine'!$B$4:$B$2500="APT")*('Planning Engine'!$A$4:$A$2500=DATE(2036,3,1))*'Planning Engine'!$U$4:$U$2500),"--")</t>
  </si>
  <si>
    <t>=IFERROR(SUMPRODUCT(('Planning Engine'!$B$4:$B$2500="APT")*('Planning Engine'!$A$4:$A$2500=DATE(2036,4,1))*'Planning Engine'!$U$4:$U$2500),"--")</t>
  </si>
  <si>
    <t>=IFERROR(SUMPRODUCT(('Planning Engine'!$B$4:$B$2500="APT")*('Planning Engine'!$A$4:$A$2500=DATE(2036,5,1))*'Planning Engine'!$U$4:$U$2500),"--")</t>
  </si>
  <si>
    <t>=IFERROR(SUMPRODUCT(('Planning Engine'!$B$4:$B$2500="APT")*('Planning Engine'!$A$4:$A$2500=DATE(2036,6,1))*'Planning Engine'!$U$4:$U$2500),"--")</t>
  </si>
  <si>
    <t>=IFERROR(SUMPRODUCT(('Planning Engine'!$B$4:$B$2500="APT")*('Planning Engine'!$A$4:$A$2500=DATE(2036,7,1))*'Planning Engine'!$U$4:$U$2500),"--")</t>
  </si>
  <si>
    <t>=IFERROR(SUMPRODUCT(('Planning Engine'!$B$4:$B$2500="APT")*('Planning Engine'!$A$4:$A$2500=DATE(2036,8,1))*'Planning Engine'!$U$4:$U$2500),"--")</t>
  </si>
  <si>
    <t>=IFERROR(SUMPRODUCT(('Planning Engine'!$B$4:$B$2500="APT")*('Planning Engine'!$A$4:$A$2500=DATE(2036,9,1))*'Planning Engine'!$U$4:$U$2500),"--")</t>
  </si>
  <si>
    <t>=IFERROR(SUMPRODUCT(('Planning Engine'!$B$4:$B$2500="APT")*('Planning Engine'!$A$4:$A$2500=DATE(2036,10,1))*'Planning Engine'!$U$4:$U$2500),"--")</t>
  </si>
  <si>
    <t>=IFERROR(SUMPRODUCT(('Planning Engine'!$B$4:$B$2500="APT")*('Planning Engine'!$A$4:$A$2500=DATE(2036,11,1))*'Planning Engine'!$U$4:$U$2500),"--")</t>
  </si>
  <si>
    <t>=IFERROR(SUMPRODUCT(('Planning Engine'!$B$4:$B$2500="APT")*('Planning Engine'!$A$4:$A$2500=DATE(2036,12,1))*'Planning Engine'!$U$4:$U$2500),"--")</t>
  </si>
  <si>
    <t>=IFERROR(SUMPRODUCT(('Planning Engine'!$B$4:$B$2500="APT")*('Planning Engine'!$A$4:$A$2500=DATE(2037,1,1))*'Planning Engine'!$U$4:$U$2500),"--")</t>
  </si>
  <si>
    <t>=IFERROR(SUMPRODUCT(('Planning Engine'!$B$4:$B$2500="APT")*('Planning Engine'!$A$4:$A$2500=DATE(2037,2,1))*'Planning Engine'!$U$4:$U$2500),"--")</t>
  </si>
  <si>
    <t>=IFERROR(SUMPRODUCT(('Planning Engine'!$B$4:$B$2500="APT")*('Planning Engine'!$A$4:$A$2500=DATE(2037,3,1))*'Planning Engine'!$U$4:$U$2500),"--")</t>
  </si>
  <si>
    <t>=IFERROR(SUMPRODUCT(('Planning Engine'!$B$4:$B$2500="APT")*('Planning Engine'!$A$4:$A$2500=DATE(2037,4,1))*'Planning Engine'!$U$4:$U$2500),"--")</t>
  </si>
  <si>
    <t>=IFERROR(SUMPRODUCT(('Planning Engine'!$B$4:$B$2500="APT")*('Planning Engine'!$A$4:$A$2500=DATE(2037,5,1))*'Planning Engine'!$U$4:$U$2500),"--")</t>
  </si>
  <si>
    <t>=IFERROR(SUMPRODUCT(('Planning Engine'!$B$4:$B$2500="APT")*('Planning Engine'!$A$4:$A$2500=DATE(2037,6,1))*'Planning Engine'!$U$4:$U$2500),"--")</t>
  </si>
  <si>
    <t>=IFERROR(SUMPRODUCT(('Planning Engine'!$B$4:$B$2500="APT")*('Planning Engine'!$A$4:$A$2500=DATE(2037,7,1))*'Planning Engine'!$U$4:$U$2500),"--")</t>
  </si>
  <si>
    <t>=IFERROR(SUMPRODUCT(('Planning Engine'!$B$4:$B$2500="APT")*('Planning Engine'!$A$4:$A$2500=DATE(2037,8,1))*'Planning Engine'!$U$4:$U$2500),"--")</t>
  </si>
  <si>
    <t>=IFERROR(SUMPRODUCT(('Planning Engine'!$B$4:$B$2500="APT")*('Planning Engine'!$A$4:$A$2500=DATE(2037,9,1))*'Planning Engine'!$U$4:$U$2500),"--")</t>
  </si>
  <si>
    <t>=IFERROR(SUMPRODUCT(('Planning Engine'!$B$4:$B$2500="APT")*('Planning Engine'!$A$4:$A$2500=DATE(2037,10,1))*'Planning Engine'!$U$4:$U$2500),"--")</t>
  </si>
  <si>
    <t>=IFERROR(SUMPRODUCT(('Planning Engine'!$B$4:$B$2500="APT")*('Planning Engine'!$A$4:$A$2500=DATE(2037,11,1))*'Planning Engine'!$U$4:$U$2500),"--")</t>
  </si>
  <si>
    <t>=IFERROR(SUMPRODUCT(('Planning Engine'!$B$4:$B$2500="APT")*('Planning Engine'!$A$4:$A$2500=DATE(2037,12,1))*'Planning Engine'!$U$4:$U$2500),"--")</t>
  </si>
  <si>
    <t>=IFERROR(SUMPRODUCT(('Planning Engine'!$B$4:$B$2500="APT")*('Planning Engine'!$A$4:$A$2500=DATE(2038,1,1))*'Planning Engine'!$U$4:$U$2500),"--")</t>
  </si>
  <si>
    <t>=IFERROR(SUMPRODUCT(('Planning Engine'!$B$4:$B$2500="APT")*('Planning Engine'!$A$4:$A$2500=DATE(2038,2,1))*'Planning Engine'!$U$4:$U$2500),"--")</t>
  </si>
  <si>
    <t>=IFERROR(SUMPRODUCT(('Planning Engine'!$B$4:$B$2500="APT")*('Planning Engine'!$A$4:$A$2500=DATE(2038,3,1))*'Planning Engine'!$U$4:$U$2500),"--")</t>
  </si>
  <si>
    <t>=IFERROR(SUMPRODUCT(('Planning Engine'!$B$4:$B$2500="APT")*('Planning Engine'!$A$4:$A$2500=DATE(2038,4,1))*'Planning Engine'!$U$4:$U$2500),"--")</t>
  </si>
  <si>
    <t>=IFERROR(SUMPRODUCT(('Planning Engine'!$B$4:$B$2500="APT")*('Planning Engine'!$A$4:$A$2500=DATE(2038,5,1))*'Planning Engine'!$U$4:$U$2500),"--")</t>
  </si>
  <si>
    <t>=IFERROR(SUMPRODUCT(('Planning Engine'!$B$4:$B$2500="APT")*('Planning Engine'!$A$4:$A$2500=DATE(2038,6,1))*'Planning Engine'!$U$4:$U$2500),"--")</t>
  </si>
  <si>
    <t>=IFERROR(SUMPRODUCT(('Planning Engine'!$B$4:$B$2500="APT")*('Planning Engine'!$A$4:$A$2500=DATE(2038,7,1))*'Planning Engine'!$U$4:$U$2500),"--")</t>
  </si>
  <si>
    <t>=IFERROR(SUMPRODUCT(('Planning Engine'!$B$4:$B$2500="APT")*('Planning Engine'!$A$4:$A$2500=DATE(2038,8,1))*'Planning Engine'!$U$4:$U$2500),"--")</t>
  </si>
  <si>
    <t>=IFERROR(SUMPRODUCT(('Planning Engine'!$B$4:$B$2500="APT")*('Planning Engine'!$A$4:$A$2500=DATE(2038,9,1))*'Planning Engine'!$U$4:$U$2500),"--")</t>
  </si>
  <si>
    <t>=IFERROR(SUMPRODUCT(('Planning Engine'!$B$4:$B$2500="APT")*('Planning Engine'!$A$4:$A$2500=DATE(2038,10,1))*'Planning Engine'!$U$4:$U$2500),"--")</t>
  </si>
  <si>
    <t>=IFERROR(SUMPRODUCT(('Planning Engine'!$B$4:$B$2500="APT")*('Planning Engine'!$A$4:$A$2500=DATE(2038,11,1))*'Planning Engine'!$U$4:$U$2500),"--")</t>
  </si>
  <si>
    <t>=IFERROR(SUMPRODUCT(('Planning Engine'!$B$4:$B$2500="APT")*('Planning Engine'!$A$4:$A$2500=DATE(2038,12,1))*'Planning Engine'!$U$4:$U$2500),"--")</t>
  </si>
  <si>
    <t>=IFERROR(SUMPRODUCT(('Planning Engine'!$B$4:$B$2500="APT")*('Planning Engine'!$A$4:$A$2500=DATE(2039,1,1))*'Planning Engine'!$U$4:$U$2500),"--")</t>
  </si>
  <si>
    <t>=IFERROR(SUMPRODUCT(('Planning Engine'!$B$4:$B$2500="APT")*('Planning Engine'!$A$4:$A$2500=DATE(2039,2,1))*'Planning Engine'!$U$4:$U$2500),"--")</t>
  </si>
  <si>
    <t>=IFERROR(SUMPRODUCT(('Planning Engine'!$B$4:$B$2500="APT")*('Planning Engine'!$A$4:$A$2500=DATE(2039,3,1))*'Planning Engine'!$U$4:$U$2500),"--")</t>
  </si>
  <si>
    <t>=IFERROR(SUMPRODUCT(('Planning Engine'!$B$4:$B$2500="APT")*('Planning Engine'!$A$4:$A$2500=DATE(2039,4,1))*'Planning Engine'!$U$4:$U$2500),"--")</t>
  </si>
  <si>
    <t>=IFERROR(SUMPRODUCT(('Planning Engine'!$B$4:$B$2500="APT")*('Planning Engine'!$A$4:$A$2500=DATE(2039,5,1))*'Planning Engine'!$U$4:$U$2500),"--")</t>
  </si>
  <si>
    <t>=IFERROR(SUMPRODUCT(('Planning Engine'!$B$4:$B$2500="APT")*('Planning Engine'!$A$4:$A$2500=DATE(2039,6,1))*'Planning Engine'!$U$4:$U$2500),"--")</t>
  </si>
  <si>
    <t>=IFERROR(SUMPRODUCT(('Planning Engine'!$B$4:$B$2500="APT")*('Planning Engine'!$A$4:$A$2500=DATE(2039,7,1))*'Planning Engine'!$U$4:$U$2500),"--")</t>
  </si>
  <si>
    <t>=IFERROR(SUMPRODUCT(('Planning Engine'!$B$4:$B$2500="APT")*('Planning Engine'!$A$4:$A$2500=DATE(2039,8,1))*'Planning Engine'!$U$4:$U$2500),"--")</t>
  </si>
  <si>
    <t>=IFERROR(SUMPRODUCT(('Planning Engine'!$B$4:$B$2500="APT")*('Planning Engine'!$A$4:$A$2500=DATE(2039,9,1))*'Planning Engine'!$U$4:$U$2500),"--")</t>
  </si>
  <si>
    <t>=IFERROR(SUMPRODUCT(('Planning Engine'!$B$4:$B$2500="APT")*('Planning Engine'!$A$4:$A$2500=DATE(2039,10,1))*'Planning Engine'!$U$4:$U$2500),"--")</t>
  </si>
  <si>
    <t>=IFERROR(SUMPRODUCT(('Planning Engine'!$B$4:$B$2500="APT")*('Planning Engine'!$A$4:$A$2500=DATE(2039,11,1))*'Planning Engine'!$U$4:$U$2500),"--")</t>
  </si>
  <si>
    <t>=IFERROR(SUMPRODUCT(('Planning Engine'!$B$4:$B$2500="APT")*('Planning Engine'!$A$4:$A$2500=DATE(2039,12,1))*'Planning Engine'!$U$4:$U$2500),"--")</t>
  </si>
  <si>
    <t>=IFERROR(SUMPRODUCT(('Planning Engine'!$B$4:$B$2500="APT")*('Planning Engine'!$A$4:$A$2500=DATE(2040,1,1))*'Planning Engine'!$U$4:$U$2500),"--")</t>
  </si>
  <si>
    <t>=IFERROR(SUMPRODUCT(('Planning Engine'!$B$4:$B$2500="APT")*('Planning Engine'!$A$4:$A$2500=DATE(2040,2,1))*'Planning Engine'!$U$4:$U$2500),"--")</t>
  </si>
  <si>
    <t>=IFERROR(SUMPRODUCT(('Planning Engine'!$B$4:$B$2500="APT")*('Planning Engine'!$A$4:$A$2500=DATE(2040,3,1))*'Planning Engine'!$U$4:$U$2500),"--")</t>
  </si>
  <si>
    <t>=IFERROR(SUMPRODUCT(('Planning Engine'!$B$4:$B$2500="APT")*('Planning Engine'!$A$4:$A$2500=DATE(2040,4,1))*'Planning Engine'!$U$4:$U$2500),"--")</t>
  </si>
  <si>
    <t>=IFERROR(SUMPRODUCT(('Planning Engine'!$B$4:$B$2500="APT")*('Planning Engine'!$A$4:$A$2500=DATE(2040,5,1))*'Planning Engine'!$U$4:$U$2500),"--")</t>
  </si>
  <si>
    <t>=IFERROR(SUMPRODUCT(('Planning Engine'!$B$4:$B$2500="APT")*('Planning Engine'!$A$4:$A$2500=DATE(2040,6,1))*'Planning Engine'!$U$4:$U$2500),"--")</t>
  </si>
  <si>
    <t>=IFERROR(SUMPRODUCT(('Planning Engine'!$B$4:$B$2500="APT")*('Planning Engine'!$A$4:$A$2500=DATE(2040,7,1))*'Planning Engine'!$U$4:$U$2500),"--")</t>
  </si>
  <si>
    <t>=IFERROR(SUMPRODUCT(('Planning Engine'!$B$4:$B$2500="APT")*('Planning Engine'!$A$4:$A$2500=DATE(2040,8,1))*'Planning Engine'!$U$4:$U$2500),"--")</t>
  </si>
  <si>
    <t>=IFERROR(SUMPRODUCT(('Planning Engine'!$B$4:$B$2500="APT")*('Planning Engine'!$A$4:$A$2500=DATE(2040,9,1))*'Planning Engine'!$U$4:$U$2500),"--")</t>
  </si>
  <si>
    <t>=IFERROR(SUMPRODUCT(('Planning Engine'!$B$4:$B$2500="APT")*('Planning Engine'!$A$4:$A$2500=DATE(2040,10,1))*'Planning Engine'!$U$4:$U$2500),"--")</t>
  </si>
  <si>
    <t>=IFERROR(SUMPRODUCT(('Planning Engine'!$B$4:$B$2500="APT")*('Planning Engine'!$A$4:$A$2500=DATE(2040,11,1))*'Planning Engine'!$U$4:$U$2500),"--")</t>
  </si>
  <si>
    <t>=IFERROR(SUMPRODUCT(('Planning Engine'!$B$4:$B$2500="APT")*('Planning Engine'!$A$4:$A$2500=DATE(2040,12,1))*'Planning Engine'!$U$4:$U$2500),"--")</t>
  </si>
  <si>
    <t>=IFERROR(SUMPRODUCT(('Planning Engine'!$B$4:$B$2500="LLPS")*('Planning Engine'!$A$4:$A$2500=DATE(2026,2,1))*'Planning Engine'!$U$4:$U$2500),"--")</t>
  </si>
  <si>
    <t>=IFERROR(SUMPRODUCT(('Planning Engine'!$B$4:$B$2500="LLPS")*('Planning Engine'!$A$4:$A$2500=DATE(2026,3,1))*'Planning Engine'!$U$4:$U$2500),"--")</t>
  </si>
  <si>
    <t>=IFERROR(SUMPRODUCT(('Planning Engine'!$B$4:$B$2500="LLPS")*('Planning Engine'!$A$4:$A$2500=DATE(2026,4,1))*'Planning Engine'!$U$4:$U$2500),"--")</t>
  </si>
  <si>
    <t>=IFERROR(SUMPRODUCT(('Planning Engine'!$B$4:$B$2500="LLPS")*('Planning Engine'!$A$4:$A$2500=DATE(2026,5,1))*'Planning Engine'!$U$4:$U$2500),"--")</t>
  </si>
  <si>
    <t>=IFERROR(SUMPRODUCT(('Planning Engine'!$B$4:$B$2500="LLPS")*('Planning Engine'!$A$4:$A$2500=DATE(2026,6,1))*'Planning Engine'!$U$4:$U$2500),"--")</t>
  </si>
  <si>
    <t>=IFERROR(SUMPRODUCT(('Planning Engine'!$B$4:$B$2500="LLPS")*('Planning Engine'!$A$4:$A$2500=DATE(2026,7,1))*'Planning Engine'!$U$4:$U$2500),"--")</t>
  </si>
  <si>
    <t>=IFERROR(SUMPRODUCT(('Planning Engine'!$B$4:$B$2500="LLPS")*('Planning Engine'!$A$4:$A$2500=DATE(2026,8,1))*'Planning Engine'!$U$4:$U$2500),"--")</t>
  </si>
  <si>
    <t>=IFERROR(SUMPRODUCT(('Planning Engine'!$B$4:$B$2500="LLPS")*('Planning Engine'!$A$4:$A$2500=DATE(2026,9,1))*'Planning Engine'!$U$4:$U$2500),"--")</t>
  </si>
  <si>
    <t>=IFERROR(SUMPRODUCT(('Planning Engine'!$B$4:$B$2500="LLPS")*('Planning Engine'!$A$4:$A$2500=DATE(2026,10,1))*'Planning Engine'!$U$4:$U$2500),"--")</t>
  </si>
  <si>
    <t>=IFERROR(SUMPRODUCT(('Planning Engine'!$B$4:$B$2500="LLPS")*('Planning Engine'!$A$4:$A$2500=DATE(2026,11,1))*'Planning Engine'!$U$4:$U$2500),"--")</t>
  </si>
  <si>
    <t>=IFERROR(SUMPRODUCT(('Planning Engine'!$B$4:$B$2500="LLPS")*('Planning Engine'!$A$4:$A$2500=DATE(2026,12,1))*'Planning Engine'!$U$4:$U$2500),"--")</t>
  </si>
  <si>
    <t>=IFERROR(SUMPRODUCT(('Planning Engine'!$B$4:$B$2500="LLPS")*('Planning Engine'!$A$4:$A$2500=DATE(2027,1,1))*'Planning Engine'!$U$4:$U$2500),"--")</t>
  </si>
  <si>
    <t>=IFERROR(SUMPRODUCT(('Planning Engine'!$B$4:$B$2500="LLPS")*('Planning Engine'!$A$4:$A$2500=DATE(2027,2,1))*'Planning Engine'!$U$4:$U$2500),"--")</t>
  </si>
  <si>
    <t>=IFERROR(SUMPRODUCT(('Planning Engine'!$B$4:$B$2500="LLPS")*('Planning Engine'!$A$4:$A$2500=DATE(2027,3,1))*'Planning Engine'!$U$4:$U$2500),"--")</t>
  </si>
  <si>
    <t>=IFERROR(SUMPRODUCT(('Planning Engine'!$B$4:$B$2500="LLPS")*('Planning Engine'!$A$4:$A$2500=DATE(2027,4,1))*'Planning Engine'!$U$4:$U$2500),"--")</t>
  </si>
  <si>
    <t>=IFERROR(SUMPRODUCT(('Planning Engine'!$B$4:$B$2500="LLPS")*('Planning Engine'!$A$4:$A$2500=DATE(2027,5,1))*'Planning Engine'!$U$4:$U$2500),"--")</t>
  </si>
  <si>
    <t>=IFERROR(SUMPRODUCT(('Planning Engine'!$B$4:$B$2500="LLPS")*('Planning Engine'!$A$4:$A$2500=DATE(2027,6,1))*'Planning Engine'!$U$4:$U$2500),"--")</t>
  </si>
  <si>
    <t>=IFERROR(SUMPRODUCT(('Planning Engine'!$B$4:$B$2500="LLPS")*('Planning Engine'!$A$4:$A$2500=DATE(2027,7,1))*'Planning Engine'!$U$4:$U$2500),"--")</t>
  </si>
  <si>
    <t>=IFERROR(SUMPRODUCT(('Planning Engine'!$B$4:$B$2500="LLPS")*('Planning Engine'!$A$4:$A$2500=DATE(2027,8,1))*'Planning Engine'!$U$4:$U$2500),"--")</t>
  </si>
  <si>
    <t>=IFERROR(SUMPRODUCT(('Planning Engine'!$B$4:$B$2500="LLPS")*('Planning Engine'!$A$4:$A$2500=DATE(2027,9,1))*'Planning Engine'!$U$4:$U$2500),"--")</t>
  </si>
  <si>
    <t>=IFERROR(SUMPRODUCT(('Planning Engine'!$B$4:$B$2500="LLPS")*('Planning Engine'!$A$4:$A$2500=DATE(2027,10,1))*'Planning Engine'!$U$4:$U$2500),"--")</t>
  </si>
  <si>
    <t>=IFERROR(SUMPRODUCT(('Planning Engine'!$B$4:$B$2500="LLPS")*('Planning Engine'!$A$4:$A$2500=DATE(2027,11,1))*'Planning Engine'!$U$4:$U$2500),"--")</t>
  </si>
  <si>
    <t>=IFERROR(SUMPRODUCT(('Planning Engine'!$B$4:$B$2500="LLPS")*('Planning Engine'!$A$4:$A$2500=DATE(2027,12,1))*'Planning Engine'!$U$4:$U$2500),"--")</t>
  </si>
  <si>
    <t>=IFERROR(SUMPRODUCT(('Planning Engine'!$B$4:$B$2500="LLPS")*('Planning Engine'!$A$4:$A$2500=DATE(2028,1,1))*'Planning Engine'!$U$4:$U$2500),"--")</t>
  </si>
  <si>
    <t>=IFERROR(SUMPRODUCT(('Planning Engine'!$B$4:$B$2500="LLPS")*('Planning Engine'!$A$4:$A$2500=DATE(2028,2,1))*'Planning Engine'!$U$4:$U$2500),"--")</t>
  </si>
  <si>
    <t>=IFERROR(SUMPRODUCT(('Planning Engine'!$B$4:$B$2500="LLPS")*('Planning Engine'!$A$4:$A$2500=DATE(2028,3,1))*'Planning Engine'!$U$4:$U$2500),"--")</t>
  </si>
  <si>
    <t>=IFERROR(SUMPRODUCT(('Planning Engine'!$B$4:$B$2500="LLPS")*('Planning Engine'!$A$4:$A$2500=DATE(2028,4,1))*'Planning Engine'!$U$4:$U$2500),"--")</t>
  </si>
  <si>
    <t>=IFERROR(SUMPRODUCT(('Planning Engine'!$B$4:$B$2500="LLPS")*('Planning Engine'!$A$4:$A$2500=DATE(2028,5,1))*'Planning Engine'!$U$4:$U$2500),"--")</t>
  </si>
  <si>
    <t>=IFERROR(SUMPRODUCT(('Planning Engine'!$B$4:$B$2500="LLPS")*('Planning Engine'!$A$4:$A$2500=DATE(2028,6,1))*'Planning Engine'!$U$4:$U$2500),"--")</t>
  </si>
  <si>
    <t>=IFERROR(SUMPRODUCT(('Planning Engine'!$B$4:$B$2500="LLPS")*('Planning Engine'!$A$4:$A$2500=DATE(2028,7,1))*'Planning Engine'!$U$4:$U$2500),"--")</t>
  </si>
  <si>
    <t>=IFERROR(SUMPRODUCT(('Planning Engine'!$B$4:$B$2500="LLPS")*('Planning Engine'!$A$4:$A$2500=DATE(2028,8,1))*'Planning Engine'!$U$4:$U$2500),"--")</t>
  </si>
  <si>
    <t>=IFERROR(SUMPRODUCT(('Planning Engine'!$B$4:$B$2500="LLPS")*('Planning Engine'!$A$4:$A$2500=DATE(2028,9,1))*'Planning Engine'!$U$4:$U$2500),"--")</t>
  </si>
  <si>
    <t>=IFERROR(SUMPRODUCT(('Planning Engine'!$B$4:$B$2500="LLPS")*('Planning Engine'!$A$4:$A$2500=DATE(2028,10,1))*'Planning Engine'!$U$4:$U$2500),"--")</t>
  </si>
  <si>
    <t>=IFERROR(SUMPRODUCT(('Planning Engine'!$B$4:$B$2500="LLPS")*('Planning Engine'!$A$4:$A$2500=DATE(2028,11,1))*'Planning Engine'!$U$4:$U$2500),"--")</t>
  </si>
  <si>
    <t>=IFERROR(SUMPRODUCT(('Planning Engine'!$B$4:$B$2500="LLPS")*('Planning Engine'!$A$4:$A$2500=DATE(2028,12,1))*'Planning Engine'!$U$4:$U$2500),"--")</t>
  </si>
  <si>
    <t>=IFERROR(SUMPRODUCT(('Planning Engine'!$B$4:$B$2500="LLPS")*('Planning Engine'!$A$4:$A$2500=DATE(2029,1,1))*'Planning Engine'!$U$4:$U$2500),"--")</t>
  </si>
  <si>
    <t>=IFERROR(SUMPRODUCT(('Planning Engine'!$B$4:$B$2500="LLPS")*('Planning Engine'!$A$4:$A$2500=DATE(2029,2,1))*'Planning Engine'!$U$4:$U$2500),"--")</t>
  </si>
  <si>
    <t>=IFERROR(SUMPRODUCT(('Planning Engine'!$B$4:$B$2500="LLPS")*('Planning Engine'!$A$4:$A$2500=DATE(2029,3,1))*'Planning Engine'!$U$4:$U$2500),"--")</t>
  </si>
  <si>
    <t>=IFERROR(SUMPRODUCT(('Planning Engine'!$B$4:$B$2500="LLPS")*('Planning Engine'!$A$4:$A$2500=DATE(2029,4,1))*'Planning Engine'!$U$4:$U$2500),"--")</t>
  </si>
  <si>
    <t>=IFERROR(SUMPRODUCT(('Planning Engine'!$B$4:$B$2500="LLPS")*('Planning Engine'!$A$4:$A$2500=DATE(2029,5,1))*'Planning Engine'!$U$4:$U$2500),"--")</t>
  </si>
  <si>
    <t>=IFERROR(SUMPRODUCT(('Planning Engine'!$B$4:$B$2500="LLPS")*('Planning Engine'!$A$4:$A$2500=DATE(2029,6,1))*'Planning Engine'!$U$4:$U$2500),"--")</t>
  </si>
  <si>
    <t>=IFERROR(SUMPRODUCT(('Planning Engine'!$B$4:$B$2500="LLPS")*('Planning Engine'!$A$4:$A$2500=DATE(2029,7,1))*'Planning Engine'!$U$4:$U$2500),"--")</t>
  </si>
  <si>
    <t>=IFERROR(SUMPRODUCT(('Planning Engine'!$B$4:$B$2500="LLPS")*('Planning Engine'!$A$4:$A$2500=DATE(2029,8,1))*'Planning Engine'!$U$4:$U$2500),"--")</t>
  </si>
  <si>
    <t>=IFERROR(SUMPRODUCT(('Planning Engine'!$B$4:$B$2500="LLPS")*('Planning Engine'!$A$4:$A$2500=DATE(2029,9,1))*'Planning Engine'!$U$4:$U$2500),"--")</t>
  </si>
  <si>
    <t>=IFERROR(SUMPRODUCT(('Planning Engine'!$B$4:$B$2500="LLPS")*('Planning Engine'!$A$4:$A$2500=DATE(2029,10,1))*'Planning Engine'!$U$4:$U$2500),"--")</t>
  </si>
  <si>
    <t>=IFERROR(SUMPRODUCT(('Planning Engine'!$B$4:$B$2500="LLPS")*('Planning Engine'!$A$4:$A$2500=DATE(2029,11,1))*'Planning Engine'!$U$4:$U$2500),"--")</t>
  </si>
  <si>
    <t>=IFERROR(SUMPRODUCT(('Planning Engine'!$B$4:$B$2500="LLPS")*('Planning Engine'!$A$4:$A$2500=DATE(2029,12,1))*'Planning Engine'!$U$4:$U$2500),"--")</t>
  </si>
  <si>
    <t>=IFERROR(SUMPRODUCT(('Planning Engine'!$B$4:$B$2500="LLPS")*('Planning Engine'!$A$4:$A$2500=DATE(2030,1,1))*'Planning Engine'!$U$4:$U$2500),"--")</t>
  </si>
  <si>
    <t>=IFERROR(SUMPRODUCT(('Planning Engine'!$B$4:$B$2500="LLPS")*('Planning Engine'!$A$4:$A$2500=DATE(2030,2,1))*'Planning Engine'!$U$4:$U$2500),"--")</t>
  </si>
  <si>
    <t>=IFERROR(SUMPRODUCT(('Planning Engine'!$B$4:$B$2500="LLPS")*('Planning Engine'!$A$4:$A$2500=DATE(2030,3,1))*'Planning Engine'!$U$4:$U$2500),"--")</t>
  </si>
  <si>
    <t>=IFERROR(SUMPRODUCT(('Planning Engine'!$B$4:$B$2500="LLPS")*('Planning Engine'!$A$4:$A$2500=DATE(2030,4,1))*'Planning Engine'!$U$4:$U$2500),"--")</t>
  </si>
  <si>
    <t>=IFERROR(SUMPRODUCT(('Planning Engine'!$B$4:$B$2500="LLPS")*('Planning Engine'!$A$4:$A$2500=DATE(2030,5,1))*'Planning Engine'!$U$4:$U$2500),"--")</t>
  </si>
  <si>
    <t>=IFERROR(SUMPRODUCT(('Planning Engine'!$B$4:$B$2500="LLPS")*('Planning Engine'!$A$4:$A$2500=DATE(2030,6,1))*'Planning Engine'!$U$4:$U$2500),"--")</t>
  </si>
  <si>
    <t>=IFERROR(SUMPRODUCT(('Planning Engine'!$B$4:$B$2500="LLPS")*('Planning Engine'!$A$4:$A$2500=DATE(2030,7,1))*'Planning Engine'!$U$4:$U$2500),"--")</t>
  </si>
  <si>
    <t>=IFERROR(SUMPRODUCT(('Planning Engine'!$B$4:$B$2500="LLPS")*('Planning Engine'!$A$4:$A$2500=DATE(2030,8,1))*'Planning Engine'!$U$4:$U$2500),"--")</t>
  </si>
  <si>
    <t>=IFERROR(SUMPRODUCT(('Planning Engine'!$B$4:$B$2500="LLPS")*('Planning Engine'!$A$4:$A$2500=DATE(2030,9,1))*'Planning Engine'!$U$4:$U$2500),"--")</t>
  </si>
  <si>
    <t>=IFERROR(SUMPRODUCT(('Planning Engine'!$B$4:$B$2500="LLPS")*('Planning Engine'!$A$4:$A$2500=DATE(2030,10,1))*'Planning Engine'!$U$4:$U$2500),"--")</t>
  </si>
  <si>
    <t>=IFERROR(SUMPRODUCT(('Planning Engine'!$B$4:$B$2500="LLPS")*('Planning Engine'!$A$4:$A$2500=DATE(2030,11,1))*'Planning Engine'!$U$4:$U$2500),"--")</t>
  </si>
  <si>
    <t>=IFERROR(SUMPRODUCT(('Planning Engine'!$B$4:$B$2500="LLPS")*('Planning Engine'!$A$4:$A$2500=DATE(2030,12,1))*'Planning Engine'!$U$4:$U$2500),"--")</t>
  </si>
  <si>
    <t>=IFERROR(SUMPRODUCT(('Planning Engine'!$B$4:$B$2500="LLPS")*('Planning Engine'!$A$4:$A$2500=DATE(2031,1,1))*'Planning Engine'!$U$4:$U$2500),"--")</t>
  </si>
  <si>
    <t>=IFERROR(SUMPRODUCT(('Planning Engine'!$B$4:$B$2500="LLPS")*('Planning Engine'!$A$4:$A$2500=DATE(2031,2,1))*'Planning Engine'!$U$4:$U$2500),"--")</t>
  </si>
  <si>
    <t>=IFERROR(SUMPRODUCT(('Planning Engine'!$B$4:$B$2500="LLPS")*('Planning Engine'!$A$4:$A$2500=DATE(2031,3,1))*'Planning Engine'!$U$4:$U$2500),"--")</t>
  </si>
  <si>
    <t>=IFERROR(SUMPRODUCT(('Planning Engine'!$B$4:$B$2500="LLPS")*('Planning Engine'!$A$4:$A$2500=DATE(2031,4,1))*'Planning Engine'!$U$4:$U$2500),"--")</t>
  </si>
  <si>
    <t>=IFERROR(SUMPRODUCT(('Planning Engine'!$B$4:$B$2500="LLPS")*('Planning Engine'!$A$4:$A$2500=DATE(2031,5,1))*'Planning Engine'!$U$4:$U$2500),"--")</t>
  </si>
  <si>
    <t>=IFERROR(SUMPRODUCT(('Planning Engine'!$B$4:$B$2500="LLPS")*('Planning Engine'!$A$4:$A$2500=DATE(2031,6,1))*'Planning Engine'!$U$4:$U$2500),"--")</t>
  </si>
  <si>
    <t>=IFERROR(SUMPRODUCT(('Planning Engine'!$B$4:$B$2500="LLPS")*('Planning Engine'!$A$4:$A$2500=DATE(2031,7,1))*'Planning Engine'!$U$4:$U$2500),"--")</t>
  </si>
  <si>
    <t>=IFERROR(SUMPRODUCT(('Planning Engine'!$B$4:$B$2500="LLPS")*('Planning Engine'!$A$4:$A$2500=DATE(2031,8,1))*'Planning Engine'!$U$4:$U$2500),"--")</t>
  </si>
  <si>
    <t>=IFERROR(SUMPRODUCT(('Planning Engine'!$B$4:$B$2500="LLPS")*('Planning Engine'!$A$4:$A$2500=DATE(2031,9,1))*'Planning Engine'!$U$4:$U$2500),"--")</t>
  </si>
  <si>
    <t>=IFERROR(SUMPRODUCT(('Planning Engine'!$B$4:$B$2500="LLPS")*('Planning Engine'!$A$4:$A$2500=DATE(2031,10,1))*'Planning Engine'!$U$4:$U$2500),"--")</t>
  </si>
  <si>
    <t>=IFERROR(SUMPRODUCT(('Planning Engine'!$B$4:$B$2500="LLPS")*('Planning Engine'!$A$4:$A$2500=DATE(2031,11,1))*'Planning Engine'!$U$4:$U$2500),"--")</t>
  </si>
  <si>
    <t>=IFERROR(SUMPRODUCT(('Planning Engine'!$B$4:$B$2500="LLPS")*('Planning Engine'!$A$4:$A$2500=DATE(2031,12,1))*'Planning Engine'!$U$4:$U$2500),"--")</t>
  </si>
  <si>
    <t>=IFERROR(SUMPRODUCT(('Planning Engine'!$B$4:$B$2500="LLPS")*('Planning Engine'!$A$4:$A$2500=DATE(2032,1,1))*'Planning Engine'!$U$4:$U$2500),"--")</t>
  </si>
  <si>
    <t>=IFERROR(SUMPRODUCT(('Planning Engine'!$B$4:$B$2500="LLPS")*('Planning Engine'!$A$4:$A$2500=DATE(2032,2,1))*'Planning Engine'!$U$4:$U$2500),"--")</t>
  </si>
  <si>
    <t>=IFERROR(SUMPRODUCT(('Planning Engine'!$B$4:$B$2500="LLPS")*('Planning Engine'!$A$4:$A$2500=DATE(2032,3,1))*'Planning Engine'!$U$4:$U$2500),"--")</t>
  </si>
  <si>
    <t>=IFERROR(SUMPRODUCT(('Planning Engine'!$B$4:$B$2500="LLPS")*('Planning Engine'!$A$4:$A$2500=DATE(2032,4,1))*'Planning Engine'!$U$4:$U$2500),"--")</t>
  </si>
  <si>
    <t>=IFERROR(SUMPRODUCT(('Planning Engine'!$B$4:$B$2500="LLPS")*('Planning Engine'!$A$4:$A$2500=DATE(2032,5,1))*'Planning Engine'!$U$4:$U$2500),"--")</t>
  </si>
  <si>
    <t>=IFERROR(SUMPRODUCT(('Planning Engine'!$B$4:$B$2500="LLPS")*('Planning Engine'!$A$4:$A$2500=DATE(2032,6,1))*'Planning Engine'!$U$4:$U$2500),"--")</t>
  </si>
  <si>
    <t>=IFERROR(SUMPRODUCT(('Planning Engine'!$B$4:$B$2500="LLPS")*('Planning Engine'!$A$4:$A$2500=DATE(2032,7,1))*'Planning Engine'!$U$4:$U$2500),"--")</t>
  </si>
  <si>
    <t>=IFERROR(SUMPRODUCT(('Planning Engine'!$B$4:$B$2500="LLPS")*('Planning Engine'!$A$4:$A$2500=DATE(2032,8,1))*'Planning Engine'!$U$4:$U$2500),"--")</t>
  </si>
  <si>
    <t>=IFERROR(SUMPRODUCT(('Planning Engine'!$B$4:$B$2500="LLPS")*('Planning Engine'!$A$4:$A$2500=DATE(2032,9,1))*'Planning Engine'!$U$4:$U$2500),"--")</t>
  </si>
  <si>
    <t>=IFERROR(SUMPRODUCT(('Planning Engine'!$B$4:$B$2500="LLPS")*('Planning Engine'!$A$4:$A$2500=DATE(2032,10,1))*'Planning Engine'!$U$4:$U$2500),"--")</t>
  </si>
  <si>
    <t>=IFERROR(SUMPRODUCT(('Planning Engine'!$B$4:$B$2500="LLPS")*('Planning Engine'!$A$4:$A$2500=DATE(2032,11,1))*'Planning Engine'!$U$4:$U$2500),"--")</t>
  </si>
  <si>
    <t>=IFERROR(SUMPRODUCT(('Planning Engine'!$B$4:$B$2500="LLPS")*('Planning Engine'!$A$4:$A$2500=DATE(2032,12,1))*'Planning Engine'!$U$4:$U$2500),"--")</t>
  </si>
  <si>
    <t>=IFERROR(SUMPRODUCT(('Planning Engine'!$B$4:$B$2500="LLPS")*('Planning Engine'!$A$4:$A$2500=DATE(2033,1,1))*'Planning Engine'!$U$4:$U$2500),"--")</t>
  </si>
  <si>
    <t>=IFERROR(SUMPRODUCT(('Planning Engine'!$B$4:$B$2500="LLPS")*('Planning Engine'!$A$4:$A$2500=DATE(2033,2,1))*'Planning Engine'!$U$4:$U$2500),"--")</t>
  </si>
  <si>
    <t>=IFERROR(SUMPRODUCT(('Planning Engine'!$B$4:$B$2500="LLPS")*('Planning Engine'!$A$4:$A$2500=DATE(2033,3,1))*'Planning Engine'!$U$4:$U$2500),"--")</t>
  </si>
  <si>
    <t>=IFERROR(SUMPRODUCT(('Planning Engine'!$B$4:$B$2500="LLPS")*('Planning Engine'!$A$4:$A$2500=DATE(2033,4,1))*'Planning Engine'!$U$4:$U$2500),"--")</t>
  </si>
  <si>
    <t>=IFERROR(SUMPRODUCT(('Planning Engine'!$B$4:$B$2500="LLPS")*('Planning Engine'!$A$4:$A$2500=DATE(2033,5,1))*'Planning Engine'!$U$4:$U$2500),"--")</t>
  </si>
  <si>
    <t>=IFERROR(SUMPRODUCT(('Planning Engine'!$B$4:$B$2500="LLPS")*('Planning Engine'!$A$4:$A$2500=DATE(2033,6,1))*'Planning Engine'!$U$4:$U$2500),"--")</t>
  </si>
  <si>
    <t>=IFERROR(SUMPRODUCT(('Planning Engine'!$B$4:$B$2500="LLPS")*('Planning Engine'!$A$4:$A$2500=DATE(2033,7,1))*'Planning Engine'!$U$4:$U$2500),"--")</t>
  </si>
  <si>
    <t>=IFERROR(SUMPRODUCT(('Planning Engine'!$B$4:$B$2500="LLPS")*('Planning Engine'!$A$4:$A$2500=DATE(2033,8,1))*'Planning Engine'!$U$4:$U$2500),"--")</t>
  </si>
  <si>
    <t>=IFERROR(SUMPRODUCT(('Planning Engine'!$B$4:$B$2500="LLPS")*('Planning Engine'!$A$4:$A$2500=DATE(2033,9,1))*'Planning Engine'!$U$4:$U$2500),"--")</t>
  </si>
  <si>
    <t>=IFERROR(SUMPRODUCT(('Planning Engine'!$B$4:$B$2500="LLPS")*('Planning Engine'!$A$4:$A$2500=DATE(2033,10,1))*'Planning Engine'!$U$4:$U$2500),"--")</t>
  </si>
  <si>
    <t>=IFERROR(SUMPRODUCT(('Planning Engine'!$B$4:$B$2500="LLPS")*('Planning Engine'!$A$4:$A$2500=DATE(2033,11,1))*'Planning Engine'!$U$4:$U$2500),"--")</t>
  </si>
  <si>
    <t>=IFERROR(SUMPRODUCT(('Planning Engine'!$B$4:$B$2500="LLPS")*('Planning Engine'!$A$4:$A$2500=DATE(2033,12,1))*'Planning Engine'!$U$4:$U$2500),"--")</t>
  </si>
  <si>
    <t>=IFERROR(SUMPRODUCT(('Planning Engine'!$B$4:$B$2500="LLPS")*('Planning Engine'!$A$4:$A$2500=DATE(2034,1,1))*'Planning Engine'!$U$4:$U$2500),"--")</t>
  </si>
  <si>
    <t>=IFERROR(SUMPRODUCT(('Planning Engine'!$B$4:$B$2500="LLPS")*('Planning Engine'!$A$4:$A$2500=DATE(2034,2,1))*'Planning Engine'!$U$4:$U$2500),"--")</t>
  </si>
  <si>
    <t>=IFERROR(SUMPRODUCT(('Planning Engine'!$B$4:$B$2500="LLPS")*('Planning Engine'!$A$4:$A$2500=DATE(2034,3,1))*'Planning Engine'!$U$4:$U$2500),"--")</t>
  </si>
  <si>
    <t>=IFERROR(SUMPRODUCT(('Planning Engine'!$B$4:$B$2500="LLPS")*('Planning Engine'!$A$4:$A$2500=DATE(2034,4,1))*'Planning Engine'!$U$4:$U$2500),"--")</t>
  </si>
  <si>
    <t>=IFERROR(SUMPRODUCT(('Planning Engine'!$B$4:$B$2500="LLPS")*('Planning Engine'!$A$4:$A$2500=DATE(2034,5,1))*'Planning Engine'!$U$4:$U$2500),"--")</t>
  </si>
  <si>
    <t>=IFERROR(SUMPRODUCT(('Planning Engine'!$B$4:$B$2500="LLPS")*('Planning Engine'!$A$4:$A$2500=DATE(2034,6,1))*'Planning Engine'!$U$4:$U$2500),"--")</t>
  </si>
  <si>
    <t>=IFERROR(SUMPRODUCT(('Planning Engine'!$B$4:$B$2500="LLPS")*('Planning Engine'!$A$4:$A$2500=DATE(2034,7,1))*'Planning Engine'!$U$4:$U$2500),"--")</t>
  </si>
  <si>
    <t>=IFERROR(SUMPRODUCT(('Planning Engine'!$B$4:$B$2500="LLPS")*('Planning Engine'!$A$4:$A$2500=DATE(2034,8,1))*'Planning Engine'!$U$4:$U$2500),"--")</t>
  </si>
  <si>
    <t>=IFERROR(SUMPRODUCT(('Planning Engine'!$B$4:$B$2500="LLPS")*('Planning Engine'!$A$4:$A$2500=DATE(2034,9,1))*'Planning Engine'!$U$4:$U$2500),"--")</t>
  </si>
  <si>
    <t>=IFERROR(SUMPRODUCT(('Planning Engine'!$B$4:$B$2500="LLPS")*('Planning Engine'!$A$4:$A$2500=DATE(2034,10,1))*'Planning Engine'!$U$4:$U$2500),"--")</t>
  </si>
  <si>
    <t>=IFERROR(SUMPRODUCT(('Planning Engine'!$B$4:$B$2500="LLPS")*('Planning Engine'!$A$4:$A$2500=DATE(2034,11,1))*'Planning Engine'!$U$4:$U$2500),"--")</t>
  </si>
  <si>
    <t>=IFERROR(SUMPRODUCT(('Planning Engine'!$B$4:$B$2500="LLPS")*('Planning Engine'!$A$4:$A$2500=DATE(2034,12,1))*'Planning Engine'!$U$4:$U$2500),"--")</t>
  </si>
  <si>
    <t>=IFERROR(SUMPRODUCT(('Planning Engine'!$B$4:$B$2500="LLPS")*('Planning Engine'!$A$4:$A$2500=DATE(2035,1,1))*'Planning Engine'!$U$4:$U$2500),"--")</t>
  </si>
  <si>
    <t>=IFERROR(SUMPRODUCT(('Planning Engine'!$B$4:$B$2500="LLPS")*('Planning Engine'!$A$4:$A$2500=DATE(2035,2,1))*'Planning Engine'!$U$4:$U$2500),"--")</t>
  </si>
  <si>
    <t>=IFERROR(SUMPRODUCT(('Planning Engine'!$B$4:$B$2500="LLPS")*('Planning Engine'!$A$4:$A$2500=DATE(2035,3,1))*'Planning Engine'!$U$4:$U$2500),"--")</t>
  </si>
  <si>
    <t>=IFERROR(SUMPRODUCT(('Planning Engine'!$B$4:$B$2500="LLPS")*('Planning Engine'!$A$4:$A$2500=DATE(2035,4,1))*'Planning Engine'!$U$4:$U$2500),"--")</t>
  </si>
  <si>
    <t>=IFERROR(SUMPRODUCT(('Planning Engine'!$B$4:$B$2500="LLPS")*('Planning Engine'!$A$4:$A$2500=DATE(2035,5,1))*'Planning Engine'!$U$4:$U$2500),"--")</t>
  </si>
  <si>
    <t>=IFERROR(SUMPRODUCT(('Planning Engine'!$B$4:$B$2500="LLPS")*('Planning Engine'!$A$4:$A$2500=DATE(2035,6,1))*'Planning Engine'!$U$4:$U$2500),"--")</t>
  </si>
  <si>
    <t>=IFERROR(SUMPRODUCT(('Planning Engine'!$B$4:$B$2500="LLPS")*('Planning Engine'!$A$4:$A$2500=DATE(2035,7,1))*'Planning Engine'!$U$4:$U$2500),"--")</t>
  </si>
  <si>
    <t>=IFERROR(SUMPRODUCT(('Planning Engine'!$B$4:$B$2500="LLPS")*('Planning Engine'!$A$4:$A$2500=DATE(2035,8,1))*'Planning Engine'!$U$4:$U$2500),"--")</t>
  </si>
  <si>
    <t>=IFERROR(SUMPRODUCT(('Planning Engine'!$B$4:$B$2500="LLPS")*('Planning Engine'!$A$4:$A$2500=DATE(2035,9,1))*'Planning Engine'!$U$4:$U$2500),"--")</t>
  </si>
  <si>
    <t>=IFERROR(SUMPRODUCT(('Planning Engine'!$B$4:$B$2500="LLPS")*('Planning Engine'!$A$4:$A$2500=DATE(2035,10,1))*'Planning Engine'!$U$4:$U$2500),"--")</t>
  </si>
  <si>
    <t>=IFERROR(SUMPRODUCT(('Planning Engine'!$B$4:$B$2500="LLPS")*('Planning Engine'!$A$4:$A$2500=DATE(2035,11,1))*'Planning Engine'!$U$4:$U$2500),"--")</t>
  </si>
  <si>
    <t>=IFERROR(SUMPRODUCT(('Planning Engine'!$B$4:$B$2500="LLPS")*('Planning Engine'!$A$4:$A$2500=DATE(2035,12,1))*'Planning Engine'!$U$4:$U$2500),"--")</t>
  </si>
  <si>
    <t>=IFERROR(SUMPRODUCT(('Planning Engine'!$B$4:$B$2500="LLPS")*('Planning Engine'!$A$4:$A$2500=DATE(2036,1,1))*'Planning Engine'!$U$4:$U$2500),"--")</t>
  </si>
  <si>
    <t>=IFERROR(SUMPRODUCT(('Planning Engine'!$B$4:$B$2500="LLPS")*('Planning Engine'!$A$4:$A$2500=DATE(2036,2,1))*'Planning Engine'!$U$4:$U$2500),"--")</t>
  </si>
  <si>
    <t>=IFERROR(SUMPRODUCT(('Planning Engine'!$B$4:$B$2500="LLPS")*('Planning Engine'!$A$4:$A$2500=DATE(2036,3,1))*'Planning Engine'!$U$4:$U$2500),"--")</t>
  </si>
  <si>
    <t>=IFERROR(SUMPRODUCT(('Planning Engine'!$B$4:$B$2500="LLPS")*('Planning Engine'!$A$4:$A$2500=DATE(2036,4,1))*'Planning Engine'!$U$4:$U$2500),"--")</t>
  </si>
  <si>
    <t>=IFERROR(SUMPRODUCT(('Planning Engine'!$B$4:$B$2500="LLPS")*('Planning Engine'!$A$4:$A$2500=DATE(2036,5,1))*'Planning Engine'!$U$4:$U$2500),"--")</t>
  </si>
  <si>
    <t>=IFERROR(SUMPRODUCT(('Planning Engine'!$B$4:$B$2500="LLPS")*('Planning Engine'!$A$4:$A$2500=DATE(2036,6,1))*'Planning Engine'!$U$4:$U$2500),"--")</t>
  </si>
  <si>
    <t>=IFERROR(SUMPRODUCT(('Planning Engine'!$B$4:$B$2500="LLPS")*('Planning Engine'!$A$4:$A$2500=DATE(2036,7,1))*'Planning Engine'!$U$4:$U$2500),"--")</t>
  </si>
  <si>
    <t>=IFERROR(SUMPRODUCT(('Planning Engine'!$B$4:$B$2500="LLPS")*('Planning Engine'!$A$4:$A$2500=DATE(2036,8,1))*'Planning Engine'!$U$4:$U$2500),"--")</t>
  </si>
  <si>
    <t>=IFERROR(SUMPRODUCT(('Planning Engine'!$B$4:$B$2500="LLPS")*('Planning Engine'!$A$4:$A$2500=DATE(2036,9,1))*'Planning Engine'!$U$4:$U$2500),"--")</t>
  </si>
  <si>
    <t>=IFERROR(SUMPRODUCT(('Planning Engine'!$B$4:$B$2500="LLPS")*('Planning Engine'!$A$4:$A$2500=DATE(2036,10,1))*'Planning Engine'!$U$4:$U$2500),"--")</t>
  </si>
  <si>
    <t>=IFERROR(SUMPRODUCT(('Planning Engine'!$B$4:$B$2500="LLPS")*('Planning Engine'!$A$4:$A$2500=DATE(2036,11,1))*'Planning Engine'!$U$4:$U$2500),"--")</t>
  </si>
  <si>
    <t>=IFERROR(SUMPRODUCT(('Planning Engine'!$B$4:$B$2500="LLPS")*('Planning Engine'!$A$4:$A$2500=DATE(2036,12,1))*'Planning Engine'!$U$4:$U$2500),"--")</t>
  </si>
  <si>
    <t>=IFERROR(SUMPRODUCT(('Planning Engine'!$B$4:$B$2500="LLPS")*('Planning Engine'!$A$4:$A$2500=DATE(2037,1,1))*'Planning Engine'!$U$4:$U$2500),"--")</t>
  </si>
  <si>
    <t>=IFERROR(SUMPRODUCT(('Planning Engine'!$B$4:$B$2500="LLPS")*('Planning Engine'!$A$4:$A$2500=DATE(2037,2,1))*'Planning Engine'!$U$4:$U$2500),"--")</t>
  </si>
  <si>
    <t>=IFERROR(SUMPRODUCT(('Planning Engine'!$B$4:$B$2500="LLPS")*('Planning Engine'!$A$4:$A$2500=DATE(2037,3,1))*'Planning Engine'!$U$4:$U$2500),"--")</t>
  </si>
  <si>
    <t>=IFERROR(SUMPRODUCT(('Planning Engine'!$B$4:$B$2500="LLPS")*('Planning Engine'!$A$4:$A$2500=DATE(2037,4,1))*'Planning Engine'!$U$4:$U$2500),"--")</t>
  </si>
  <si>
    <t>=IFERROR(SUMPRODUCT(('Planning Engine'!$B$4:$B$2500="LLPS")*('Planning Engine'!$A$4:$A$2500=DATE(2037,5,1))*'Planning Engine'!$U$4:$U$2500),"--")</t>
  </si>
  <si>
    <t>=IFERROR(SUMPRODUCT(('Planning Engine'!$B$4:$B$2500="LLPS")*('Planning Engine'!$A$4:$A$2500=DATE(2037,6,1))*'Planning Engine'!$U$4:$U$2500),"--")</t>
  </si>
  <si>
    <t>=IFERROR(SUMPRODUCT(('Planning Engine'!$B$4:$B$2500="LLPS")*('Planning Engine'!$A$4:$A$2500=DATE(2037,7,1))*'Planning Engine'!$U$4:$U$2500),"--")</t>
  </si>
  <si>
    <t>=IFERROR(SUMPRODUCT(('Planning Engine'!$B$4:$B$2500="LLPS")*('Planning Engine'!$A$4:$A$2500=DATE(2037,8,1))*'Planning Engine'!$U$4:$U$2500),"--")</t>
  </si>
  <si>
    <t>=IFERROR(SUMPRODUCT(('Planning Engine'!$B$4:$B$2500="LLPS")*('Planning Engine'!$A$4:$A$2500=DATE(2037,9,1))*'Planning Engine'!$U$4:$U$2500),"--")</t>
  </si>
  <si>
    <t>=IFERROR(SUMPRODUCT(('Planning Engine'!$B$4:$B$2500="LLPS")*('Planning Engine'!$A$4:$A$2500=DATE(2037,10,1))*'Planning Engine'!$U$4:$U$2500),"--")</t>
  </si>
  <si>
    <t>=IFERROR(SUMPRODUCT(('Planning Engine'!$B$4:$B$2500="LLPS")*('Planning Engine'!$A$4:$A$2500=DATE(2037,11,1))*'Planning Engine'!$U$4:$U$2500),"--")</t>
  </si>
  <si>
    <t>=IFERROR(SUMPRODUCT(('Planning Engine'!$B$4:$B$2500="LLPS")*('Planning Engine'!$A$4:$A$2500=DATE(2037,12,1))*'Planning Engine'!$U$4:$U$2500),"--")</t>
  </si>
  <si>
    <t>=IFERROR(SUMPRODUCT(('Planning Engine'!$B$4:$B$2500="LLPS")*('Planning Engine'!$A$4:$A$2500=DATE(2038,1,1))*'Planning Engine'!$U$4:$U$2500),"--")</t>
  </si>
  <si>
    <t>=IFERROR(SUMPRODUCT(('Planning Engine'!$B$4:$B$2500="LLPS")*('Planning Engine'!$A$4:$A$2500=DATE(2038,2,1))*'Planning Engine'!$U$4:$U$2500),"--")</t>
  </si>
  <si>
    <t>=IFERROR(SUMPRODUCT(('Planning Engine'!$B$4:$B$2500="LLPS")*('Planning Engine'!$A$4:$A$2500=DATE(2038,3,1))*'Planning Engine'!$U$4:$U$2500),"--")</t>
  </si>
  <si>
    <t>=IFERROR(SUMPRODUCT(('Planning Engine'!$B$4:$B$2500="LLPS")*('Planning Engine'!$A$4:$A$2500=DATE(2038,4,1))*'Planning Engine'!$U$4:$U$2500),"--")</t>
  </si>
  <si>
    <t>=IFERROR(SUMPRODUCT(('Planning Engine'!$B$4:$B$2500="LLPS")*('Planning Engine'!$A$4:$A$2500=DATE(2038,5,1))*'Planning Engine'!$U$4:$U$2500),"--")</t>
  </si>
  <si>
    <t>=IFERROR(SUMPRODUCT(('Planning Engine'!$B$4:$B$2500="LLPS")*('Planning Engine'!$A$4:$A$2500=DATE(2038,6,1))*'Planning Engine'!$U$4:$U$2500),"--")</t>
  </si>
  <si>
    <t>=IFERROR(SUMPRODUCT(('Planning Engine'!$B$4:$B$2500="LLPS")*('Planning Engine'!$A$4:$A$2500=DATE(2038,7,1))*'Planning Engine'!$U$4:$U$2500),"--")</t>
  </si>
  <si>
    <t>=IFERROR(SUMPRODUCT(('Planning Engine'!$B$4:$B$2500="LLPS")*('Planning Engine'!$A$4:$A$2500=DATE(2038,8,1))*'Planning Engine'!$U$4:$U$2500),"--")</t>
  </si>
  <si>
    <t>=IFERROR(SUMPRODUCT(('Planning Engine'!$B$4:$B$2500="LLPS")*('Planning Engine'!$A$4:$A$2500=DATE(2038,9,1))*'Planning Engine'!$U$4:$U$2500),"--")</t>
  </si>
  <si>
    <t>=IFERROR(SUMPRODUCT(('Planning Engine'!$B$4:$B$2500="LLPS")*('Planning Engine'!$A$4:$A$2500=DATE(2038,10,1))*'Planning Engine'!$U$4:$U$2500),"--")</t>
  </si>
  <si>
    <t>=IFERROR(SUMPRODUCT(('Planning Engine'!$B$4:$B$2500="LLPS")*('Planning Engine'!$A$4:$A$2500=DATE(2038,11,1))*'Planning Engine'!$U$4:$U$2500),"--")</t>
  </si>
  <si>
    <t>=IFERROR(SUMPRODUCT(('Planning Engine'!$B$4:$B$2500="LLPS")*('Planning Engine'!$A$4:$A$2500=DATE(2038,12,1))*'Planning Engine'!$U$4:$U$2500),"--")</t>
  </si>
  <si>
    <t>=IFERROR(SUMPRODUCT(('Planning Engine'!$B$4:$B$2500="LLPS")*('Planning Engine'!$A$4:$A$2500=DATE(2039,1,1))*'Planning Engine'!$U$4:$U$2500),"--")</t>
  </si>
  <si>
    <t>=IFERROR(SUMPRODUCT(('Planning Engine'!$B$4:$B$2500="LLPS")*('Planning Engine'!$A$4:$A$2500=DATE(2039,2,1))*'Planning Engine'!$U$4:$U$2500),"--")</t>
  </si>
  <si>
    <t>=IFERROR(SUMPRODUCT(('Planning Engine'!$B$4:$B$2500="LLPS")*('Planning Engine'!$A$4:$A$2500=DATE(2039,3,1))*'Planning Engine'!$U$4:$U$2500),"--")</t>
  </si>
  <si>
    <t>=IFERROR(SUMPRODUCT(('Planning Engine'!$B$4:$B$2500="LLPS")*('Planning Engine'!$A$4:$A$2500=DATE(2039,4,1))*'Planning Engine'!$U$4:$U$2500),"--")</t>
  </si>
  <si>
    <t>=IFERROR(SUMPRODUCT(('Planning Engine'!$B$4:$B$2500="LLPS")*('Planning Engine'!$A$4:$A$2500=DATE(2039,5,1))*'Planning Engine'!$U$4:$U$2500),"--")</t>
  </si>
  <si>
    <t>=IFERROR(SUMPRODUCT(('Planning Engine'!$B$4:$B$2500="LLPS")*('Planning Engine'!$A$4:$A$2500=DATE(2039,6,1))*'Planning Engine'!$U$4:$U$2500),"--")</t>
  </si>
  <si>
    <t>=IFERROR(SUMPRODUCT(('Planning Engine'!$B$4:$B$2500="LLPS")*('Planning Engine'!$A$4:$A$2500=DATE(2039,7,1))*'Planning Engine'!$U$4:$U$2500),"--")</t>
  </si>
  <si>
    <t>=IFERROR(SUMPRODUCT(('Planning Engine'!$B$4:$B$2500="LLPS")*('Planning Engine'!$A$4:$A$2500=DATE(2039,8,1))*'Planning Engine'!$U$4:$U$2500),"--")</t>
  </si>
  <si>
    <t>=IFERROR(SUMPRODUCT(('Planning Engine'!$B$4:$B$2500="LLPS")*('Planning Engine'!$A$4:$A$2500=DATE(2039,9,1))*'Planning Engine'!$U$4:$U$2500),"--")</t>
  </si>
  <si>
    <t>=IFERROR(SUMPRODUCT(('Planning Engine'!$B$4:$B$2500="LLPS")*('Planning Engine'!$A$4:$A$2500=DATE(2039,10,1))*'Planning Engine'!$U$4:$U$2500),"--")</t>
  </si>
  <si>
    <t>=IFERROR(SUMPRODUCT(('Planning Engine'!$B$4:$B$2500="LLPS")*('Planning Engine'!$A$4:$A$2500=DATE(2039,11,1))*'Planning Engine'!$U$4:$U$2500),"--")</t>
  </si>
  <si>
    <t>=IFERROR(SUMPRODUCT(('Planning Engine'!$B$4:$B$2500="LLPS")*('Planning Engine'!$A$4:$A$2500=DATE(2039,12,1))*'Planning Engine'!$U$4:$U$2500),"--")</t>
  </si>
  <si>
    <t>=IFERROR(SUMPRODUCT(('Planning Engine'!$B$4:$B$2500="LLPS")*('Planning Engine'!$A$4:$A$2500=DATE(2040,1,1))*'Planning Engine'!$U$4:$U$2500),"--")</t>
  </si>
  <si>
    <t>=IFERROR(SUMPRODUCT(('Planning Engine'!$B$4:$B$2500="LLPS")*('Planning Engine'!$A$4:$A$2500=DATE(2040,2,1))*'Planning Engine'!$U$4:$U$2500),"--")</t>
  </si>
  <si>
    <t>=IFERROR(SUMPRODUCT(('Planning Engine'!$B$4:$B$2500="LLPS")*('Planning Engine'!$A$4:$A$2500=DATE(2040,3,1))*'Planning Engine'!$U$4:$U$2500),"--")</t>
  </si>
  <si>
    <t>=IFERROR(SUMPRODUCT(('Planning Engine'!$B$4:$B$2500="LLPS")*('Planning Engine'!$A$4:$A$2500=DATE(2040,4,1))*'Planning Engine'!$U$4:$U$2500),"--")</t>
  </si>
  <si>
    <t>=IFERROR(SUMPRODUCT(('Planning Engine'!$B$4:$B$2500="LLPS")*('Planning Engine'!$A$4:$A$2500=DATE(2040,5,1))*'Planning Engine'!$U$4:$U$2500),"--")</t>
  </si>
  <si>
    <t>=IFERROR(SUMPRODUCT(('Planning Engine'!$B$4:$B$2500="LLPS")*('Planning Engine'!$A$4:$A$2500=DATE(2040,6,1))*'Planning Engine'!$U$4:$U$2500),"--")</t>
  </si>
  <si>
    <t>=IFERROR(SUMPRODUCT(('Planning Engine'!$B$4:$B$2500="LLPS")*('Planning Engine'!$A$4:$A$2500=DATE(2040,7,1))*'Planning Engine'!$U$4:$U$2500),"--")</t>
  </si>
  <si>
    <t>=IFERROR(SUMPRODUCT(('Planning Engine'!$B$4:$B$2500="LLPS")*('Planning Engine'!$A$4:$A$2500=DATE(2040,8,1))*'Planning Engine'!$U$4:$U$2500),"--")</t>
  </si>
  <si>
    <t>=IFERROR(SUMPRODUCT(('Planning Engine'!$B$4:$B$2500="LLPS")*('Planning Engine'!$A$4:$A$2500=DATE(2040,9,1))*'Planning Engine'!$U$4:$U$2500),"--")</t>
  </si>
  <si>
    <t>=IFERROR(SUMPRODUCT(('Planning Engine'!$B$4:$B$2500="LLPS")*('Planning Engine'!$A$4:$A$2500=DATE(2040,10,1))*'Planning Engine'!$U$4:$U$2500),"--")</t>
  </si>
  <si>
    <t>=IFERROR(SUMPRODUCT(('Planning Engine'!$B$4:$B$2500="LLPS")*('Planning Engine'!$A$4:$A$2500=DATE(2040,11,1))*'Planning Engine'!$U$4:$U$2500),"--")</t>
  </si>
  <si>
    <t>=IFERROR(SUMPRODUCT(('Planning Engine'!$B$4:$B$2500="LLPS")*('Planning Engine'!$A$4:$A$2500=DATE(2040,12,1))*'Planning Engine'!$U$4:$U$2500),"--")</t>
  </si>
  <si>
    <t>TEST</t>
  </si>
  <si>
    <t>Combined</t>
  </si>
  <si>
    <t>Combined / Split</t>
  </si>
  <si>
    <t>Release Deadline</t>
  </si>
  <si>
    <t>Days to Release</t>
  </si>
  <si>
    <t>Lot Status</t>
  </si>
  <si>
    <t>Cum Demand (by product, thru month)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</si>
</sst>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2" formatCode="_(&quot;$&quot;* #,##0_);_(&quot;$&quot;* \(#,##0\);_(&quot;$&quot;* &quot;-&quot;_);_(@_)"/>
    <numFmt numFmtId="164" formatCode="yyyy\-mm\-dd"/>
    <numFmt numFmtId="165" formatCode="#,##0.##"/>
    <numFmt numFmtId="166" formatCode="0.00000000"/>
    <numFmt numFmtId="167" formatCode="&quot;$&quot;#,##0.00"/>
    <numFmt numFmtId="168" formatCode="&quot;$&quot;#,##0"/>
    <numFmt numFmtId="169" formatCode="&quot;$&quot;#,##0;[Red]&quot;$&quot;\(#,##0\)"/>
    <numFmt numFmtId="170" formatCode="0.0"/>
    <numFmt numFmtId="171" formatCode="#,##0.0;[Red]\(#,##0.0\);\-"/>
    <numFmt numFmtId="172" formatCode="mmm\-yyyy"/>
    <numFmt numFmtId="173" formatCode="[$-409]mmm\-yy;@"/>
    <numFmt numFmtId="174" formatCode="0.000000000"/>
    <numFmt numFmtId="175" formatCode="#,##0.0"/>
  </numFmts>
  <fonts count="111" x14ac:knownFonts="1">
    <font>
      <sz val="11"/>
      <color theme="1"/>
      <name val="Calibri"/>
      <family val="2"/>
      <scheme val="minor"/>
    </font>
    <font>
      <b/>
      <sz val="13"/>
      <color rgb="FFFFFFFF"/>
      <name val="Calibri"/>
      <family val="2"/>
    </font>
    <font>
      <b/>
      <sz val="8"/>
      <color rgb="FF9BB8D4"/>
      <name val="Calibri"/>
      <family val="2"/>
    </font>
    <font>
      <b/>
      <sz val="8"/>
      <color rgb="FFFFFFFF"/>
      <name val="Calibri"/>
      <family val="2"/>
    </font>
    <font>
      <b/>
      <sz val="9"/>
      <color rgb="FFFFFFFF"/>
      <name val="Calibri"/>
      <family val="2"/>
    </font>
    <font>
      <b/>
      <sz val="9"/>
      <color rgb="FF1A2B5E"/>
      <name val="Calibri"/>
      <family val="2"/>
    </font>
    <font>
      <sz val="9"/>
      <color rgb="FF000000"/>
      <name val="Calibri"/>
      <family val="2"/>
    </font>
    <font>
      <sz val="9"/>
      <color rgb="FF0000FF"/>
      <name val="Calibri"/>
      <family val="2"/>
    </font>
    <font>
      <b/>
      <sz val="10"/>
      <color rgb="FF7A5B00"/>
      <name val="Calibri"/>
      <family val="2"/>
    </font>
    <font>
      <i/>
      <sz val="9"/>
      <color rgb="FF64748B"/>
      <name val="Calibri"/>
      <family val="2"/>
    </font>
    <font>
      <b/>
      <sz val="9"/>
      <color rgb="FF2E6BB0"/>
      <name val="Calibri"/>
      <family val="2"/>
    </font>
    <font>
      <sz val="9"/>
      <color rgb="FF1A2B5E"/>
      <name val="Calibri"/>
      <family val="2"/>
    </font>
    <font>
      <b/>
      <sz val="10"/>
      <color rgb="FFFFFFFF"/>
      <name val="Calibri"/>
      <family val="2"/>
    </font>
    <font>
      <sz val="9"/>
      <color rgb="FF006400"/>
      <name val="Calibri"/>
      <family val="2"/>
    </font>
    <font>
      <b/>
      <sz val="11"/>
      <color rgb="FFFFFFFF"/>
      <name val="Calibri"/>
      <family val="2"/>
    </font>
    <font>
      <sz val="9"/>
      <color rgb="FF2E6BB0"/>
      <name val="Calibri"/>
      <family val="2"/>
    </font>
    <font>
      <sz val="8"/>
      <color rgb="FF0000FF"/>
      <name val="Calibri"/>
      <family val="2"/>
    </font>
    <font>
      <sz val="8"/>
      <color rgb="FF64748B"/>
      <name val="Calibri"/>
      <family val="2"/>
    </font>
    <font>
      <b/>
      <sz val="8"/>
      <color rgb="FF000000"/>
      <name val="Calibri"/>
      <family val="2"/>
    </font>
    <font>
      <b/>
      <sz val="12"/>
      <color rgb="FFFFFFFF"/>
      <name val="Calibri"/>
      <family val="2"/>
    </font>
    <font>
      <sz val="9"/>
      <color rgb="FF5B4A9E"/>
      <name val="Calibri"/>
      <family val="2"/>
    </font>
    <font>
      <sz val="8"/>
      <name val="Calibri"/>
      <family val="2"/>
    </font>
    <font>
      <b/>
      <sz val="13"/>
      <color rgb="FFFFFFFF"/>
      <name val="Calibri"/>
      <family val="2"/>
    </font>
    <font>
      <sz val="7"/>
      <color rgb="FFFFFFFF"/>
      <name val="Calibri"/>
      <family val="2"/>
    </font>
    <font>
      <i/>
      <sz val="8"/>
      <color rgb="FF9BB8D4"/>
      <name val="Calibri"/>
      <family val="2"/>
    </font>
    <font>
      <b/>
      <sz val="11"/>
      <color rgb="FFFFFFFF"/>
      <name val="Calibri"/>
      <family val="2"/>
    </font>
    <font>
      <sz val="11"/>
      <color theme="1"/>
      <name val="Calibri"/>
      <family val="2"/>
      <charset val="1"/>
    </font>
    <font>
      <b/>
      <sz val="10"/>
      <color rgb="FFFFFFFF"/>
      <name val="Calibri"/>
      <family val="2"/>
    </font>
    <font>
      <b/>
      <sz val="9"/>
      <color rgb="FF1A2B5E"/>
      <name val="Calibri"/>
      <family val="2"/>
    </font>
    <font>
      <sz val="9"/>
      <color rgb="FF1A2B5E"/>
      <name val="Calibri"/>
      <family val="2"/>
    </font>
    <font>
      <b/>
      <sz val="9"/>
      <color rgb="FF7A5B00"/>
      <name val="Calibri"/>
      <family val="2"/>
    </font>
    <font>
      <i/>
      <sz val="8"/>
      <color rgb="FF2E6BB0"/>
      <name val="Calibri"/>
      <family val="2"/>
    </font>
    <font>
      <sz val="9"/>
      <color rgb="FF64748B"/>
      <name val="Calibri"/>
      <family val="2"/>
    </font>
    <font>
      <sz val="9"/>
      <color rgb="FF7A5B00"/>
      <name val="Calibri"/>
      <family val="2"/>
    </font>
    <font>
      <sz val="8"/>
      <color rgb="FF006400"/>
      <name val="Calibri"/>
      <family val="2"/>
    </font>
    <font>
      <b/>
      <sz val="14"/>
      <color rgb="FFFFFFFF"/>
      <name val="Calibri"/>
      <family val="2"/>
    </font>
    <font>
      <b/>
      <sz val="11"/>
      <name val="Calibri"/>
      <family val="2"/>
    </font>
    <font>
      <i/>
      <sz val="8"/>
      <color rgb="FF9BB8D4"/>
      <name val="Calibri"/>
      <family val="2"/>
    </font>
    <font>
      <sz val="9"/>
      <color rgb="FFB71C1C"/>
      <name val="Calibri"/>
      <family val="2"/>
    </font>
    <font>
      <sz val="9"/>
      <color rgb="FF7A5B00"/>
      <name val="Calibri"/>
      <family val="2"/>
    </font>
    <font>
      <i/>
      <sz val="8"/>
      <color rgb="FF64748B"/>
      <name val="Calibri"/>
      <family val="2"/>
    </font>
    <font>
      <sz val="9"/>
      <color rgb="FF1B5E20"/>
      <name val="Calibri"/>
      <family val="2"/>
    </font>
    <font>
      <i/>
      <sz val="8"/>
      <color rgb="FF2E6BB0"/>
      <name val="Calibri"/>
      <family val="2"/>
    </font>
    <font>
      <i/>
      <sz val="9"/>
      <color rgb="FF9BB8D4"/>
      <name val="Calibri"/>
      <family val="2"/>
    </font>
    <font>
      <b/>
      <sz val="8"/>
      <color rgb="FF276221"/>
      <name val="Calibri"/>
      <family val="2"/>
    </font>
    <font>
      <b/>
      <sz val="8"/>
      <color rgb="FF9C6500"/>
      <name val="Calibri"/>
      <family val="2"/>
    </font>
    <font>
      <b/>
      <sz val="8"/>
      <color rgb="FF64748B"/>
      <name val="Calibri"/>
      <family val="2"/>
    </font>
    <font>
      <sz val="8"/>
      <color rgb="FF2E6BB0"/>
      <name val="Calibri"/>
      <family val="2"/>
    </font>
    <font>
      <sz val="8"/>
      <color rgb="FF276221"/>
      <name val="Calibri"/>
      <family val="2"/>
    </font>
    <font>
      <sz val="8"/>
      <color rgb="FF9C6500"/>
      <name val="Calibri"/>
      <family val="2"/>
    </font>
    <font>
      <b/>
      <sz val="8"/>
      <color rgb="FF1A2B5E"/>
      <name val="Calibri"/>
      <family val="2"/>
    </font>
    <font>
      <b/>
      <sz val="8"/>
      <color rgb="FF7A5B00"/>
      <name val="Calibri"/>
      <family val="2"/>
    </font>
    <font>
      <b/>
      <sz val="7"/>
      <color rgb="FF276221"/>
      <name val="Calibri"/>
      <family val="2"/>
    </font>
    <font>
      <b/>
      <sz val="7"/>
      <color rgb="FF9C6500"/>
      <name val="Calibri"/>
      <family val="2"/>
    </font>
    <font>
      <b/>
      <sz val="7"/>
      <color rgb="FF64748B"/>
      <name val="Calibri"/>
      <family val="2"/>
    </font>
    <font>
      <b/>
      <sz val="9"/>
      <color rgb="FF7A5B00"/>
      <name val="Calibri"/>
      <family val="2"/>
    </font>
    <font>
      <b/>
      <sz val="9"/>
      <color rgb="FF000000"/>
      <name val="Calibri"/>
      <family val="2"/>
    </font>
    <font>
      <i/>
      <sz val="9"/>
      <color rgb="FF7A5B00"/>
      <name val="Calibri"/>
      <family val="2"/>
    </font>
    <font>
      <b/>
      <sz val="7"/>
      <color rgb="FFFFFFFF"/>
      <name val="Calibri"/>
      <family val="2"/>
    </font>
    <font>
      <b/>
      <sz val="18"/>
      <color rgb="FFFFFFFF"/>
      <name val="Calibri"/>
      <family val="2"/>
    </font>
    <font>
      <b/>
      <sz val="10"/>
      <color rgb="FF1A2B5E"/>
      <name val="Calibri"/>
      <family val="2"/>
    </font>
    <font>
      <sz val="8"/>
      <color rgb="FF9BB8D4"/>
      <name val="Calibri"/>
      <family val="2"/>
    </font>
    <font>
      <b/>
      <sz val="9"/>
      <color rgb="FFB71C1C"/>
      <name val="Calibri"/>
      <family val="2"/>
    </font>
    <font>
      <sz val="9"/>
      <color rgb="FF64748B"/>
      <name val="Calibri"/>
      <family val="2"/>
    </font>
    <font>
      <b/>
      <sz val="9"/>
      <color rgb="FF1B5E20"/>
      <name val="Calibri"/>
      <family val="2"/>
    </font>
    <font>
      <sz val="8"/>
      <name val="Calibri"/>
      <family val="2"/>
      <scheme val="minor"/>
    </font>
    <font>
      <b/>
      <sz val="9"/>
      <color rgb="FF1A2B5E"/>
      <name val="Calibri"/>
      <family val="2"/>
    </font>
    <font>
      <b/>
      <sz val="8"/>
      <color rgb="FFFFFFFF"/>
      <name val="Calibri"/>
      <family val="2"/>
    </font>
    <font>
      <sz val="9"/>
      <color rgb="FF1B2A4A"/>
      <name val="Arial"/>
      <family val="2"/>
    </font>
    <font>
      <b/>
      <sz val="9"/>
      <color rgb="FF1B2A4A"/>
      <name val="Arial"/>
      <family val="2"/>
    </font>
    <font>
      <b/>
      <sz val="9"/>
      <color rgb="FFFFFFFF"/>
      <name val="Arial"/>
      <family val="2"/>
    </font>
    <font>
      <b/>
      <sz val="9"/>
      <color rgb="FF375623"/>
      <name val="Arial"/>
      <family val="2"/>
    </font>
    <font>
      <b/>
      <sz val="9"/>
      <color rgb="FF7D4E00"/>
      <name val="Arial"/>
      <family val="2"/>
    </font>
    <font>
      <i/>
      <sz val="9"/>
      <color rgb="FF555555"/>
      <name val="Arial"/>
      <family val="2"/>
    </font>
    <font>
      <b/>
      <sz val="13"/>
      <color rgb="FFFFFFFF"/>
      <name val="Arial"/>
      <family val="2"/>
    </font>
    <font>
      <sz val="9"/>
      <color theme="1" tint="0.499984740745262"/>
      <name val="Calibri"/>
      <family val="2"/>
    </font>
    <font>
      <sz val="11"/>
      <color rgb="FF000000"/>
      <name val="Calibri"/>
      <family val="2"/>
    </font>
    <font>
      <b/>
      <sz val="11"/>
      <color theme="1"/>
      <name val="Calibri"/>
      <family val="2"/>
      <scheme val="minor"/>
    </font>
    <font>
      <sz val="11"/>
      <color rgb="FF000000"/>
      <name val="Calibri"/>
      <family val="2"/>
      <scheme val="minor"/>
    </font>
    <font>
      <b/>
      <sz val="11"/>
      <color rgb="FFFFFFFF"/>
      <name val="Calibri"/>
      <family val="2"/>
      <scheme val="minor"/>
    </font>
    <font>
      <b/>
      <sz val="9"/>
      <color rgb="FFFFFFFF"/>
      <name val="Calibri"/>
      <family val="2"/>
      <scheme val="minor"/>
    </font>
    <font>
      <b/>
      <sz val="9"/>
      <color rgb="FF1A2B5E"/>
      <name val="Calibri"/>
      <family val="2"/>
      <scheme val="minor"/>
    </font>
    <font>
      <sz val="9"/>
      <color rgb="FF000000"/>
      <name val="Calibri"/>
      <family val="2"/>
      <scheme val="minor"/>
    </font>
    <font>
      <sz val="9"/>
      <color rgb="FF999999"/>
      <name val="Calibri"/>
      <family val="2"/>
      <scheme val="minor"/>
    </font>
    <font>
      <b/>
      <sz val="9"/>
      <color rgb="FF1A2B5E"/>
      <name val="Calibri"/>
    </font>
    <font>
      <sz val="11"/>
      <color rgb="FF000000"/>
      <name val="Calibri"/>
      <scheme val="minor"/>
    </font>
    <font>
      <sz val="9"/>
      <color rgb="FF0000FF"/>
      <name val="Calibri"/>
    </font>
    <font>
      <sz val="9"/>
      <color rgb="FF000000"/>
      <name val="Calibri"/>
    </font>
    <font>
      <b/>
      <sz val="10"/>
      <color rgb="FFFFFFFF"/>
      <name val="Calibri"/>
      <scheme val="minor"/>
    </font>
    <font>
      <b/>
      <sz val="8"/>
      <color rgb="FFFFFFFF"/>
      <name val="Calibri"/>
      <scheme val="minor"/>
    </font>
    <font>
      <sz val="9"/>
      <color rgb="FFFFFFFF"/>
      <name val="Calibri"/>
      <family val="2"/>
      <scheme val="minor"/>
    </font>
    <font>
      <b/>
      <sz val="9"/>
      <color rgb="FFFFFFFF"/>
      <name val="Calibri"/>
      <scheme val="minor"/>
    </font>
    <font>
      <b/>
      <sz val="8"/>
      <color rgb="FF000000"/>
      <name val="Calibri"/>
      <scheme val="minor"/>
    </font>
    <font>
      <sz val="9"/>
      <color rgb="FF2E6BB0"/>
      <name val="Calibri"/>
    </font>
    <font>
      <sz val="9"/>
      <color rgb="FF5B4A9E"/>
      <name val="Calibri"/>
      <scheme val="minor"/>
    </font>
    <font>
      <i/>
      <sz val="9"/>
      <color rgb="FF64748B"/>
      <name val="Calibri"/>
    </font>
    <font>
      <sz val="9"/>
      <color rgb="FF0000FF"/>
      <name val="Calibri"/>
      <scheme val="minor"/>
    </font>
    <font>
      <b/>
      <sz val="9"/>
      <color rgb="FF1A2B5E"/>
      <name val="Calibri"/>
      <scheme val="minor"/>
    </font>
    <font>
      <sz val="9"/>
      <color rgb="FF2E6BB0"/>
      <name val="Calibri"/>
      <family val="2"/>
      <scheme val="minor"/>
    </font>
    <font>
      <sz val="9"/>
      <color rgb="FF2E6BB0"/>
      <name val="Calibri"/>
      <scheme val="minor"/>
    </font>
    <font>
      <i/>
      <sz val="9"/>
      <color rgb="FF64748B"/>
      <name val="Calibri"/>
      <scheme val="minor"/>
    </font>
    <font>
      <sz val="11"/>
      <color rgb="FF000000"/>
      <name val="Calibri"/>
    </font>
    <font>
      <i/>
      <sz val="11"/>
      <color rgb="FF64748B"/>
      <name val="Calibri"/>
    </font>
    <font>
      <sz val="9"/>
      <color theme="1"/>
      <name val="Calibri"/>
      <family val="2"/>
      <scheme val="minor"/>
    </font>
    <font>
      <sz val="9"/>
      <color rgb="FFB71C1C"/>
      <name val="Calibri"/>
      <family val="2"/>
      <scheme val="minor"/>
    </font>
    <font>
      <b/>
      <sz val="8"/>
      <color rgb="FF0000FF"/>
      <name val="Calibri"/>
      <family val="2"/>
    </font>
    <font>
      <sz val="9"/>
      <color rgb="FFFFFFFF"/>
      <name val="Calibri"/>
      <family val="2"/>
    </font>
    <font>
      <b/>
      <sz val="11"/>
      <color rgb="FF0000FF"/>
      <name val="Calibri"/>
      <family val="2"/>
      <scheme val="minor"/>
    </font>
    <font>
      <i/>
      <sz val="7"/>
      <color rgb="FF64748B"/>
      <name val="Calibri"/>
      <family val="2"/>
      <scheme val="minor"/>
    </font>
    <font>
      <b/>
      <sz val="9"/>
      <color indexed="81"/>
      <name val="Tahoma"/>
      <family val="2"/>
    </font>
    <font>
      <sz val="9"/>
      <color indexed="81"/>
      <name val="Tahoma"/>
      <family val="2"/>
    </font>
  </fonts>
  <fills count="57">
    <fill>
      <patternFill patternType="none"/>
    </fill>
    <fill>
      <patternFill patternType="gray125"/>
    </fill>
    <fill>
      <patternFill patternType="solid">
        <fgColor rgb="FF1A2B5E"/>
      </patternFill>
    </fill>
    <fill>
      <patternFill patternType="solid">
        <fgColor rgb="FF222E55"/>
      </patternFill>
    </fill>
    <fill>
      <patternFill patternType="solid">
        <fgColor rgb="FFC0392B"/>
      </patternFill>
    </fill>
    <fill>
      <patternFill patternType="solid">
        <fgColor rgb="FFFFFFFF"/>
      </patternFill>
    </fill>
    <fill>
      <patternFill patternType="solid">
        <fgColor rgb="FFE8EDF8"/>
      </patternFill>
    </fill>
    <fill>
      <patternFill patternType="solid">
        <fgColor rgb="FFFFF3CD"/>
      </patternFill>
    </fill>
    <fill>
      <patternFill patternType="solid">
        <fgColor rgb="FFE8F5E9"/>
      </patternFill>
    </fill>
    <fill>
      <patternFill patternType="solid">
        <fgColor rgb="FFF4F6FB"/>
      </patternFill>
    </fill>
    <fill>
      <patternFill patternType="solid">
        <fgColor rgb="FFFFEBEE"/>
      </patternFill>
    </fill>
    <fill>
      <patternFill patternType="solid">
        <fgColor rgb="FF2E6BB0"/>
      </patternFill>
    </fill>
    <fill>
      <patternFill patternType="solid">
        <fgColor rgb="FF5B4A9E"/>
      </patternFill>
    </fill>
    <fill>
      <patternFill patternType="solid">
        <fgColor rgb="FFD5DCF0"/>
      </patternFill>
    </fill>
    <fill>
      <patternFill patternType="solid">
        <fgColor rgb="FF1A2B5E"/>
      </patternFill>
    </fill>
    <fill>
      <patternFill patternType="solid">
        <fgColor rgb="FF222E55"/>
      </patternFill>
    </fill>
    <fill>
      <patternFill patternType="solid">
        <fgColor rgb="FF5B4A9E"/>
      </patternFill>
    </fill>
    <fill>
      <patternFill patternType="solid">
        <fgColor rgb="FF2E6BB0"/>
      </patternFill>
    </fill>
    <fill>
      <patternFill patternType="solid">
        <fgColor rgb="FFF4F6FB"/>
      </patternFill>
    </fill>
    <fill>
      <patternFill patternType="solid">
        <fgColor rgb="FFFFF3CD"/>
      </patternFill>
    </fill>
    <fill>
      <patternFill patternType="solid">
        <fgColor rgb="FFE8EDF8"/>
      </patternFill>
    </fill>
    <fill>
      <patternFill patternType="solid">
        <fgColor rgb="FFFFFFFF"/>
      </patternFill>
    </fill>
    <fill>
      <patternFill patternType="solid">
        <fgColor rgb="FF27AE60"/>
      </patternFill>
    </fill>
    <fill>
      <patternFill patternType="solid">
        <fgColor rgb="FFE8F5E9"/>
      </patternFill>
    </fill>
    <fill>
      <patternFill patternType="solid">
        <fgColor rgb="FFC0392B"/>
      </patternFill>
    </fill>
    <fill>
      <patternFill patternType="solid">
        <fgColor rgb="FFFFEBEE"/>
      </patternFill>
    </fill>
    <fill>
      <patternFill patternType="solid">
        <fgColor rgb="FF0070A8"/>
      </patternFill>
    </fill>
    <fill>
      <patternFill patternType="solid">
        <fgColor rgb="FF1F4E78"/>
        <bgColor rgb="FF1A5E38"/>
      </patternFill>
    </fill>
    <fill>
      <patternFill patternType="solid">
        <fgColor rgb="FFD9EAF7"/>
        <bgColor rgb="FFDDEBF7"/>
      </patternFill>
    </fill>
    <fill>
      <patternFill patternType="solid">
        <fgColor rgb="FFEAF2FF"/>
        <bgColor rgb="FFE8EDF8"/>
      </patternFill>
    </fill>
    <fill>
      <patternFill patternType="solid">
        <fgColor rgb="FF27AE60"/>
      </patternFill>
    </fill>
    <fill>
      <patternFill patternType="solid">
        <fgColor rgb="FFC6EFCE"/>
      </patternFill>
    </fill>
    <fill>
      <patternFill patternType="solid">
        <fgColor rgb="FFFFEB9C"/>
      </patternFill>
    </fill>
    <fill>
      <patternFill patternType="solid">
        <fgColor rgb="FFE74C3C"/>
      </patternFill>
    </fill>
    <fill>
      <patternFill patternType="solid">
        <fgColor rgb="FFE67E22"/>
      </patternFill>
    </fill>
    <fill>
      <patternFill patternType="solid">
        <fgColor rgb="FFB71C1C"/>
      </patternFill>
    </fill>
    <fill>
      <patternFill patternType="solid">
        <fgColor rgb="FFFFE0E0"/>
      </patternFill>
    </fill>
    <fill>
      <patternFill patternType="solid">
        <fgColor rgb="FF1B2A4A"/>
        <bgColor rgb="FF003366"/>
      </patternFill>
    </fill>
    <fill>
      <patternFill patternType="solid">
        <fgColor rgb="FFEBF5EB"/>
        <bgColor rgb="FFFFF9EC"/>
      </patternFill>
    </fill>
    <fill>
      <patternFill patternType="solid">
        <fgColor rgb="FFC6EFCE"/>
        <bgColor rgb="FFCCFFFF"/>
      </patternFill>
    </fill>
    <fill>
      <patternFill patternType="solid">
        <fgColor rgb="FF3B6FBF"/>
        <bgColor rgb="FF2E5BA8"/>
      </patternFill>
    </fill>
    <fill>
      <patternFill patternType="solid">
        <fgColor rgb="FFFFF9EC"/>
        <bgColor rgb="FFFFFFFF"/>
      </patternFill>
    </fill>
    <fill>
      <patternFill patternType="solid">
        <fgColor rgb="FFFFEB9C"/>
        <bgColor rgb="FFFFCC99"/>
      </patternFill>
    </fill>
    <fill>
      <patternFill patternType="solid">
        <fgColor rgb="FF2E5BA8"/>
        <bgColor rgb="FF3B6FBF"/>
      </patternFill>
    </fill>
    <fill>
      <patternFill patternType="solid">
        <fgColor theme="0" tint="-0.14999847407452621"/>
        <bgColor indexed="64"/>
      </patternFill>
    </fill>
    <fill>
      <patternFill patternType="solid">
        <fgColor rgb="FFD9E1F2"/>
        <bgColor indexed="64"/>
      </patternFill>
    </fill>
    <fill>
      <patternFill patternType="solid">
        <fgColor rgb="FF2E6BB0"/>
        <bgColor indexed="64"/>
      </patternFill>
    </fill>
    <fill>
      <patternFill patternType="solid">
        <fgColor rgb="FFFFFFFF"/>
        <bgColor indexed="64"/>
      </patternFill>
    </fill>
    <fill>
      <patternFill patternType="solid">
        <fgColor rgb="FFF4F6FB"/>
        <bgColor indexed="64"/>
      </patternFill>
    </fill>
    <fill>
      <patternFill patternType="solid">
        <fgColor rgb="FF5B4A9E"/>
        <bgColor indexed="64"/>
      </patternFill>
    </fill>
    <fill>
      <patternFill patternType="solid">
        <fgColor rgb="FFFFF3CD"/>
        <bgColor indexed="64"/>
      </patternFill>
    </fill>
    <fill>
      <patternFill patternType="solid">
        <fgColor rgb="FFFFEBEE"/>
        <bgColor indexed="64"/>
      </patternFill>
    </fill>
    <fill>
      <patternFill patternType="solid">
        <fgColor rgb="FF1A2B5E"/>
        <bgColor indexed="64"/>
      </patternFill>
    </fill>
    <fill>
      <patternFill patternType="solid">
        <fgColor rgb="FFD5DCF0"/>
        <bgColor indexed="64"/>
      </patternFill>
    </fill>
    <fill>
      <patternFill patternType="solid">
        <fgColor rgb="FFE8EDF8"/>
        <bgColor indexed="64"/>
      </patternFill>
    </fill>
    <fill>
      <patternFill patternType="solid">
        <fgColor rgb="FFEAF2FF"/>
        <bgColor indexed="64"/>
      </patternFill>
    </fill>
    <fill>
      <patternFill patternType="solid">
        <fgColor rgb="FFFFFFCC"/>
        <bgColor indexed="64"/>
      </patternFill>
    </fill>
  </fills>
  <borders count="21">
    <border>
      <left/>
      <right/>
      <top/>
      <bottom/>
      <diagonal/>
    </border>
    <border>
      <left style="thin">
        <color rgb="FFD5DCF0"/>
      </left>
      <right style="thin">
        <color rgb="FFD5DCF0"/>
      </right>
      <top style="thin">
        <color rgb="FFD5DCF0"/>
      </top>
      <bottom style="thin">
        <color rgb="FFD5DCF0"/>
      </bottom>
      <diagonal/>
    </border>
    <border>
      <left style="thin">
        <color rgb="FFD5DCF0"/>
      </left>
      <right style="thin">
        <color rgb="FFD5DCF0"/>
      </right>
      <top style="thin">
        <color rgb="FFD5DCF0"/>
      </top>
      <bottom style="thin">
        <color rgb="FFD5DCF0"/>
      </bottom>
      <diagonal/>
    </border>
    <border>
      <left style="thin">
        <color rgb="FFB7B7B7"/>
      </left>
      <right style="thin">
        <color rgb="FFB7B7B7"/>
      </right>
      <top style="thin">
        <color rgb="FFB7B7B7"/>
      </top>
      <bottom style="thin">
        <color rgb="FFB7B7B7"/>
      </bottom>
      <diagonal/>
    </border>
    <border>
      <left/>
      <right/>
      <top/>
      <bottom style="thin">
        <color rgb="FFD5DCF0"/>
      </bottom>
      <diagonal/>
    </border>
    <border>
      <left/>
      <right/>
      <top style="thin">
        <color rgb="FFD5DCF0"/>
      </top>
      <bottom style="thin">
        <color rgb="FFD5DCF0"/>
      </bottom>
      <diagonal/>
    </border>
    <border>
      <left/>
      <right style="thin">
        <color rgb="FFD5DCF0"/>
      </right>
      <top style="thin">
        <color rgb="FFD5DCF0"/>
      </top>
      <bottom style="thin">
        <color rgb="FFD5DCF0"/>
      </bottom>
      <diagonal/>
    </border>
    <border>
      <left/>
      <right/>
      <top/>
      <bottom style="thin">
        <color rgb="FFD5DCF0"/>
      </bottom>
      <diagonal/>
    </border>
    <border>
      <left style="thin">
        <color rgb="FFD5DCF0"/>
      </left>
      <right/>
      <top style="thin">
        <color rgb="FFD5DCF0"/>
      </top>
      <bottom style="thin">
        <color rgb="FFD5DCF0"/>
      </bottom>
      <diagonal/>
    </border>
    <border>
      <left style="thin">
        <color rgb="FFCCCCCC"/>
      </left>
      <right style="thin">
        <color rgb="FFCCCCCC"/>
      </right>
      <top style="thin">
        <color rgb="FFCCCCCC"/>
      </top>
      <bottom style="thin">
        <color rgb="FFCCCCCC"/>
      </bottom>
      <diagonal/>
    </border>
    <border>
      <left style="thin">
        <color rgb="FFD5DCF0"/>
      </left>
      <right/>
      <top/>
      <bottom/>
      <diagonal/>
    </border>
    <border>
      <left style="thin">
        <color rgb="FFD5DCF0"/>
      </left>
      <right style="thin">
        <color rgb="FFD5DCF0"/>
      </right>
      <top style="thin">
        <color rgb="FFD5DCF0"/>
      </top>
      <bottom/>
      <diagonal/>
    </border>
    <border>
      <left style="thin">
        <color rgb="FFD5DCF0"/>
      </left>
      <right style="thin">
        <color rgb="FFD5DCF0"/>
      </right>
      <top/>
      <bottom style="thin">
        <color rgb="FFD5DCF0"/>
      </bottom>
      <diagonal/>
    </border>
    <border>
      <left/>
      <right/>
      <top style="thin">
        <color rgb="FFD5DCF0"/>
      </top>
      <bottom/>
      <diagonal/>
    </border>
    <border>
      <left style="thin">
        <color rgb="FFD5DCF0"/>
      </left>
      <right/>
      <top style="thin">
        <color rgb="FFD5DCF0"/>
      </top>
      <bottom/>
      <diagonal/>
    </border>
    <border>
      <left/>
      <right style="thin">
        <color rgb="FFB7B7B7"/>
      </right>
      <top style="thin">
        <color rgb="FFB7B7B7"/>
      </top>
      <bottom style="thin">
        <color rgb="FFB7B7B7"/>
      </bottom>
      <diagonal/>
    </border>
    <border>
      <left style="thin">
        <color rgb="FFB7B7B7"/>
      </left>
      <right style="thin">
        <color rgb="FFB7B7B7"/>
      </right>
      <top style="thin">
        <color rgb="FFB7B7B7"/>
      </top>
      <bottom/>
      <diagonal/>
    </border>
    <border>
      <left style="thin">
        <color rgb="FFB7B7B7"/>
      </left>
      <right style="thin">
        <color rgb="FFB7B7B7"/>
      </right>
      <top/>
      <bottom style="thin">
        <color rgb="FFB7B7B7"/>
      </bottom>
      <diagonal/>
    </border>
    <border>
      <left style="thin">
        <color rgb="FFB7B7B7"/>
      </left>
      <right/>
      <top style="thin">
        <color rgb="FFB7B7B7"/>
      </top>
      <bottom style="thin">
        <color rgb="FFB7B7B7"/>
      </bottom>
      <diagonal/>
    </border>
    <border>
      <left style="thin">
        <color rgb="FFB7B7B7"/>
      </left>
      <right style="thin">
        <color rgb="FFB7B7B7"/>
      </right>
      <top/>
      <bottom/>
      <diagonal/>
    </border>
    <border>
      <left style="thin">
        <color rgb="FFD5DCF0"/>
      </left>
      <right style="thin">
        <color rgb="FFD5DCF0"/>
      </right>
      <top/>
      <bottom/>
      <diagonal/>
    </border>
  </borders>
  <cellStyleXfs count="2">
    <xf numFmtId="0" fontId="0" fillId="0" borderId="0"/>
    <xf numFmtId="0" fontId="26" fillId="0" borderId="0"/>
  </cellStyleXfs>
  <cellXfs count="464">
    <xf numFmtId="0" fontId="0" fillId="0" borderId="0" xfId="0"/>
    <xf numFmtId="0" fontId="4" fillId="2" borderId="1" xfId="0" applyFont="1" applyFill="1" applyBorder="1" applyAlignment="1">
      <alignment horizontal="center" vertical="center" wrapText="1"/>
    </xf>
    <xf numFmtId="0" fontId="5" fillId="5" borderId="1" xfId="0" applyFont="1" applyFill="1" applyBorder="1" applyAlignment="1">
      <alignment horizontal="left" vertical="center"/>
    </xf>
    <xf numFmtId="0" fontId="6" fillId="5" borderId="1" xfId="0" applyFont="1" applyFill="1" applyBorder="1" applyAlignment="1">
      <alignment horizontal="left" vertical="center"/>
    </xf>
    <xf numFmtId="0" fontId="6" fillId="5" borderId="1" xfId="0" applyFont="1" applyFill="1" applyBorder="1" applyAlignment="1">
      <alignment horizontal="center" vertical="center"/>
    </xf>
    <xf numFmtId="0" fontId="7" fillId="6" borderId="1" xfId="0" applyFont="1" applyFill="1" applyBorder="1" applyAlignment="1">
      <alignment horizontal="center" vertical="center"/>
    </xf>
    <xf numFmtId="164" fontId="7" fillId="6" borderId="1" xfId="0" applyNumberFormat="1" applyFont="1" applyFill="1" applyBorder="1" applyAlignment="1">
      <alignment horizontal="center" vertical="center"/>
    </xf>
    <xf numFmtId="0" fontId="8" fillId="7" borderId="1" xfId="0" applyFont="1" applyFill="1" applyBorder="1" applyAlignment="1">
      <alignment horizontal="center" vertical="center"/>
    </xf>
    <xf numFmtId="0" fontId="6" fillId="8" borderId="1" xfId="0" applyFont="1" applyFill="1" applyBorder="1" applyAlignment="1">
      <alignment horizontal="center" vertical="center"/>
    </xf>
    <xf numFmtId="0" fontId="9" fillId="5" borderId="1" xfId="0" applyFont="1" applyFill="1" applyBorder="1" applyAlignment="1">
      <alignment horizontal="left" vertical="center"/>
    </xf>
    <xf numFmtId="0" fontId="5" fillId="9" borderId="1" xfId="0" applyFont="1" applyFill="1" applyBorder="1" applyAlignment="1">
      <alignment horizontal="left" vertical="center"/>
    </xf>
    <xf numFmtId="0" fontId="6" fillId="9" borderId="1" xfId="0" applyFont="1" applyFill="1" applyBorder="1" applyAlignment="1">
      <alignment horizontal="left" vertical="center"/>
    </xf>
    <xf numFmtId="0" fontId="6" fillId="9" borderId="1" xfId="0" applyFont="1" applyFill="1" applyBorder="1" applyAlignment="1">
      <alignment horizontal="center" vertical="center"/>
    </xf>
    <xf numFmtId="0" fontId="9" fillId="9" borderId="1" xfId="0" applyFont="1" applyFill="1" applyBorder="1" applyAlignment="1">
      <alignment horizontal="left" vertical="center"/>
    </xf>
    <xf numFmtId="0" fontId="10" fillId="5" borderId="1" xfId="0" applyFont="1" applyFill="1" applyBorder="1" applyAlignment="1">
      <alignment horizontal="left" vertical="center"/>
    </xf>
    <xf numFmtId="0" fontId="6" fillId="0" borderId="1" xfId="0" applyFont="1" applyBorder="1" applyAlignment="1">
      <alignment horizontal="center" vertical="center"/>
    </xf>
    <xf numFmtId="0" fontId="10" fillId="9" borderId="1" xfId="0" applyFont="1" applyFill="1" applyBorder="1" applyAlignment="1">
      <alignment horizontal="left" vertical="center"/>
    </xf>
    <xf numFmtId="0" fontId="11" fillId="9" borderId="1" xfId="0" applyFont="1" applyFill="1" applyBorder="1" applyAlignment="1">
      <alignment horizontal="left" vertical="center"/>
    </xf>
    <xf numFmtId="0" fontId="4" fillId="11" borderId="1" xfId="0" applyFont="1" applyFill="1" applyBorder="1" applyAlignment="1">
      <alignment horizontal="center" vertical="center" wrapText="1"/>
    </xf>
    <xf numFmtId="17" fontId="7" fillId="6" borderId="1" xfId="0" applyNumberFormat="1" applyFont="1" applyFill="1" applyBorder="1" applyAlignment="1">
      <alignment horizontal="center" vertical="center"/>
    </xf>
    <xf numFmtId="0" fontId="4" fillId="12" borderId="1" xfId="0" applyFont="1" applyFill="1" applyBorder="1" applyAlignment="1">
      <alignment horizontal="center" vertical="center" wrapText="1"/>
    </xf>
    <xf numFmtId="0" fontId="13" fillId="0" borderId="1" xfId="0" applyFont="1" applyBorder="1" applyAlignment="1">
      <alignment horizontal="center" vertical="center"/>
    </xf>
    <xf numFmtId="0" fontId="15" fillId="5" borderId="1" xfId="0" applyFont="1" applyFill="1" applyBorder="1" applyAlignment="1">
      <alignment horizontal="left" vertical="center"/>
    </xf>
    <xf numFmtId="3" fontId="16" fillId="7" borderId="1" xfId="0" applyNumberFormat="1" applyFont="1" applyFill="1" applyBorder="1" applyAlignment="1">
      <alignment horizontal="center" vertical="center"/>
    </xf>
    <xf numFmtId="3" fontId="6" fillId="0" borderId="1" xfId="0" applyNumberFormat="1" applyFont="1" applyBorder="1" applyAlignment="1">
      <alignment horizontal="center" vertical="center"/>
    </xf>
    <xf numFmtId="0" fontId="15" fillId="9" borderId="1" xfId="0" applyFont="1" applyFill="1" applyBorder="1" applyAlignment="1">
      <alignment horizontal="left" vertical="center"/>
    </xf>
    <xf numFmtId="0" fontId="4" fillId="2" borderId="1" xfId="0" applyFont="1" applyFill="1" applyBorder="1" applyAlignment="1">
      <alignment horizontal="left" vertical="center"/>
    </xf>
    <xf numFmtId="0" fontId="4" fillId="2" borderId="1" xfId="0" applyFont="1" applyFill="1" applyBorder="1" applyAlignment="1">
      <alignment horizontal="center" vertical="center"/>
    </xf>
    <xf numFmtId="3" fontId="18" fillId="13" borderId="1" xfId="0" applyNumberFormat="1" applyFont="1" applyFill="1" applyBorder="1" applyAlignment="1">
      <alignment horizontal="center" vertical="center"/>
    </xf>
    <xf numFmtId="165" fontId="16" fillId="7" borderId="1" xfId="0" applyNumberFormat="1" applyFont="1" applyFill="1" applyBorder="1" applyAlignment="1">
      <alignment horizontal="center" vertical="center"/>
    </xf>
    <xf numFmtId="165" fontId="6" fillId="0" borderId="1" xfId="0" applyNumberFormat="1" applyFont="1" applyBorder="1" applyAlignment="1">
      <alignment horizontal="center" vertical="center"/>
    </xf>
    <xf numFmtId="0" fontId="6" fillId="2" borderId="1" xfId="0" applyFont="1" applyFill="1" applyBorder="1" applyAlignment="1">
      <alignment horizontal="left" vertical="center"/>
    </xf>
    <xf numFmtId="165" fontId="18" fillId="13" borderId="1" xfId="0" applyNumberFormat="1" applyFont="1" applyFill="1" applyBorder="1" applyAlignment="1">
      <alignment horizontal="center" vertical="center"/>
    </xf>
    <xf numFmtId="0" fontId="20" fillId="9" borderId="1" xfId="0" applyFont="1" applyFill="1" applyBorder="1" applyAlignment="1">
      <alignment horizontal="left" vertical="center"/>
    </xf>
    <xf numFmtId="166" fontId="7" fillId="6" borderId="1" xfId="0" applyNumberFormat="1" applyFont="1" applyFill="1" applyBorder="1" applyAlignment="1">
      <alignment horizontal="center" vertical="center"/>
    </xf>
    <xf numFmtId="0" fontId="20" fillId="5" borderId="1" xfId="0" applyFont="1" applyFill="1" applyBorder="1" applyAlignment="1">
      <alignment horizontal="left" vertical="center"/>
    </xf>
    <xf numFmtId="0" fontId="5" fillId="0" borderId="1" xfId="0" applyFont="1" applyBorder="1" applyAlignment="1">
      <alignment horizontal="left" vertical="center"/>
    </xf>
    <xf numFmtId="165" fontId="13" fillId="0" borderId="1" xfId="0" applyNumberFormat="1" applyFont="1" applyBorder="1" applyAlignment="1">
      <alignment horizontal="center" vertical="center"/>
    </xf>
    <xf numFmtId="2" fontId="6" fillId="0" borderId="1" xfId="0" applyNumberFormat="1" applyFont="1" applyBorder="1" applyAlignment="1">
      <alignment horizontal="center" vertical="center"/>
    </xf>
    <xf numFmtId="1" fontId="13" fillId="0" borderId="1" xfId="0" applyNumberFormat="1" applyFont="1" applyBorder="1" applyAlignment="1">
      <alignment horizontal="center" vertical="center"/>
    </xf>
    <xf numFmtId="3" fontId="13" fillId="0" borderId="1" xfId="0" applyNumberFormat="1" applyFont="1" applyBorder="1" applyAlignment="1">
      <alignment horizontal="center" vertical="center"/>
    </xf>
    <xf numFmtId="164" fontId="6" fillId="0" borderId="1" xfId="0" applyNumberFormat="1" applyFont="1" applyBorder="1" applyAlignment="1">
      <alignment horizontal="center" vertical="center"/>
    </xf>
    <xf numFmtId="168" fontId="34" fillId="5" borderId="1" xfId="0" applyNumberFormat="1" applyFont="1" applyFill="1" applyBorder="1" applyAlignment="1">
      <alignment horizontal="center" vertical="center"/>
    </xf>
    <xf numFmtId="168" fontId="6" fillId="0" borderId="1" xfId="0" applyNumberFormat="1" applyFont="1" applyBorder="1" applyAlignment="1">
      <alignment horizontal="center" vertical="center"/>
    </xf>
    <xf numFmtId="168" fontId="34" fillId="9" borderId="1" xfId="0" applyNumberFormat="1" applyFont="1" applyFill="1" applyBorder="1" applyAlignment="1">
      <alignment horizontal="center" vertical="center"/>
    </xf>
    <xf numFmtId="0" fontId="36" fillId="28" borderId="3" xfId="0" applyFont="1" applyFill="1" applyBorder="1"/>
    <xf numFmtId="0" fontId="26" fillId="29" borderId="3" xfId="0" applyFont="1" applyFill="1" applyBorder="1"/>
    <xf numFmtId="0" fontId="26" fillId="0" borderId="3" xfId="0" applyFont="1" applyBorder="1"/>
    <xf numFmtId="17" fontId="26" fillId="29" borderId="3" xfId="0" applyNumberFormat="1" applyFont="1" applyFill="1" applyBorder="1"/>
    <xf numFmtId="171" fontId="26" fillId="29" borderId="3" xfId="0" applyNumberFormat="1" applyFont="1" applyFill="1" applyBorder="1"/>
    <xf numFmtId="171" fontId="26" fillId="0" borderId="3" xfId="0" applyNumberFormat="1" applyFont="1" applyBorder="1"/>
    <xf numFmtId="170" fontId="26" fillId="0" borderId="3" xfId="0" applyNumberFormat="1" applyFont="1" applyBorder="1"/>
    <xf numFmtId="0" fontId="4" fillId="4" borderId="1" xfId="0" applyFont="1" applyFill="1" applyBorder="1" applyAlignment="1">
      <alignment horizontal="center" vertical="center" wrapText="1"/>
    </xf>
    <xf numFmtId="0" fontId="5" fillId="5" borderId="1" xfId="0" applyFont="1" applyFill="1" applyBorder="1"/>
    <xf numFmtId="0" fontId="0" fillId="5" borderId="1" xfId="0" applyFill="1" applyBorder="1"/>
    <xf numFmtId="0" fontId="0" fillId="5" borderId="1" xfId="0" applyFill="1" applyBorder="1" applyAlignment="1">
      <alignment horizontal="center" vertical="center"/>
    </xf>
    <xf numFmtId="0" fontId="7" fillId="7" borderId="1" xfId="0" applyFont="1" applyFill="1" applyBorder="1" applyAlignment="1">
      <alignment horizontal="center" vertical="center"/>
    </xf>
    <xf numFmtId="164" fontId="7" fillId="7" borderId="1" xfId="0" applyNumberFormat="1" applyFont="1" applyFill="1" applyBorder="1" applyAlignment="1">
      <alignment horizontal="center" vertical="center"/>
    </xf>
    <xf numFmtId="0" fontId="38" fillId="10" borderId="1" xfId="0" applyFont="1" applyFill="1" applyBorder="1" applyAlignment="1">
      <alignment horizontal="center" vertical="center"/>
    </xf>
    <xf numFmtId="9" fontId="38" fillId="10" borderId="1" xfId="0" applyNumberFormat="1" applyFont="1" applyFill="1" applyBorder="1" applyAlignment="1">
      <alignment horizontal="center" vertical="center"/>
    </xf>
    <xf numFmtId="0" fontId="39" fillId="7" borderId="1" xfId="0" applyFont="1" applyFill="1" applyBorder="1" applyAlignment="1">
      <alignment horizontal="center" vertical="center"/>
    </xf>
    <xf numFmtId="0" fontId="5" fillId="9" borderId="1" xfId="0" applyFont="1" applyFill="1" applyBorder="1"/>
    <xf numFmtId="0" fontId="0" fillId="9" borderId="1" xfId="0" applyFill="1" applyBorder="1"/>
    <xf numFmtId="0" fontId="0" fillId="9" borderId="1" xfId="0" applyFill="1" applyBorder="1" applyAlignment="1">
      <alignment horizontal="center" vertical="center"/>
    </xf>
    <xf numFmtId="0" fontId="10" fillId="5" borderId="1" xfId="0" applyFont="1" applyFill="1" applyBorder="1"/>
    <xf numFmtId="0" fontId="41" fillId="8" borderId="1" xfId="0" applyFont="1" applyFill="1" applyBorder="1" applyAlignment="1">
      <alignment horizontal="center" vertical="center"/>
    </xf>
    <xf numFmtId="167" fontId="7" fillId="7" borderId="1" xfId="0" applyNumberFormat="1" applyFont="1" applyFill="1" applyBorder="1" applyAlignment="1">
      <alignment horizontal="center" vertical="center"/>
    </xf>
    <xf numFmtId="0" fontId="40" fillId="5" borderId="1" xfId="0" applyFont="1" applyFill="1" applyBorder="1"/>
    <xf numFmtId="0" fontId="10" fillId="9" borderId="1" xfId="0" applyFont="1" applyFill="1" applyBorder="1"/>
    <xf numFmtId="0" fontId="40" fillId="9" borderId="1" xfId="0" applyFont="1" applyFill="1" applyBorder="1"/>
    <xf numFmtId="0" fontId="10" fillId="6" borderId="1" xfId="0" applyFont="1" applyFill="1" applyBorder="1"/>
    <xf numFmtId="0" fontId="0" fillId="6" borderId="1" xfId="0" applyFill="1" applyBorder="1"/>
    <xf numFmtId="0" fontId="0" fillId="6" borderId="1" xfId="0" applyFill="1" applyBorder="1" applyAlignment="1">
      <alignment horizontal="center" vertical="center"/>
    </xf>
    <xf numFmtId="0" fontId="40" fillId="6" borderId="1" xfId="0" applyFont="1" applyFill="1" applyBorder="1"/>
    <xf numFmtId="17" fontId="38" fillId="10" borderId="1" xfId="0" applyNumberFormat="1" applyFont="1" applyFill="1" applyBorder="1" applyAlignment="1">
      <alignment horizontal="center" vertical="center"/>
    </xf>
    <xf numFmtId="17" fontId="15" fillId="6" borderId="1" xfId="0" applyNumberFormat="1" applyFont="1" applyFill="1" applyBorder="1" applyAlignment="1">
      <alignment horizontal="center" vertical="center"/>
    </xf>
    <xf numFmtId="0" fontId="6" fillId="6" borderId="1" xfId="0" applyFont="1" applyFill="1" applyBorder="1" applyAlignment="1">
      <alignment horizontal="center" vertical="center"/>
    </xf>
    <xf numFmtId="0" fontId="4" fillId="33" borderId="1" xfId="0" applyFont="1" applyFill="1" applyBorder="1" applyAlignment="1">
      <alignment horizontal="center" vertical="center" wrapText="1"/>
    </xf>
    <xf numFmtId="0" fontId="4" fillId="34" borderId="1" xfId="0" applyFont="1" applyFill="1" applyBorder="1" applyAlignment="1">
      <alignment horizontal="center" vertical="center" wrapText="1"/>
    </xf>
    <xf numFmtId="0" fontId="55" fillId="7" borderId="1" xfId="0" applyFont="1" applyFill="1" applyBorder="1" applyAlignment="1">
      <alignment horizontal="center" vertical="center"/>
    </xf>
    <xf numFmtId="0" fontId="0" fillId="2" borderId="1" xfId="0" applyFill="1" applyBorder="1"/>
    <xf numFmtId="0" fontId="54" fillId="9" borderId="1" xfId="0" applyFont="1" applyFill="1" applyBorder="1" applyAlignment="1">
      <alignment horizontal="center" vertical="center"/>
    </xf>
    <xf numFmtId="0" fontId="3" fillId="11" borderId="1" xfId="0" applyFont="1" applyFill="1" applyBorder="1" applyAlignment="1">
      <alignment horizontal="left" vertical="center" wrapText="1"/>
    </xf>
    <xf numFmtId="172" fontId="47" fillId="6" borderId="1" xfId="0" applyNumberFormat="1" applyFont="1" applyFill="1" applyBorder="1" applyAlignment="1">
      <alignment horizontal="center" vertical="center"/>
    </xf>
    <xf numFmtId="172" fontId="17" fillId="9" borderId="1" xfId="0" applyNumberFormat="1" applyFont="1" applyFill="1" applyBorder="1" applyAlignment="1">
      <alignment horizontal="center" vertical="center"/>
    </xf>
    <xf numFmtId="0" fontId="3" fillId="2" borderId="1" xfId="0" applyFont="1" applyFill="1" applyBorder="1" applyAlignment="1">
      <alignment horizontal="left" vertical="center" wrapText="1"/>
    </xf>
    <xf numFmtId="172" fontId="48" fillId="31" borderId="1" xfId="0" applyNumberFormat="1" applyFont="1" applyFill="1" applyBorder="1" applyAlignment="1">
      <alignment horizontal="center" vertical="center"/>
    </xf>
    <xf numFmtId="172" fontId="49" fillId="32" borderId="1" xfId="0" applyNumberFormat="1" applyFont="1" applyFill="1" applyBorder="1" applyAlignment="1">
      <alignment horizontal="center" vertical="center"/>
    </xf>
    <xf numFmtId="0" fontId="50" fillId="9" borderId="1" xfId="0" applyFont="1" applyFill="1" applyBorder="1" applyAlignment="1">
      <alignment horizontal="left" vertical="center" wrapText="1"/>
    </xf>
    <xf numFmtId="49" fontId="17" fillId="9" borderId="1" xfId="0" applyNumberFormat="1" applyFont="1" applyFill="1" applyBorder="1" applyAlignment="1">
      <alignment horizontal="center" vertical="center"/>
    </xf>
    <xf numFmtId="0" fontId="44" fillId="31" borderId="1" xfId="0" applyFont="1" applyFill="1" applyBorder="1" applyAlignment="1">
      <alignment horizontal="left" vertical="center" wrapText="1"/>
    </xf>
    <xf numFmtId="165" fontId="17" fillId="9" borderId="1" xfId="0" applyNumberFormat="1" applyFont="1" applyFill="1" applyBorder="1" applyAlignment="1">
      <alignment horizontal="center" vertical="center"/>
    </xf>
    <xf numFmtId="0" fontId="51" fillId="7" borderId="1" xfId="0" applyFont="1" applyFill="1" applyBorder="1" applyAlignment="1">
      <alignment horizontal="left" vertical="center" wrapText="1"/>
    </xf>
    <xf numFmtId="164" fontId="6" fillId="9" borderId="1" xfId="0" applyNumberFormat="1" applyFont="1" applyFill="1" applyBorder="1" applyAlignment="1">
      <alignment horizontal="center" vertical="center"/>
    </xf>
    <xf numFmtId="49" fontId="6" fillId="9" borderId="1" xfId="0" applyNumberFormat="1" applyFont="1" applyFill="1" applyBorder="1" applyAlignment="1">
      <alignment horizontal="center" vertical="center"/>
    </xf>
    <xf numFmtId="165" fontId="6" fillId="9" borderId="1" xfId="0" applyNumberFormat="1" applyFont="1" applyFill="1" applyBorder="1" applyAlignment="1">
      <alignment horizontal="center" vertical="center"/>
    </xf>
    <xf numFmtId="170" fontId="6" fillId="9" borderId="1" xfId="0" applyNumberFormat="1" applyFont="1" applyFill="1" applyBorder="1" applyAlignment="1">
      <alignment horizontal="center" vertical="center"/>
    </xf>
    <xf numFmtId="164" fontId="6" fillId="5" borderId="1" xfId="0" applyNumberFormat="1" applyFont="1" applyFill="1" applyBorder="1" applyAlignment="1">
      <alignment horizontal="center" vertical="center"/>
    </xf>
    <xf numFmtId="49" fontId="6" fillId="5" borderId="1" xfId="0" applyNumberFormat="1" applyFont="1" applyFill="1" applyBorder="1" applyAlignment="1">
      <alignment horizontal="center" vertical="center"/>
    </xf>
    <xf numFmtId="165" fontId="6" fillId="5" borderId="1" xfId="0" applyNumberFormat="1" applyFont="1" applyFill="1" applyBorder="1" applyAlignment="1">
      <alignment horizontal="center" vertical="center"/>
    </xf>
    <xf numFmtId="170" fontId="6" fillId="5" borderId="1" xfId="0" applyNumberFormat="1" applyFont="1" applyFill="1" applyBorder="1" applyAlignment="1">
      <alignment horizontal="center" vertical="center"/>
    </xf>
    <xf numFmtId="0" fontId="40" fillId="0" borderId="0" xfId="0" applyFont="1"/>
    <xf numFmtId="0" fontId="60" fillId="0" borderId="1" xfId="0" applyFont="1" applyBorder="1"/>
    <xf numFmtId="0" fontId="5" fillId="0" borderId="1" xfId="0" applyFont="1" applyBorder="1"/>
    <xf numFmtId="172" fontId="6" fillId="9" borderId="1" xfId="0" applyNumberFormat="1" applyFont="1" applyFill="1" applyBorder="1" applyAlignment="1">
      <alignment horizontal="center" vertical="center"/>
    </xf>
    <xf numFmtId="172" fontId="6" fillId="5" borderId="1" xfId="0" applyNumberFormat="1" applyFont="1" applyFill="1" applyBorder="1" applyAlignment="1">
      <alignment horizontal="center" vertical="center"/>
    </xf>
    <xf numFmtId="0" fontId="6" fillId="9" borderId="1" xfId="0" applyFont="1" applyFill="1" applyBorder="1"/>
    <xf numFmtId="0" fontId="6" fillId="5" borderId="1" xfId="0" applyFont="1" applyFill="1" applyBorder="1"/>
    <xf numFmtId="3" fontId="41" fillId="8" borderId="1" xfId="0" applyNumberFormat="1" applyFont="1" applyFill="1" applyBorder="1" applyAlignment="1">
      <alignment horizontal="center" vertical="center"/>
    </xf>
    <xf numFmtId="1" fontId="41" fillId="8" borderId="1" xfId="0" applyNumberFormat="1" applyFont="1" applyFill="1" applyBorder="1" applyAlignment="1">
      <alignment horizontal="center" vertical="center"/>
    </xf>
    <xf numFmtId="164" fontId="41" fillId="8" borderId="1" xfId="0" applyNumberFormat="1" applyFont="1" applyFill="1" applyBorder="1" applyAlignment="1">
      <alignment horizontal="center" vertical="center"/>
    </xf>
    <xf numFmtId="0" fontId="3" fillId="30" borderId="1" xfId="0" applyFont="1" applyFill="1" applyBorder="1" applyAlignment="1">
      <alignment horizontal="center" vertical="center"/>
    </xf>
    <xf numFmtId="0" fontId="3" fillId="4" borderId="1" xfId="0" applyFont="1" applyFill="1" applyBorder="1" applyAlignment="1">
      <alignment horizontal="center" vertical="center"/>
    </xf>
    <xf numFmtId="0" fontId="3" fillId="35" borderId="1" xfId="0" applyFont="1" applyFill="1" applyBorder="1" applyAlignment="1">
      <alignment horizontal="center" vertical="center"/>
    </xf>
    <xf numFmtId="0" fontId="11" fillId="9" borderId="1" xfId="0" applyFont="1" applyFill="1" applyBorder="1"/>
    <xf numFmtId="168" fontId="39" fillId="7" borderId="1" xfId="0" applyNumberFormat="1" applyFont="1" applyFill="1" applyBorder="1"/>
    <xf numFmtId="9" fontId="38" fillId="5" borderId="1" xfId="0" applyNumberFormat="1" applyFont="1" applyFill="1" applyBorder="1"/>
    <xf numFmtId="168" fontId="38" fillId="10" borderId="1" xfId="0" applyNumberFormat="1" applyFont="1" applyFill="1" applyBorder="1"/>
    <xf numFmtId="168" fontId="62" fillId="36" borderId="1" xfId="0" applyNumberFormat="1" applyFont="1" applyFill="1" applyBorder="1"/>
    <xf numFmtId="0" fontId="11" fillId="5" borderId="1" xfId="0" applyFont="1" applyFill="1" applyBorder="1"/>
    <xf numFmtId="0" fontId="0" fillId="5" borderId="0" xfId="0" applyFill="1"/>
    <xf numFmtId="0" fontId="56" fillId="0" borderId="1" xfId="0" applyFont="1" applyBorder="1"/>
    <xf numFmtId="0" fontId="44" fillId="31" borderId="1" xfId="0" applyFont="1" applyFill="1" applyBorder="1" applyAlignment="1">
      <alignment horizontal="center" vertical="center" wrapText="1"/>
    </xf>
    <xf numFmtId="0" fontId="45" fillId="32" borderId="1" xfId="0" applyFont="1" applyFill="1" applyBorder="1" applyAlignment="1">
      <alignment horizontal="center" vertical="center" wrapText="1"/>
    </xf>
    <xf numFmtId="0" fontId="46" fillId="9" borderId="1" xfId="0" applyFont="1" applyFill="1" applyBorder="1" applyAlignment="1">
      <alignment horizontal="center" vertical="center" wrapText="1"/>
    </xf>
    <xf numFmtId="49" fontId="7" fillId="31" borderId="1" xfId="0" applyNumberFormat="1" applyFont="1" applyFill="1" applyBorder="1" applyAlignment="1">
      <alignment horizontal="center" vertical="center"/>
    </xf>
    <xf numFmtId="49" fontId="63" fillId="32" borderId="1" xfId="0" applyNumberFormat="1" applyFont="1" applyFill="1" applyBorder="1" applyAlignment="1">
      <alignment horizontal="center" vertical="center"/>
    </xf>
    <xf numFmtId="165" fontId="7" fillId="31" borderId="1" xfId="0" applyNumberFormat="1" applyFont="1" applyFill="1" applyBorder="1" applyAlignment="1">
      <alignment horizontal="center" vertical="center"/>
    </xf>
    <xf numFmtId="165" fontId="63" fillId="32" borderId="1" xfId="0" applyNumberFormat="1" applyFont="1" applyFill="1" applyBorder="1" applyAlignment="1">
      <alignment horizontal="center" vertical="center"/>
    </xf>
    <xf numFmtId="0" fontId="52" fillId="31" borderId="1" xfId="0" applyFont="1" applyFill="1" applyBorder="1" applyAlignment="1">
      <alignment horizontal="center" vertical="center"/>
    </xf>
    <xf numFmtId="0" fontId="53" fillId="32" borderId="1" xfId="0" applyFont="1" applyFill="1" applyBorder="1" applyAlignment="1">
      <alignment horizontal="center" vertical="center"/>
    </xf>
    <xf numFmtId="0" fontId="4" fillId="2" borderId="1" xfId="0" applyFont="1" applyFill="1" applyBorder="1"/>
    <xf numFmtId="165" fontId="4" fillId="2" borderId="1" xfId="0" applyNumberFormat="1" applyFont="1" applyFill="1" applyBorder="1" applyAlignment="1">
      <alignment horizontal="center" vertical="center"/>
    </xf>
    <xf numFmtId="42" fontId="5" fillId="14" borderId="1" xfId="0" applyNumberFormat="1" applyFont="1" applyFill="1" applyBorder="1" applyAlignment="1">
      <alignment horizontal="center" vertical="center"/>
    </xf>
    <xf numFmtId="42" fontId="5" fillId="22" borderId="1" xfId="0" applyNumberFormat="1" applyFont="1" applyFill="1" applyBorder="1" applyAlignment="1">
      <alignment horizontal="center" vertical="center"/>
    </xf>
    <xf numFmtId="42" fontId="6" fillId="20" borderId="1" xfId="0" applyNumberFormat="1" applyFont="1" applyFill="1" applyBorder="1" applyAlignment="1">
      <alignment horizontal="center" vertical="center"/>
    </xf>
    <xf numFmtId="42" fontId="5" fillId="0" borderId="1" xfId="0" applyNumberFormat="1" applyFont="1" applyBorder="1" applyAlignment="1">
      <alignment horizontal="center" vertical="center"/>
    </xf>
    <xf numFmtId="168" fontId="41" fillId="8" borderId="1" xfId="0" applyNumberFormat="1" applyFont="1" applyFill="1" applyBorder="1"/>
    <xf numFmtId="0" fontId="4" fillId="11" borderId="1" xfId="0" applyFont="1" applyFill="1" applyBorder="1" applyAlignment="1">
      <alignment horizontal="center" vertical="center"/>
    </xf>
    <xf numFmtId="3" fontId="64" fillId="8" borderId="1" xfId="0" applyNumberFormat="1" applyFont="1" applyFill="1" applyBorder="1" applyAlignment="1">
      <alignment horizontal="center" vertical="center"/>
    </xf>
    <xf numFmtId="3" fontId="62" fillId="10" borderId="1" xfId="0" applyNumberFormat="1" applyFont="1" applyFill="1" applyBorder="1" applyAlignment="1">
      <alignment horizontal="center" vertical="center"/>
    </xf>
    <xf numFmtId="0" fontId="3" fillId="2" borderId="1" xfId="0" applyFont="1" applyFill="1" applyBorder="1" applyAlignment="1">
      <alignment horizontal="center" vertical="center" wrapText="1"/>
    </xf>
    <xf numFmtId="0" fontId="11" fillId="0" borderId="1" xfId="0" applyFont="1" applyBorder="1" applyAlignment="1">
      <alignment horizontal="center" vertical="center"/>
    </xf>
    <xf numFmtId="0" fontId="15" fillId="6" borderId="1" xfId="0" applyFont="1" applyFill="1" applyBorder="1" applyAlignment="1">
      <alignment horizontal="center" vertical="center"/>
    </xf>
    <xf numFmtId="0" fontId="11" fillId="9" borderId="1" xfId="0" applyFont="1" applyFill="1" applyBorder="1" applyAlignment="1">
      <alignment horizontal="center" vertical="center"/>
    </xf>
    <xf numFmtId="164" fontId="11" fillId="9" borderId="1" xfId="0" applyNumberFormat="1" applyFont="1" applyFill="1" applyBorder="1" applyAlignment="1">
      <alignment horizontal="center" vertical="center"/>
    </xf>
    <xf numFmtId="3" fontId="11" fillId="9" borderId="1" xfId="0" applyNumberFormat="1" applyFont="1" applyFill="1" applyBorder="1" applyAlignment="1">
      <alignment horizontal="center" vertical="center"/>
    </xf>
    <xf numFmtId="3" fontId="38" fillId="10" borderId="1" xfId="0" applyNumberFormat="1" applyFont="1" applyFill="1" applyBorder="1" applyAlignment="1">
      <alignment horizontal="center" vertical="center"/>
    </xf>
    <xf numFmtId="1" fontId="11" fillId="9" borderId="1" xfId="0" applyNumberFormat="1" applyFont="1" applyFill="1" applyBorder="1" applyAlignment="1">
      <alignment horizontal="center" vertical="center"/>
    </xf>
    <xf numFmtId="164" fontId="15" fillId="6" borderId="1" xfId="0" applyNumberFormat="1" applyFont="1" applyFill="1" applyBorder="1" applyAlignment="1">
      <alignment horizontal="center" vertical="center"/>
    </xf>
    <xf numFmtId="0" fontId="15" fillId="9" borderId="2" xfId="0" applyFont="1" applyFill="1" applyBorder="1" applyAlignment="1">
      <alignment horizontal="left" vertical="center"/>
    </xf>
    <xf numFmtId="14" fontId="4" fillId="11" borderId="1" xfId="0" applyNumberFormat="1" applyFont="1" applyFill="1" applyBorder="1" applyAlignment="1">
      <alignment horizontal="center" vertical="center" wrapText="1"/>
    </xf>
    <xf numFmtId="173" fontId="4" fillId="11" borderId="1" xfId="0" applyNumberFormat="1" applyFont="1" applyFill="1" applyBorder="1" applyAlignment="1">
      <alignment horizontal="center" vertical="center" wrapText="1"/>
    </xf>
    <xf numFmtId="14" fontId="21" fillId="0" borderId="1" xfId="0" applyNumberFormat="1" applyFont="1" applyBorder="1" applyAlignment="1">
      <alignment horizontal="center" vertical="center"/>
    </xf>
    <xf numFmtId="0" fontId="66" fillId="5" borderId="1" xfId="0" applyFont="1" applyFill="1" applyBorder="1" applyAlignment="1">
      <alignment horizontal="left" vertical="center"/>
    </xf>
    <xf numFmtId="0" fontId="66" fillId="0" borderId="1" xfId="0" applyFont="1" applyBorder="1" applyAlignment="1">
      <alignment horizontal="left" vertical="center"/>
    </xf>
    <xf numFmtId="3" fontId="7" fillId="6" borderId="1" xfId="0" applyNumberFormat="1" applyFont="1" applyFill="1" applyBorder="1" applyAlignment="1">
      <alignment horizontal="center" vertical="center"/>
    </xf>
    <xf numFmtId="0" fontId="27" fillId="17" borderId="2" xfId="0" applyFont="1" applyFill="1" applyBorder="1" applyAlignment="1">
      <alignment horizontal="center" vertical="center"/>
    </xf>
    <xf numFmtId="0" fontId="28" fillId="18" borderId="2" xfId="0" applyFont="1" applyFill="1" applyBorder="1" applyAlignment="1">
      <alignment horizontal="left" vertical="center"/>
    </xf>
    <xf numFmtId="0" fontId="28" fillId="21" borderId="2" xfId="0" applyFont="1" applyFill="1" applyBorder="1" applyAlignment="1">
      <alignment horizontal="left" vertical="center"/>
    </xf>
    <xf numFmtId="0" fontId="27" fillId="14" borderId="2" xfId="0" applyFont="1" applyFill="1" applyBorder="1" applyAlignment="1">
      <alignment horizontal="left" vertical="center"/>
    </xf>
    <xf numFmtId="0" fontId="27" fillId="22" borderId="2" xfId="0" applyFont="1" applyFill="1" applyBorder="1" applyAlignment="1">
      <alignment horizontal="center" vertical="center"/>
    </xf>
    <xf numFmtId="0" fontId="28" fillId="23" borderId="2" xfId="0" applyFont="1" applyFill="1" applyBorder="1" applyAlignment="1">
      <alignment horizontal="left" vertical="center"/>
    </xf>
    <xf numFmtId="0" fontId="27" fillId="22" borderId="2" xfId="0" applyFont="1" applyFill="1" applyBorder="1" applyAlignment="1">
      <alignment horizontal="left" vertical="center"/>
    </xf>
    <xf numFmtId="0" fontId="27" fillId="24" borderId="2" xfId="0" applyFont="1" applyFill="1" applyBorder="1" applyAlignment="1">
      <alignment horizontal="center" vertical="center"/>
    </xf>
    <xf numFmtId="0" fontId="28" fillId="25" borderId="2" xfId="0" applyFont="1" applyFill="1" applyBorder="1" applyAlignment="1">
      <alignment horizontal="left" vertical="center"/>
    </xf>
    <xf numFmtId="0" fontId="27" fillId="24" borderId="2" xfId="0" applyFont="1" applyFill="1" applyBorder="1" applyAlignment="1">
      <alignment horizontal="left" vertical="center"/>
    </xf>
    <xf numFmtId="0" fontId="4" fillId="26" borderId="1" xfId="0" applyFont="1" applyFill="1" applyBorder="1" applyAlignment="1">
      <alignment horizontal="center" vertical="center"/>
    </xf>
    <xf numFmtId="0" fontId="23" fillId="0" borderId="0" xfId="0" applyFont="1"/>
    <xf numFmtId="0" fontId="29" fillId="18" borderId="2" xfId="0" applyFont="1" applyFill="1" applyBorder="1" applyAlignment="1">
      <alignment horizontal="center" vertical="center"/>
    </xf>
    <xf numFmtId="167" fontId="30" fillId="19" borderId="2" xfId="0" applyNumberFormat="1" applyFont="1" applyFill="1" applyBorder="1" applyAlignment="1">
      <alignment horizontal="center" vertical="center"/>
    </xf>
    <xf numFmtId="167" fontId="31" fillId="20" borderId="2" xfId="0" applyNumberFormat="1" applyFont="1" applyFill="1" applyBorder="1" applyAlignment="1">
      <alignment horizontal="center" vertical="center"/>
    </xf>
    <xf numFmtId="0" fontId="32" fillId="18" borderId="2" xfId="0" applyFont="1" applyFill="1" applyBorder="1" applyAlignment="1">
      <alignment horizontal="left" vertical="center"/>
    </xf>
    <xf numFmtId="0" fontId="29" fillId="21" borderId="2" xfId="0" applyFont="1" applyFill="1" applyBorder="1" applyAlignment="1">
      <alignment horizontal="center" vertical="center"/>
    </xf>
    <xf numFmtId="0" fontId="32" fillId="21" borderId="2" xfId="0" applyFont="1" applyFill="1" applyBorder="1" applyAlignment="1">
      <alignment horizontal="left" vertical="center"/>
    </xf>
    <xf numFmtId="168" fontId="33" fillId="19" borderId="2" xfId="0" applyNumberFormat="1" applyFont="1" applyFill="1" applyBorder="1" applyAlignment="1">
      <alignment horizontal="center" vertical="center"/>
    </xf>
    <xf numFmtId="168" fontId="28" fillId="20" borderId="2" xfId="0" applyNumberFormat="1" applyFont="1" applyFill="1" applyBorder="1" applyAlignment="1">
      <alignment horizontal="center" vertical="center"/>
    </xf>
    <xf numFmtId="168" fontId="27" fillId="14" borderId="2" xfId="0" applyNumberFormat="1" applyFont="1" applyFill="1" applyBorder="1" applyAlignment="1">
      <alignment horizontal="center" vertical="center"/>
    </xf>
    <xf numFmtId="168" fontId="28" fillId="23" borderId="2" xfId="0" applyNumberFormat="1" applyFont="1" applyFill="1" applyBorder="1" applyAlignment="1">
      <alignment horizontal="center" vertical="center"/>
    </xf>
    <xf numFmtId="168" fontId="28" fillId="21" borderId="2" xfId="0" applyNumberFormat="1" applyFont="1" applyFill="1" applyBorder="1" applyAlignment="1">
      <alignment horizontal="center" vertical="center"/>
    </xf>
    <xf numFmtId="168" fontId="27" fillId="22" borderId="2" xfId="0" applyNumberFormat="1" applyFont="1" applyFill="1" applyBorder="1" applyAlignment="1">
      <alignment horizontal="center" vertical="center"/>
    </xf>
    <xf numFmtId="169" fontId="28" fillId="20" borderId="2" xfId="0" applyNumberFormat="1" applyFont="1" applyFill="1" applyBorder="1" applyAlignment="1">
      <alignment horizontal="center" vertical="center"/>
    </xf>
    <xf numFmtId="169" fontId="27" fillId="24" borderId="2" xfId="0" applyNumberFormat="1" applyFont="1" applyFill="1" applyBorder="1" applyAlignment="1">
      <alignment horizontal="center" vertical="center"/>
    </xf>
    <xf numFmtId="167" fontId="33" fillId="7" borderId="1" xfId="0" applyNumberFormat="1" applyFont="1" applyFill="1" applyBorder="1" applyAlignment="1">
      <alignment horizontal="center" vertical="center"/>
    </xf>
    <xf numFmtId="0" fontId="26" fillId="0" borderId="0" xfId="1"/>
    <xf numFmtId="0" fontId="69" fillId="0" borderId="0" xfId="1" applyFont="1"/>
    <xf numFmtId="0" fontId="68" fillId="38" borderId="9" xfId="1" applyFont="1" applyFill="1" applyBorder="1" applyAlignment="1">
      <alignment horizontal="left" vertical="top" wrapText="1"/>
    </xf>
    <xf numFmtId="0" fontId="71" fillId="39" borderId="9" xfId="1" applyFont="1" applyFill="1" applyBorder="1" applyAlignment="1">
      <alignment horizontal="center" vertical="top" wrapText="1"/>
    </xf>
    <xf numFmtId="0" fontId="69" fillId="38" borderId="9" xfId="1" applyFont="1" applyFill="1" applyBorder="1" applyAlignment="1">
      <alignment horizontal="left" vertical="top" wrapText="1"/>
    </xf>
    <xf numFmtId="0" fontId="69" fillId="38" borderId="9" xfId="1" applyFont="1" applyFill="1" applyBorder="1" applyAlignment="1">
      <alignment horizontal="center" vertical="top" wrapText="1"/>
    </xf>
    <xf numFmtId="0" fontId="68" fillId="41" borderId="9" xfId="1" applyFont="1" applyFill="1" applyBorder="1" applyAlignment="1">
      <alignment horizontal="left" vertical="top" wrapText="1"/>
    </xf>
    <xf numFmtId="0" fontId="72" fillId="42" borderId="9" xfId="1" applyFont="1" applyFill="1" applyBorder="1" applyAlignment="1">
      <alignment horizontal="center" vertical="top" wrapText="1"/>
    </xf>
    <xf numFmtId="0" fontId="69" fillId="41" borderId="9" xfId="1" applyFont="1" applyFill="1" applyBorder="1" applyAlignment="1">
      <alignment horizontal="left" vertical="top" wrapText="1"/>
    </xf>
    <xf numFmtId="0" fontId="69" fillId="41" borderId="9" xfId="1" applyFont="1" applyFill="1" applyBorder="1" applyAlignment="1">
      <alignment horizontal="center" vertical="top" wrapText="1"/>
    </xf>
    <xf numFmtId="0" fontId="70" fillId="43" borderId="9" xfId="1" applyFont="1" applyFill="1" applyBorder="1" applyAlignment="1">
      <alignment horizontal="center" vertical="center" wrapText="1"/>
    </xf>
    <xf numFmtId="174" fontId="0" fillId="0" borderId="0" xfId="0" applyNumberFormat="1"/>
    <xf numFmtId="173" fontId="4" fillId="11" borderId="1" xfId="0" quotePrefix="1" applyNumberFormat="1" applyFont="1" applyFill="1" applyBorder="1" applyAlignment="1">
      <alignment horizontal="center" vertical="center" wrapText="1"/>
    </xf>
    <xf numFmtId="16" fontId="4" fillId="11" borderId="1" xfId="0" quotePrefix="1" applyNumberFormat="1" applyFont="1" applyFill="1" applyBorder="1" applyAlignment="1">
      <alignment horizontal="center" vertical="center" wrapText="1"/>
    </xf>
    <xf numFmtId="3" fontId="0" fillId="0" borderId="0" xfId="0" applyNumberFormat="1"/>
    <xf numFmtId="165" fontId="75" fillId="44" borderId="1" xfId="0" applyNumberFormat="1" applyFont="1" applyFill="1" applyBorder="1" applyAlignment="1">
      <alignment horizontal="center" vertical="center"/>
    </xf>
    <xf numFmtId="0" fontId="3" fillId="2" borderId="0" xfId="0" applyFont="1" applyFill="1" applyAlignment="1">
      <alignment horizontal="center" vertical="center"/>
    </xf>
    <xf numFmtId="14" fontId="0" fillId="0" borderId="0" xfId="0" applyNumberFormat="1"/>
    <xf numFmtId="0" fontId="4" fillId="45" borderId="10" xfId="0" applyFont="1" applyFill="1" applyBorder="1" applyAlignment="1">
      <alignment horizontal="center" vertical="center" wrapText="1"/>
    </xf>
    <xf numFmtId="17" fontId="4" fillId="45" borderId="10" xfId="0" applyNumberFormat="1" applyFont="1" applyFill="1" applyBorder="1" applyAlignment="1">
      <alignment horizontal="center" vertical="center" wrapText="1"/>
    </xf>
    <xf numFmtId="0" fontId="77" fillId="45" borderId="0" xfId="0" applyFont="1" applyFill="1" applyAlignment="1">
      <alignment horizontal="center"/>
    </xf>
    <xf numFmtId="17" fontId="0" fillId="0" borderId="0" xfId="0" applyNumberFormat="1"/>
    <xf numFmtId="165" fontId="6" fillId="0" borderId="2" xfId="0" applyNumberFormat="1" applyFont="1" applyBorder="1" applyAlignment="1">
      <alignment horizontal="center" vertical="center"/>
    </xf>
    <xf numFmtId="0" fontId="80" fillId="46" borderId="2" xfId="0" applyFont="1" applyFill="1" applyBorder="1" applyAlignment="1">
      <alignment horizontal="center"/>
    </xf>
    <xf numFmtId="0" fontId="81" fillId="47" borderId="2" xfId="0" applyFont="1" applyFill="1" applyBorder="1"/>
    <xf numFmtId="0" fontId="78" fillId="47" borderId="2" xfId="0" applyFont="1" applyFill="1" applyBorder="1"/>
    <xf numFmtId="0" fontId="81" fillId="48" borderId="2" xfId="0" applyFont="1" applyFill="1" applyBorder="1"/>
    <xf numFmtId="0" fontId="78" fillId="48" borderId="2" xfId="0" applyFont="1" applyFill="1" applyBorder="1"/>
    <xf numFmtId="175" fontId="82" fillId="47" borderId="2" xfId="0" applyNumberFormat="1" applyFont="1" applyFill="1" applyBorder="1" applyAlignment="1">
      <alignment horizontal="center"/>
    </xf>
    <xf numFmtId="175" fontId="82" fillId="48" borderId="2" xfId="0" applyNumberFormat="1" applyFont="1" applyFill="1" applyBorder="1" applyAlignment="1">
      <alignment horizontal="center"/>
    </xf>
    <xf numFmtId="0" fontId="80" fillId="49" borderId="2" xfId="0" applyFont="1" applyFill="1" applyBorder="1" applyAlignment="1">
      <alignment horizontal="center"/>
    </xf>
    <xf numFmtId="170" fontId="82" fillId="47" borderId="2" xfId="0" applyNumberFormat="1" applyFont="1" applyFill="1" applyBorder="1" applyAlignment="1">
      <alignment horizontal="center"/>
    </xf>
    <xf numFmtId="0" fontId="83" fillId="47" borderId="2" xfId="0" applyFont="1" applyFill="1" applyBorder="1" applyAlignment="1">
      <alignment horizontal="center"/>
    </xf>
    <xf numFmtId="170" fontId="82" fillId="48" borderId="2" xfId="0" applyNumberFormat="1" applyFont="1" applyFill="1" applyBorder="1" applyAlignment="1">
      <alignment horizontal="center"/>
    </xf>
    <xf numFmtId="170" fontId="83" fillId="48" borderId="2" xfId="0" applyNumberFormat="1" applyFont="1" applyFill="1" applyBorder="1" applyAlignment="1">
      <alignment horizontal="center"/>
    </xf>
    <xf numFmtId="170" fontId="83" fillId="47" borderId="2" xfId="0" applyNumberFormat="1" applyFont="1" applyFill="1" applyBorder="1" applyAlignment="1">
      <alignment horizontal="center"/>
    </xf>
    <xf numFmtId="0" fontId="0" fillId="0" borderId="0" xfId="0" applyAlignment="1">
      <alignment horizontal="center"/>
    </xf>
    <xf numFmtId="3" fontId="16" fillId="19" borderId="2" xfId="0" applyNumberFormat="1" applyFont="1" applyFill="1" applyBorder="1" applyAlignment="1">
      <alignment horizontal="center" vertical="center"/>
    </xf>
    <xf numFmtId="0" fontId="4" fillId="11" borderId="2" xfId="0" applyFont="1" applyFill="1" applyBorder="1" applyAlignment="1">
      <alignment horizontal="center" vertical="center" wrapText="1"/>
    </xf>
    <xf numFmtId="167" fontId="0" fillId="5" borderId="1" xfId="0" applyNumberFormat="1" applyFill="1" applyBorder="1"/>
    <xf numFmtId="167" fontId="0" fillId="9" borderId="1" xfId="0" applyNumberFormat="1" applyFill="1" applyBorder="1"/>
    <xf numFmtId="4" fontId="0" fillId="5" borderId="1" xfId="0" applyNumberFormat="1" applyFill="1" applyBorder="1"/>
    <xf numFmtId="0" fontId="5" fillId="5" borderId="2" xfId="0" applyFont="1" applyFill="1" applyBorder="1"/>
    <xf numFmtId="0" fontId="0" fillId="5" borderId="2" xfId="0" applyFill="1" applyBorder="1"/>
    <xf numFmtId="0" fontId="84" fillId="48" borderId="2" xfId="0" applyFont="1" applyFill="1" applyBorder="1"/>
    <xf numFmtId="0" fontId="84" fillId="47" borderId="2" xfId="0" applyFont="1" applyFill="1" applyBorder="1"/>
    <xf numFmtId="0" fontId="5" fillId="5" borderId="11" xfId="0" applyFont="1" applyFill="1" applyBorder="1"/>
    <xf numFmtId="0" fontId="5" fillId="9" borderId="12" xfId="0" applyFont="1" applyFill="1" applyBorder="1"/>
    <xf numFmtId="0" fontId="88" fillId="46" borderId="2" xfId="0" applyFont="1" applyFill="1" applyBorder="1" applyAlignment="1">
      <alignment horizontal="center"/>
    </xf>
    <xf numFmtId="0" fontId="89" fillId="52" borderId="13" xfId="0" applyFont="1" applyFill="1" applyBorder="1" applyAlignment="1">
      <alignment horizontal="center"/>
    </xf>
    <xf numFmtId="0" fontId="88" fillId="46" borderId="11" xfId="0" applyFont="1" applyFill="1" applyBorder="1" applyAlignment="1">
      <alignment horizontal="center"/>
    </xf>
    <xf numFmtId="0" fontId="91" fillId="52" borderId="8" xfId="0" applyFont="1" applyFill="1" applyBorder="1" applyAlignment="1">
      <alignment horizontal="left"/>
    </xf>
    <xf numFmtId="0" fontId="91" fillId="52" borderId="8" xfId="0" applyFont="1" applyFill="1" applyBorder="1" applyAlignment="1">
      <alignment horizontal="center"/>
    </xf>
    <xf numFmtId="0" fontId="91" fillId="52" borderId="2" xfId="0" applyFont="1" applyFill="1" applyBorder="1" applyAlignment="1">
      <alignment horizontal="center"/>
    </xf>
    <xf numFmtId="3" fontId="92" fillId="53" borderId="0" xfId="0" applyNumberFormat="1" applyFont="1" applyFill="1" applyAlignment="1">
      <alignment horizontal="center"/>
    </xf>
    <xf numFmtId="3" fontId="92" fillId="53" borderId="13" xfId="0" applyNumberFormat="1" applyFont="1" applyFill="1" applyBorder="1" applyAlignment="1">
      <alignment horizontal="center"/>
    </xf>
    <xf numFmtId="0" fontId="5" fillId="5" borderId="11" xfId="0" applyFont="1" applyFill="1" applyBorder="1" applyAlignment="1">
      <alignment horizontal="left" vertical="center"/>
    </xf>
    <xf numFmtId="0" fontId="15" fillId="5" borderId="11" xfId="0" applyFont="1" applyFill="1" applyBorder="1" applyAlignment="1">
      <alignment horizontal="left" vertical="center"/>
    </xf>
    <xf numFmtId="0" fontId="94" fillId="48" borderId="14" xfId="0" applyFont="1" applyFill="1" applyBorder="1" applyAlignment="1">
      <alignment horizontal="left"/>
    </xf>
    <xf numFmtId="0" fontId="20" fillId="5" borderId="11" xfId="0" applyFont="1" applyFill="1" applyBorder="1" applyAlignment="1">
      <alignment horizontal="left" vertical="center"/>
    </xf>
    <xf numFmtId="166" fontId="7" fillId="6" borderId="11" xfId="0" applyNumberFormat="1" applyFont="1" applyFill="1" applyBorder="1" applyAlignment="1">
      <alignment horizontal="center" vertical="center"/>
    </xf>
    <xf numFmtId="166" fontId="86" fillId="54" borderId="8" xfId="0" applyNumberFormat="1" applyFont="1" applyFill="1" applyBorder="1" applyAlignment="1">
      <alignment horizontal="center" vertical="center"/>
    </xf>
    <xf numFmtId="0" fontId="9" fillId="5" borderId="11" xfId="0" applyFont="1" applyFill="1" applyBorder="1" applyAlignment="1">
      <alignment horizontal="left" vertical="center"/>
    </xf>
    <xf numFmtId="164" fontId="96" fillId="54" borderId="14" xfId="0" applyNumberFormat="1" applyFont="1" applyFill="1" applyBorder="1" applyAlignment="1">
      <alignment horizontal="center"/>
    </xf>
    <xf numFmtId="164" fontId="7" fillId="6" borderId="11" xfId="0" applyNumberFormat="1" applyFont="1" applyFill="1" applyBorder="1" applyAlignment="1">
      <alignment horizontal="center" vertical="center"/>
    </xf>
    <xf numFmtId="164" fontId="96" fillId="54" borderId="8" xfId="0" applyNumberFormat="1" applyFont="1" applyFill="1" applyBorder="1" applyAlignment="1">
      <alignment horizontal="center"/>
    </xf>
    <xf numFmtId="164" fontId="96" fillId="54" borderId="2" xfId="0" applyNumberFormat="1" applyFont="1" applyFill="1" applyBorder="1" applyAlignment="1">
      <alignment horizontal="center"/>
    </xf>
    <xf numFmtId="0" fontId="84" fillId="48" borderId="14" xfId="0" applyFont="1" applyFill="1" applyBorder="1" applyAlignment="1">
      <alignment horizontal="left" vertical="center"/>
    </xf>
    <xf numFmtId="0" fontId="97" fillId="47" borderId="8" xfId="0" applyFont="1" applyFill="1" applyBorder="1" applyAlignment="1">
      <alignment horizontal="left"/>
    </xf>
    <xf numFmtId="0" fontId="93" fillId="48" borderId="14" xfId="0" applyFont="1" applyFill="1" applyBorder="1" applyAlignment="1">
      <alignment horizontal="left" vertical="center"/>
    </xf>
    <xf numFmtId="0" fontId="99" fillId="47" borderId="8" xfId="0" applyFont="1" applyFill="1" applyBorder="1" applyAlignment="1">
      <alignment horizontal="left"/>
    </xf>
    <xf numFmtId="0" fontId="94" fillId="47" borderId="8" xfId="0" applyFont="1" applyFill="1" applyBorder="1" applyAlignment="1">
      <alignment horizontal="left"/>
    </xf>
    <xf numFmtId="166" fontId="86" fillId="54" borderId="14" xfId="0" applyNumberFormat="1" applyFont="1" applyFill="1" applyBorder="1" applyAlignment="1">
      <alignment horizontal="center" vertical="center"/>
    </xf>
    <xf numFmtId="0" fontId="95" fillId="48" borderId="14" xfId="0" applyFont="1" applyFill="1" applyBorder="1" applyAlignment="1">
      <alignment horizontal="left" vertical="center"/>
    </xf>
    <xf numFmtId="0" fontId="100" fillId="47" borderId="8" xfId="0" applyFont="1" applyFill="1" applyBorder="1" applyAlignment="1">
      <alignment horizontal="left"/>
    </xf>
    <xf numFmtId="164" fontId="96" fillId="54" borderId="11" xfId="0" applyNumberFormat="1" applyFont="1" applyFill="1" applyBorder="1" applyAlignment="1">
      <alignment horizontal="center"/>
    </xf>
    <xf numFmtId="0" fontId="26" fillId="29" borderId="16" xfId="0" applyFont="1" applyFill="1" applyBorder="1"/>
    <xf numFmtId="0" fontId="26" fillId="29" borderId="17" xfId="0" applyFont="1" applyFill="1" applyBorder="1"/>
    <xf numFmtId="0" fontId="102" fillId="55" borderId="3" xfId="0" applyFont="1" applyFill="1" applyBorder="1"/>
    <xf numFmtId="0" fontId="101" fillId="55" borderId="18" xfId="0" applyFont="1" applyFill="1" applyBorder="1"/>
    <xf numFmtId="0" fontId="101" fillId="47" borderId="15" xfId="0" applyFont="1" applyFill="1" applyBorder="1"/>
    <xf numFmtId="0" fontId="85" fillId="47" borderId="0" xfId="0" applyFont="1" applyFill="1" applyAlignment="1">
      <alignment horizontal="center"/>
    </xf>
    <xf numFmtId="0" fontId="5" fillId="9" borderId="2" xfId="0" applyFont="1" applyFill="1" applyBorder="1"/>
    <xf numFmtId="165" fontId="6" fillId="9" borderId="2" xfId="0" applyNumberFormat="1" applyFont="1" applyFill="1" applyBorder="1" applyAlignment="1">
      <alignment horizontal="center" vertical="center"/>
    </xf>
    <xf numFmtId="0" fontId="6" fillId="9" borderId="2" xfId="0" applyFont="1" applyFill="1" applyBorder="1" applyAlignment="1">
      <alignment horizontal="center" vertical="center"/>
    </xf>
    <xf numFmtId="0" fontId="5" fillId="47" borderId="2" xfId="0" applyFont="1" applyFill="1" applyBorder="1"/>
    <xf numFmtId="0" fontId="103" fillId="47" borderId="2" xfId="0" applyFont="1" applyFill="1" applyBorder="1"/>
    <xf numFmtId="165" fontId="6" fillId="47" borderId="2" xfId="0" applyNumberFormat="1" applyFont="1" applyFill="1" applyBorder="1" applyAlignment="1">
      <alignment horizontal="center" vertical="center"/>
    </xf>
    <xf numFmtId="170" fontId="6" fillId="47" borderId="2" xfId="0" applyNumberFormat="1" applyFont="1" applyFill="1" applyBorder="1" applyAlignment="1">
      <alignment horizontal="center" vertical="center"/>
    </xf>
    <xf numFmtId="0" fontId="6" fillId="47" borderId="2" xfId="0" applyFont="1" applyFill="1" applyBorder="1" applyAlignment="1">
      <alignment horizontal="center" vertical="center"/>
    </xf>
    <xf numFmtId="0" fontId="5" fillId="48" borderId="2" xfId="0" applyFont="1" applyFill="1" applyBorder="1"/>
    <xf numFmtId="0" fontId="103" fillId="48" borderId="2" xfId="0" applyFont="1" applyFill="1" applyBorder="1"/>
    <xf numFmtId="165" fontId="6" fillId="48" borderId="2" xfId="0" applyNumberFormat="1" applyFont="1" applyFill="1" applyBorder="1" applyAlignment="1">
      <alignment horizontal="center" vertical="center"/>
    </xf>
    <xf numFmtId="170" fontId="6" fillId="48" borderId="2" xfId="0" applyNumberFormat="1" applyFont="1" applyFill="1" applyBorder="1" applyAlignment="1">
      <alignment horizontal="center" vertical="center"/>
    </xf>
    <xf numFmtId="0" fontId="6" fillId="48" borderId="2" xfId="0" applyFont="1" applyFill="1" applyBorder="1" applyAlignment="1">
      <alignment horizontal="center" vertical="center"/>
    </xf>
    <xf numFmtId="0" fontId="5" fillId="9" borderId="11" xfId="0" applyFont="1" applyFill="1" applyBorder="1"/>
    <xf numFmtId="0" fontId="0" fillId="9" borderId="11" xfId="0" applyFill="1" applyBorder="1"/>
    <xf numFmtId="165" fontId="6" fillId="9" borderId="11" xfId="0" applyNumberFormat="1" applyFont="1" applyFill="1" applyBorder="1" applyAlignment="1">
      <alignment horizontal="center" vertical="center"/>
    </xf>
    <xf numFmtId="170" fontId="6" fillId="9" borderId="11" xfId="0" applyNumberFormat="1" applyFont="1" applyFill="1" applyBorder="1" applyAlignment="1">
      <alignment horizontal="center" vertical="center"/>
    </xf>
    <xf numFmtId="0" fontId="6" fillId="9" borderId="11" xfId="0" applyFont="1" applyFill="1" applyBorder="1" applyAlignment="1">
      <alignment horizontal="center" vertical="center"/>
    </xf>
    <xf numFmtId="0" fontId="5" fillId="5" borderId="12" xfId="0" applyFont="1" applyFill="1" applyBorder="1"/>
    <xf numFmtId="0" fontId="0" fillId="5" borderId="12" xfId="0" applyFill="1" applyBorder="1"/>
    <xf numFmtId="165" fontId="6" fillId="5" borderId="12" xfId="0" applyNumberFormat="1" applyFont="1" applyFill="1" applyBorder="1" applyAlignment="1">
      <alignment horizontal="center" vertical="center"/>
    </xf>
    <xf numFmtId="165" fontId="6" fillId="5" borderId="2" xfId="0" applyNumberFormat="1" applyFont="1" applyFill="1" applyBorder="1" applyAlignment="1">
      <alignment horizontal="center" vertical="center"/>
    </xf>
    <xf numFmtId="170" fontId="6" fillId="5" borderId="2" xfId="0" applyNumberFormat="1" applyFont="1" applyFill="1" applyBorder="1" applyAlignment="1">
      <alignment horizontal="center" vertical="center"/>
    </xf>
    <xf numFmtId="0" fontId="6" fillId="5" borderId="2" xfId="0" applyFont="1" applyFill="1" applyBorder="1" applyAlignment="1">
      <alignment horizontal="center" vertical="center"/>
    </xf>
    <xf numFmtId="0" fontId="5" fillId="47" borderId="12" xfId="0" applyFont="1" applyFill="1" applyBorder="1"/>
    <xf numFmtId="0" fontId="0" fillId="47" borderId="12" xfId="0" applyFill="1" applyBorder="1"/>
    <xf numFmtId="165" fontId="6" fillId="47" borderId="12" xfId="0" applyNumberFormat="1" applyFont="1" applyFill="1" applyBorder="1" applyAlignment="1">
      <alignment horizontal="center" vertical="center"/>
    </xf>
    <xf numFmtId="170" fontId="6" fillId="47" borderId="12" xfId="0" applyNumberFormat="1" applyFont="1" applyFill="1" applyBorder="1" applyAlignment="1">
      <alignment horizontal="center" vertical="center"/>
    </xf>
    <xf numFmtId="0" fontId="6" fillId="47" borderId="12" xfId="0" applyFont="1" applyFill="1" applyBorder="1" applyAlignment="1">
      <alignment horizontal="center" vertical="center"/>
    </xf>
    <xf numFmtId="0" fontId="0" fillId="47" borderId="2" xfId="0" applyFill="1" applyBorder="1"/>
    <xf numFmtId="0" fontId="0" fillId="48" borderId="2" xfId="0" applyFill="1" applyBorder="1"/>
    <xf numFmtId="0" fontId="5" fillId="9" borderId="11" xfId="0" applyFont="1" applyFill="1" applyBorder="1" applyAlignment="1">
      <alignment horizontal="left" vertical="center"/>
    </xf>
    <xf numFmtId="0" fontId="5" fillId="47" borderId="2" xfId="0" applyFont="1" applyFill="1" applyBorder="1" applyAlignment="1">
      <alignment horizontal="left" vertical="center"/>
    </xf>
    <xf numFmtId="0" fontId="6" fillId="47" borderId="14" xfId="0" applyFont="1" applyFill="1" applyBorder="1" applyAlignment="1">
      <alignment horizontal="center" vertical="center"/>
    </xf>
    <xf numFmtId="0" fontId="7" fillId="6" borderId="11" xfId="0" applyFont="1" applyFill="1" applyBorder="1" applyAlignment="1">
      <alignment horizontal="center" vertical="center"/>
    </xf>
    <xf numFmtId="0" fontId="7" fillId="54" borderId="14" xfId="0" applyFont="1" applyFill="1" applyBorder="1" applyAlignment="1">
      <alignment horizontal="center" vertical="center"/>
    </xf>
    <xf numFmtId="0" fontId="7" fillId="54" borderId="8" xfId="0" applyFont="1" applyFill="1" applyBorder="1" applyAlignment="1">
      <alignment horizontal="center" vertical="center"/>
    </xf>
    <xf numFmtId="0" fontId="13" fillId="0" borderId="11" xfId="0" applyFont="1" applyBorder="1" applyAlignment="1">
      <alignment horizontal="center" vertical="center"/>
    </xf>
    <xf numFmtId="0" fontId="13" fillId="47" borderId="14" xfId="0" applyFont="1" applyFill="1" applyBorder="1" applyAlignment="1">
      <alignment horizontal="center" vertical="center"/>
    </xf>
    <xf numFmtId="0" fontId="13" fillId="47" borderId="8" xfId="0" applyFont="1" applyFill="1" applyBorder="1" applyAlignment="1">
      <alignment horizontal="center" vertical="center"/>
    </xf>
    <xf numFmtId="0" fontId="13" fillId="47" borderId="2" xfId="0" applyFont="1" applyFill="1" applyBorder="1" applyAlignment="1">
      <alignment horizontal="center" vertical="center"/>
    </xf>
    <xf numFmtId="0" fontId="6" fillId="0" borderId="11" xfId="0" applyFont="1" applyBorder="1" applyAlignment="1">
      <alignment horizontal="center" vertical="center"/>
    </xf>
    <xf numFmtId="0" fontId="9" fillId="9" borderId="11" xfId="0" applyFont="1" applyFill="1" applyBorder="1" applyAlignment="1">
      <alignment horizontal="left" vertical="center"/>
    </xf>
    <xf numFmtId="0" fontId="5" fillId="47" borderId="14" xfId="0" applyFont="1" applyFill="1" applyBorder="1" applyAlignment="1">
      <alignment horizontal="left" vertical="center"/>
    </xf>
    <xf numFmtId="0" fontId="5" fillId="48" borderId="8" xfId="0" applyFont="1" applyFill="1" applyBorder="1" applyAlignment="1">
      <alignment horizontal="left" vertical="center"/>
    </xf>
    <xf numFmtId="0" fontId="6" fillId="48" borderId="8" xfId="0" applyFont="1" applyFill="1" applyBorder="1" applyAlignment="1">
      <alignment horizontal="center" vertical="center"/>
    </xf>
    <xf numFmtId="0" fontId="9" fillId="47" borderId="11" xfId="0" applyFont="1" applyFill="1" applyBorder="1" applyAlignment="1">
      <alignment horizontal="left" vertical="center"/>
    </xf>
    <xf numFmtId="0" fontId="9" fillId="48" borderId="2" xfId="0" applyFont="1" applyFill="1" applyBorder="1" applyAlignment="1">
      <alignment horizontal="left" vertical="center"/>
    </xf>
    <xf numFmtId="0" fontId="4" fillId="2" borderId="0" xfId="0" applyFont="1" applyFill="1" applyAlignment="1">
      <alignment horizontal="left" vertical="center"/>
    </xf>
    <xf numFmtId="0" fontId="6" fillId="2" borderId="0" xfId="0" applyFont="1" applyFill="1" applyAlignment="1">
      <alignment horizontal="left" vertical="center"/>
    </xf>
    <xf numFmtId="165" fontId="18" fillId="13" borderId="0" xfId="0" applyNumberFormat="1" applyFont="1" applyFill="1" applyAlignment="1">
      <alignment horizontal="center" vertical="center"/>
    </xf>
    <xf numFmtId="0" fontId="12" fillId="46" borderId="0" xfId="0" applyFont="1" applyFill="1" applyAlignment="1">
      <alignment horizontal="left" vertical="center"/>
    </xf>
    <xf numFmtId="0" fontId="12" fillId="46" borderId="13" xfId="0" applyFont="1" applyFill="1" applyBorder="1" applyAlignment="1">
      <alignment horizontal="left" vertical="center"/>
    </xf>
    <xf numFmtId="0" fontId="4" fillId="2" borderId="11" xfId="0" applyFont="1" applyFill="1" applyBorder="1" applyAlignment="1">
      <alignment horizontal="left" vertical="center"/>
    </xf>
    <xf numFmtId="0" fontId="4" fillId="47" borderId="0" xfId="0" applyFont="1" applyFill="1" applyAlignment="1">
      <alignment horizontal="left" vertical="center"/>
    </xf>
    <xf numFmtId="0" fontId="6" fillId="47" borderId="0" xfId="0" applyFont="1" applyFill="1" applyAlignment="1">
      <alignment horizontal="left" vertical="center"/>
    </xf>
    <xf numFmtId="0" fontId="0" fillId="47" borderId="0" xfId="0" applyFill="1"/>
    <xf numFmtId="165" fontId="18" fillId="47" borderId="0" xfId="0" applyNumberFormat="1" applyFont="1" applyFill="1" applyAlignment="1">
      <alignment horizontal="center" vertical="center"/>
    </xf>
    <xf numFmtId="0" fontId="10" fillId="47" borderId="2" xfId="0" applyFont="1" applyFill="1" applyBorder="1" applyAlignment="1">
      <alignment horizontal="left" vertical="center"/>
    </xf>
    <xf numFmtId="0" fontId="104" fillId="51" borderId="2" xfId="0" applyFont="1" applyFill="1" applyBorder="1" applyAlignment="1">
      <alignment horizontal="center"/>
    </xf>
    <xf numFmtId="17" fontId="104" fillId="51" borderId="2" xfId="0" applyNumberFormat="1" applyFont="1" applyFill="1" applyBorder="1" applyAlignment="1">
      <alignment horizontal="center"/>
    </xf>
    <xf numFmtId="17" fontId="98" fillId="54" borderId="2" xfId="0" applyNumberFormat="1" applyFont="1" applyFill="1" applyBorder="1" applyAlignment="1">
      <alignment horizontal="center"/>
    </xf>
    <xf numFmtId="0" fontId="4" fillId="52" borderId="2" xfId="0" applyFont="1" applyFill="1" applyBorder="1" applyAlignment="1">
      <alignment horizontal="left" vertical="center"/>
    </xf>
    <xf numFmtId="165" fontId="105" fillId="50" borderId="2" xfId="0" applyNumberFormat="1" applyFont="1" applyFill="1" applyBorder="1" applyAlignment="1">
      <alignment horizontal="center" vertical="center"/>
    </xf>
    <xf numFmtId="0" fontId="106" fillId="52" borderId="2" xfId="0" applyFont="1" applyFill="1" applyBorder="1" applyAlignment="1">
      <alignment horizontal="left" vertical="center"/>
    </xf>
    <xf numFmtId="0" fontId="90" fillId="52" borderId="2" xfId="0" applyFont="1" applyFill="1" applyBorder="1"/>
    <xf numFmtId="165" fontId="18" fillId="53" borderId="2" xfId="0" applyNumberFormat="1" applyFont="1" applyFill="1" applyBorder="1" applyAlignment="1">
      <alignment horizontal="center" vertical="center"/>
    </xf>
    <xf numFmtId="0" fontId="6" fillId="2" borderId="2" xfId="0" applyFont="1" applyFill="1" applyBorder="1" applyAlignment="1">
      <alignment horizontal="left" vertical="center"/>
    </xf>
    <xf numFmtId="0" fontId="0" fillId="0" borderId="2" xfId="0" applyBorder="1"/>
    <xf numFmtId="165" fontId="18" fillId="13" borderId="2" xfId="0" applyNumberFormat="1" applyFont="1" applyFill="1" applyBorder="1" applyAlignment="1">
      <alignment horizontal="center" vertical="center"/>
    </xf>
    <xf numFmtId="0" fontId="6" fillId="48" borderId="2" xfId="0" applyFont="1" applyFill="1" applyBorder="1"/>
    <xf numFmtId="0" fontId="6" fillId="47" borderId="2" xfId="0" applyFont="1" applyFill="1" applyBorder="1"/>
    <xf numFmtId="0" fontId="6" fillId="5" borderId="11" xfId="0" applyFont="1" applyFill="1" applyBorder="1"/>
    <xf numFmtId="0" fontId="6" fillId="5" borderId="11" xfId="0" applyFont="1" applyFill="1" applyBorder="1" applyAlignment="1">
      <alignment horizontal="center" vertical="center"/>
    </xf>
    <xf numFmtId="165" fontId="6" fillId="5" borderId="11" xfId="0" applyNumberFormat="1" applyFont="1" applyFill="1" applyBorder="1" applyAlignment="1">
      <alignment horizontal="center" vertical="center"/>
    </xf>
    <xf numFmtId="0" fontId="5" fillId="48" borderId="11" xfId="0" applyFont="1" applyFill="1" applyBorder="1"/>
    <xf numFmtId="0" fontId="6" fillId="48" borderId="11" xfId="0" applyFont="1" applyFill="1" applyBorder="1"/>
    <xf numFmtId="0" fontId="6" fillId="48" borderId="11" xfId="0" applyFont="1" applyFill="1" applyBorder="1" applyAlignment="1">
      <alignment horizontal="center" vertical="center"/>
    </xf>
    <xf numFmtId="165" fontId="6" fillId="48" borderId="11" xfId="0" applyNumberFormat="1" applyFont="1" applyFill="1" applyBorder="1" applyAlignment="1">
      <alignment horizontal="center" vertical="center"/>
    </xf>
    <xf numFmtId="0" fontId="6" fillId="9" borderId="12" xfId="0" applyFont="1" applyFill="1" applyBorder="1"/>
    <xf numFmtId="0" fontId="6" fillId="9" borderId="12" xfId="0" applyFont="1" applyFill="1" applyBorder="1" applyAlignment="1">
      <alignment horizontal="center" vertical="center"/>
    </xf>
    <xf numFmtId="165" fontId="6" fillId="9" borderId="12" xfId="0" applyNumberFormat="1" applyFont="1" applyFill="1" applyBorder="1" applyAlignment="1">
      <alignment horizontal="center" vertical="center"/>
    </xf>
    <xf numFmtId="0" fontId="81" fillId="48" borderId="11" xfId="0" applyFont="1" applyFill="1" applyBorder="1"/>
    <xf numFmtId="0" fontId="78" fillId="48" borderId="11" xfId="0" applyFont="1" applyFill="1" applyBorder="1"/>
    <xf numFmtId="175" fontId="82" fillId="48" borderId="11" xfId="0" applyNumberFormat="1" applyFont="1" applyFill="1" applyBorder="1" applyAlignment="1">
      <alignment horizontal="center"/>
    </xf>
    <xf numFmtId="0" fontId="81" fillId="47" borderId="12" xfId="0" applyFont="1" applyFill="1" applyBorder="1"/>
    <xf numFmtId="0" fontId="78" fillId="47" borderId="12" xfId="0" applyFont="1" applyFill="1" applyBorder="1"/>
    <xf numFmtId="175" fontId="82" fillId="47" borderId="12" xfId="0" applyNumberFormat="1" applyFont="1" applyFill="1" applyBorder="1" applyAlignment="1">
      <alignment horizontal="center"/>
    </xf>
    <xf numFmtId="170" fontId="82" fillId="48" borderId="11" xfId="0" applyNumberFormat="1" applyFont="1" applyFill="1" applyBorder="1" applyAlignment="1">
      <alignment horizontal="center"/>
    </xf>
    <xf numFmtId="170" fontId="83" fillId="48" borderId="11" xfId="0" applyNumberFormat="1" applyFont="1" applyFill="1" applyBorder="1" applyAlignment="1">
      <alignment horizontal="center"/>
    </xf>
    <xf numFmtId="170" fontId="82" fillId="47" borderId="12" xfId="0" applyNumberFormat="1" applyFont="1" applyFill="1" applyBorder="1" applyAlignment="1">
      <alignment horizontal="center"/>
    </xf>
    <xf numFmtId="170" fontId="83" fillId="47" borderId="12" xfId="0" applyNumberFormat="1" applyFont="1" applyFill="1" applyBorder="1" applyAlignment="1">
      <alignment horizontal="center"/>
    </xf>
    <xf numFmtId="164" fontId="6" fillId="48" borderId="2" xfId="0" applyNumberFormat="1" applyFont="1" applyFill="1" applyBorder="1" applyAlignment="1">
      <alignment horizontal="center" vertical="center"/>
    </xf>
    <xf numFmtId="49" fontId="6" fillId="48" borderId="2" xfId="0" applyNumberFormat="1" applyFont="1" applyFill="1" applyBorder="1" applyAlignment="1">
      <alignment horizontal="center" vertical="center"/>
    </xf>
    <xf numFmtId="164" fontId="6" fillId="47" borderId="2" xfId="0" applyNumberFormat="1" applyFont="1" applyFill="1" applyBorder="1" applyAlignment="1">
      <alignment horizontal="center" vertical="center"/>
    </xf>
    <xf numFmtId="49" fontId="6" fillId="47" borderId="2" xfId="0" applyNumberFormat="1" applyFont="1" applyFill="1" applyBorder="1" applyAlignment="1">
      <alignment horizontal="center" vertical="center"/>
    </xf>
    <xf numFmtId="164" fontId="6" fillId="5" borderId="11" xfId="0" applyNumberFormat="1" applyFont="1" applyFill="1" applyBorder="1" applyAlignment="1">
      <alignment horizontal="center" vertical="center"/>
    </xf>
    <xf numFmtId="164" fontId="6" fillId="9" borderId="11" xfId="0" applyNumberFormat="1" applyFont="1" applyFill="1" applyBorder="1" applyAlignment="1">
      <alignment horizontal="center" vertical="center"/>
    </xf>
    <xf numFmtId="49" fontId="6" fillId="5" borderId="11" xfId="0" applyNumberFormat="1" applyFont="1" applyFill="1" applyBorder="1" applyAlignment="1">
      <alignment horizontal="center" vertical="center"/>
    </xf>
    <xf numFmtId="164" fontId="6" fillId="5" borderId="2" xfId="0" applyNumberFormat="1" applyFont="1" applyFill="1" applyBorder="1" applyAlignment="1">
      <alignment horizontal="center" vertical="center"/>
    </xf>
    <xf numFmtId="3" fontId="6" fillId="5" borderId="2" xfId="0" applyNumberFormat="1" applyFont="1" applyFill="1" applyBorder="1" applyAlignment="1">
      <alignment horizontal="center" vertical="center"/>
    </xf>
    <xf numFmtId="164" fontId="87" fillId="47" borderId="2" xfId="0" applyNumberFormat="1" applyFont="1" applyFill="1" applyBorder="1" applyAlignment="1">
      <alignment horizontal="center" vertical="center"/>
    </xf>
    <xf numFmtId="3" fontId="87" fillId="47" borderId="2" xfId="0" applyNumberFormat="1" applyFont="1" applyFill="1" applyBorder="1" applyAlignment="1">
      <alignment horizontal="center" vertical="center"/>
    </xf>
    <xf numFmtId="165" fontId="87" fillId="47" borderId="2" xfId="0" applyNumberFormat="1" applyFont="1" applyFill="1" applyBorder="1" applyAlignment="1">
      <alignment horizontal="center" vertical="center"/>
    </xf>
    <xf numFmtId="0" fontId="87" fillId="47" borderId="2" xfId="0" applyFont="1" applyFill="1" applyBorder="1" applyAlignment="1">
      <alignment horizontal="center" vertical="center"/>
    </xf>
    <xf numFmtId="164" fontId="87" fillId="48" borderId="2" xfId="0" applyNumberFormat="1" applyFont="1" applyFill="1" applyBorder="1" applyAlignment="1">
      <alignment horizontal="center" vertical="center"/>
    </xf>
    <xf numFmtId="3" fontId="87" fillId="48" borderId="2" xfId="0" applyNumberFormat="1" applyFont="1" applyFill="1" applyBorder="1" applyAlignment="1">
      <alignment horizontal="center" vertical="center"/>
    </xf>
    <xf numFmtId="165" fontId="87" fillId="48" borderId="2" xfId="0" applyNumberFormat="1" applyFont="1" applyFill="1" applyBorder="1" applyAlignment="1">
      <alignment horizontal="center" vertical="center"/>
    </xf>
    <xf numFmtId="0" fontId="87" fillId="48" borderId="2" xfId="0" applyFont="1" applyFill="1" applyBorder="1" applyAlignment="1">
      <alignment horizontal="center" vertical="center"/>
    </xf>
    <xf numFmtId="164" fontId="6" fillId="9" borderId="2" xfId="0" applyNumberFormat="1" applyFont="1" applyFill="1" applyBorder="1" applyAlignment="1">
      <alignment horizontal="center" vertical="center"/>
    </xf>
    <xf numFmtId="3" fontId="6" fillId="9" borderId="2" xfId="0" applyNumberFormat="1" applyFont="1" applyFill="1" applyBorder="1" applyAlignment="1">
      <alignment horizontal="center" vertical="center"/>
    </xf>
    <xf numFmtId="3" fontId="6" fillId="48" borderId="2" xfId="0" applyNumberFormat="1" applyFont="1" applyFill="1" applyBorder="1" applyAlignment="1">
      <alignment horizontal="center" vertical="center"/>
    </xf>
    <xf numFmtId="3" fontId="6" fillId="47" borderId="2" xfId="0" applyNumberFormat="1" applyFont="1" applyFill="1" applyBorder="1" applyAlignment="1">
      <alignment horizontal="center" vertical="center"/>
    </xf>
    <xf numFmtId="0" fontId="5" fillId="21" borderId="11" xfId="0" applyFont="1" applyFill="1" applyBorder="1"/>
    <xf numFmtId="0" fontId="0" fillId="21" borderId="2" xfId="0" applyFill="1" applyBorder="1"/>
    <xf numFmtId="0" fontId="0" fillId="21" borderId="2" xfId="0" applyFill="1" applyBorder="1" applyAlignment="1">
      <alignment horizontal="center" vertical="center"/>
    </xf>
    <xf numFmtId="0" fontId="7" fillId="19" borderId="2" xfId="0" applyFont="1" applyFill="1" applyBorder="1" applyAlignment="1">
      <alignment horizontal="center" vertical="center"/>
    </xf>
    <xf numFmtId="164" fontId="7" fillId="19" borderId="2" xfId="0" applyNumberFormat="1" applyFont="1" applyFill="1" applyBorder="1" applyAlignment="1">
      <alignment horizontal="center" vertical="center"/>
    </xf>
    <xf numFmtId="0" fontId="8" fillId="19" borderId="2" xfId="0" applyFont="1" applyFill="1" applyBorder="1" applyAlignment="1">
      <alignment horizontal="center" vertical="center"/>
    </xf>
    <xf numFmtId="0" fontId="6" fillId="23" borderId="2" xfId="0" applyFont="1" applyFill="1" applyBorder="1" applyAlignment="1">
      <alignment horizontal="center" vertical="center"/>
    </xf>
    <xf numFmtId="0" fontId="38" fillId="25" borderId="2" xfId="0" applyFont="1" applyFill="1" applyBorder="1" applyAlignment="1">
      <alignment horizontal="center" vertical="center"/>
    </xf>
    <xf numFmtId="9" fontId="38" fillId="25" borderId="2" xfId="0" applyNumberFormat="1" applyFont="1" applyFill="1" applyBorder="1" applyAlignment="1">
      <alignment horizontal="center" vertical="center"/>
    </xf>
    <xf numFmtId="0" fontId="107" fillId="56" borderId="0" xfId="0" applyFont="1" applyFill="1" applyAlignment="1">
      <alignment horizontal="center"/>
    </xf>
    <xf numFmtId="0" fontId="108" fillId="56" borderId="0" xfId="0" applyFont="1" applyFill="1" applyAlignment="1">
      <alignment horizontal="center"/>
    </xf>
    <xf numFmtId="165" fontId="6" fillId="44" borderId="1" xfId="0" applyNumberFormat="1" applyFont="1" applyFill="1" applyBorder="1" applyAlignment="1">
      <alignment horizontal="center" vertical="center"/>
    </xf>
    <xf numFmtId="165" fontId="13" fillId="44" borderId="1" xfId="0" applyNumberFormat="1" applyFont="1" applyFill="1" applyBorder="1" applyAlignment="1">
      <alignment horizontal="center" vertical="center"/>
    </xf>
    <xf numFmtId="0" fontId="12" fillId="11" borderId="0" xfId="0" applyFont="1" applyFill="1" applyAlignment="1">
      <alignment horizontal="left" vertical="center"/>
    </xf>
    <xf numFmtId="0" fontId="0" fillId="0" borderId="0" xfId="0" applyAlignment="1">
      <alignment horizontal="left"/>
    </xf>
    <xf numFmtId="0" fontId="42" fillId="6" borderId="0" xfId="0" applyFont="1" applyFill="1" applyAlignment="1">
      <alignment horizontal="left" vertical="center"/>
    </xf>
    <xf numFmtId="0" fontId="0" fillId="0" borderId="0" xfId="0"/>
    <xf numFmtId="0" fontId="14" fillId="2" borderId="0" xfId="0" applyFont="1" applyFill="1" applyAlignment="1">
      <alignment horizontal="center" vertical="center"/>
    </xf>
    <xf numFmtId="0" fontId="2" fillId="3" borderId="0" xfId="0" applyFont="1" applyFill="1" applyAlignment="1">
      <alignment horizontal="center" vertical="center"/>
    </xf>
    <xf numFmtId="0" fontId="68" fillId="0" borderId="0" xfId="1" applyFont="1" applyAlignment="1">
      <alignment wrapText="1"/>
    </xf>
    <xf numFmtId="0" fontId="70" fillId="40" borderId="0" xfId="1" applyFont="1" applyFill="1" applyAlignment="1">
      <alignment horizontal="left" vertical="center" indent="1"/>
    </xf>
    <xf numFmtId="0" fontId="70" fillId="37" borderId="0" xfId="1" applyFont="1" applyFill="1" applyAlignment="1">
      <alignment indent="1"/>
    </xf>
    <xf numFmtId="0" fontId="74" fillId="37" borderId="0" xfId="1" applyFont="1" applyFill="1" applyAlignment="1">
      <alignment horizontal="left" vertical="center" indent="1"/>
    </xf>
    <xf numFmtId="0" fontId="73" fillId="0" borderId="0" xfId="1" applyFont="1" applyAlignment="1">
      <alignment horizontal="left" vertical="center" wrapText="1" indent="1"/>
    </xf>
    <xf numFmtId="0" fontId="37" fillId="3" borderId="0" xfId="0" applyFont="1" applyFill="1" applyAlignment="1">
      <alignment horizontal="center" vertical="center"/>
    </xf>
    <xf numFmtId="0" fontId="12" fillId="11" borderId="0" xfId="0" applyFont="1" applyFill="1" applyAlignment="1">
      <alignment horizontal="center" vertical="center"/>
    </xf>
    <xf numFmtId="0" fontId="1" fillId="2" borderId="0" xfId="0" applyFont="1" applyFill="1" applyAlignment="1">
      <alignment horizontal="center" vertical="center"/>
    </xf>
    <xf numFmtId="0" fontId="12" fillId="12" borderId="0" xfId="0" applyFont="1" applyFill="1" applyAlignment="1">
      <alignment horizontal="center" vertical="center"/>
    </xf>
    <xf numFmtId="0" fontId="4" fillId="49" borderId="0" xfId="0" applyFont="1" applyFill="1" applyAlignment="1">
      <alignment horizontal="right" vertical="center"/>
    </xf>
    <xf numFmtId="0" fontId="2" fillId="3" borderId="7" xfId="0" applyFont="1" applyFill="1" applyBorder="1" applyAlignment="1">
      <alignment horizontal="center" vertical="center"/>
    </xf>
    <xf numFmtId="0" fontId="67" fillId="2" borderId="0" xfId="0" applyFont="1" applyFill="1" applyAlignment="1">
      <alignment horizontal="center" vertical="center"/>
    </xf>
    <xf numFmtId="0" fontId="3" fillId="2" borderId="0" xfId="0" applyFont="1" applyFill="1" applyAlignment="1">
      <alignment horizontal="center" vertical="center"/>
    </xf>
    <xf numFmtId="0" fontId="19" fillId="2" borderId="0" xfId="0" applyFont="1" applyFill="1" applyAlignment="1">
      <alignment horizontal="center" vertical="center"/>
    </xf>
    <xf numFmtId="0" fontId="22" fillId="14" borderId="0" xfId="0" applyFont="1" applyFill="1" applyAlignment="1">
      <alignment horizontal="center" vertical="center"/>
    </xf>
    <xf numFmtId="0" fontId="25" fillId="17" borderId="8" xfId="0" applyFont="1" applyFill="1" applyBorder="1" applyAlignment="1">
      <alignment horizontal="center" vertical="center"/>
    </xf>
    <xf numFmtId="0" fontId="25" fillId="17" borderId="5" xfId="0" applyFont="1" applyFill="1" applyBorder="1" applyAlignment="1">
      <alignment horizontal="center" vertical="center"/>
    </xf>
    <xf numFmtId="0" fontId="25" fillId="17" borderId="6" xfId="0" applyFont="1" applyFill="1" applyBorder="1" applyAlignment="1">
      <alignment horizontal="center" vertical="center"/>
    </xf>
    <xf numFmtId="0" fontId="25" fillId="22" borderId="8" xfId="0" applyFont="1" applyFill="1" applyBorder="1" applyAlignment="1">
      <alignment horizontal="center" vertical="center"/>
    </xf>
    <xf numFmtId="0" fontId="25" fillId="22" borderId="5" xfId="0" applyFont="1" applyFill="1" applyBorder="1" applyAlignment="1">
      <alignment horizontal="center" vertical="center"/>
    </xf>
    <xf numFmtId="0" fontId="25" fillId="22" borderId="6" xfId="0" applyFont="1" applyFill="1" applyBorder="1" applyAlignment="1">
      <alignment horizontal="center" vertical="center"/>
    </xf>
    <xf numFmtId="0" fontId="25" fillId="24" borderId="8" xfId="0" applyFont="1" applyFill="1" applyBorder="1" applyAlignment="1">
      <alignment horizontal="center" vertical="center"/>
    </xf>
    <xf numFmtId="0" fontId="25" fillId="24" borderId="5" xfId="0" applyFont="1" applyFill="1" applyBorder="1" applyAlignment="1">
      <alignment horizontal="center" vertical="center"/>
    </xf>
    <xf numFmtId="0" fontId="25" fillId="24" borderId="6" xfId="0" applyFont="1" applyFill="1" applyBorder="1" applyAlignment="1">
      <alignment horizontal="center" vertical="center"/>
    </xf>
    <xf numFmtId="0" fontId="12" fillId="26" borderId="7" xfId="0" applyFont="1" applyFill="1" applyBorder="1" applyAlignment="1">
      <alignment horizontal="center" vertical="center"/>
    </xf>
    <xf numFmtId="0" fontId="25" fillId="16" borderId="8" xfId="0" applyFont="1" applyFill="1" applyBorder="1" applyAlignment="1">
      <alignment horizontal="center" vertical="center"/>
    </xf>
    <xf numFmtId="0" fontId="25" fillId="16" borderId="5" xfId="0" applyFont="1" applyFill="1" applyBorder="1" applyAlignment="1">
      <alignment horizontal="center" vertical="center"/>
    </xf>
    <xf numFmtId="0" fontId="25" fillId="16" borderId="6" xfId="0" applyFont="1" applyFill="1" applyBorder="1" applyAlignment="1">
      <alignment horizontal="center" vertical="center"/>
    </xf>
    <xf numFmtId="0" fontId="24" fillId="15" borderId="0" xfId="0" applyFont="1" applyFill="1" applyAlignment="1">
      <alignment horizontal="center" vertical="center"/>
    </xf>
    <xf numFmtId="0" fontId="14" fillId="11" borderId="0" xfId="0" applyFont="1" applyFill="1" applyAlignment="1">
      <alignment horizontal="center" vertical="center"/>
    </xf>
    <xf numFmtId="0" fontId="14" fillId="26" borderId="7" xfId="0" applyFont="1" applyFill="1" applyBorder="1" applyAlignment="1">
      <alignment horizontal="center" vertical="center"/>
    </xf>
    <xf numFmtId="0" fontId="42" fillId="6" borderId="0" xfId="0" applyFont="1" applyFill="1" applyAlignment="1">
      <alignment horizontal="center"/>
    </xf>
    <xf numFmtId="0" fontId="61" fillId="3" borderId="0" xfId="0" applyFont="1" applyFill="1" applyAlignment="1">
      <alignment horizontal="center" vertical="center"/>
    </xf>
    <xf numFmtId="0" fontId="79" fillId="46" borderId="0" xfId="0" applyFont="1" applyFill="1" applyAlignment="1">
      <alignment horizontal="center"/>
    </xf>
    <xf numFmtId="0" fontId="79" fillId="49" borderId="0" xfId="0" applyFont="1" applyFill="1" applyAlignment="1">
      <alignment horizontal="center"/>
    </xf>
    <xf numFmtId="0" fontId="14" fillId="12" borderId="0" xfId="0" applyFont="1" applyFill="1" applyAlignment="1">
      <alignment horizontal="center" vertical="center"/>
    </xf>
    <xf numFmtId="0" fontId="35" fillId="27" borderId="0" xfId="0" applyFont="1" applyFill="1" applyAlignment="1">
      <alignment horizontal="center"/>
    </xf>
    <xf numFmtId="0" fontId="0" fillId="0" borderId="0" xfId="0" applyAlignment="1">
      <alignment horizontal="center"/>
    </xf>
    <xf numFmtId="0" fontId="57" fillId="7" borderId="0" xfId="0" applyFont="1" applyFill="1" applyAlignment="1">
      <alignment horizontal="left" vertical="center" wrapText="1"/>
    </xf>
    <xf numFmtId="0" fontId="15" fillId="6" borderId="1" xfId="0" applyFont="1" applyFill="1" applyBorder="1" applyAlignment="1">
      <alignment horizontal="left" vertical="center"/>
    </xf>
    <xf numFmtId="0" fontId="0" fillId="0" borderId="5" xfId="0" applyBorder="1"/>
    <xf numFmtId="0" fontId="0" fillId="0" borderId="6" xfId="0" applyBorder="1"/>
    <xf numFmtId="0" fontId="8" fillId="7" borderId="1" xfId="0" applyFont="1" applyFill="1" applyBorder="1" applyAlignment="1">
      <alignment horizontal="center" vertical="center"/>
    </xf>
    <xf numFmtId="0" fontId="58" fillId="2" borderId="1" xfId="0" applyFont="1" applyFill="1" applyBorder="1" applyAlignment="1">
      <alignment horizontal="center" vertical="center"/>
    </xf>
    <xf numFmtId="0" fontId="58" fillId="4" borderId="1" xfId="0" applyFont="1" applyFill="1" applyBorder="1" applyAlignment="1">
      <alignment horizontal="center" vertical="center"/>
    </xf>
    <xf numFmtId="3" fontId="59" fillId="34" borderId="1" xfId="0" applyNumberFormat="1" applyFont="1" applyFill="1" applyBorder="1" applyAlignment="1">
      <alignment horizontal="center" vertical="center"/>
    </xf>
    <xf numFmtId="0" fontId="0" fillId="2" borderId="1" xfId="0" applyFill="1" applyBorder="1"/>
    <xf numFmtId="0" fontId="0" fillId="4" borderId="1" xfId="0" applyFill="1" applyBorder="1"/>
    <xf numFmtId="0" fontId="12" fillId="2" borderId="0" xfId="0" applyFont="1" applyFill="1" applyAlignment="1">
      <alignment horizontal="center" vertical="center"/>
    </xf>
    <xf numFmtId="3" fontId="59" fillId="2" borderId="1" xfId="0" applyNumberFormat="1" applyFont="1" applyFill="1" applyBorder="1" applyAlignment="1">
      <alignment horizontal="center" vertical="center"/>
    </xf>
    <xf numFmtId="172" fontId="59" fillId="2" borderId="1" xfId="0" applyNumberFormat="1" applyFont="1" applyFill="1" applyBorder="1" applyAlignment="1">
      <alignment horizontal="center" vertical="center"/>
    </xf>
    <xf numFmtId="3" fontId="59" fillId="4" borderId="1" xfId="0" applyNumberFormat="1" applyFont="1" applyFill="1" applyBorder="1" applyAlignment="1">
      <alignment horizontal="center" vertical="center"/>
    </xf>
    <xf numFmtId="0" fontId="58" fillId="34" borderId="1" xfId="0" applyFont="1" applyFill="1" applyBorder="1" applyAlignment="1">
      <alignment horizontal="center" vertical="center"/>
    </xf>
    <xf numFmtId="3" fontId="59" fillId="12" borderId="1" xfId="0" applyNumberFormat="1" applyFont="1" applyFill="1" applyBorder="1" applyAlignment="1">
      <alignment horizontal="center" vertical="center"/>
    </xf>
    <xf numFmtId="0" fontId="0" fillId="34" borderId="1" xfId="0" applyFill="1" applyBorder="1"/>
    <xf numFmtId="0" fontId="58" fillId="12" borderId="1" xfId="0" applyFont="1" applyFill="1" applyBorder="1" applyAlignment="1">
      <alignment horizontal="center" vertical="center"/>
    </xf>
    <xf numFmtId="0" fontId="0" fillId="12" borderId="1" xfId="0" applyFill="1" applyBorder="1"/>
    <xf numFmtId="0" fontId="39" fillId="7" borderId="7" xfId="0" applyFont="1" applyFill="1" applyBorder="1"/>
    <xf numFmtId="0" fontId="0" fillId="0" borderId="4" xfId="0" applyBorder="1"/>
    <xf numFmtId="0" fontId="43" fillId="3" borderId="0" xfId="0" applyFont="1" applyFill="1" applyAlignment="1">
      <alignment horizontal="center" vertical="center"/>
    </xf>
    <xf numFmtId="0" fontId="36" fillId="28" borderId="19" xfId="0" applyFont="1" applyFill="1" applyBorder="1"/>
    <xf numFmtId="1" fontId="0" fillId="0" borderId="0" xfId="0" applyNumberFormat="1"/>
    <xf numFmtId="1" fontId="36" fillId="28" borderId="19" xfId="0" applyNumberFormat="1" applyFont="1" applyFill="1" applyBorder="1"/>
    <xf numFmtId="0" fontId="3" fillId="14" borderId="20" xfId="0" applyFont="1" applyFill="1" applyBorder="1" applyAlignment="1">
      <alignment horizontal="center" vertical="center" wrapText="1"/>
    </xf>
    <xf numFmtId="0" fontId="77" fillId="45" borderId="0" xfId="0" applyFont="1" applyFill="1" applyBorder="1" applyAlignment="1">
      <alignment horizontal="center"/>
    </xf>
    <xf numFmtId="17" fontId="36" fillId="28" borderId="19" xfId="0" applyNumberFormat="1" applyFont="1" applyFill="1" applyBorder="1"/>
  </cellXfs>
  <cellStyles count="2">
    <cellStyle name="Normal" xfId="0" builtinId="0"/>
    <cellStyle name="Normal 2" xfId="1" xr:uid="{F915C41C-868F-49FC-8192-8B40AF0EEAD1}"/>
  </cellStyles>
  <dxfs count="30">
    <dxf>
      <fill>
        <patternFill>
          <bgColor rgb="FFE2F0D9"/>
        </patternFill>
      </fill>
    </dxf>
    <dxf>
      <fill>
        <patternFill>
          <bgColor rgb="FFFCE4D6"/>
        </patternFill>
      </fill>
    </dxf>
    <dxf>
      <fill>
        <patternFill>
          <bgColor rgb="FFF4CCCC"/>
        </patternFill>
      </fill>
    </dxf>
    <dxf>
      <fill>
        <patternFill>
          <bgColor rgb="FFE7E6E6"/>
        </patternFill>
      </fill>
    </dxf>
    <dxf>
      <fill>
        <patternFill>
          <bgColor rgb="FFD9EAD3"/>
        </patternFill>
      </fill>
    </dxf>
    <dxf>
      <fill>
        <patternFill>
          <bgColor rgb="FFE2F0D9"/>
        </patternFill>
      </fill>
    </dxf>
    <dxf>
      <fill>
        <patternFill>
          <bgColor rgb="FFFCE4D6"/>
        </patternFill>
      </fill>
    </dxf>
    <dxf>
      <fill>
        <patternFill>
          <bgColor rgb="FFF4CCCC"/>
        </patternFill>
      </fill>
    </dxf>
    <dxf>
      <fill>
        <patternFill>
          <bgColor rgb="FFE7E6E6"/>
        </patternFill>
      </fill>
    </dxf>
    <dxf>
      <fill>
        <patternFill>
          <bgColor rgb="FFD9EAD3"/>
        </patternFill>
      </fill>
    </dxf>
    <dxf>
      <fill>
        <patternFill>
          <bgColor rgb="FFE2F0D9"/>
        </patternFill>
      </fill>
    </dxf>
    <dxf>
      <fill>
        <patternFill>
          <bgColor rgb="FFFCE4D6"/>
        </patternFill>
      </fill>
    </dxf>
    <dxf>
      <fill>
        <patternFill>
          <bgColor rgb="FFF4CCCC"/>
        </patternFill>
      </fill>
    </dxf>
    <dxf>
      <fill>
        <patternFill>
          <bgColor rgb="FFE7E6E6"/>
        </patternFill>
      </fill>
    </dxf>
    <dxf>
      <fill>
        <patternFill>
          <bgColor rgb="FFD9EAD3"/>
        </patternFill>
      </fill>
    </dxf>
    <dxf>
      <fill>
        <patternFill>
          <bgColor rgb="FFE2F0D9"/>
        </patternFill>
      </fill>
    </dxf>
    <dxf>
      <fill>
        <patternFill>
          <bgColor rgb="FFFCE4D6"/>
        </patternFill>
      </fill>
    </dxf>
    <dxf>
      <fill>
        <patternFill>
          <bgColor rgb="FFF4CCCC"/>
        </patternFill>
      </fill>
    </dxf>
    <dxf>
      <fill>
        <patternFill>
          <bgColor rgb="FFFFFFCC"/>
        </patternFill>
      </fill>
    </dxf>
    <dxf>
      <fill>
        <patternFill>
          <bgColor theme="3" tint="0.79998168889431442"/>
        </patternFill>
      </fill>
    </dxf>
    <dxf>
      <fill>
        <patternFill>
          <bgColor rgb="FFFFFFCC"/>
        </patternFill>
      </fill>
    </dxf>
    <dxf>
      <fill>
        <patternFill>
          <bgColor theme="3" tint="0.79998168889431442"/>
        </patternFill>
      </fill>
    </dxf>
    <dxf>
      <fill>
        <patternFill>
          <bgColor rgb="FFFFFFCC"/>
        </patternFill>
      </fill>
    </dxf>
    <dxf>
      <fill>
        <patternFill>
          <bgColor theme="3" tint="0.79998168889431442"/>
        </patternFill>
      </fill>
    </dxf>
    <dxf>
      <fill>
        <patternFill>
          <bgColor rgb="FFFFFFCC"/>
        </patternFill>
      </fill>
    </dxf>
    <dxf>
      <fill>
        <patternFill>
          <bgColor theme="3" tint="0.79998168889431442"/>
        </patternFill>
      </fill>
    </dxf>
    <dxf>
      <fill>
        <patternFill>
          <bgColor rgb="FFFFFFCC"/>
        </patternFill>
      </fill>
    </dxf>
    <dxf>
      <fill>
        <patternFill>
          <bgColor theme="3" tint="0.79998168889431442"/>
        </patternFill>
      </fill>
    </dxf>
    <dxf>
      <fill>
        <patternFill>
          <bgColor rgb="FFFFFFCC"/>
        </patternFill>
      </fill>
    </dxf>
    <dxf>
      <fill>
        <patternFill>
          <bgColor theme="3" tint="0.79998168889431442"/>
        </patternFill>
      </fill>
    </dxf>
  </dxfs>
  <tableStyles count="0" defaultTableStyle="TableStyleMedium9"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 Id="rId35" Type="http://schemas.microsoft.com/office/2006/relationships/vbaProject" Target="vbaProject.bin"/><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spc="0" baseline="0">
                <a:solidFill>
                  <a:schemeClr val="tx1">
                    <a:lumMod val="65000"/>
                    <a:lumOff val="35000"/>
                  </a:schemeClr>
                </a:solidFill>
                <a:latin typeface="+mn-lt"/>
                <a:ea typeface="+mn-ea"/>
                <a:cs typeface="+mn-cs"/>
              </a:defRPr>
            </a:pPr>
            <a:r>
              <a:rPr lang="en-US"/>
              <a:t>188mg LP — Inventory &amp; Supply Plan</a:t>
            </a:r>
          </a:p>
        </c:rich>
      </c:tx>
      <c:overlay val="0"/>
      <c:spPr>
        <a:noFill/>
        <a:ln>
          <a:noFill/>
        </a:ln>
        <a:effectLst/>
      </c:spPr>
      <c:txPr>
        <a:bodyPr rot="0" spcFirstLastPara="1" vertOverflow="ellipsis" vert="horz" wrap="square" anchor="ctr" anchorCtr="1"/>
        <a:lstStyle/>
        <a:p>
          <a:pPr>
            <a:defRPr sz="12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rgbClr val="4472C4"/>
            </a:solidFill>
            <a:ln>
              <a:noFill/>
            </a:ln>
            <a:effectLst/>
          </c:spPr>
          <c:invertIfNegative val="0"/>
          <c:cat>
            <c:strRef>
              <c:f>'Planning Engine'!$W$4:$W$21</c:f>
              <c:strCache>
                <c:ptCount val="18"/>
                <c:pt idx="0">
                  <c:v>Apr-26</c:v>
                </c:pt>
                <c:pt idx="1">
                  <c:v>May-26</c:v>
                </c:pt>
                <c:pt idx="2">
                  <c:v>Jun-26</c:v>
                </c:pt>
                <c:pt idx="3">
                  <c:v>Jul-26</c:v>
                </c:pt>
                <c:pt idx="4">
                  <c:v>Aug-26</c:v>
                </c:pt>
                <c:pt idx="5">
                  <c:v>Sep-26</c:v>
                </c:pt>
                <c:pt idx="6">
                  <c:v>Oct-26</c:v>
                </c:pt>
                <c:pt idx="7">
                  <c:v>Nov-26</c:v>
                </c:pt>
                <c:pt idx="8">
                  <c:v>Dec-26</c:v>
                </c:pt>
                <c:pt idx="9">
                  <c:v>Jan-27</c:v>
                </c:pt>
                <c:pt idx="10">
                  <c:v>Feb-27</c:v>
                </c:pt>
                <c:pt idx="11">
                  <c:v>Mar-27</c:v>
                </c:pt>
                <c:pt idx="12">
                  <c:v>Apr-27</c:v>
                </c:pt>
                <c:pt idx="13">
                  <c:v>May-27</c:v>
                </c:pt>
                <c:pt idx="14">
                  <c:v>Jun-27</c:v>
                </c:pt>
                <c:pt idx="15">
                  <c:v>Jul-27</c:v>
                </c:pt>
                <c:pt idx="16">
                  <c:v>Aug-27</c:v>
                </c:pt>
                <c:pt idx="17">
                  <c:v>Sep-27</c:v>
                </c:pt>
              </c:strCache>
            </c:strRef>
          </c:cat>
          <c:val>
            <c:numRef>
              <c:f>'Planning Engine'!$X$4:$X$21</c:f>
              <c:numCache>
                <c:formatCode>General</c:formatCode>
                <c:ptCount val="18"/>
                <c:pt idx="0">
                  <c:v>2124.9921880618376</c:v>
                </c:pt>
                <c:pt idx="1">
                  <c:v>2053.6576284117737</c:v>
                </c:pt>
                <c:pt idx="2">
                  <c:v>1789.3498301935292</c:v>
                </c:pt>
                <c:pt idx="3">
                  <c:v>2101.9326546434804</c:v>
                </c:pt>
                <c:pt idx="4">
                  <c:v>2300.2239886063553</c:v>
                </c:pt>
                <c:pt idx="5">
                  <c:v>2156.5918919219398</c:v>
                </c:pt>
                <c:pt idx="6">
                  <c:v>2287.397516316053</c:v>
                </c:pt>
                <c:pt idx="7">
                  <c:v>2411.2846308610096</c:v>
                </c:pt>
                <c:pt idx="8">
                  <c:v>2102.2871252017048</c:v>
                </c:pt>
                <c:pt idx="9">
                  <c:v>2931.4602227597193</c:v>
                </c:pt>
                <c:pt idx="10">
                  <c:v>2238.5979430491811</c:v>
                </c:pt>
                <c:pt idx="11">
                  <c:v>2525.5929800666936</c:v>
                </c:pt>
                <c:pt idx="12">
                  <c:v>3618.7106049950644</c:v>
                </c:pt>
                <c:pt idx="13">
                  <c:v>3306.2074884801073</c:v>
                </c:pt>
                <c:pt idx="14">
                  <c:v>3046.5446589714029</c:v>
                </c:pt>
                <c:pt idx="15">
                  <c:v>3690.4092931084087</c:v>
                </c:pt>
                <c:pt idx="16">
                  <c:v>3856.5826810063154</c:v>
                </c:pt>
                <c:pt idx="17">
                  <c:v>4488.9609107204742</c:v>
                </c:pt>
              </c:numCache>
            </c:numRef>
          </c:val>
          <c:extLst>
            <c:ext xmlns:c16="http://schemas.microsoft.com/office/drawing/2014/chart" uri="{C3380CC4-5D6E-409C-BE32-E72D297353CC}">
              <c16:uniqueId val="{0000001A-9E86-499C-BBA5-0CBEFB8783A5}"/>
            </c:ext>
          </c:extLst>
        </c:ser>
        <c:ser>
          <c:idx val="1"/>
          <c:order val="1"/>
          <c:spPr>
            <a:solidFill>
              <a:srgbClr val="ED7D31"/>
            </a:solidFill>
            <a:ln>
              <a:noFill/>
            </a:ln>
            <a:effectLst/>
          </c:spPr>
          <c:invertIfNegative val="0"/>
          <c:cat>
            <c:strRef>
              <c:f>'Planning Engine'!$W$4:$W$21</c:f>
              <c:strCache>
                <c:ptCount val="18"/>
                <c:pt idx="0">
                  <c:v>Apr-26</c:v>
                </c:pt>
                <c:pt idx="1">
                  <c:v>May-26</c:v>
                </c:pt>
                <c:pt idx="2">
                  <c:v>Jun-26</c:v>
                </c:pt>
                <c:pt idx="3">
                  <c:v>Jul-26</c:v>
                </c:pt>
                <c:pt idx="4">
                  <c:v>Aug-26</c:v>
                </c:pt>
                <c:pt idx="5">
                  <c:v>Sep-26</c:v>
                </c:pt>
                <c:pt idx="6">
                  <c:v>Oct-26</c:v>
                </c:pt>
                <c:pt idx="7">
                  <c:v>Nov-26</c:v>
                </c:pt>
                <c:pt idx="8">
                  <c:v>Dec-26</c:v>
                </c:pt>
                <c:pt idx="9">
                  <c:v>Jan-27</c:v>
                </c:pt>
                <c:pt idx="10">
                  <c:v>Feb-27</c:v>
                </c:pt>
                <c:pt idx="11">
                  <c:v>Mar-27</c:v>
                </c:pt>
                <c:pt idx="12">
                  <c:v>Apr-27</c:v>
                </c:pt>
                <c:pt idx="13">
                  <c:v>May-27</c:v>
                </c:pt>
                <c:pt idx="14">
                  <c:v>Jun-27</c:v>
                </c:pt>
                <c:pt idx="15">
                  <c:v>Jul-27</c:v>
                </c:pt>
                <c:pt idx="16">
                  <c:v>Aug-27</c:v>
                </c:pt>
                <c:pt idx="17">
                  <c:v>Sep-27</c:v>
                </c:pt>
              </c:strCache>
            </c:strRef>
          </c:cat>
          <c:val>
            <c:numRef>
              <c:f>'Planning Engine'!$Y$4:$Y$21</c:f>
              <c:numCache>
                <c:formatCode>General</c:formatCode>
                <c:ptCount val="18"/>
                <c:pt idx="0">
                  <c:v>0</c:v>
                </c:pt>
                <c:pt idx="1">
                  <c:v>0</c:v>
                </c:pt>
                <c:pt idx="2">
                  <c:v>2700</c:v>
                </c:pt>
                <c:pt idx="3">
                  <c:v>0</c:v>
                </c:pt>
                <c:pt idx="4">
                  <c:v>0</c:v>
                </c:pt>
                <c:pt idx="5">
                  <c:v>0</c:v>
                </c:pt>
                <c:pt idx="6">
                  <c:v>32400</c:v>
                </c:pt>
                <c:pt idx="7">
                  <c:v>0</c:v>
                </c:pt>
                <c:pt idx="8">
                  <c:v>0</c:v>
                </c:pt>
                <c:pt idx="9">
                  <c:v>0</c:v>
                </c:pt>
                <c:pt idx="10">
                  <c:v>0</c:v>
                </c:pt>
                <c:pt idx="11">
                  <c:v>0</c:v>
                </c:pt>
                <c:pt idx="12">
                  <c:v>0</c:v>
                </c:pt>
                <c:pt idx="13">
                  <c:v>0</c:v>
                </c:pt>
                <c:pt idx="14">
                  <c:v>0</c:v>
                </c:pt>
                <c:pt idx="15">
                  <c:v>0</c:v>
                </c:pt>
                <c:pt idx="16">
                  <c:v>0</c:v>
                </c:pt>
                <c:pt idx="17">
                  <c:v>0</c:v>
                </c:pt>
              </c:numCache>
            </c:numRef>
          </c:val>
          <c:extLst>
            <c:ext xmlns:c16="http://schemas.microsoft.com/office/drawing/2014/chart" uri="{C3380CC4-5D6E-409C-BE32-E72D297353CC}">
              <c16:uniqueId val="{0000001B-9E86-499C-BBA5-0CBEFB8783A5}"/>
            </c:ext>
          </c:extLst>
        </c:ser>
        <c:dLbls>
          <c:showLegendKey val="0"/>
          <c:showVal val="0"/>
          <c:showCatName val="0"/>
          <c:showSerName val="0"/>
          <c:showPercent val="0"/>
          <c:showBubbleSize val="0"/>
        </c:dLbls>
        <c:gapWidth val="219"/>
        <c:overlap val="-27"/>
        <c:axId val="526164128"/>
        <c:axId val="526172288"/>
      </c:barChart>
      <c:lineChart>
        <c:grouping val="standard"/>
        <c:varyColors val="0"/>
        <c:ser>
          <c:idx val="2"/>
          <c:order val="2"/>
          <c:spPr>
            <a:ln w="28575" cap="rnd">
              <a:solidFill>
                <a:srgbClr val="2F5597"/>
              </a:solidFill>
              <a:prstDash val="solid"/>
              <a:round/>
            </a:ln>
            <a:effectLst/>
          </c:spPr>
          <c:marker>
            <c:symbol val="circle"/>
            <c:size val="6"/>
            <c:spPr>
              <a:solidFill>
                <a:schemeClr val="accent3"/>
              </a:solidFill>
              <a:ln w="9525">
                <a:solidFill>
                  <a:schemeClr val="accent3"/>
                </a:solidFill>
              </a:ln>
              <a:effectLst/>
            </c:spPr>
          </c:marker>
          <c:cat>
            <c:strRef>
              <c:f>'Planning Engine'!$W$4:$W$21</c:f>
              <c:strCache>
                <c:ptCount val="18"/>
                <c:pt idx="0">
                  <c:v>Apr-26</c:v>
                </c:pt>
                <c:pt idx="1">
                  <c:v>May-26</c:v>
                </c:pt>
                <c:pt idx="2">
                  <c:v>Jun-26</c:v>
                </c:pt>
                <c:pt idx="3">
                  <c:v>Jul-26</c:v>
                </c:pt>
                <c:pt idx="4">
                  <c:v>Aug-26</c:v>
                </c:pt>
                <c:pt idx="5">
                  <c:v>Sep-26</c:v>
                </c:pt>
                <c:pt idx="6">
                  <c:v>Oct-26</c:v>
                </c:pt>
                <c:pt idx="7">
                  <c:v>Nov-26</c:v>
                </c:pt>
                <c:pt idx="8">
                  <c:v>Dec-26</c:v>
                </c:pt>
                <c:pt idx="9">
                  <c:v>Jan-27</c:v>
                </c:pt>
                <c:pt idx="10">
                  <c:v>Feb-27</c:v>
                </c:pt>
                <c:pt idx="11">
                  <c:v>Mar-27</c:v>
                </c:pt>
                <c:pt idx="12">
                  <c:v>Apr-27</c:v>
                </c:pt>
                <c:pt idx="13">
                  <c:v>May-27</c:v>
                </c:pt>
                <c:pt idx="14">
                  <c:v>Jun-27</c:v>
                </c:pt>
                <c:pt idx="15">
                  <c:v>Jul-27</c:v>
                </c:pt>
                <c:pt idx="16">
                  <c:v>Aug-27</c:v>
                </c:pt>
                <c:pt idx="17">
                  <c:v>Sep-27</c:v>
                </c:pt>
              </c:strCache>
            </c:strRef>
          </c:cat>
          <c:val>
            <c:numRef>
              <c:f>'Planning Engine'!$Z$4:$Z$21</c:f>
              <c:numCache>
                <c:formatCode>General</c:formatCode>
                <c:ptCount val="18"/>
                <c:pt idx="0">
                  <c:v>54920</c:v>
                </c:pt>
                <c:pt idx="1">
                  <c:v>52866.342371588224</c:v>
                </c:pt>
                <c:pt idx="2">
                  <c:v>53776.992541394691</c:v>
                </c:pt>
                <c:pt idx="3">
                  <c:v>51675.059886751209</c:v>
                </c:pt>
                <c:pt idx="4">
                  <c:v>49374.835898144855</c:v>
                </c:pt>
                <c:pt idx="5">
                  <c:v>47218.244006222914</c:v>
                </c:pt>
                <c:pt idx="6">
                  <c:v>77330.846489906864</c:v>
                </c:pt>
                <c:pt idx="7">
                  <c:v>74919.561859045847</c:v>
                </c:pt>
                <c:pt idx="8">
                  <c:v>72817.27473384414</c:v>
                </c:pt>
                <c:pt idx="9">
                  <c:v>69885.81451108442</c:v>
                </c:pt>
                <c:pt idx="10">
                  <c:v>67647.216568035234</c:v>
                </c:pt>
                <c:pt idx="11">
                  <c:v>65121.623587968541</c:v>
                </c:pt>
                <c:pt idx="12">
                  <c:v>61502.912982973474</c:v>
                </c:pt>
                <c:pt idx="13">
                  <c:v>58196.70549449337</c:v>
                </c:pt>
                <c:pt idx="14">
                  <c:v>55150.160835521965</c:v>
                </c:pt>
                <c:pt idx="15">
                  <c:v>51459.751542413556</c:v>
                </c:pt>
                <c:pt idx="16">
                  <c:v>47603.168861407241</c:v>
                </c:pt>
                <c:pt idx="17">
                  <c:v>43114.207950686767</c:v>
                </c:pt>
              </c:numCache>
            </c:numRef>
          </c:val>
          <c:smooth val="0"/>
          <c:extLst>
            <c:ext xmlns:c16="http://schemas.microsoft.com/office/drawing/2014/chart" uri="{C3380CC4-5D6E-409C-BE32-E72D297353CC}">
              <c16:uniqueId val="{0000001C-9E86-499C-BBA5-0CBEFB8783A5}"/>
            </c:ext>
          </c:extLst>
        </c:ser>
        <c:ser>
          <c:idx val="3"/>
          <c:order val="3"/>
          <c:spPr>
            <a:ln w="28575" cap="rnd">
              <a:solidFill>
                <a:srgbClr val="FF0000"/>
              </a:solidFill>
              <a:prstDash val="solid"/>
              <a:round/>
            </a:ln>
            <a:effectLst/>
          </c:spPr>
          <c:marker>
            <c:symbol val="none"/>
          </c:marker>
          <c:cat>
            <c:strRef>
              <c:f>'Planning Engine'!$W$4:$W$21</c:f>
              <c:strCache>
                <c:ptCount val="18"/>
                <c:pt idx="0">
                  <c:v>Apr-26</c:v>
                </c:pt>
                <c:pt idx="1">
                  <c:v>May-26</c:v>
                </c:pt>
                <c:pt idx="2">
                  <c:v>Jun-26</c:v>
                </c:pt>
                <c:pt idx="3">
                  <c:v>Jul-26</c:v>
                </c:pt>
                <c:pt idx="4">
                  <c:v>Aug-26</c:v>
                </c:pt>
                <c:pt idx="5">
                  <c:v>Sep-26</c:v>
                </c:pt>
                <c:pt idx="6">
                  <c:v>Oct-26</c:v>
                </c:pt>
                <c:pt idx="7">
                  <c:v>Nov-26</c:v>
                </c:pt>
                <c:pt idx="8">
                  <c:v>Dec-26</c:v>
                </c:pt>
                <c:pt idx="9">
                  <c:v>Jan-27</c:v>
                </c:pt>
                <c:pt idx="10">
                  <c:v>Feb-27</c:v>
                </c:pt>
                <c:pt idx="11">
                  <c:v>Mar-27</c:v>
                </c:pt>
                <c:pt idx="12">
                  <c:v>Apr-27</c:v>
                </c:pt>
                <c:pt idx="13">
                  <c:v>May-27</c:v>
                </c:pt>
                <c:pt idx="14">
                  <c:v>Jun-27</c:v>
                </c:pt>
                <c:pt idx="15">
                  <c:v>Jul-27</c:v>
                </c:pt>
                <c:pt idx="16">
                  <c:v>Aug-27</c:v>
                </c:pt>
                <c:pt idx="17">
                  <c:v>Sep-27</c:v>
                </c:pt>
              </c:strCache>
            </c:strRef>
          </c:cat>
          <c:val>
            <c:numRef>
              <c:f>'Planning Engine'!$AA$4:$AA$21</c:f>
              <c:numCache>
                <c:formatCode>General</c:formatCode>
                <c:ptCount val="18"/>
                <c:pt idx="0">
                  <c:v>19327.717454217687</c:v>
                </c:pt>
                <c:pt idx="1">
                  <c:v>20134.185488915566</c:v>
                </c:pt>
                <c:pt idx="2">
                  <c:v>20319.125803552975</c:v>
                </c:pt>
                <c:pt idx="3">
                  <c:v>21055.368953426136</c:v>
                </c:pt>
                <c:pt idx="4">
                  <c:v>22572.146903777721</c:v>
                </c:pt>
                <c:pt idx="5">
                  <c:v>23578.13040365147</c:v>
                </c:pt>
                <c:pt idx="6">
                  <c:v>24468.083170700935</c:v>
                </c:pt>
                <c:pt idx="7">
                  <c:v>25871.094947493293</c:v>
                </c:pt>
                <c:pt idx="8">
                  <c:v>27316.392997638599</c:v>
                </c:pt>
                <c:pt idx="9">
                  <c:v>29703.066783157366</c:v>
                </c:pt>
                <c:pt idx="10">
                  <c:v>31162.474250229156</c:v>
                </c:pt>
                <c:pt idx="11">
                  <c:v>33394.461383334543</c:v>
                </c:pt>
                <c:pt idx="12">
                  <c:v>35816.429326485042</c:v>
                </c:pt>
                <c:pt idx="13">
                  <c:v>38474.962980926735</c:v>
                </c:pt>
                <c:pt idx="14">
                  <c:v>40196.99583771672</c:v>
                </c:pt>
                <c:pt idx="15">
                  <c:v>43525.594551036687</c:v>
                </c:pt>
                <c:pt idx="16">
                  <c:v>48233.126551123307</c:v>
                </c:pt>
                <c:pt idx="17">
                  <c:v>50993.971572888709</c:v>
                </c:pt>
              </c:numCache>
            </c:numRef>
          </c:val>
          <c:smooth val="0"/>
          <c:extLst>
            <c:ext xmlns:c16="http://schemas.microsoft.com/office/drawing/2014/chart" uri="{C3380CC4-5D6E-409C-BE32-E72D297353CC}">
              <c16:uniqueId val="{0000001D-9E86-499C-BBA5-0CBEFB8783A5}"/>
            </c:ext>
          </c:extLst>
        </c:ser>
        <c:dLbls>
          <c:showLegendKey val="0"/>
          <c:showVal val="0"/>
          <c:showCatName val="0"/>
          <c:showSerName val="0"/>
          <c:showPercent val="0"/>
          <c:showBubbleSize val="0"/>
        </c:dLbls>
        <c:marker val="1"/>
        <c:smooth val="0"/>
        <c:axId val="526164128"/>
        <c:axId val="526172288"/>
      </c:lineChart>
      <c:catAx>
        <c:axId val="526164128"/>
        <c:scaling>
          <c:orientation val="minMax"/>
        </c:scaling>
        <c:delete val="0"/>
        <c:axPos val="b"/>
        <c:numFmt formatCode="mmm\-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6172288"/>
        <c:crosses val="autoZero"/>
        <c:auto val="1"/>
        <c:lblAlgn val="ctr"/>
        <c:lblOffset val="100"/>
        <c:noMultiLvlLbl val="0"/>
      </c:catAx>
      <c:valAx>
        <c:axId val="52617228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6164128"/>
        <c:crosses val="autoZero"/>
        <c:crossBetween val="between"/>
      </c:valAx>
      <c:spPr>
        <a:solidFill>
          <a:srgbClr val="F5F5F5"/>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spc="0" baseline="0">
                <a:solidFill>
                  <a:schemeClr val="tx1">
                    <a:lumMod val="65000"/>
                    <a:lumOff val="35000"/>
                  </a:schemeClr>
                </a:solidFill>
                <a:latin typeface="+mn-lt"/>
                <a:ea typeface="+mn-ea"/>
                <a:cs typeface="+mn-cs"/>
              </a:defRPr>
            </a:pPr>
            <a:r>
              <a:rPr lang="en-US"/>
              <a:t>47mg LP — Inventory &amp; Supply Plan</a:t>
            </a:r>
          </a:p>
        </c:rich>
      </c:tx>
      <c:overlay val="0"/>
      <c:spPr>
        <a:noFill/>
        <a:ln>
          <a:noFill/>
        </a:ln>
        <a:effectLst/>
      </c:spPr>
      <c:txPr>
        <a:bodyPr rot="0" spcFirstLastPara="1" vertOverflow="ellipsis" vert="horz" wrap="square" anchor="ctr" anchorCtr="1"/>
        <a:lstStyle/>
        <a:p>
          <a:pPr>
            <a:defRPr sz="12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rgbClr val="4472C4"/>
            </a:solidFill>
            <a:ln>
              <a:noFill/>
            </a:ln>
            <a:effectLst/>
          </c:spPr>
          <c:invertIfNegative val="0"/>
          <c:cat>
            <c:numRef>
              <c:f>'Planning Engine'!$W$183:$W$200</c:f>
              <c:numCache>
                <c:formatCode>mmm\-yy</c:formatCode>
                <c:ptCount val="18"/>
                <c:pt idx="0">
                  <c:v>46113</c:v>
                </c:pt>
                <c:pt idx="1">
                  <c:v>46143</c:v>
                </c:pt>
                <c:pt idx="2">
                  <c:v>46174</c:v>
                </c:pt>
                <c:pt idx="3">
                  <c:v>46204</c:v>
                </c:pt>
                <c:pt idx="4">
                  <c:v>46235</c:v>
                </c:pt>
                <c:pt idx="5">
                  <c:v>46266</c:v>
                </c:pt>
                <c:pt idx="6">
                  <c:v>46296</c:v>
                </c:pt>
                <c:pt idx="7">
                  <c:v>46327</c:v>
                </c:pt>
                <c:pt idx="8">
                  <c:v>46357</c:v>
                </c:pt>
                <c:pt idx="9">
                  <c:v>46388</c:v>
                </c:pt>
                <c:pt idx="10">
                  <c:v>46419</c:v>
                </c:pt>
                <c:pt idx="11">
                  <c:v>46447</c:v>
                </c:pt>
                <c:pt idx="12">
                  <c:v>46478</c:v>
                </c:pt>
                <c:pt idx="13">
                  <c:v>46508</c:v>
                </c:pt>
                <c:pt idx="14">
                  <c:v>46539</c:v>
                </c:pt>
                <c:pt idx="15">
                  <c:v>46569</c:v>
                </c:pt>
                <c:pt idx="16">
                  <c:v>46600</c:v>
                </c:pt>
                <c:pt idx="17">
                  <c:v>46631</c:v>
                </c:pt>
              </c:numCache>
            </c:numRef>
          </c:cat>
          <c:val>
            <c:numRef>
              <c:f>'Planning Engine'!$X$183:$X$200</c:f>
              <c:numCache>
                <c:formatCode>General</c:formatCode>
                <c:ptCount val="18"/>
                <c:pt idx="0">
                  <c:v>1120.6477072832886</c:v>
                </c:pt>
                <c:pt idx="1">
                  <c:v>1083.0283168822245</c:v>
                </c:pt>
                <c:pt idx="2">
                  <c:v>943.64148536614266</c:v>
                </c:pt>
                <c:pt idx="3">
                  <c:v>1108.4869033982282</c:v>
                </c:pt>
                <c:pt idx="4">
                  <c:v>1213.0589248993151</c:v>
                </c:pt>
                <c:pt idx="5">
                  <c:v>1137.3123029842027</c:v>
                </c:pt>
                <c:pt idx="6">
                  <c:v>1206.2946850844983</c:v>
                </c:pt>
                <c:pt idx="7">
                  <c:v>1272.3744523918795</c:v>
                </c:pt>
                <c:pt idx="8">
                  <c:v>1109.5290857354362</c:v>
                </c:pt>
                <c:pt idx="9">
                  <c:v>1547.5147574252862</c:v>
                </c:pt>
                <c:pt idx="10">
                  <c:v>1182.1189429196409</c:v>
                </c:pt>
                <c:pt idx="11">
                  <c:v>1334.1973452325033</c:v>
                </c:pt>
                <c:pt idx="12">
                  <c:v>1912.6146140684307</c:v>
                </c:pt>
                <c:pt idx="13">
                  <c:v>1748.533492739351</c:v>
                </c:pt>
                <c:pt idx="14">
                  <c:v>1612.4347332159941</c:v>
                </c:pt>
                <c:pt idx="15">
                  <c:v>1954.9932032572733</c:v>
                </c:pt>
                <c:pt idx="16">
                  <c:v>2045.199321259915</c:v>
                </c:pt>
                <c:pt idx="17">
                  <c:v>2383.429194191488</c:v>
                </c:pt>
              </c:numCache>
            </c:numRef>
          </c:val>
          <c:extLst>
            <c:ext xmlns:c16="http://schemas.microsoft.com/office/drawing/2014/chart" uri="{C3380CC4-5D6E-409C-BE32-E72D297353CC}">
              <c16:uniqueId val="{00000004-9C9E-497A-B525-7FEA0F7F1688}"/>
            </c:ext>
          </c:extLst>
        </c:ser>
        <c:ser>
          <c:idx val="1"/>
          <c:order val="1"/>
          <c:spPr>
            <a:solidFill>
              <a:srgbClr val="ED7D31"/>
            </a:solidFill>
            <a:ln>
              <a:noFill/>
            </a:ln>
            <a:effectLst/>
          </c:spPr>
          <c:invertIfNegative val="0"/>
          <c:cat>
            <c:numRef>
              <c:f>'Planning Engine'!$W$183:$W$200</c:f>
              <c:numCache>
                <c:formatCode>mmm\-yy</c:formatCode>
                <c:ptCount val="18"/>
                <c:pt idx="0">
                  <c:v>46113</c:v>
                </c:pt>
                <c:pt idx="1">
                  <c:v>46143</c:v>
                </c:pt>
                <c:pt idx="2">
                  <c:v>46174</c:v>
                </c:pt>
                <c:pt idx="3">
                  <c:v>46204</c:v>
                </c:pt>
                <c:pt idx="4">
                  <c:v>46235</c:v>
                </c:pt>
                <c:pt idx="5">
                  <c:v>46266</c:v>
                </c:pt>
                <c:pt idx="6">
                  <c:v>46296</c:v>
                </c:pt>
                <c:pt idx="7">
                  <c:v>46327</c:v>
                </c:pt>
                <c:pt idx="8">
                  <c:v>46357</c:v>
                </c:pt>
                <c:pt idx="9">
                  <c:v>46388</c:v>
                </c:pt>
                <c:pt idx="10">
                  <c:v>46419</c:v>
                </c:pt>
                <c:pt idx="11">
                  <c:v>46447</c:v>
                </c:pt>
                <c:pt idx="12">
                  <c:v>46478</c:v>
                </c:pt>
                <c:pt idx="13">
                  <c:v>46508</c:v>
                </c:pt>
                <c:pt idx="14">
                  <c:v>46539</c:v>
                </c:pt>
                <c:pt idx="15">
                  <c:v>46569</c:v>
                </c:pt>
                <c:pt idx="16">
                  <c:v>46600</c:v>
                </c:pt>
                <c:pt idx="17">
                  <c:v>46631</c:v>
                </c:pt>
              </c:numCache>
            </c:numRef>
          </c:cat>
          <c:val>
            <c:numRef>
              <c:f>'Planning Engine'!$Y$183:$Y$200</c:f>
              <c:numCache>
                <c:formatCode>General</c:formatCode>
                <c:ptCount val="18"/>
                <c:pt idx="0">
                  <c:v>3</c:v>
                </c:pt>
                <c:pt idx="1">
                  <c:v>2</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extLst>
            <c:ext xmlns:c16="http://schemas.microsoft.com/office/drawing/2014/chart" uri="{C3380CC4-5D6E-409C-BE32-E72D297353CC}">
              <c16:uniqueId val="{00000005-9C9E-497A-B525-7FEA0F7F1688}"/>
            </c:ext>
          </c:extLst>
        </c:ser>
        <c:dLbls>
          <c:showLegendKey val="0"/>
          <c:showVal val="0"/>
          <c:showCatName val="0"/>
          <c:showSerName val="0"/>
          <c:showPercent val="0"/>
          <c:showBubbleSize val="0"/>
        </c:dLbls>
        <c:gapWidth val="219"/>
        <c:overlap val="-27"/>
        <c:axId val="526180448"/>
        <c:axId val="526167488"/>
      </c:barChart>
      <c:lineChart>
        <c:grouping val="standard"/>
        <c:varyColors val="0"/>
        <c:ser>
          <c:idx val="2"/>
          <c:order val="2"/>
          <c:spPr>
            <a:ln w="28575" cap="rnd">
              <a:solidFill>
                <a:srgbClr val="2F5597"/>
              </a:solidFill>
              <a:prstDash val="solid"/>
              <a:round/>
            </a:ln>
            <a:effectLst/>
          </c:spPr>
          <c:marker>
            <c:symbol val="circle"/>
            <c:size val="6"/>
            <c:spPr>
              <a:solidFill>
                <a:schemeClr val="accent3"/>
              </a:solidFill>
              <a:ln w="9525">
                <a:solidFill>
                  <a:schemeClr val="accent3"/>
                </a:solidFill>
              </a:ln>
              <a:effectLst/>
            </c:spPr>
          </c:marker>
          <c:cat>
            <c:numRef>
              <c:f>'Planning Engine'!$W$183:$W$200</c:f>
              <c:numCache>
                <c:formatCode>mmm\-yy</c:formatCode>
                <c:ptCount val="18"/>
                <c:pt idx="0">
                  <c:v>46113</c:v>
                </c:pt>
                <c:pt idx="1">
                  <c:v>46143</c:v>
                </c:pt>
                <c:pt idx="2">
                  <c:v>46174</c:v>
                </c:pt>
                <c:pt idx="3">
                  <c:v>46204</c:v>
                </c:pt>
                <c:pt idx="4">
                  <c:v>46235</c:v>
                </c:pt>
                <c:pt idx="5">
                  <c:v>46266</c:v>
                </c:pt>
                <c:pt idx="6">
                  <c:v>46296</c:v>
                </c:pt>
                <c:pt idx="7">
                  <c:v>46327</c:v>
                </c:pt>
                <c:pt idx="8">
                  <c:v>46357</c:v>
                </c:pt>
                <c:pt idx="9">
                  <c:v>46388</c:v>
                </c:pt>
                <c:pt idx="10">
                  <c:v>46419</c:v>
                </c:pt>
                <c:pt idx="11">
                  <c:v>46447</c:v>
                </c:pt>
                <c:pt idx="12">
                  <c:v>46478</c:v>
                </c:pt>
                <c:pt idx="13">
                  <c:v>46508</c:v>
                </c:pt>
                <c:pt idx="14">
                  <c:v>46539</c:v>
                </c:pt>
                <c:pt idx="15">
                  <c:v>46569</c:v>
                </c:pt>
                <c:pt idx="16">
                  <c:v>46600</c:v>
                </c:pt>
                <c:pt idx="17">
                  <c:v>46631</c:v>
                </c:pt>
              </c:numCache>
            </c:numRef>
          </c:cat>
          <c:val>
            <c:numRef>
              <c:f>'Planning Engine'!$Z$183:$Z$200</c:f>
              <c:numCache>
                <c:formatCode>General</c:formatCode>
                <c:ptCount val="18"/>
                <c:pt idx="0">
                  <c:v>39125</c:v>
                </c:pt>
                <c:pt idx="1">
                  <c:v>38043.971683117772</c:v>
                </c:pt>
                <c:pt idx="2">
                  <c:v>37100.330197751631</c:v>
                </c:pt>
                <c:pt idx="3">
                  <c:v>35991.843294353406</c:v>
                </c:pt>
                <c:pt idx="4">
                  <c:v>34778.784369454093</c:v>
                </c:pt>
                <c:pt idx="5">
                  <c:v>33641.472066469891</c:v>
                </c:pt>
                <c:pt idx="6">
                  <c:v>32435.177381385394</c:v>
                </c:pt>
                <c:pt idx="7">
                  <c:v>31162.802928993515</c:v>
                </c:pt>
                <c:pt idx="8">
                  <c:v>30053.273843258077</c:v>
                </c:pt>
                <c:pt idx="9">
                  <c:v>28505.759085832789</c:v>
                </c:pt>
                <c:pt idx="10">
                  <c:v>27323.640142913147</c:v>
                </c:pt>
                <c:pt idx="11">
                  <c:v>25989.442797680644</c:v>
                </c:pt>
                <c:pt idx="12">
                  <c:v>24076.828183612211</c:v>
                </c:pt>
                <c:pt idx="13">
                  <c:v>22328.294690872859</c:v>
                </c:pt>
                <c:pt idx="14">
                  <c:v>20715.859957656867</c:v>
                </c:pt>
                <c:pt idx="15">
                  <c:v>18760.866754399594</c:v>
                </c:pt>
                <c:pt idx="16">
                  <c:v>16715.667433139679</c:v>
                </c:pt>
                <c:pt idx="17">
                  <c:v>14332.23823894819</c:v>
                </c:pt>
              </c:numCache>
            </c:numRef>
          </c:val>
          <c:smooth val="0"/>
          <c:extLst>
            <c:ext xmlns:c16="http://schemas.microsoft.com/office/drawing/2014/chart" uri="{C3380CC4-5D6E-409C-BE32-E72D297353CC}">
              <c16:uniqueId val="{00000006-9C9E-497A-B525-7FEA0F7F1688}"/>
            </c:ext>
          </c:extLst>
        </c:ser>
        <c:ser>
          <c:idx val="3"/>
          <c:order val="3"/>
          <c:spPr>
            <a:ln w="28575" cap="rnd">
              <a:solidFill>
                <a:srgbClr val="FF0000"/>
              </a:solidFill>
              <a:prstDash val="solid"/>
              <a:round/>
            </a:ln>
            <a:effectLst/>
          </c:spPr>
          <c:marker>
            <c:symbol val="none"/>
          </c:marker>
          <c:cat>
            <c:numRef>
              <c:f>'Planning Engine'!$W$183:$W$200</c:f>
              <c:numCache>
                <c:formatCode>mmm\-yy</c:formatCode>
                <c:ptCount val="18"/>
                <c:pt idx="0">
                  <c:v>46113</c:v>
                </c:pt>
                <c:pt idx="1">
                  <c:v>46143</c:v>
                </c:pt>
                <c:pt idx="2">
                  <c:v>46174</c:v>
                </c:pt>
                <c:pt idx="3">
                  <c:v>46204</c:v>
                </c:pt>
                <c:pt idx="4">
                  <c:v>46235</c:v>
                </c:pt>
                <c:pt idx="5">
                  <c:v>46266</c:v>
                </c:pt>
                <c:pt idx="6">
                  <c:v>46296</c:v>
                </c:pt>
                <c:pt idx="7">
                  <c:v>46327</c:v>
                </c:pt>
                <c:pt idx="8">
                  <c:v>46357</c:v>
                </c:pt>
                <c:pt idx="9">
                  <c:v>46388</c:v>
                </c:pt>
                <c:pt idx="10">
                  <c:v>46419</c:v>
                </c:pt>
                <c:pt idx="11">
                  <c:v>46447</c:v>
                </c:pt>
                <c:pt idx="12">
                  <c:v>46478</c:v>
                </c:pt>
                <c:pt idx="13">
                  <c:v>46508</c:v>
                </c:pt>
                <c:pt idx="14">
                  <c:v>46539</c:v>
                </c:pt>
                <c:pt idx="15">
                  <c:v>46569</c:v>
                </c:pt>
                <c:pt idx="16">
                  <c:v>46600</c:v>
                </c:pt>
                <c:pt idx="17">
                  <c:v>46631</c:v>
                </c:pt>
              </c:numCache>
            </c:numRef>
          </c:cat>
          <c:val>
            <c:numRef>
              <c:f>'Planning Engine'!$AA$183:$AA$200</c:f>
              <c:numCache>
                <c:formatCode>General</c:formatCode>
                <c:ptCount val="18"/>
                <c:pt idx="0">
                  <c:v>10194.373864025214</c:v>
                </c:pt>
                <c:pt idx="1">
                  <c:v>10621.240914167212</c:v>
                </c:pt>
                <c:pt idx="2">
                  <c:v>10720.331540204628</c:v>
                </c:pt>
                <c:pt idx="3">
                  <c:v>11110.887400070989</c:v>
                </c:pt>
                <c:pt idx="4">
                  <c:v>11915.015110741191</c:v>
                </c:pt>
                <c:pt idx="5">
                  <c:v>12450.489678581227</c:v>
                </c:pt>
                <c:pt idx="6">
                  <c:v>12925.61210881302</c:v>
                </c:pt>
                <c:pt idx="7">
                  <c:v>13674.310626985796</c:v>
                </c:pt>
                <c:pt idx="8">
                  <c:v>14447.135495853832</c:v>
                </c:pt>
                <c:pt idx="9">
                  <c:v>15721.035604309884</c:v>
                </c:pt>
                <c:pt idx="10">
                  <c:v>16507.944056813416</c:v>
                </c:pt>
                <c:pt idx="11">
                  <c:v>17705.937756975618</c:v>
                </c:pt>
                <c:pt idx="12">
                  <c:v>19009.507676231893</c:v>
                </c:pt>
                <c:pt idx="13">
                  <c:v>20448.172999449696</c:v>
                </c:pt>
                <c:pt idx="14">
                  <c:v>21387.560830129965</c:v>
                </c:pt>
                <c:pt idx="15">
                  <c:v>23187.019585896473</c:v>
                </c:pt>
                <c:pt idx="16">
                  <c:v>25731.066591690884</c:v>
                </c:pt>
                <c:pt idx="17">
                  <c:v>27234.093617702867</c:v>
                </c:pt>
              </c:numCache>
            </c:numRef>
          </c:val>
          <c:smooth val="0"/>
          <c:extLst>
            <c:ext xmlns:c16="http://schemas.microsoft.com/office/drawing/2014/chart" uri="{C3380CC4-5D6E-409C-BE32-E72D297353CC}">
              <c16:uniqueId val="{00000007-9C9E-497A-B525-7FEA0F7F1688}"/>
            </c:ext>
          </c:extLst>
        </c:ser>
        <c:dLbls>
          <c:showLegendKey val="0"/>
          <c:showVal val="0"/>
          <c:showCatName val="0"/>
          <c:showSerName val="0"/>
          <c:showPercent val="0"/>
          <c:showBubbleSize val="0"/>
        </c:dLbls>
        <c:marker val="1"/>
        <c:smooth val="0"/>
        <c:axId val="526180448"/>
        <c:axId val="526167488"/>
      </c:lineChart>
      <c:dateAx>
        <c:axId val="526180448"/>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6167488"/>
        <c:crosses val="autoZero"/>
        <c:auto val="1"/>
        <c:lblOffset val="100"/>
        <c:baseTimeUnit val="months"/>
      </c:dateAx>
      <c:valAx>
        <c:axId val="52616748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6180448"/>
        <c:crosses val="autoZero"/>
        <c:crossBetween val="between"/>
      </c:valAx>
      <c:spPr>
        <a:solidFill>
          <a:srgbClr val="F5F5F5"/>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spc="0" baseline="0">
                <a:solidFill>
                  <a:schemeClr val="tx1">
                    <a:lumMod val="65000"/>
                    <a:lumOff val="35000"/>
                  </a:schemeClr>
                </a:solidFill>
                <a:latin typeface="+mn-lt"/>
                <a:ea typeface="+mn-ea"/>
                <a:cs typeface="+mn-cs"/>
              </a:defRPr>
            </a:pPr>
            <a:r>
              <a:rPr lang="en-US"/>
              <a:t>200mg DP — Inventory &amp; Supply Plan</a:t>
            </a:r>
          </a:p>
        </c:rich>
      </c:tx>
      <c:overlay val="0"/>
      <c:spPr>
        <a:noFill/>
        <a:ln>
          <a:noFill/>
        </a:ln>
        <a:effectLst/>
      </c:spPr>
      <c:txPr>
        <a:bodyPr rot="0" spcFirstLastPara="1" vertOverflow="ellipsis" vert="horz" wrap="square" anchor="ctr" anchorCtr="1"/>
        <a:lstStyle/>
        <a:p>
          <a:pPr>
            <a:defRPr sz="12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rgbClr val="4472C4"/>
            </a:solidFill>
            <a:ln>
              <a:noFill/>
            </a:ln>
            <a:effectLst/>
          </c:spPr>
          <c:invertIfNegative val="0"/>
          <c:cat>
            <c:numRef>
              <c:f>'Planning Engine'!$W$362:$W$379</c:f>
              <c:numCache>
                <c:formatCode>mmm\-yy</c:formatCode>
                <c:ptCount val="18"/>
                <c:pt idx="0">
                  <c:v>46113</c:v>
                </c:pt>
                <c:pt idx="1">
                  <c:v>46143</c:v>
                </c:pt>
                <c:pt idx="2">
                  <c:v>46174</c:v>
                </c:pt>
                <c:pt idx="3">
                  <c:v>46204</c:v>
                </c:pt>
                <c:pt idx="4">
                  <c:v>46235</c:v>
                </c:pt>
                <c:pt idx="5">
                  <c:v>46266</c:v>
                </c:pt>
                <c:pt idx="6">
                  <c:v>46296</c:v>
                </c:pt>
                <c:pt idx="7">
                  <c:v>46327</c:v>
                </c:pt>
                <c:pt idx="8">
                  <c:v>46357</c:v>
                </c:pt>
                <c:pt idx="9">
                  <c:v>46388</c:v>
                </c:pt>
                <c:pt idx="10">
                  <c:v>46419</c:v>
                </c:pt>
                <c:pt idx="11">
                  <c:v>46447</c:v>
                </c:pt>
                <c:pt idx="12">
                  <c:v>46478</c:v>
                </c:pt>
                <c:pt idx="13">
                  <c:v>46508</c:v>
                </c:pt>
                <c:pt idx="14">
                  <c:v>46539</c:v>
                </c:pt>
                <c:pt idx="15">
                  <c:v>46569</c:v>
                </c:pt>
                <c:pt idx="16">
                  <c:v>46600</c:v>
                </c:pt>
                <c:pt idx="17">
                  <c:v>46631</c:v>
                </c:pt>
              </c:numCache>
            </c:numRef>
          </c:cat>
          <c:val>
            <c:numRef>
              <c:f>'Planning Engine'!$X$362:$X$379</c:f>
              <c:numCache>
                <c:formatCode>General</c:formatCode>
                <c:ptCount val="18"/>
                <c:pt idx="0">
                  <c:v>0</c:v>
                </c:pt>
                <c:pt idx="1">
                  <c:v>0</c:v>
                </c:pt>
                <c:pt idx="2">
                  <c:v>2700</c:v>
                </c:pt>
                <c:pt idx="3">
                  <c:v>0</c:v>
                </c:pt>
                <c:pt idx="4">
                  <c:v>0</c:v>
                </c:pt>
                <c:pt idx="5">
                  <c:v>0</c:v>
                </c:pt>
                <c:pt idx="6">
                  <c:v>32400</c:v>
                </c:pt>
                <c:pt idx="7">
                  <c:v>0</c:v>
                </c:pt>
                <c:pt idx="8">
                  <c:v>0</c:v>
                </c:pt>
                <c:pt idx="9">
                  <c:v>0</c:v>
                </c:pt>
                <c:pt idx="10">
                  <c:v>0</c:v>
                </c:pt>
                <c:pt idx="11">
                  <c:v>0</c:v>
                </c:pt>
                <c:pt idx="12">
                  <c:v>0</c:v>
                </c:pt>
                <c:pt idx="13">
                  <c:v>0</c:v>
                </c:pt>
                <c:pt idx="14">
                  <c:v>0</c:v>
                </c:pt>
                <c:pt idx="15">
                  <c:v>0</c:v>
                </c:pt>
                <c:pt idx="16">
                  <c:v>0</c:v>
                </c:pt>
                <c:pt idx="17">
                  <c:v>0</c:v>
                </c:pt>
              </c:numCache>
            </c:numRef>
          </c:val>
          <c:extLst>
            <c:ext xmlns:c16="http://schemas.microsoft.com/office/drawing/2014/chart" uri="{C3380CC4-5D6E-409C-BE32-E72D297353CC}">
              <c16:uniqueId val="{00000004-996F-4B6D-A896-09E31BDEEBD8}"/>
            </c:ext>
          </c:extLst>
        </c:ser>
        <c:ser>
          <c:idx val="1"/>
          <c:order val="1"/>
          <c:spPr>
            <a:solidFill>
              <a:srgbClr val="ED7D31"/>
            </a:solidFill>
            <a:ln>
              <a:noFill/>
            </a:ln>
            <a:effectLst/>
          </c:spPr>
          <c:invertIfNegative val="0"/>
          <c:cat>
            <c:numRef>
              <c:f>'Planning Engine'!$W$362:$W$379</c:f>
              <c:numCache>
                <c:formatCode>mmm\-yy</c:formatCode>
                <c:ptCount val="18"/>
                <c:pt idx="0">
                  <c:v>46113</c:v>
                </c:pt>
                <c:pt idx="1">
                  <c:v>46143</c:v>
                </c:pt>
                <c:pt idx="2">
                  <c:v>46174</c:v>
                </c:pt>
                <c:pt idx="3">
                  <c:v>46204</c:v>
                </c:pt>
                <c:pt idx="4">
                  <c:v>46235</c:v>
                </c:pt>
                <c:pt idx="5">
                  <c:v>46266</c:v>
                </c:pt>
                <c:pt idx="6">
                  <c:v>46296</c:v>
                </c:pt>
                <c:pt idx="7">
                  <c:v>46327</c:v>
                </c:pt>
                <c:pt idx="8">
                  <c:v>46357</c:v>
                </c:pt>
                <c:pt idx="9">
                  <c:v>46388</c:v>
                </c:pt>
                <c:pt idx="10">
                  <c:v>46419</c:v>
                </c:pt>
                <c:pt idx="11">
                  <c:v>46447</c:v>
                </c:pt>
                <c:pt idx="12">
                  <c:v>46478</c:v>
                </c:pt>
                <c:pt idx="13">
                  <c:v>46508</c:v>
                </c:pt>
                <c:pt idx="14">
                  <c:v>46539</c:v>
                </c:pt>
                <c:pt idx="15">
                  <c:v>46569</c:v>
                </c:pt>
                <c:pt idx="16">
                  <c:v>46600</c:v>
                </c:pt>
                <c:pt idx="17">
                  <c:v>46631</c:v>
                </c:pt>
              </c:numCache>
            </c:numRef>
          </c:cat>
          <c:val>
            <c:numRef>
              <c:f>'Planning Engine'!$Y$362:$Y$379</c:f>
              <c:numCache>
                <c:formatCode>General</c:formatCode>
                <c:ptCount val="18"/>
                <c:pt idx="0">
                  <c:v>16200</c:v>
                </c:pt>
                <c:pt idx="1">
                  <c:v>0</c:v>
                </c:pt>
                <c:pt idx="2">
                  <c:v>16200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extLst>
            <c:ext xmlns:c16="http://schemas.microsoft.com/office/drawing/2014/chart" uri="{C3380CC4-5D6E-409C-BE32-E72D297353CC}">
              <c16:uniqueId val="{00000005-996F-4B6D-A896-09E31BDEEBD8}"/>
            </c:ext>
          </c:extLst>
        </c:ser>
        <c:dLbls>
          <c:showLegendKey val="0"/>
          <c:showVal val="0"/>
          <c:showCatName val="0"/>
          <c:showSerName val="0"/>
          <c:showPercent val="0"/>
          <c:showBubbleSize val="0"/>
        </c:dLbls>
        <c:gapWidth val="219"/>
        <c:overlap val="-27"/>
        <c:axId val="1020981568"/>
        <c:axId val="1021019488"/>
      </c:barChart>
      <c:lineChart>
        <c:grouping val="standard"/>
        <c:varyColors val="0"/>
        <c:ser>
          <c:idx val="2"/>
          <c:order val="2"/>
          <c:spPr>
            <a:ln w="28575" cap="rnd">
              <a:solidFill>
                <a:srgbClr val="2F5597"/>
              </a:solidFill>
              <a:prstDash val="solid"/>
              <a:round/>
            </a:ln>
            <a:effectLst/>
          </c:spPr>
          <c:marker>
            <c:symbol val="circle"/>
            <c:size val="6"/>
            <c:spPr>
              <a:solidFill>
                <a:schemeClr val="accent3"/>
              </a:solidFill>
              <a:ln w="9525">
                <a:solidFill>
                  <a:schemeClr val="accent3"/>
                </a:solidFill>
              </a:ln>
              <a:effectLst/>
            </c:spPr>
          </c:marker>
          <c:cat>
            <c:numRef>
              <c:f>'Planning Engine'!$W$362:$W$379</c:f>
              <c:numCache>
                <c:formatCode>mmm\-yy</c:formatCode>
                <c:ptCount val="18"/>
                <c:pt idx="0">
                  <c:v>46113</c:v>
                </c:pt>
                <c:pt idx="1">
                  <c:v>46143</c:v>
                </c:pt>
                <c:pt idx="2">
                  <c:v>46174</c:v>
                </c:pt>
                <c:pt idx="3">
                  <c:v>46204</c:v>
                </c:pt>
                <c:pt idx="4">
                  <c:v>46235</c:v>
                </c:pt>
                <c:pt idx="5">
                  <c:v>46266</c:v>
                </c:pt>
                <c:pt idx="6">
                  <c:v>46296</c:v>
                </c:pt>
                <c:pt idx="7">
                  <c:v>46327</c:v>
                </c:pt>
                <c:pt idx="8">
                  <c:v>46357</c:v>
                </c:pt>
                <c:pt idx="9">
                  <c:v>46388</c:v>
                </c:pt>
                <c:pt idx="10">
                  <c:v>46419</c:v>
                </c:pt>
                <c:pt idx="11">
                  <c:v>46447</c:v>
                </c:pt>
                <c:pt idx="12">
                  <c:v>46478</c:v>
                </c:pt>
                <c:pt idx="13">
                  <c:v>46508</c:v>
                </c:pt>
                <c:pt idx="14">
                  <c:v>46539</c:v>
                </c:pt>
                <c:pt idx="15">
                  <c:v>46569</c:v>
                </c:pt>
                <c:pt idx="16">
                  <c:v>46600</c:v>
                </c:pt>
                <c:pt idx="17">
                  <c:v>46631</c:v>
                </c:pt>
              </c:numCache>
            </c:numRef>
          </c:cat>
          <c:val>
            <c:numRef>
              <c:f>'Planning Engine'!$Z$362:$Z$379</c:f>
              <c:numCache>
                <c:formatCode>General</c:formatCode>
                <c:ptCount val="18"/>
                <c:pt idx="0">
                  <c:v>21528</c:v>
                </c:pt>
                <c:pt idx="1">
                  <c:v>21528</c:v>
                </c:pt>
                <c:pt idx="2">
                  <c:v>35028</c:v>
                </c:pt>
                <c:pt idx="3">
                  <c:v>35028</c:v>
                </c:pt>
                <c:pt idx="4">
                  <c:v>35028</c:v>
                </c:pt>
                <c:pt idx="5">
                  <c:v>35028</c:v>
                </c:pt>
                <c:pt idx="6">
                  <c:v>2628</c:v>
                </c:pt>
                <c:pt idx="7">
                  <c:v>2628</c:v>
                </c:pt>
                <c:pt idx="8">
                  <c:v>2628</c:v>
                </c:pt>
                <c:pt idx="9">
                  <c:v>2628</c:v>
                </c:pt>
                <c:pt idx="10">
                  <c:v>2628</c:v>
                </c:pt>
                <c:pt idx="11">
                  <c:v>2628</c:v>
                </c:pt>
                <c:pt idx="12">
                  <c:v>2628</c:v>
                </c:pt>
                <c:pt idx="13">
                  <c:v>2628</c:v>
                </c:pt>
                <c:pt idx="14">
                  <c:v>2628</c:v>
                </c:pt>
                <c:pt idx="15">
                  <c:v>2628</c:v>
                </c:pt>
                <c:pt idx="16">
                  <c:v>2628</c:v>
                </c:pt>
                <c:pt idx="17">
                  <c:v>2628</c:v>
                </c:pt>
              </c:numCache>
            </c:numRef>
          </c:val>
          <c:smooth val="0"/>
          <c:extLst>
            <c:ext xmlns:c16="http://schemas.microsoft.com/office/drawing/2014/chart" uri="{C3380CC4-5D6E-409C-BE32-E72D297353CC}">
              <c16:uniqueId val="{00000006-996F-4B6D-A896-09E31BDEEBD8}"/>
            </c:ext>
          </c:extLst>
        </c:ser>
        <c:ser>
          <c:idx val="3"/>
          <c:order val="3"/>
          <c:spPr>
            <a:ln w="28575" cap="rnd">
              <a:solidFill>
                <a:srgbClr val="FF0000"/>
              </a:solidFill>
              <a:prstDash val="solid"/>
              <a:round/>
            </a:ln>
            <a:effectLst/>
          </c:spPr>
          <c:marker>
            <c:symbol val="none"/>
          </c:marker>
          <c:cat>
            <c:numRef>
              <c:f>'Planning Engine'!$W$362:$W$379</c:f>
              <c:numCache>
                <c:formatCode>mmm\-yy</c:formatCode>
                <c:ptCount val="18"/>
                <c:pt idx="0">
                  <c:v>46113</c:v>
                </c:pt>
                <c:pt idx="1">
                  <c:v>46143</c:v>
                </c:pt>
                <c:pt idx="2">
                  <c:v>46174</c:v>
                </c:pt>
                <c:pt idx="3">
                  <c:v>46204</c:v>
                </c:pt>
                <c:pt idx="4">
                  <c:v>46235</c:v>
                </c:pt>
                <c:pt idx="5">
                  <c:v>46266</c:v>
                </c:pt>
                <c:pt idx="6">
                  <c:v>46296</c:v>
                </c:pt>
                <c:pt idx="7">
                  <c:v>46327</c:v>
                </c:pt>
                <c:pt idx="8">
                  <c:v>46357</c:v>
                </c:pt>
                <c:pt idx="9">
                  <c:v>46388</c:v>
                </c:pt>
                <c:pt idx="10">
                  <c:v>46419</c:v>
                </c:pt>
                <c:pt idx="11">
                  <c:v>46447</c:v>
                </c:pt>
                <c:pt idx="12">
                  <c:v>46478</c:v>
                </c:pt>
                <c:pt idx="13">
                  <c:v>46508</c:v>
                </c:pt>
                <c:pt idx="14">
                  <c:v>46539</c:v>
                </c:pt>
                <c:pt idx="15">
                  <c:v>46569</c:v>
                </c:pt>
                <c:pt idx="16">
                  <c:v>46600</c:v>
                </c:pt>
                <c:pt idx="17">
                  <c:v>46631</c:v>
                </c:pt>
              </c:numCache>
            </c:numRef>
          </c:cat>
          <c:val>
            <c:numRef>
              <c:f>'Planning Engine'!$AA$362:$AA$379</c:f>
              <c:numCache>
                <c:formatCode>General</c:formatCode>
                <c:ptCount val="18"/>
                <c:pt idx="0">
                  <c:v>157950</c:v>
                </c:pt>
                <c:pt idx="1">
                  <c:v>157950</c:v>
                </c:pt>
                <c:pt idx="2">
                  <c:v>157950</c:v>
                </c:pt>
                <c:pt idx="3">
                  <c:v>291600</c:v>
                </c:pt>
                <c:pt idx="4">
                  <c:v>291600</c:v>
                </c:pt>
                <c:pt idx="5">
                  <c:v>291600</c:v>
                </c:pt>
                <c:pt idx="6">
                  <c:v>291600</c:v>
                </c:pt>
                <c:pt idx="7">
                  <c:v>0</c:v>
                </c:pt>
                <c:pt idx="8">
                  <c:v>0</c:v>
                </c:pt>
                <c:pt idx="9">
                  <c:v>0</c:v>
                </c:pt>
                <c:pt idx="10">
                  <c:v>0</c:v>
                </c:pt>
                <c:pt idx="11">
                  <c:v>0</c:v>
                </c:pt>
                <c:pt idx="12">
                  <c:v>0</c:v>
                </c:pt>
                <c:pt idx="13">
                  <c:v>0</c:v>
                </c:pt>
                <c:pt idx="14">
                  <c:v>0</c:v>
                </c:pt>
                <c:pt idx="15">
                  <c:v>0</c:v>
                </c:pt>
                <c:pt idx="16">
                  <c:v>0</c:v>
                </c:pt>
                <c:pt idx="17">
                  <c:v>0</c:v>
                </c:pt>
              </c:numCache>
            </c:numRef>
          </c:val>
          <c:smooth val="0"/>
          <c:extLst>
            <c:ext xmlns:c16="http://schemas.microsoft.com/office/drawing/2014/chart" uri="{C3380CC4-5D6E-409C-BE32-E72D297353CC}">
              <c16:uniqueId val="{00000007-996F-4B6D-A896-09E31BDEEBD8}"/>
            </c:ext>
          </c:extLst>
        </c:ser>
        <c:dLbls>
          <c:showLegendKey val="0"/>
          <c:showVal val="0"/>
          <c:showCatName val="0"/>
          <c:showSerName val="0"/>
          <c:showPercent val="0"/>
          <c:showBubbleSize val="0"/>
        </c:dLbls>
        <c:marker val="1"/>
        <c:smooth val="0"/>
        <c:axId val="1020981568"/>
        <c:axId val="1021019488"/>
      </c:lineChart>
      <c:dateAx>
        <c:axId val="1020981568"/>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1019488"/>
        <c:crosses val="autoZero"/>
        <c:auto val="1"/>
        <c:lblOffset val="100"/>
        <c:baseTimeUnit val="months"/>
      </c:dateAx>
      <c:valAx>
        <c:axId val="102101948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0981568"/>
        <c:crosses val="autoZero"/>
        <c:crossBetween val="between"/>
      </c:valAx>
      <c:spPr>
        <a:solidFill>
          <a:srgbClr val="F5F5F5"/>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spc="0" baseline="0">
                <a:solidFill>
                  <a:schemeClr val="tx1">
                    <a:lumMod val="65000"/>
                    <a:lumOff val="35000"/>
                  </a:schemeClr>
                </a:solidFill>
                <a:latin typeface="+mn-lt"/>
                <a:ea typeface="+mn-ea"/>
                <a:cs typeface="+mn-cs"/>
              </a:defRPr>
            </a:pPr>
            <a:r>
              <a:rPr lang="en-US"/>
              <a:t>50mg DP — Inventory &amp; Supply Plan</a:t>
            </a:r>
          </a:p>
        </c:rich>
      </c:tx>
      <c:overlay val="0"/>
      <c:spPr>
        <a:noFill/>
        <a:ln>
          <a:noFill/>
        </a:ln>
        <a:effectLst/>
      </c:spPr>
      <c:txPr>
        <a:bodyPr rot="0" spcFirstLastPara="1" vertOverflow="ellipsis" vert="horz" wrap="square" anchor="ctr" anchorCtr="1"/>
        <a:lstStyle/>
        <a:p>
          <a:pPr>
            <a:defRPr sz="12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rgbClr val="4472C4"/>
            </a:solidFill>
            <a:ln>
              <a:noFill/>
            </a:ln>
            <a:effectLst/>
          </c:spPr>
          <c:invertIfNegative val="0"/>
          <c:cat>
            <c:numRef>
              <c:f>'Planning Engine'!$W$541:$W$558</c:f>
              <c:numCache>
                <c:formatCode>mmm\-yy</c:formatCode>
                <c:ptCount val="18"/>
                <c:pt idx="0">
                  <c:v>46113</c:v>
                </c:pt>
                <c:pt idx="1">
                  <c:v>46143</c:v>
                </c:pt>
                <c:pt idx="2">
                  <c:v>46174</c:v>
                </c:pt>
                <c:pt idx="3">
                  <c:v>46204</c:v>
                </c:pt>
                <c:pt idx="4">
                  <c:v>46235</c:v>
                </c:pt>
                <c:pt idx="5">
                  <c:v>46266</c:v>
                </c:pt>
                <c:pt idx="6">
                  <c:v>46296</c:v>
                </c:pt>
                <c:pt idx="7">
                  <c:v>46327</c:v>
                </c:pt>
                <c:pt idx="8">
                  <c:v>46357</c:v>
                </c:pt>
                <c:pt idx="9">
                  <c:v>46388</c:v>
                </c:pt>
                <c:pt idx="10">
                  <c:v>46419</c:v>
                </c:pt>
                <c:pt idx="11">
                  <c:v>46447</c:v>
                </c:pt>
                <c:pt idx="12">
                  <c:v>46478</c:v>
                </c:pt>
                <c:pt idx="13">
                  <c:v>46508</c:v>
                </c:pt>
                <c:pt idx="14">
                  <c:v>46539</c:v>
                </c:pt>
                <c:pt idx="15">
                  <c:v>46569</c:v>
                </c:pt>
                <c:pt idx="16">
                  <c:v>46600</c:v>
                </c:pt>
                <c:pt idx="17">
                  <c:v>46631</c:v>
                </c:pt>
              </c:numCache>
            </c:numRef>
          </c:cat>
          <c:val>
            <c:numRef>
              <c:f>'Planning Engine'!$X$541:$X$558</c:f>
              <c:numCache>
                <c:formatCode>General</c:formatCode>
                <c:ptCount val="18"/>
                <c:pt idx="0">
                  <c:v>3</c:v>
                </c:pt>
                <c:pt idx="1">
                  <c:v>2</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extLst>
            <c:ext xmlns:c16="http://schemas.microsoft.com/office/drawing/2014/chart" uri="{C3380CC4-5D6E-409C-BE32-E72D297353CC}">
              <c16:uniqueId val="{00000004-A627-41BF-BEDD-2858E3213C02}"/>
            </c:ext>
          </c:extLst>
        </c:ser>
        <c:ser>
          <c:idx val="1"/>
          <c:order val="1"/>
          <c:spPr>
            <a:solidFill>
              <a:srgbClr val="ED7D31"/>
            </a:solidFill>
            <a:ln>
              <a:noFill/>
            </a:ln>
            <a:effectLst/>
          </c:spPr>
          <c:invertIfNegative val="0"/>
          <c:cat>
            <c:numRef>
              <c:f>'Planning Engine'!$W$541:$W$558</c:f>
              <c:numCache>
                <c:formatCode>mmm\-yy</c:formatCode>
                <c:ptCount val="18"/>
                <c:pt idx="0">
                  <c:v>46113</c:v>
                </c:pt>
                <c:pt idx="1">
                  <c:v>46143</c:v>
                </c:pt>
                <c:pt idx="2">
                  <c:v>46174</c:v>
                </c:pt>
                <c:pt idx="3">
                  <c:v>46204</c:v>
                </c:pt>
                <c:pt idx="4">
                  <c:v>46235</c:v>
                </c:pt>
                <c:pt idx="5">
                  <c:v>46266</c:v>
                </c:pt>
                <c:pt idx="6">
                  <c:v>46296</c:v>
                </c:pt>
                <c:pt idx="7">
                  <c:v>46327</c:v>
                </c:pt>
                <c:pt idx="8">
                  <c:v>46357</c:v>
                </c:pt>
                <c:pt idx="9">
                  <c:v>46388</c:v>
                </c:pt>
                <c:pt idx="10">
                  <c:v>46419</c:v>
                </c:pt>
                <c:pt idx="11">
                  <c:v>46447</c:v>
                </c:pt>
                <c:pt idx="12">
                  <c:v>46478</c:v>
                </c:pt>
                <c:pt idx="13">
                  <c:v>46508</c:v>
                </c:pt>
                <c:pt idx="14">
                  <c:v>46539</c:v>
                </c:pt>
                <c:pt idx="15">
                  <c:v>46569</c:v>
                </c:pt>
                <c:pt idx="16">
                  <c:v>46600</c:v>
                </c:pt>
                <c:pt idx="17">
                  <c:v>46631</c:v>
                </c:pt>
              </c:numCache>
            </c:numRef>
          </c:cat>
          <c:val>
            <c:numRef>
              <c:f>'Planning Engine'!$Y$541:$Y$558</c:f>
              <c:numCache>
                <c:formatCode>General</c:formatCode>
                <c:ptCount val="18"/>
                <c:pt idx="0">
                  <c:v>20000</c:v>
                </c:pt>
                <c:pt idx="1">
                  <c:v>20000</c:v>
                </c:pt>
                <c:pt idx="2">
                  <c:v>30000</c:v>
                </c:pt>
                <c:pt idx="3">
                  <c:v>10000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extLst>
            <c:ext xmlns:c16="http://schemas.microsoft.com/office/drawing/2014/chart" uri="{C3380CC4-5D6E-409C-BE32-E72D297353CC}">
              <c16:uniqueId val="{00000005-A627-41BF-BEDD-2858E3213C02}"/>
            </c:ext>
          </c:extLst>
        </c:ser>
        <c:dLbls>
          <c:showLegendKey val="0"/>
          <c:showVal val="0"/>
          <c:showCatName val="0"/>
          <c:showSerName val="0"/>
          <c:showPercent val="0"/>
          <c:showBubbleSize val="0"/>
        </c:dLbls>
        <c:gapWidth val="219"/>
        <c:overlap val="-27"/>
        <c:axId val="1021065088"/>
        <c:axId val="1021082848"/>
      </c:barChart>
      <c:lineChart>
        <c:grouping val="standard"/>
        <c:varyColors val="0"/>
        <c:ser>
          <c:idx val="2"/>
          <c:order val="2"/>
          <c:spPr>
            <a:ln w="28575" cap="rnd">
              <a:solidFill>
                <a:srgbClr val="2F5597"/>
              </a:solidFill>
              <a:prstDash val="solid"/>
              <a:round/>
            </a:ln>
            <a:effectLst/>
          </c:spPr>
          <c:marker>
            <c:symbol val="circle"/>
            <c:size val="6"/>
            <c:spPr>
              <a:solidFill>
                <a:schemeClr val="accent3"/>
              </a:solidFill>
              <a:ln w="9525">
                <a:solidFill>
                  <a:schemeClr val="accent3"/>
                </a:solidFill>
              </a:ln>
              <a:effectLst/>
            </c:spPr>
          </c:marker>
          <c:cat>
            <c:numRef>
              <c:f>'Planning Engine'!$W$541:$W$558</c:f>
              <c:numCache>
                <c:formatCode>mmm\-yy</c:formatCode>
                <c:ptCount val="18"/>
                <c:pt idx="0">
                  <c:v>46113</c:v>
                </c:pt>
                <c:pt idx="1">
                  <c:v>46143</c:v>
                </c:pt>
                <c:pt idx="2">
                  <c:v>46174</c:v>
                </c:pt>
                <c:pt idx="3">
                  <c:v>46204</c:v>
                </c:pt>
                <c:pt idx="4">
                  <c:v>46235</c:v>
                </c:pt>
                <c:pt idx="5">
                  <c:v>46266</c:v>
                </c:pt>
                <c:pt idx="6">
                  <c:v>46296</c:v>
                </c:pt>
                <c:pt idx="7">
                  <c:v>46327</c:v>
                </c:pt>
                <c:pt idx="8">
                  <c:v>46357</c:v>
                </c:pt>
                <c:pt idx="9">
                  <c:v>46388</c:v>
                </c:pt>
                <c:pt idx="10">
                  <c:v>46419</c:v>
                </c:pt>
                <c:pt idx="11">
                  <c:v>46447</c:v>
                </c:pt>
                <c:pt idx="12">
                  <c:v>46478</c:v>
                </c:pt>
                <c:pt idx="13">
                  <c:v>46508</c:v>
                </c:pt>
                <c:pt idx="14">
                  <c:v>46539</c:v>
                </c:pt>
                <c:pt idx="15">
                  <c:v>46569</c:v>
                </c:pt>
                <c:pt idx="16">
                  <c:v>46600</c:v>
                </c:pt>
                <c:pt idx="17">
                  <c:v>46631</c:v>
                </c:pt>
              </c:numCache>
            </c:numRef>
          </c:cat>
          <c:val>
            <c:numRef>
              <c:f>'Planning Engine'!$Z$541:$Z$558</c:f>
              <c:numCache>
                <c:formatCode>General</c:formatCode>
                <c:ptCount val="18"/>
                <c:pt idx="0">
                  <c:v>98109</c:v>
                </c:pt>
                <c:pt idx="1">
                  <c:v>118107</c:v>
                </c:pt>
                <c:pt idx="2">
                  <c:v>148107</c:v>
                </c:pt>
                <c:pt idx="3">
                  <c:v>158107</c:v>
                </c:pt>
                <c:pt idx="4">
                  <c:v>158107</c:v>
                </c:pt>
                <c:pt idx="5">
                  <c:v>158107</c:v>
                </c:pt>
                <c:pt idx="6">
                  <c:v>158107</c:v>
                </c:pt>
                <c:pt idx="7">
                  <c:v>158107</c:v>
                </c:pt>
                <c:pt idx="8">
                  <c:v>158107</c:v>
                </c:pt>
                <c:pt idx="9">
                  <c:v>158107</c:v>
                </c:pt>
                <c:pt idx="10">
                  <c:v>158107</c:v>
                </c:pt>
                <c:pt idx="11">
                  <c:v>158107</c:v>
                </c:pt>
                <c:pt idx="12">
                  <c:v>158107</c:v>
                </c:pt>
                <c:pt idx="13">
                  <c:v>158107</c:v>
                </c:pt>
                <c:pt idx="14">
                  <c:v>158107</c:v>
                </c:pt>
                <c:pt idx="15">
                  <c:v>158107</c:v>
                </c:pt>
                <c:pt idx="16">
                  <c:v>158107</c:v>
                </c:pt>
                <c:pt idx="17">
                  <c:v>158107</c:v>
                </c:pt>
              </c:numCache>
            </c:numRef>
          </c:val>
          <c:smooth val="0"/>
          <c:extLst>
            <c:ext xmlns:c16="http://schemas.microsoft.com/office/drawing/2014/chart" uri="{C3380CC4-5D6E-409C-BE32-E72D297353CC}">
              <c16:uniqueId val="{00000006-A627-41BF-BEDD-2858E3213C02}"/>
            </c:ext>
          </c:extLst>
        </c:ser>
        <c:ser>
          <c:idx val="3"/>
          <c:order val="3"/>
          <c:spPr>
            <a:ln w="28575" cap="rnd">
              <a:solidFill>
                <a:srgbClr val="FF0000"/>
              </a:solidFill>
              <a:prstDash val="solid"/>
              <a:round/>
            </a:ln>
            <a:effectLst/>
          </c:spPr>
          <c:marker>
            <c:symbol val="none"/>
          </c:marker>
          <c:cat>
            <c:numRef>
              <c:f>'Planning Engine'!$W$541:$W$558</c:f>
              <c:numCache>
                <c:formatCode>mmm\-yy</c:formatCode>
                <c:ptCount val="18"/>
                <c:pt idx="0">
                  <c:v>46113</c:v>
                </c:pt>
                <c:pt idx="1">
                  <c:v>46143</c:v>
                </c:pt>
                <c:pt idx="2">
                  <c:v>46174</c:v>
                </c:pt>
                <c:pt idx="3">
                  <c:v>46204</c:v>
                </c:pt>
                <c:pt idx="4">
                  <c:v>46235</c:v>
                </c:pt>
                <c:pt idx="5">
                  <c:v>46266</c:v>
                </c:pt>
                <c:pt idx="6">
                  <c:v>46296</c:v>
                </c:pt>
                <c:pt idx="7">
                  <c:v>46327</c:v>
                </c:pt>
                <c:pt idx="8">
                  <c:v>46357</c:v>
                </c:pt>
                <c:pt idx="9">
                  <c:v>46388</c:v>
                </c:pt>
                <c:pt idx="10">
                  <c:v>46419</c:v>
                </c:pt>
                <c:pt idx="11">
                  <c:v>46447</c:v>
                </c:pt>
                <c:pt idx="12">
                  <c:v>46478</c:v>
                </c:pt>
                <c:pt idx="13">
                  <c:v>46508</c:v>
                </c:pt>
                <c:pt idx="14">
                  <c:v>46539</c:v>
                </c:pt>
                <c:pt idx="15">
                  <c:v>46569</c:v>
                </c:pt>
                <c:pt idx="16">
                  <c:v>46600</c:v>
                </c:pt>
                <c:pt idx="17">
                  <c:v>46631</c:v>
                </c:pt>
              </c:numCache>
            </c:numRef>
          </c:cat>
          <c:val>
            <c:numRef>
              <c:f>'Planning Engine'!$AA$541:$AA$558</c:f>
              <c:numCache>
                <c:formatCode>General</c:formatCode>
                <c:ptCount val="18"/>
                <c:pt idx="0">
                  <c:v>22.5</c:v>
                </c:pt>
                <c:pt idx="1">
                  <c:v>18</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smooth val="0"/>
          <c:extLst>
            <c:ext xmlns:c16="http://schemas.microsoft.com/office/drawing/2014/chart" uri="{C3380CC4-5D6E-409C-BE32-E72D297353CC}">
              <c16:uniqueId val="{00000007-A627-41BF-BEDD-2858E3213C02}"/>
            </c:ext>
          </c:extLst>
        </c:ser>
        <c:dLbls>
          <c:showLegendKey val="0"/>
          <c:showVal val="0"/>
          <c:showCatName val="0"/>
          <c:showSerName val="0"/>
          <c:showPercent val="0"/>
          <c:showBubbleSize val="0"/>
        </c:dLbls>
        <c:marker val="1"/>
        <c:smooth val="0"/>
        <c:axId val="1021065088"/>
        <c:axId val="1021082848"/>
      </c:lineChart>
      <c:dateAx>
        <c:axId val="1021065088"/>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1082848"/>
        <c:crosses val="autoZero"/>
        <c:auto val="1"/>
        <c:lblOffset val="100"/>
        <c:baseTimeUnit val="months"/>
      </c:dateAx>
      <c:valAx>
        <c:axId val="102108284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1065088"/>
        <c:crosses val="autoZero"/>
        <c:crossBetween val="between"/>
      </c:valAx>
      <c:spPr>
        <a:solidFill>
          <a:srgbClr val="F5F5F5"/>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spc="0" baseline="0">
                <a:solidFill>
                  <a:schemeClr val="tx1">
                    <a:lumMod val="65000"/>
                    <a:lumOff val="35000"/>
                  </a:schemeClr>
                </a:solidFill>
                <a:latin typeface="+mn-lt"/>
                <a:ea typeface="+mn-ea"/>
                <a:cs typeface="+mn-cs"/>
              </a:defRPr>
            </a:pPr>
            <a:r>
              <a:rPr lang="en-US"/>
              <a:t>Drug Substance — Inventory &amp; Supply Plan</a:t>
            </a:r>
          </a:p>
        </c:rich>
      </c:tx>
      <c:overlay val="0"/>
      <c:spPr>
        <a:noFill/>
        <a:ln>
          <a:noFill/>
        </a:ln>
        <a:effectLst/>
      </c:spPr>
      <c:txPr>
        <a:bodyPr rot="0" spcFirstLastPara="1" vertOverflow="ellipsis" vert="horz" wrap="square" anchor="ctr" anchorCtr="1"/>
        <a:lstStyle/>
        <a:p>
          <a:pPr>
            <a:defRPr sz="12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Demand</c:v>
          </c:tx>
          <c:spPr>
            <a:solidFill>
              <a:srgbClr val="4472C4"/>
            </a:solidFill>
            <a:ln>
              <a:noFill/>
            </a:ln>
            <a:effectLst/>
          </c:spPr>
          <c:invertIfNegative val="0"/>
          <c:cat>
            <c:numRef>
              <c:f>'Planning Engine'!$W$720:$W$725</c:f>
              <c:numCache>
                <c:formatCode>mmm\-yy</c:formatCode>
                <c:ptCount val="6"/>
                <c:pt idx="0">
                  <c:v>46113</c:v>
                </c:pt>
                <c:pt idx="1">
                  <c:v>46143</c:v>
                </c:pt>
                <c:pt idx="2">
                  <c:v>46174</c:v>
                </c:pt>
                <c:pt idx="3">
                  <c:v>46204</c:v>
                </c:pt>
                <c:pt idx="4">
                  <c:v>46235</c:v>
                </c:pt>
                <c:pt idx="5">
                  <c:v>46266</c:v>
                </c:pt>
              </c:numCache>
            </c:numRef>
          </c:cat>
          <c:val>
            <c:numRef>
              <c:f>'Planning Engine'!$X$720:$X$725</c:f>
              <c:numCache>
                <c:formatCode>General</c:formatCode>
                <c:ptCount val="6"/>
                <c:pt idx="0">
                  <c:v>5.6999999999999993</c:v>
                </c:pt>
                <c:pt idx="1">
                  <c:v>1.4</c:v>
                </c:pt>
                <c:pt idx="2">
                  <c:v>6.3999999999999995</c:v>
                </c:pt>
                <c:pt idx="3">
                  <c:v>0.7</c:v>
                </c:pt>
                <c:pt idx="4">
                  <c:v>0</c:v>
                </c:pt>
                <c:pt idx="5">
                  <c:v>0</c:v>
                </c:pt>
              </c:numCache>
            </c:numRef>
          </c:val>
          <c:extLst>
            <c:ext xmlns:c16="http://schemas.microsoft.com/office/drawing/2014/chart" uri="{C3380CC4-5D6E-409C-BE32-E72D297353CC}">
              <c16:uniqueId val="{00000004-A113-4D66-8BB5-C5CD5BD59384}"/>
            </c:ext>
          </c:extLst>
        </c:ser>
        <c:ser>
          <c:idx val="1"/>
          <c:order val="1"/>
          <c:tx>
            <c:v>Planned Prod</c:v>
          </c:tx>
          <c:spPr>
            <a:solidFill>
              <a:srgbClr val="ED7D31"/>
            </a:solidFill>
            <a:ln>
              <a:noFill/>
            </a:ln>
            <a:effectLst/>
          </c:spPr>
          <c:invertIfNegative val="0"/>
          <c:cat>
            <c:numRef>
              <c:f>'Planning Engine'!$W$720:$W$725</c:f>
              <c:numCache>
                <c:formatCode>mmm\-yy</c:formatCode>
                <c:ptCount val="6"/>
                <c:pt idx="0">
                  <c:v>46113</c:v>
                </c:pt>
                <c:pt idx="1">
                  <c:v>46143</c:v>
                </c:pt>
                <c:pt idx="2">
                  <c:v>46174</c:v>
                </c:pt>
                <c:pt idx="3">
                  <c:v>46204</c:v>
                </c:pt>
                <c:pt idx="4">
                  <c:v>46235</c:v>
                </c:pt>
                <c:pt idx="5">
                  <c:v>46266</c:v>
                </c:pt>
              </c:numCache>
            </c:numRef>
          </c:cat>
          <c:val>
            <c:numRef>
              <c:f>'Planning Engine'!$Y$720:$Y$725</c:f>
              <c:numCache>
                <c:formatCode>General</c:formatCode>
                <c:ptCount val="6"/>
                <c:pt idx="0">
                  <c:v>0</c:v>
                </c:pt>
                <c:pt idx="1">
                  <c:v>8.6</c:v>
                </c:pt>
                <c:pt idx="2">
                  <c:v>12.9</c:v>
                </c:pt>
                <c:pt idx="3">
                  <c:v>4.3</c:v>
                </c:pt>
                <c:pt idx="4">
                  <c:v>0</c:v>
                </c:pt>
                <c:pt idx="5">
                  <c:v>0</c:v>
                </c:pt>
              </c:numCache>
            </c:numRef>
          </c:val>
          <c:extLst>
            <c:ext xmlns:c16="http://schemas.microsoft.com/office/drawing/2014/chart" uri="{C3380CC4-5D6E-409C-BE32-E72D297353CC}">
              <c16:uniqueId val="{00000005-A113-4D66-8BB5-C5CD5BD59384}"/>
            </c:ext>
          </c:extLst>
        </c:ser>
        <c:dLbls>
          <c:showLegendKey val="0"/>
          <c:showVal val="0"/>
          <c:showCatName val="0"/>
          <c:showSerName val="0"/>
          <c:showPercent val="0"/>
          <c:showBubbleSize val="0"/>
        </c:dLbls>
        <c:gapWidth val="219"/>
        <c:overlap val="-27"/>
        <c:axId val="767171760"/>
        <c:axId val="767172720"/>
      </c:barChart>
      <c:lineChart>
        <c:grouping val="standard"/>
        <c:varyColors val="0"/>
        <c:ser>
          <c:idx val="2"/>
          <c:order val="2"/>
          <c:tx>
            <c:v>Ending Inventory</c:v>
          </c:tx>
          <c:spPr>
            <a:ln w="28575" cap="rnd">
              <a:solidFill>
                <a:srgbClr val="2F5597"/>
              </a:solidFill>
              <a:prstDash val="solid"/>
              <a:round/>
            </a:ln>
            <a:effectLst/>
          </c:spPr>
          <c:marker>
            <c:symbol val="circle"/>
            <c:size val="6"/>
            <c:spPr>
              <a:solidFill>
                <a:schemeClr val="accent3"/>
              </a:solidFill>
              <a:ln w="9525">
                <a:solidFill>
                  <a:schemeClr val="accent3"/>
                </a:solidFill>
              </a:ln>
              <a:effectLst/>
            </c:spPr>
          </c:marker>
          <c:cat>
            <c:numRef>
              <c:f>'Planning Engine'!$W$720:$W$725</c:f>
              <c:numCache>
                <c:formatCode>mmm\-yy</c:formatCode>
                <c:ptCount val="6"/>
                <c:pt idx="0">
                  <c:v>46113</c:v>
                </c:pt>
                <c:pt idx="1">
                  <c:v>46143</c:v>
                </c:pt>
                <c:pt idx="2">
                  <c:v>46174</c:v>
                </c:pt>
                <c:pt idx="3">
                  <c:v>46204</c:v>
                </c:pt>
                <c:pt idx="4">
                  <c:v>46235</c:v>
                </c:pt>
                <c:pt idx="5">
                  <c:v>46266</c:v>
                </c:pt>
              </c:numCache>
            </c:numRef>
          </c:cat>
          <c:val>
            <c:numRef>
              <c:f>'Planning Engine'!$Z$720:$Z$725</c:f>
              <c:numCache>
                <c:formatCode>General</c:formatCode>
                <c:ptCount val="6"/>
                <c:pt idx="0">
                  <c:v>78.12</c:v>
                </c:pt>
                <c:pt idx="1">
                  <c:v>85.32</c:v>
                </c:pt>
                <c:pt idx="2">
                  <c:v>91.82</c:v>
                </c:pt>
                <c:pt idx="3">
                  <c:v>95.419999999999987</c:v>
                </c:pt>
                <c:pt idx="4">
                  <c:v>95.419999999999987</c:v>
                </c:pt>
                <c:pt idx="5">
                  <c:v>95.419999999999987</c:v>
                </c:pt>
              </c:numCache>
            </c:numRef>
          </c:val>
          <c:smooth val="0"/>
          <c:extLst>
            <c:ext xmlns:c16="http://schemas.microsoft.com/office/drawing/2014/chart" uri="{C3380CC4-5D6E-409C-BE32-E72D297353CC}">
              <c16:uniqueId val="{00000006-A113-4D66-8BB5-C5CD5BD59384}"/>
            </c:ext>
          </c:extLst>
        </c:ser>
        <c:ser>
          <c:idx val="3"/>
          <c:order val="3"/>
          <c:tx>
            <c:v>Target OH (units)</c:v>
          </c:tx>
          <c:spPr>
            <a:ln w="28575" cap="rnd">
              <a:solidFill>
                <a:srgbClr val="FF0000"/>
              </a:solidFill>
              <a:prstDash val="solid"/>
              <a:round/>
            </a:ln>
            <a:effectLst/>
          </c:spPr>
          <c:marker>
            <c:symbol val="none"/>
          </c:marker>
          <c:cat>
            <c:numRef>
              <c:f>'Planning Engine'!$W$720:$W$725</c:f>
              <c:numCache>
                <c:formatCode>mmm\-yy</c:formatCode>
                <c:ptCount val="6"/>
                <c:pt idx="0">
                  <c:v>46113</c:v>
                </c:pt>
                <c:pt idx="1">
                  <c:v>46143</c:v>
                </c:pt>
                <c:pt idx="2">
                  <c:v>46174</c:v>
                </c:pt>
                <c:pt idx="3">
                  <c:v>46204</c:v>
                </c:pt>
                <c:pt idx="4">
                  <c:v>46235</c:v>
                </c:pt>
                <c:pt idx="5">
                  <c:v>46266</c:v>
                </c:pt>
              </c:numCache>
            </c:numRef>
          </c:cat>
          <c:val>
            <c:numRef>
              <c:f>'Planning Engine'!$AA$720:$AA$725</c:f>
              <c:numCache>
                <c:formatCode>General</c:formatCode>
                <c:ptCount val="6"/>
                <c:pt idx="0">
                  <c:v>42.599999999999994</c:v>
                </c:pt>
                <c:pt idx="1">
                  <c:v>33.999999999999993</c:v>
                </c:pt>
                <c:pt idx="2">
                  <c:v>42.599999999999994</c:v>
                </c:pt>
                <c:pt idx="3">
                  <c:v>8.3999999999999986</c:v>
                </c:pt>
                <c:pt idx="4">
                  <c:v>0</c:v>
                </c:pt>
                <c:pt idx="5">
                  <c:v>0</c:v>
                </c:pt>
              </c:numCache>
            </c:numRef>
          </c:val>
          <c:smooth val="0"/>
          <c:extLst>
            <c:ext xmlns:c16="http://schemas.microsoft.com/office/drawing/2014/chart" uri="{C3380CC4-5D6E-409C-BE32-E72D297353CC}">
              <c16:uniqueId val="{00000007-A113-4D66-8BB5-C5CD5BD59384}"/>
            </c:ext>
          </c:extLst>
        </c:ser>
        <c:dLbls>
          <c:showLegendKey val="0"/>
          <c:showVal val="0"/>
          <c:showCatName val="0"/>
          <c:showSerName val="0"/>
          <c:showPercent val="0"/>
          <c:showBubbleSize val="0"/>
        </c:dLbls>
        <c:marker val="1"/>
        <c:smooth val="0"/>
        <c:axId val="767171760"/>
        <c:axId val="767172720"/>
      </c:lineChart>
      <c:dateAx>
        <c:axId val="76717176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7172720"/>
        <c:crosses val="autoZero"/>
        <c:auto val="1"/>
        <c:lblOffset val="100"/>
        <c:baseTimeUnit val="months"/>
      </c:dateAx>
      <c:valAx>
        <c:axId val="767172720"/>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7171760"/>
        <c:crosses val="autoZero"/>
        <c:crossBetween val="between"/>
      </c:valAx>
      <c:spPr>
        <a:solidFill>
          <a:srgbClr val="F5F5F5"/>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spc="0" baseline="0">
                <a:solidFill>
                  <a:schemeClr val="tx1">
                    <a:lumMod val="65000"/>
                    <a:lumOff val="35000"/>
                  </a:schemeClr>
                </a:solidFill>
                <a:latin typeface="+mn-lt"/>
                <a:ea typeface="+mn-ea"/>
                <a:cs typeface="+mn-cs"/>
              </a:defRPr>
            </a:pPr>
            <a:r>
              <a:rPr lang="en-US"/>
              <a:t>LLPS — Inventory &amp; Supply Plan</a:t>
            </a:r>
          </a:p>
        </c:rich>
      </c:tx>
      <c:overlay val="0"/>
      <c:spPr>
        <a:noFill/>
        <a:ln>
          <a:noFill/>
        </a:ln>
        <a:effectLst/>
      </c:spPr>
      <c:txPr>
        <a:bodyPr rot="0" spcFirstLastPara="1" vertOverflow="ellipsis" vert="horz" wrap="square" anchor="ctr" anchorCtr="1"/>
        <a:lstStyle/>
        <a:p>
          <a:pPr>
            <a:defRPr sz="12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Demand</c:v>
          </c:tx>
          <c:spPr>
            <a:solidFill>
              <a:srgbClr val="4472C4"/>
            </a:solidFill>
            <a:ln>
              <a:noFill/>
            </a:ln>
            <a:effectLst/>
          </c:spPr>
          <c:invertIfNegative val="0"/>
          <c:cat>
            <c:numRef>
              <c:f>'Planning Engine'!$W$899:$W$904</c:f>
              <c:numCache>
                <c:formatCode>mmm\-yy</c:formatCode>
                <c:ptCount val="6"/>
                <c:pt idx="0">
                  <c:v>46113</c:v>
                </c:pt>
                <c:pt idx="1">
                  <c:v>46143</c:v>
                </c:pt>
                <c:pt idx="2">
                  <c:v>46174</c:v>
                </c:pt>
                <c:pt idx="3">
                  <c:v>46204</c:v>
                </c:pt>
                <c:pt idx="4">
                  <c:v>46235</c:v>
                </c:pt>
                <c:pt idx="5">
                  <c:v>46266</c:v>
                </c:pt>
              </c:numCache>
            </c:numRef>
          </c:cat>
          <c:val>
            <c:numRef>
              <c:f>'Planning Engine'!$X$899:$X$904</c:f>
              <c:numCache>
                <c:formatCode>General</c:formatCode>
                <c:ptCount val="6"/>
                <c:pt idx="0">
                  <c:v>0</c:v>
                </c:pt>
                <c:pt idx="1">
                  <c:v>13.4</c:v>
                </c:pt>
                <c:pt idx="2">
                  <c:v>20.100000000000001</c:v>
                </c:pt>
                <c:pt idx="3">
                  <c:v>6.7</c:v>
                </c:pt>
                <c:pt idx="4">
                  <c:v>0</c:v>
                </c:pt>
                <c:pt idx="5">
                  <c:v>0</c:v>
                </c:pt>
              </c:numCache>
            </c:numRef>
          </c:val>
          <c:extLst>
            <c:ext xmlns:c16="http://schemas.microsoft.com/office/drawing/2014/chart" uri="{C3380CC4-5D6E-409C-BE32-E72D297353CC}">
              <c16:uniqueId val="{00000004-EAFC-4373-9946-B879617DA44F}"/>
            </c:ext>
          </c:extLst>
        </c:ser>
        <c:ser>
          <c:idx val="1"/>
          <c:order val="1"/>
          <c:tx>
            <c:v>Planned Prod</c:v>
          </c:tx>
          <c:spPr>
            <a:solidFill>
              <a:srgbClr val="ED7D31"/>
            </a:solidFill>
            <a:ln>
              <a:noFill/>
            </a:ln>
            <a:effectLst/>
          </c:spPr>
          <c:invertIfNegative val="0"/>
          <c:cat>
            <c:numRef>
              <c:f>'Planning Engine'!$W$899:$W$904</c:f>
              <c:numCache>
                <c:formatCode>mmm\-yy</c:formatCode>
                <c:ptCount val="6"/>
                <c:pt idx="0">
                  <c:v>46113</c:v>
                </c:pt>
                <c:pt idx="1">
                  <c:v>46143</c:v>
                </c:pt>
                <c:pt idx="2">
                  <c:v>46174</c:v>
                </c:pt>
                <c:pt idx="3">
                  <c:v>46204</c:v>
                </c:pt>
                <c:pt idx="4">
                  <c:v>46235</c:v>
                </c:pt>
                <c:pt idx="5">
                  <c:v>46266</c:v>
                </c:pt>
              </c:numCache>
            </c:numRef>
          </c:cat>
          <c:val>
            <c:numRef>
              <c:f>'Planning Engine'!$Y$899:$Y$904</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5-EAFC-4373-9946-B879617DA44F}"/>
            </c:ext>
          </c:extLst>
        </c:ser>
        <c:dLbls>
          <c:showLegendKey val="0"/>
          <c:showVal val="0"/>
          <c:showCatName val="0"/>
          <c:showSerName val="0"/>
          <c:showPercent val="0"/>
          <c:showBubbleSize val="0"/>
        </c:dLbls>
        <c:gapWidth val="219"/>
        <c:overlap val="-27"/>
        <c:axId val="1338569776"/>
        <c:axId val="1338564496"/>
      </c:barChart>
      <c:lineChart>
        <c:grouping val="standard"/>
        <c:varyColors val="0"/>
        <c:ser>
          <c:idx val="2"/>
          <c:order val="2"/>
          <c:tx>
            <c:v>Ending Inventory</c:v>
          </c:tx>
          <c:spPr>
            <a:ln w="28575" cap="rnd">
              <a:solidFill>
                <a:srgbClr val="2F5597"/>
              </a:solidFill>
              <a:prstDash val="solid"/>
              <a:round/>
            </a:ln>
            <a:effectLst/>
          </c:spPr>
          <c:marker>
            <c:symbol val="circle"/>
            <c:size val="6"/>
            <c:spPr>
              <a:solidFill>
                <a:schemeClr val="accent3"/>
              </a:solidFill>
              <a:ln w="9525">
                <a:solidFill>
                  <a:schemeClr val="accent3"/>
                </a:solidFill>
              </a:ln>
              <a:effectLst/>
            </c:spPr>
          </c:marker>
          <c:cat>
            <c:numRef>
              <c:f>'Planning Engine'!$W$899:$W$904</c:f>
              <c:numCache>
                <c:formatCode>mmm\-yy</c:formatCode>
                <c:ptCount val="6"/>
                <c:pt idx="0">
                  <c:v>46113</c:v>
                </c:pt>
                <c:pt idx="1">
                  <c:v>46143</c:v>
                </c:pt>
                <c:pt idx="2">
                  <c:v>46174</c:v>
                </c:pt>
                <c:pt idx="3">
                  <c:v>46204</c:v>
                </c:pt>
                <c:pt idx="4">
                  <c:v>46235</c:v>
                </c:pt>
                <c:pt idx="5">
                  <c:v>46266</c:v>
                </c:pt>
              </c:numCache>
            </c:numRef>
          </c:cat>
          <c:val>
            <c:numRef>
              <c:f>'Planning Engine'!$Z$899:$Z$904</c:f>
              <c:numCache>
                <c:formatCode>General</c:formatCode>
                <c:ptCount val="6"/>
                <c:pt idx="0">
                  <c:v>96.09</c:v>
                </c:pt>
                <c:pt idx="1">
                  <c:v>82.69</c:v>
                </c:pt>
                <c:pt idx="2">
                  <c:v>62.589999999999996</c:v>
                </c:pt>
                <c:pt idx="3">
                  <c:v>55.889999999999993</c:v>
                </c:pt>
                <c:pt idx="4">
                  <c:v>55.889999999999993</c:v>
                </c:pt>
                <c:pt idx="5">
                  <c:v>55.889999999999993</c:v>
                </c:pt>
              </c:numCache>
            </c:numRef>
          </c:val>
          <c:smooth val="0"/>
          <c:extLst>
            <c:ext xmlns:c16="http://schemas.microsoft.com/office/drawing/2014/chart" uri="{C3380CC4-5D6E-409C-BE32-E72D297353CC}">
              <c16:uniqueId val="{00000006-EAFC-4373-9946-B879617DA44F}"/>
            </c:ext>
          </c:extLst>
        </c:ser>
        <c:ser>
          <c:idx val="3"/>
          <c:order val="3"/>
          <c:tx>
            <c:v>Target OH (units)</c:v>
          </c:tx>
          <c:spPr>
            <a:ln w="28575" cap="rnd">
              <a:solidFill>
                <a:srgbClr val="FF0000"/>
              </a:solidFill>
              <a:prstDash val="solid"/>
              <a:round/>
            </a:ln>
            <a:effectLst/>
          </c:spPr>
          <c:marker>
            <c:symbol val="none"/>
          </c:marker>
          <c:cat>
            <c:numRef>
              <c:f>'Planning Engine'!$W$899:$W$904</c:f>
              <c:numCache>
                <c:formatCode>mmm\-yy</c:formatCode>
                <c:ptCount val="6"/>
                <c:pt idx="0">
                  <c:v>46113</c:v>
                </c:pt>
                <c:pt idx="1">
                  <c:v>46143</c:v>
                </c:pt>
                <c:pt idx="2">
                  <c:v>46174</c:v>
                </c:pt>
                <c:pt idx="3">
                  <c:v>46204</c:v>
                </c:pt>
                <c:pt idx="4">
                  <c:v>46235</c:v>
                </c:pt>
                <c:pt idx="5">
                  <c:v>46266</c:v>
                </c:pt>
              </c:numCache>
            </c:numRef>
          </c:cat>
          <c:val>
            <c:numRef>
              <c:f>'Planning Engine'!$AA$899:$AA$904</c:f>
              <c:numCache>
                <c:formatCode>General</c:formatCode>
                <c:ptCount val="6"/>
                <c:pt idx="0">
                  <c:v>53.6</c:v>
                </c:pt>
                <c:pt idx="1">
                  <c:v>53.6</c:v>
                </c:pt>
                <c:pt idx="2">
                  <c:v>53.6</c:v>
                </c:pt>
                <c:pt idx="3">
                  <c:v>26.8</c:v>
                </c:pt>
                <c:pt idx="4">
                  <c:v>53.6</c:v>
                </c:pt>
                <c:pt idx="5">
                  <c:v>53.6</c:v>
                </c:pt>
              </c:numCache>
            </c:numRef>
          </c:val>
          <c:smooth val="0"/>
          <c:extLst>
            <c:ext xmlns:c16="http://schemas.microsoft.com/office/drawing/2014/chart" uri="{C3380CC4-5D6E-409C-BE32-E72D297353CC}">
              <c16:uniqueId val="{00000007-EAFC-4373-9946-B879617DA44F}"/>
            </c:ext>
          </c:extLst>
        </c:ser>
        <c:dLbls>
          <c:showLegendKey val="0"/>
          <c:showVal val="0"/>
          <c:showCatName val="0"/>
          <c:showSerName val="0"/>
          <c:showPercent val="0"/>
          <c:showBubbleSize val="0"/>
        </c:dLbls>
        <c:marker val="1"/>
        <c:smooth val="0"/>
        <c:axId val="1338569776"/>
        <c:axId val="1338564496"/>
      </c:lineChart>
      <c:dateAx>
        <c:axId val="133856977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8564496"/>
        <c:crosses val="autoZero"/>
        <c:auto val="1"/>
        <c:lblOffset val="100"/>
        <c:baseTimeUnit val="months"/>
      </c:dateAx>
      <c:valAx>
        <c:axId val="1338564496"/>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8569776"/>
        <c:crosses val="autoZero"/>
        <c:crossBetween val="between"/>
      </c:valAx>
      <c:spPr>
        <a:solidFill>
          <a:srgbClr val="F5F5F5"/>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spc="0" baseline="0">
                <a:solidFill>
                  <a:schemeClr val="tx1">
                    <a:lumMod val="65000"/>
                    <a:lumOff val="35000"/>
                  </a:schemeClr>
                </a:solidFill>
                <a:latin typeface="+mn-lt"/>
                <a:ea typeface="+mn-ea"/>
                <a:cs typeface="+mn-cs"/>
              </a:defRPr>
            </a:pPr>
            <a:r>
              <a:rPr lang="en-US"/>
              <a:t>APAD — Inventory &amp; Supply Plan</a:t>
            </a:r>
          </a:p>
        </c:rich>
      </c:tx>
      <c:overlay val="0"/>
      <c:spPr>
        <a:noFill/>
        <a:ln>
          <a:noFill/>
        </a:ln>
        <a:effectLst/>
      </c:spPr>
      <c:txPr>
        <a:bodyPr rot="0" spcFirstLastPara="1" vertOverflow="ellipsis" vert="horz" wrap="square" anchor="ctr" anchorCtr="1"/>
        <a:lstStyle/>
        <a:p>
          <a:pPr>
            <a:defRPr sz="12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Demand</c:v>
          </c:tx>
          <c:spPr>
            <a:solidFill>
              <a:srgbClr val="4472C4"/>
            </a:solidFill>
            <a:ln>
              <a:noFill/>
            </a:ln>
            <a:effectLst/>
          </c:spPr>
          <c:invertIfNegative val="0"/>
          <c:cat>
            <c:numRef>
              <c:f>'Planning Engine'!$W$1078:$W$1083</c:f>
              <c:numCache>
                <c:formatCode>mmm\-yy</c:formatCode>
                <c:ptCount val="6"/>
                <c:pt idx="0">
                  <c:v>46113</c:v>
                </c:pt>
                <c:pt idx="1">
                  <c:v>46143</c:v>
                </c:pt>
                <c:pt idx="2">
                  <c:v>46174</c:v>
                </c:pt>
                <c:pt idx="3">
                  <c:v>46204</c:v>
                </c:pt>
                <c:pt idx="4">
                  <c:v>46235</c:v>
                </c:pt>
                <c:pt idx="5">
                  <c:v>46266</c:v>
                </c:pt>
              </c:numCache>
            </c:numRef>
          </c:cat>
          <c:val>
            <c:numRef>
              <c:f>'Planning Engine'!$X$1078:$X$1083</c:f>
              <c:numCache>
                <c:formatCode>General</c:formatCode>
                <c:ptCount val="6"/>
                <c:pt idx="0">
                  <c:v>0</c:v>
                </c:pt>
                <c:pt idx="1">
                  <c:v>58.72</c:v>
                </c:pt>
                <c:pt idx="2">
                  <c:v>88.080000000000013</c:v>
                </c:pt>
                <c:pt idx="3">
                  <c:v>29.36</c:v>
                </c:pt>
                <c:pt idx="4">
                  <c:v>0</c:v>
                </c:pt>
                <c:pt idx="5">
                  <c:v>0</c:v>
                </c:pt>
              </c:numCache>
            </c:numRef>
          </c:val>
          <c:extLst>
            <c:ext xmlns:c16="http://schemas.microsoft.com/office/drawing/2014/chart" uri="{C3380CC4-5D6E-409C-BE32-E72D297353CC}">
              <c16:uniqueId val="{00000004-7509-4538-802A-5C6DA8F42B62}"/>
            </c:ext>
          </c:extLst>
        </c:ser>
        <c:ser>
          <c:idx val="1"/>
          <c:order val="1"/>
          <c:tx>
            <c:v>Planned Prod</c:v>
          </c:tx>
          <c:spPr>
            <a:solidFill>
              <a:srgbClr val="ED7D31"/>
            </a:solidFill>
            <a:ln>
              <a:noFill/>
            </a:ln>
            <a:effectLst/>
          </c:spPr>
          <c:invertIfNegative val="0"/>
          <c:cat>
            <c:numRef>
              <c:f>'Planning Engine'!$W$1078:$W$1083</c:f>
              <c:numCache>
                <c:formatCode>mmm\-yy</c:formatCode>
                <c:ptCount val="6"/>
                <c:pt idx="0">
                  <c:v>46113</c:v>
                </c:pt>
                <c:pt idx="1">
                  <c:v>46143</c:v>
                </c:pt>
                <c:pt idx="2">
                  <c:v>46174</c:v>
                </c:pt>
                <c:pt idx="3">
                  <c:v>46204</c:v>
                </c:pt>
                <c:pt idx="4">
                  <c:v>46235</c:v>
                </c:pt>
                <c:pt idx="5">
                  <c:v>46266</c:v>
                </c:pt>
              </c:numCache>
            </c:numRef>
          </c:cat>
          <c:val>
            <c:numRef>
              <c:f>'Planning Engine'!$Y$1078:$Y$1083</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5-7509-4538-802A-5C6DA8F42B62}"/>
            </c:ext>
          </c:extLst>
        </c:ser>
        <c:dLbls>
          <c:showLegendKey val="0"/>
          <c:showVal val="0"/>
          <c:showCatName val="0"/>
          <c:showSerName val="0"/>
          <c:showPercent val="0"/>
          <c:showBubbleSize val="0"/>
        </c:dLbls>
        <c:gapWidth val="219"/>
        <c:overlap val="-27"/>
        <c:axId val="525923552"/>
        <c:axId val="525924032"/>
      </c:barChart>
      <c:lineChart>
        <c:grouping val="standard"/>
        <c:varyColors val="0"/>
        <c:ser>
          <c:idx val="2"/>
          <c:order val="2"/>
          <c:tx>
            <c:v>Ending Inventory</c:v>
          </c:tx>
          <c:spPr>
            <a:ln w="28575" cap="rnd">
              <a:solidFill>
                <a:srgbClr val="2F5597"/>
              </a:solidFill>
              <a:prstDash val="solid"/>
              <a:round/>
            </a:ln>
            <a:effectLst/>
          </c:spPr>
          <c:marker>
            <c:symbol val="circle"/>
            <c:size val="6"/>
            <c:spPr>
              <a:solidFill>
                <a:schemeClr val="accent3"/>
              </a:solidFill>
              <a:ln w="9525">
                <a:solidFill>
                  <a:schemeClr val="accent3"/>
                </a:solidFill>
              </a:ln>
              <a:effectLst/>
            </c:spPr>
          </c:marker>
          <c:cat>
            <c:numRef>
              <c:f>'Planning Engine'!$W$1078:$W$1083</c:f>
              <c:numCache>
                <c:formatCode>mmm\-yy</c:formatCode>
                <c:ptCount val="6"/>
                <c:pt idx="0">
                  <c:v>46113</c:v>
                </c:pt>
                <c:pt idx="1">
                  <c:v>46143</c:v>
                </c:pt>
                <c:pt idx="2">
                  <c:v>46174</c:v>
                </c:pt>
                <c:pt idx="3">
                  <c:v>46204</c:v>
                </c:pt>
                <c:pt idx="4">
                  <c:v>46235</c:v>
                </c:pt>
                <c:pt idx="5">
                  <c:v>46266</c:v>
                </c:pt>
              </c:numCache>
            </c:numRef>
          </c:cat>
          <c:val>
            <c:numRef>
              <c:f>'Planning Engine'!$Z$1078:$Z$1083</c:f>
              <c:numCache>
                <c:formatCode>General</c:formatCode>
                <c:ptCount val="6"/>
                <c:pt idx="0">
                  <c:v>374.84</c:v>
                </c:pt>
                <c:pt idx="1">
                  <c:v>316.12</c:v>
                </c:pt>
                <c:pt idx="2">
                  <c:v>228.04</c:v>
                </c:pt>
                <c:pt idx="3">
                  <c:v>198.68</c:v>
                </c:pt>
                <c:pt idx="4">
                  <c:v>198.68</c:v>
                </c:pt>
                <c:pt idx="5">
                  <c:v>198.68</c:v>
                </c:pt>
              </c:numCache>
            </c:numRef>
          </c:val>
          <c:smooth val="0"/>
          <c:extLst>
            <c:ext xmlns:c16="http://schemas.microsoft.com/office/drawing/2014/chart" uri="{C3380CC4-5D6E-409C-BE32-E72D297353CC}">
              <c16:uniqueId val="{00000006-7509-4538-802A-5C6DA8F42B62}"/>
            </c:ext>
          </c:extLst>
        </c:ser>
        <c:ser>
          <c:idx val="3"/>
          <c:order val="3"/>
          <c:tx>
            <c:v>Target OH (units)</c:v>
          </c:tx>
          <c:spPr>
            <a:ln w="28575" cap="rnd">
              <a:solidFill>
                <a:srgbClr val="FF0000"/>
              </a:solidFill>
              <a:prstDash val="solid"/>
              <a:round/>
            </a:ln>
            <a:effectLst/>
          </c:spPr>
          <c:marker>
            <c:symbol val="none"/>
          </c:marker>
          <c:cat>
            <c:numRef>
              <c:f>'Planning Engine'!$W$1078:$W$1083</c:f>
              <c:numCache>
                <c:formatCode>mmm\-yy</c:formatCode>
                <c:ptCount val="6"/>
                <c:pt idx="0">
                  <c:v>46113</c:v>
                </c:pt>
                <c:pt idx="1">
                  <c:v>46143</c:v>
                </c:pt>
                <c:pt idx="2">
                  <c:v>46174</c:v>
                </c:pt>
                <c:pt idx="3">
                  <c:v>46204</c:v>
                </c:pt>
                <c:pt idx="4">
                  <c:v>46235</c:v>
                </c:pt>
                <c:pt idx="5">
                  <c:v>46266</c:v>
                </c:pt>
              </c:numCache>
            </c:numRef>
          </c:cat>
          <c:val>
            <c:numRef>
              <c:f>'Planning Engine'!$AA$1078:$AA$1083</c:f>
              <c:numCache>
                <c:formatCode>General</c:formatCode>
                <c:ptCount val="6"/>
                <c:pt idx="0">
                  <c:v>234.88000000000002</c:v>
                </c:pt>
                <c:pt idx="1">
                  <c:v>234.88000000000002</c:v>
                </c:pt>
                <c:pt idx="2">
                  <c:v>234.88000000000002</c:v>
                </c:pt>
                <c:pt idx="3">
                  <c:v>117.44</c:v>
                </c:pt>
                <c:pt idx="4">
                  <c:v>234.88</c:v>
                </c:pt>
                <c:pt idx="5">
                  <c:v>234.88</c:v>
                </c:pt>
              </c:numCache>
            </c:numRef>
          </c:val>
          <c:smooth val="0"/>
          <c:extLst>
            <c:ext xmlns:c16="http://schemas.microsoft.com/office/drawing/2014/chart" uri="{C3380CC4-5D6E-409C-BE32-E72D297353CC}">
              <c16:uniqueId val="{00000007-7509-4538-802A-5C6DA8F42B62}"/>
            </c:ext>
          </c:extLst>
        </c:ser>
        <c:dLbls>
          <c:showLegendKey val="0"/>
          <c:showVal val="0"/>
          <c:showCatName val="0"/>
          <c:showSerName val="0"/>
          <c:showPercent val="0"/>
          <c:showBubbleSize val="0"/>
        </c:dLbls>
        <c:marker val="1"/>
        <c:smooth val="0"/>
        <c:axId val="525923552"/>
        <c:axId val="525924032"/>
      </c:lineChart>
      <c:dateAx>
        <c:axId val="52592355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5924032"/>
        <c:crosses val="autoZero"/>
        <c:auto val="1"/>
        <c:lblOffset val="100"/>
        <c:baseTimeUnit val="months"/>
      </c:dateAx>
      <c:valAx>
        <c:axId val="525924032"/>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5923552"/>
        <c:crosses val="autoZero"/>
        <c:crossBetween val="between"/>
      </c:valAx>
      <c:spPr>
        <a:solidFill>
          <a:srgbClr val="F5F5F5"/>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spc="0" baseline="0">
                <a:solidFill>
                  <a:schemeClr val="tx1">
                    <a:lumMod val="65000"/>
                    <a:lumOff val="35000"/>
                  </a:schemeClr>
                </a:solidFill>
                <a:latin typeface="+mn-lt"/>
                <a:ea typeface="+mn-ea"/>
                <a:cs typeface="+mn-cs"/>
              </a:defRPr>
            </a:pPr>
            <a:r>
              <a:rPr lang="en-US"/>
              <a:t>APC — Inventory &amp; Supply Plan</a:t>
            </a:r>
          </a:p>
        </c:rich>
      </c:tx>
      <c:overlay val="0"/>
      <c:spPr>
        <a:noFill/>
        <a:ln>
          <a:noFill/>
        </a:ln>
        <a:effectLst/>
      </c:spPr>
      <c:txPr>
        <a:bodyPr rot="0" spcFirstLastPara="1" vertOverflow="ellipsis" vert="horz" wrap="square" anchor="ctr" anchorCtr="1"/>
        <a:lstStyle/>
        <a:p>
          <a:pPr>
            <a:defRPr sz="12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Demand</c:v>
          </c:tx>
          <c:spPr>
            <a:solidFill>
              <a:srgbClr val="4472C4"/>
            </a:solidFill>
            <a:ln>
              <a:noFill/>
            </a:ln>
            <a:effectLst/>
          </c:spPr>
          <c:invertIfNegative val="0"/>
          <c:cat>
            <c:numRef>
              <c:f>'Planning Engine'!$W$1257:$W$1262</c:f>
              <c:numCache>
                <c:formatCode>mmm\-yy</c:formatCode>
                <c:ptCount val="6"/>
                <c:pt idx="0">
                  <c:v>46113</c:v>
                </c:pt>
                <c:pt idx="1">
                  <c:v>46143</c:v>
                </c:pt>
                <c:pt idx="2">
                  <c:v>46174</c:v>
                </c:pt>
                <c:pt idx="3">
                  <c:v>46204</c:v>
                </c:pt>
                <c:pt idx="4">
                  <c:v>46235</c:v>
                </c:pt>
                <c:pt idx="5">
                  <c:v>46266</c:v>
                </c:pt>
              </c:numCache>
            </c:numRef>
          </c:cat>
          <c:val>
            <c:numRef>
              <c:f>'Planning Engine'!$X$1257:$X$1262</c:f>
              <c:numCache>
                <c:formatCode>General</c:formatCode>
                <c:ptCount val="6"/>
                <c:pt idx="0">
                  <c:v>0</c:v>
                </c:pt>
                <c:pt idx="1">
                  <c:v>12.32</c:v>
                </c:pt>
                <c:pt idx="2">
                  <c:v>18.480000000000004</c:v>
                </c:pt>
                <c:pt idx="3">
                  <c:v>6.16</c:v>
                </c:pt>
                <c:pt idx="4">
                  <c:v>0</c:v>
                </c:pt>
                <c:pt idx="5">
                  <c:v>0</c:v>
                </c:pt>
              </c:numCache>
            </c:numRef>
          </c:val>
          <c:extLst>
            <c:ext xmlns:c16="http://schemas.microsoft.com/office/drawing/2014/chart" uri="{C3380CC4-5D6E-409C-BE32-E72D297353CC}">
              <c16:uniqueId val="{00000004-77B3-4EB2-87A0-017EFA68E16B}"/>
            </c:ext>
          </c:extLst>
        </c:ser>
        <c:ser>
          <c:idx val="1"/>
          <c:order val="1"/>
          <c:tx>
            <c:v>Planned Prod</c:v>
          </c:tx>
          <c:spPr>
            <a:solidFill>
              <a:srgbClr val="ED7D31"/>
            </a:solidFill>
            <a:ln>
              <a:noFill/>
            </a:ln>
            <a:effectLst/>
          </c:spPr>
          <c:invertIfNegative val="0"/>
          <c:cat>
            <c:numRef>
              <c:f>'Planning Engine'!$W$1257:$W$1262</c:f>
              <c:numCache>
                <c:formatCode>mmm\-yy</c:formatCode>
                <c:ptCount val="6"/>
                <c:pt idx="0">
                  <c:v>46113</c:v>
                </c:pt>
                <c:pt idx="1">
                  <c:v>46143</c:v>
                </c:pt>
                <c:pt idx="2">
                  <c:v>46174</c:v>
                </c:pt>
                <c:pt idx="3">
                  <c:v>46204</c:v>
                </c:pt>
                <c:pt idx="4">
                  <c:v>46235</c:v>
                </c:pt>
                <c:pt idx="5">
                  <c:v>46266</c:v>
                </c:pt>
              </c:numCache>
            </c:numRef>
          </c:cat>
          <c:val>
            <c:numRef>
              <c:f>'Planning Engine'!$Y$1257:$Y$1262</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5-77B3-4EB2-87A0-017EFA68E16B}"/>
            </c:ext>
          </c:extLst>
        </c:ser>
        <c:dLbls>
          <c:showLegendKey val="0"/>
          <c:showVal val="0"/>
          <c:showCatName val="0"/>
          <c:showSerName val="0"/>
          <c:showPercent val="0"/>
          <c:showBubbleSize val="0"/>
        </c:dLbls>
        <c:gapWidth val="219"/>
        <c:overlap val="-27"/>
        <c:axId val="526169888"/>
        <c:axId val="526169408"/>
      </c:barChart>
      <c:lineChart>
        <c:grouping val="standard"/>
        <c:varyColors val="0"/>
        <c:ser>
          <c:idx val="2"/>
          <c:order val="2"/>
          <c:tx>
            <c:v>Ending Inventory</c:v>
          </c:tx>
          <c:spPr>
            <a:ln w="28575" cap="rnd">
              <a:solidFill>
                <a:srgbClr val="2F5597"/>
              </a:solidFill>
              <a:prstDash val="solid"/>
              <a:round/>
            </a:ln>
            <a:effectLst/>
          </c:spPr>
          <c:marker>
            <c:symbol val="circle"/>
            <c:size val="6"/>
            <c:spPr>
              <a:solidFill>
                <a:schemeClr val="accent3"/>
              </a:solidFill>
              <a:ln w="9525">
                <a:solidFill>
                  <a:schemeClr val="accent3"/>
                </a:solidFill>
              </a:ln>
              <a:effectLst/>
            </c:spPr>
          </c:marker>
          <c:cat>
            <c:numRef>
              <c:f>'Planning Engine'!$W$1257:$W$1262</c:f>
              <c:numCache>
                <c:formatCode>mmm\-yy</c:formatCode>
                <c:ptCount val="6"/>
                <c:pt idx="0">
                  <c:v>46113</c:v>
                </c:pt>
                <c:pt idx="1">
                  <c:v>46143</c:v>
                </c:pt>
                <c:pt idx="2">
                  <c:v>46174</c:v>
                </c:pt>
                <c:pt idx="3">
                  <c:v>46204</c:v>
                </c:pt>
                <c:pt idx="4">
                  <c:v>46235</c:v>
                </c:pt>
                <c:pt idx="5">
                  <c:v>46266</c:v>
                </c:pt>
              </c:numCache>
            </c:numRef>
          </c:cat>
          <c:val>
            <c:numRef>
              <c:f>'Planning Engine'!$Z$1257:$Z$1262</c:f>
              <c:numCache>
                <c:formatCode>General</c:formatCode>
                <c:ptCount val="6"/>
                <c:pt idx="0">
                  <c:v>78.92</c:v>
                </c:pt>
                <c:pt idx="1">
                  <c:v>66.599999999999994</c:v>
                </c:pt>
                <c:pt idx="2">
                  <c:v>48.11999999999999</c:v>
                </c:pt>
                <c:pt idx="3">
                  <c:v>41.959999999999994</c:v>
                </c:pt>
                <c:pt idx="4">
                  <c:v>41.959999999999994</c:v>
                </c:pt>
                <c:pt idx="5">
                  <c:v>41.959999999999994</c:v>
                </c:pt>
              </c:numCache>
            </c:numRef>
          </c:val>
          <c:smooth val="0"/>
          <c:extLst>
            <c:ext xmlns:c16="http://schemas.microsoft.com/office/drawing/2014/chart" uri="{C3380CC4-5D6E-409C-BE32-E72D297353CC}">
              <c16:uniqueId val="{00000006-77B3-4EB2-87A0-017EFA68E16B}"/>
            </c:ext>
          </c:extLst>
        </c:ser>
        <c:ser>
          <c:idx val="3"/>
          <c:order val="3"/>
          <c:tx>
            <c:v>Target OH (units)</c:v>
          </c:tx>
          <c:spPr>
            <a:ln w="28575" cap="rnd">
              <a:solidFill>
                <a:srgbClr val="FF0000"/>
              </a:solidFill>
              <a:prstDash val="solid"/>
              <a:round/>
            </a:ln>
            <a:effectLst/>
          </c:spPr>
          <c:marker>
            <c:symbol val="none"/>
          </c:marker>
          <c:cat>
            <c:numRef>
              <c:f>'Planning Engine'!$W$1257:$W$1262</c:f>
              <c:numCache>
                <c:formatCode>mmm\-yy</c:formatCode>
                <c:ptCount val="6"/>
                <c:pt idx="0">
                  <c:v>46113</c:v>
                </c:pt>
                <c:pt idx="1">
                  <c:v>46143</c:v>
                </c:pt>
                <c:pt idx="2">
                  <c:v>46174</c:v>
                </c:pt>
                <c:pt idx="3">
                  <c:v>46204</c:v>
                </c:pt>
                <c:pt idx="4">
                  <c:v>46235</c:v>
                </c:pt>
                <c:pt idx="5">
                  <c:v>46266</c:v>
                </c:pt>
              </c:numCache>
            </c:numRef>
          </c:cat>
          <c:val>
            <c:numRef>
              <c:f>'Planning Engine'!$AA$1257:$AA$1262</c:f>
              <c:numCache>
                <c:formatCode>General</c:formatCode>
                <c:ptCount val="6"/>
                <c:pt idx="0">
                  <c:v>49.280000000000008</c:v>
                </c:pt>
                <c:pt idx="1">
                  <c:v>49.280000000000008</c:v>
                </c:pt>
                <c:pt idx="2">
                  <c:v>49.280000000000008</c:v>
                </c:pt>
                <c:pt idx="3">
                  <c:v>24.64</c:v>
                </c:pt>
                <c:pt idx="4">
                  <c:v>49.28</c:v>
                </c:pt>
                <c:pt idx="5">
                  <c:v>49.28</c:v>
                </c:pt>
              </c:numCache>
            </c:numRef>
          </c:val>
          <c:smooth val="0"/>
          <c:extLst>
            <c:ext xmlns:c16="http://schemas.microsoft.com/office/drawing/2014/chart" uri="{C3380CC4-5D6E-409C-BE32-E72D297353CC}">
              <c16:uniqueId val="{00000007-77B3-4EB2-87A0-017EFA68E16B}"/>
            </c:ext>
          </c:extLst>
        </c:ser>
        <c:dLbls>
          <c:showLegendKey val="0"/>
          <c:showVal val="0"/>
          <c:showCatName val="0"/>
          <c:showSerName val="0"/>
          <c:showPercent val="0"/>
          <c:showBubbleSize val="0"/>
        </c:dLbls>
        <c:marker val="1"/>
        <c:smooth val="0"/>
        <c:axId val="526169888"/>
        <c:axId val="526169408"/>
      </c:lineChart>
      <c:dateAx>
        <c:axId val="526169888"/>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6169408"/>
        <c:crosses val="autoZero"/>
        <c:auto val="1"/>
        <c:lblOffset val="100"/>
        <c:baseTimeUnit val="months"/>
      </c:dateAx>
      <c:valAx>
        <c:axId val="526169408"/>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6169888"/>
        <c:crosses val="autoZero"/>
        <c:crossBetween val="between"/>
      </c:valAx>
      <c:spPr>
        <a:solidFill>
          <a:srgbClr val="F5F5F5"/>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spc="0" baseline="0">
                <a:solidFill>
                  <a:schemeClr val="tx1">
                    <a:lumMod val="65000"/>
                    <a:lumOff val="35000"/>
                  </a:schemeClr>
                </a:solidFill>
                <a:latin typeface="+mn-lt"/>
                <a:ea typeface="+mn-ea"/>
                <a:cs typeface="+mn-cs"/>
              </a:defRPr>
            </a:pPr>
            <a:r>
              <a:rPr lang="en-US"/>
              <a:t>APG — Inventory &amp; Supply Plan</a:t>
            </a:r>
          </a:p>
        </c:rich>
      </c:tx>
      <c:overlay val="0"/>
      <c:spPr>
        <a:noFill/>
        <a:ln>
          <a:noFill/>
        </a:ln>
        <a:effectLst/>
      </c:spPr>
      <c:txPr>
        <a:bodyPr rot="0" spcFirstLastPara="1" vertOverflow="ellipsis" vert="horz" wrap="square" anchor="ctr" anchorCtr="1"/>
        <a:lstStyle/>
        <a:p>
          <a:pPr>
            <a:defRPr sz="12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Demand</c:v>
          </c:tx>
          <c:spPr>
            <a:solidFill>
              <a:srgbClr val="4472C4"/>
            </a:solidFill>
            <a:ln>
              <a:noFill/>
            </a:ln>
            <a:effectLst/>
          </c:spPr>
          <c:invertIfNegative val="0"/>
          <c:cat>
            <c:numRef>
              <c:f>'Planning Engine'!$W$1436:$W$1441</c:f>
              <c:numCache>
                <c:formatCode>mmm\-yy</c:formatCode>
                <c:ptCount val="6"/>
                <c:pt idx="0">
                  <c:v>46113</c:v>
                </c:pt>
                <c:pt idx="1">
                  <c:v>46143</c:v>
                </c:pt>
                <c:pt idx="2">
                  <c:v>46174</c:v>
                </c:pt>
                <c:pt idx="3">
                  <c:v>46204</c:v>
                </c:pt>
                <c:pt idx="4">
                  <c:v>46235</c:v>
                </c:pt>
                <c:pt idx="5">
                  <c:v>46266</c:v>
                </c:pt>
              </c:numCache>
            </c:numRef>
          </c:cat>
          <c:val>
            <c:numRef>
              <c:f>'Planning Engine'!$X$1436:$X$1441</c:f>
              <c:numCache>
                <c:formatCode>General</c:formatCode>
                <c:ptCount val="6"/>
                <c:pt idx="0">
                  <c:v>0</c:v>
                </c:pt>
                <c:pt idx="1">
                  <c:v>44.12</c:v>
                </c:pt>
                <c:pt idx="2">
                  <c:v>66.180000000000007</c:v>
                </c:pt>
                <c:pt idx="3">
                  <c:v>22.06</c:v>
                </c:pt>
                <c:pt idx="4">
                  <c:v>0</c:v>
                </c:pt>
                <c:pt idx="5">
                  <c:v>0</c:v>
                </c:pt>
              </c:numCache>
            </c:numRef>
          </c:val>
          <c:extLst>
            <c:ext xmlns:c16="http://schemas.microsoft.com/office/drawing/2014/chart" uri="{C3380CC4-5D6E-409C-BE32-E72D297353CC}">
              <c16:uniqueId val="{00000004-F2BC-404B-AC0C-DC76CEA75A49}"/>
            </c:ext>
          </c:extLst>
        </c:ser>
        <c:ser>
          <c:idx val="1"/>
          <c:order val="1"/>
          <c:tx>
            <c:v>Planned Prod</c:v>
          </c:tx>
          <c:spPr>
            <a:solidFill>
              <a:srgbClr val="ED7D31"/>
            </a:solidFill>
            <a:ln>
              <a:noFill/>
            </a:ln>
            <a:effectLst/>
          </c:spPr>
          <c:invertIfNegative val="0"/>
          <c:cat>
            <c:numRef>
              <c:f>'Planning Engine'!$W$1436:$W$1441</c:f>
              <c:numCache>
                <c:formatCode>mmm\-yy</c:formatCode>
                <c:ptCount val="6"/>
                <c:pt idx="0">
                  <c:v>46113</c:v>
                </c:pt>
                <c:pt idx="1">
                  <c:v>46143</c:v>
                </c:pt>
                <c:pt idx="2">
                  <c:v>46174</c:v>
                </c:pt>
                <c:pt idx="3">
                  <c:v>46204</c:v>
                </c:pt>
                <c:pt idx="4">
                  <c:v>46235</c:v>
                </c:pt>
                <c:pt idx="5">
                  <c:v>46266</c:v>
                </c:pt>
              </c:numCache>
            </c:numRef>
          </c:cat>
          <c:val>
            <c:numRef>
              <c:f>'Planning Engine'!$Y$1436:$Y$1441</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5-F2BC-404B-AC0C-DC76CEA75A49}"/>
            </c:ext>
          </c:extLst>
        </c:ser>
        <c:dLbls>
          <c:showLegendKey val="0"/>
          <c:showVal val="0"/>
          <c:showCatName val="0"/>
          <c:showSerName val="0"/>
          <c:showPercent val="0"/>
          <c:showBubbleSize val="0"/>
        </c:dLbls>
        <c:gapWidth val="219"/>
        <c:overlap val="-27"/>
        <c:axId val="599932048"/>
        <c:axId val="599948848"/>
      </c:barChart>
      <c:lineChart>
        <c:grouping val="standard"/>
        <c:varyColors val="0"/>
        <c:ser>
          <c:idx val="2"/>
          <c:order val="2"/>
          <c:tx>
            <c:v>Ending Inventory</c:v>
          </c:tx>
          <c:spPr>
            <a:ln w="28575" cap="rnd">
              <a:solidFill>
                <a:srgbClr val="2F5597"/>
              </a:solidFill>
              <a:prstDash val="solid"/>
              <a:round/>
            </a:ln>
            <a:effectLst/>
          </c:spPr>
          <c:marker>
            <c:symbol val="circle"/>
            <c:size val="6"/>
            <c:spPr>
              <a:solidFill>
                <a:schemeClr val="accent3"/>
              </a:solidFill>
              <a:ln w="9525">
                <a:solidFill>
                  <a:schemeClr val="accent3"/>
                </a:solidFill>
              </a:ln>
              <a:effectLst/>
            </c:spPr>
          </c:marker>
          <c:cat>
            <c:numRef>
              <c:f>'Planning Engine'!$W$1436:$W$1441</c:f>
              <c:numCache>
                <c:formatCode>mmm\-yy</c:formatCode>
                <c:ptCount val="6"/>
                <c:pt idx="0">
                  <c:v>46113</c:v>
                </c:pt>
                <c:pt idx="1">
                  <c:v>46143</c:v>
                </c:pt>
                <c:pt idx="2">
                  <c:v>46174</c:v>
                </c:pt>
                <c:pt idx="3">
                  <c:v>46204</c:v>
                </c:pt>
                <c:pt idx="4">
                  <c:v>46235</c:v>
                </c:pt>
                <c:pt idx="5">
                  <c:v>46266</c:v>
                </c:pt>
              </c:numCache>
            </c:numRef>
          </c:cat>
          <c:val>
            <c:numRef>
              <c:f>'Planning Engine'!$Z$1436:$Z$1441</c:f>
              <c:numCache>
                <c:formatCode>General</c:formatCode>
                <c:ptCount val="6"/>
                <c:pt idx="0">
                  <c:v>315.512</c:v>
                </c:pt>
                <c:pt idx="1">
                  <c:v>271.392</c:v>
                </c:pt>
                <c:pt idx="2">
                  <c:v>205.21199999999999</c:v>
                </c:pt>
                <c:pt idx="3">
                  <c:v>183.15199999999999</c:v>
                </c:pt>
                <c:pt idx="4">
                  <c:v>183.15199999999999</c:v>
                </c:pt>
                <c:pt idx="5">
                  <c:v>183.15199999999999</c:v>
                </c:pt>
              </c:numCache>
            </c:numRef>
          </c:val>
          <c:smooth val="0"/>
          <c:extLst>
            <c:ext xmlns:c16="http://schemas.microsoft.com/office/drawing/2014/chart" uri="{C3380CC4-5D6E-409C-BE32-E72D297353CC}">
              <c16:uniqueId val="{00000006-F2BC-404B-AC0C-DC76CEA75A49}"/>
            </c:ext>
          </c:extLst>
        </c:ser>
        <c:ser>
          <c:idx val="3"/>
          <c:order val="3"/>
          <c:tx>
            <c:v>Target OH (units)</c:v>
          </c:tx>
          <c:spPr>
            <a:ln w="28575" cap="rnd">
              <a:solidFill>
                <a:srgbClr val="FF0000"/>
              </a:solidFill>
              <a:prstDash val="solid"/>
              <a:round/>
            </a:ln>
            <a:effectLst/>
          </c:spPr>
          <c:marker>
            <c:symbol val="none"/>
          </c:marker>
          <c:cat>
            <c:numRef>
              <c:f>'Planning Engine'!$W$1436:$W$1441</c:f>
              <c:numCache>
                <c:formatCode>mmm\-yy</c:formatCode>
                <c:ptCount val="6"/>
                <c:pt idx="0">
                  <c:v>46113</c:v>
                </c:pt>
                <c:pt idx="1">
                  <c:v>46143</c:v>
                </c:pt>
                <c:pt idx="2">
                  <c:v>46174</c:v>
                </c:pt>
                <c:pt idx="3">
                  <c:v>46204</c:v>
                </c:pt>
                <c:pt idx="4">
                  <c:v>46235</c:v>
                </c:pt>
                <c:pt idx="5">
                  <c:v>46266</c:v>
                </c:pt>
              </c:numCache>
            </c:numRef>
          </c:cat>
          <c:val>
            <c:numRef>
              <c:f>'Planning Engine'!$AA$1436:$AA$1441</c:f>
              <c:numCache>
                <c:formatCode>General</c:formatCode>
                <c:ptCount val="6"/>
                <c:pt idx="0">
                  <c:v>176.48000000000002</c:v>
                </c:pt>
                <c:pt idx="1">
                  <c:v>176.48000000000002</c:v>
                </c:pt>
                <c:pt idx="2">
                  <c:v>176.48000000000002</c:v>
                </c:pt>
                <c:pt idx="3">
                  <c:v>88.24</c:v>
                </c:pt>
                <c:pt idx="4">
                  <c:v>176.48</c:v>
                </c:pt>
                <c:pt idx="5">
                  <c:v>176.48</c:v>
                </c:pt>
              </c:numCache>
            </c:numRef>
          </c:val>
          <c:smooth val="0"/>
          <c:extLst>
            <c:ext xmlns:c16="http://schemas.microsoft.com/office/drawing/2014/chart" uri="{C3380CC4-5D6E-409C-BE32-E72D297353CC}">
              <c16:uniqueId val="{00000007-F2BC-404B-AC0C-DC76CEA75A49}"/>
            </c:ext>
          </c:extLst>
        </c:ser>
        <c:dLbls>
          <c:showLegendKey val="0"/>
          <c:showVal val="0"/>
          <c:showCatName val="0"/>
          <c:showSerName val="0"/>
          <c:showPercent val="0"/>
          <c:showBubbleSize val="0"/>
        </c:dLbls>
        <c:marker val="1"/>
        <c:smooth val="0"/>
        <c:axId val="599932048"/>
        <c:axId val="599948848"/>
      </c:lineChart>
      <c:dateAx>
        <c:axId val="599932048"/>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9948848"/>
        <c:crosses val="autoZero"/>
        <c:auto val="1"/>
        <c:lblOffset val="100"/>
        <c:baseTimeUnit val="months"/>
      </c:dateAx>
      <c:valAx>
        <c:axId val="599948848"/>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9932048"/>
        <c:crosses val="autoZero"/>
        <c:crossBetween val="between"/>
      </c:valAx>
      <c:spPr>
        <a:solidFill>
          <a:srgbClr val="F5F5F5"/>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spc="0" baseline="0">
                <a:solidFill>
                  <a:schemeClr val="tx1">
                    <a:lumMod val="65000"/>
                    <a:lumOff val="35000"/>
                  </a:schemeClr>
                </a:solidFill>
                <a:latin typeface="+mn-lt"/>
                <a:ea typeface="+mn-ea"/>
                <a:cs typeface="+mn-cs"/>
              </a:defRPr>
            </a:pPr>
            <a:r>
              <a:rPr lang="en-US"/>
              <a:t>APT — Inventory &amp; Supply Plan</a:t>
            </a:r>
          </a:p>
        </c:rich>
      </c:tx>
      <c:overlay val="0"/>
      <c:spPr>
        <a:noFill/>
        <a:ln>
          <a:noFill/>
        </a:ln>
        <a:effectLst/>
      </c:spPr>
      <c:txPr>
        <a:bodyPr rot="0" spcFirstLastPara="1" vertOverflow="ellipsis" vert="horz" wrap="square" anchor="ctr" anchorCtr="1"/>
        <a:lstStyle/>
        <a:p>
          <a:pPr>
            <a:defRPr sz="12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Demand</c:v>
          </c:tx>
          <c:spPr>
            <a:solidFill>
              <a:srgbClr val="4472C4"/>
            </a:solidFill>
            <a:ln>
              <a:noFill/>
            </a:ln>
            <a:effectLst/>
          </c:spPr>
          <c:invertIfNegative val="0"/>
          <c:cat>
            <c:numRef>
              <c:f>'Planning Engine'!$W$1615:$W$1620</c:f>
              <c:numCache>
                <c:formatCode>mmm\-yy</c:formatCode>
                <c:ptCount val="6"/>
                <c:pt idx="0">
                  <c:v>46113</c:v>
                </c:pt>
                <c:pt idx="1">
                  <c:v>46143</c:v>
                </c:pt>
                <c:pt idx="2">
                  <c:v>46174</c:v>
                </c:pt>
                <c:pt idx="3">
                  <c:v>46204</c:v>
                </c:pt>
                <c:pt idx="4">
                  <c:v>46235</c:v>
                </c:pt>
                <c:pt idx="5">
                  <c:v>46266</c:v>
                </c:pt>
              </c:numCache>
            </c:numRef>
          </c:cat>
          <c:val>
            <c:numRef>
              <c:f>'Planning Engine'!$X$1615:$X$1620</c:f>
              <c:numCache>
                <c:formatCode>General</c:formatCode>
                <c:ptCount val="6"/>
                <c:pt idx="0">
                  <c:v>0</c:v>
                </c:pt>
                <c:pt idx="1">
                  <c:v>38.72</c:v>
                </c:pt>
                <c:pt idx="2">
                  <c:v>58.08</c:v>
                </c:pt>
                <c:pt idx="3">
                  <c:v>19.36</c:v>
                </c:pt>
                <c:pt idx="4">
                  <c:v>0</c:v>
                </c:pt>
                <c:pt idx="5">
                  <c:v>0</c:v>
                </c:pt>
              </c:numCache>
            </c:numRef>
          </c:val>
          <c:extLst>
            <c:ext xmlns:c16="http://schemas.microsoft.com/office/drawing/2014/chart" uri="{C3380CC4-5D6E-409C-BE32-E72D297353CC}">
              <c16:uniqueId val="{00000004-36DB-473D-9CC8-3A2E48E4CE2B}"/>
            </c:ext>
          </c:extLst>
        </c:ser>
        <c:ser>
          <c:idx val="1"/>
          <c:order val="1"/>
          <c:tx>
            <c:v>Planned Prod</c:v>
          </c:tx>
          <c:spPr>
            <a:solidFill>
              <a:srgbClr val="ED7D31"/>
            </a:solidFill>
            <a:ln>
              <a:noFill/>
            </a:ln>
            <a:effectLst/>
          </c:spPr>
          <c:invertIfNegative val="0"/>
          <c:cat>
            <c:numRef>
              <c:f>'Planning Engine'!$W$1615:$W$1620</c:f>
              <c:numCache>
                <c:formatCode>mmm\-yy</c:formatCode>
                <c:ptCount val="6"/>
                <c:pt idx="0">
                  <c:v>46113</c:v>
                </c:pt>
                <c:pt idx="1">
                  <c:v>46143</c:v>
                </c:pt>
                <c:pt idx="2">
                  <c:v>46174</c:v>
                </c:pt>
                <c:pt idx="3">
                  <c:v>46204</c:v>
                </c:pt>
                <c:pt idx="4">
                  <c:v>46235</c:v>
                </c:pt>
                <c:pt idx="5">
                  <c:v>46266</c:v>
                </c:pt>
              </c:numCache>
            </c:numRef>
          </c:cat>
          <c:val>
            <c:numRef>
              <c:f>'Planning Engine'!$Y$1615:$Y$1620</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5-36DB-473D-9CC8-3A2E48E4CE2B}"/>
            </c:ext>
          </c:extLst>
        </c:ser>
        <c:dLbls>
          <c:showLegendKey val="0"/>
          <c:showVal val="0"/>
          <c:showCatName val="0"/>
          <c:showSerName val="0"/>
          <c:showPercent val="0"/>
          <c:showBubbleSize val="0"/>
        </c:dLbls>
        <c:gapWidth val="219"/>
        <c:overlap val="-27"/>
        <c:axId val="1021081888"/>
        <c:axId val="1021082368"/>
      </c:barChart>
      <c:lineChart>
        <c:grouping val="standard"/>
        <c:varyColors val="0"/>
        <c:ser>
          <c:idx val="2"/>
          <c:order val="2"/>
          <c:tx>
            <c:v>Ending Inventory</c:v>
          </c:tx>
          <c:spPr>
            <a:ln w="28575" cap="rnd">
              <a:solidFill>
                <a:srgbClr val="2F5597"/>
              </a:solidFill>
              <a:prstDash val="solid"/>
              <a:round/>
            </a:ln>
            <a:effectLst/>
          </c:spPr>
          <c:marker>
            <c:symbol val="circle"/>
            <c:size val="6"/>
            <c:spPr>
              <a:solidFill>
                <a:schemeClr val="accent3"/>
              </a:solidFill>
              <a:ln w="9525">
                <a:solidFill>
                  <a:schemeClr val="accent3"/>
                </a:solidFill>
              </a:ln>
              <a:effectLst/>
            </c:spPr>
          </c:marker>
          <c:cat>
            <c:numRef>
              <c:f>'Planning Engine'!$W$1615:$W$1620</c:f>
              <c:numCache>
                <c:formatCode>mmm\-yy</c:formatCode>
                <c:ptCount val="6"/>
                <c:pt idx="0">
                  <c:v>46113</c:v>
                </c:pt>
                <c:pt idx="1">
                  <c:v>46143</c:v>
                </c:pt>
                <c:pt idx="2">
                  <c:v>46174</c:v>
                </c:pt>
                <c:pt idx="3">
                  <c:v>46204</c:v>
                </c:pt>
                <c:pt idx="4">
                  <c:v>46235</c:v>
                </c:pt>
                <c:pt idx="5">
                  <c:v>46266</c:v>
                </c:pt>
              </c:numCache>
            </c:numRef>
          </c:cat>
          <c:val>
            <c:numRef>
              <c:f>'Planning Engine'!$Z$1615:$Z$1620</c:f>
              <c:numCache>
                <c:formatCode>General</c:formatCode>
                <c:ptCount val="6"/>
                <c:pt idx="0">
                  <c:v>195.85</c:v>
                </c:pt>
                <c:pt idx="1">
                  <c:v>157.13</c:v>
                </c:pt>
                <c:pt idx="2">
                  <c:v>99.05</c:v>
                </c:pt>
                <c:pt idx="3">
                  <c:v>79.69</c:v>
                </c:pt>
                <c:pt idx="4">
                  <c:v>79.69</c:v>
                </c:pt>
                <c:pt idx="5">
                  <c:v>79.69</c:v>
                </c:pt>
              </c:numCache>
            </c:numRef>
          </c:val>
          <c:smooth val="0"/>
          <c:extLst>
            <c:ext xmlns:c16="http://schemas.microsoft.com/office/drawing/2014/chart" uri="{C3380CC4-5D6E-409C-BE32-E72D297353CC}">
              <c16:uniqueId val="{00000006-36DB-473D-9CC8-3A2E48E4CE2B}"/>
            </c:ext>
          </c:extLst>
        </c:ser>
        <c:ser>
          <c:idx val="3"/>
          <c:order val="3"/>
          <c:tx>
            <c:v>Target OH (units)</c:v>
          </c:tx>
          <c:spPr>
            <a:ln w="28575" cap="rnd">
              <a:solidFill>
                <a:srgbClr val="FF0000"/>
              </a:solidFill>
              <a:prstDash val="solid"/>
              <a:round/>
            </a:ln>
            <a:effectLst/>
          </c:spPr>
          <c:marker>
            <c:symbol val="none"/>
          </c:marker>
          <c:cat>
            <c:numRef>
              <c:f>'Planning Engine'!$W$1615:$W$1620</c:f>
              <c:numCache>
                <c:formatCode>mmm\-yy</c:formatCode>
                <c:ptCount val="6"/>
                <c:pt idx="0">
                  <c:v>46113</c:v>
                </c:pt>
                <c:pt idx="1">
                  <c:v>46143</c:v>
                </c:pt>
                <c:pt idx="2">
                  <c:v>46174</c:v>
                </c:pt>
                <c:pt idx="3">
                  <c:v>46204</c:v>
                </c:pt>
                <c:pt idx="4">
                  <c:v>46235</c:v>
                </c:pt>
                <c:pt idx="5">
                  <c:v>46266</c:v>
                </c:pt>
              </c:numCache>
            </c:numRef>
          </c:cat>
          <c:val>
            <c:numRef>
              <c:f>'Planning Engine'!$AA$1615:$AA$1620</c:f>
              <c:numCache>
                <c:formatCode>General</c:formatCode>
                <c:ptCount val="6"/>
                <c:pt idx="0">
                  <c:v>154.88</c:v>
                </c:pt>
                <c:pt idx="1">
                  <c:v>154.88</c:v>
                </c:pt>
                <c:pt idx="2">
                  <c:v>154.88</c:v>
                </c:pt>
                <c:pt idx="3">
                  <c:v>77.44</c:v>
                </c:pt>
                <c:pt idx="4">
                  <c:v>154.88</c:v>
                </c:pt>
                <c:pt idx="5">
                  <c:v>154.88</c:v>
                </c:pt>
              </c:numCache>
            </c:numRef>
          </c:val>
          <c:smooth val="0"/>
          <c:extLst>
            <c:ext xmlns:c16="http://schemas.microsoft.com/office/drawing/2014/chart" uri="{C3380CC4-5D6E-409C-BE32-E72D297353CC}">
              <c16:uniqueId val="{00000007-36DB-473D-9CC8-3A2E48E4CE2B}"/>
            </c:ext>
          </c:extLst>
        </c:ser>
        <c:dLbls>
          <c:showLegendKey val="0"/>
          <c:showVal val="0"/>
          <c:showCatName val="0"/>
          <c:showSerName val="0"/>
          <c:showPercent val="0"/>
          <c:showBubbleSize val="0"/>
        </c:dLbls>
        <c:marker val="1"/>
        <c:smooth val="0"/>
        <c:axId val="1021081888"/>
        <c:axId val="1021082368"/>
      </c:lineChart>
      <c:dateAx>
        <c:axId val="1021081888"/>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1082368"/>
        <c:crosses val="autoZero"/>
        <c:auto val="1"/>
        <c:lblOffset val="100"/>
        <c:baseTimeUnit val="months"/>
      </c:dateAx>
      <c:valAx>
        <c:axId val="1021082368"/>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1081888"/>
        <c:crosses val="autoZero"/>
        <c:crossBetween val="between"/>
      </c:valAx>
      <c:spPr>
        <a:solidFill>
          <a:srgbClr val="F5F5F5"/>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spc="0" baseline="0">
                <a:solidFill>
                  <a:schemeClr val="tx1">
                    <a:lumMod val="65000"/>
                    <a:lumOff val="35000"/>
                  </a:schemeClr>
                </a:solidFill>
                <a:latin typeface="+mn-lt"/>
                <a:ea typeface="+mn-ea"/>
                <a:cs typeface="+mn-cs"/>
              </a:defRPr>
            </a:pPr>
            <a:r>
              <a:rPr lang="en-US"/>
              <a:t>47mg Clinical — Inventory &amp; Supply Plan</a:t>
            </a:r>
          </a:p>
        </c:rich>
      </c:tx>
      <c:overlay val="0"/>
      <c:spPr>
        <a:noFill/>
        <a:ln>
          <a:noFill/>
        </a:ln>
        <a:effectLst/>
      </c:spPr>
      <c:txPr>
        <a:bodyPr rot="0" spcFirstLastPara="1" vertOverflow="ellipsis" vert="horz" wrap="square" anchor="ctr" anchorCtr="1"/>
        <a:lstStyle/>
        <a:p>
          <a:pPr>
            <a:defRPr sz="12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Demand</c:v>
          </c:tx>
          <c:spPr>
            <a:solidFill>
              <a:srgbClr val="4472C4"/>
            </a:solidFill>
            <a:ln>
              <a:noFill/>
            </a:ln>
            <a:effectLst/>
          </c:spPr>
          <c:invertIfNegative val="0"/>
          <c:cat>
            <c:numRef>
              <c:f>'Planning Engine'!$W$1794:$W$1799</c:f>
              <c:numCache>
                <c:formatCode>mmm\-yy</c:formatCode>
                <c:ptCount val="6"/>
                <c:pt idx="0">
                  <c:v>46113</c:v>
                </c:pt>
                <c:pt idx="1">
                  <c:v>46143</c:v>
                </c:pt>
                <c:pt idx="2">
                  <c:v>46174</c:v>
                </c:pt>
                <c:pt idx="3">
                  <c:v>46204</c:v>
                </c:pt>
                <c:pt idx="4">
                  <c:v>46235</c:v>
                </c:pt>
                <c:pt idx="5">
                  <c:v>46266</c:v>
                </c:pt>
              </c:numCache>
            </c:numRef>
          </c:cat>
          <c:val>
            <c:numRef>
              <c:f>'Planning Engine'!$X$1794:$X$1799</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4-CC67-4E4C-B4E8-B1C5F0B7F6E7}"/>
            </c:ext>
          </c:extLst>
        </c:ser>
        <c:ser>
          <c:idx val="1"/>
          <c:order val="1"/>
          <c:tx>
            <c:v>Planned Prod</c:v>
          </c:tx>
          <c:spPr>
            <a:solidFill>
              <a:srgbClr val="ED7D31"/>
            </a:solidFill>
            <a:ln>
              <a:noFill/>
            </a:ln>
            <a:effectLst/>
          </c:spPr>
          <c:invertIfNegative val="0"/>
          <c:cat>
            <c:numRef>
              <c:f>'Planning Engine'!$W$1794:$W$1799</c:f>
              <c:numCache>
                <c:formatCode>mmm\-yy</c:formatCode>
                <c:ptCount val="6"/>
                <c:pt idx="0">
                  <c:v>46113</c:v>
                </c:pt>
                <c:pt idx="1">
                  <c:v>46143</c:v>
                </c:pt>
                <c:pt idx="2">
                  <c:v>46174</c:v>
                </c:pt>
                <c:pt idx="3">
                  <c:v>46204</c:v>
                </c:pt>
                <c:pt idx="4">
                  <c:v>46235</c:v>
                </c:pt>
                <c:pt idx="5">
                  <c:v>46266</c:v>
                </c:pt>
              </c:numCache>
            </c:numRef>
          </c:cat>
          <c:val>
            <c:numRef>
              <c:f>'Planning Engine'!$Y$1794:$Y$1799</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5-CC67-4E4C-B4E8-B1C5F0B7F6E7}"/>
            </c:ext>
          </c:extLst>
        </c:ser>
        <c:dLbls>
          <c:showLegendKey val="0"/>
          <c:showVal val="0"/>
          <c:showCatName val="0"/>
          <c:showSerName val="0"/>
          <c:showPercent val="0"/>
          <c:showBubbleSize val="0"/>
        </c:dLbls>
        <c:gapWidth val="219"/>
        <c:overlap val="-27"/>
        <c:axId val="1096754224"/>
        <c:axId val="1096755664"/>
      </c:barChart>
      <c:lineChart>
        <c:grouping val="standard"/>
        <c:varyColors val="0"/>
        <c:ser>
          <c:idx val="2"/>
          <c:order val="2"/>
          <c:tx>
            <c:v>Ending Inventory</c:v>
          </c:tx>
          <c:spPr>
            <a:ln w="28575" cap="rnd">
              <a:solidFill>
                <a:srgbClr val="2F5597"/>
              </a:solidFill>
              <a:prstDash val="solid"/>
              <a:round/>
            </a:ln>
            <a:effectLst/>
          </c:spPr>
          <c:marker>
            <c:symbol val="circle"/>
            <c:size val="6"/>
            <c:spPr>
              <a:solidFill>
                <a:schemeClr val="accent3"/>
              </a:solidFill>
              <a:ln w="9525">
                <a:solidFill>
                  <a:schemeClr val="accent3"/>
                </a:solidFill>
              </a:ln>
              <a:effectLst/>
            </c:spPr>
          </c:marker>
          <c:cat>
            <c:numRef>
              <c:f>'Planning Engine'!$W$1794:$W$1799</c:f>
              <c:numCache>
                <c:formatCode>mmm\-yy</c:formatCode>
                <c:ptCount val="6"/>
                <c:pt idx="0">
                  <c:v>46113</c:v>
                </c:pt>
                <c:pt idx="1">
                  <c:v>46143</c:v>
                </c:pt>
                <c:pt idx="2">
                  <c:v>46174</c:v>
                </c:pt>
                <c:pt idx="3">
                  <c:v>46204</c:v>
                </c:pt>
                <c:pt idx="4">
                  <c:v>46235</c:v>
                </c:pt>
                <c:pt idx="5">
                  <c:v>46266</c:v>
                </c:pt>
              </c:numCache>
            </c:numRef>
          </c:cat>
          <c:val>
            <c:numRef>
              <c:f>'Planning Engine'!$Z$1794:$Z$1799</c:f>
              <c:numCache>
                <c:formatCode>General</c:formatCode>
                <c:ptCount val="6"/>
                <c:pt idx="0">
                  <c:v>3500</c:v>
                </c:pt>
                <c:pt idx="1">
                  <c:v>3500</c:v>
                </c:pt>
                <c:pt idx="2">
                  <c:v>3500</c:v>
                </c:pt>
                <c:pt idx="3">
                  <c:v>3500</c:v>
                </c:pt>
                <c:pt idx="4">
                  <c:v>3500</c:v>
                </c:pt>
                <c:pt idx="5">
                  <c:v>3500</c:v>
                </c:pt>
              </c:numCache>
            </c:numRef>
          </c:val>
          <c:smooth val="0"/>
          <c:extLst>
            <c:ext xmlns:c16="http://schemas.microsoft.com/office/drawing/2014/chart" uri="{C3380CC4-5D6E-409C-BE32-E72D297353CC}">
              <c16:uniqueId val="{00000006-CC67-4E4C-B4E8-B1C5F0B7F6E7}"/>
            </c:ext>
          </c:extLst>
        </c:ser>
        <c:ser>
          <c:idx val="3"/>
          <c:order val="3"/>
          <c:tx>
            <c:v>Target OH (units)</c:v>
          </c:tx>
          <c:spPr>
            <a:ln w="28575" cap="rnd">
              <a:solidFill>
                <a:srgbClr val="FF0000"/>
              </a:solidFill>
              <a:prstDash val="solid"/>
              <a:round/>
            </a:ln>
            <a:effectLst/>
          </c:spPr>
          <c:marker>
            <c:symbol val="none"/>
          </c:marker>
          <c:cat>
            <c:numRef>
              <c:f>'Planning Engine'!$W$1794:$W$1799</c:f>
              <c:numCache>
                <c:formatCode>mmm\-yy</c:formatCode>
                <c:ptCount val="6"/>
                <c:pt idx="0">
                  <c:v>46113</c:v>
                </c:pt>
                <c:pt idx="1">
                  <c:v>46143</c:v>
                </c:pt>
                <c:pt idx="2">
                  <c:v>46174</c:v>
                </c:pt>
                <c:pt idx="3">
                  <c:v>46204</c:v>
                </c:pt>
                <c:pt idx="4">
                  <c:v>46235</c:v>
                </c:pt>
                <c:pt idx="5">
                  <c:v>46266</c:v>
                </c:pt>
              </c:numCache>
            </c:numRef>
          </c:cat>
          <c:val>
            <c:numRef>
              <c:f>'Planning Engine'!$AA$1794:$AA$1799</c:f>
              <c:numCache>
                <c:formatCode>General</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7-CC67-4E4C-B4E8-B1C5F0B7F6E7}"/>
            </c:ext>
          </c:extLst>
        </c:ser>
        <c:dLbls>
          <c:showLegendKey val="0"/>
          <c:showVal val="0"/>
          <c:showCatName val="0"/>
          <c:showSerName val="0"/>
          <c:showPercent val="0"/>
          <c:showBubbleSize val="0"/>
        </c:dLbls>
        <c:marker val="1"/>
        <c:smooth val="0"/>
        <c:axId val="1096754224"/>
        <c:axId val="1096755664"/>
      </c:lineChart>
      <c:dateAx>
        <c:axId val="109675422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6755664"/>
        <c:crosses val="autoZero"/>
        <c:auto val="1"/>
        <c:lblOffset val="100"/>
        <c:baseTimeUnit val="months"/>
      </c:dateAx>
      <c:valAx>
        <c:axId val="109675566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6754224"/>
        <c:crosses val="autoZero"/>
        <c:crossBetween val="between"/>
      </c:valAx>
      <c:spPr>
        <a:solidFill>
          <a:srgbClr val="F5F5F5"/>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spc="0" baseline="0">
                <a:solidFill>
                  <a:schemeClr val="tx1">
                    <a:lumMod val="65000"/>
                    <a:lumOff val="35000"/>
                  </a:schemeClr>
                </a:solidFill>
                <a:latin typeface="+mn-lt"/>
                <a:ea typeface="+mn-ea"/>
                <a:cs typeface="+mn-cs"/>
              </a:defRPr>
            </a:pPr>
            <a:r>
              <a:rPr lang="en-US"/>
              <a:t>188mg LP + 200mg DP — Combined Inventory &amp; Supply Plan</a:t>
            </a:r>
          </a:p>
        </c:rich>
      </c:tx>
      <c:overlay val="0"/>
      <c:spPr>
        <a:noFill/>
        <a:ln>
          <a:noFill/>
        </a:ln>
        <a:effectLst/>
      </c:spPr>
      <c:txPr>
        <a:bodyPr rot="0" spcFirstLastPara="1" vertOverflow="ellipsis" vert="horz" wrap="square" anchor="ctr" anchorCtr="1"/>
        <a:lstStyle/>
        <a:p>
          <a:pPr>
            <a:defRPr sz="12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Demand</c:v>
          </c:tx>
          <c:spPr>
            <a:solidFill>
              <a:srgbClr val="4472C4"/>
            </a:solidFill>
            <a:ln>
              <a:noFill/>
            </a:ln>
            <a:effectLst/>
          </c:spPr>
          <c:invertIfNegative val="0"/>
          <c:cat>
            <c:strRef>
              <c:f>'Planning Engine'!$W$1980:$W$1985</c:f>
              <c:strCache>
                <c:ptCount val="6"/>
                <c:pt idx="0">
                  <c:v>=IF(6&lt;Controls!$B$7,TEXT(INDEX(A1974:A2152,MATCH(Controls!$B$5,A1974:A2152,1)+6),"MMM-YY"),"")</c:v>
                </c:pt>
                <c:pt idx="1">
                  <c:v>=IF(7&lt;Controls!$B$7,TEXT(INDEX(A1974:A2152,MATCH(Controls!$B$5,A1974:A2152,1)+7),"MMM-YY"),"")</c:v>
                </c:pt>
                <c:pt idx="2">
                  <c:v>=IF(8&lt;Controls!$B$7,TEXT(INDEX(A1974:A2152,MATCH(Controls!$B$5,A1974:A2152,1)+8),"MMM-YY"),"")</c:v>
                </c:pt>
                <c:pt idx="3">
                  <c:v>=IF(9&lt;Controls!$B$7,TEXT(INDEX(A1974:A2152,MATCH(Controls!$B$5,A1974:A2152,1)+9),"MMM-YY"),"")</c:v>
                </c:pt>
                <c:pt idx="4">
                  <c:v>=IF(10&lt;Controls!$B$7,TEXT(INDEX(A1974:A2152,MATCH(Controls!$B$5,A1974:A2152,1)+10),"MMM-YY"),"")</c:v>
                </c:pt>
                <c:pt idx="5">
                  <c:v>=IF(11&lt;Controls!$B$7,TEXT(INDEX(A1974:A2152,MATCH(Controls!$B$5,A1974:A2152,1)+11),"MMM-YY"),"")</c:v>
                </c:pt>
              </c:strCache>
            </c:strRef>
          </c:cat>
          <c:val>
            <c:numRef>
              <c:f>'Planning Engine'!$X$1980:$X$1985</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4-A17F-455C-9343-121D015952C3}"/>
            </c:ext>
          </c:extLst>
        </c:ser>
        <c:ser>
          <c:idx val="1"/>
          <c:order val="1"/>
          <c:tx>
            <c:v>Planned Prod</c:v>
          </c:tx>
          <c:spPr>
            <a:solidFill>
              <a:srgbClr val="ED7D31"/>
            </a:solidFill>
            <a:ln>
              <a:noFill/>
            </a:ln>
            <a:effectLst/>
          </c:spPr>
          <c:invertIfNegative val="0"/>
          <c:cat>
            <c:strRef>
              <c:f>'Planning Engine'!$W$1980:$W$1985</c:f>
              <c:strCache>
                <c:ptCount val="6"/>
                <c:pt idx="0">
                  <c:v>=IF(6&lt;Controls!$B$7,TEXT(INDEX(A1974:A2152,MATCH(Controls!$B$5,A1974:A2152,1)+6),"MMM-YY"),"")</c:v>
                </c:pt>
                <c:pt idx="1">
                  <c:v>=IF(7&lt;Controls!$B$7,TEXT(INDEX(A1974:A2152,MATCH(Controls!$B$5,A1974:A2152,1)+7),"MMM-YY"),"")</c:v>
                </c:pt>
                <c:pt idx="2">
                  <c:v>=IF(8&lt;Controls!$B$7,TEXT(INDEX(A1974:A2152,MATCH(Controls!$B$5,A1974:A2152,1)+8),"MMM-YY"),"")</c:v>
                </c:pt>
                <c:pt idx="3">
                  <c:v>=IF(9&lt;Controls!$B$7,TEXT(INDEX(A1974:A2152,MATCH(Controls!$B$5,A1974:A2152,1)+9),"MMM-YY"),"")</c:v>
                </c:pt>
                <c:pt idx="4">
                  <c:v>=IF(10&lt;Controls!$B$7,TEXT(INDEX(A1974:A2152,MATCH(Controls!$B$5,A1974:A2152,1)+10),"MMM-YY"),"")</c:v>
                </c:pt>
                <c:pt idx="5">
                  <c:v>=IF(11&lt;Controls!$B$7,TEXT(INDEX(A1974:A2152,MATCH(Controls!$B$5,A1974:A2152,1)+11),"MMM-YY"),"")</c:v>
                </c:pt>
              </c:strCache>
            </c:strRef>
          </c:cat>
          <c:val>
            <c:numRef>
              <c:f>'Planning Engine'!$Y$1980:$Y$1985</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5-A17F-455C-9343-121D015952C3}"/>
            </c:ext>
          </c:extLst>
        </c:ser>
        <c:dLbls>
          <c:showLegendKey val="0"/>
          <c:showVal val="0"/>
          <c:showCatName val="0"/>
          <c:showSerName val="0"/>
          <c:showPercent val="0"/>
          <c:showBubbleSize val="0"/>
        </c:dLbls>
        <c:gapWidth val="219"/>
        <c:overlap val="-27"/>
        <c:axId val="526166048"/>
        <c:axId val="526170848"/>
      </c:barChart>
      <c:lineChart>
        <c:grouping val="standard"/>
        <c:varyColors val="0"/>
        <c:ser>
          <c:idx val="2"/>
          <c:order val="2"/>
          <c:tx>
            <c:v>Ending Inventory</c:v>
          </c:tx>
          <c:spPr>
            <a:ln w="28575" cap="rnd">
              <a:solidFill>
                <a:srgbClr val="2F5597"/>
              </a:solidFill>
              <a:prstDash val="solid"/>
              <a:round/>
            </a:ln>
            <a:effectLst/>
          </c:spPr>
          <c:marker>
            <c:symbol val="circle"/>
            <c:size val="6"/>
            <c:spPr>
              <a:solidFill>
                <a:schemeClr val="accent3"/>
              </a:solidFill>
              <a:ln w="9525">
                <a:solidFill>
                  <a:schemeClr val="accent3"/>
                </a:solidFill>
              </a:ln>
              <a:effectLst/>
            </c:spPr>
          </c:marker>
          <c:cat>
            <c:strRef>
              <c:f>'Planning Engine'!$W$1980:$W$1985</c:f>
              <c:strCache>
                <c:ptCount val="6"/>
                <c:pt idx="0">
                  <c:v>=IF(6&lt;Controls!$B$7,TEXT(INDEX(A1974:A2152,MATCH(Controls!$B$5,A1974:A2152,1)+6),"MMM-YY"),"")</c:v>
                </c:pt>
                <c:pt idx="1">
                  <c:v>=IF(7&lt;Controls!$B$7,TEXT(INDEX(A1974:A2152,MATCH(Controls!$B$5,A1974:A2152,1)+7),"MMM-YY"),"")</c:v>
                </c:pt>
                <c:pt idx="2">
                  <c:v>=IF(8&lt;Controls!$B$7,TEXT(INDEX(A1974:A2152,MATCH(Controls!$B$5,A1974:A2152,1)+8),"MMM-YY"),"")</c:v>
                </c:pt>
                <c:pt idx="3">
                  <c:v>=IF(9&lt;Controls!$B$7,TEXT(INDEX(A1974:A2152,MATCH(Controls!$B$5,A1974:A2152,1)+9),"MMM-YY"),"")</c:v>
                </c:pt>
                <c:pt idx="4">
                  <c:v>=IF(10&lt;Controls!$B$7,TEXT(INDEX(A1974:A2152,MATCH(Controls!$B$5,A1974:A2152,1)+10),"MMM-YY"),"")</c:v>
                </c:pt>
                <c:pt idx="5">
                  <c:v>=IF(11&lt;Controls!$B$7,TEXT(INDEX(A1974:A2152,MATCH(Controls!$B$5,A1974:A2152,1)+11),"MMM-YY"),"")</c:v>
                </c:pt>
              </c:strCache>
            </c:strRef>
          </c:cat>
          <c:val>
            <c:numRef>
              <c:f>'Planning Engine'!$Z$1980:$Z$1985</c:f>
              <c:numCache>
                <c:formatCode>General</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6-A17F-455C-9343-121D015952C3}"/>
            </c:ext>
          </c:extLst>
        </c:ser>
        <c:ser>
          <c:idx val="3"/>
          <c:order val="3"/>
          <c:tx>
            <c:v>Target OH (units)</c:v>
          </c:tx>
          <c:spPr>
            <a:ln w="28575" cap="rnd">
              <a:solidFill>
                <a:srgbClr val="FF0000"/>
              </a:solidFill>
              <a:prstDash val="solid"/>
              <a:round/>
            </a:ln>
            <a:effectLst/>
          </c:spPr>
          <c:marker>
            <c:symbol val="none"/>
          </c:marker>
          <c:cat>
            <c:strRef>
              <c:f>'Planning Engine'!$W$1980:$W$1985</c:f>
              <c:strCache>
                <c:ptCount val="6"/>
                <c:pt idx="0">
                  <c:v>=IF(6&lt;Controls!$B$7,TEXT(INDEX(A1974:A2152,MATCH(Controls!$B$5,A1974:A2152,1)+6),"MMM-YY"),"")</c:v>
                </c:pt>
                <c:pt idx="1">
                  <c:v>=IF(7&lt;Controls!$B$7,TEXT(INDEX(A1974:A2152,MATCH(Controls!$B$5,A1974:A2152,1)+7),"MMM-YY"),"")</c:v>
                </c:pt>
                <c:pt idx="2">
                  <c:v>=IF(8&lt;Controls!$B$7,TEXT(INDEX(A1974:A2152,MATCH(Controls!$B$5,A1974:A2152,1)+8),"MMM-YY"),"")</c:v>
                </c:pt>
                <c:pt idx="3">
                  <c:v>=IF(9&lt;Controls!$B$7,TEXT(INDEX(A1974:A2152,MATCH(Controls!$B$5,A1974:A2152,1)+9),"MMM-YY"),"")</c:v>
                </c:pt>
                <c:pt idx="4">
                  <c:v>=IF(10&lt;Controls!$B$7,TEXT(INDEX(A1974:A2152,MATCH(Controls!$B$5,A1974:A2152,1)+10),"MMM-YY"),"")</c:v>
                </c:pt>
                <c:pt idx="5">
                  <c:v>=IF(11&lt;Controls!$B$7,TEXT(INDEX(A1974:A2152,MATCH(Controls!$B$5,A1974:A2152,1)+11),"MMM-YY"),"")</c:v>
                </c:pt>
              </c:strCache>
            </c:strRef>
          </c:cat>
          <c:val>
            <c:numRef>
              <c:f>'Planning Engine'!$AA$1980:$AA$1985</c:f>
              <c:numCache>
                <c:formatCode>General</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7-A17F-455C-9343-121D015952C3}"/>
            </c:ext>
          </c:extLst>
        </c:ser>
        <c:dLbls>
          <c:showLegendKey val="0"/>
          <c:showVal val="0"/>
          <c:showCatName val="0"/>
          <c:showSerName val="0"/>
          <c:showPercent val="0"/>
          <c:showBubbleSize val="0"/>
        </c:dLbls>
        <c:marker val="1"/>
        <c:smooth val="0"/>
        <c:axId val="526166048"/>
        <c:axId val="526170848"/>
      </c:lineChart>
      <c:catAx>
        <c:axId val="5261660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6170848"/>
        <c:crosses val="autoZero"/>
        <c:auto val="1"/>
        <c:lblAlgn val="ctr"/>
        <c:lblOffset val="100"/>
        <c:noMultiLvlLbl val="0"/>
      </c:catAx>
      <c:valAx>
        <c:axId val="52617084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6166048"/>
        <c:crosses val="autoZero"/>
        <c:crossBetween val="between"/>
      </c:valAx>
      <c:spPr>
        <a:solidFill>
          <a:srgbClr val="F5F5F5"/>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spc="0" baseline="0">
                <a:solidFill>
                  <a:schemeClr val="tx1">
                    <a:lumMod val="65000"/>
                    <a:lumOff val="35000"/>
                  </a:schemeClr>
                </a:solidFill>
                <a:latin typeface="+mn-lt"/>
                <a:ea typeface="+mn-ea"/>
                <a:cs typeface="+mn-cs"/>
              </a:defRPr>
            </a:pPr>
            <a:r>
              <a:rPr lang="en-US"/>
              <a:t>47mg LP + 50mg DP — Combined Inventory &amp; Supply Plan</a:t>
            </a:r>
          </a:p>
        </c:rich>
      </c:tx>
      <c:overlay val="0"/>
      <c:spPr>
        <a:noFill/>
        <a:ln>
          <a:noFill/>
        </a:ln>
        <a:effectLst/>
      </c:spPr>
      <c:txPr>
        <a:bodyPr rot="0" spcFirstLastPara="1" vertOverflow="ellipsis" vert="horz" wrap="square" anchor="ctr" anchorCtr="1"/>
        <a:lstStyle/>
        <a:p>
          <a:pPr>
            <a:defRPr sz="12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Demand</c:v>
          </c:tx>
          <c:spPr>
            <a:solidFill>
              <a:srgbClr val="4472C4"/>
            </a:solidFill>
            <a:ln>
              <a:noFill/>
            </a:ln>
            <a:effectLst/>
          </c:spPr>
          <c:invertIfNegative val="0"/>
          <c:cat>
            <c:strRef>
              <c:f>'Planning Engine'!$W$2019:$W$2024</c:f>
              <c:strCache>
                <c:ptCount val="6"/>
                <c:pt idx="0">
                  <c:v>=IF(45&lt;Controls!$B$7,TEXT(INDEX(A1974:A2152,MATCH(Controls!$B$5,A1974:A2152,1)+45),"MMM-YY"),"")</c:v>
                </c:pt>
                <c:pt idx="1">
                  <c:v>=IF(46&lt;Controls!$B$7,TEXT(INDEX(A1974:A2152,MATCH(Controls!$B$5,A1974:A2152,1)+46),"MMM-YY"),"")</c:v>
                </c:pt>
                <c:pt idx="2">
                  <c:v>=IF(47&lt;Controls!$B$7,TEXT(INDEX(A1974:A2152,MATCH(Controls!$B$5,A1974:A2152,1)+47),"MMM-YY"),"")</c:v>
                </c:pt>
                <c:pt idx="3">
                  <c:v>=IF(48&lt;Controls!$B$7,TEXT(INDEX(A1974:A2152,MATCH(Controls!$B$5,A1974:A2152,1)+48),"MMM-YY"),"")</c:v>
                </c:pt>
                <c:pt idx="4">
                  <c:v>=IF(49&lt;Controls!$B$7,TEXT(INDEX(A1974:A2152,MATCH(Controls!$B$5,A1974:A2152,1)+49),"MMM-YY"),"")</c:v>
                </c:pt>
                <c:pt idx="5">
                  <c:v>=IF(50&lt;Controls!$B$7,TEXT(INDEX(A1974:A2152,MATCH(Controls!$B$5,A1974:A2152,1)+50),"MMM-YY"),"")</c:v>
                </c:pt>
              </c:strCache>
            </c:strRef>
          </c:cat>
          <c:val>
            <c:numRef>
              <c:f>'Planning Engine'!$X$2019:$X$2024</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5-BEF5-40AE-8436-2A0697843C13}"/>
            </c:ext>
          </c:extLst>
        </c:ser>
        <c:ser>
          <c:idx val="1"/>
          <c:order val="1"/>
          <c:tx>
            <c:v>Planned Prod</c:v>
          </c:tx>
          <c:spPr>
            <a:solidFill>
              <a:srgbClr val="ED7D31"/>
            </a:solidFill>
            <a:ln>
              <a:noFill/>
            </a:ln>
            <a:effectLst/>
          </c:spPr>
          <c:invertIfNegative val="0"/>
          <c:cat>
            <c:strRef>
              <c:f>'Planning Engine'!$W$2019:$W$2024</c:f>
              <c:strCache>
                <c:ptCount val="6"/>
                <c:pt idx="0">
                  <c:v>=IF(45&lt;Controls!$B$7,TEXT(INDEX(A1974:A2152,MATCH(Controls!$B$5,A1974:A2152,1)+45),"MMM-YY"),"")</c:v>
                </c:pt>
                <c:pt idx="1">
                  <c:v>=IF(46&lt;Controls!$B$7,TEXT(INDEX(A1974:A2152,MATCH(Controls!$B$5,A1974:A2152,1)+46),"MMM-YY"),"")</c:v>
                </c:pt>
                <c:pt idx="2">
                  <c:v>=IF(47&lt;Controls!$B$7,TEXT(INDEX(A1974:A2152,MATCH(Controls!$B$5,A1974:A2152,1)+47),"MMM-YY"),"")</c:v>
                </c:pt>
                <c:pt idx="3">
                  <c:v>=IF(48&lt;Controls!$B$7,TEXT(INDEX(A1974:A2152,MATCH(Controls!$B$5,A1974:A2152,1)+48),"MMM-YY"),"")</c:v>
                </c:pt>
                <c:pt idx="4">
                  <c:v>=IF(49&lt;Controls!$B$7,TEXT(INDEX(A1974:A2152,MATCH(Controls!$B$5,A1974:A2152,1)+49),"MMM-YY"),"")</c:v>
                </c:pt>
                <c:pt idx="5">
                  <c:v>=IF(50&lt;Controls!$B$7,TEXT(INDEX(A1974:A2152,MATCH(Controls!$B$5,A1974:A2152,1)+50),"MMM-YY"),"")</c:v>
                </c:pt>
              </c:strCache>
            </c:strRef>
          </c:cat>
          <c:val>
            <c:numRef>
              <c:f>'Planning Engine'!$Y$2019:$Y$2024</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6-BEF5-40AE-8436-2A0697843C13}"/>
            </c:ext>
          </c:extLst>
        </c:ser>
        <c:dLbls>
          <c:showLegendKey val="0"/>
          <c:showVal val="0"/>
          <c:showCatName val="0"/>
          <c:showSerName val="0"/>
          <c:showPercent val="0"/>
          <c:showBubbleSize val="0"/>
        </c:dLbls>
        <c:gapWidth val="219"/>
        <c:overlap val="-27"/>
        <c:axId val="634490560"/>
        <c:axId val="634476640"/>
      </c:barChart>
      <c:lineChart>
        <c:grouping val="standard"/>
        <c:varyColors val="0"/>
        <c:ser>
          <c:idx val="2"/>
          <c:order val="2"/>
          <c:tx>
            <c:v>Ending Inventory</c:v>
          </c:tx>
          <c:spPr>
            <a:ln w="28575" cap="rnd">
              <a:solidFill>
                <a:srgbClr val="2F5597"/>
              </a:solidFill>
              <a:prstDash val="solid"/>
              <a:round/>
            </a:ln>
            <a:effectLst/>
          </c:spPr>
          <c:marker>
            <c:symbol val="circle"/>
            <c:size val="6"/>
            <c:spPr>
              <a:solidFill>
                <a:schemeClr val="accent3"/>
              </a:solidFill>
              <a:ln w="9525">
                <a:solidFill>
                  <a:schemeClr val="accent3"/>
                </a:solidFill>
              </a:ln>
              <a:effectLst/>
            </c:spPr>
          </c:marker>
          <c:cat>
            <c:strRef>
              <c:f>'Planning Engine'!$W$2019:$W$2024</c:f>
              <c:strCache>
                <c:ptCount val="6"/>
                <c:pt idx="0">
                  <c:v>=IF(45&lt;Controls!$B$7,TEXT(INDEX(A1974:A2152,MATCH(Controls!$B$5,A1974:A2152,1)+45),"MMM-YY"),"")</c:v>
                </c:pt>
                <c:pt idx="1">
                  <c:v>=IF(46&lt;Controls!$B$7,TEXT(INDEX(A1974:A2152,MATCH(Controls!$B$5,A1974:A2152,1)+46),"MMM-YY"),"")</c:v>
                </c:pt>
                <c:pt idx="2">
                  <c:v>=IF(47&lt;Controls!$B$7,TEXT(INDEX(A1974:A2152,MATCH(Controls!$B$5,A1974:A2152,1)+47),"MMM-YY"),"")</c:v>
                </c:pt>
                <c:pt idx="3">
                  <c:v>=IF(48&lt;Controls!$B$7,TEXT(INDEX(A1974:A2152,MATCH(Controls!$B$5,A1974:A2152,1)+48),"MMM-YY"),"")</c:v>
                </c:pt>
                <c:pt idx="4">
                  <c:v>=IF(49&lt;Controls!$B$7,TEXT(INDEX(A1974:A2152,MATCH(Controls!$B$5,A1974:A2152,1)+49),"MMM-YY"),"")</c:v>
                </c:pt>
                <c:pt idx="5">
                  <c:v>=IF(50&lt;Controls!$B$7,TEXT(INDEX(A1974:A2152,MATCH(Controls!$B$5,A1974:A2152,1)+50),"MMM-YY"),"")</c:v>
                </c:pt>
              </c:strCache>
            </c:strRef>
          </c:cat>
          <c:val>
            <c:numRef>
              <c:f>'Planning Engine'!$Z$2019:$Z$2024</c:f>
              <c:numCache>
                <c:formatCode>General</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7-BEF5-40AE-8436-2A0697843C13}"/>
            </c:ext>
          </c:extLst>
        </c:ser>
        <c:ser>
          <c:idx val="3"/>
          <c:order val="3"/>
          <c:tx>
            <c:v>Target OH (units)</c:v>
          </c:tx>
          <c:spPr>
            <a:ln w="28575" cap="rnd">
              <a:solidFill>
                <a:srgbClr val="FF0000"/>
              </a:solidFill>
              <a:prstDash val="solid"/>
              <a:round/>
            </a:ln>
            <a:effectLst/>
          </c:spPr>
          <c:marker>
            <c:symbol val="none"/>
          </c:marker>
          <c:cat>
            <c:strRef>
              <c:f>'Planning Engine'!$W$2019:$W$2024</c:f>
              <c:strCache>
                <c:ptCount val="6"/>
                <c:pt idx="0">
                  <c:v>=IF(45&lt;Controls!$B$7,TEXT(INDEX(A1974:A2152,MATCH(Controls!$B$5,A1974:A2152,1)+45),"MMM-YY"),"")</c:v>
                </c:pt>
                <c:pt idx="1">
                  <c:v>=IF(46&lt;Controls!$B$7,TEXT(INDEX(A1974:A2152,MATCH(Controls!$B$5,A1974:A2152,1)+46),"MMM-YY"),"")</c:v>
                </c:pt>
                <c:pt idx="2">
                  <c:v>=IF(47&lt;Controls!$B$7,TEXT(INDEX(A1974:A2152,MATCH(Controls!$B$5,A1974:A2152,1)+47),"MMM-YY"),"")</c:v>
                </c:pt>
                <c:pt idx="3">
                  <c:v>=IF(48&lt;Controls!$B$7,TEXT(INDEX(A1974:A2152,MATCH(Controls!$B$5,A1974:A2152,1)+48),"MMM-YY"),"")</c:v>
                </c:pt>
                <c:pt idx="4">
                  <c:v>=IF(49&lt;Controls!$B$7,TEXT(INDEX(A1974:A2152,MATCH(Controls!$B$5,A1974:A2152,1)+49),"MMM-YY"),"")</c:v>
                </c:pt>
                <c:pt idx="5">
                  <c:v>=IF(50&lt;Controls!$B$7,TEXT(INDEX(A1974:A2152,MATCH(Controls!$B$5,A1974:A2152,1)+50),"MMM-YY"),"")</c:v>
                </c:pt>
              </c:strCache>
            </c:strRef>
          </c:cat>
          <c:val>
            <c:numRef>
              <c:f>'Planning Engine'!$AA$2019:$AA$2024</c:f>
              <c:numCache>
                <c:formatCode>General</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8-BEF5-40AE-8436-2A0697843C13}"/>
            </c:ext>
          </c:extLst>
        </c:ser>
        <c:dLbls>
          <c:showLegendKey val="0"/>
          <c:showVal val="0"/>
          <c:showCatName val="0"/>
          <c:showSerName val="0"/>
          <c:showPercent val="0"/>
          <c:showBubbleSize val="0"/>
        </c:dLbls>
        <c:marker val="1"/>
        <c:smooth val="0"/>
        <c:axId val="634490560"/>
        <c:axId val="634476640"/>
      </c:lineChart>
      <c:catAx>
        <c:axId val="6344905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4476640"/>
        <c:crosses val="autoZero"/>
        <c:auto val="1"/>
        <c:lblAlgn val="ctr"/>
        <c:lblOffset val="100"/>
        <c:noMultiLvlLbl val="0"/>
      </c:catAx>
      <c:valAx>
        <c:axId val="63447664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4490560"/>
        <c:crosses val="autoZero"/>
        <c:crossBetween val="between"/>
      </c:valAx>
      <c:spPr>
        <a:solidFill>
          <a:srgbClr val="F5F5F5"/>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1104900</xdr:colOff>
          <xdr:row>0</xdr:row>
          <xdr:rowOff>57150</xdr:rowOff>
        </xdr:from>
        <xdr:to>
          <xdr:col>1</xdr:col>
          <xdr:colOff>1841500</xdr:colOff>
          <xdr:row>2</xdr:row>
          <xdr:rowOff>19050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AddNew Product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749300</xdr:colOff>
          <xdr:row>0</xdr:row>
          <xdr:rowOff>0</xdr:rowOff>
        </xdr:from>
        <xdr:to>
          <xdr:col>1</xdr:col>
          <xdr:colOff>1339850</xdr:colOff>
          <xdr:row>1</xdr:row>
          <xdr:rowOff>273050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500-000001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Clear Production Schedule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1746250</xdr:colOff>
          <xdr:row>0</xdr:row>
          <xdr:rowOff>25400</xdr:rowOff>
        </xdr:from>
        <xdr:to>
          <xdr:col>4</xdr:col>
          <xdr:colOff>279400</xdr:colOff>
          <xdr:row>2</xdr:row>
          <xdr:rowOff>12700</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500-000002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Refresh Production Schedule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28</xdr:col>
      <xdr:colOff>0</xdr:colOff>
      <xdr:row>2</xdr:row>
      <xdr:rowOff>457199</xdr:rowOff>
    </xdr:from>
    <xdr:to>
      <xdr:col>39</xdr:col>
      <xdr:colOff>279400</xdr:colOff>
      <xdr:row>27</xdr:row>
      <xdr:rowOff>101599</xdr:rowOff>
    </xdr:to>
    <xdr:graphicFrame macro="">
      <xdr:nvGraphicFramePr>
        <xdr:cNvPr id="5" name="Chart_188mg_LP">
          <a:extLst>
            <a:ext uri="{FF2B5EF4-FFF2-40B4-BE49-F238E27FC236}">
              <a16:creationId xmlns:a16="http://schemas.microsoft.com/office/drawing/2014/main" id="{17681DE4-2F7D-EAB7-2B6B-44410ACBA76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0</xdr:colOff>
      <xdr:row>181</xdr:row>
      <xdr:rowOff>165099</xdr:rowOff>
    </xdr:from>
    <xdr:to>
      <xdr:col>39</xdr:col>
      <xdr:colOff>279400</xdr:colOff>
      <xdr:row>206</xdr:row>
      <xdr:rowOff>101599</xdr:rowOff>
    </xdr:to>
    <xdr:graphicFrame macro="">
      <xdr:nvGraphicFramePr>
        <xdr:cNvPr id="6" name="Chart_47mg_LP">
          <a:extLst>
            <a:ext uri="{FF2B5EF4-FFF2-40B4-BE49-F238E27FC236}">
              <a16:creationId xmlns:a16="http://schemas.microsoft.com/office/drawing/2014/main" id="{017031CD-D39C-64C9-4CB5-569B28E2A76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0</xdr:colOff>
      <xdr:row>360</xdr:row>
      <xdr:rowOff>165099</xdr:rowOff>
    </xdr:from>
    <xdr:to>
      <xdr:col>39</xdr:col>
      <xdr:colOff>279400</xdr:colOff>
      <xdr:row>385</xdr:row>
      <xdr:rowOff>101599</xdr:rowOff>
    </xdr:to>
    <xdr:graphicFrame macro="">
      <xdr:nvGraphicFramePr>
        <xdr:cNvPr id="7" name="Chart_200mg_DP">
          <a:extLst>
            <a:ext uri="{FF2B5EF4-FFF2-40B4-BE49-F238E27FC236}">
              <a16:creationId xmlns:a16="http://schemas.microsoft.com/office/drawing/2014/main" id="{32791524-4684-8B23-5B00-E30AC4D3D62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28</xdr:col>
      <xdr:colOff>0</xdr:colOff>
      <xdr:row>539</xdr:row>
      <xdr:rowOff>165099</xdr:rowOff>
    </xdr:from>
    <xdr:to>
      <xdr:col>39</xdr:col>
      <xdr:colOff>279400</xdr:colOff>
      <xdr:row>564</xdr:row>
      <xdr:rowOff>101599</xdr:rowOff>
    </xdr:to>
    <xdr:graphicFrame macro="">
      <xdr:nvGraphicFramePr>
        <xdr:cNvPr id="8" name="Chart_50mg_DP">
          <a:extLst>
            <a:ext uri="{FF2B5EF4-FFF2-40B4-BE49-F238E27FC236}">
              <a16:creationId xmlns:a16="http://schemas.microsoft.com/office/drawing/2014/main" id="{15F2833C-ED0A-F867-3ADA-4DBF71C6F24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0</xdr:colOff>
      <xdr:row>718</xdr:row>
      <xdr:rowOff>165099</xdr:rowOff>
    </xdr:from>
    <xdr:to>
      <xdr:col>39</xdr:col>
      <xdr:colOff>279400</xdr:colOff>
      <xdr:row>743</xdr:row>
      <xdr:rowOff>101599</xdr:rowOff>
    </xdr:to>
    <xdr:graphicFrame macro="">
      <xdr:nvGraphicFramePr>
        <xdr:cNvPr id="9" name="Chart_Drug_Substance">
          <a:extLst>
            <a:ext uri="{FF2B5EF4-FFF2-40B4-BE49-F238E27FC236}">
              <a16:creationId xmlns:a16="http://schemas.microsoft.com/office/drawing/2014/main" id="{257C678D-64D1-1E94-827A-928A1EDC9C3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28</xdr:col>
      <xdr:colOff>0</xdr:colOff>
      <xdr:row>897</xdr:row>
      <xdr:rowOff>165099</xdr:rowOff>
    </xdr:from>
    <xdr:to>
      <xdr:col>39</xdr:col>
      <xdr:colOff>279400</xdr:colOff>
      <xdr:row>922</xdr:row>
      <xdr:rowOff>101599</xdr:rowOff>
    </xdr:to>
    <xdr:graphicFrame macro="">
      <xdr:nvGraphicFramePr>
        <xdr:cNvPr id="10" name="Chart_LLPS">
          <a:extLst>
            <a:ext uri="{FF2B5EF4-FFF2-40B4-BE49-F238E27FC236}">
              <a16:creationId xmlns:a16="http://schemas.microsoft.com/office/drawing/2014/main" id="{44781390-E6AA-ED2D-F5FB-F961389ED19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28</xdr:col>
      <xdr:colOff>0</xdr:colOff>
      <xdr:row>1076</xdr:row>
      <xdr:rowOff>165099</xdr:rowOff>
    </xdr:from>
    <xdr:to>
      <xdr:col>39</xdr:col>
      <xdr:colOff>279400</xdr:colOff>
      <xdr:row>1101</xdr:row>
      <xdr:rowOff>101599</xdr:rowOff>
    </xdr:to>
    <xdr:graphicFrame macro="">
      <xdr:nvGraphicFramePr>
        <xdr:cNvPr id="11" name="Chart_APAD">
          <a:extLst>
            <a:ext uri="{FF2B5EF4-FFF2-40B4-BE49-F238E27FC236}">
              <a16:creationId xmlns:a16="http://schemas.microsoft.com/office/drawing/2014/main" id="{F2316441-FA99-E90E-B6C5-721760E282D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28</xdr:col>
      <xdr:colOff>0</xdr:colOff>
      <xdr:row>1255</xdr:row>
      <xdr:rowOff>165099</xdr:rowOff>
    </xdr:from>
    <xdr:to>
      <xdr:col>39</xdr:col>
      <xdr:colOff>279400</xdr:colOff>
      <xdr:row>1280</xdr:row>
      <xdr:rowOff>101599</xdr:rowOff>
    </xdr:to>
    <xdr:graphicFrame macro="">
      <xdr:nvGraphicFramePr>
        <xdr:cNvPr id="12" name="Chart_APC">
          <a:extLst>
            <a:ext uri="{FF2B5EF4-FFF2-40B4-BE49-F238E27FC236}">
              <a16:creationId xmlns:a16="http://schemas.microsoft.com/office/drawing/2014/main" id="{282B6DC0-9A21-50CC-D896-9F8E480F51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28</xdr:col>
      <xdr:colOff>0</xdr:colOff>
      <xdr:row>1434</xdr:row>
      <xdr:rowOff>165099</xdr:rowOff>
    </xdr:from>
    <xdr:to>
      <xdr:col>39</xdr:col>
      <xdr:colOff>279400</xdr:colOff>
      <xdr:row>1459</xdr:row>
      <xdr:rowOff>101599</xdr:rowOff>
    </xdr:to>
    <xdr:graphicFrame macro="">
      <xdr:nvGraphicFramePr>
        <xdr:cNvPr id="13" name="Chart_APG">
          <a:extLst>
            <a:ext uri="{FF2B5EF4-FFF2-40B4-BE49-F238E27FC236}">
              <a16:creationId xmlns:a16="http://schemas.microsoft.com/office/drawing/2014/main" id="{51D55969-168C-4223-877F-D73C6EBEAB8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0</xdr:colOff>
      <xdr:row>1613</xdr:row>
      <xdr:rowOff>165099</xdr:rowOff>
    </xdr:from>
    <xdr:to>
      <xdr:col>39</xdr:col>
      <xdr:colOff>279400</xdr:colOff>
      <xdr:row>1638</xdr:row>
      <xdr:rowOff>101599</xdr:rowOff>
    </xdr:to>
    <xdr:graphicFrame macro="">
      <xdr:nvGraphicFramePr>
        <xdr:cNvPr id="14" name="Chart_APT">
          <a:extLst>
            <a:ext uri="{FF2B5EF4-FFF2-40B4-BE49-F238E27FC236}">
              <a16:creationId xmlns:a16="http://schemas.microsoft.com/office/drawing/2014/main" id="{A6025AEF-6CD9-5083-F817-2639C186F4D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28</xdr:col>
      <xdr:colOff>0</xdr:colOff>
      <xdr:row>1792</xdr:row>
      <xdr:rowOff>165099</xdr:rowOff>
    </xdr:from>
    <xdr:to>
      <xdr:col>39</xdr:col>
      <xdr:colOff>279400</xdr:colOff>
      <xdr:row>1815</xdr:row>
      <xdr:rowOff>12699</xdr:rowOff>
    </xdr:to>
    <xdr:graphicFrame macro="">
      <xdr:nvGraphicFramePr>
        <xdr:cNvPr id="15" name="Chart_47mg_Clinical">
          <a:extLst>
            <a:ext uri="{FF2B5EF4-FFF2-40B4-BE49-F238E27FC236}">
              <a16:creationId xmlns:a16="http://schemas.microsoft.com/office/drawing/2014/main" id="{B7EB3A78-7B8E-23CD-CDEF-AF06028B0FF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28</xdr:col>
      <xdr:colOff>0</xdr:colOff>
      <xdr:row>1978</xdr:row>
      <xdr:rowOff>184149</xdr:rowOff>
    </xdr:from>
    <xdr:to>
      <xdr:col>40</xdr:col>
      <xdr:colOff>304800</xdr:colOff>
      <xdr:row>2002</xdr:row>
      <xdr:rowOff>82549</xdr:rowOff>
    </xdr:to>
    <xdr:graphicFrame macro="">
      <xdr:nvGraphicFramePr>
        <xdr:cNvPr id="16" name="Chart_Combo_188_200">
          <a:extLst>
            <a:ext uri="{FF2B5EF4-FFF2-40B4-BE49-F238E27FC236}">
              <a16:creationId xmlns:a16="http://schemas.microsoft.com/office/drawing/2014/main" id="{8EC60AFB-F12F-2F75-C597-89D723EA635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28</xdr:col>
      <xdr:colOff>0</xdr:colOff>
      <xdr:row>2017</xdr:row>
      <xdr:rowOff>184149</xdr:rowOff>
    </xdr:from>
    <xdr:to>
      <xdr:col>40</xdr:col>
      <xdr:colOff>304800</xdr:colOff>
      <xdr:row>2041</xdr:row>
      <xdr:rowOff>82549</xdr:rowOff>
    </xdr:to>
    <xdr:graphicFrame macro="">
      <xdr:nvGraphicFramePr>
        <xdr:cNvPr id="17" name="Chart_Combo_47_50">
          <a:extLst>
            <a:ext uri="{FF2B5EF4-FFF2-40B4-BE49-F238E27FC236}">
              <a16:creationId xmlns:a16="http://schemas.microsoft.com/office/drawing/2014/main" id="{5604F6E0-DD4B-02DE-35B7-59C91AD990B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17"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7FB3D5BD-1304-4A9B-AAE6-C1BF66E5491B}">
  <we:reference id="wa200009404" version="1.0.0.8" store="en-US" storeType="OMEX"/>
  <we:alternateReferences>
    <we:reference id="WA200009404" version="1.0.0.8" store="WA200009404" storeType="OMEX"/>
  </we:alternateReferences>
  <we:properties>
    <we:property name="claude.fileId" value="&quot;a126d1b2-1cb2-46b0-a317-493632572043&quot;"/>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1.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BD5E47-F7D1-4AC0-BEF4-4726E6886B47}">
  <sheetPr codeName="Sheet1"/>
  <dimension ref="A1:I29"/>
  <sheetViews>
    <sheetView showGridLines="0" zoomScaleNormal="100" workbookViewId="0">
      <pane ySplit="4" topLeftCell="A5" activePane="bottomLeft" state="frozen"/>
      <selection pane="bottomLeft" sqref="A1:I1"/>
    </sheetView>
  </sheetViews>
  <sheetFormatPr defaultColWidth="8.6328125" defaultRowHeight="14.5" x14ac:dyDescent="0.35"/>
  <cols>
    <col min="1" max="1" width="6" style="184" customWidth="1"/>
    <col min="2" max="2" width="20" style="184" customWidth="1"/>
    <col min="3" max="3" width="11" style="184" customWidth="1"/>
    <col min="4" max="4" width="26" style="184" customWidth="1"/>
    <col min="5" max="5" width="52" style="184" customWidth="1"/>
    <col min="6" max="6" width="54" style="184" customWidth="1"/>
    <col min="7" max="7" width="28" style="184" customWidth="1"/>
    <col min="8" max="8" width="32" style="184" customWidth="1"/>
    <col min="9" max="9" width="36" style="184" customWidth="1"/>
    <col min="10" max="16384" width="8.6328125" style="184"/>
  </cols>
  <sheetData>
    <row r="1" spans="1:9" ht="27.75" customHeight="1" x14ac:dyDescent="0.35">
      <c r="A1" s="401" t="s">
        <v>855</v>
      </c>
      <c r="B1" s="401"/>
      <c r="C1" s="401"/>
      <c r="D1" s="401"/>
      <c r="E1" s="401"/>
      <c r="F1" s="401"/>
      <c r="G1" s="401"/>
      <c r="H1" s="401"/>
      <c r="I1" s="401"/>
    </row>
    <row r="2" spans="1:9" ht="18" customHeight="1" x14ac:dyDescent="0.35">
      <c r="A2" s="402" t="s">
        <v>854</v>
      </c>
      <c r="B2" s="402"/>
      <c r="C2" s="402"/>
      <c r="D2" s="402"/>
      <c r="E2" s="402"/>
      <c r="F2" s="402"/>
      <c r="G2" s="402"/>
      <c r="H2" s="402"/>
      <c r="I2" s="402"/>
    </row>
    <row r="3" spans="1:9" ht="6" customHeight="1" x14ac:dyDescent="0.35"/>
    <row r="4" spans="1:9" ht="24" customHeight="1" x14ac:dyDescent="0.35">
      <c r="A4" s="194" t="s">
        <v>853</v>
      </c>
      <c r="B4" s="194" t="s">
        <v>852</v>
      </c>
      <c r="C4" s="194" t="s">
        <v>851</v>
      </c>
      <c r="D4" s="194" t="s">
        <v>850</v>
      </c>
      <c r="E4" s="194" t="s">
        <v>849</v>
      </c>
      <c r="F4" s="194" t="s">
        <v>848</v>
      </c>
      <c r="G4" s="194" t="s">
        <v>847</v>
      </c>
      <c r="H4" s="194" t="s">
        <v>846</v>
      </c>
      <c r="I4" s="194" t="s">
        <v>845</v>
      </c>
    </row>
    <row r="5" spans="1:9" ht="15.75" customHeight="1" x14ac:dyDescent="0.35">
      <c r="A5" s="399" t="s">
        <v>844</v>
      </c>
      <c r="B5" s="399"/>
      <c r="C5" s="399"/>
      <c r="D5" s="399"/>
      <c r="E5" s="399"/>
      <c r="F5" s="399"/>
      <c r="G5" s="399"/>
      <c r="H5" s="399"/>
      <c r="I5" s="399"/>
    </row>
    <row r="6" spans="1:9" ht="72" customHeight="1" x14ac:dyDescent="0.35">
      <c r="A6" s="189">
        <v>1</v>
      </c>
      <c r="B6" s="188" t="s">
        <v>843</v>
      </c>
      <c r="C6" s="187" t="s">
        <v>763</v>
      </c>
      <c r="D6" s="186" t="s">
        <v>794</v>
      </c>
      <c r="E6" s="186" t="s">
        <v>842</v>
      </c>
      <c r="F6" s="186" t="s">
        <v>841</v>
      </c>
      <c r="G6" s="186" t="s">
        <v>840</v>
      </c>
      <c r="H6" s="186" t="s">
        <v>839</v>
      </c>
      <c r="I6" s="186" t="s">
        <v>838</v>
      </c>
    </row>
    <row r="7" spans="1:9" ht="72" customHeight="1" x14ac:dyDescent="0.35">
      <c r="A7" s="189">
        <v>2</v>
      </c>
      <c r="B7" s="188" t="s">
        <v>837</v>
      </c>
      <c r="C7" s="187" t="s">
        <v>763</v>
      </c>
      <c r="D7" s="186" t="s">
        <v>794</v>
      </c>
      <c r="E7" s="186" t="s">
        <v>836</v>
      </c>
      <c r="F7" s="186" t="s">
        <v>835</v>
      </c>
      <c r="G7" s="186" t="s">
        <v>834</v>
      </c>
      <c r="H7" s="186" t="s">
        <v>833</v>
      </c>
      <c r="I7" s="186" t="s">
        <v>832</v>
      </c>
    </row>
    <row r="8" spans="1:9" ht="72" customHeight="1" x14ac:dyDescent="0.35">
      <c r="A8" s="193">
        <v>3</v>
      </c>
      <c r="B8" s="192" t="s">
        <v>831</v>
      </c>
      <c r="C8" s="191" t="s">
        <v>772</v>
      </c>
      <c r="D8" s="190" t="s">
        <v>830</v>
      </c>
      <c r="E8" s="190" t="s">
        <v>829</v>
      </c>
      <c r="F8" s="190" t="s">
        <v>828</v>
      </c>
      <c r="G8" s="190" t="s">
        <v>827</v>
      </c>
      <c r="H8" s="190" t="s">
        <v>826</v>
      </c>
      <c r="I8" s="190" t="s">
        <v>825</v>
      </c>
    </row>
    <row r="9" spans="1:9" ht="15.75" customHeight="1" x14ac:dyDescent="0.35">
      <c r="A9" s="399" t="s">
        <v>824</v>
      </c>
      <c r="B9" s="399"/>
      <c r="C9" s="399"/>
      <c r="D9" s="399"/>
      <c r="E9" s="399"/>
      <c r="F9" s="399"/>
      <c r="G9" s="399"/>
      <c r="H9" s="399"/>
      <c r="I9" s="399"/>
    </row>
    <row r="10" spans="1:9" ht="72" customHeight="1" x14ac:dyDescent="0.35">
      <c r="A10" s="193">
        <v>4</v>
      </c>
      <c r="B10" s="192" t="s">
        <v>823</v>
      </c>
      <c r="C10" s="191" t="s">
        <v>772</v>
      </c>
      <c r="D10" s="190" t="s">
        <v>822</v>
      </c>
      <c r="E10" s="190" t="s">
        <v>821</v>
      </c>
      <c r="F10" s="190" t="s">
        <v>820</v>
      </c>
      <c r="G10" s="190" t="s">
        <v>819</v>
      </c>
      <c r="H10" s="190" t="s">
        <v>818</v>
      </c>
      <c r="I10" s="190" t="s">
        <v>817</v>
      </c>
    </row>
    <row r="11" spans="1:9" ht="72" customHeight="1" x14ac:dyDescent="0.35">
      <c r="A11" s="193">
        <v>5</v>
      </c>
      <c r="B11" s="192" t="s">
        <v>816</v>
      </c>
      <c r="C11" s="191" t="s">
        <v>772</v>
      </c>
      <c r="D11" s="190" t="s">
        <v>815</v>
      </c>
      <c r="E11" s="190" t="s">
        <v>814</v>
      </c>
      <c r="F11" s="190" t="s">
        <v>813</v>
      </c>
      <c r="G11" s="190" t="s">
        <v>812</v>
      </c>
      <c r="H11" s="190" t="s">
        <v>811</v>
      </c>
      <c r="I11" s="190" t="s">
        <v>810</v>
      </c>
    </row>
    <row r="12" spans="1:9" ht="15.75" customHeight="1" x14ac:dyDescent="0.35">
      <c r="A12" s="399" t="s">
        <v>809</v>
      </c>
      <c r="B12" s="399"/>
      <c r="C12" s="399"/>
      <c r="D12" s="399"/>
      <c r="E12" s="399"/>
      <c r="F12" s="399"/>
      <c r="G12" s="399"/>
      <c r="H12" s="399"/>
      <c r="I12" s="399"/>
    </row>
    <row r="13" spans="1:9" ht="72" customHeight="1" x14ac:dyDescent="0.35">
      <c r="A13" s="189">
        <v>6</v>
      </c>
      <c r="B13" s="188" t="s">
        <v>808</v>
      </c>
      <c r="C13" s="187" t="s">
        <v>763</v>
      </c>
      <c r="D13" s="186" t="s">
        <v>794</v>
      </c>
      <c r="E13" s="186" t="s">
        <v>807</v>
      </c>
      <c r="F13" s="186" t="s">
        <v>806</v>
      </c>
      <c r="G13" s="186" t="s">
        <v>805</v>
      </c>
      <c r="H13" s="186" t="s">
        <v>804</v>
      </c>
      <c r="I13" s="186" t="s">
        <v>803</v>
      </c>
    </row>
    <row r="14" spans="1:9" ht="72" customHeight="1" x14ac:dyDescent="0.35">
      <c r="A14" s="193">
        <v>7</v>
      </c>
      <c r="B14" s="192" t="s">
        <v>802</v>
      </c>
      <c r="C14" s="191" t="s">
        <v>772</v>
      </c>
      <c r="D14" s="190" t="s">
        <v>801</v>
      </c>
      <c r="E14" s="190" t="s">
        <v>800</v>
      </c>
      <c r="F14" s="190" t="s">
        <v>799</v>
      </c>
      <c r="G14" s="190" t="s">
        <v>798</v>
      </c>
      <c r="H14" s="190" t="s">
        <v>797</v>
      </c>
      <c r="I14" s="190" t="s">
        <v>796</v>
      </c>
    </row>
    <row r="15" spans="1:9" ht="15.75" customHeight="1" x14ac:dyDescent="0.35">
      <c r="A15" s="399" t="s">
        <v>795</v>
      </c>
      <c r="B15" s="399"/>
      <c r="C15" s="399"/>
      <c r="D15" s="399"/>
      <c r="E15" s="399"/>
      <c r="F15" s="399"/>
      <c r="G15" s="399"/>
      <c r="H15" s="399"/>
      <c r="I15" s="399"/>
    </row>
    <row r="16" spans="1:9" ht="72" customHeight="1" x14ac:dyDescent="0.35">
      <c r="A16" s="189">
        <v>8</v>
      </c>
      <c r="B16" s="188" t="s">
        <v>749</v>
      </c>
      <c r="C16" s="187" t="s">
        <v>763</v>
      </c>
      <c r="D16" s="186" t="s">
        <v>794</v>
      </c>
      <c r="E16" s="186" t="s">
        <v>793</v>
      </c>
      <c r="F16" s="186" t="s">
        <v>792</v>
      </c>
      <c r="G16" s="186" t="s">
        <v>791</v>
      </c>
      <c r="H16" s="186" t="s">
        <v>790</v>
      </c>
      <c r="I16" s="186" t="s">
        <v>789</v>
      </c>
    </row>
    <row r="17" spans="1:9" ht="15.75" customHeight="1" x14ac:dyDescent="0.35">
      <c r="A17" s="399" t="s">
        <v>788</v>
      </c>
      <c r="B17" s="399"/>
      <c r="C17" s="399"/>
      <c r="D17" s="399"/>
      <c r="E17" s="399"/>
      <c r="F17" s="399"/>
      <c r="G17" s="399"/>
      <c r="H17" s="399"/>
      <c r="I17" s="399"/>
    </row>
    <row r="18" spans="1:9" ht="72" customHeight="1" x14ac:dyDescent="0.35">
      <c r="A18" s="193">
        <v>9</v>
      </c>
      <c r="B18" s="192" t="s">
        <v>787</v>
      </c>
      <c r="C18" s="191" t="s">
        <v>772</v>
      </c>
      <c r="D18" s="190" t="s">
        <v>786</v>
      </c>
      <c r="E18" s="190" t="s">
        <v>785</v>
      </c>
      <c r="F18" s="190" t="s">
        <v>784</v>
      </c>
      <c r="G18" s="190" t="s">
        <v>783</v>
      </c>
      <c r="H18" s="190" t="s">
        <v>782</v>
      </c>
      <c r="I18" s="190" t="s">
        <v>781</v>
      </c>
    </row>
    <row r="19" spans="1:9" ht="72" customHeight="1" x14ac:dyDescent="0.35">
      <c r="A19" s="193">
        <v>10</v>
      </c>
      <c r="B19" s="192" t="s">
        <v>780</v>
      </c>
      <c r="C19" s="191" t="s">
        <v>772</v>
      </c>
      <c r="D19" s="190" t="s">
        <v>779</v>
      </c>
      <c r="E19" s="190" t="s">
        <v>778</v>
      </c>
      <c r="F19" s="190" t="s">
        <v>777</v>
      </c>
      <c r="G19" s="190" t="s">
        <v>776</v>
      </c>
      <c r="H19" s="190" t="s">
        <v>775</v>
      </c>
      <c r="I19" s="190" t="s">
        <v>774</v>
      </c>
    </row>
    <row r="20" spans="1:9" ht="72" customHeight="1" x14ac:dyDescent="0.35">
      <c r="A20" s="193">
        <v>11</v>
      </c>
      <c r="B20" s="192" t="s">
        <v>773</v>
      </c>
      <c r="C20" s="191" t="s">
        <v>772</v>
      </c>
      <c r="D20" s="190" t="s">
        <v>771</v>
      </c>
      <c r="E20" s="190" t="s">
        <v>770</v>
      </c>
      <c r="F20" s="190" t="s">
        <v>769</v>
      </c>
      <c r="G20" s="190" t="s">
        <v>768</v>
      </c>
      <c r="H20" s="190" t="s">
        <v>767</v>
      </c>
      <c r="I20" s="190" t="s">
        <v>766</v>
      </c>
    </row>
    <row r="21" spans="1:9" ht="15.75" customHeight="1" x14ac:dyDescent="0.35">
      <c r="A21" s="399" t="s">
        <v>765</v>
      </c>
      <c r="B21" s="399"/>
      <c r="C21" s="399"/>
      <c r="D21" s="399"/>
      <c r="E21" s="399"/>
      <c r="F21" s="399"/>
      <c r="G21" s="399"/>
      <c r="H21" s="399"/>
      <c r="I21" s="399"/>
    </row>
    <row r="22" spans="1:9" ht="72" customHeight="1" x14ac:dyDescent="0.35">
      <c r="A22" s="189">
        <v>12</v>
      </c>
      <c r="B22" s="188" t="s">
        <v>764</v>
      </c>
      <c r="C22" s="187" t="s">
        <v>763</v>
      </c>
      <c r="D22" s="186" t="s">
        <v>762</v>
      </c>
      <c r="E22" s="186" t="s">
        <v>761</v>
      </c>
      <c r="F22" s="186" t="s">
        <v>760</v>
      </c>
      <c r="G22" s="186" t="s">
        <v>759</v>
      </c>
      <c r="H22" s="186" t="s">
        <v>758</v>
      </c>
      <c r="I22" s="186" t="s">
        <v>757</v>
      </c>
    </row>
    <row r="24" spans="1:9" x14ac:dyDescent="0.35">
      <c r="A24" s="400" t="s">
        <v>756</v>
      </c>
      <c r="B24" s="400"/>
      <c r="C24" s="400"/>
      <c r="D24" s="400"/>
      <c r="E24" s="400"/>
      <c r="F24" s="400"/>
      <c r="G24" s="400"/>
      <c r="H24" s="400"/>
      <c r="I24" s="400"/>
    </row>
    <row r="25" spans="1:9" ht="15.75" customHeight="1" x14ac:dyDescent="0.35">
      <c r="A25" s="185" t="s">
        <v>755</v>
      </c>
      <c r="B25" s="398" t="s">
        <v>754</v>
      </c>
      <c r="C25" s="398"/>
      <c r="D25" s="398"/>
      <c r="E25" s="398"/>
      <c r="F25" s="398"/>
      <c r="G25" s="398"/>
      <c r="H25" s="398"/>
      <c r="I25" s="398"/>
    </row>
    <row r="26" spans="1:9" ht="15.75" customHeight="1" x14ac:dyDescent="0.35">
      <c r="A26" s="185" t="s">
        <v>753</v>
      </c>
      <c r="B26" s="398" t="s">
        <v>752</v>
      </c>
      <c r="C26" s="398"/>
      <c r="D26" s="398"/>
      <c r="E26" s="398"/>
      <c r="F26" s="398"/>
      <c r="G26" s="398"/>
      <c r="H26" s="398"/>
      <c r="I26" s="398"/>
    </row>
    <row r="27" spans="1:9" ht="15.75" customHeight="1" x14ac:dyDescent="0.35">
      <c r="A27" s="185" t="s">
        <v>751</v>
      </c>
      <c r="B27" s="398" t="s">
        <v>750</v>
      </c>
      <c r="C27" s="398"/>
      <c r="D27" s="398"/>
      <c r="E27" s="398"/>
      <c r="F27" s="398"/>
      <c r="G27" s="398"/>
      <c r="H27" s="398"/>
      <c r="I27" s="398"/>
    </row>
    <row r="28" spans="1:9" ht="15.75" customHeight="1" x14ac:dyDescent="0.35">
      <c r="A28" s="185" t="s">
        <v>749</v>
      </c>
      <c r="B28" s="398" t="s">
        <v>748</v>
      </c>
      <c r="C28" s="398"/>
      <c r="D28" s="398"/>
      <c r="E28" s="398"/>
      <c r="F28" s="398"/>
      <c r="G28" s="398"/>
      <c r="H28" s="398"/>
      <c r="I28" s="398"/>
    </row>
    <row r="29" spans="1:9" ht="15.75" customHeight="1" x14ac:dyDescent="0.35">
      <c r="A29" s="185" t="s">
        <v>747</v>
      </c>
      <c r="B29" s="398" t="s">
        <v>746</v>
      </c>
      <c r="C29" s="398"/>
      <c r="D29" s="398"/>
      <c r="E29" s="398"/>
      <c r="F29" s="398"/>
      <c r="G29" s="398"/>
      <c r="H29" s="398"/>
      <c r="I29" s="398"/>
    </row>
  </sheetData>
  <mergeCells count="14">
    <mergeCell ref="A1:I1"/>
    <mergeCell ref="A2:I2"/>
    <mergeCell ref="A5:I5"/>
    <mergeCell ref="A9:I9"/>
    <mergeCell ref="A12:I12"/>
    <mergeCell ref="B26:I26"/>
    <mergeCell ref="B27:I27"/>
    <mergeCell ref="B28:I28"/>
    <mergeCell ref="B29:I29"/>
    <mergeCell ref="A15:I15"/>
    <mergeCell ref="A17:I17"/>
    <mergeCell ref="A21:I21"/>
    <mergeCell ref="A24:I24"/>
    <mergeCell ref="B25:I25"/>
  </mergeCells>
  <pageMargins left="0.75" right="0.75" top="1" bottom="1" header="0.511811023622047" footer="0.511811023622047"/>
  <pageSetup paperSize="9" orientation="portrait" horizontalDpi="300" verticalDpi="30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AA29"/>
  <sheetViews>
    <sheetView showGridLines="0" zoomScale="70" zoomScaleNormal="70" workbookViewId="0">
      <pane xSplit="2" ySplit="4" topLeftCell="C5" activePane="bottomRight" state="frozen"/>
      <selection pane="topRight" activeCell="C1" sqref="C1"/>
      <selection pane="bottomLeft" activeCell="A5" sqref="A5"/>
      <selection pane="bottomRight" activeCell="L16" sqref="L16"/>
    </sheetView>
  </sheetViews>
  <sheetFormatPr defaultRowHeight="14.5" x14ac:dyDescent="0.35"/>
  <cols>
    <col min="1" max="1" width="18" customWidth="1"/>
    <col min="2" max="2" width="30" customWidth="1"/>
    <col min="3" max="3" width="14" customWidth="1"/>
    <col min="4" max="4" width="8" customWidth="1"/>
    <col min="5" max="5" width="11" customWidth="1"/>
    <col min="6" max="6" width="12" customWidth="1"/>
    <col min="7" max="7" width="11" customWidth="1"/>
    <col min="8" max="8" width="12" customWidth="1"/>
    <col min="9" max="10" width="13" customWidth="1"/>
    <col min="11" max="12" width="14" customWidth="1"/>
    <col min="13" max="13" width="13" customWidth="1"/>
    <col min="14" max="14" width="12" customWidth="1"/>
    <col min="15" max="15" width="32" customWidth="1"/>
    <col min="16" max="22" width="13" customWidth="1"/>
    <col min="23" max="26" width="12" customWidth="1"/>
    <col min="27" max="27" width="28" customWidth="1"/>
  </cols>
  <sheetData>
    <row r="1" spans="1:27" ht="20" customHeight="1" x14ac:dyDescent="0.35">
      <c r="A1" s="396" t="s">
        <v>0</v>
      </c>
      <c r="B1" s="395"/>
      <c r="C1" s="395"/>
      <c r="D1" s="395"/>
      <c r="E1" s="395"/>
      <c r="F1" s="395"/>
      <c r="G1" s="395"/>
      <c r="H1" s="395"/>
      <c r="I1" s="395"/>
      <c r="J1" s="395"/>
      <c r="K1" s="395"/>
      <c r="L1" s="395"/>
      <c r="M1" s="395"/>
      <c r="N1" s="395"/>
      <c r="O1" s="395"/>
      <c r="P1" s="395"/>
      <c r="Q1" s="395"/>
      <c r="R1" s="395"/>
      <c r="S1" s="395"/>
      <c r="T1" s="395"/>
      <c r="U1" s="395"/>
      <c r="V1" s="395"/>
      <c r="W1" s="395"/>
      <c r="X1" s="395"/>
      <c r="Y1" s="395"/>
      <c r="Z1" s="395"/>
      <c r="AA1" s="395"/>
    </row>
    <row r="2" spans="1:27" x14ac:dyDescent="0.35">
      <c r="A2" s="403" t="s">
        <v>1</v>
      </c>
      <c r="B2" s="395"/>
      <c r="C2" s="395"/>
      <c r="D2" s="395"/>
      <c r="E2" s="395"/>
      <c r="F2" s="395"/>
      <c r="G2" s="395"/>
      <c r="H2" s="395"/>
      <c r="I2" s="395"/>
      <c r="J2" s="395"/>
      <c r="K2" s="395"/>
      <c r="L2" s="395"/>
      <c r="M2" s="395"/>
      <c r="N2" s="395"/>
      <c r="O2" s="395"/>
      <c r="P2" s="395"/>
      <c r="Q2" s="395"/>
      <c r="R2" s="395"/>
      <c r="S2" s="395"/>
      <c r="T2" s="395"/>
      <c r="U2" s="395"/>
      <c r="V2" s="395"/>
      <c r="W2" s="395"/>
      <c r="X2" s="395"/>
      <c r="Y2" s="395"/>
      <c r="Z2" s="395"/>
      <c r="AA2" s="395"/>
    </row>
    <row r="4" spans="1:27" ht="32" customHeight="1" x14ac:dyDescent="0.35">
      <c r="A4" s="18" t="s">
        <v>2</v>
      </c>
      <c r="B4" s="18" t="s">
        <v>3</v>
      </c>
      <c r="C4" s="18" t="s">
        <v>4</v>
      </c>
      <c r="D4" s="18" t="s">
        <v>5</v>
      </c>
      <c r="E4" s="18" t="s">
        <v>6</v>
      </c>
      <c r="F4" s="18" t="s">
        <v>7</v>
      </c>
      <c r="G4" s="18" t="s">
        <v>8</v>
      </c>
      <c r="H4" s="18" t="s">
        <v>9</v>
      </c>
      <c r="I4" s="18" t="s">
        <v>10</v>
      </c>
      <c r="J4" s="18" t="s">
        <v>11</v>
      </c>
      <c r="K4" s="18" t="s">
        <v>12</v>
      </c>
      <c r="L4" s="18" t="s">
        <v>13</v>
      </c>
      <c r="M4" s="18" t="s">
        <v>14</v>
      </c>
      <c r="N4" s="18" t="s">
        <v>15</v>
      </c>
      <c r="O4" s="18" t="s">
        <v>16</v>
      </c>
      <c r="P4" s="52" t="s">
        <v>17</v>
      </c>
      <c r="Q4" s="52" t="s">
        <v>18</v>
      </c>
      <c r="R4" s="52" t="s">
        <v>19</v>
      </c>
      <c r="S4" s="52" t="s">
        <v>20</v>
      </c>
      <c r="T4" s="52" t="s">
        <v>21</v>
      </c>
      <c r="U4" s="52" t="s">
        <v>22</v>
      </c>
      <c r="V4" s="52" t="s">
        <v>23</v>
      </c>
      <c r="W4" s="18" t="s">
        <v>24</v>
      </c>
      <c r="X4" s="222" t="s">
        <v>952</v>
      </c>
      <c r="Y4" s="222" t="s">
        <v>953</v>
      </c>
      <c r="Z4" s="222" t="s">
        <v>954</v>
      </c>
      <c r="AA4" s="18" t="s">
        <v>25</v>
      </c>
    </row>
    <row r="5" spans="1:27" ht="16" customHeight="1" x14ac:dyDescent="0.35">
      <c r="A5" s="53" t="s">
        <v>26</v>
      </c>
      <c r="B5" s="54" t="s">
        <v>27</v>
      </c>
      <c r="C5" s="55" t="s">
        <v>28</v>
      </c>
      <c r="D5" s="55" t="s">
        <v>29</v>
      </c>
      <c r="E5" s="56">
        <v>16200</v>
      </c>
      <c r="F5" s="56">
        <v>3</v>
      </c>
      <c r="G5" s="56">
        <v>9</v>
      </c>
      <c r="H5" s="56">
        <v>8</v>
      </c>
      <c r="I5" s="56">
        <v>18</v>
      </c>
      <c r="J5" s="57" t="s">
        <v>30</v>
      </c>
      <c r="K5" s="57"/>
      <c r="L5" s="7">
        <v>1</v>
      </c>
      <c r="M5" s="56">
        <v>1</v>
      </c>
      <c r="N5" s="8" t="str">
        <f>IF(L5=0,"Inactive","Active")</f>
        <v>Active</v>
      </c>
      <c r="O5" s="54"/>
      <c r="P5" s="58">
        <v>9</v>
      </c>
      <c r="Q5" s="59">
        <v>1</v>
      </c>
      <c r="R5" s="59">
        <v>0.75</v>
      </c>
      <c r="S5" s="59">
        <v>0.5</v>
      </c>
      <c r="T5" s="59">
        <v>0.25</v>
      </c>
      <c r="U5" s="59">
        <v>0</v>
      </c>
      <c r="V5" s="59">
        <v>0</v>
      </c>
      <c r="W5" s="58">
        <v>9</v>
      </c>
      <c r="X5" s="54">
        <v>207.42</v>
      </c>
      <c r="Y5" s="54"/>
      <c r="Z5" s="223">
        <v>6.51</v>
      </c>
      <c r="AA5" s="54"/>
    </row>
    <row r="6" spans="1:27" ht="16" customHeight="1" x14ac:dyDescent="0.35">
      <c r="A6" s="61" t="s">
        <v>26</v>
      </c>
      <c r="B6" s="62" t="s">
        <v>31</v>
      </c>
      <c r="C6" s="63" t="s">
        <v>28</v>
      </c>
      <c r="D6" s="63" t="s">
        <v>29</v>
      </c>
      <c r="E6" s="56">
        <v>32000</v>
      </c>
      <c r="F6" s="56">
        <v>3</v>
      </c>
      <c r="G6" s="56">
        <v>9</v>
      </c>
      <c r="H6" s="56">
        <v>8</v>
      </c>
      <c r="I6" s="56">
        <v>18</v>
      </c>
      <c r="J6" s="57">
        <v>46935</v>
      </c>
      <c r="K6" s="57"/>
      <c r="L6" s="7">
        <v>0</v>
      </c>
      <c r="M6" s="56">
        <v>0</v>
      </c>
      <c r="N6" s="8" t="str">
        <f t="shared" ref="N6:N28" si="0">IF(L6=0,"Inactive","Active")</f>
        <v>Inactive</v>
      </c>
      <c r="O6" s="62"/>
      <c r="P6" s="58">
        <v>9</v>
      </c>
      <c r="Q6" s="59">
        <v>1</v>
      </c>
      <c r="R6" s="59">
        <v>0.75</v>
      </c>
      <c r="S6" s="59">
        <v>0.5</v>
      </c>
      <c r="T6" s="59">
        <v>0.25</v>
      </c>
      <c r="U6" s="59">
        <v>0</v>
      </c>
      <c r="V6" s="59">
        <v>0</v>
      </c>
      <c r="W6" s="58">
        <v>9</v>
      </c>
      <c r="X6" s="62"/>
      <c r="Y6" s="62"/>
      <c r="Z6" s="62"/>
      <c r="AA6" s="62"/>
    </row>
    <row r="7" spans="1:27" ht="16" customHeight="1" x14ac:dyDescent="0.35">
      <c r="A7" s="53" t="s">
        <v>26</v>
      </c>
      <c r="B7" s="54" t="s">
        <v>33</v>
      </c>
      <c r="C7" s="55" t="s">
        <v>28</v>
      </c>
      <c r="D7" s="55" t="s">
        <v>29</v>
      </c>
      <c r="E7" s="56">
        <v>16200</v>
      </c>
      <c r="F7" s="56">
        <v>3</v>
      </c>
      <c r="G7" s="56">
        <v>9</v>
      </c>
      <c r="H7" s="56">
        <v>8</v>
      </c>
      <c r="I7" s="56">
        <v>18</v>
      </c>
      <c r="J7" s="57" t="s">
        <v>34</v>
      </c>
      <c r="K7" s="57"/>
      <c r="L7" s="7">
        <v>0</v>
      </c>
      <c r="M7" s="56">
        <v>0</v>
      </c>
      <c r="N7" s="8" t="str">
        <f t="shared" si="0"/>
        <v>Inactive</v>
      </c>
      <c r="O7" s="54"/>
      <c r="P7" s="58">
        <v>9</v>
      </c>
      <c r="Q7" s="59">
        <v>1</v>
      </c>
      <c r="R7" s="59">
        <v>0.75</v>
      </c>
      <c r="S7" s="59">
        <v>0.5</v>
      </c>
      <c r="T7" s="59">
        <v>0.25</v>
      </c>
      <c r="U7" s="59">
        <v>0</v>
      </c>
      <c r="V7" s="59">
        <v>0</v>
      </c>
      <c r="W7" s="58">
        <v>9</v>
      </c>
      <c r="X7" s="54"/>
      <c r="Y7" s="54"/>
      <c r="Z7" s="54"/>
      <c r="AA7" s="54"/>
    </row>
    <row r="8" spans="1:27" ht="16" customHeight="1" x14ac:dyDescent="0.35">
      <c r="A8" s="61" t="s">
        <v>35</v>
      </c>
      <c r="B8" s="62" t="s">
        <v>27</v>
      </c>
      <c r="C8" s="63" t="s">
        <v>28</v>
      </c>
      <c r="D8" s="63" t="s">
        <v>29</v>
      </c>
      <c r="E8" s="56">
        <v>10000</v>
      </c>
      <c r="F8" s="56">
        <v>3</v>
      </c>
      <c r="G8" s="56">
        <v>9</v>
      </c>
      <c r="H8" s="56">
        <v>8</v>
      </c>
      <c r="I8" s="56">
        <v>18</v>
      </c>
      <c r="J8" s="57" t="s">
        <v>30</v>
      </c>
      <c r="K8" s="57"/>
      <c r="L8" s="7">
        <v>1</v>
      </c>
      <c r="M8" s="56">
        <v>1</v>
      </c>
      <c r="N8" s="8" t="str">
        <f t="shared" si="0"/>
        <v>Active</v>
      </c>
      <c r="O8" s="62"/>
      <c r="P8" s="58">
        <v>9</v>
      </c>
      <c r="Q8" s="59">
        <v>1</v>
      </c>
      <c r="R8" s="59">
        <v>0.75</v>
      </c>
      <c r="S8" s="59">
        <v>0.5</v>
      </c>
      <c r="T8" s="59">
        <v>0.25</v>
      </c>
      <c r="U8" s="59">
        <v>0</v>
      </c>
      <c r="V8" s="59">
        <v>0</v>
      </c>
      <c r="W8" s="58">
        <v>9</v>
      </c>
      <c r="X8" s="62">
        <v>169.38</v>
      </c>
      <c r="Y8" s="62"/>
      <c r="Z8" s="224">
        <v>6.84</v>
      </c>
      <c r="AA8" s="62"/>
    </row>
    <row r="9" spans="1:27" ht="16" customHeight="1" x14ac:dyDescent="0.35">
      <c r="A9" s="230" t="s">
        <v>35</v>
      </c>
      <c r="B9" s="54" t="s">
        <v>31</v>
      </c>
      <c r="C9" s="55" t="s">
        <v>28</v>
      </c>
      <c r="D9" s="55" t="s">
        <v>29</v>
      </c>
      <c r="E9" s="56">
        <v>32000</v>
      </c>
      <c r="F9" s="56">
        <v>3</v>
      </c>
      <c r="G9" s="56">
        <v>9</v>
      </c>
      <c r="H9" s="56">
        <v>8</v>
      </c>
      <c r="I9" s="56">
        <v>18</v>
      </c>
      <c r="J9" s="57">
        <v>46935</v>
      </c>
      <c r="K9" s="57"/>
      <c r="L9" s="7">
        <v>0</v>
      </c>
      <c r="M9" s="56">
        <v>0</v>
      </c>
      <c r="N9" s="8" t="s">
        <v>930</v>
      </c>
      <c r="O9" s="54"/>
      <c r="P9" s="58">
        <v>9</v>
      </c>
      <c r="Q9" s="59">
        <v>1</v>
      </c>
      <c r="R9" s="59">
        <v>0.75</v>
      </c>
      <c r="S9" s="59">
        <v>0.5</v>
      </c>
      <c r="T9" s="59">
        <v>0.25</v>
      </c>
      <c r="U9" s="59">
        <v>0</v>
      </c>
      <c r="V9" s="59">
        <v>0</v>
      </c>
      <c r="W9" s="58">
        <v>9</v>
      </c>
      <c r="X9" s="54"/>
      <c r="Y9" s="54"/>
      <c r="Z9" s="54"/>
      <c r="AA9" s="54"/>
    </row>
    <row r="10" spans="1:27" ht="16" customHeight="1" x14ac:dyDescent="0.35">
      <c r="A10" s="379" t="s">
        <v>959</v>
      </c>
      <c r="B10" s="380" t="s">
        <v>33</v>
      </c>
      <c r="C10" s="381" t="s">
        <v>28</v>
      </c>
      <c r="D10" s="381" t="s">
        <v>29</v>
      </c>
      <c r="E10" s="382">
        <v>16200</v>
      </c>
      <c r="F10" s="382">
        <v>3</v>
      </c>
      <c r="G10" s="382">
        <v>9</v>
      </c>
      <c r="H10" s="382">
        <v>8</v>
      </c>
      <c r="I10" s="382">
        <v>18</v>
      </c>
      <c r="J10" s="383">
        <v>46388</v>
      </c>
      <c r="K10" s="383"/>
      <c r="L10" s="384">
        <v>1</v>
      </c>
      <c r="M10" s="382">
        <v>1</v>
      </c>
      <c r="N10" s="385" t="str">
        <f>IF(L10=0,"Inactive","Active")</f>
        <v>Active</v>
      </c>
      <c r="O10" s="380"/>
      <c r="P10" s="386">
        <v>9</v>
      </c>
      <c r="Q10" s="387">
        <v>1</v>
      </c>
      <c r="R10" s="387">
        <v>0.75</v>
      </c>
      <c r="S10" s="387">
        <v>0.5</v>
      </c>
      <c r="T10" s="387">
        <v>0.25</v>
      </c>
      <c r="U10" s="387">
        <v>0</v>
      </c>
      <c r="V10" s="387">
        <v>0</v>
      </c>
      <c r="W10" s="386">
        <v>9</v>
      </c>
      <c r="X10" s="380" t="s">
        <v>959</v>
      </c>
      <c r="Y10" s="380" t="s">
        <v>959</v>
      </c>
      <c r="Z10" s="380" t="s">
        <v>959</v>
      </c>
      <c r="AA10" s="380" t="s">
        <v>959</v>
      </c>
    </row>
    <row r="11" spans="1:27" ht="16" customHeight="1" x14ac:dyDescent="0.35">
      <c r="A11" s="379" t="s">
        <v>960</v>
      </c>
      <c r="B11" s="380" t="s">
        <v>33</v>
      </c>
      <c r="C11" s="381" t="s">
        <v>28</v>
      </c>
      <c r="D11" s="381" t="s">
        <v>29</v>
      </c>
      <c r="E11" s="382">
        <v>10000</v>
      </c>
      <c r="F11" s="382">
        <v>3</v>
      </c>
      <c r="G11" s="382">
        <v>9</v>
      </c>
      <c r="H11" s="382">
        <v>8</v>
      </c>
      <c r="I11" s="382">
        <v>18</v>
      </c>
      <c r="J11" s="383">
        <v>46388</v>
      </c>
      <c r="K11" s="383"/>
      <c r="L11" s="384">
        <v>1</v>
      </c>
      <c r="M11" s="382">
        <v>1</v>
      </c>
      <c r="N11" s="385" t="str">
        <f>IF(L11=0,"Inactive","Active")</f>
        <v>Active</v>
      </c>
      <c r="O11" s="380"/>
      <c r="P11" s="386">
        <v>9</v>
      </c>
      <c r="Q11" s="387">
        <v>1</v>
      </c>
      <c r="R11" s="387">
        <v>0.75</v>
      </c>
      <c r="S11" s="387">
        <v>0.5</v>
      </c>
      <c r="T11" s="387">
        <v>0.25</v>
      </c>
      <c r="U11" s="387">
        <v>0</v>
      </c>
      <c r="V11" s="387">
        <v>0</v>
      </c>
      <c r="W11" s="386">
        <v>9</v>
      </c>
      <c r="X11" s="380" t="s">
        <v>960</v>
      </c>
      <c r="Y11" s="380" t="s">
        <v>960</v>
      </c>
      <c r="Z11" s="380" t="s">
        <v>960</v>
      </c>
      <c r="AA11" s="380" t="s">
        <v>960</v>
      </c>
    </row>
    <row r="12" spans="1:27" ht="16" customHeight="1" x14ac:dyDescent="0.35">
      <c r="A12" s="231" t="s">
        <v>36</v>
      </c>
      <c r="B12" s="62" t="s">
        <v>37</v>
      </c>
      <c r="C12" s="63" t="s">
        <v>38</v>
      </c>
      <c r="D12" s="63" t="s">
        <v>29</v>
      </c>
      <c r="E12" s="56">
        <v>16200</v>
      </c>
      <c r="F12" s="56">
        <v>5</v>
      </c>
      <c r="G12" s="56">
        <v>9</v>
      </c>
      <c r="H12" s="56">
        <v>8</v>
      </c>
      <c r="I12" s="56">
        <v>18</v>
      </c>
      <c r="J12" s="57" t="s">
        <v>30</v>
      </c>
      <c r="K12" s="57">
        <v>46203</v>
      </c>
      <c r="L12" s="7">
        <v>1</v>
      </c>
      <c r="M12" s="56">
        <v>1</v>
      </c>
      <c r="N12" s="8" t="str">
        <f t="shared" si="0"/>
        <v>Active</v>
      </c>
      <c r="O12" s="62"/>
      <c r="P12" s="58">
        <v>9</v>
      </c>
      <c r="Q12" s="59">
        <v>1</v>
      </c>
      <c r="R12" s="59">
        <v>1</v>
      </c>
      <c r="S12" s="59">
        <v>0.75</v>
      </c>
      <c r="T12" s="59">
        <v>0.5</v>
      </c>
      <c r="U12" s="59">
        <v>0.25</v>
      </c>
      <c r="V12" s="59">
        <v>0</v>
      </c>
      <c r="W12" s="58">
        <v>9</v>
      </c>
      <c r="X12" s="62">
        <v>241.41</v>
      </c>
      <c r="Y12" s="224">
        <v>810000</v>
      </c>
      <c r="Z12" s="62"/>
      <c r="AA12" s="62"/>
    </row>
    <row r="13" spans="1:27" ht="16" customHeight="1" x14ac:dyDescent="0.35">
      <c r="A13" s="53" t="s">
        <v>36</v>
      </c>
      <c r="B13" s="54" t="s">
        <v>40</v>
      </c>
      <c r="C13" s="55" t="s">
        <v>38</v>
      </c>
      <c r="D13" s="55" t="s">
        <v>29</v>
      </c>
      <c r="E13" s="56">
        <v>17500</v>
      </c>
      <c r="F13" s="56">
        <v>5</v>
      </c>
      <c r="G13" s="56">
        <v>9</v>
      </c>
      <c r="H13" s="56">
        <v>8</v>
      </c>
      <c r="I13" s="56">
        <v>18</v>
      </c>
      <c r="J13" s="57">
        <v>46388</v>
      </c>
      <c r="K13" s="57"/>
      <c r="L13" s="7">
        <v>1</v>
      </c>
      <c r="M13" s="56">
        <v>1</v>
      </c>
      <c r="N13" s="8" t="str">
        <f t="shared" si="0"/>
        <v>Active</v>
      </c>
      <c r="O13" s="54"/>
      <c r="P13" s="58">
        <v>9</v>
      </c>
      <c r="Q13" s="59">
        <v>1</v>
      </c>
      <c r="R13" s="59">
        <v>1</v>
      </c>
      <c r="S13" s="59">
        <v>0.75</v>
      </c>
      <c r="T13" s="59">
        <v>0.5</v>
      </c>
      <c r="U13" s="59">
        <v>0.25</v>
      </c>
      <c r="V13" s="59">
        <v>0</v>
      </c>
      <c r="W13" s="58">
        <v>9</v>
      </c>
      <c r="X13" s="54"/>
      <c r="Y13" s="54"/>
      <c r="Z13" s="224">
        <v>33</v>
      </c>
      <c r="AA13" s="54"/>
    </row>
    <row r="14" spans="1:27" ht="16" customHeight="1" x14ac:dyDescent="0.35">
      <c r="A14" s="61" t="s">
        <v>36</v>
      </c>
      <c r="B14" s="62" t="s">
        <v>41</v>
      </c>
      <c r="C14" s="63" t="s">
        <v>38</v>
      </c>
      <c r="D14" s="63" t="s">
        <v>29</v>
      </c>
      <c r="E14" s="56">
        <v>32000</v>
      </c>
      <c r="F14" s="56">
        <v>5</v>
      </c>
      <c r="G14" s="56">
        <v>9</v>
      </c>
      <c r="H14" s="56">
        <v>8</v>
      </c>
      <c r="I14" s="56">
        <v>18</v>
      </c>
      <c r="J14" s="57">
        <v>46539</v>
      </c>
      <c r="K14" s="57"/>
      <c r="L14" s="7">
        <v>1</v>
      </c>
      <c r="M14" s="56">
        <v>0</v>
      </c>
      <c r="N14" s="8" t="str">
        <f t="shared" si="0"/>
        <v>Active</v>
      </c>
      <c r="O14" s="62"/>
      <c r="P14" s="58">
        <v>9</v>
      </c>
      <c r="Q14" s="59">
        <v>1</v>
      </c>
      <c r="R14" s="59">
        <v>1</v>
      </c>
      <c r="S14" s="59">
        <v>0.75</v>
      </c>
      <c r="T14" s="59">
        <v>0.5</v>
      </c>
      <c r="U14" s="59">
        <v>0.25</v>
      </c>
      <c r="V14" s="59">
        <v>0</v>
      </c>
      <c r="W14" s="58">
        <v>9</v>
      </c>
      <c r="X14" s="62"/>
      <c r="Y14" s="62"/>
      <c r="Z14" s="224">
        <v>20</v>
      </c>
      <c r="AA14" s="62"/>
    </row>
    <row r="15" spans="1:27" ht="16" customHeight="1" x14ac:dyDescent="0.35">
      <c r="A15" s="53" t="s">
        <v>43</v>
      </c>
      <c r="B15" s="54" t="s">
        <v>44</v>
      </c>
      <c r="C15" s="55" t="s">
        <v>38</v>
      </c>
      <c r="D15" s="55" t="s">
        <v>29</v>
      </c>
      <c r="E15" s="56">
        <v>10000</v>
      </c>
      <c r="F15" s="56">
        <v>5</v>
      </c>
      <c r="G15" s="56">
        <v>9</v>
      </c>
      <c r="H15" s="56">
        <v>8</v>
      </c>
      <c r="I15" s="56">
        <v>18</v>
      </c>
      <c r="J15" s="57" t="s">
        <v>30</v>
      </c>
      <c r="K15" s="57"/>
      <c r="L15" s="7">
        <v>1</v>
      </c>
      <c r="M15" s="56">
        <v>1</v>
      </c>
      <c r="N15" s="8" t="str">
        <f t="shared" si="0"/>
        <v>Active</v>
      </c>
      <c r="O15" s="54"/>
      <c r="P15" s="58">
        <v>9</v>
      </c>
      <c r="Q15" s="59">
        <v>1</v>
      </c>
      <c r="R15" s="59">
        <v>1</v>
      </c>
      <c r="S15" s="59">
        <v>0.75</v>
      </c>
      <c r="T15" s="59">
        <v>0.5</v>
      </c>
      <c r="U15" s="59">
        <v>0.25</v>
      </c>
      <c r="V15" s="59">
        <v>0</v>
      </c>
      <c r="W15" s="58">
        <v>9</v>
      </c>
      <c r="X15" s="54">
        <v>118.91</v>
      </c>
      <c r="Y15" s="223">
        <v>350000</v>
      </c>
      <c r="Z15" s="54"/>
      <c r="AA15" s="54"/>
    </row>
    <row r="16" spans="1:27" ht="16" customHeight="1" x14ac:dyDescent="0.35">
      <c r="A16" s="61" t="s">
        <v>43</v>
      </c>
      <c r="B16" s="62" t="s">
        <v>41</v>
      </c>
      <c r="C16" s="63" t="s">
        <v>38</v>
      </c>
      <c r="D16" s="63" t="s">
        <v>29</v>
      </c>
      <c r="E16" s="56">
        <v>32000</v>
      </c>
      <c r="F16" s="56">
        <v>5</v>
      </c>
      <c r="G16" s="56">
        <v>9</v>
      </c>
      <c r="H16" s="56">
        <v>8</v>
      </c>
      <c r="I16" s="56">
        <v>18</v>
      </c>
      <c r="J16" s="57">
        <v>46539</v>
      </c>
      <c r="K16" s="57"/>
      <c r="L16" s="7">
        <v>1</v>
      </c>
      <c r="M16" s="56">
        <v>0</v>
      </c>
      <c r="N16" s="8" t="str">
        <f t="shared" si="0"/>
        <v>Active</v>
      </c>
      <c r="O16" s="62"/>
      <c r="P16" s="58">
        <v>9</v>
      </c>
      <c r="Q16" s="59">
        <v>1</v>
      </c>
      <c r="R16" s="59">
        <v>1</v>
      </c>
      <c r="S16" s="59">
        <v>0.75</v>
      </c>
      <c r="T16" s="59">
        <v>0.5</v>
      </c>
      <c r="U16" s="59">
        <v>0.25</v>
      </c>
      <c r="V16" s="59">
        <v>0</v>
      </c>
      <c r="W16" s="58">
        <v>9</v>
      </c>
      <c r="X16" s="62"/>
      <c r="Y16" s="62"/>
      <c r="Z16" s="62"/>
      <c r="AA16" s="62"/>
    </row>
    <row r="17" spans="1:27" ht="16" customHeight="1" x14ac:dyDescent="0.35">
      <c r="A17" s="53" t="s">
        <v>45</v>
      </c>
      <c r="B17" s="54" t="s">
        <v>46</v>
      </c>
      <c r="C17" s="55" t="s">
        <v>47</v>
      </c>
      <c r="D17" s="55" t="s">
        <v>48</v>
      </c>
      <c r="E17" s="56">
        <v>4.3</v>
      </c>
      <c r="F17" s="56">
        <v>5</v>
      </c>
      <c r="G17" s="56">
        <v>12</v>
      </c>
      <c r="H17" s="56">
        <v>9</v>
      </c>
      <c r="I17" s="56">
        <v>18</v>
      </c>
      <c r="J17" s="57" t="s">
        <v>30</v>
      </c>
      <c r="K17" s="57"/>
      <c r="L17" s="7">
        <v>1</v>
      </c>
      <c r="M17" s="56">
        <v>1</v>
      </c>
      <c r="N17" s="8" t="str">
        <f t="shared" si="0"/>
        <v>Active</v>
      </c>
      <c r="O17" s="54"/>
      <c r="P17" s="58">
        <v>18</v>
      </c>
      <c r="Q17" s="59">
        <v>1</v>
      </c>
      <c r="R17" s="59">
        <v>1</v>
      </c>
      <c r="S17" s="59">
        <v>1</v>
      </c>
      <c r="T17" s="59">
        <v>0.75</v>
      </c>
      <c r="U17" s="59">
        <v>0.5</v>
      </c>
      <c r="V17" s="59">
        <v>0.25</v>
      </c>
      <c r="W17" s="58">
        <v>18</v>
      </c>
      <c r="X17" s="225">
        <v>924742.74</v>
      </c>
      <c r="Y17" s="223">
        <v>2854400</v>
      </c>
      <c r="Z17" s="54"/>
      <c r="AA17" s="54"/>
    </row>
    <row r="18" spans="1:27" ht="16" customHeight="1" x14ac:dyDescent="0.35">
      <c r="A18" s="61" t="s">
        <v>45</v>
      </c>
      <c r="B18" s="62" t="s">
        <v>49</v>
      </c>
      <c r="C18" s="63" t="s">
        <v>47</v>
      </c>
      <c r="D18" s="63" t="s">
        <v>48</v>
      </c>
      <c r="E18" s="56">
        <v>4.3</v>
      </c>
      <c r="F18" s="56">
        <v>5</v>
      </c>
      <c r="G18" s="56">
        <v>12</v>
      </c>
      <c r="H18" s="56">
        <v>9</v>
      </c>
      <c r="I18" s="56">
        <v>18</v>
      </c>
      <c r="J18" s="57"/>
      <c r="K18" s="57"/>
      <c r="L18" s="7">
        <v>0</v>
      </c>
      <c r="M18" s="56">
        <v>0</v>
      </c>
      <c r="N18" s="8" t="str">
        <f t="shared" si="0"/>
        <v>Inactive</v>
      </c>
      <c r="O18" s="62"/>
      <c r="P18" s="58">
        <v>18</v>
      </c>
      <c r="Q18" s="59">
        <v>1</v>
      </c>
      <c r="R18" s="59">
        <v>1</v>
      </c>
      <c r="S18" s="59">
        <v>0.75</v>
      </c>
      <c r="T18" s="59">
        <v>0.5</v>
      </c>
      <c r="U18" s="59">
        <v>0.25</v>
      </c>
      <c r="V18" s="59">
        <v>0</v>
      </c>
      <c r="W18" s="58">
        <v>18</v>
      </c>
      <c r="X18" s="62"/>
      <c r="Y18" s="62"/>
      <c r="Z18" s="62"/>
      <c r="AA18" s="62"/>
    </row>
    <row r="19" spans="1:27" ht="16" customHeight="1" x14ac:dyDescent="0.35">
      <c r="A19" s="53" t="s">
        <v>50</v>
      </c>
      <c r="B19" s="54" t="s">
        <v>51</v>
      </c>
      <c r="C19" s="55" t="s">
        <v>52</v>
      </c>
      <c r="D19" s="55" t="s">
        <v>48</v>
      </c>
      <c r="E19" s="56">
        <v>5</v>
      </c>
      <c r="F19" s="56">
        <v>4</v>
      </c>
      <c r="G19" s="56">
        <v>4</v>
      </c>
      <c r="H19" s="56">
        <v>3</v>
      </c>
      <c r="I19" s="56">
        <v>12</v>
      </c>
      <c r="J19" s="57" t="s">
        <v>30</v>
      </c>
      <c r="K19" s="57"/>
      <c r="L19" s="7">
        <v>1</v>
      </c>
      <c r="M19" s="56">
        <v>1</v>
      </c>
      <c r="N19" s="8" t="str">
        <f t="shared" si="0"/>
        <v>Active</v>
      </c>
      <c r="O19" s="54"/>
      <c r="P19" s="58">
        <v>12</v>
      </c>
      <c r="Q19" s="59">
        <v>1</v>
      </c>
      <c r="R19" s="59">
        <v>1</v>
      </c>
      <c r="S19" s="59">
        <v>1</v>
      </c>
      <c r="T19" s="59">
        <v>1</v>
      </c>
      <c r="U19" s="59">
        <v>1</v>
      </c>
      <c r="V19" s="59">
        <v>1</v>
      </c>
      <c r="W19" s="58">
        <v>12</v>
      </c>
      <c r="X19" s="225">
        <v>25952.05</v>
      </c>
      <c r="Y19" s="54"/>
      <c r="Z19" s="223">
        <v>26000</v>
      </c>
      <c r="AA19" s="54"/>
    </row>
    <row r="20" spans="1:27" ht="16" customHeight="1" x14ac:dyDescent="0.35">
      <c r="A20" s="61" t="s">
        <v>50</v>
      </c>
      <c r="B20" s="62" t="s">
        <v>53</v>
      </c>
      <c r="C20" s="63" t="s">
        <v>52</v>
      </c>
      <c r="D20" s="63" t="s">
        <v>48</v>
      </c>
      <c r="E20" s="56">
        <v>5</v>
      </c>
      <c r="F20" s="56">
        <v>4</v>
      </c>
      <c r="G20" s="56">
        <v>4</v>
      </c>
      <c r="H20" s="56">
        <v>3</v>
      </c>
      <c r="I20" s="56">
        <v>12</v>
      </c>
      <c r="J20" s="57" t="s">
        <v>34</v>
      </c>
      <c r="K20" s="57"/>
      <c r="L20" s="7">
        <v>0</v>
      </c>
      <c r="M20" s="56">
        <v>0</v>
      </c>
      <c r="N20" s="8" t="str">
        <f t="shared" si="0"/>
        <v>Inactive</v>
      </c>
      <c r="O20" s="62"/>
      <c r="P20" s="58">
        <v>12</v>
      </c>
      <c r="Q20" s="59">
        <v>1</v>
      </c>
      <c r="R20" s="59">
        <v>1</v>
      </c>
      <c r="S20" s="59">
        <v>1</v>
      </c>
      <c r="T20" s="59">
        <v>1</v>
      </c>
      <c r="U20" s="59">
        <v>1</v>
      </c>
      <c r="V20" s="59">
        <v>1</v>
      </c>
      <c r="W20" s="58">
        <v>12</v>
      </c>
      <c r="X20" s="62"/>
      <c r="Y20" s="62"/>
      <c r="Z20" s="62"/>
      <c r="AA20" s="62"/>
    </row>
    <row r="21" spans="1:27" ht="16" customHeight="1" x14ac:dyDescent="0.35">
      <c r="A21" s="53" t="s">
        <v>54</v>
      </c>
      <c r="B21" s="54" t="s">
        <v>55</v>
      </c>
      <c r="C21" s="55" t="s">
        <v>52</v>
      </c>
      <c r="D21" s="55" t="s">
        <v>48</v>
      </c>
      <c r="E21" s="56">
        <v>165</v>
      </c>
      <c r="F21" s="56">
        <v>4</v>
      </c>
      <c r="G21" s="56">
        <v>4</v>
      </c>
      <c r="H21" s="56">
        <v>3</v>
      </c>
      <c r="I21" s="56">
        <v>12</v>
      </c>
      <c r="J21" s="57" t="s">
        <v>30</v>
      </c>
      <c r="K21" s="57"/>
      <c r="L21" s="7">
        <v>1</v>
      </c>
      <c r="M21" s="56">
        <v>1</v>
      </c>
      <c r="N21" s="8" t="str">
        <f t="shared" si="0"/>
        <v>Active</v>
      </c>
      <c r="O21" s="54"/>
      <c r="P21" s="58">
        <v>12</v>
      </c>
      <c r="Q21" s="59">
        <v>1</v>
      </c>
      <c r="R21" s="59">
        <v>1</v>
      </c>
      <c r="S21" s="59">
        <v>1</v>
      </c>
      <c r="T21" s="59">
        <v>1</v>
      </c>
      <c r="U21" s="59">
        <v>1</v>
      </c>
      <c r="V21" s="59">
        <v>1</v>
      </c>
      <c r="W21" s="58">
        <v>12</v>
      </c>
      <c r="X21" s="225">
        <v>12408.28</v>
      </c>
      <c r="Y21" s="54"/>
      <c r="Z21" s="223">
        <v>14262.5</v>
      </c>
      <c r="AA21" s="54"/>
    </row>
    <row r="22" spans="1:27" ht="16" customHeight="1" x14ac:dyDescent="0.35">
      <c r="A22" s="61" t="s">
        <v>54</v>
      </c>
      <c r="B22" s="62" t="s">
        <v>53</v>
      </c>
      <c r="C22" s="63" t="s">
        <v>52</v>
      </c>
      <c r="D22" s="63" t="s">
        <v>48</v>
      </c>
      <c r="E22" s="56">
        <v>100</v>
      </c>
      <c r="F22" s="56">
        <v>4</v>
      </c>
      <c r="G22" s="56">
        <v>4</v>
      </c>
      <c r="H22" s="56">
        <v>3</v>
      </c>
      <c r="I22" s="56">
        <v>12</v>
      </c>
      <c r="J22" s="57" t="s">
        <v>30</v>
      </c>
      <c r="K22" s="57"/>
      <c r="L22" s="7">
        <v>0</v>
      </c>
      <c r="M22" s="56">
        <v>0</v>
      </c>
      <c r="N22" s="8" t="str">
        <f t="shared" si="0"/>
        <v>Inactive</v>
      </c>
      <c r="O22" s="62"/>
      <c r="P22" s="58">
        <v>12</v>
      </c>
      <c r="Q22" s="59">
        <v>1</v>
      </c>
      <c r="R22" s="59">
        <v>1</v>
      </c>
      <c r="S22" s="59">
        <v>1</v>
      </c>
      <c r="T22" s="59">
        <v>1</v>
      </c>
      <c r="U22" s="59">
        <v>1</v>
      </c>
      <c r="V22" s="59">
        <v>1</v>
      </c>
      <c r="W22" s="58">
        <v>12</v>
      </c>
      <c r="X22" s="62"/>
      <c r="Y22" s="62"/>
      <c r="Z22" s="62"/>
      <c r="AA22" s="62"/>
    </row>
    <row r="23" spans="1:27" ht="16" customHeight="1" x14ac:dyDescent="0.35">
      <c r="A23" s="53" t="s">
        <v>56</v>
      </c>
      <c r="B23" s="54" t="s">
        <v>55</v>
      </c>
      <c r="C23" s="55" t="s">
        <v>52</v>
      </c>
      <c r="D23" s="55" t="s">
        <v>48</v>
      </c>
      <c r="E23" s="56">
        <v>40</v>
      </c>
      <c r="F23" s="56">
        <v>4</v>
      </c>
      <c r="G23" s="56">
        <v>4</v>
      </c>
      <c r="H23" s="56">
        <v>3</v>
      </c>
      <c r="I23" s="56">
        <v>12</v>
      </c>
      <c r="J23" s="57" t="s">
        <v>30</v>
      </c>
      <c r="K23" s="57"/>
      <c r="L23" s="7">
        <v>1</v>
      </c>
      <c r="M23" s="56">
        <v>1</v>
      </c>
      <c r="N23" s="8" t="str">
        <f t="shared" si="0"/>
        <v>Active</v>
      </c>
      <c r="O23" s="54"/>
      <c r="P23" s="58">
        <v>12</v>
      </c>
      <c r="Q23" s="59">
        <v>1</v>
      </c>
      <c r="R23" s="59">
        <v>1</v>
      </c>
      <c r="S23" s="59">
        <v>1</v>
      </c>
      <c r="T23" s="59">
        <v>1</v>
      </c>
      <c r="U23" s="59">
        <v>1</v>
      </c>
      <c r="V23" s="59">
        <v>1</v>
      </c>
      <c r="W23" s="58">
        <v>12</v>
      </c>
      <c r="X23" s="225">
        <v>21493.200000000001</v>
      </c>
      <c r="Y23" s="54"/>
      <c r="Z23" s="223">
        <v>25346.67</v>
      </c>
      <c r="AA23" s="54"/>
    </row>
    <row r="24" spans="1:27" ht="16" customHeight="1" x14ac:dyDescent="0.35">
      <c r="A24" s="61" t="s">
        <v>56</v>
      </c>
      <c r="B24" s="62" t="s">
        <v>53</v>
      </c>
      <c r="C24" s="63" t="s">
        <v>52</v>
      </c>
      <c r="D24" s="63" t="s">
        <v>48</v>
      </c>
      <c r="E24" s="56">
        <v>50</v>
      </c>
      <c r="F24" s="56">
        <v>4</v>
      </c>
      <c r="G24" s="56">
        <v>4</v>
      </c>
      <c r="H24" s="56">
        <v>3</v>
      </c>
      <c r="I24" s="56">
        <v>12</v>
      </c>
      <c r="J24" s="57" t="s">
        <v>30</v>
      </c>
      <c r="K24" s="57"/>
      <c r="L24" s="7">
        <v>0</v>
      </c>
      <c r="M24" s="56">
        <v>0</v>
      </c>
      <c r="N24" s="8" t="str">
        <f t="shared" si="0"/>
        <v>Inactive</v>
      </c>
      <c r="O24" s="62"/>
      <c r="P24" s="58">
        <v>12</v>
      </c>
      <c r="Q24" s="59">
        <v>1</v>
      </c>
      <c r="R24" s="59">
        <v>1</v>
      </c>
      <c r="S24" s="59">
        <v>1</v>
      </c>
      <c r="T24" s="59">
        <v>1</v>
      </c>
      <c r="U24" s="59">
        <v>1</v>
      </c>
      <c r="V24" s="59">
        <v>1</v>
      </c>
      <c r="W24" s="58">
        <v>12</v>
      </c>
      <c r="X24" s="62"/>
      <c r="Y24" s="62"/>
      <c r="Z24" s="62"/>
      <c r="AA24" s="62"/>
    </row>
    <row r="25" spans="1:27" ht="16" customHeight="1" x14ac:dyDescent="0.35">
      <c r="A25" s="53" t="s">
        <v>57</v>
      </c>
      <c r="B25" s="54" t="s">
        <v>55</v>
      </c>
      <c r="C25" s="55" t="s">
        <v>52</v>
      </c>
      <c r="D25" s="55" t="s">
        <v>48</v>
      </c>
      <c r="E25" s="56">
        <v>95</v>
      </c>
      <c r="F25" s="56">
        <v>4</v>
      </c>
      <c r="G25" s="56">
        <v>4</v>
      </c>
      <c r="H25" s="56">
        <v>3</v>
      </c>
      <c r="I25" s="56">
        <v>12</v>
      </c>
      <c r="J25" s="57" t="s">
        <v>30</v>
      </c>
      <c r="K25" s="57"/>
      <c r="L25" s="7">
        <v>1</v>
      </c>
      <c r="M25" s="56">
        <v>1</v>
      </c>
      <c r="N25" s="8" t="str">
        <f t="shared" si="0"/>
        <v>Active</v>
      </c>
      <c r="O25" s="54"/>
      <c r="P25" s="58">
        <v>12</v>
      </c>
      <c r="Q25" s="59">
        <v>1</v>
      </c>
      <c r="R25" s="59">
        <v>1</v>
      </c>
      <c r="S25" s="59">
        <v>1</v>
      </c>
      <c r="T25" s="59">
        <v>1</v>
      </c>
      <c r="U25" s="59">
        <v>1</v>
      </c>
      <c r="V25" s="59">
        <v>1</v>
      </c>
      <c r="W25" s="58">
        <v>12</v>
      </c>
      <c r="X25" s="225">
        <v>19545.849999999999</v>
      </c>
      <c r="Y25" s="54"/>
      <c r="Z25" s="223">
        <v>20083.330000000002</v>
      </c>
      <c r="AA25" s="54"/>
    </row>
    <row r="26" spans="1:27" ht="16" customHeight="1" x14ac:dyDescent="0.35">
      <c r="A26" s="61" t="s">
        <v>57</v>
      </c>
      <c r="B26" s="62" t="s">
        <v>53</v>
      </c>
      <c r="C26" s="63" t="s">
        <v>52</v>
      </c>
      <c r="D26" s="63" t="s">
        <v>48</v>
      </c>
      <c r="E26" s="56">
        <v>100</v>
      </c>
      <c r="F26" s="56">
        <v>4</v>
      </c>
      <c r="G26" s="56">
        <v>4</v>
      </c>
      <c r="H26" s="56">
        <v>3</v>
      </c>
      <c r="I26" s="56">
        <v>12</v>
      </c>
      <c r="J26" s="57" t="s">
        <v>30</v>
      </c>
      <c r="K26" s="57"/>
      <c r="L26" s="7">
        <v>0</v>
      </c>
      <c r="M26" s="56">
        <v>0</v>
      </c>
      <c r="N26" s="8" t="str">
        <f t="shared" si="0"/>
        <v>Inactive</v>
      </c>
      <c r="O26" s="62"/>
      <c r="P26" s="58">
        <v>12</v>
      </c>
      <c r="Q26" s="59">
        <v>1</v>
      </c>
      <c r="R26" s="59">
        <v>1</v>
      </c>
      <c r="S26" s="59">
        <v>1</v>
      </c>
      <c r="T26" s="59">
        <v>1</v>
      </c>
      <c r="U26" s="59">
        <v>1</v>
      </c>
      <c r="V26" s="59">
        <v>1</v>
      </c>
      <c r="W26" s="58">
        <v>12</v>
      </c>
      <c r="X26" s="62"/>
      <c r="Y26" s="62"/>
      <c r="Z26" s="62"/>
      <c r="AA26" s="62"/>
    </row>
    <row r="27" spans="1:27" ht="16" customHeight="1" x14ac:dyDescent="0.35">
      <c r="A27" s="53" t="s">
        <v>58</v>
      </c>
      <c r="B27" s="54" t="s">
        <v>55</v>
      </c>
      <c r="C27" s="55" t="s">
        <v>52</v>
      </c>
      <c r="D27" s="55" t="s">
        <v>48</v>
      </c>
      <c r="E27" s="56">
        <v>165</v>
      </c>
      <c r="F27" s="56">
        <v>4</v>
      </c>
      <c r="G27" s="56">
        <v>4</v>
      </c>
      <c r="H27" s="56">
        <v>3</v>
      </c>
      <c r="I27" s="56">
        <v>12</v>
      </c>
      <c r="J27" s="57" t="s">
        <v>30</v>
      </c>
      <c r="K27" s="57"/>
      <c r="L27" s="7">
        <v>1</v>
      </c>
      <c r="M27" s="56">
        <v>1</v>
      </c>
      <c r="N27" s="8" t="str">
        <f t="shared" si="0"/>
        <v>Active</v>
      </c>
      <c r="O27" s="54"/>
      <c r="P27" s="58">
        <v>12</v>
      </c>
      <c r="Q27" s="59">
        <v>1</v>
      </c>
      <c r="R27" s="59">
        <v>1</v>
      </c>
      <c r="S27" s="59">
        <v>1</v>
      </c>
      <c r="T27" s="59">
        <v>1</v>
      </c>
      <c r="U27" s="59">
        <v>1</v>
      </c>
      <c r="V27" s="59">
        <v>1</v>
      </c>
      <c r="W27" s="58">
        <v>12</v>
      </c>
      <c r="X27" s="225">
        <v>8534.06</v>
      </c>
      <c r="Y27" s="54"/>
      <c r="Z27" s="223">
        <v>9085</v>
      </c>
      <c r="AA27" s="54"/>
    </row>
    <row r="28" spans="1:27" ht="16" customHeight="1" x14ac:dyDescent="0.35">
      <c r="A28" s="61" t="s">
        <v>58</v>
      </c>
      <c r="B28" s="62" t="s">
        <v>53</v>
      </c>
      <c r="C28" s="63" t="s">
        <v>52</v>
      </c>
      <c r="D28" s="63" t="s">
        <v>48</v>
      </c>
      <c r="E28" s="56">
        <v>100</v>
      </c>
      <c r="F28" s="56">
        <v>4</v>
      </c>
      <c r="G28" s="56">
        <v>4</v>
      </c>
      <c r="H28" s="56">
        <v>3</v>
      </c>
      <c r="I28" s="56">
        <v>12</v>
      </c>
      <c r="J28" s="57" t="s">
        <v>30</v>
      </c>
      <c r="K28" s="57"/>
      <c r="L28" s="7">
        <v>0</v>
      </c>
      <c r="M28" s="56">
        <v>0</v>
      </c>
      <c r="N28" s="8" t="str">
        <f t="shared" si="0"/>
        <v>Inactive</v>
      </c>
      <c r="O28" s="62"/>
      <c r="P28" s="58">
        <v>12</v>
      </c>
      <c r="Q28" s="59">
        <v>1</v>
      </c>
      <c r="R28" s="59">
        <v>1</v>
      </c>
      <c r="S28" s="59">
        <v>1</v>
      </c>
      <c r="T28" s="59">
        <v>1</v>
      </c>
      <c r="U28" s="59">
        <v>1</v>
      </c>
      <c r="V28" s="59">
        <v>1</v>
      </c>
      <c r="W28" s="58">
        <v>12</v>
      </c>
      <c r="X28" s="62"/>
      <c r="Y28" s="62"/>
      <c r="Z28" s="62"/>
      <c r="AA28" s="62"/>
    </row>
    <row r="29" spans="1:27" ht="16" customHeight="1" x14ac:dyDescent="0.35">
      <c r="A29" s="53" t="s">
        <v>923</v>
      </c>
      <c r="B29" s="54" t="s">
        <v>924</v>
      </c>
      <c r="C29" s="55" t="s">
        <v>28</v>
      </c>
      <c r="D29" s="55" t="s">
        <v>29</v>
      </c>
      <c r="E29" s="56">
        <v>1</v>
      </c>
      <c r="F29" s="56">
        <v>3</v>
      </c>
      <c r="G29" s="56">
        <v>6</v>
      </c>
      <c r="H29" s="56">
        <v>4</v>
      </c>
      <c r="I29" s="56">
        <v>12</v>
      </c>
      <c r="J29" s="57">
        <v>46023</v>
      </c>
      <c r="K29" s="57"/>
      <c r="L29" s="7">
        <v>1</v>
      </c>
      <c r="M29" s="56">
        <v>1</v>
      </c>
      <c r="N29" s="8" t="str">
        <f ca="1">IF(AND(OR(J29="",J29&lt;=TODAY()),OR(K29="",K29&gt;=TODAY())),IF(L29=1,"Active","Inactive"),"Inactive")</f>
        <v>Active</v>
      </c>
      <c r="O29" s="54"/>
      <c r="P29" s="58">
        <v>9</v>
      </c>
      <c r="Q29" s="59"/>
      <c r="R29" s="59"/>
      <c r="S29" s="59"/>
      <c r="T29" s="59"/>
      <c r="U29" s="59"/>
      <c r="V29" s="59"/>
      <c r="W29" s="58"/>
      <c r="X29" s="54"/>
      <c r="Y29" s="54"/>
      <c r="Z29" s="54"/>
      <c r="AA29" s="54"/>
    </row>
  </sheetData>
  <mergeCells count="2">
    <mergeCell ref="A2:AA2"/>
    <mergeCell ref="A1:AA1"/>
  </mergeCells>
  <pageMargins left="0.75" right="0.75" top="1" bottom="1" header="0.5" footer="0.5"/>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print="0" autoFill="0" autoPict="0" macro="[0]!AddNewProduct">
                <anchor moveWithCells="1" sizeWithCells="1">
                  <from>
                    <xdr:col>0</xdr:col>
                    <xdr:colOff>1104900</xdr:colOff>
                    <xdr:row>0</xdr:row>
                    <xdr:rowOff>57150</xdr:rowOff>
                  </from>
                  <to>
                    <xdr:col>1</xdr:col>
                    <xdr:colOff>1841500</xdr:colOff>
                    <xdr:row>2</xdr:row>
                    <xdr:rowOff>19050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P37"/>
  <sheetViews>
    <sheetView showGridLines="0" zoomScale="70" zoomScaleNormal="70" workbookViewId="0">
      <pane ySplit="4" topLeftCell="A5" activePane="bottomLeft" state="frozen"/>
      <selection pane="bottomLeft" activeCell="F30" sqref="F30"/>
    </sheetView>
  </sheetViews>
  <sheetFormatPr defaultRowHeight="14.5" x14ac:dyDescent="0.35"/>
  <cols>
    <col min="1" max="1" width="22" customWidth="1"/>
    <col min="2" max="2" width="14" customWidth="1"/>
    <col min="3" max="3" width="12" customWidth="1"/>
    <col min="4" max="4" width="10" customWidth="1"/>
    <col min="5" max="5" width="16" customWidth="1"/>
    <col min="6" max="7" width="13" customWidth="1"/>
    <col min="8" max="8" width="22" customWidth="1"/>
    <col min="9" max="9" width="12" customWidth="1"/>
    <col min="10" max="10" width="13" customWidth="1"/>
    <col min="11" max="11" width="11" customWidth="1"/>
    <col min="12" max="12" width="20" customWidth="1"/>
    <col min="13" max="14" width="12" customWidth="1"/>
    <col min="15" max="15" width="9" customWidth="1"/>
    <col min="16" max="16" width="30" customWidth="1"/>
  </cols>
  <sheetData>
    <row r="1" spans="1:16" ht="20" customHeight="1" x14ac:dyDescent="0.35">
      <c r="A1" s="396" t="s">
        <v>59</v>
      </c>
      <c r="B1" s="395"/>
      <c r="C1" s="395"/>
      <c r="D1" s="395"/>
      <c r="E1" s="395"/>
      <c r="F1" s="395"/>
      <c r="G1" s="395"/>
      <c r="H1" s="395"/>
      <c r="I1" s="395"/>
      <c r="J1" s="395"/>
      <c r="K1" s="395"/>
      <c r="L1" s="395"/>
      <c r="M1" s="395"/>
      <c r="N1" s="395"/>
      <c r="O1" s="395"/>
      <c r="P1" s="395"/>
    </row>
    <row r="2" spans="1:16" x14ac:dyDescent="0.35">
      <c r="A2" s="403" t="s">
        <v>60</v>
      </c>
      <c r="B2" s="395"/>
      <c r="C2" s="395"/>
      <c r="D2" s="395"/>
      <c r="E2" s="395"/>
      <c r="F2" s="395"/>
      <c r="G2" s="395"/>
      <c r="H2" s="395"/>
      <c r="I2" s="395"/>
      <c r="J2" s="395"/>
      <c r="K2" s="395"/>
      <c r="L2" s="395"/>
      <c r="M2" s="395"/>
      <c r="N2" s="395"/>
      <c r="O2" s="395"/>
      <c r="P2" s="395"/>
    </row>
    <row r="4" spans="1:16" ht="32" customHeight="1" x14ac:dyDescent="0.35">
      <c r="A4" s="18" t="s">
        <v>61</v>
      </c>
      <c r="B4" s="18" t="s">
        <v>38</v>
      </c>
      <c r="C4" s="18" t="s">
        <v>62</v>
      </c>
      <c r="D4" s="18" t="s">
        <v>63</v>
      </c>
      <c r="E4" s="18" t="s">
        <v>64</v>
      </c>
      <c r="F4" s="18" t="s">
        <v>65</v>
      </c>
      <c r="G4" s="18" t="s">
        <v>66</v>
      </c>
      <c r="H4" s="18" t="s">
        <v>67</v>
      </c>
      <c r="I4" s="18" t="s">
        <v>68</v>
      </c>
      <c r="J4" s="18" t="s">
        <v>69</v>
      </c>
      <c r="K4" s="18" t="s">
        <v>7</v>
      </c>
      <c r="L4" s="18" t="s">
        <v>70</v>
      </c>
      <c r="M4" s="18" t="s">
        <v>71</v>
      </c>
      <c r="N4" s="18" t="s">
        <v>72</v>
      </c>
      <c r="O4" s="18" t="s">
        <v>73</v>
      </c>
      <c r="P4" s="18" t="s">
        <v>16</v>
      </c>
    </row>
    <row r="5" spans="1:16" ht="15" customHeight="1" x14ac:dyDescent="0.35">
      <c r="A5" s="64" t="s">
        <v>74</v>
      </c>
      <c r="B5" s="54" t="s">
        <v>26</v>
      </c>
      <c r="C5" s="55" t="s">
        <v>75</v>
      </c>
      <c r="D5" s="55" t="s">
        <v>76</v>
      </c>
      <c r="E5" s="54" t="s">
        <v>77</v>
      </c>
      <c r="F5" s="60">
        <v>1</v>
      </c>
      <c r="G5" s="57" t="s">
        <v>78</v>
      </c>
      <c r="H5" s="5" t="s">
        <v>79</v>
      </c>
      <c r="I5" s="4" t="s">
        <v>80</v>
      </c>
      <c r="J5" s="56">
        <v>18000</v>
      </c>
      <c r="K5" s="56">
        <v>3</v>
      </c>
      <c r="L5" s="65" t="s">
        <v>81</v>
      </c>
      <c r="M5" s="66">
        <v>6.84</v>
      </c>
      <c r="N5" s="66">
        <v>6.84</v>
      </c>
      <c r="O5" s="4" t="s">
        <v>82</v>
      </c>
      <c r="P5" s="67" t="s">
        <v>83</v>
      </c>
    </row>
    <row r="6" spans="1:16" ht="15" customHeight="1" x14ac:dyDescent="0.35">
      <c r="A6" s="68" t="s">
        <v>84</v>
      </c>
      <c r="B6" s="62" t="s">
        <v>26</v>
      </c>
      <c r="C6" s="63" t="s">
        <v>85</v>
      </c>
      <c r="D6" s="63" t="s">
        <v>76</v>
      </c>
      <c r="E6" s="62" t="s">
        <v>77</v>
      </c>
      <c r="F6" s="60">
        <v>1</v>
      </c>
      <c r="G6" s="57" t="s">
        <v>34</v>
      </c>
      <c r="H6" s="5" t="s">
        <v>86</v>
      </c>
      <c r="I6" s="12" t="s">
        <v>80</v>
      </c>
      <c r="J6" s="56">
        <v>18000</v>
      </c>
      <c r="K6" s="56">
        <v>3</v>
      </c>
      <c r="L6" s="65" t="s">
        <v>931</v>
      </c>
      <c r="M6" s="66">
        <v>6.84</v>
      </c>
      <c r="N6" s="66">
        <v>6.84</v>
      </c>
      <c r="O6" s="12" t="s">
        <v>82</v>
      </c>
      <c r="P6" s="69" t="s">
        <v>87</v>
      </c>
    </row>
    <row r="7" spans="1:16" ht="15" customHeight="1" x14ac:dyDescent="0.35">
      <c r="A7" s="64" t="s">
        <v>88</v>
      </c>
      <c r="B7" s="54" t="s">
        <v>26</v>
      </c>
      <c r="C7" s="55" t="s">
        <v>89</v>
      </c>
      <c r="D7" s="55" t="s">
        <v>76</v>
      </c>
      <c r="E7" s="54" t="s">
        <v>77</v>
      </c>
      <c r="F7" s="58">
        <v>0</v>
      </c>
      <c r="G7" s="57"/>
      <c r="H7" s="5" t="s">
        <v>90</v>
      </c>
      <c r="I7" s="4" t="s">
        <v>80</v>
      </c>
      <c r="J7" s="56">
        <v>18000</v>
      </c>
      <c r="K7" s="56">
        <v>3</v>
      </c>
      <c r="L7" s="60" t="s">
        <v>91</v>
      </c>
      <c r="M7" s="183" t="s">
        <v>745</v>
      </c>
      <c r="N7" s="66">
        <v>6.84</v>
      </c>
      <c r="O7" s="4" t="s">
        <v>82</v>
      </c>
      <c r="P7" s="67" t="s">
        <v>92</v>
      </c>
    </row>
    <row r="8" spans="1:16" ht="15" customHeight="1" x14ac:dyDescent="0.35">
      <c r="A8" s="68" t="s">
        <v>93</v>
      </c>
      <c r="B8" s="62" t="s">
        <v>26</v>
      </c>
      <c r="C8" s="63" t="s">
        <v>94</v>
      </c>
      <c r="D8" s="63" t="s">
        <v>76</v>
      </c>
      <c r="E8" s="62" t="s">
        <v>77</v>
      </c>
      <c r="F8" s="58">
        <v>0</v>
      </c>
      <c r="G8" s="57"/>
      <c r="H8" s="5" t="s">
        <v>90</v>
      </c>
      <c r="I8" s="12" t="s">
        <v>80</v>
      </c>
      <c r="J8" s="56">
        <v>18000</v>
      </c>
      <c r="K8" s="56">
        <v>3</v>
      </c>
      <c r="L8" s="60" t="s">
        <v>91</v>
      </c>
      <c r="M8" s="66">
        <v>6.84</v>
      </c>
      <c r="N8" s="66">
        <v>6.84</v>
      </c>
      <c r="O8" s="12" t="s">
        <v>82</v>
      </c>
      <c r="P8" s="69" t="s">
        <v>92</v>
      </c>
    </row>
    <row r="9" spans="1:16" ht="15" customHeight="1" x14ac:dyDescent="0.35">
      <c r="A9" s="64" t="s">
        <v>95</v>
      </c>
      <c r="B9" s="54" t="s">
        <v>35</v>
      </c>
      <c r="C9" s="55" t="s">
        <v>75</v>
      </c>
      <c r="D9" s="55" t="s">
        <v>76</v>
      </c>
      <c r="E9" s="54" t="s">
        <v>77</v>
      </c>
      <c r="F9" s="60">
        <v>1</v>
      </c>
      <c r="G9" s="57" t="s">
        <v>78</v>
      </c>
      <c r="H9" s="5" t="s">
        <v>96</v>
      </c>
      <c r="I9" s="4" t="s">
        <v>80</v>
      </c>
      <c r="J9" s="56">
        <v>11500</v>
      </c>
      <c r="K9" s="56">
        <v>3</v>
      </c>
      <c r="L9" s="65" t="s">
        <v>81</v>
      </c>
      <c r="M9" s="66">
        <v>6.84</v>
      </c>
      <c r="N9" s="66">
        <v>6.84</v>
      </c>
      <c r="O9" s="4" t="s">
        <v>82</v>
      </c>
      <c r="P9" s="67" t="s">
        <v>97</v>
      </c>
    </row>
    <row r="10" spans="1:16" ht="15" customHeight="1" x14ac:dyDescent="0.35">
      <c r="A10" s="68" t="s">
        <v>98</v>
      </c>
      <c r="B10" s="62" t="s">
        <v>35</v>
      </c>
      <c r="C10" s="63" t="s">
        <v>85</v>
      </c>
      <c r="D10" s="63" t="s">
        <v>76</v>
      </c>
      <c r="E10" s="62" t="s">
        <v>77</v>
      </c>
      <c r="F10" s="60">
        <v>1</v>
      </c>
      <c r="G10" s="57" t="s">
        <v>34</v>
      </c>
      <c r="H10" s="5" t="s">
        <v>99</v>
      </c>
      <c r="I10" s="12" t="s">
        <v>80</v>
      </c>
      <c r="J10" s="56">
        <v>11500</v>
      </c>
      <c r="K10" s="56">
        <v>3</v>
      </c>
      <c r="L10" s="65" t="s">
        <v>931</v>
      </c>
      <c r="M10" s="66">
        <v>6.84</v>
      </c>
      <c r="N10" s="66">
        <v>6.84</v>
      </c>
      <c r="O10" s="12" t="s">
        <v>82</v>
      </c>
      <c r="P10" s="69" t="s">
        <v>87</v>
      </c>
    </row>
    <row r="11" spans="1:16" ht="15" customHeight="1" x14ac:dyDescent="0.35">
      <c r="A11" s="64" t="s">
        <v>100</v>
      </c>
      <c r="B11" s="54" t="s">
        <v>35</v>
      </c>
      <c r="C11" s="55" t="s">
        <v>89</v>
      </c>
      <c r="D11" s="55" t="s">
        <v>76</v>
      </c>
      <c r="E11" s="54" t="s">
        <v>77</v>
      </c>
      <c r="F11" s="58">
        <v>0</v>
      </c>
      <c r="G11" s="57"/>
      <c r="H11" s="5" t="s">
        <v>90</v>
      </c>
      <c r="I11" s="4" t="s">
        <v>80</v>
      </c>
      <c r="J11" s="56">
        <v>11500</v>
      </c>
      <c r="K11" s="56">
        <v>3</v>
      </c>
      <c r="L11" s="60" t="s">
        <v>91</v>
      </c>
      <c r="M11" s="66">
        <v>6.84</v>
      </c>
      <c r="N11" s="66">
        <v>6.84</v>
      </c>
      <c r="O11" s="4" t="s">
        <v>82</v>
      </c>
      <c r="P11" s="67" t="s">
        <v>92</v>
      </c>
    </row>
    <row r="12" spans="1:16" ht="15" customHeight="1" x14ac:dyDescent="0.35">
      <c r="A12" s="68" t="s">
        <v>101</v>
      </c>
      <c r="B12" s="62" t="s">
        <v>35</v>
      </c>
      <c r="C12" s="63" t="s">
        <v>94</v>
      </c>
      <c r="D12" s="63" t="s">
        <v>76</v>
      </c>
      <c r="E12" s="62" t="s">
        <v>77</v>
      </c>
      <c r="F12" s="58">
        <v>0</v>
      </c>
      <c r="G12" s="57"/>
      <c r="H12" s="5" t="s">
        <v>90</v>
      </c>
      <c r="I12" s="12" t="s">
        <v>80</v>
      </c>
      <c r="J12" s="56">
        <v>11500</v>
      </c>
      <c r="K12" s="56">
        <v>3</v>
      </c>
      <c r="L12" s="60" t="s">
        <v>91</v>
      </c>
      <c r="M12" s="66">
        <v>6.84</v>
      </c>
      <c r="N12" s="66">
        <v>6.84</v>
      </c>
      <c r="O12" s="12" t="s">
        <v>82</v>
      </c>
      <c r="P12" s="69" t="s">
        <v>92</v>
      </c>
    </row>
    <row r="13" spans="1:16" ht="15" customHeight="1" x14ac:dyDescent="0.35">
      <c r="A13" s="70" t="s">
        <v>102</v>
      </c>
      <c r="B13" s="71" t="s">
        <v>26</v>
      </c>
      <c r="C13" s="72" t="s">
        <v>75</v>
      </c>
      <c r="D13" s="72" t="s">
        <v>103</v>
      </c>
      <c r="E13" s="71" t="s">
        <v>104</v>
      </c>
      <c r="F13" s="60">
        <v>1</v>
      </c>
      <c r="G13" s="57" t="s">
        <v>105</v>
      </c>
      <c r="H13" s="5"/>
      <c r="I13" s="76" t="s">
        <v>106</v>
      </c>
      <c r="J13" s="56">
        <v>18000</v>
      </c>
      <c r="K13" s="56">
        <v>4</v>
      </c>
      <c r="L13" s="65" t="s">
        <v>107</v>
      </c>
      <c r="M13" s="66">
        <v>8.1999999999999993</v>
      </c>
      <c r="N13" s="66">
        <v>7.52</v>
      </c>
      <c r="O13" s="76" t="s">
        <v>108</v>
      </c>
      <c r="P13" s="73" t="s">
        <v>109</v>
      </c>
    </row>
    <row r="14" spans="1:16" ht="15" customHeight="1" x14ac:dyDescent="0.35">
      <c r="A14" s="70" t="s">
        <v>110</v>
      </c>
      <c r="B14" s="71" t="s">
        <v>26</v>
      </c>
      <c r="C14" s="72" t="s">
        <v>75</v>
      </c>
      <c r="D14" s="72" t="s">
        <v>103</v>
      </c>
      <c r="E14" s="71" t="s">
        <v>111</v>
      </c>
      <c r="F14" s="60">
        <v>1</v>
      </c>
      <c r="G14" s="57" t="s">
        <v>105</v>
      </c>
      <c r="H14" s="5"/>
      <c r="I14" s="76" t="s">
        <v>106</v>
      </c>
      <c r="J14" s="56">
        <v>18000</v>
      </c>
      <c r="K14" s="56">
        <v>4</v>
      </c>
      <c r="L14" s="65" t="s">
        <v>107</v>
      </c>
      <c r="M14" s="66">
        <v>8.1999999999999993</v>
      </c>
      <c r="N14" s="66">
        <v>7.52</v>
      </c>
      <c r="O14" s="76" t="s">
        <v>108</v>
      </c>
      <c r="P14" s="73" t="s">
        <v>112</v>
      </c>
    </row>
    <row r="15" spans="1:16" ht="15" customHeight="1" x14ac:dyDescent="0.35">
      <c r="A15" s="70" t="s">
        <v>113</v>
      </c>
      <c r="B15" s="71" t="s">
        <v>26</v>
      </c>
      <c r="C15" s="72" t="s">
        <v>75</v>
      </c>
      <c r="D15" s="72" t="s">
        <v>103</v>
      </c>
      <c r="E15" s="71" t="s">
        <v>114</v>
      </c>
      <c r="F15" s="60">
        <v>1</v>
      </c>
      <c r="G15" s="57" t="s">
        <v>105</v>
      </c>
      <c r="H15" s="5"/>
      <c r="I15" s="76" t="s">
        <v>115</v>
      </c>
      <c r="J15" s="56">
        <v>18000</v>
      </c>
      <c r="K15" s="56">
        <v>4</v>
      </c>
      <c r="L15" s="65" t="s">
        <v>107</v>
      </c>
      <c r="M15" s="66">
        <v>8.1999999999999993</v>
      </c>
      <c r="N15" s="66">
        <v>7.52</v>
      </c>
      <c r="O15" s="76" t="s">
        <v>108</v>
      </c>
      <c r="P15" s="73" t="s">
        <v>116</v>
      </c>
    </row>
    <row r="16" spans="1:16" ht="15" customHeight="1" x14ac:dyDescent="0.35">
      <c r="A16" s="70" t="s">
        <v>117</v>
      </c>
      <c r="B16" s="71" t="s">
        <v>35</v>
      </c>
      <c r="C16" s="72" t="s">
        <v>75</v>
      </c>
      <c r="D16" s="72" t="s">
        <v>103</v>
      </c>
      <c r="E16" s="71" t="s">
        <v>104</v>
      </c>
      <c r="F16" s="60">
        <v>1</v>
      </c>
      <c r="G16" s="57" t="s">
        <v>105</v>
      </c>
      <c r="H16" s="5"/>
      <c r="I16" s="76" t="s">
        <v>106</v>
      </c>
      <c r="J16" s="56">
        <v>11500</v>
      </c>
      <c r="K16" s="56">
        <v>4</v>
      </c>
      <c r="L16" s="65" t="s">
        <v>107</v>
      </c>
      <c r="M16" s="66">
        <v>8.1999999999999993</v>
      </c>
      <c r="N16" s="66">
        <v>7.52</v>
      </c>
      <c r="O16" s="76" t="s">
        <v>108</v>
      </c>
      <c r="P16" s="73" t="s">
        <v>109</v>
      </c>
    </row>
    <row r="17" spans="1:16" ht="15" customHeight="1" x14ac:dyDescent="0.35">
      <c r="A17" s="70" t="s">
        <v>118</v>
      </c>
      <c r="B17" s="71" t="s">
        <v>35</v>
      </c>
      <c r="C17" s="72" t="s">
        <v>75</v>
      </c>
      <c r="D17" s="72" t="s">
        <v>103</v>
      </c>
      <c r="E17" s="71" t="s">
        <v>111</v>
      </c>
      <c r="F17" s="60">
        <v>1</v>
      </c>
      <c r="G17" s="57" t="s">
        <v>105</v>
      </c>
      <c r="H17" s="5"/>
      <c r="I17" s="76" t="s">
        <v>106</v>
      </c>
      <c r="J17" s="56">
        <v>11500</v>
      </c>
      <c r="K17" s="56">
        <v>4</v>
      </c>
      <c r="L17" s="65" t="s">
        <v>107</v>
      </c>
      <c r="M17" s="66">
        <v>8.1999999999999993</v>
      </c>
      <c r="N17" s="66">
        <v>7.52</v>
      </c>
      <c r="O17" s="76" t="s">
        <v>108</v>
      </c>
      <c r="P17" s="73" t="s">
        <v>112</v>
      </c>
    </row>
    <row r="18" spans="1:16" ht="15" customHeight="1" x14ac:dyDescent="0.35">
      <c r="A18" s="70" t="s">
        <v>119</v>
      </c>
      <c r="B18" s="71" t="s">
        <v>35</v>
      </c>
      <c r="C18" s="72" t="s">
        <v>75</v>
      </c>
      <c r="D18" s="72" t="s">
        <v>103</v>
      </c>
      <c r="E18" s="71" t="s">
        <v>114</v>
      </c>
      <c r="F18" s="60">
        <v>1</v>
      </c>
      <c r="G18" s="57" t="s">
        <v>105</v>
      </c>
      <c r="H18" s="5"/>
      <c r="I18" s="76" t="s">
        <v>115</v>
      </c>
      <c r="J18" s="56">
        <v>11500</v>
      </c>
      <c r="K18" s="56">
        <v>4</v>
      </c>
      <c r="L18" s="65" t="s">
        <v>107</v>
      </c>
      <c r="M18" s="66">
        <v>8.1999999999999993</v>
      </c>
      <c r="N18" s="66">
        <v>7.52</v>
      </c>
      <c r="O18" s="76" t="s">
        <v>108</v>
      </c>
      <c r="P18" s="73" t="s">
        <v>116</v>
      </c>
    </row>
    <row r="19" spans="1:16" ht="15" customHeight="1" x14ac:dyDescent="0.35">
      <c r="A19" s="70" t="s">
        <v>120</v>
      </c>
      <c r="B19" s="71" t="s">
        <v>26</v>
      </c>
      <c r="C19" s="72" t="s">
        <v>75</v>
      </c>
      <c r="D19" s="72" t="s">
        <v>103</v>
      </c>
      <c r="E19" s="71" t="s">
        <v>121</v>
      </c>
      <c r="F19" s="58">
        <v>0</v>
      </c>
      <c r="G19" s="57" t="s">
        <v>122</v>
      </c>
      <c r="H19" s="5"/>
      <c r="I19" s="76" t="s">
        <v>123</v>
      </c>
      <c r="J19" s="56">
        <v>18000</v>
      </c>
      <c r="K19" s="56">
        <v>5</v>
      </c>
      <c r="L19" s="60" t="s">
        <v>124</v>
      </c>
      <c r="M19" s="66">
        <v>8.1999999999999993</v>
      </c>
      <c r="N19" s="66">
        <v>7.52</v>
      </c>
      <c r="O19" s="76" t="s">
        <v>108</v>
      </c>
      <c r="P19" s="73" t="s">
        <v>125</v>
      </c>
    </row>
    <row r="20" spans="1:16" ht="15" customHeight="1" x14ac:dyDescent="0.35">
      <c r="A20" s="70" t="s">
        <v>126</v>
      </c>
      <c r="B20" s="71" t="s">
        <v>26</v>
      </c>
      <c r="C20" s="72" t="s">
        <v>75</v>
      </c>
      <c r="D20" s="72" t="s">
        <v>103</v>
      </c>
      <c r="E20" s="71" t="s">
        <v>127</v>
      </c>
      <c r="F20" s="58">
        <v>0</v>
      </c>
      <c r="G20" s="57" t="s">
        <v>122</v>
      </c>
      <c r="H20" s="5"/>
      <c r="I20" s="76" t="s">
        <v>128</v>
      </c>
      <c r="J20" s="56">
        <v>18000</v>
      </c>
      <c r="K20" s="56">
        <v>5</v>
      </c>
      <c r="L20" s="60" t="s">
        <v>124</v>
      </c>
      <c r="M20" s="66">
        <v>8.1999999999999993</v>
      </c>
      <c r="N20" s="66">
        <v>7.52</v>
      </c>
      <c r="O20" s="76" t="s">
        <v>108</v>
      </c>
      <c r="P20" s="73" t="s">
        <v>125</v>
      </c>
    </row>
    <row r="21" spans="1:16" ht="15" customHeight="1" x14ac:dyDescent="0.35">
      <c r="A21" s="70" t="s">
        <v>129</v>
      </c>
      <c r="B21" s="71" t="s">
        <v>26</v>
      </c>
      <c r="C21" s="72" t="s">
        <v>75</v>
      </c>
      <c r="D21" s="72" t="s">
        <v>103</v>
      </c>
      <c r="E21" s="71" t="s">
        <v>130</v>
      </c>
      <c r="F21" s="58">
        <v>0</v>
      </c>
      <c r="G21" s="57" t="s">
        <v>122</v>
      </c>
      <c r="H21" s="5"/>
      <c r="I21" s="76" t="s">
        <v>131</v>
      </c>
      <c r="J21" s="56">
        <v>18000</v>
      </c>
      <c r="K21" s="56">
        <v>5</v>
      </c>
      <c r="L21" s="60" t="s">
        <v>124</v>
      </c>
      <c r="M21" s="66">
        <v>8.1999999999999993</v>
      </c>
      <c r="N21" s="66">
        <v>7.52</v>
      </c>
      <c r="O21" s="76" t="s">
        <v>108</v>
      </c>
      <c r="P21" s="73" t="s">
        <v>125</v>
      </c>
    </row>
    <row r="22" spans="1:16" ht="15" customHeight="1" x14ac:dyDescent="0.35">
      <c r="A22" s="70" t="s">
        <v>132</v>
      </c>
      <c r="B22" s="71" t="s">
        <v>35</v>
      </c>
      <c r="C22" s="72" t="s">
        <v>75</v>
      </c>
      <c r="D22" s="72" t="s">
        <v>103</v>
      </c>
      <c r="E22" s="71" t="s">
        <v>121</v>
      </c>
      <c r="F22" s="58">
        <v>0</v>
      </c>
      <c r="G22" s="57" t="s">
        <v>122</v>
      </c>
      <c r="H22" s="5"/>
      <c r="I22" s="76" t="s">
        <v>123</v>
      </c>
      <c r="J22" s="56">
        <v>11500</v>
      </c>
      <c r="K22" s="56">
        <v>5</v>
      </c>
      <c r="L22" s="60" t="s">
        <v>124</v>
      </c>
      <c r="M22" s="66">
        <v>8.1999999999999993</v>
      </c>
      <c r="N22" s="66">
        <v>7.52</v>
      </c>
      <c r="O22" s="76" t="s">
        <v>108</v>
      </c>
      <c r="P22" s="73" t="s">
        <v>125</v>
      </c>
    </row>
    <row r="23" spans="1:16" ht="15" customHeight="1" x14ac:dyDescent="0.35">
      <c r="A23" s="70" t="s">
        <v>133</v>
      </c>
      <c r="B23" s="71" t="s">
        <v>35</v>
      </c>
      <c r="C23" s="72" t="s">
        <v>75</v>
      </c>
      <c r="D23" s="72" t="s">
        <v>103</v>
      </c>
      <c r="E23" s="71" t="s">
        <v>127</v>
      </c>
      <c r="F23" s="58">
        <v>0</v>
      </c>
      <c r="G23" s="57" t="s">
        <v>122</v>
      </c>
      <c r="H23" s="5"/>
      <c r="I23" s="76" t="s">
        <v>128</v>
      </c>
      <c r="J23" s="56">
        <v>11500</v>
      </c>
      <c r="K23" s="56">
        <v>5</v>
      </c>
      <c r="L23" s="60" t="s">
        <v>124</v>
      </c>
      <c r="M23" s="66">
        <v>8.1999999999999993</v>
      </c>
      <c r="N23" s="66">
        <v>7.52</v>
      </c>
      <c r="O23" s="76" t="s">
        <v>108</v>
      </c>
      <c r="P23" s="73" t="s">
        <v>125</v>
      </c>
    </row>
    <row r="24" spans="1:16" ht="15" customHeight="1" x14ac:dyDescent="0.35">
      <c r="A24" s="70" t="s">
        <v>134</v>
      </c>
      <c r="B24" s="71" t="s">
        <v>35</v>
      </c>
      <c r="C24" s="72" t="s">
        <v>75</v>
      </c>
      <c r="D24" s="72" t="s">
        <v>103</v>
      </c>
      <c r="E24" s="71" t="s">
        <v>130</v>
      </c>
      <c r="F24" s="58">
        <v>0</v>
      </c>
      <c r="G24" s="57" t="s">
        <v>122</v>
      </c>
      <c r="H24" s="5"/>
      <c r="I24" s="76" t="s">
        <v>131</v>
      </c>
      <c r="J24" s="56">
        <v>11500</v>
      </c>
      <c r="K24" s="56">
        <v>5</v>
      </c>
      <c r="L24" s="60" t="s">
        <v>124</v>
      </c>
      <c r="M24" s="66">
        <v>8.1999999999999993</v>
      </c>
      <c r="N24" s="66">
        <v>7.52</v>
      </c>
      <c r="O24" s="76" t="s">
        <v>108</v>
      </c>
      <c r="P24" s="73" t="s">
        <v>125</v>
      </c>
    </row>
    <row r="25" spans="1:16" ht="15" customHeight="1" x14ac:dyDescent="0.35">
      <c r="A25" s="70" t="s">
        <v>135</v>
      </c>
      <c r="B25" s="71" t="s">
        <v>26</v>
      </c>
      <c r="C25" s="72" t="s">
        <v>85</v>
      </c>
      <c r="D25" s="72" t="s">
        <v>103</v>
      </c>
      <c r="E25" s="71" t="s">
        <v>104</v>
      </c>
      <c r="F25" s="60">
        <v>1</v>
      </c>
      <c r="G25" s="57" t="s">
        <v>136</v>
      </c>
      <c r="H25" s="5"/>
      <c r="I25" s="76" t="s">
        <v>106</v>
      </c>
      <c r="J25" s="56">
        <v>18000</v>
      </c>
      <c r="K25" s="56">
        <v>4</v>
      </c>
      <c r="L25" s="60" t="s">
        <v>137</v>
      </c>
      <c r="M25" s="66">
        <v>8.1999999999999993</v>
      </c>
      <c r="N25" s="66">
        <v>7.52</v>
      </c>
      <c r="O25" s="76" t="s">
        <v>108</v>
      </c>
      <c r="P25" s="73" t="s">
        <v>138</v>
      </c>
    </row>
    <row r="26" spans="1:16" ht="15" customHeight="1" x14ac:dyDescent="0.35">
      <c r="A26" s="70" t="s">
        <v>139</v>
      </c>
      <c r="B26" s="71" t="s">
        <v>26</v>
      </c>
      <c r="C26" s="72" t="s">
        <v>85</v>
      </c>
      <c r="D26" s="72" t="s">
        <v>103</v>
      </c>
      <c r="E26" s="71" t="s">
        <v>111</v>
      </c>
      <c r="F26" s="60">
        <v>1</v>
      </c>
      <c r="G26" s="57" t="s">
        <v>136</v>
      </c>
      <c r="H26" s="5"/>
      <c r="I26" s="76" t="s">
        <v>106</v>
      </c>
      <c r="J26" s="56">
        <v>18000</v>
      </c>
      <c r="K26" s="56">
        <v>4</v>
      </c>
      <c r="L26" s="60" t="s">
        <v>137</v>
      </c>
      <c r="M26" s="66">
        <v>8.1999999999999993</v>
      </c>
      <c r="N26" s="66">
        <v>7.52</v>
      </c>
      <c r="O26" s="76" t="s">
        <v>108</v>
      </c>
      <c r="P26" s="73" t="s">
        <v>138</v>
      </c>
    </row>
    <row r="27" spans="1:16" ht="15" customHeight="1" x14ac:dyDescent="0.35">
      <c r="A27" s="70" t="s">
        <v>140</v>
      </c>
      <c r="B27" s="71" t="s">
        <v>26</v>
      </c>
      <c r="C27" s="72" t="s">
        <v>85</v>
      </c>
      <c r="D27" s="72" t="s">
        <v>103</v>
      </c>
      <c r="E27" s="71" t="s">
        <v>114</v>
      </c>
      <c r="F27" s="60">
        <v>1</v>
      </c>
      <c r="G27" s="57" t="s">
        <v>136</v>
      </c>
      <c r="H27" s="5"/>
      <c r="I27" s="76" t="s">
        <v>115</v>
      </c>
      <c r="J27" s="56">
        <v>18000</v>
      </c>
      <c r="K27" s="56">
        <v>4</v>
      </c>
      <c r="L27" s="60" t="s">
        <v>137</v>
      </c>
      <c r="M27" s="66">
        <v>8.1999999999999993</v>
      </c>
      <c r="N27" s="66">
        <v>7.52</v>
      </c>
      <c r="O27" s="76" t="s">
        <v>108</v>
      </c>
      <c r="P27" s="73" t="s">
        <v>138</v>
      </c>
    </row>
    <row r="28" spans="1:16" ht="15" customHeight="1" x14ac:dyDescent="0.35">
      <c r="A28" s="70" t="s">
        <v>733</v>
      </c>
      <c r="B28" s="71" t="s">
        <v>35</v>
      </c>
      <c r="C28" s="72" t="s">
        <v>85</v>
      </c>
      <c r="D28" s="72" t="s">
        <v>103</v>
      </c>
      <c r="E28" s="71" t="s">
        <v>104</v>
      </c>
      <c r="F28" s="60">
        <v>1</v>
      </c>
      <c r="G28" s="57" t="s">
        <v>105</v>
      </c>
      <c r="H28" s="5"/>
      <c r="I28" s="76" t="s">
        <v>106</v>
      </c>
      <c r="J28" s="56">
        <v>11500</v>
      </c>
      <c r="K28" s="56">
        <v>4</v>
      </c>
      <c r="L28" s="65" t="s">
        <v>107</v>
      </c>
      <c r="M28" s="66">
        <v>8.1999999999999993</v>
      </c>
      <c r="N28" s="66">
        <v>7.52</v>
      </c>
      <c r="O28" s="76" t="s">
        <v>108</v>
      </c>
      <c r="P28" s="73" t="s">
        <v>109</v>
      </c>
    </row>
    <row r="29" spans="1:16" ht="15" customHeight="1" x14ac:dyDescent="0.35">
      <c r="A29" s="70" t="s">
        <v>734</v>
      </c>
      <c r="B29" s="71" t="s">
        <v>35</v>
      </c>
      <c r="C29" s="72" t="s">
        <v>85</v>
      </c>
      <c r="D29" s="72" t="s">
        <v>103</v>
      </c>
      <c r="E29" s="71" t="s">
        <v>111</v>
      </c>
      <c r="F29" s="60">
        <v>1</v>
      </c>
      <c r="G29" s="57" t="s">
        <v>105</v>
      </c>
      <c r="H29" s="5"/>
      <c r="I29" s="76" t="s">
        <v>106</v>
      </c>
      <c r="J29" s="56">
        <v>11500</v>
      </c>
      <c r="K29" s="56">
        <v>4</v>
      </c>
      <c r="L29" s="65" t="s">
        <v>107</v>
      </c>
      <c r="M29" s="66">
        <v>8.1999999999999993</v>
      </c>
      <c r="N29" s="66">
        <v>7.52</v>
      </c>
      <c r="O29" s="76" t="s">
        <v>108</v>
      </c>
      <c r="P29" s="73" t="s">
        <v>112</v>
      </c>
    </row>
    <row r="30" spans="1:16" ht="15" customHeight="1" x14ac:dyDescent="0.35">
      <c r="A30" s="70" t="s">
        <v>735</v>
      </c>
      <c r="B30" s="71" t="s">
        <v>35</v>
      </c>
      <c r="C30" s="72" t="s">
        <v>85</v>
      </c>
      <c r="D30" s="72" t="s">
        <v>103</v>
      </c>
      <c r="E30" s="71" t="s">
        <v>114</v>
      </c>
      <c r="F30" s="60">
        <v>1</v>
      </c>
      <c r="G30" s="57" t="s">
        <v>105</v>
      </c>
      <c r="H30" s="5"/>
      <c r="I30" s="76" t="s">
        <v>115</v>
      </c>
      <c r="J30" s="56">
        <v>11500</v>
      </c>
      <c r="K30" s="56">
        <v>4</v>
      </c>
      <c r="L30" s="65" t="s">
        <v>107</v>
      </c>
      <c r="M30" s="66">
        <v>8.1999999999999993</v>
      </c>
      <c r="N30" s="66">
        <v>7.52</v>
      </c>
      <c r="O30" s="76" t="s">
        <v>108</v>
      </c>
      <c r="P30" s="73" t="s">
        <v>116</v>
      </c>
    </row>
    <row r="31" spans="1:16" ht="15" customHeight="1" x14ac:dyDescent="0.35">
      <c r="A31" s="70" t="s">
        <v>736</v>
      </c>
      <c r="B31" s="71" t="s">
        <v>35</v>
      </c>
      <c r="C31" s="72" t="s">
        <v>85</v>
      </c>
      <c r="D31" s="72" t="s">
        <v>103</v>
      </c>
      <c r="E31" s="71" t="s">
        <v>121</v>
      </c>
      <c r="F31" s="58">
        <v>0</v>
      </c>
      <c r="G31" s="57" t="s">
        <v>122</v>
      </c>
      <c r="H31" s="5"/>
      <c r="I31" s="76" t="s">
        <v>123</v>
      </c>
      <c r="J31" s="56">
        <v>11500</v>
      </c>
      <c r="K31" s="56">
        <v>5</v>
      </c>
      <c r="L31" s="60" t="s">
        <v>124</v>
      </c>
      <c r="M31" s="66">
        <v>8.1999999999999993</v>
      </c>
      <c r="N31" s="66">
        <v>7.52</v>
      </c>
      <c r="O31" s="76" t="s">
        <v>108</v>
      </c>
      <c r="P31" s="73" t="s">
        <v>125</v>
      </c>
    </row>
    <row r="32" spans="1:16" ht="15" customHeight="1" x14ac:dyDescent="0.35">
      <c r="A32" s="70" t="s">
        <v>737</v>
      </c>
      <c r="B32" s="71" t="s">
        <v>35</v>
      </c>
      <c r="C32" s="72" t="s">
        <v>85</v>
      </c>
      <c r="D32" s="72" t="s">
        <v>103</v>
      </c>
      <c r="E32" s="71" t="s">
        <v>127</v>
      </c>
      <c r="F32" s="58">
        <v>0</v>
      </c>
      <c r="G32" s="57" t="s">
        <v>122</v>
      </c>
      <c r="H32" s="5"/>
      <c r="I32" s="76" t="s">
        <v>128</v>
      </c>
      <c r="J32" s="56">
        <v>11500</v>
      </c>
      <c r="K32" s="56">
        <v>5</v>
      </c>
      <c r="L32" s="60" t="s">
        <v>124</v>
      </c>
      <c r="M32" s="66">
        <v>8.1999999999999993</v>
      </c>
      <c r="N32" s="66">
        <v>7.52</v>
      </c>
      <c r="O32" s="76" t="s">
        <v>108</v>
      </c>
      <c r="P32" s="73" t="s">
        <v>125</v>
      </c>
    </row>
    <row r="33" spans="1:16" ht="15" customHeight="1" x14ac:dyDescent="0.35">
      <c r="A33" s="70" t="s">
        <v>738</v>
      </c>
      <c r="B33" s="71" t="s">
        <v>35</v>
      </c>
      <c r="C33" s="72" t="s">
        <v>85</v>
      </c>
      <c r="D33" s="72" t="s">
        <v>103</v>
      </c>
      <c r="E33" s="71" t="s">
        <v>130</v>
      </c>
      <c r="F33" s="58">
        <v>0</v>
      </c>
      <c r="G33" s="57" t="s">
        <v>122</v>
      </c>
      <c r="H33" s="5"/>
      <c r="I33" s="76" t="s">
        <v>131</v>
      </c>
      <c r="J33" s="56">
        <v>11500</v>
      </c>
      <c r="K33" s="56">
        <v>5</v>
      </c>
      <c r="L33" s="60" t="s">
        <v>124</v>
      </c>
      <c r="M33" s="66">
        <v>8.1999999999999993</v>
      </c>
      <c r="N33" s="66">
        <v>7.52</v>
      </c>
      <c r="O33" s="76" t="s">
        <v>108</v>
      </c>
      <c r="P33" s="73" t="s">
        <v>125</v>
      </c>
    </row>
    <row r="34" spans="1:16" ht="15" customHeight="1" x14ac:dyDescent="0.35">
      <c r="A34" s="70" t="s">
        <v>739</v>
      </c>
      <c r="B34" s="71" t="s">
        <v>26</v>
      </c>
      <c r="C34" s="72" t="s">
        <v>85</v>
      </c>
      <c r="D34" s="72" t="s">
        <v>103</v>
      </c>
      <c r="E34" s="71" t="s">
        <v>121</v>
      </c>
      <c r="F34" s="58">
        <v>0</v>
      </c>
      <c r="G34" s="57" t="s">
        <v>136</v>
      </c>
      <c r="H34" s="5"/>
      <c r="I34" s="76" t="s">
        <v>106</v>
      </c>
      <c r="J34" s="56">
        <v>18000</v>
      </c>
      <c r="K34" s="56">
        <v>4</v>
      </c>
      <c r="L34" s="60" t="s">
        <v>137</v>
      </c>
      <c r="M34" s="66">
        <v>8.1999999999999993</v>
      </c>
      <c r="N34" s="66">
        <v>7.52</v>
      </c>
      <c r="O34" s="76" t="s">
        <v>108</v>
      </c>
      <c r="P34" s="73" t="s">
        <v>138</v>
      </c>
    </row>
    <row r="35" spans="1:16" ht="15" customHeight="1" x14ac:dyDescent="0.35">
      <c r="A35" s="70" t="s">
        <v>740</v>
      </c>
      <c r="B35" s="71" t="s">
        <v>26</v>
      </c>
      <c r="C35" s="72" t="s">
        <v>85</v>
      </c>
      <c r="D35" s="72" t="s">
        <v>103</v>
      </c>
      <c r="E35" s="71" t="s">
        <v>127</v>
      </c>
      <c r="F35" s="58">
        <v>0</v>
      </c>
      <c r="G35" s="57" t="s">
        <v>136</v>
      </c>
      <c r="H35" s="5"/>
      <c r="I35" s="76" t="s">
        <v>106</v>
      </c>
      <c r="J35" s="56">
        <v>18000</v>
      </c>
      <c r="K35" s="56">
        <v>4</v>
      </c>
      <c r="L35" s="60" t="s">
        <v>137</v>
      </c>
      <c r="M35" s="66">
        <v>8.1999999999999993</v>
      </c>
      <c r="N35" s="66">
        <v>7.52</v>
      </c>
      <c r="O35" s="76" t="s">
        <v>108</v>
      </c>
      <c r="P35" s="73" t="s">
        <v>138</v>
      </c>
    </row>
    <row r="36" spans="1:16" ht="15" customHeight="1" x14ac:dyDescent="0.35">
      <c r="A36" s="70" t="s">
        <v>741</v>
      </c>
      <c r="B36" s="71" t="s">
        <v>26</v>
      </c>
      <c r="C36" s="72" t="s">
        <v>85</v>
      </c>
      <c r="D36" s="72" t="s">
        <v>103</v>
      </c>
      <c r="E36" s="71" t="s">
        <v>130</v>
      </c>
      <c r="F36" s="58">
        <v>0</v>
      </c>
      <c r="G36" s="57" t="s">
        <v>136</v>
      </c>
      <c r="H36" s="5"/>
      <c r="I36" s="76" t="s">
        <v>115</v>
      </c>
      <c r="J36" s="56">
        <v>18000</v>
      </c>
      <c r="K36" s="56">
        <v>4</v>
      </c>
      <c r="L36" s="60" t="s">
        <v>137</v>
      </c>
      <c r="M36" s="66">
        <v>8.1999999999999993</v>
      </c>
      <c r="N36" s="66">
        <v>7.52</v>
      </c>
      <c r="O36" s="76" t="s">
        <v>108</v>
      </c>
      <c r="P36" s="73" t="s">
        <v>138</v>
      </c>
    </row>
    <row r="37" spans="1:16" ht="15" customHeight="1" x14ac:dyDescent="0.35">
      <c r="A37" s="70" t="s">
        <v>927</v>
      </c>
      <c r="B37" s="71" t="s">
        <v>35</v>
      </c>
      <c r="C37" s="72"/>
      <c r="D37" s="72"/>
      <c r="E37" s="71"/>
      <c r="F37" s="60">
        <v>1</v>
      </c>
      <c r="G37" s="57">
        <v>46023</v>
      </c>
      <c r="H37" s="5"/>
      <c r="I37" s="76" t="s">
        <v>928</v>
      </c>
      <c r="J37" s="56">
        <v>11500</v>
      </c>
      <c r="K37" s="56">
        <v>5</v>
      </c>
      <c r="L37" s="60" t="s">
        <v>124</v>
      </c>
      <c r="M37" s="66">
        <v>8.1999999999999993</v>
      </c>
      <c r="N37" s="66">
        <v>7.52</v>
      </c>
      <c r="O37" s="12" t="s">
        <v>82</v>
      </c>
      <c r="P37" s="67" t="s">
        <v>929</v>
      </c>
    </row>
  </sheetData>
  <mergeCells count="2">
    <mergeCell ref="A1:P1"/>
    <mergeCell ref="A2:P2"/>
  </mergeCells>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L31"/>
  <sheetViews>
    <sheetView showGridLines="0" zoomScale="70" zoomScaleNormal="70" workbookViewId="0">
      <pane ySplit="3" topLeftCell="A12" activePane="bottomLeft" state="frozen"/>
      <selection pane="bottomLeft" activeCell="D23" sqref="D23"/>
    </sheetView>
  </sheetViews>
  <sheetFormatPr defaultRowHeight="14.5" x14ac:dyDescent="0.35"/>
  <cols>
    <col min="1" max="1" width="18" customWidth="1"/>
    <col min="2" max="2" width="14" customWidth="1"/>
    <col min="3" max="3" width="8" customWidth="1"/>
    <col min="4" max="4" width="15" customWidth="1"/>
    <col min="5" max="5" width="13" customWidth="1"/>
    <col min="6" max="6" width="14" customWidth="1"/>
    <col min="7" max="7" width="11" customWidth="1"/>
    <col min="8" max="8" width="12" customWidth="1"/>
    <col min="9" max="9" width="13" customWidth="1"/>
    <col min="10" max="10" width="22" customWidth="1"/>
    <col min="11" max="11" width="16" customWidth="1"/>
    <col min="12" max="12" width="35" customWidth="1"/>
  </cols>
  <sheetData>
    <row r="1" spans="1:12" ht="22" customHeight="1" x14ac:dyDescent="0.35">
      <c r="A1" s="405" t="s">
        <v>141</v>
      </c>
      <c r="B1" s="395"/>
      <c r="C1" s="395"/>
      <c r="D1" s="395"/>
      <c r="E1" s="395"/>
      <c r="F1" s="395"/>
      <c r="G1" s="395"/>
      <c r="H1" s="395"/>
      <c r="I1" s="395"/>
      <c r="J1" s="395"/>
      <c r="K1" s="395"/>
      <c r="L1" s="395"/>
    </row>
    <row r="2" spans="1:12" ht="22" customHeight="1" x14ac:dyDescent="0.35">
      <c r="A2" s="397" t="s">
        <v>142</v>
      </c>
      <c r="B2" s="395"/>
      <c r="C2" s="395"/>
      <c r="D2" s="395"/>
      <c r="E2" s="395"/>
      <c r="F2" s="395"/>
      <c r="G2" s="395"/>
      <c r="H2" s="395"/>
      <c r="I2" s="395"/>
      <c r="J2" s="395"/>
      <c r="K2" s="395"/>
      <c r="L2" s="395"/>
    </row>
    <row r="3" spans="1:12" ht="22" customHeight="1" x14ac:dyDescent="0.35">
      <c r="A3" s="404" t="s">
        <v>143</v>
      </c>
      <c r="B3" s="395"/>
      <c r="C3" s="395"/>
      <c r="D3" s="395"/>
    </row>
    <row r="4" spans="1:12" x14ac:dyDescent="0.35">
      <c r="A4" s="18" t="s">
        <v>144</v>
      </c>
      <c r="B4" s="18" t="s">
        <v>145</v>
      </c>
      <c r="C4" s="18" t="s">
        <v>146</v>
      </c>
      <c r="D4" s="18" t="s">
        <v>16</v>
      </c>
    </row>
    <row r="5" spans="1:12" ht="16" customHeight="1" x14ac:dyDescent="0.35">
      <c r="A5" s="2" t="s">
        <v>147</v>
      </c>
      <c r="B5" s="19">
        <v>46113</v>
      </c>
      <c r="C5" s="4" t="s">
        <v>148</v>
      </c>
      <c r="D5" s="9" t="s">
        <v>149</v>
      </c>
    </row>
    <row r="6" spans="1:12" ht="16" customHeight="1" x14ac:dyDescent="0.35">
      <c r="A6" s="10" t="s">
        <v>150</v>
      </c>
      <c r="B6" s="19">
        <v>46113</v>
      </c>
      <c r="C6" s="12" t="s">
        <v>148</v>
      </c>
      <c r="D6" s="13" t="s">
        <v>151</v>
      </c>
    </row>
    <row r="7" spans="1:12" ht="16" customHeight="1" x14ac:dyDescent="0.35">
      <c r="A7" s="2" t="s">
        <v>152</v>
      </c>
      <c r="B7" s="5">
        <v>18</v>
      </c>
      <c r="C7" s="4" t="s">
        <v>153</v>
      </c>
      <c r="D7" s="9" t="s">
        <v>154</v>
      </c>
    </row>
    <row r="8" spans="1:12" ht="16" customHeight="1" x14ac:dyDescent="0.35">
      <c r="A8" s="10" t="s">
        <v>155</v>
      </c>
      <c r="B8" s="5">
        <v>9</v>
      </c>
      <c r="C8" s="12" t="s">
        <v>153</v>
      </c>
      <c r="D8" s="13" t="s">
        <v>156</v>
      </c>
    </row>
    <row r="9" spans="1:12" ht="16" customHeight="1" x14ac:dyDescent="0.35">
      <c r="A9" s="2" t="s">
        <v>157</v>
      </c>
      <c r="B9" s="5">
        <v>1</v>
      </c>
      <c r="C9" s="4" t="s">
        <v>153</v>
      </c>
      <c r="D9" s="9" t="s">
        <v>158</v>
      </c>
    </row>
    <row r="10" spans="1:12" ht="16" customHeight="1" x14ac:dyDescent="0.35">
      <c r="A10" s="10" t="s">
        <v>159</v>
      </c>
      <c r="B10" s="5">
        <v>1</v>
      </c>
      <c r="C10" s="12" t="s">
        <v>153</v>
      </c>
      <c r="D10" s="13" t="s">
        <v>160</v>
      </c>
    </row>
    <row r="11" spans="1:12" ht="16" customHeight="1" x14ac:dyDescent="0.35">
      <c r="A11" s="2" t="s">
        <v>161</v>
      </c>
      <c r="B11" s="5">
        <v>1</v>
      </c>
      <c r="C11" s="4" t="s">
        <v>153</v>
      </c>
      <c r="D11" s="9" t="s">
        <v>162</v>
      </c>
    </row>
    <row r="12" spans="1:12" ht="16" customHeight="1" x14ac:dyDescent="0.35">
      <c r="A12" s="10" t="s">
        <v>163</v>
      </c>
      <c r="B12" s="5">
        <v>1</v>
      </c>
      <c r="C12" s="12" t="s">
        <v>153</v>
      </c>
      <c r="D12" s="13" t="s">
        <v>164</v>
      </c>
    </row>
    <row r="13" spans="1:12" ht="16" customHeight="1" x14ac:dyDescent="0.35">
      <c r="A13" s="2" t="s">
        <v>165</v>
      </c>
      <c r="B13" s="5">
        <v>0</v>
      </c>
      <c r="C13" s="4" t="s">
        <v>153</v>
      </c>
      <c r="D13" s="9" t="s">
        <v>166</v>
      </c>
    </row>
    <row r="14" spans="1:12" ht="16" customHeight="1" x14ac:dyDescent="0.35">
      <c r="A14" s="10" t="s">
        <v>167</v>
      </c>
      <c r="B14" s="5">
        <v>0</v>
      </c>
      <c r="C14" s="12" t="s">
        <v>153</v>
      </c>
      <c r="D14" s="13" t="s">
        <v>166</v>
      </c>
    </row>
    <row r="15" spans="1:12" ht="16" customHeight="1" x14ac:dyDescent="0.35">
      <c r="A15" s="2" t="s">
        <v>168</v>
      </c>
      <c r="B15" s="5" t="s">
        <v>26</v>
      </c>
      <c r="C15" s="4" t="s">
        <v>169</v>
      </c>
      <c r="D15" s="9" t="s">
        <v>170</v>
      </c>
    </row>
    <row r="17" spans="1:12" ht="22" customHeight="1" x14ac:dyDescent="0.35">
      <c r="A17" s="406" t="s">
        <v>171</v>
      </c>
      <c r="B17" s="395"/>
      <c r="C17" s="395"/>
      <c r="D17" s="395"/>
      <c r="E17" s="395"/>
      <c r="F17" s="395"/>
      <c r="G17" s="395"/>
      <c r="H17" s="395"/>
      <c r="I17" s="395"/>
      <c r="J17" s="395"/>
      <c r="K17" s="395"/>
      <c r="L17" s="395"/>
    </row>
    <row r="18" spans="1:12" ht="32" customHeight="1" x14ac:dyDescent="0.35">
      <c r="A18" s="20" t="s">
        <v>2</v>
      </c>
      <c r="B18" s="20" t="s">
        <v>4</v>
      </c>
      <c r="C18" s="20" t="s">
        <v>5</v>
      </c>
      <c r="D18" s="20" t="s">
        <v>172</v>
      </c>
      <c r="E18" s="20" t="s">
        <v>173</v>
      </c>
      <c r="F18" s="20" t="s">
        <v>174</v>
      </c>
      <c r="G18" s="20" t="s">
        <v>8</v>
      </c>
      <c r="H18" s="20" t="s">
        <v>9</v>
      </c>
      <c r="I18" s="20" t="s">
        <v>10</v>
      </c>
      <c r="J18" s="20" t="s">
        <v>175</v>
      </c>
      <c r="K18" s="20" t="s">
        <v>176</v>
      </c>
      <c r="L18" s="20" t="s">
        <v>16</v>
      </c>
    </row>
    <row r="19" spans="1:12" ht="16" customHeight="1" x14ac:dyDescent="0.35">
      <c r="A19" s="10" t="s">
        <v>26</v>
      </c>
      <c r="B19" s="12" t="s">
        <v>28</v>
      </c>
      <c r="C19" s="12" t="s">
        <v>29</v>
      </c>
      <c r="D19" s="5">
        <f>37863+17057</f>
        <v>54920</v>
      </c>
      <c r="E19" s="21">
        <f>'Supplier Registry'!E5</f>
        <v>16200</v>
      </c>
      <c r="F19" s="21">
        <f>'Supplier Registry'!F5</f>
        <v>3</v>
      </c>
      <c r="G19" s="21">
        <f>'Supplier Registry'!G5</f>
        <v>9</v>
      </c>
      <c r="H19" s="21">
        <f>'Supplier Registry'!H5</f>
        <v>8</v>
      </c>
      <c r="I19" s="21">
        <f>'Supplier Registry'!I5</f>
        <v>18</v>
      </c>
      <c r="J19" s="21" t="str">
        <f>'Supplier Registry'!B5</f>
        <v>Fisher / ThermoFisher Allentown</v>
      </c>
      <c r="K19" s="15">
        <f>COUNTIFS('Supplier Registry'!A:A,A19,'Supplier Registry'!N:N,"Active")</f>
        <v>1</v>
      </c>
      <c r="L19" s="13" t="s">
        <v>177</v>
      </c>
    </row>
    <row r="20" spans="1:12" ht="16" customHeight="1" x14ac:dyDescent="0.35">
      <c r="A20" s="2" t="s">
        <v>35</v>
      </c>
      <c r="B20" s="4" t="s">
        <v>28</v>
      </c>
      <c r="C20" s="4" t="s">
        <v>29</v>
      </c>
      <c r="D20" s="5">
        <f>19660+19465</f>
        <v>39125</v>
      </c>
      <c r="E20" s="21">
        <f>'Supplier Registry'!E8</f>
        <v>10000</v>
      </c>
      <c r="F20" s="21">
        <f>'Supplier Registry'!F8</f>
        <v>3</v>
      </c>
      <c r="G20" s="21">
        <f>'Supplier Registry'!G8</f>
        <v>9</v>
      </c>
      <c r="H20" s="21">
        <f>'Supplier Registry'!H8</f>
        <v>8</v>
      </c>
      <c r="I20" s="21">
        <f>'Supplier Registry'!I8</f>
        <v>18</v>
      </c>
      <c r="J20" s="21" t="str">
        <f>'Supplier Registry'!B8</f>
        <v>Fisher / ThermoFisher Allentown</v>
      </c>
      <c r="K20" s="15">
        <f>COUNTIFS('Supplier Registry'!A:A,A20,'Supplier Registry'!N:N,"Active")</f>
        <v>2</v>
      </c>
      <c r="L20" s="9" t="s">
        <v>177</v>
      </c>
    </row>
    <row r="21" spans="1:12" ht="16" customHeight="1" x14ac:dyDescent="0.35">
      <c r="A21" s="10" t="s">
        <v>36</v>
      </c>
      <c r="B21" s="12" t="s">
        <v>38</v>
      </c>
      <c r="C21" s="12" t="s">
        <v>29</v>
      </c>
      <c r="D21" s="156">
        <v>21528</v>
      </c>
      <c r="E21" s="21">
        <f>'Supplier Registry'!E12</f>
        <v>16200</v>
      </c>
      <c r="F21" s="21">
        <f>'Supplier Registry'!F12</f>
        <v>5</v>
      </c>
      <c r="G21" s="21">
        <f>'Supplier Registry'!G12</f>
        <v>9</v>
      </c>
      <c r="H21" s="21">
        <f>'Supplier Registry'!H12</f>
        <v>8</v>
      </c>
      <c r="I21" s="21">
        <f>'Supplier Registry'!I12</f>
        <v>18</v>
      </c>
      <c r="J21" s="21" t="str">
        <f>'Supplier Registry'!B12</f>
        <v>Catalent</v>
      </c>
      <c r="K21" s="15">
        <f>COUNTIFS('Supplier Registry'!A:A,A21,'Supplier Registry'!N:N,"Active")</f>
        <v>3</v>
      </c>
      <c r="L21" s="13" t="s">
        <v>177</v>
      </c>
    </row>
    <row r="22" spans="1:12" ht="16" customHeight="1" x14ac:dyDescent="0.35">
      <c r="A22" s="2" t="s">
        <v>43</v>
      </c>
      <c r="B22" s="4" t="s">
        <v>38</v>
      </c>
      <c r="C22" s="4" t="s">
        <v>29</v>
      </c>
      <c r="D22" s="5">
        <v>98019</v>
      </c>
      <c r="E22" s="21">
        <f>'Supplier Registry'!E15</f>
        <v>10000</v>
      </c>
      <c r="F22" s="21">
        <f>'Supplier Registry'!F15</f>
        <v>5</v>
      </c>
      <c r="G22" s="21">
        <f>'Supplier Registry'!G15</f>
        <v>9</v>
      </c>
      <c r="H22" s="21">
        <f>'Supplier Registry'!H15</f>
        <v>8</v>
      </c>
      <c r="I22" s="21">
        <f>'Supplier Registry'!I15</f>
        <v>18</v>
      </c>
      <c r="J22" s="21" t="str">
        <f>'Supplier Registry'!B15</f>
        <v>Patheon PDS-1</v>
      </c>
      <c r="K22" s="15">
        <f>COUNTIFS('Supplier Registry'!A:A,A22,'Supplier Registry'!N:N,"Active")</f>
        <v>2</v>
      </c>
      <c r="L22" s="9" t="s">
        <v>177</v>
      </c>
    </row>
    <row r="23" spans="1:12" ht="16" customHeight="1" x14ac:dyDescent="0.35">
      <c r="A23" s="10" t="s">
        <v>45</v>
      </c>
      <c r="B23" s="12" t="s">
        <v>47</v>
      </c>
      <c r="C23" s="12" t="s">
        <v>48</v>
      </c>
      <c r="D23" s="5">
        <v>78.12</v>
      </c>
      <c r="E23" s="21">
        <f>'Supplier Registry'!E17</f>
        <v>4.3</v>
      </c>
      <c r="F23" s="21">
        <f>'Supplier Registry'!F17</f>
        <v>5</v>
      </c>
      <c r="G23" s="21">
        <f>'Supplier Registry'!G17</f>
        <v>12</v>
      </c>
      <c r="H23" s="21">
        <f>'Supplier Registry'!H17</f>
        <v>9</v>
      </c>
      <c r="I23" s="21">
        <f>'Supplier Registry'!I17</f>
        <v>18</v>
      </c>
      <c r="J23" s="21" t="str">
        <f>'Supplier Registry'!B17</f>
        <v>ST Pharm (Oligo P1 F2)</v>
      </c>
      <c r="K23" s="15">
        <f>COUNTIFS('Supplier Registry'!A:A,A23,'Supplier Registry'!N:N,"Active")</f>
        <v>1</v>
      </c>
      <c r="L23" s="13" t="s">
        <v>177</v>
      </c>
    </row>
    <row r="24" spans="1:12" ht="16" customHeight="1" x14ac:dyDescent="0.35">
      <c r="A24" s="2" t="s">
        <v>50</v>
      </c>
      <c r="B24" s="4" t="s">
        <v>52</v>
      </c>
      <c r="C24" s="4" t="s">
        <v>48</v>
      </c>
      <c r="D24" s="5">
        <v>79.983999999999995</v>
      </c>
      <c r="E24" s="21">
        <f>'Supplier Registry'!E19</f>
        <v>5</v>
      </c>
      <c r="F24" s="21">
        <f>'Supplier Registry'!F19</f>
        <v>4</v>
      </c>
      <c r="G24" s="21">
        <f>'Supplier Registry'!G19</f>
        <v>4</v>
      </c>
      <c r="H24" s="21">
        <f>'Supplier Registry'!H19</f>
        <v>3</v>
      </c>
      <c r="I24" s="21">
        <f>'Supplier Registry'!I19</f>
        <v>12</v>
      </c>
      <c r="J24" s="21" t="str">
        <f>'Supplier Registry'!B19</f>
        <v>Kinovate</v>
      </c>
      <c r="K24" s="15">
        <f>COUNTIFS('Supplier Registry'!A:A,A24,'Supplier Registry'!N:N,"Active")</f>
        <v>1</v>
      </c>
      <c r="L24" s="9" t="s">
        <v>177</v>
      </c>
    </row>
    <row r="25" spans="1:12" ht="16" customHeight="1" x14ac:dyDescent="0.35">
      <c r="A25" s="10" t="s">
        <v>54</v>
      </c>
      <c r="B25" s="12" t="s">
        <v>52</v>
      </c>
      <c r="C25" s="12" t="s">
        <v>48</v>
      </c>
      <c r="D25" s="5">
        <v>374.84</v>
      </c>
      <c r="E25" s="21">
        <f>'Supplier Registry'!E21</f>
        <v>165</v>
      </c>
      <c r="F25" s="21">
        <f>'Supplier Registry'!F21</f>
        <v>4</v>
      </c>
      <c r="G25" s="21">
        <f>'Supplier Registry'!G21</f>
        <v>4</v>
      </c>
      <c r="H25" s="21">
        <f>'Supplier Registry'!H21</f>
        <v>3</v>
      </c>
      <c r="I25" s="21">
        <f>'Supplier Registry'!I21</f>
        <v>12</v>
      </c>
      <c r="J25" s="21" t="str">
        <f>'Supplier Registry'!B21</f>
        <v>ST Pharm</v>
      </c>
      <c r="K25" s="15">
        <f>COUNTIFS('Supplier Registry'!A:A,A25,'Supplier Registry'!N:N,"Active")</f>
        <v>1</v>
      </c>
      <c r="L25" s="13" t="s">
        <v>177</v>
      </c>
    </row>
    <row r="26" spans="1:12" ht="16" customHeight="1" x14ac:dyDescent="0.35">
      <c r="A26" s="2" t="s">
        <v>56</v>
      </c>
      <c r="B26" s="4" t="s">
        <v>52</v>
      </c>
      <c r="C26" s="4" t="s">
        <v>48</v>
      </c>
      <c r="D26" s="5">
        <v>78.92</v>
      </c>
      <c r="E26" s="21">
        <f>'Supplier Registry'!E23</f>
        <v>40</v>
      </c>
      <c r="F26" s="21">
        <f>'Supplier Registry'!F23</f>
        <v>4</v>
      </c>
      <c r="G26" s="21">
        <f>'Supplier Registry'!G23</f>
        <v>4</v>
      </c>
      <c r="H26" s="21">
        <f>'Supplier Registry'!H23</f>
        <v>3</v>
      </c>
      <c r="I26" s="21">
        <f>'Supplier Registry'!I23</f>
        <v>12</v>
      </c>
      <c r="J26" s="21" t="str">
        <f>'Supplier Registry'!B23</f>
        <v>ST Pharm</v>
      </c>
      <c r="K26" s="15">
        <f>COUNTIFS('Supplier Registry'!A:A,A26,'Supplier Registry'!N:N,"Active")</f>
        <v>1</v>
      </c>
      <c r="L26" s="9" t="s">
        <v>177</v>
      </c>
    </row>
    <row r="27" spans="1:12" ht="16" customHeight="1" x14ac:dyDescent="0.35">
      <c r="A27" s="10" t="s">
        <v>57</v>
      </c>
      <c r="B27" s="12" t="s">
        <v>52</v>
      </c>
      <c r="C27" s="12" t="s">
        <v>48</v>
      </c>
      <c r="D27" s="5">
        <v>315.512</v>
      </c>
      <c r="E27" s="21">
        <f>'Supplier Registry'!E25</f>
        <v>95</v>
      </c>
      <c r="F27" s="21">
        <f>'Supplier Registry'!F25</f>
        <v>4</v>
      </c>
      <c r="G27" s="21">
        <f>'Supplier Registry'!G25</f>
        <v>4</v>
      </c>
      <c r="H27" s="21">
        <f>'Supplier Registry'!H25</f>
        <v>3</v>
      </c>
      <c r="I27" s="21">
        <f>'Supplier Registry'!I25</f>
        <v>12</v>
      </c>
      <c r="J27" s="21" t="str">
        <f>'Supplier Registry'!B25</f>
        <v>ST Pharm</v>
      </c>
      <c r="K27" s="15">
        <f>COUNTIFS('Supplier Registry'!A:A,A27,'Supplier Registry'!N:N,"Active")</f>
        <v>1</v>
      </c>
      <c r="L27" s="13" t="s">
        <v>177</v>
      </c>
    </row>
    <row r="28" spans="1:12" ht="16" customHeight="1" x14ac:dyDescent="0.35">
      <c r="A28" s="2" t="s">
        <v>58</v>
      </c>
      <c r="B28" s="4" t="s">
        <v>52</v>
      </c>
      <c r="C28" s="4" t="s">
        <v>48</v>
      </c>
      <c r="D28" s="5">
        <v>195.85</v>
      </c>
      <c r="E28" s="21">
        <f>'Supplier Registry'!E27</f>
        <v>165</v>
      </c>
      <c r="F28" s="21">
        <f>'Supplier Registry'!F27</f>
        <v>4</v>
      </c>
      <c r="G28" s="21">
        <f>'Supplier Registry'!G27</f>
        <v>4</v>
      </c>
      <c r="H28" s="21">
        <f>'Supplier Registry'!H27</f>
        <v>3</v>
      </c>
      <c r="I28" s="21">
        <f>'Supplier Registry'!I27</f>
        <v>12</v>
      </c>
      <c r="J28" s="21" t="str">
        <f>'Supplier Registry'!B27</f>
        <v>ST Pharm</v>
      </c>
      <c r="K28" s="15">
        <f>COUNTIFS('Supplier Registry'!A:A,A28,'Supplier Registry'!N:N,"Active")</f>
        <v>1</v>
      </c>
      <c r="L28" s="9" t="s">
        <v>177</v>
      </c>
    </row>
    <row r="29" spans="1:12" ht="16" customHeight="1" x14ac:dyDescent="0.35">
      <c r="A29" s="297" t="s">
        <v>923</v>
      </c>
      <c r="B29" s="283" t="s">
        <v>28</v>
      </c>
      <c r="C29" s="283" t="s">
        <v>29</v>
      </c>
      <c r="D29" s="300">
        <v>3500</v>
      </c>
      <c r="E29" s="303">
        <f>'Supplier Registry'!E29</f>
        <v>1</v>
      </c>
      <c r="F29" s="303">
        <f>'Supplier Registry'!F29</f>
        <v>3</v>
      </c>
      <c r="G29" s="303">
        <f>'Supplier Registry'!G29</f>
        <v>6</v>
      </c>
      <c r="H29" s="303">
        <f>'Supplier Registry'!H29</f>
        <v>4</v>
      </c>
      <c r="I29" s="303">
        <f>'Supplier Registry'!I29</f>
        <v>12</v>
      </c>
      <c r="J29" s="303" t="str">
        <f>'Supplier Registry'!B29</f>
        <v>Fisher Clinical</v>
      </c>
      <c r="K29" s="307">
        <f ca="1">COUNTIFS('Supplier Registry'!A:A,A29,'Supplier Registry'!N:N,"Active")</f>
        <v>1</v>
      </c>
      <c r="L29" s="308" t="s">
        <v>177</v>
      </c>
    </row>
    <row r="30" spans="1:12" ht="16" customHeight="1" x14ac:dyDescent="0.35">
      <c r="A30" s="309" t="s">
        <v>959</v>
      </c>
      <c r="B30" s="299" t="s">
        <v>28</v>
      </c>
      <c r="C30" s="299" t="s">
        <v>29</v>
      </c>
      <c r="D30" s="301">
        <v>0</v>
      </c>
      <c r="E30" s="304">
        <f>'Supplier Registry'!E10</f>
        <v>16200</v>
      </c>
      <c r="F30" s="304">
        <f>'Supplier Registry'!F10</f>
        <v>3</v>
      </c>
      <c r="G30" s="304">
        <f>'Supplier Registry'!G10</f>
        <v>9</v>
      </c>
      <c r="H30" s="304">
        <f>'Supplier Registry'!H10</f>
        <v>8</v>
      </c>
      <c r="I30" s="304">
        <f>'Supplier Registry'!I10</f>
        <v>18</v>
      </c>
      <c r="J30" s="304" t="str">
        <f>'Supplier Registry'!B10</f>
        <v>Patheon (L&amp;P EU)</v>
      </c>
      <c r="K30" s="299">
        <f>COUNTIFS('Supplier Registry'!A:A,A30,'Supplier Registry'!N:N,"Active")</f>
        <v>1</v>
      </c>
      <c r="L30" s="312" t="s">
        <v>177</v>
      </c>
    </row>
    <row r="31" spans="1:12" ht="16" customHeight="1" x14ac:dyDescent="0.35">
      <c r="A31" s="310" t="s">
        <v>960</v>
      </c>
      <c r="B31" s="311" t="s">
        <v>28</v>
      </c>
      <c r="C31" s="311" t="s">
        <v>29</v>
      </c>
      <c r="D31" s="302">
        <v>0</v>
      </c>
      <c r="E31" s="305">
        <f>'Supplier Registry'!E11</f>
        <v>10000</v>
      </c>
      <c r="F31" s="305">
        <f>'Supplier Registry'!F11</f>
        <v>3</v>
      </c>
      <c r="G31" s="305">
        <f>'Supplier Registry'!G11</f>
        <v>9</v>
      </c>
      <c r="H31" s="305">
        <f>'Supplier Registry'!H11</f>
        <v>8</v>
      </c>
      <c r="I31" s="305">
        <f>'Supplier Registry'!I11</f>
        <v>18</v>
      </c>
      <c r="J31" s="305" t="str">
        <f>'Supplier Registry'!B11</f>
        <v>Patheon (L&amp;P EU)</v>
      </c>
      <c r="K31" s="311">
        <f>COUNTIFS('Supplier Registry'!A:A,A31,'Supplier Registry'!N:N,"Active")</f>
        <v>1</v>
      </c>
      <c r="L31" s="313" t="s">
        <v>177</v>
      </c>
    </row>
  </sheetData>
  <mergeCells count="4">
    <mergeCell ref="A3:D3"/>
    <mergeCell ref="A2:L2"/>
    <mergeCell ref="A1:L1"/>
    <mergeCell ref="A17:L17"/>
  </mergeCells>
  <pageMargins left="0.75" right="0.75" top="1" bottom="1" header="0.5" footer="0.5"/>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GR62"/>
  <sheetViews>
    <sheetView showGridLines="0" zoomScale="55" zoomScaleNormal="55" workbookViewId="0">
      <pane xSplit="5" ySplit="3" topLeftCell="F19" activePane="bottomRight" state="frozen"/>
      <selection pane="topRight"/>
      <selection pane="bottomLeft"/>
      <selection pane="bottomRight" activeCell="F1" sqref="F1"/>
    </sheetView>
  </sheetViews>
  <sheetFormatPr defaultRowHeight="14.5" x14ac:dyDescent="0.35"/>
  <cols>
    <col min="1" max="1" width="16" customWidth="1"/>
    <col min="2" max="2" width="22" customWidth="1"/>
    <col min="3" max="3" width="12" customWidth="1"/>
    <col min="4" max="4" width="10" customWidth="1"/>
    <col min="5" max="5" width="14" customWidth="1"/>
    <col min="6" max="14" width="9" customWidth="1"/>
    <col min="15" max="15" width="10.1796875" bestFit="1" customWidth="1"/>
    <col min="16" max="16" width="9.81640625" bestFit="1" customWidth="1"/>
    <col min="17" max="17" width="10.1796875" bestFit="1" customWidth="1"/>
    <col min="18" max="200" width="9" customWidth="1"/>
  </cols>
  <sheetData>
    <row r="1" spans="1:200" ht="22" customHeight="1" x14ac:dyDescent="0.35">
      <c r="A1" s="396" t="s">
        <v>178</v>
      </c>
      <c r="B1" s="396"/>
      <c r="C1" s="396"/>
      <c r="D1" s="396"/>
      <c r="E1" s="407"/>
      <c r="F1" s="388" t="s">
        <v>2827</v>
      </c>
    </row>
    <row r="2" spans="1:200" ht="22" customHeight="1" x14ac:dyDescent="0.35">
      <c r="A2" s="408" t="s">
        <v>179</v>
      </c>
      <c r="B2" s="408"/>
      <c r="C2" s="408"/>
      <c r="D2" s="408"/>
      <c r="E2" s="408"/>
      <c r="F2" s="389" t="s">
        <v>2828</v>
      </c>
    </row>
    <row r="3" spans="1:200" ht="28" customHeight="1" x14ac:dyDescent="0.35">
      <c r="A3" s="1" t="s">
        <v>38</v>
      </c>
      <c r="B3" s="1" t="s">
        <v>61</v>
      </c>
      <c r="C3" s="1" t="s">
        <v>62</v>
      </c>
      <c r="D3" s="1" t="s">
        <v>63</v>
      </c>
      <c r="E3" s="1" t="s">
        <v>180</v>
      </c>
      <c r="F3" s="196" t="s">
        <v>922</v>
      </c>
      <c r="G3" s="152" t="s">
        <v>743</v>
      </c>
      <c r="H3" s="151" t="s">
        <v>742</v>
      </c>
      <c r="I3" s="151" t="s">
        <v>744</v>
      </c>
      <c r="J3" s="151">
        <v>46143</v>
      </c>
      <c r="K3" s="151">
        <v>46174</v>
      </c>
      <c r="L3" s="151">
        <v>46204</v>
      </c>
      <c r="M3" s="151">
        <v>46235</v>
      </c>
      <c r="N3" s="151">
        <v>46266</v>
      </c>
      <c r="O3" s="151">
        <v>46296</v>
      </c>
      <c r="P3" s="151">
        <v>46327</v>
      </c>
      <c r="Q3" s="151">
        <v>46357</v>
      </c>
      <c r="R3" s="151">
        <v>46388</v>
      </c>
      <c r="S3" s="151">
        <v>46419</v>
      </c>
      <c r="T3" s="151">
        <v>46447</v>
      </c>
      <c r="U3" s="151">
        <v>46478</v>
      </c>
      <c r="V3" s="151">
        <v>46508</v>
      </c>
      <c r="W3" s="151">
        <v>46539</v>
      </c>
      <c r="X3" s="151">
        <v>46569</v>
      </c>
      <c r="Y3" s="151">
        <v>46600</v>
      </c>
      <c r="Z3" s="151">
        <v>46631</v>
      </c>
      <c r="AA3" s="151">
        <v>46661</v>
      </c>
      <c r="AB3" s="151">
        <v>46692</v>
      </c>
      <c r="AC3" s="151">
        <v>46722</v>
      </c>
      <c r="AD3" s="151">
        <v>46753</v>
      </c>
      <c r="AE3" s="151">
        <v>46784</v>
      </c>
      <c r="AF3" s="151">
        <v>46813</v>
      </c>
      <c r="AG3" s="151">
        <v>46844</v>
      </c>
      <c r="AH3" s="151">
        <v>46874</v>
      </c>
      <c r="AI3" s="151">
        <v>46905</v>
      </c>
      <c r="AJ3" s="151">
        <v>46935</v>
      </c>
      <c r="AK3" s="151">
        <v>46966</v>
      </c>
      <c r="AL3" s="151">
        <v>46997</v>
      </c>
      <c r="AM3" s="151">
        <v>47027</v>
      </c>
      <c r="AN3" s="151">
        <v>47058</v>
      </c>
      <c r="AO3" s="151">
        <v>47088</v>
      </c>
      <c r="AP3" s="151">
        <v>47119</v>
      </c>
      <c r="AQ3" s="151">
        <v>47150</v>
      </c>
      <c r="AR3" s="151">
        <v>47178</v>
      </c>
      <c r="AS3" s="151">
        <v>47209</v>
      </c>
      <c r="AT3" s="151">
        <v>47239</v>
      </c>
      <c r="AU3" s="151">
        <v>47270</v>
      </c>
      <c r="AV3" s="151">
        <v>47300</v>
      </c>
      <c r="AW3" s="151">
        <v>47331</v>
      </c>
      <c r="AX3" s="151">
        <v>47362</v>
      </c>
      <c r="AY3" s="151">
        <v>47392</v>
      </c>
      <c r="AZ3" s="151">
        <v>47423</v>
      </c>
      <c r="BA3" s="151">
        <v>47453</v>
      </c>
      <c r="BB3" s="151">
        <v>47484</v>
      </c>
      <c r="BC3" s="151">
        <v>47515</v>
      </c>
      <c r="BD3" s="151">
        <v>47543</v>
      </c>
      <c r="BE3" s="151">
        <v>47574</v>
      </c>
      <c r="BF3" s="151">
        <v>47604</v>
      </c>
      <c r="BG3" s="151">
        <v>47635</v>
      </c>
      <c r="BH3" s="151">
        <v>47665</v>
      </c>
      <c r="BI3" s="151">
        <v>47696</v>
      </c>
      <c r="BJ3" s="151">
        <v>47727</v>
      </c>
      <c r="BK3" s="151">
        <v>47757</v>
      </c>
      <c r="BL3" s="151">
        <v>47788</v>
      </c>
      <c r="BM3" s="151">
        <v>47818</v>
      </c>
      <c r="BN3" s="151">
        <v>47849</v>
      </c>
      <c r="BO3" s="151">
        <v>47880</v>
      </c>
      <c r="BP3" s="151">
        <v>47908</v>
      </c>
      <c r="BQ3" s="151">
        <v>47939</v>
      </c>
      <c r="BR3" s="151">
        <v>47969</v>
      </c>
      <c r="BS3" s="151">
        <v>48000</v>
      </c>
      <c r="BT3" s="151">
        <v>48030</v>
      </c>
      <c r="BU3" s="151">
        <v>48061</v>
      </c>
      <c r="BV3" s="151">
        <v>48092</v>
      </c>
      <c r="BW3" s="151">
        <v>48122</v>
      </c>
      <c r="BX3" s="151">
        <v>48153</v>
      </c>
      <c r="BY3" s="151">
        <v>48183</v>
      </c>
      <c r="BZ3" s="151">
        <v>48214</v>
      </c>
      <c r="CA3" s="151">
        <v>48245</v>
      </c>
      <c r="CB3" s="151">
        <v>48274</v>
      </c>
      <c r="CC3" s="151">
        <v>48305</v>
      </c>
      <c r="CD3" s="151">
        <v>48335</v>
      </c>
      <c r="CE3" s="151">
        <v>48366</v>
      </c>
      <c r="CF3" s="151">
        <v>48396</v>
      </c>
      <c r="CG3" s="151">
        <v>48427</v>
      </c>
      <c r="CH3" s="151">
        <v>48458</v>
      </c>
      <c r="CI3" s="151">
        <v>48488</v>
      </c>
      <c r="CJ3" s="151">
        <v>48519</v>
      </c>
      <c r="CK3" s="151">
        <v>48549</v>
      </c>
      <c r="CL3" s="151">
        <v>48580</v>
      </c>
      <c r="CM3" s="151">
        <v>48611</v>
      </c>
      <c r="CN3" s="151">
        <v>48639</v>
      </c>
      <c r="CO3" s="151">
        <v>48670</v>
      </c>
      <c r="CP3" s="151">
        <v>48700</v>
      </c>
      <c r="CQ3" s="151">
        <v>48731</v>
      </c>
      <c r="CR3" s="151">
        <v>48761</v>
      </c>
      <c r="CS3" s="151">
        <v>48792</v>
      </c>
      <c r="CT3" s="151">
        <v>48823</v>
      </c>
      <c r="CU3" s="151">
        <v>48853</v>
      </c>
      <c r="CV3" s="151">
        <v>48884</v>
      </c>
      <c r="CW3" s="151">
        <v>48914</v>
      </c>
      <c r="CX3" s="151">
        <v>48945</v>
      </c>
      <c r="CY3" s="151">
        <v>48976</v>
      </c>
      <c r="CZ3" s="151">
        <v>49004</v>
      </c>
      <c r="DA3" s="151">
        <v>49035</v>
      </c>
      <c r="DB3" s="151">
        <v>49065</v>
      </c>
      <c r="DC3" s="151">
        <v>49096</v>
      </c>
      <c r="DD3" s="151">
        <v>49126</v>
      </c>
      <c r="DE3" s="151">
        <v>49157</v>
      </c>
      <c r="DF3" s="151">
        <v>49188</v>
      </c>
      <c r="DG3" s="151">
        <v>49218</v>
      </c>
      <c r="DH3" s="151">
        <v>49249</v>
      </c>
      <c r="DI3" s="151">
        <v>49279</v>
      </c>
      <c r="DJ3" s="151">
        <v>49310</v>
      </c>
      <c r="DK3" s="151">
        <v>49341</v>
      </c>
      <c r="DL3" s="151">
        <v>49369</v>
      </c>
      <c r="DM3" s="151">
        <v>49400</v>
      </c>
      <c r="DN3" s="151">
        <v>49430</v>
      </c>
      <c r="DO3" s="151">
        <v>49461</v>
      </c>
      <c r="DP3" s="151">
        <v>49491</v>
      </c>
      <c r="DQ3" s="151">
        <v>49522</v>
      </c>
      <c r="DR3" s="151">
        <v>49553</v>
      </c>
      <c r="DS3" s="151">
        <v>49583</v>
      </c>
      <c r="DT3" s="151">
        <v>49614</v>
      </c>
      <c r="DU3" s="151">
        <v>49644</v>
      </c>
      <c r="DV3" s="151">
        <v>49675</v>
      </c>
      <c r="DW3" s="151">
        <v>49706</v>
      </c>
      <c r="DX3" s="151">
        <v>49735</v>
      </c>
      <c r="DY3" s="151">
        <v>49766</v>
      </c>
      <c r="DZ3" s="151">
        <v>49796</v>
      </c>
      <c r="EA3" s="151">
        <v>49827</v>
      </c>
      <c r="EB3" s="151">
        <v>49857</v>
      </c>
      <c r="EC3" s="151">
        <v>49888</v>
      </c>
      <c r="ED3" s="151">
        <v>49919</v>
      </c>
      <c r="EE3" s="151">
        <v>49949</v>
      </c>
      <c r="EF3" s="151">
        <v>49980</v>
      </c>
      <c r="EG3" s="151">
        <v>50010</v>
      </c>
      <c r="EH3" s="151">
        <v>50041</v>
      </c>
      <c r="EI3" s="151">
        <v>50072</v>
      </c>
      <c r="EJ3" s="151">
        <v>50100</v>
      </c>
      <c r="EK3" s="151">
        <v>50131</v>
      </c>
      <c r="EL3" s="151">
        <v>50161</v>
      </c>
      <c r="EM3" s="151">
        <v>50192</v>
      </c>
      <c r="EN3" s="151">
        <v>50222</v>
      </c>
      <c r="EO3" s="151">
        <v>50253</v>
      </c>
      <c r="EP3" s="151">
        <v>50284</v>
      </c>
      <c r="EQ3" s="151">
        <v>50314</v>
      </c>
      <c r="ER3" s="151">
        <v>50345</v>
      </c>
      <c r="ES3" s="151">
        <v>50375</v>
      </c>
      <c r="ET3" s="151">
        <v>50406</v>
      </c>
      <c r="EU3" s="151">
        <v>50437</v>
      </c>
      <c r="EV3" s="151">
        <v>50465</v>
      </c>
      <c r="EW3" s="151">
        <v>50496</v>
      </c>
      <c r="EX3" s="151">
        <v>50526</v>
      </c>
      <c r="EY3" s="151">
        <v>50557</v>
      </c>
      <c r="EZ3" s="151">
        <v>50587</v>
      </c>
      <c r="FA3" s="151">
        <v>50618</v>
      </c>
      <c r="FB3" s="151">
        <v>50649</v>
      </c>
      <c r="FC3" s="151">
        <v>50679</v>
      </c>
      <c r="FD3" s="151">
        <v>50710</v>
      </c>
      <c r="FE3" s="151">
        <v>50740</v>
      </c>
      <c r="FF3" s="151">
        <v>50771</v>
      </c>
      <c r="FG3" s="151">
        <v>50802</v>
      </c>
      <c r="FH3" s="151">
        <v>50830</v>
      </c>
      <c r="FI3" s="151">
        <v>50861</v>
      </c>
      <c r="FJ3" s="151">
        <v>50891</v>
      </c>
      <c r="FK3" s="151">
        <v>50922</v>
      </c>
      <c r="FL3" s="151">
        <v>50952</v>
      </c>
      <c r="FM3" s="151">
        <v>50983</v>
      </c>
      <c r="FN3" s="151">
        <v>51014</v>
      </c>
      <c r="FO3" s="151">
        <v>51044</v>
      </c>
      <c r="FP3" s="151">
        <v>51075</v>
      </c>
      <c r="FQ3" s="151">
        <v>51105</v>
      </c>
      <c r="FR3" s="151">
        <v>51136</v>
      </c>
      <c r="FS3" s="151">
        <v>51167</v>
      </c>
      <c r="FT3" s="151">
        <v>51196</v>
      </c>
      <c r="FU3" s="151">
        <v>51227</v>
      </c>
      <c r="FV3" s="151">
        <v>51257</v>
      </c>
      <c r="FW3" s="151">
        <v>51288</v>
      </c>
      <c r="FX3" s="151">
        <v>51318</v>
      </c>
      <c r="FY3" s="151">
        <v>51349</v>
      </c>
      <c r="FZ3" s="151">
        <v>51380</v>
      </c>
      <c r="GA3" s="151">
        <v>51410</v>
      </c>
      <c r="GB3" s="151">
        <v>51441</v>
      </c>
      <c r="GC3" s="151">
        <v>51471</v>
      </c>
      <c r="GD3" s="20" t="s">
        <v>360</v>
      </c>
      <c r="GE3" s="20" t="s">
        <v>361</v>
      </c>
      <c r="GF3" s="20" t="s">
        <v>362</v>
      </c>
      <c r="GG3" s="20" t="s">
        <v>363</v>
      </c>
      <c r="GH3" s="20" t="s">
        <v>364</v>
      </c>
      <c r="GI3" s="20" t="s">
        <v>365</v>
      </c>
      <c r="GJ3" s="20" t="s">
        <v>366</v>
      </c>
      <c r="GK3" s="20" t="s">
        <v>367</v>
      </c>
      <c r="GL3" s="20" t="s">
        <v>368</v>
      </c>
      <c r="GM3" s="20" t="s">
        <v>369</v>
      </c>
      <c r="GN3" s="20" t="s">
        <v>370</v>
      </c>
      <c r="GO3" s="20" t="s">
        <v>371</v>
      </c>
      <c r="GP3" s="20" t="s">
        <v>372</v>
      </c>
      <c r="GQ3" s="20" t="s">
        <v>373</v>
      </c>
      <c r="GR3" s="20" t="s">
        <v>374</v>
      </c>
    </row>
    <row r="4" spans="1:200" ht="22" customHeight="1" x14ac:dyDescent="0.35">
      <c r="A4" s="404" t="s">
        <v>375</v>
      </c>
      <c r="B4" s="395"/>
      <c r="C4" s="395"/>
      <c r="D4" s="395"/>
      <c r="E4" s="395"/>
      <c r="F4" s="395"/>
      <c r="G4" s="395"/>
      <c r="H4" s="395"/>
      <c r="I4" s="395"/>
      <c r="J4" s="395"/>
      <c r="K4" s="395"/>
      <c r="L4" s="395"/>
      <c r="M4" s="395"/>
      <c r="N4" s="395"/>
      <c r="O4" s="395"/>
      <c r="P4" s="395"/>
      <c r="Q4" s="395"/>
      <c r="R4" s="395"/>
      <c r="S4" s="395"/>
      <c r="T4" s="395"/>
      <c r="U4" s="395"/>
      <c r="V4" s="395"/>
      <c r="W4" s="395"/>
      <c r="X4" s="395"/>
      <c r="Y4" s="395"/>
      <c r="Z4" s="395"/>
      <c r="AA4" s="395"/>
      <c r="AB4" s="395"/>
      <c r="AC4" s="395"/>
      <c r="AD4" s="395"/>
      <c r="AE4" s="395"/>
      <c r="AF4" s="395"/>
      <c r="AG4" s="395"/>
      <c r="AH4" s="395"/>
      <c r="AI4" s="395"/>
      <c r="AJ4" s="395"/>
      <c r="AK4" s="395"/>
      <c r="AL4" s="395"/>
      <c r="AM4" s="395"/>
      <c r="AN4" s="395"/>
      <c r="AO4" s="395"/>
      <c r="AP4" s="395"/>
      <c r="AQ4" s="395"/>
      <c r="AR4" s="395"/>
      <c r="AS4" s="395"/>
      <c r="AT4" s="395"/>
      <c r="AU4" s="395"/>
      <c r="AV4" s="395"/>
      <c r="AW4" s="395"/>
      <c r="AX4" s="395"/>
      <c r="AY4" s="395"/>
      <c r="AZ4" s="395"/>
      <c r="BA4" s="395"/>
      <c r="BB4" s="395"/>
      <c r="BC4" s="395"/>
      <c r="BD4" s="395"/>
      <c r="BE4" s="395"/>
      <c r="BF4" s="395"/>
      <c r="BG4" s="395"/>
      <c r="BH4" s="395"/>
      <c r="BI4" s="395"/>
      <c r="BJ4" s="395"/>
      <c r="BK4" s="395"/>
      <c r="BL4" s="395"/>
      <c r="BM4" s="395"/>
      <c r="BN4" s="395"/>
      <c r="BO4" s="395"/>
      <c r="BP4" s="395"/>
      <c r="BQ4" s="395"/>
      <c r="BR4" s="395"/>
      <c r="BS4" s="395"/>
      <c r="BT4" s="395"/>
      <c r="BU4" s="395"/>
      <c r="BV4" s="395"/>
      <c r="BW4" s="395"/>
      <c r="BX4" s="395"/>
      <c r="BY4" s="395"/>
      <c r="BZ4" s="395"/>
      <c r="CA4" s="395"/>
      <c r="CB4" s="395"/>
      <c r="CC4" s="395"/>
      <c r="CD4" s="395"/>
      <c r="CE4" s="395"/>
      <c r="CF4" s="395"/>
      <c r="CG4" s="395"/>
      <c r="CH4" s="395"/>
      <c r="CI4" s="395"/>
      <c r="CJ4" s="395"/>
      <c r="CK4" s="395"/>
      <c r="CL4" s="395"/>
      <c r="CM4" s="395"/>
      <c r="CN4" s="395"/>
      <c r="CO4" s="395"/>
      <c r="CP4" s="395"/>
      <c r="CQ4" s="395"/>
      <c r="CR4" s="395"/>
      <c r="CS4" s="395"/>
      <c r="CT4" s="395"/>
      <c r="CU4" s="395"/>
      <c r="CV4" s="395"/>
      <c r="CW4" s="395"/>
      <c r="CX4" s="395"/>
      <c r="CY4" s="395"/>
      <c r="CZ4" s="395"/>
      <c r="DA4" s="395"/>
      <c r="DB4" s="395"/>
      <c r="DC4" s="395"/>
      <c r="DD4" s="395"/>
      <c r="DE4" s="395"/>
      <c r="DF4" s="395"/>
      <c r="DG4" s="395"/>
      <c r="DH4" s="395"/>
      <c r="DI4" s="395"/>
      <c r="DJ4" s="395"/>
      <c r="DK4" s="395"/>
      <c r="DL4" s="395"/>
      <c r="DM4" s="395"/>
      <c r="DN4" s="395"/>
      <c r="DO4" s="395"/>
      <c r="DP4" s="395"/>
      <c r="DQ4" s="395"/>
      <c r="DR4" s="395"/>
      <c r="DS4" s="395"/>
      <c r="DT4" s="395"/>
      <c r="DU4" s="395"/>
      <c r="DV4" s="395"/>
      <c r="DW4" s="395"/>
      <c r="DX4" s="395"/>
      <c r="DY4" s="395"/>
      <c r="DZ4" s="395"/>
      <c r="EA4" s="395"/>
      <c r="EB4" s="395"/>
      <c r="EC4" s="395"/>
      <c r="ED4" s="395"/>
      <c r="EE4" s="395"/>
      <c r="EF4" s="395"/>
      <c r="EG4" s="395"/>
      <c r="EH4" s="395"/>
      <c r="EI4" s="395"/>
      <c r="EJ4" s="395"/>
      <c r="EK4" s="395"/>
      <c r="EL4" s="395"/>
      <c r="EM4" s="395"/>
      <c r="EN4" s="395"/>
      <c r="EO4" s="395"/>
      <c r="EP4" s="395"/>
      <c r="EQ4" s="395"/>
      <c r="ER4" s="395"/>
      <c r="ES4" s="395"/>
      <c r="ET4" s="395"/>
      <c r="EU4" s="395"/>
      <c r="EV4" s="395"/>
      <c r="EW4" s="395"/>
      <c r="EX4" s="395"/>
      <c r="EY4" s="395"/>
      <c r="EZ4" s="395"/>
      <c r="FA4" s="395"/>
      <c r="FB4" s="395"/>
      <c r="FC4" s="395"/>
      <c r="FD4" s="395"/>
      <c r="FE4" s="395"/>
      <c r="FF4" s="395"/>
      <c r="FG4" s="395"/>
      <c r="FH4" s="395"/>
      <c r="FI4" s="395"/>
      <c r="FJ4" s="395"/>
      <c r="FK4" s="395"/>
      <c r="FL4" s="395"/>
      <c r="FM4" s="395"/>
      <c r="FN4" s="395"/>
      <c r="FO4" s="395"/>
      <c r="FP4" s="395"/>
      <c r="FQ4" s="395"/>
      <c r="FR4" s="395"/>
      <c r="FS4" s="395"/>
      <c r="FT4" s="395"/>
      <c r="FU4" s="395"/>
      <c r="FV4" s="395"/>
      <c r="FW4" s="395"/>
      <c r="FX4" s="395"/>
      <c r="FY4" s="395"/>
      <c r="FZ4" s="395"/>
      <c r="GA4" s="395"/>
      <c r="GB4" s="395"/>
      <c r="GC4" s="395"/>
      <c r="GD4" s="395"/>
      <c r="GE4" s="395"/>
      <c r="GF4" s="395"/>
      <c r="GG4" s="395"/>
      <c r="GH4" s="395"/>
      <c r="GI4" s="395"/>
      <c r="GJ4" s="395"/>
      <c r="GK4" s="395"/>
      <c r="GL4" s="395"/>
      <c r="GM4" s="395"/>
      <c r="GN4" s="395"/>
      <c r="GO4" s="395"/>
      <c r="GP4" s="395"/>
      <c r="GQ4" s="395"/>
    </row>
    <row r="5" spans="1:200" ht="14" customHeight="1" x14ac:dyDescent="0.35">
      <c r="A5" s="2" t="s">
        <v>26</v>
      </c>
      <c r="B5" s="22" t="s">
        <v>74</v>
      </c>
      <c r="C5" s="4" t="s">
        <v>75</v>
      </c>
      <c r="D5" s="4" t="s">
        <v>76</v>
      </c>
      <c r="E5" s="21">
        <f>IFERROR(VLOOKUP(B5,'SKU Master'!A:P,6,0),0)</f>
        <v>1</v>
      </c>
      <c r="F5" s="221">
        <v>1660.603868886466</v>
      </c>
      <c r="G5" s="221">
        <v>1597.750505474781</v>
      </c>
      <c r="H5" s="221">
        <v>2124.9921880618376</v>
      </c>
      <c r="I5" s="221">
        <v>2053.6576284117737</v>
      </c>
      <c r="J5" s="221">
        <v>1789.3498301935292</v>
      </c>
      <c r="K5" s="221">
        <v>2101.9326546434804</v>
      </c>
      <c r="L5" s="221">
        <v>2300.2239886063553</v>
      </c>
      <c r="M5" s="221">
        <v>2156.5918919219398</v>
      </c>
      <c r="N5" s="221">
        <v>2287.397516316053</v>
      </c>
      <c r="O5" s="221">
        <v>2370.0457619059835</v>
      </c>
      <c r="P5" s="221">
        <v>2055.0071359185195</v>
      </c>
      <c r="Q5" s="221">
        <v>2845.0220237239782</v>
      </c>
      <c r="R5" s="221">
        <v>2152.3867574048154</v>
      </c>
      <c r="S5" s="221">
        <v>2399.1859247591669</v>
      </c>
      <c r="T5" s="221">
        <v>3384.7975292614137</v>
      </c>
      <c r="U5" s="221">
        <v>3032.3661530522868</v>
      </c>
      <c r="V5" s="221">
        <v>2726.3504915250901</v>
      </c>
      <c r="W5" s="221">
        <v>3204.0126595957117</v>
      </c>
      <c r="X5" s="221">
        <v>3228.0002898993448</v>
      </c>
      <c r="Y5" s="221">
        <v>3598.5964754868301</v>
      </c>
      <c r="Z5" s="221">
        <v>3349.8589015091748</v>
      </c>
      <c r="AA5" s="221">
        <v>3227.8386186293628</v>
      </c>
      <c r="AB5" s="221">
        <v>3366.8195050118511</v>
      </c>
      <c r="AC5" s="221">
        <v>4017.4447527181783</v>
      </c>
      <c r="AD5" s="221">
        <v>3026.9937371836922</v>
      </c>
      <c r="AE5" s="221">
        <v>3618.6364353759791</v>
      </c>
      <c r="AF5" s="221">
        <v>4514.076676282004</v>
      </c>
      <c r="AG5" s="221">
        <v>3387.6798538408507</v>
      </c>
      <c r="AH5" s="221">
        <v>4352.3500600253547</v>
      </c>
      <c r="AI5" s="221">
        <v>3912.4098683782731</v>
      </c>
      <c r="AJ5" s="221">
        <v>3728.9639336500522</v>
      </c>
      <c r="AK5" s="221">
        <v>4870.8008072137263</v>
      </c>
      <c r="AL5" s="221">
        <v>3636.8897107989669</v>
      </c>
      <c r="AM5" s="221">
        <v>4305.8890883453842</v>
      </c>
      <c r="AN5" s="221">
        <v>3898.7307956760947</v>
      </c>
      <c r="AO5" s="221">
        <v>4017.3220444355984</v>
      </c>
      <c r="AP5" s="221">
        <v>4382.7214347702375</v>
      </c>
      <c r="AQ5" s="221">
        <v>3614.9176416372693</v>
      </c>
      <c r="AR5" s="221">
        <v>4872.5676879439961</v>
      </c>
      <c r="AS5" s="221">
        <v>4261.5452064909896</v>
      </c>
      <c r="AT5" s="221">
        <v>4769.7568776142016</v>
      </c>
      <c r="AU5" s="221">
        <v>3989.657498919777</v>
      </c>
      <c r="AV5" s="221">
        <v>4581.5103429006367</v>
      </c>
      <c r="AW5" s="221">
        <v>5258.302089463612</v>
      </c>
      <c r="AX5" s="221">
        <v>3617.7123661694527</v>
      </c>
      <c r="AY5" s="221">
        <v>5168.7658940815227</v>
      </c>
      <c r="AZ5" s="221">
        <v>4131.7281573952705</v>
      </c>
      <c r="BA5" s="221">
        <v>4360.2517001984415</v>
      </c>
      <c r="BB5" s="221">
        <v>4742.023260442249</v>
      </c>
      <c r="BC5" s="221">
        <v>3899.914548554852</v>
      </c>
      <c r="BD5" s="221">
        <v>4858.9296587303706</v>
      </c>
      <c r="BE5" s="221">
        <v>5048.4457548524369</v>
      </c>
      <c r="BF5" s="221">
        <v>4991.7846123632826</v>
      </c>
      <c r="BG5" s="221">
        <v>3877.4638427303321</v>
      </c>
      <c r="BH5" s="221">
        <v>5367.0530238719384</v>
      </c>
      <c r="BI5" s="221">
        <v>5075.8768310243622</v>
      </c>
      <c r="BJ5" s="221">
        <v>4332.5437218825391</v>
      </c>
      <c r="BK5" s="221">
        <v>5364.9823597077775</v>
      </c>
      <c r="BL5" s="221">
        <v>3980.0216691363003</v>
      </c>
      <c r="BM5" s="221">
        <v>5099.7635027398155</v>
      </c>
      <c r="BN5" s="221">
        <v>4883.2596920013457</v>
      </c>
      <c r="BO5" s="221">
        <v>4106.0114125941927</v>
      </c>
      <c r="BP5" s="221">
        <v>5105.0653769469363</v>
      </c>
      <c r="BQ5" s="221">
        <v>5290.6486407179946</v>
      </c>
      <c r="BR5" s="221">
        <v>4809.9608247430579</v>
      </c>
      <c r="BS5" s="221">
        <v>4543.2881296455498</v>
      </c>
      <c r="BT5" s="221">
        <v>5466.03148353293</v>
      </c>
      <c r="BU5" s="221">
        <v>4857.1591425702227</v>
      </c>
      <c r="BV5" s="221">
        <v>4994.0129791001928</v>
      </c>
      <c r="BW5" s="221">
        <v>5422.4418462747017</v>
      </c>
      <c r="BX5" s="221">
        <v>3702.026392378546</v>
      </c>
      <c r="BY5" s="221">
        <v>5754.0778050161098</v>
      </c>
      <c r="BZ5" s="221">
        <v>4483.9668780323373</v>
      </c>
      <c r="CA5" s="221">
        <v>4312.1959161037212</v>
      </c>
      <c r="CB5" s="221">
        <v>6029.5009840205967</v>
      </c>
      <c r="CC5" s="221">
        <v>5196.5255357501255</v>
      </c>
      <c r="CD5" s="221">
        <v>4528.8875496257469</v>
      </c>
      <c r="CE5" s="221">
        <v>5175.0914544626012</v>
      </c>
      <c r="CF5" s="221">
        <v>5062.5425710496802</v>
      </c>
      <c r="CG5" s="221">
        <v>5493.8698405379782</v>
      </c>
      <c r="CH5" s="221">
        <v>4986.6009830269541</v>
      </c>
      <c r="CI5" s="221">
        <v>4703.5937291089758</v>
      </c>
      <c r="CJ5" s="221">
        <v>4811.6116035075502</v>
      </c>
      <c r="CK5" s="221">
        <v>5630.8877758043773</v>
      </c>
      <c r="CL5" s="221">
        <v>4164.8382754542272</v>
      </c>
      <c r="CM5" s="221">
        <v>4500.4961750795146</v>
      </c>
      <c r="CN5" s="221">
        <v>6116.2305193985094</v>
      </c>
      <c r="CO5" s="221">
        <v>4846.8485726496137</v>
      </c>
      <c r="CP5" s="221">
        <v>5108.7818751791401</v>
      </c>
      <c r="CQ5" s="221">
        <v>5119.1752920251829</v>
      </c>
      <c r="CR5" s="221">
        <v>4710.1746241121</v>
      </c>
      <c r="CS5" s="221">
        <v>6088.8248796335029</v>
      </c>
      <c r="CT5" s="221">
        <v>4922.919229601217</v>
      </c>
      <c r="CU5" s="221">
        <v>4763.4610393563871</v>
      </c>
      <c r="CV5" s="221">
        <v>4872.1469757157984</v>
      </c>
      <c r="CW5" s="221">
        <v>5274.7475897193071</v>
      </c>
      <c r="CX5" s="221">
        <v>4736.7105206356127</v>
      </c>
      <c r="CY5" s="221">
        <v>4431.1161998593398</v>
      </c>
      <c r="CZ5" s="221">
        <v>6192.3375057991416</v>
      </c>
      <c r="DA5" s="221">
        <v>4485.0345894730908</v>
      </c>
      <c r="DB5" s="221">
        <v>5695.5205761328953</v>
      </c>
      <c r="DC5" s="221">
        <v>5055.2356737917125</v>
      </c>
      <c r="DD5" s="221">
        <v>4768.6799577901784</v>
      </c>
      <c r="DE5" s="221">
        <v>6164.1092815928359</v>
      </c>
      <c r="DF5" s="221">
        <v>4555.480939139059</v>
      </c>
      <c r="DG5" s="221">
        <v>5351.18577406449</v>
      </c>
      <c r="DH5" s="221">
        <v>4804.572633306605</v>
      </c>
      <c r="DI5" s="221">
        <v>4914.5038106549428</v>
      </c>
      <c r="DJ5" s="221">
        <v>5321.7222299532768</v>
      </c>
      <c r="DK5" s="221">
        <v>4359.1148672572108</v>
      </c>
      <c r="DL5" s="221">
        <v>5837.698481031528</v>
      </c>
      <c r="DM5" s="221">
        <v>5070.0248587636543</v>
      </c>
      <c r="DN5" s="221">
        <v>5640.1965088486268</v>
      </c>
      <c r="DO5" s="221">
        <v>4690.5356938486175</v>
      </c>
      <c r="DP5" s="221">
        <v>5358.6888853683095</v>
      </c>
      <c r="DQ5" s="221">
        <v>6114.4012583218828</v>
      </c>
      <c r="DR5" s="221">
        <v>4185.2150821041305</v>
      </c>
      <c r="DS5" s="221">
        <v>5953.4343589413165</v>
      </c>
      <c r="DT5" s="221">
        <v>4735.2045779084292</v>
      </c>
      <c r="DU5" s="221">
        <v>4976.6219878776301</v>
      </c>
      <c r="DV5" s="221">
        <v>5388.4724322412767</v>
      </c>
      <c r="DW5" s="221">
        <v>4838.5143808949888</v>
      </c>
      <c r="DX5" s="221">
        <v>5379.0681318483603</v>
      </c>
      <c r="DY5" s="221">
        <v>5696.0209066126226</v>
      </c>
      <c r="DZ5" s="221">
        <v>5169.0974819784205</v>
      </c>
      <c r="EA5" s="221">
        <v>4875.1886268592316</v>
      </c>
      <c r="EB5" s="221">
        <v>5856.8877186017571</v>
      </c>
      <c r="EC5" s="221">
        <v>5196.7178027091177</v>
      </c>
      <c r="ED5" s="221">
        <v>5336.5217642297794</v>
      </c>
      <c r="EE5" s="221">
        <v>5787.2354073851757</v>
      </c>
      <c r="EF5" s="221">
        <v>3946.6993082792192</v>
      </c>
      <c r="EG5" s="221">
        <v>6128.894398436898</v>
      </c>
      <c r="EH5" s="221">
        <v>4770.9271694123472</v>
      </c>
      <c r="EI5" s="221">
        <v>4584.3245642552292</v>
      </c>
      <c r="EJ5" s="221">
        <v>5962.5462216556189</v>
      </c>
      <c r="EK5" s="221">
        <v>5615.3235387292025</v>
      </c>
      <c r="EL5" s="221">
        <v>4776.4698158355914</v>
      </c>
      <c r="EM5" s="221">
        <v>5455.050757958762</v>
      </c>
      <c r="EN5" s="221">
        <v>5774.6028643819882</v>
      </c>
      <c r="EO5" s="221">
        <v>4512.4862108420803</v>
      </c>
      <c r="EP5" s="221">
        <v>4271.1730109863165</v>
      </c>
      <c r="EQ5" s="221">
        <v>3908.015005051021</v>
      </c>
      <c r="ER5" s="221">
        <v>2962.346030447613</v>
      </c>
      <c r="ES5" s="221">
        <v>3686.2229992786206</v>
      </c>
      <c r="ET5" s="221">
        <v>2366.0375491169334</v>
      </c>
      <c r="EU5" s="221">
        <v>2355.4505281657757</v>
      </c>
      <c r="EV5" s="221">
        <v>2944.8681002445628</v>
      </c>
      <c r="EW5" s="221">
        <v>2256.2484371365508</v>
      </c>
      <c r="EX5" s="221">
        <v>1763.3321547587354</v>
      </c>
      <c r="EY5" s="221">
        <v>1839.1071066587422</v>
      </c>
      <c r="EZ5" s="221">
        <v>1608.037573994854</v>
      </c>
      <c r="FA5" s="221">
        <v>1568.1329298409285</v>
      </c>
      <c r="FB5" s="221">
        <v>1256.0855303716394</v>
      </c>
      <c r="FC5" s="221">
        <v>1049.6925785399055</v>
      </c>
      <c r="FD5" s="221">
        <v>952.29350279752691</v>
      </c>
      <c r="FE5" s="221">
        <v>987.46045262039274</v>
      </c>
      <c r="FF5" s="221">
        <v>614.57765231104349</v>
      </c>
      <c r="FG5" s="221">
        <v>584.63940684187196</v>
      </c>
      <c r="FH5" s="221">
        <v>693.33765573873552</v>
      </c>
      <c r="FI5" s="221">
        <v>443.36776886463031</v>
      </c>
      <c r="FJ5" s="221">
        <v>390.40798363052352</v>
      </c>
      <c r="FK5" s="221">
        <v>313.11585784255431</v>
      </c>
      <c r="FL5" s="221">
        <v>218.62352338589025</v>
      </c>
      <c r="FM5" s="221">
        <v>317.36988387317649</v>
      </c>
      <c r="FN5" s="221">
        <v>259.62169834885015</v>
      </c>
      <c r="FO5" s="221">
        <v>251.11928388195486</v>
      </c>
      <c r="FP5" s="221">
        <v>256.74682777894498</v>
      </c>
      <c r="FQ5" s="221">
        <v>277.85133175299609</v>
      </c>
      <c r="FR5" s="221">
        <v>249.4065348420755</v>
      </c>
      <c r="FS5" s="221">
        <v>255.05777454292945</v>
      </c>
      <c r="FT5" s="221">
        <v>298.39720919714853</v>
      </c>
      <c r="FU5" s="221">
        <v>264.72672763918968</v>
      </c>
      <c r="FV5" s="221">
        <v>294.34018320164569</v>
      </c>
      <c r="FW5" s="221">
        <v>244.63307549905906</v>
      </c>
      <c r="FX5" s="221">
        <v>279.33115972180133</v>
      </c>
      <c r="FY5" s="221">
        <v>318.52445590431353</v>
      </c>
      <c r="FZ5" s="221">
        <v>217.8921070475995</v>
      </c>
      <c r="GA5" s="221">
        <v>309.80260221759886</v>
      </c>
      <c r="GB5" s="221">
        <v>246.25291133684593</v>
      </c>
      <c r="GC5" s="221">
        <v>258.67495794821593</v>
      </c>
      <c r="GD5" s="24">
        <f t="shared" ref="GD5:GD22" si="0">IF(E5=1,SUM(G5:Q5),0)</f>
        <v>23681.971125178232</v>
      </c>
      <c r="GE5" s="24">
        <f t="shared" ref="GE5:GE22" si="1">IF(E5=1,SUM(R5:AC5),0)</f>
        <v>37687.658058853223</v>
      </c>
      <c r="GF5" s="24">
        <f t="shared" ref="GF5:GF22" si="2">IF(E5=1,SUM(AD5:AO5),0)</f>
        <v>47270.743011205974</v>
      </c>
      <c r="GG5" s="24">
        <f t="shared" ref="GG5:GG22" si="3">IF(E5=1,SUM(AP5:BA5),0)</f>
        <v>53009.436897585401</v>
      </c>
      <c r="GH5" s="24">
        <f t="shared" ref="GH5:GH22" si="4">IF(E5=1,SUM(BB5:BM5),0)</f>
        <v>56638.802786036256</v>
      </c>
      <c r="GI5" s="24">
        <f t="shared" ref="GI5:GI22" si="5">IF(E5=1,SUM(BN5:BY5),0)</f>
        <v>58933.983725521772</v>
      </c>
      <c r="GJ5" s="24">
        <f t="shared" ref="GJ5:GJ22" si="6">IF(E5=1,SUM(BZ5:CK5),0)</f>
        <v>60415.274821030638</v>
      </c>
      <c r="GK5" s="24">
        <f t="shared" ref="GK5:GK22" si="7">IF(E5=1,SUM(CL5:CW5),0)</f>
        <v>60488.645047924496</v>
      </c>
      <c r="GL5" s="24">
        <f t="shared" ref="GL5:GL22" si="8">IF(E5=1,SUM(CX5:DI5),0)</f>
        <v>61154.4874622399</v>
      </c>
      <c r="GM5" s="24">
        <f t="shared" ref="GM5:GM22" si="9">IF(E5=1,SUM(DJ5:DU5),0)</f>
        <v>62242.858790224607</v>
      </c>
      <c r="GN5" s="24">
        <f t="shared" ref="GN5:GN22" si="10">IF(E5=1,SUM(DV5:EG5),0)</f>
        <v>63599.318360076839</v>
      </c>
      <c r="GO5" s="24">
        <f t="shared" ref="GO5:GO22" si="11">IF(E5=1,SUM(EH5:ES5),0)</f>
        <v>56279.488188834388</v>
      </c>
      <c r="GP5" s="24">
        <f t="shared" ref="GP5:GP22" si="12">IF(E5=1,SUM(ET5:FE5),0)</f>
        <v>20946.746444246543</v>
      </c>
      <c r="GQ5" s="24">
        <f t="shared" ref="GQ5:GQ22" si="13">IF(E5=1,SUM(FF5:FQ5),0)</f>
        <v>4620.7788742511721</v>
      </c>
      <c r="GR5" s="24">
        <f t="shared" ref="GR5:GR22" si="14">IF(E5=1,SUM(FR5:GC5),0)</f>
        <v>3237.0396990984227</v>
      </c>
    </row>
    <row r="6" spans="1:200" ht="14" customHeight="1" x14ac:dyDescent="0.35">
      <c r="A6" s="10" t="s">
        <v>26</v>
      </c>
      <c r="B6" s="25" t="s">
        <v>84</v>
      </c>
      <c r="C6" s="12" t="s">
        <v>85</v>
      </c>
      <c r="D6" s="12" t="s">
        <v>76</v>
      </c>
      <c r="E6" s="21">
        <f>IFERROR(VLOOKUP(B6,'SKU Master'!A:P,6,0),0)</f>
        <v>1</v>
      </c>
      <c r="F6" s="221"/>
      <c r="G6" s="221"/>
      <c r="H6" s="221"/>
      <c r="I6" s="221"/>
      <c r="J6" s="221"/>
      <c r="K6" s="221"/>
      <c r="L6" s="221"/>
      <c r="M6" s="221"/>
      <c r="N6" s="221"/>
      <c r="O6" s="221"/>
      <c r="P6" s="221"/>
      <c r="Q6" s="221"/>
      <c r="R6" s="221"/>
      <c r="S6" s="221"/>
      <c r="T6" s="221"/>
      <c r="U6" s="221"/>
      <c r="V6" s="221"/>
      <c r="W6" s="221"/>
      <c r="X6" s="221"/>
      <c r="Y6" s="221"/>
      <c r="Z6" s="221"/>
      <c r="AA6" s="221"/>
      <c r="AB6" s="221"/>
      <c r="AC6" s="221"/>
      <c r="AD6" s="221"/>
      <c r="AE6" s="221"/>
      <c r="AF6" s="221"/>
      <c r="AG6" s="221"/>
      <c r="AH6" s="221"/>
      <c r="AI6" s="221"/>
      <c r="AJ6" s="221"/>
      <c r="AK6" s="221"/>
      <c r="AL6" s="221"/>
      <c r="AM6" s="221"/>
      <c r="AN6" s="221"/>
      <c r="AO6" s="221"/>
      <c r="AP6" s="221">
        <v>11.455430220746969</v>
      </c>
      <c r="AQ6" s="221">
        <v>19.689951026630634</v>
      </c>
      <c r="AR6" s="221">
        <v>40.801500917620601</v>
      </c>
      <c r="AS6" s="221">
        <v>54.167853196308883</v>
      </c>
      <c r="AT6" s="221">
        <v>84.462518781960057</v>
      </c>
      <c r="AU6" s="221">
        <v>96.260975033954367</v>
      </c>
      <c r="AV6" s="221">
        <v>145.74203426030772</v>
      </c>
      <c r="AW6" s="221">
        <v>224.46510548371253</v>
      </c>
      <c r="AX6" s="221">
        <v>200.691113686866</v>
      </c>
      <c r="AY6" s="221">
        <v>365.56905642341502</v>
      </c>
      <c r="AZ6" s="221">
        <v>374.92196697394536</v>
      </c>
      <c r="BA6" s="221">
        <v>493.11703683112881</v>
      </c>
      <c r="BB6" s="221">
        <v>671.1747241689402</v>
      </c>
      <c r="BC6" s="221">
        <v>671.98728351344528</v>
      </c>
      <c r="BD6" s="221">
        <v>1019.360796576659</v>
      </c>
      <c r="BE6" s="221">
        <v>1281.5509889706514</v>
      </c>
      <c r="BF6" s="221">
        <v>1497.5494430527306</v>
      </c>
      <c r="BG6" s="221">
        <v>1312.1826505723375</v>
      </c>
      <c r="BH6" s="221">
        <v>2109.7708441235645</v>
      </c>
      <c r="BI6" s="221">
        <v>2238.1265323099478</v>
      </c>
      <c r="BJ6" s="221">
        <v>2079.6589627427265</v>
      </c>
      <c r="BK6" s="221">
        <v>2870.3693223496048</v>
      </c>
      <c r="BL6" s="221">
        <v>2225.1563591124595</v>
      </c>
      <c r="BM6" s="221">
        <v>3144.4307842839244</v>
      </c>
      <c r="BN6" s="221">
        <v>3172.0487588402293</v>
      </c>
      <c r="BO6" s="221">
        <v>2757.1912388375531</v>
      </c>
      <c r="BP6" s="221">
        <v>3692.8614650115001</v>
      </c>
      <c r="BQ6" s="221">
        <v>3975.1092118440042</v>
      </c>
      <c r="BR6" s="221">
        <v>3695.4519424481355</v>
      </c>
      <c r="BS6" s="221">
        <v>3589.1862398033572</v>
      </c>
      <c r="BT6" s="221">
        <v>4532.6892868376399</v>
      </c>
      <c r="BU6" s="221">
        <v>4036.6054094069286</v>
      </c>
      <c r="BV6" s="221">
        <v>4262.2551780764652</v>
      </c>
      <c r="BW6" s="221">
        <v>4740.9381869725485</v>
      </c>
      <c r="BX6" s="221">
        <v>3109.7916201704847</v>
      </c>
      <c r="BY6" s="221">
        <v>5258.9224677883794</v>
      </c>
      <c r="BZ6" s="221">
        <v>3953.206260820617</v>
      </c>
      <c r="CA6" s="221">
        <v>3862.4165369369316</v>
      </c>
      <c r="CB6" s="221">
        <v>5643.5407914571833</v>
      </c>
      <c r="CC6" s="221">
        <v>4726.6040136363845</v>
      </c>
      <c r="CD6" s="221">
        <v>4089.9469623896152</v>
      </c>
      <c r="CE6" s="221">
        <v>4817.9181205304603</v>
      </c>
      <c r="CF6" s="221">
        <v>4686.3241672045197</v>
      </c>
      <c r="CG6" s="221">
        <v>5135.7373767727941</v>
      </c>
      <c r="CH6" s="221">
        <v>4590.3178423025784</v>
      </c>
      <c r="CI6" s="221">
        <v>4329.0109263346349</v>
      </c>
      <c r="CJ6" s="221">
        <v>4471.0612709669876</v>
      </c>
      <c r="CK6" s="221">
        <v>5314.6194037379482</v>
      </c>
      <c r="CL6" s="221">
        <v>3744.7713877970677</v>
      </c>
      <c r="CM6" s="221">
        <v>4177.5710699816136</v>
      </c>
      <c r="CN6" s="221">
        <v>5837.3261241697746</v>
      </c>
      <c r="CO6" s="221">
        <v>4414.4891003357016</v>
      </c>
      <c r="CP6" s="221">
        <v>4734.9184005750749</v>
      </c>
      <c r="CQ6" s="221">
        <v>4740.0783636524448</v>
      </c>
      <c r="CR6" s="221">
        <v>4314.9746643132239</v>
      </c>
      <c r="CS6" s="221">
        <v>5748.9711816889903</v>
      </c>
      <c r="CT6" s="221">
        <v>4461.6808644490138</v>
      </c>
      <c r="CU6" s="221">
        <v>4349.5175874251845</v>
      </c>
      <c r="CV6" s="221">
        <v>4485.4177154225581</v>
      </c>
      <c r="CW6" s="221">
        <v>4891.540469187983</v>
      </c>
      <c r="CX6" s="221">
        <v>4309.044567992958</v>
      </c>
      <c r="CY6" s="221">
        <v>4023.0026727926456</v>
      </c>
      <c r="CZ6" s="221">
        <v>5837.3425748109821</v>
      </c>
      <c r="DA6" s="221">
        <v>3984.2195877429085</v>
      </c>
      <c r="DB6" s="221">
        <v>5292.6098474752125</v>
      </c>
      <c r="DC6" s="221">
        <v>4580.0818291517407</v>
      </c>
      <c r="DD6" s="221">
        <v>4313.0474669323667</v>
      </c>
      <c r="DE6" s="221">
        <v>5746.5078364629644</v>
      </c>
      <c r="DF6" s="221">
        <v>4028.235930635497</v>
      </c>
      <c r="DG6" s="221">
        <v>4914.6001809918444</v>
      </c>
      <c r="DH6" s="221">
        <v>4329.3226751482662</v>
      </c>
      <c r="DI6" s="221">
        <v>4466.2793445362977</v>
      </c>
      <c r="DJ6" s="221">
        <v>4873.6809935793217</v>
      </c>
      <c r="DK6" s="221">
        <v>3872.2327351270055</v>
      </c>
      <c r="DL6" s="221">
        <v>5415.3162057442969</v>
      </c>
      <c r="DM6" s="221">
        <v>4554.4181454140526</v>
      </c>
      <c r="DN6" s="221">
        <v>5150.0401149602931</v>
      </c>
      <c r="DO6" s="221">
        <v>4163.8393882459168</v>
      </c>
      <c r="DP6" s="221">
        <v>4889.1201462357349</v>
      </c>
      <c r="DQ6" s="221">
        <v>5610.8664632576874</v>
      </c>
      <c r="DR6" s="221">
        <v>3615.1963639811606</v>
      </c>
      <c r="DS6" s="221">
        <v>5500.6752291558341</v>
      </c>
      <c r="DT6" s="221">
        <v>4190.9119984845656</v>
      </c>
      <c r="DU6" s="221">
        <v>4488.5984320833923</v>
      </c>
      <c r="DV6" s="221">
        <v>4898.9516053610878</v>
      </c>
      <c r="DW6" s="221">
        <v>4318.4304325668891</v>
      </c>
      <c r="DX6" s="221">
        <v>4886.144472403641</v>
      </c>
      <c r="DY6" s="221">
        <v>5170.5473426868703</v>
      </c>
      <c r="DZ6" s="221">
        <v>4612.75082966215</v>
      </c>
      <c r="EA6" s="221">
        <v>4345.7900269922611</v>
      </c>
      <c r="EB6" s="221">
        <v>5351.7320452563163</v>
      </c>
      <c r="EC6" s="221">
        <v>4632.9617094210544</v>
      </c>
      <c r="ED6" s="221">
        <v>4798.4038479228475</v>
      </c>
      <c r="EE6" s="221">
        <v>5243.8726599873935</v>
      </c>
      <c r="EF6" s="221">
        <v>3376.1861399365689</v>
      </c>
      <c r="EG6" s="221">
        <v>5670.1730139993106</v>
      </c>
      <c r="EH6" s="221">
        <v>4200.5581382704995</v>
      </c>
      <c r="EI6" s="221">
        <v>4072.2537971413553</v>
      </c>
      <c r="EJ6" s="221">
        <v>5473.6929297610122</v>
      </c>
      <c r="EK6" s="221">
        <v>5039.9458440999879</v>
      </c>
      <c r="EL6" s="221">
        <v>4203.1269717324676</v>
      </c>
      <c r="EM6" s="221">
        <v>4935.7988423221323</v>
      </c>
      <c r="EN6" s="221">
        <v>5222.0446705739087</v>
      </c>
      <c r="EO6" s="221">
        <v>3919.7739383619792</v>
      </c>
      <c r="EP6" s="221">
        <v>3756.4558265733881</v>
      </c>
      <c r="EQ6" s="221">
        <v>3435.4116967621158</v>
      </c>
      <c r="ER6" s="221">
        <v>2532.5654670502427</v>
      </c>
      <c r="ES6" s="221">
        <v>3329.3105352867842</v>
      </c>
      <c r="ET6" s="221">
        <v>1990.3129960785684</v>
      </c>
      <c r="EU6" s="221">
        <v>2063.9859897368865</v>
      </c>
      <c r="EV6" s="221">
        <v>2674.0366238593065</v>
      </c>
      <c r="EW6" s="221">
        <v>1957.5264976129743</v>
      </c>
      <c r="EX6" s="221">
        <v>1505.4863708142257</v>
      </c>
      <c r="EY6" s="221">
        <v>1626.963115779477</v>
      </c>
      <c r="EZ6" s="221">
        <v>1406.2244321241394</v>
      </c>
      <c r="FA6" s="221">
        <v>1384.8106126153275</v>
      </c>
      <c r="FB6" s="221">
        <v>1083.6071670331901</v>
      </c>
      <c r="FC6" s="221">
        <v>903.01708112219535</v>
      </c>
      <c r="FD6" s="221">
        <v>828.33481641808726</v>
      </c>
      <c r="FE6" s="221">
        <v>876.32806736763712</v>
      </c>
      <c r="FF6" s="221">
        <v>507.95857800364587</v>
      </c>
      <c r="FG6" s="221">
        <v>504.92258368137931</v>
      </c>
      <c r="FH6" s="221">
        <v>622.55332361873525</v>
      </c>
      <c r="FI6" s="221">
        <v>370.35235830656524</v>
      </c>
      <c r="FJ6" s="221">
        <v>333.65467906765957</v>
      </c>
      <c r="FK6" s="221">
        <v>265.63490448506866</v>
      </c>
      <c r="FL6" s="221">
        <v>179.95089914500377</v>
      </c>
      <c r="FM6" s="221">
        <v>288.72598273510744</v>
      </c>
      <c r="FN6" s="221">
        <v>228.03975538938744</v>
      </c>
      <c r="FO6" s="221">
        <v>222.44451996180112</v>
      </c>
      <c r="FP6" s="221">
        <v>229.52488886596146</v>
      </c>
      <c r="FQ6" s="221">
        <v>250.45417167287152</v>
      </c>
      <c r="FR6" s="221">
        <v>220.78266973154621</v>
      </c>
      <c r="FS6" s="221">
        <v>227.90411215928859</v>
      </c>
      <c r="FT6" s="221">
        <v>270.81830765861332</v>
      </c>
      <c r="FU6" s="221">
        <v>234.50615784986812</v>
      </c>
      <c r="FV6" s="221">
        <v>265.17983240729097</v>
      </c>
      <c r="FW6" s="221">
        <v>214.39704640789765</v>
      </c>
      <c r="FX6" s="221">
        <v>251.7266204669686</v>
      </c>
      <c r="FY6" s="221">
        <v>288.85975685692688</v>
      </c>
      <c r="FZ6" s="221">
        <v>186.11557031732974</v>
      </c>
      <c r="GA6" s="221">
        <v>283.16006891883518</v>
      </c>
      <c r="GB6" s="221">
        <v>215.71265693718195</v>
      </c>
      <c r="GC6" s="221">
        <v>231.01199438900528</v>
      </c>
      <c r="GD6" s="24">
        <f t="shared" si="0"/>
        <v>0</v>
      </c>
      <c r="GE6" s="24">
        <f t="shared" si="1"/>
        <v>0</v>
      </c>
      <c r="GF6" s="24">
        <f t="shared" si="2"/>
        <v>0</v>
      </c>
      <c r="GG6" s="24">
        <f t="shared" si="3"/>
        <v>2111.3445428365967</v>
      </c>
      <c r="GH6" s="24">
        <f t="shared" si="4"/>
        <v>21121.318691776993</v>
      </c>
      <c r="GI6" s="24">
        <f t="shared" si="5"/>
        <v>46823.051006037233</v>
      </c>
      <c r="GJ6" s="24">
        <f t="shared" si="6"/>
        <v>55620.703673090647</v>
      </c>
      <c r="GK6" s="24">
        <f t="shared" si="7"/>
        <v>55901.256928998628</v>
      </c>
      <c r="GL6" s="24">
        <f t="shared" si="8"/>
        <v>55824.294514673689</v>
      </c>
      <c r="GM6" s="24">
        <f t="shared" si="9"/>
        <v>56324.896216269262</v>
      </c>
      <c r="GN6" s="24">
        <f t="shared" si="10"/>
        <v>57305.944126196388</v>
      </c>
      <c r="GO6" s="24">
        <f t="shared" si="11"/>
        <v>50120.938657935869</v>
      </c>
      <c r="GP6" s="24">
        <f t="shared" si="12"/>
        <v>18300.633770562014</v>
      </c>
      <c r="GQ6" s="24">
        <f t="shared" si="13"/>
        <v>4004.2166449331867</v>
      </c>
      <c r="GR6" s="24">
        <f t="shared" si="14"/>
        <v>2890.1747941007534</v>
      </c>
    </row>
    <row r="7" spans="1:200" ht="14" customHeight="1" x14ac:dyDescent="0.35">
      <c r="A7" s="2" t="s">
        <v>26</v>
      </c>
      <c r="B7" s="22" t="s">
        <v>88</v>
      </c>
      <c r="C7" s="4" t="s">
        <v>89</v>
      </c>
      <c r="D7" s="4" t="s">
        <v>76</v>
      </c>
      <c r="E7" s="21">
        <f>IFERROR(VLOOKUP(B7,'SKU Master'!A:P,6,0),0)</f>
        <v>0</v>
      </c>
      <c r="F7" s="221"/>
      <c r="G7" s="221"/>
      <c r="H7" s="221"/>
      <c r="I7" s="221"/>
      <c r="J7" s="221"/>
      <c r="K7" s="221"/>
      <c r="L7" s="221"/>
      <c r="M7" s="221"/>
      <c r="N7" s="221"/>
      <c r="O7" s="221"/>
      <c r="P7" s="221"/>
      <c r="Q7" s="221"/>
      <c r="R7" s="221"/>
      <c r="S7" s="221"/>
      <c r="T7" s="221"/>
      <c r="U7" s="221"/>
      <c r="V7" s="221"/>
      <c r="W7" s="221"/>
      <c r="X7" s="221"/>
      <c r="Y7" s="221"/>
      <c r="Z7" s="221"/>
      <c r="AA7" s="221"/>
      <c r="AB7" s="221"/>
      <c r="AC7" s="221"/>
      <c r="AD7" s="221"/>
      <c r="AE7" s="221"/>
      <c r="AF7" s="221"/>
      <c r="AG7" s="221"/>
      <c r="AH7" s="221"/>
      <c r="AI7" s="221"/>
      <c r="AJ7" s="221"/>
      <c r="AK7" s="221"/>
      <c r="AL7" s="221"/>
      <c r="AM7" s="221"/>
      <c r="AN7" s="221"/>
      <c r="AO7" s="221"/>
      <c r="AP7" s="221"/>
      <c r="AQ7" s="221"/>
      <c r="AR7" s="221"/>
      <c r="AS7" s="221"/>
      <c r="AT7" s="221"/>
      <c r="AU7" s="221"/>
      <c r="AV7" s="221"/>
      <c r="AW7" s="221"/>
      <c r="AX7" s="221"/>
      <c r="AY7" s="221"/>
      <c r="AZ7" s="221"/>
      <c r="BA7" s="221"/>
      <c r="BB7" s="221"/>
      <c r="BC7" s="221"/>
      <c r="BD7" s="221"/>
      <c r="BE7" s="221"/>
      <c r="BF7" s="221"/>
      <c r="BG7" s="221"/>
      <c r="BH7" s="221"/>
      <c r="BI7" s="221"/>
      <c r="BJ7" s="221"/>
      <c r="BK7" s="221"/>
      <c r="BL7" s="221"/>
      <c r="BM7" s="221"/>
      <c r="BN7" s="221"/>
      <c r="BO7" s="221"/>
      <c r="BP7" s="221"/>
      <c r="BQ7" s="221"/>
      <c r="BR7" s="221"/>
      <c r="BS7" s="221"/>
      <c r="BT7" s="221"/>
      <c r="BU7" s="221"/>
      <c r="BV7" s="221"/>
      <c r="BW7" s="221"/>
      <c r="BX7" s="221"/>
      <c r="BY7" s="221"/>
      <c r="BZ7" s="221"/>
      <c r="CA7" s="221"/>
      <c r="CB7" s="221"/>
      <c r="CC7" s="221"/>
      <c r="CD7" s="221"/>
      <c r="CE7" s="221"/>
      <c r="CF7" s="221"/>
      <c r="CG7" s="221"/>
      <c r="CH7" s="221"/>
      <c r="CI7" s="221"/>
      <c r="CJ7" s="221"/>
      <c r="CK7" s="221"/>
      <c r="CL7" s="221"/>
      <c r="CM7" s="221"/>
      <c r="CN7" s="221"/>
      <c r="CO7" s="221"/>
      <c r="CP7" s="221"/>
      <c r="CQ7" s="221"/>
      <c r="CR7" s="221"/>
      <c r="CS7" s="221"/>
      <c r="CT7" s="221"/>
      <c r="CU7" s="221"/>
      <c r="CV7" s="221"/>
      <c r="CW7" s="221"/>
      <c r="CX7" s="221"/>
      <c r="CY7" s="221"/>
      <c r="CZ7" s="221"/>
      <c r="DA7" s="221"/>
      <c r="DB7" s="221"/>
      <c r="DC7" s="221"/>
      <c r="DD7" s="221"/>
      <c r="DE7" s="221"/>
      <c r="DF7" s="221"/>
      <c r="DG7" s="221"/>
      <c r="DH7" s="221"/>
      <c r="DI7" s="221"/>
      <c r="DJ7" s="221"/>
      <c r="DK7" s="221"/>
      <c r="DL7" s="221"/>
      <c r="DM7" s="221"/>
      <c r="DN7" s="221"/>
      <c r="DO7" s="221"/>
      <c r="DP7" s="221"/>
      <c r="DQ7" s="221"/>
      <c r="DR7" s="221"/>
      <c r="DS7" s="221"/>
      <c r="DT7" s="221"/>
      <c r="DU7" s="221"/>
      <c r="DV7" s="221"/>
      <c r="DW7" s="221"/>
      <c r="DX7" s="221"/>
      <c r="DY7" s="221"/>
      <c r="DZ7" s="221"/>
      <c r="EA7" s="221"/>
      <c r="EB7" s="221"/>
      <c r="EC7" s="221"/>
      <c r="ED7" s="221"/>
      <c r="EE7" s="221"/>
      <c r="EF7" s="221"/>
      <c r="EG7" s="221"/>
      <c r="EH7" s="221"/>
      <c r="EI7" s="221"/>
      <c r="EJ7" s="221"/>
      <c r="EK7" s="221"/>
      <c r="EL7" s="221"/>
      <c r="EM7" s="221"/>
      <c r="EN7" s="221"/>
      <c r="EO7" s="221"/>
      <c r="EP7" s="221"/>
      <c r="EQ7" s="221"/>
      <c r="ER7" s="221"/>
      <c r="ES7" s="221"/>
      <c r="ET7" s="221"/>
      <c r="EU7" s="221"/>
      <c r="EV7" s="221"/>
      <c r="EW7" s="221"/>
      <c r="EX7" s="221"/>
      <c r="EY7" s="221"/>
      <c r="EZ7" s="221"/>
      <c r="FA7" s="221"/>
      <c r="FB7" s="221"/>
      <c r="FC7" s="221"/>
      <c r="FD7" s="221"/>
      <c r="FE7" s="221"/>
      <c r="FF7" s="221"/>
      <c r="FG7" s="221"/>
      <c r="FH7" s="221"/>
      <c r="FI7" s="221"/>
      <c r="FJ7" s="221"/>
      <c r="FK7" s="221"/>
      <c r="FL7" s="221"/>
      <c r="FM7" s="221"/>
      <c r="FN7" s="221"/>
      <c r="FO7" s="221"/>
      <c r="FP7" s="221"/>
      <c r="FQ7" s="221"/>
      <c r="FR7" s="221"/>
      <c r="FS7" s="221"/>
      <c r="FT7" s="221"/>
      <c r="FU7" s="221"/>
      <c r="FV7" s="221"/>
      <c r="FW7" s="221"/>
      <c r="FX7" s="221"/>
      <c r="FY7" s="221"/>
      <c r="FZ7" s="221"/>
      <c r="GA7" s="221"/>
      <c r="GB7" s="221"/>
      <c r="GC7" s="221"/>
      <c r="GD7" s="24">
        <f t="shared" si="0"/>
        <v>0</v>
      </c>
      <c r="GE7" s="24">
        <f t="shared" si="1"/>
        <v>0</v>
      </c>
      <c r="GF7" s="24">
        <f t="shared" si="2"/>
        <v>0</v>
      </c>
      <c r="GG7" s="24">
        <f t="shared" si="3"/>
        <v>0</v>
      </c>
      <c r="GH7" s="24">
        <f t="shared" si="4"/>
        <v>0</v>
      </c>
      <c r="GI7" s="24">
        <f t="shared" si="5"/>
        <v>0</v>
      </c>
      <c r="GJ7" s="24">
        <f t="shared" si="6"/>
        <v>0</v>
      </c>
      <c r="GK7" s="24">
        <f t="shared" si="7"/>
        <v>0</v>
      </c>
      <c r="GL7" s="24">
        <f t="shared" si="8"/>
        <v>0</v>
      </c>
      <c r="GM7" s="24">
        <f t="shared" si="9"/>
        <v>0</v>
      </c>
      <c r="GN7" s="24">
        <f t="shared" si="10"/>
        <v>0</v>
      </c>
      <c r="GO7" s="24">
        <f t="shared" si="11"/>
        <v>0</v>
      </c>
      <c r="GP7" s="24">
        <f t="shared" si="12"/>
        <v>0</v>
      </c>
      <c r="GQ7" s="24">
        <f t="shared" si="13"/>
        <v>0</v>
      </c>
      <c r="GR7" s="24">
        <f t="shared" si="14"/>
        <v>0</v>
      </c>
    </row>
    <row r="8" spans="1:200" ht="14" customHeight="1" x14ac:dyDescent="0.35">
      <c r="A8" s="10" t="s">
        <v>26</v>
      </c>
      <c r="B8" s="25" t="s">
        <v>93</v>
      </c>
      <c r="C8" s="12" t="s">
        <v>94</v>
      </c>
      <c r="D8" s="12" t="s">
        <v>76</v>
      </c>
      <c r="E8" s="21">
        <f>IFERROR(VLOOKUP(B8,'SKU Master'!A:P,6,0),0)</f>
        <v>0</v>
      </c>
      <c r="F8" s="221"/>
      <c r="G8" s="221"/>
      <c r="H8" s="221"/>
      <c r="I8" s="221"/>
      <c r="J8" s="221"/>
      <c r="K8" s="221"/>
      <c r="L8" s="221"/>
      <c r="M8" s="221"/>
      <c r="N8" s="221"/>
      <c r="O8" s="221"/>
      <c r="P8" s="221"/>
      <c r="Q8" s="221"/>
      <c r="R8" s="221"/>
      <c r="S8" s="221"/>
      <c r="T8" s="221"/>
      <c r="U8" s="221"/>
      <c r="V8" s="221"/>
      <c r="W8" s="221"/>
      <c r="X8" s="221"/>
      <c r="Y8" s="221"/>
      <c r="Z8" s="221"/>
      <c r="AA8" s="221"/>
      <c r="AB8" s="221"/>
      <c r="AC8" s="221"/>
      <c r="AD8" s="221"/>
      <c r="AE8" s="221"/>
      <c r="AF8" s="221"/>
      <c r="AG8" s="221"/>
      <c r="AH8" s="221"/>
      <c r="AI8" s="221"/>
      <c r="AJ8" s="221"/>
      <c r="AK8" s="221"/>
      <c r="AL8" s="221"/>
      <c r="AM8" s="221"/>
      <c r="AN8" s="221"/>
      <c r="AO8" s="221"/>
      <c r="AP8" s="221"/>
      <c r="AQ8" s="221"/>
      <c r="AR8" s="221"/>
      <c r="AS8" s="221"/>
      <c r="AT8" s="221"/>
      <c r="AU8" s="221"/>
      <c r="AV8" s="221"/>
      <c r="AW8" s="221"/>
      <c r="AX8" s="221"/>
      <c r="AY8" s="221"/>
      <c r="AZ8" s="221"/>
      <c r="BA8" s="221"/>
      <c r="BB8" s="221"/>
      <c r="BC8" s="221"/>
      <c r="BD8" s="221"/>
      <c r="BE8" s="221"/>
      <c r="BF8" s="221"/>
      <c r="BG8" s="221"/>
      <c r="BH8" s="221"/>
      <c r="BI8" s="221"/>
      <c r="BJ8" s="221"/>
      <c r="BK8" s="221"/>
      <c r="BL8" s="221"/>
      <c r="BM8" s="221"/>
      <c r="BN8" s="221"/>
      <c r="BO8" s="221"/>
      <c r="BP8" s="221"/>
      <c r="BQ8" s="221"/>
      <c r="BR8" s="221"/>
      <c r="BS8" s="221"/>
      <c r="BT8" s="221"/>
      <c r="BU8" s="221"/>
      <c r="BV8" s="221"/>
      <c r="BW8" s="221"/>
      <c r="BX8" s="221"/>
      <c r="BY8" s="221"/>
      <c r="BZ8" s="221"/>
      <c r="CA8" s="221"/>
      <c r="CB8" s="221"/>
      <c r="CC8" s="221"/>
      <c r="CD8" s="221"/>
      <c r="CE8" s="221"/>
      <c r="CF8" s="221"/>
      <c r="CG8" s="221"/>
      <c r="CH8" s="221"/>
      <c r="CI8" s="221"/>
      <c r="CJ8" s="221"/>
      <c r="CK8" s="221"/>
      <c r="CL8" s="221"/>
      <c r="CM8" s="221"/>
      <c r="CN8" s="221"/>
      <c r="CO8" s="221"/>
      <c r="CP8" s="221"/>
      <c r="CQ8" s="221"/>
      <c r="CR8" s="221"/>
      <c r="CS8" s="221"/>
      <c r="CT8" s="221"/>
      <c r="CU8" s="221"/>
      <c r="CV8" s="221"/>
      <c r="CW8" s="221"/>
      <c r="CX8" s="221"/>
      <c r="CY8" s="221"/>
      <c r="CZ8" s="221"/>
      <c r="DA8" s="221"/>
      <c r="DB8" s="221"/>
      <c r="DC8" s="221"/>
      <c r="DD8" s="221"/>
      <c r="DE8" s="221"/>
      <c r="DF8" s="221"/>
      <c r="DG8" s="221"/>
      <c r="DH8" s="221"/>
      <c r="DI8" s="221"/>
      <c r="DJ8" s="221"/>
      <c r="DK8" s="221"/>
      <c r="DL8" s="221"/>
      <c r="DM8" s="221"/>
      <c r="DN8" s="221"/>
      <c r="DO8" s="221"/>
      <c r="DP8" s="221"/>
      <c r="DQ8" s="221"/>
      <c r="DR8" s="221"/>
      <c r="DS8" s="221"/>
      <c r="DT8" s="221"/>
      <c r="DU8" s="221"/>
      <c r="DV8" s="221"/>
      <c r="DW8" s="221"/>
      <c r="DX8" s="221"/>
      <c r="DY8" s="221"/>
      <c r="DZ8" s="221"/>
      <c r="EA8" s="221"/>
      <c r="EB8" s="221"/>
      <c r="EC8" s="221"/>
      <c r="ED8" s="221"/>
      <c r="EE8" s="221"/>
      <c r="EF8" s="221"/>
      <c r="EG8" s="221"/>
      <c r="EH8" s="221"/>
      <c r="EI8" s="221"/>
      <c r="EJ8" s="221"/>
      <c r="EK8" s="221"/>
      <c r="EL8" s="221"/>
      <c r="EM8" s="221"/>
      <c r="EN8" s="221"/>
      <c r="EO8" s="221"/>
      <c r="EP8" s="221"/>
      <c r="EQ8" s="221"/>
      <c r="ER8" s="221"/>
      <c r="ES8" s="221"/>
      <c r="ET8" s="221"/>
      <c r="EU8" s="221"/>
      <c r="EV8" s="221"/>
      <c r="EW8" s="221"/>
      <c r="EX8" s="221"/>
      <c r="EY8" s="221"/>
      <c r="EZ8" s="221"/>
      <c r="FA8" s="221"/>
      <c r="FB8" s="221"/>
      <c r="FC8" s="221"/>
      <c r="FD8" s="221"/>
      <c r="FE8" s="221"/>
      <c r="FF8" s="221"/>
      <c r="FG8" s="221"/>
      <c r="FH8" s="221"/>
      <c r="FI8" s="221"/>
      <c r="FJ8" s="221"/>
      <c r="FK8" s="221"/>
      <c r="FL8" s="221"/>
      <c r="FM8" s="221"/>
      <c r="FN8" s="221"/>
      <c r="FO8" s="221"/>
      <c r="FP8" s="221"/>
      <c r="FQ8" s="221"/>
      <c r="FR8" s="221"/>
      <c r="FS8" s="221"/>
      <c r="FT8" s="221"/>
      <c r="FU8" s="221"/>
      <c r="FV8" s="221"/>
      <c r="FW8" s="221"/>
      <c r="FX8" s="221"/>
      <c r="FY8" s="221"/>
      <c r="FZ8" s="221"/>
      <c r="GA8" s="221"/>
      <c r="GB8" s="221"/>
      <c r="GC8" s="221"/>
      <c r="GD8" s="24">
        <f t="shared" si="0"/>
        <v>0</v>
      </c>
      <c r="GE8" s="24">
        <f t="shared" si="1"/>
        <v>0</v>
      </c>
      <c r="GF8" s="24">
        <f t="shared" si="2"/>
        <v>0</v>
      </c>
      <c r="GG8" s="24">
        <f t="shared" si="3"/>
        <v>0</v>
      </c>
      <c r="GH8" s="24">
        <f t="shared" si="4"/>
        <v>0</v>
      </c>
      <c r="GI8" s="24">
        <f t="shared" si="5"/>
        <v>0</v>
      </c>
      <c r="GJ8" s="24">
        <f t="shared" si="6"/>
        <v>0</v>
      </c>
      <c r="GK8" s="24">
        <f t="shared" si="7"/>
        <v>0</v>
      </c>
      <c r="GL8" s="24">
        <f t="shared" si="8"/>
        <v>0</v>
      </c>
      <c r="GM8" s="24">
        <f t="shared" si="9"/>
        <v>0</v>
      </c>
      <c r="GN8" s="24">
        <f t="shared" si="10"/>
        <v>0</v>
      </c>
      <c r="GO8" s="24">
        <f t="shared" si="11"/>
        <v>0</v>
      </c>
      <c r="GP8" s="24">
        <f t="shared" si="12"/>
        <v>0</v>
      </c>
      <c r="GQ8" s="24">
        <f t="shared" si="13"/>
        <v>0</v>
      </c>
      <c r="GR8" s="24">
        <f t="shared" si="14"/>
        <v>0</v>
      </c>
    </row>
    <row r="9" spans="1:200" ht="14" customHeight="1" x14ac:dyDescent="0.35">
      <c r="A9" s="154" t="str">
        <f>IF($F$1="Combined","188mg LP","188mg LP - EU Stock")</f>
        <v>188mg LP</v>
      </c>
      <c r="B9" s="22" t="s">
        <v>102</v>
      </c>
      <c r="C9" s="4" t="s">
        <v>75</v>
      </c>
      <c r="D9" s="4" t="s">
        <v>103</v>
      </c>
      <c r="E9" s="21">
        <f>IFERROR(VLOOKUP(B9,'SKU Master'!A:P,6,0),0)</f>
        <v>1</v>
      </c>
      <c r="F9" s="221">
        <v>0</v>
      </c>
      <c r="G9" s="221">
        <v>0</v>
      </c>
      <c r="H9" s="221">
        <v>0</v>
      </c>
      <c r="I9" s="221">
        <v>0</v>
      </c>
      <c r="J9" s="221">
        <v>0</v>
      </c>
      <c r="K9" s="221">
        <v>0</v>
      </c>
      <c r="L9" s="221">
        <v>0</v>
      </c>
      <c r="M9" s="221">
        <v>0</v>
      </c>
      <c r="N9" s="221">
        <v>0</v>
      </c>
      <c r="O9" s="221">
        <v>41.238868955026213</v>
      </c>
      <c r="P9" s="221">
        <v>47.279989283185294</v>
      </c>
      <c r="Q9" s="221">
        <v>86.438199035740922</v>
      </c>
      <c r="R9" s="221">
        <v>86.211185644365855</v>
      </c>
      <c r="S9" s="221">
        <v>126.40705530752679</v>
      </c>
      <c r="T9" s="221">
        <v>233.91307573365086</v>
      </c>
      <c r="U9" s="221">
        <v>273.84133542782041</v>
      </c>
      <c r="V9" s="221">
        <v>320.19416744631275</v>
      </c>
      <c r="W9" s="221">
        <v>486.39663351269724</v>
      </c>
      <c r="X9" s="221">
        <v>628.5823911069707</v>
      </c>
      <c r="Y9" s="221">
        <v>890.3644352336438</v>
      </c>
      <c r="Z9" s="221">
        <v>1041.0087883223368</v>
      </c>
      <c r="AA9" s="221">
        <v>1242.746457525202</v>
      </c>
      <c r="AB9" s="221">
        <v>1580.7414182053367</v>
      </c>
      <c r="AC9" s="221">
        <v>2259.7995067185784</v>
      </c>
      <c r="AD9" s="221">
        <v>2001.2466080864021</v>
      </c>
      <c r="AE9" s="221">
        <v>2756.506936915393</v>
      </c>
      <c r="AF9" s="221">
        <v>3883.864616913027</v>
      </c>
      <c r="AG9" s="221">
        <v>3229.7478489308733</v>
      </c>
      <c r="AH9" s="221">
        <v>4517.2060406362098</v>
      </c>
      <c r="AI9" s="221">
        <v>4351.0862412352517</v>
      </c>
      <c r="AJ9" s="221">
        <v>4383.2718306445149</v>
      </c>
      <c r="AK9" s="221">
        <v>5982.1140104304859</v>
      </c>
      <c r="AL9" s="221">
        <v>4622.7695323033286</v>
      </c>
      <c r="AM9" s="221">
        <v>5621.0888010102508</v>
      </c>
      <c r="AN9" s="221">
        <v>5195.3713197108964</v>
      </c>
      <c r="AO9" s="221">
        <v>5438.5676589702216</v>
      </c>
      <c r="AP9" s="221">
        <v>6005.1998381067287</v>
      </c>
      <c r="AQ9" s="221">
        <v>4998.8258137760095</v>
      </c>
      <c r="AR9" s="221">
        <v>6785.0702908364337</v>
      </c>
      <c r="AS9" s="221">
        <v>5965.6480958575066</v>
      </c>
      <c r="AT9" s="221">
        <v>6703.8278979426759</v>
      </c>
      <c r="AU9" s="221">
        <v>5624.378793415437</v>
      </c>
      <c r="AV9" s="221">
        <v>6473.4945182156334</v>
      </c>
      <c r="AW9" s="221">
        <v>7442.5841963634848</v>
      </c>
      <c r="AX9" s="221">
        <v>5127.1572622087424</v>
      </c>
      <c r="AY9" s="221">
        <v>7332.5508150506084</v>
      </c>
      <c r="AZ9" s="221">
        <v>5865.7133650172236</v>
      </c>
      <c r="BA9" s="221">
        <v>6193.5909745527924</v>
      </c>
      <c r="BB9" s="221">
        <v>6738.7123517604596</v>
      </c>
      <c r="BC9" s="221">
        <v>5543.7761319063129</v>
      </c>
      <c r="BD9" s="221">
        <v>6908.6739758448794</v>
      </c>
      <c r="BE9" s="221">
        <v>7179.4265291992479</v>
      </c>
      <c r="BF9" s="221">
        <v>7099.8086572551665</v>
      </c>
      <c r="BG9" s="221">
        <v>5515.473716828993</v>
      </c>
      <c r="BH9" s="221">
        <v>7634.9164402014449</v>
      </c>
      <c r="BI9" s="221">
        <v>7221.1205135579685</v>
      </c>
      <c r="BJ9" s="221">
        <v>6163.8972647392275</v>
      </c>
      <c r="BK9" s="221">
        <v>7632.9951770562766</v>
      </c>
      <c r="BL9" s="221">
        <v>5662.6909791205071</v>
      </c>
      <c r="BM9" s="221">
        <v>7255.9711856512031</v>
      </c>
      <c r="BN9" s="221">
        <v>6948.0258502376546</v>
      </c>
      <c r="BO9" s="221">
        <v>5842.1989990363318</v>
      </c>
      <c r="BP9" s="221">
        <v>7263.7511756208851</v>
      </c>
      <c r="BQ9" s="221">
        <v>7527.853780397586</v>
      </c>
      <c r="BR9" s="221">
        <v>6843.9330919052163</v>
      </c>
      <c r="BS9" s="221">
        <v>6464.5153864469548</v>
      </c>
      <c r="BT9" s="221">
        <v>7777.4805762174929</v>
      </c>
      <c r="BU9" s="221">
        <v>6911.1445705376618</v>
      </c>
      <c r="BV9" s="221">
        <v>7105.8812074671023</v>
      </c>
      <c r="BW9" s="221">
        <v>7715.4925266579894</v>
      </c>
      <c r="BX9" s="221">
        <v>5267.5494436337067</v>
      </c>
      <c r="BY9" s="221">
        <v>8187.3830614901826</v>
      </c>
      <c r="BZ9" s="221">
        <v>6380.1660138370207</v>
      </c>
      <c r="CA9" s="221">
        <v>6135.7579749336901</v>
      </c>
      <c r="CB9" s="221">
        <v>8579.2875126401195</v>
      </c>
      <c r="CC9" s="221">
        <v>7394.0605826286974</v>
      </c>
      <c r="CD9" s="221">
        <v>6444.0891766772065</v>
      </c>
      <c r="CE9" s="221">
        <v>7363.5642861448978</v>
      </c>
      <c r="CF9" s="221">
        <v>7203.420691118482</v>
      </c>
      <c r="CG9" s="221">
        <v>7817.1507059489131</v>
      </c>
      <c r="CH9" s="221">
        <v>7095.3652740002699</v>
      </c>
      <c r="CI9" s="221">
        <v>6692.678428069039</v>
      </c>
      <c r="CJ9" s="221">
        <v>6846.3757553007899</v>
      </c>
      <c r="CK9" s="221">
        <v>8012.1126818712464</v>
      </c>
      <c r="CL9" s="221">
        <v>5926.0911271320119</v>
      </c>
      <c r="CM9" s="221">
        <v>6403.6942135064146</v>
      </c>
      <c r="CN9" s="221">
        <v>8702.7005043668869</v>
      </c>
      <c r="CO9" s="221">
        <v>6896.5143916152165</v>
      </c>
      <c r="CP9" s="221">
        <v>7269.215733671329</v>
      </c>
      <c r="CQ9" s="221">
        <v>7284.0044116993731</v>
      </c>
      <c r="CR9" s="221">
        <v>6702.0429820563068</v>
      </c>
      <c r="CS9" s="221">
        <v>8663.7055731128276</v>
      </c>
      <c r="CT9" s="221">
        <v>7004.754394762992</v>
      </c>
      <c r="CU9" s="221">
        <v>6777.8635265406938</v>
      </c>
      <c r="CV9" s="221">
        <v>6932.5112644267128</v>
      </c>
      <c r="CW9" s="221">
        <v>7505.3661743603107</v>
      </c>
      <c r="CX9" s="221">
        <v>6739.8005938979859</v>
      </c>
      <c r="CY9" s="221">
        <v>6304.9746183698744</v>
      </c>
      <c r="CZ9" s="221">
        <v>8810.9923218068761</v>
      </c>
      <c r="DA9" s="221">
        <v>6381.6943606003979</v>
      </c>
      <c r="DB9" s="221">
        <v>8104.0783125293092</v>
      </c>
      <c r="DC9" s="221">
        <v>7193.0256850545384</v>
      </c>
      <c r="DD9" s="221">
        <v>6785.289477459537</v>
      </c>
      <c r="DE9" s="221">
        <v>8770.8267737652186</v>
      </c>
      <c r="DF9" s="221">
        <v>6481.9315111514115</v>
      </c>
      <c r="DG9" s="221">
        <v>7614.1290361542533</v>
      </c>
      <c r="DH9" s="221">
        <v>6836.3606757960761</v>
      </c>
      <c r="DI9" s="221">
        <v>6992.7802444033796</v>
      </c>
      <c r="DJ9" s="221">
        <v>7572.205762825075</v>
      </c>
      <c r="DK9" s="221">
        <v>6202.5249144549953</v>
      </c>
      <c r="DL9" s="221">
        <v>8306.3813124094831</v>
      </c>
      <c r="DM9" s="221">
        <v>7214.0690166576951</v>
      </c>
      <c r="DN9" s="221">
        <v>8025.3584580048519</v>
      </c>
      <c r="DO9" s="221">
        <v>6674.0990751481568</v>
      </c>
      <c r="DP9" s="221">
        <v>7624.8051114630998</v>
      </c>
      <c r="DQ9" s="221">
        <v>8700.0979092848302</v>
      </c>
      <c r="DR9" s="221">
        <v>5955.0852892144858</v>
      </c>
      <c r="DS9" s="221">
        <v>8471.0603101094202</v>
      </c>
      <c r="DT9" s="221">
        <v>6737.6578192999004</v>
      </c>
      <c r="DU9" s="221">
        <v>7081.1673495129362</v>
      </c>
      <c r="DV9" s="221">
        <v>7667.1837129490868</v>
      </c>
      <c r="DW9" s="221">
        <v>6884.6559247689829</v>
      </c>
      <c r="DX9" s="221">
        <v>7653.8024625707485</v>
      </c>
      <c r="DY9" s="221">
        <v>8104.7902300721307</v>
      </c>
      <c r="DZ9" s="221">
        <v>7355.038097139176</v>
      </c>
      <c r="EA9" s="221">
        <v>6936.8392076773725</v>
      </c>
      <c r="EB9" s="221">
        <v>8333.6854162993168</v>
      </c>
      <c r="EC9" s="221">
        <v>7394.3386736808434</v>
      </c>
      <c r="ED9" s="221">
        <v>7593.2638180998065</v>
      </c>
      <c r="EE9" s="221">
        <v>8234.5780954701004</v>
      </c>
      <c r="EF9" s="221">
        <v>5615.7044574152214</v>
      </c>
      <c r="EG9" s="221">
        <v>8720.7200001604706</v>
      </c>
      <c r="EH9" s="221">
        <v>6788.4870061091433</v>
      </c>
      <c r="EI9" s="221">
        <v>6522.9727118360797</v>
      </c>
      <c r="EJ9" s="221">
        <v>8484.0254549559759</v>
      </c>
      <c r="EK9" s="221">
        <v>7989.967049205381</v>
      </c>
      <c r="EL9" s="221">
        <v>6796.3735618852033</v>
      </c>
      <c r="EM9" s="221">
        <v>7761.9171018768648</v>
      </c>
      <c r="EN9" s="221">
        <v>8216.6034228370572</v>
      </c>
      <c r="EO9" s="221">
        <v>6420.7549014676979</v>
      </c>
      <c r="EP9" s="221">
        <v>6077.393650403953</v>
      </c>
      <c r="EQ9" s="221">
        <v>5560.6610915290203</v>
      </c>
      <c r="ER9" s="221">
        <v>4215.0816437155445</v>
      </c>
      <c r="ES9" s="221">
        <v>5245.0762804889719</v>
      </c>
      <c r="ET9" s="221">
        <v>3366.6024627506367</v>
      </c>
      <c r="EU9" s="221">
        <v>3351.5383354629353</v>
      </c>
      <c r="EV9" s="221">
        <v>4190.2125359166248</v>
      </c>
      <c r="EW9" s="221">
        <v>3210.3850371589419</v>
      </c>
      <c r="EX9" s="221">
        <v>2509.021201744577</v>
      </c>
      <c r="EY9" s="221">
        <v>2616.8403442499844</v>
      </c>
      <c r="EZ9" s="221">
        <v>2288.0546671066954</v>
      </c>
      <c r="FA9" s="221">
        <v>2231.2748948101876</v>
      </c>
      <c r="FB9" s="221">
        <v>1787.2669187151744</v>
      </c>
      <c r="FC9" s="221">
        <v>1493.5932108780332</v>
      </c>
      <c r="FD9" s="221">
        <v>1355.0053983615683</v>
      </c>
      <c r="FE9" s="221">
        <v>1405.0439702030114</v>
      </c>
      <c r="FF9" s="221">
        <v>874.47413444222866</v>
      </c>
      <c r="FG9" s="221">
        <v>831.87541450031188</v>
      </c>
      <c r="FH9" s="221">
        <v>986.54066593277219</v>
      </c>
      <c r="FI9" s="221">
        <v>630.86193332857522</v>
      </c>
      <c r="FJ9" s="221">
        <v>555.50617937511629</v>
      </c>
      <c r="FK9" s="221">
        <v>445.52827089852462</v>
      </c>
      <c r="FL9" s="221">
        <v>311.07642079512556</v>
      </c>
      <c r="FM9" s="221">
        <v>451.58126634511871</v>
      </c>
      <c r="FN9" s="221">
        <v>369.41216312098862</v>
      </c>
      <c r="FO9" s="221">
        <v>357.31419388366805</v>
      </c>
      <c r="FP9" s="221">
        <v>365.32154911346731</v>
      </c>
      <c r="FQ9" s="221">
        <v>395.35085912196479</v>
      </c>
      <c r="FR9" s="221">
        <v>354.87714670411481</v>
      </c>
      <c r="FS9" s="221">
        <v>362.91821836909719</v>
      </c>
      <c r="FT9" s="221">
        <v>424.58530708269433</v>
      </c>
      <c r="FU9" s="221">
        <v>376.67603946464493</v>
      </c>
      <c r="FV9" s="221">
        <v>418.812620291244</v>
      </c>
      <c r="FW9" s="221">
        <v>348.08505670283421</v>
      </c>
      <c r="FX9" s="221">
        <v>397.45648609567479</v>
      </c>
      <c r="FY9" s="221">
        <v>453.22409109442049</v>
      </c>
      <c r="FZ9" s="221">
        <v>310.03569849267035</v>
      </c>
      <c r="GA9" s="221">
        <v>440.81388479299693</v>
      </c>
      <c r="GB9" s="221">
        <v>350.38989895811068</v>
      </c>
      <c r="GC9" s="221">
        <v>368.06505915570585</v>
      </c>
      <c r="GD9" s="24">
        <f t="shared" si="0"/>
        <v>174.95705727395244</v>
      </c>
      <c r="GE9" s="24">
        <f t="shared" si="1"/>
        <v>9170.2064501844416</v>
      </c>
      <c r="GF9" s="24">
        <f t="shared" si="2"/>
        <v>51982.841445786849</v>
      </c>
      <c r="GG9" s="24">
        <f t="shared" si="3"/>
        <v>74518.04186134327</v>
      </c>
      <c r="GH9" s="24">
        <f t="shared" si="4"/>
        <v>80557.462923121682</v>
      </c>
      <c r="GI9" s="24">
        <f t="shared" si="5"/>
        <v>83855.209669648757</v>
      </c>
      <c r="GJ9" s="24">
        <f t="shared" si="6"/>
        <v>85964.029083170375</v>
      </c>
      <c r="GK9" s="24">
        <f t="shared" si="7"/>
        <v>86068.464297251077</v>
      </c>
      <c r="GL9" s="24">
        <f t="shared" si="8"/>
        <v>87015.883610988865</v>
      </c>
      <c r="GM9" s="24">
        <f t="shared" si="9"/>
        <v>88564.512328384924</v>
      </c>
      <c r="GN9" s="24">
        <f t="shared" si="10"/>
        <v>90494.600096303271</v>
      </c>
      <c r="GO9" s="24">
        <f t="shared" si="11"/>
        <v>80079.313876310887</v>
      </c>
      <c r="GP9" s="24">
        <f t="shared" si="12"/>
        <v>29804.838977358366</v>
      </c>
      <c r="GQ9" s="24">
        <f t="shared" si="13"/>
        <v>6574.8430508578613</v>
      </c>
      <c r="GR9" s="24">
        <f t="shared" si="14"/>
        <v>4605.939507204208</v>
      </c>
    </row>
    <row r="10" spans="1:200" ht="14" customHeight="1" x14ac:dyDescent="0.35">
      <c r="A10" s="154" t="str">
        <f t="shared" ref="A10:A22" si="15">IF($F$1="Combined","188mg LP","188mg LP - EU Stock")</f>
        <v>188mg LP</v>
      </c>
      <c r="B10" s="25" t="s">
        <v>110</v>
      </c>
      <c r="C10" s="12" t="s">
        <v>75</v>
      </c>
      <c r="D10" s="12" t="s">
        <v>103</v>
      </c>
      <c r="E10" s="21">
        <f>IFERROR(VLOOKUP(B10,'SKU Master'!A:P,6,0),0)</f>
        <v>1</v>
      </c>
      <c r="F10" s="221"/>
      <c r="G10" s="221"/>
      <c r="H10" s="221"/>
      <c r="I10" s="221"/>
      <c r="J10" s="221"/>
      <c r="K10" s="221"/>
      <c r="L10" s="221"/>
      <c r="M10" s="221"/>
      <c r="N10" s="221"/>
      <c r="O10" s="221"/>
      <c r="P10" s="221"/>
      <c r="Q10" s="221"/>
      <c r="R10" s="221"/>
      <c r="S10" s="221"/>
      <c r="T10" s="221"/>
      <c r="U10" s="221"/>
      <c r="V10" s="221"/>
      <c r="W10" s="221"/>
      <c r="X10" s="221"/>
      <c r="Y10" s="221"/>
      <c r="Z10" s="221"/>
      <c r="AA10" s="221"/>
      <c r="AB10" s="221"/>
      <c r="AC10" s="221"/>
      <c r="AD10" s="221"/>
      <c r="AE10" s="221"/>
      <c r="AF10" s="221"/>
      <c r="AG10" s="221"/>
      <c r="AH10" s="221"/>
      <c r="AI10" s="221"/>
      <c r="AJ10" s="221"/>
      <c r="AK10" s="221"/>
      <c r="AL10" s="221"/>
      <c r="AM10" s="221"/>
      <c r="AN10" s="221"/>
      <c r="AO10" s="221"/>
      <c r="AP10" s="221"/>
      <c r="AQ10" s="221"/>
      <c r="AR10" s="221"/>
      <c r="AS10" s="221"/>
      <c r="AT10" s="221"/>
      <c r="AU10" s="221"/>
      <c r="AV10" s="221"/>
      <c r="AW10" s="221"/>
      <c r="AX10" s="221"/>
      <c r="AY10" s="221"/>
      <c r="AZ10" s="221"/>
      <c r="BA10" s="221"/>
      <c r="BB10" s="221"/>
      <c r="BC10" s="221"/>
      <c r="BD10" s="221"/>
      <c r="BE10" s="221"/>
      <c r="BF10" s="221"/>
      <c r="BG10" s="221"/>
      <c r="BH10" s="221"/>
      <c r="BI10" s="221"/>
      <c r="BJ10" s="221"/>
      <c r="BK10" s="221"/>
      <c r="BL10" s="221"/>
      <c r="BM10" s="221"/>
      <c r="BN10" s="221"/>
      <c r="BO10" s="221"/>
      <c r="BP10" s="221"/>
      <c r="BQ10" s="221"/>
      <c r="BR10" s="221"/>
      <c r="BS10" s="221"/>
      <c r="BT10" s="221"/>
      <c r="BU10" s="221"/>
      <c r="BV10" s="221"/>
      <c r="BW10" s="221"/>
      <c r="BX10" s="221"/>
      <c r="BY10" s="221"/>
      <c r="BZ10" s="221"/>
      <c r="CA10" s="221"/>
      <c r="CB10" s="221"/>
      <c r="CC10" s="221"/>
      <c r="CD10" s="221"/>
      <c r="CE10" s="221"/>
      <c r="CF10" s="221"/>
      <c r="CG10" s="221"/>
      <c r="CH10" s="221"/>
      <c r="CI10" s="221"/>
      <c r="CJ10" s="221"/>
      <c r="CK10" s="221"/>
      <c r="CL10" s="221"/>
      <c r="CM10" s="221"/>
      <c r="CN10" s="221"/>
      <c r="CO10" s="221"/>
      <c r="CP10" s="221"/>
      <c r="CQ10" s="221"/>
      <c r="CR10" s="221"/>
      <c r="CS10" s="221"/>
      <c r="CT10" s="221"/>
      <c r="CU10" s="221"/>
      <c r="CV10" s="221"/>
      <c r="CW10" s="221"/>
      <c r="CX10" s="221"/>
      <c r="CY10" s="221"/>
      <c r="CZ10" s="221"/>
      <c r="DA10" s="221"/>
      <c r="DB10" s="221"/>
      <c r="DC10" s="221"/>
      <c r="DD10" s="221"/>
      <c r="DE10" s="221"/>
      <c r="DF10" s="221"/>
      <c r="DG10" s="221"/>
      <c r="DH10" s="221"/>
      <c r="DI10" s="221"/>
      <c r="DJ10" s="221"/>
      <c r="DK10" s="221"/>
      <c r="DL10" s="221"/>
      <c r="DM10" s="221"/>
      <c r="DN10" s="221"/>
      <c r="DO10" s="221"/>
      <c r="DP10" s="221"/>
      <c r="DQ10" s="221"/>
      <c r="DR10" s="221"/>
      <c r="DS10" s="221"/>
      <c r="DT10" s="221"/>
      <c r="DU10" s="221"/>
      <c r="DV10" s="221"/>
      <c r="DW10" s="221"/>
      <c r="DX10" s="221"/>
      <c r="DY10" s="221"/>
      <c r="DZ10" s="221"/>
      <c r="EA10" s="221"/>
      <c r="EB10" s="221"/>
      <c r="EC10" s="221"/>
      <c r="ED10" s="221"/>
      <c r="EE10" s="221"/>
      <c r="EF10" s="221"/>
      <c r="EG10" s="221"/>
      <c r="EH10" s="221"/>
      <c r="EI10" s="221"/>
      <c r="EJ10" s="221"/>
      <c r="EK10" s="221"/>
      <c r="EL10" s="221"/>
      <c r="EM10" s="221"/>
      <c r="EN10" s="221"/>
      <c r="EO10" s="221"/>
      <c r="EP10" s="221"/>
      <c r="EQ10" s="221"/>
      <c r="ER10" s="221"/>
      <c r="ES10" s="221"/>
      <c r="ET10" s="221"/>
      <c r="EU10" s="221"/>
      <c r="EV10" s="221"/>
      <c r="EW10" s="221"/>
      <c r="EX10" s="221"/>
      <c r="EY10" s="221"/>
      <c r="EZ10" s="221"/>
      <c r="FA10" s="221"/>
      <c r="FB10" s="221"/>
      <c r="FC10" s="221"/>
      <c r="FD10" s="221"/>
      <c r="FE10" s="221"/>
      <c r="FF10" s="221"/>
      <c r="FG10" s="221"/>
      <c r="FH10" s="221"/>
      <c r="FI10" s="221"/>
      <c r="FJ10" s="221"/>
      <c r="FK10" s="221"/>
      <c r="FL10" s="221"/>
      <c r="FM10" s="221"/>
      <c r="FN10" s="221"/>
      <c r="FO10" s="221"/>
      <c r="FP10" s="221"/>
      <c r="FQ10" s="221"/>
      <c r="FR10" s="221"/>
      <c r="FS10" s="221"/>
      <c r="FT10" s="221"/>
      <c r="FU10" s="221"/>
      <c r="FV10" s="221"/>
      <c r="FW10" s="221"/>
      <c r="FX10" s="221"/>
      <c r="FY10" s="221"/>
      <c r="FZ10" s="221"/>
      <c r="GA10" s="221"/>
      <c r="GB10" s="221"/>
      <c r="GC10" s="221"/>
      <c r="GD10" s="24">
        <f t="shared" si="0"/>
        <v>0</v>
      </c>
      <c r="GE10" s="24">
        <f t="shared" si="1"/>
        <v>0</v>
      </c>
      <c r="GF10" s="24">
        <f t="shared" si="2"/>
        <v>0</v>
      </c>
      <c r="GG10" s="24">
        <f t="shared" si="3"/>
        <v>0</v>
      </c>
      <c r="GH10" s="24">
        <f t="shared" si="4"/>
        <v>0</v>
      </c>
      <c r="GI10" s="24">
        <f t="shared" si="5"/>
        <v>0</v>
      </c>
      <c r="GJ10" s="24">
        <f t="shared" si="6"/>
        <v>0</v>
      </c>
      <c r="GK10" s="24">
        <f t="shared" si="7"/>
        <v>0</v>
      </c>
      <c r="GL10" s="24">
        <f t="shared" si="8"/>
        <v>0</v>
      </c>
      <c r="GM10" s="24">
        <f t="shared" si="9"/>
        <v>0</v>
      </c>
      <c r="GN10" s="24">
        <f t="shared" si="10"/>
        <v>0</v>
      </c>
      <c r="GO10" s="24">
        <f t="shared" si="11"/>
        <v>0</v>
      </c>
      <c r="GP10" s="24">
        <f t="shared" si="12"/>
        <v>0</v>
      </c>
      <c r="GQ10" s="24">
        <f t="shared" si="13"/>
        <v>0</v>
      </c>
      <c r="GR10" s="24">
        <f t="shared" si="14"/>
        <v>0</v>
      </c>
    </row>
    <row r="11" spans="1:200" ht="14" customHeight="1" x14ac:dyDescent="0.35">
      <c r="A11" s="154" t="str">
        <f t="shared" si="15"/>
        <v>188mg LP</v>
      </c>
      <c r="B11" s="22" t="s">
        <v>113</v>
      </c>
      <c r="C11" s="4" t="s">
        <v>75</v>
      </c>
      <c r="D11" s="4" t="s">
        <v>103</v>
      </c>
      <c r="E11" s="21">
        <f>IFERROR(VLOOKUP(B11,'SKU Master'!A:P,6,0),0)</f>
        <v>1</v>
      </c>
      <c r="F11" s="221"/>
      <c r="G11" s="221"/>
      <c r="H11" s="221"/>
      <c r="I11" s="221"/>
      <c r="J11" s="221"/>
      <c r="K11" s="221"/>
      <c r="L11" s="221"/>
      <c r="M11" s="221"/>
      <c r="N11" s="221"/>
      <c r="O11" s="221"/>
      <c r="P11" s="221"/>
      <c r="Q11" s="221"/>
      <c r="R11" s="221"/>
      <c r="S11" s="221"/>
      <c r="T11" s="221"/>
      <c r="U11" s="221"/>
      <c r="V11" s="221"/>
      <c r="W11" s="221"/>
      <c r="X11" s="221"/>
      <c r="Y11" s="221"/>
      <c r="Z11" s="221"/>
      <c r="AA11" s="221"/>
      <c r="AB11" s="221"/>
      <c r="AC11" s="221"/>
      <c r="AD11" s="221"/>
      <c r="AE11" s="221"/>
      <c r="AF11" s="221"/>
      <c r="AG11" s="221"/>
      <c r="AH11" s="221"/>
      <c r="AI11" s="221"/>
      <c r="AJ11" s="221"/>
      <c r="AK11" s="221"/>
      <c r="AL11" s="221"/>
      <c r="AM11" s="221"/>
      <c r="AN11" s="221"/>
      <c r="AO11" s="221"/>
      <c r="AP11" s="221"/>
      <c r="AQ11" s="221"/>
      <c r="AR11" s="221"/>
      <c r="AS11" s="221"/>
      <c r="AT11" s="221"/>
      <c r="AU11" s="221"/>
      <c r="AV11" s="221"/>
      <c r="AW11" s="221"/>
      <c r="AX11" s="221"/>
      <c r="AY11" s="221"/>
      <c r="AZ11" s="221"/>
      <c r="BA11" s="221"/>
      <c r="BB11" s="221"/>
      <c r="BC11" s="221"/>
      <c r="BD11" s="221"/>
      <c r="BE11" s="221"/>
      <c r="BF11" s="221"/>
      <c r="BG11" s="221"/>
      <c r="BH11" s="221"/>
      <c r="BI11" s="221"/>
      <c r="BJ11" s="221"/>
      <c r="BK11" s="221"/>
      <c r="BL11" s="221"/>
      <c r="BM11" s="221"/>
      <c r="BN11" s="221"/>
      <c r="BO11" s="221"/>
      <c r="BP11" s="221"/>
      <c r="BQ11" s="221"/>
      <c r="BR11" s="221"/>
      <c r="BS11" s="221"/>
      <c r="BT11" s="221"/>
      <c r="BU11" s="221"/>
      <c r="BV11" s="221"/>
      <c r="BW11" s="221"/>
      <c r="BX11" s="221"/>
      <c r="BY11" s="221"/>
      <c r="BZ11" s="221"/>
      <c r="CA11" s="221"/>
      <c r="CB11" s="221"/>
      <c r="CC11" s="221"/>
      <c r="CD11" s="221"/>
      <c r="CE11" s="221"/>
      <c r="CF11" s="221"/>
      <c r="CG11" s="221"/>
      <c r="CH11" s="221"/>
      <c r="CI11" s="221"/>
      <c r="CJ11" s="221"/>
      <c r="CK11" s="221"/>
      <c r="CL11" s="221"/>
      <c r="CM11" s="221"/>
      <c r="CN11" s="221"/>
      <c r="CO11" s="221"/>
      <c r="CP11" s="221"/>
      <c r="CQ11" s="221"/>
      <c r="CR11" s="221"/>
      <c r="CS11" s="221"/>
      <c r="CT11" s="221"/>
      <c r="CU11" s="221"/>
      <c r="CV11" s="221"/>
      <c r="CW11" s="221"/>
      <c r="CX11" s="221"/>
      <c r="CY11" s="221"/>
      <c r="CZ11" s="221"/>
      <c r="DA11" s="221"/>
      <c r="DB11" s="221"/>
      <c r="DC11" s="221"/>
      <c r="DD11" s="221"/>
      <c r="DE11" s="221"/>
      <c r="DF11" s="221"/>
      <c r="DG11" s="221"/>
      <c r="DH11" s="221"/>
      <c r="DI11" s="221"/>
      <c r="DJ11" s="221"/>
      <c r="DK11" s="221"/>
      <c r="DL11" s="221"/>
      <c r="DM11" s="221"/>
      <c r="DN11" s="221"/>
      <c r="DO11" s="221"/>
      <c r="DP11" s="221"/>
      <c r="DQ11" s="221"/>
      <c r="DR11" s="221"/>
      <c r="DS11" s="221"/>
      <c r="DT11" s="221"/>
      <c r="DU11" s="221"/>
      <c r="DV11" s="221"/>
      <c r="DW11" s="221"/>
      <c r="DX11" s="221"/>
      <c r="DY11" s="221"/>
      <c r="DZ11" s="221"/>
      <c r="EA11" s="221"/>
      <c r="EB11" s="221"/>
      <c r="EC11" s="221"/>
      <c r="ED11" s="221"/>
      <c r="EE11" s="221"/>
      <c r="EF11" s="221"/>
      <c r="EG11" s="221"/>
      <c r="EH11" s="221"/>
      <c r="EI11" s="221"/>
      <c r="EJ11" s="221"/>
      <c r="EK11" s="221"/>
      <c r="EL11" s="221"/>
      <c r="EM11" s="221"/>
      <c r="EN11" s="221"/>
      <c r="EO11" s="221"/>
      <c r="EP11" s="221"/>
      <c r="EQ11" s="221"/>
      <c r="ER11" s="221"/>
      <c r="ES11" s="221"/>
      <c r="ET11" s="221"/>
      <c r="EU11" s="221"/>
      <c r="EV11" s="221"/>
      <c r="EW11" s="221"/>
      <c r="EX11" s="221"/>
      <c r="EY11" s="221"/>
      <c r="EZ11" s="221"/>
      <c r="FA11" s="221"/>
      <c r="FB11" s="221"/>
      <c r="FC11" s="221"/>
      <c r="FD11" s="221"/>
      <c r="FE11" s="221"/>
      <c r="FF11" s="221"/>
      <c r="FG11" s="221"/>
      <c r="FH11" s="221"/>
      <c r="FI11" s="221"/>
      <c r="FJ11" s="221"/>
      <c r="FK11" s="221"/>
      <c r="FL11" s="221"/>
      <c r="FM11" s="221"/>
      <c r="FN11" s="221"/>
      <c r="FO11" s="221"/>
      <c r="FP11" s="221"/>
      <c r="FQ11" s="221"/>
      <c r="FR11" s="221"/>
      <c r="FS11" s="221"/>
      <c r="FT11" s="221"/>
      <c r="FU11" s="221"/>
      <c r="FV11" s="221"/>
      <c r="FW11" s="221"/>
      <c r="FX11" s="221"/>
      <c r="FY11" s="221"/>
      <c r="FZ11" s="221"/>
      <c r="GA11" s="221"/>
      <c r="GB11" s="221"/>
      <c r="GC11" s="221"/>
      <c r="GD11" s="24">
        <f t="shared" si="0"/>
        <v>0</v>
      </c>
      <c r="GE11" s="24">
        <f t="shared" si="1"/>
        <v>0</v>
      </c>
      <c r="GF11" s="24">
        <f t="shared" si="2"/>
        <v>0</v>
      </c>
      <c r="GG11" s="24">
        <f t="shared" si="3"/>
        <v>0</v>
      </c>
      <c r="GH11" s="24">
        <f t="shared" si="4"/>
        <v>0</v>
      </c>
      <c r="GI11" s="24">
        <f t="shared" si="5"/>
        <v>0</v>
      </c>
      <c r="GJ11" s="24">
        <f t="shared" si="6"/>
        <v>0</v>
      </c>
      <c r="GK11" s="24">
        <f t="shared" si="7"/>
        <v>0</v>
      </c>
      <c r="GL11" s="24">
        <f t="shared" si="8"/>
        <v>0</v>
      </c>
      <c r="GM11" s="24">
        <f t="shared" si="9"/>
        <v>0</v>
      </c>
      <c r="GN11" s="24">
        <f t="shared" si="10"/>
        <v>0</v>
      </c>
      <c r="GO11" s="24">
        <f t="shared" si="11"/>
        <v>0</v>
      </c>
      <c r="GP11" s="24">
        <f t="shared" si="12"/>
        <v>0</v>
      </c>
      <c r="GQ11" s="24">
        <f t="shared" si="13"/>
        <v>0</v>
      </c>
      <c r="GR11" s="24">
        <f t="shared" si="14"/>
        <v>0</v>
      </c>
    </row>
    <row r="12" spans="1:200" ht="14" customHeight="1" x14ac:dyDescent="0.35">
      <c r="A12" s="154" t="str">
        <f t="shared" si="15"/>
        <v>188mg LP</v>
      </c>
      <c r="B12" s="25" t="s">
        <v>120</v>
      </c>
      <c r="C12" s="12" t="s">
        <v>75</v>
      </c>
      <c r="D12" s="12" t="s">
        <v>103</v>
      </c>
      <c r="E12" s="21">
        <f>IFERROR(VLOOKUP(B12,'SKU Master'!A:P,6,0),0)</f>
        <v>0</v>
      </c>
      <c r="F12" s="221"/>
      <c r="G12" s="221"/>
      <c r="H12" s="221"/>
      <c r="I12" s="221"/>
      <c r="J12" s="221"/>
      <c r="K12" s="221"/>
      <c r="L12" s="221"/>
      <c r="M12" s="221"/>
      <c r="N12" s="221"/>
      <c r="O12" s="221"/>
      <c r="P12" s="221"/>
      <c r="Q12" s="221"/>
      <c r="R12" s="221"/>
      <c r="S12" s="221"/>
      <c r="T12" s="221"/>
      <c r="U12" s="221"/>
      <c r="V12" s="221"/>
      <c r="W12" s="221"/>
      <c r="X12" s="221"/>
      <c r="Y12" s="221"/>
      <c r="Z12" s="221"/>
      <c r="AA12" s="221"/>
      <c r="AB12" s="221"/>
      <c r="AC12" s="221"/>
      <c r="AD12" s="221"/>
      <c r="AE12" s="221"/>
      <c r="AF12" s="221"/>
      <c r="AG12" s="221"/>
      <c r="AH12" s="221"/>
      <c r="AI12" s="221"/>
      <c r="AJ12" s="221"/>
      <c r="AK12" s="221"/>
      <c r="AL12" s="221"/>
      <c r="AM12" s="221"/>
      <c r="AN12" s="221"/>
      <c r="AO12" s="221"/>
      <c r="AP12" s="221"/>
      <c r="AQ12" s="221"/>
      <c r="AR12" s="221"/>
      <c r="AS12" s="221"/>
      <c r="AT12" s="221"/>
      <c r="AU12" s="221"/>
      <c r="AV12" s="221"/>
      <c r="AW12" s="221"/>
      <c r="AX12" s="221"/>
      <c r="AY12" s="221"/>
      <c r="AZ12" s="221"/>
      <c r="BA12" s="221"/>
      <c r="BB12" s="221"/>
      <c r="BC12" s="221"/>
      <c r="BD12" s="221"/>
      <c r="BE12" s="221"/>
      <c r="BF12" s="221"/>
      <c r="BG12" s="221"/>
      <c r="BH12" s="221"/>
      <c r="BI12" s="221"/>
      <c r="BJ12" s="221"/>
      <c r="BK12" s="221"/>
      <c r="BL12" s="221"/>
      <c r="BM12" s="221"/>
      <c r="BN12" s="221"/>
      <c r="BO12" s="221"/>
      <c r="BP12" s="221"/>
      <c r="BQ12" s="221"/>
      <c r="BR12" s="221"/>
      <c r="BS12" s="221"/>
      <c r="BT12" s="221"/>
      <c r="BU12" s="221"/>
      <c r="BV12" s="221"/>
      <c r="BW12" s="221"/>
      <c r="BX12" s="221"/>
      <c r="BY12" s="221"/>
      <c r="BZ12" s="221"/>
      <c r="CA12" s="221"/>
      <c r="CB12" s="221"/>
      <c r="CC12" s="221"/>
      <c r="CD12" s="221"/>
      <c r="CE12" s="221"/>
      <c r="CF12" s="221"/>
      <c r="CG12" s="221"/>
      <c r="CH12" s="221"/>
      <c r="CI12" s="221"/>
      <c r="CJ12" s="221"/>
      <c r="CK12" s="221"/>
      <c r="CL12" s="221"/>
      <c r="CM12" s="221"/>
      <c r="CN12" s="221"/>
      <c r="CO12" s="221"/>
      <c r="CP12" s="221"/>
      <c r="CQ12" s="221"/>
      <c r="CR12" s="221"/>
      <c r="CS12" s="221"/>
      <c r="CT12" s="221"/>
      <c r="CU12" s="221"/>
      <c r="CV12" s="221"/>
      <c r="CW12" s="221"/>
      <c r="CX12" s="221"/>
      <c r="CY12" s="221"/>
      <c r="CZ12" s="221"/>
      <c r="DA12" s="221"/>
      <c r="DB12" s="221"/>
      <c r="DC12" s="221"/>
      <c r="DD12" s="221"/>
      <c r="DE12" s="221"/>
      <c r="DF12" s="221"/>
      <c r="DG12" s="221"/>
      <c r="DH12" s="221"/>
      <c r="DI12" s="221"/>
      <c r="DJ12" s="221"/>
      <c r="DK12" s="221"/>
      <c r="DL12" s="221"/>
      <c r="DM12" s="221"/>
      <c r="DN12" s="221"/>
      <c r="DO12" s="221"/>
      <c r="DP12" s="221"/>
      <c r="DQ12" s="221"/>
      <c r="DR12" s="221"/>
      <c r="DS12" s="221"/>
      <c r="DT12" s="221"/>
      <c r="DU12" s="221"/>
      <c r="DV12" s="221"/>
      <c r="DW12" s="221"/>
      <c r="DX12" s="221"/>
      <c r="DY12" s="221"/>
      <c r="DZ12" s="221"/>
      <c r="EA12" s="221"/>
      <c r="EB12" s="221"/>
      <c r="EC12" s="221"/>
      <c r="ED12" s="221"/>
      <c r="EE12" s="221"/>
      <c r="EF12" s="221"/>
      <c r="EG12" s="221"/>
      <c r="EH12" s="221"/>
      <c r="EI12" s="221"/>
      <c r="EJ12" s="221"/>
      <c r="EK12" s="221"/>
      <c r="EL12" s="221"/>
      <c r="EM12" s="221"/>
      <c r="EN12" s="221"/>
      <c r="EO12" s="221"/>
      <c r="EP12" s="221"/>
      <c r="EQ12" s="221"/>
      <c r="ER12" s="221"/>
      <c r="ES12" s="221"/>
      <c r="ET12" s="221"/>
      <c r="EU12" s="221"/>
      <c r="EV12" s="221"/>
      <c r="EW12" s="221"/>
      <c r="EX12" s="221"/>
      <c r="EY12" s="221"/>
      <c r="EZ12" s="221"/>
      <c r="FA12" s="221"/>
      <c r="FB12" s="221"/>
      <c r="FC12" s="221"/>
      <c r="FD12" s="221"/>
      <c r="FE12" s="221"/>
      <c r="FF12" s="221"/>
      <c r="FG12" s="221"/>
      <c r="FH12" s="221"/>
      <c r="FI12" s="221"/>
      <c r="FJ12" s="221"/>
      <c r="FK12" s="221"/>
      <c r="FL12" s="221"/>
      <c r="FM12" s="221"/>
      <c r="FN12" s="221"/>
      <c r="FO12" s="221"/>
      <c r="FP12" s="221"/>
      <c r="FQ12" s="221"/>
      <c r="FR12" s="221"/>
      <c r="FS12" s="221"/>
      <c r="FT12" s="221"/>
      <c r="FU12" s="221"/>
      <c r="FV12" s="221"/>
      <c r="FW12" s="221"/>
      <c r="FX12" s="221"/>
      <c r="FY12" s="221"/>
      <c r="FZ12" s="221"/>
      <c r="GA12" s="221"/>
      <c r="GB12" s="221"/>
      <c r="GC12" s="221"/>
      <c r="GD12" s="24">
        <f t="shared" si="0"/>
        <v>0</v>
      </c>
      <c r="GE12" s="24">
        <f t="shared" si="1"/>
        <v>0</v>
      </c>
      <c r="GF12" s="24">
        <f t="shared" si="2"/>
        <v>0</v>
      </c>
      <c r="GG12" s="24">
        <f t="shared" si="3"/>
        <v>0</v>
      </c>
      <c r="GH12" s="24">
        <f t="shared" si="4"/>
        <v>0</v>
      </c>
      <c r="GI12" s="24">
        <f t="shared" si="5"/>
        <v>0</v>
      </c>
      <c r="GJ12" s="24">
        <f t="shared" si="6"/>
        <v>0</v>
      </c>
      <c r="GK12" s="24">
        <f t="shared" si="7"/>
        <v>0</v>
      </c>
      <c r="GL12" s="24">
        <f t="shared" si="8"/>
        <v>0</v>
      </c>
      <c r="GM12" s="24">
        <f t="shared" si="9"/>
        <v>0</v>
      </c>
      <c r="GN12" s="24">
        <f t="shared" si="10"/>
        <v>0</v>
      </c>
      <c r="GO12" s="24">
        <f t="shared" si="11"/>
        <v>0</v>
      </c>
      <c r="GP12" s="24">
        <f t="shared" si="12"/>
        <v>0</v>
      </c>
      <c r="GQ12" s="24">
        <f t="shared" si="13"/>
        <v>0</v>
      </c>
      <c r="GR12" s="24">
        <f t="shared" si="14"/>
        <v>0</v>
      </c>
    </row>
    <row r="13" spans="1:200" ht="14" customHeight="1" x14ac:dyDescent="0.35">
      <c r="A13" s="154" t="str">
        <f t="shared" si="15"/>
        <v>188mg LP</v>
      </c>
      <c r="B13" s="22" t="s">
        <v>126</v>
      </c>
      <c r="C13" s="4" t="s">
        <v>75</v>
      </c>
      <c r="D13" s="4" t="s">
        <v>103</v>
      </c>
      <c r="E13" s="21">
        <f>IFERROR(VLOOKUP(B13,'SKU Master'!A:P,6,0),0)</f>
        <v>0</v>
      </c>
      <c r="F13" s="221"/>
      <c r="G13" s="221"/>
      <c r="H13" s="221"/>
      <c r="I13" s="221"/>
      <c r="J13" s="221"/>
      <c r="K13" s="221"/>
      <c r="L13" s="221"/>
      <c r="M13" s="221"/>
      <c r="N13" s="221"/>
      <c r="O13" s="221"/>
      <c r="P13" s="221"/>
      <c r="Q13" s="221"/>
      <c r="R13" s="221"/>
      <c r="S13" s="221"/>
      <c r="T13" s="221"/>
      <c r="U13" s="221"/>
      <c r="V13" s="221"/>
      <c r="W13" s="221"/>
      <c r="X13" s="221"/>
      <c r="Y13" s="221"/>
      <c r="Z13" s="221"/>
      <c r="AA13" s="221"/>
      <c r="AB13" s="221"/>
      <c r="AC13" s="221"/>
      <c r="AD13" s="221"/>
      <c r="AE13" s="221"/>
      <c r="AF13" s="221"/>
      <c r="AG13" s="221"/>
      <c r="AH13" s="221"/>
      <c r="AI13" s="221"/>
      <c r="AJ13" s="221"/>
      <c r="AK13" s="221"/>
      <c r="AL13" s="221"/>
      <c r="AM13" s="221"/>
      <c r="AN13" s="221"/>
      <c r="AO13" s="221"/>
      <c r="AP13" s="221"/>
      <c r="AQ13" s="221"/>
      <c r="AR13" s="221"/>
      <c r="AS13" s="221"/>
      <c r="AT13" s="221"/>
      <c r="AU13" s="221"/>
      <c r="AV13" s="221"/>
      <c r="AW13" s="221"/>
      <c r="AX13" s="221"/>
      <c r="AY13" s="221"/>
      <c r="AZ13" s="221"/>
      <c r="BA13" s="221"/>
      <c r="BB13" s="221"/>
      <c r="BC13" s="221"/>
      <c r="BD13" s="221"/>
      <c r="BE13" s="221"/>
      <c r="BF13" s="221"/>
      <c r="BG13" s="221"/>
      <c r="BH13" s="221"/>
      <c r="BI13" s="221"/>
      <c r="BJ13" s="221"/>
      <c r="BK13" s="221"/>
      <c r="BL13" s="221"/>
      <c r="BM13" s="221"/>
      <c r="BN13" s="221"/>
      <c r="BO13" s="221"/>
      <c r="BP13" s="221"/>
      <c r="BQ13" s="221"/>
      <c r="BR13" s="221"/>
      <c r="BS13" s="221"/>
      <c r="BT13" s="221"/>
      <c r="BU13" s="221"/>
      <c r="BV13" s="221"/>
      <c r="BW13" s="221"/>
      <c r="BX13" s="221"/>
      <c r="BY13" s="221"/>
      <c r="BZ13" s="221"/>
      <c r="CA13" s="221"/>
      <c r="CB13" s="221"/>
      <c r="CC13" s="221"/>
      <c r="CD13" s="221"/>
      <c r="CE13" s="221"/>
      <c r="CF13" s="221"/>
      <c r="CG13" s="221"/>
      <c r="CH13" s="221"/>
      <c r="CI13" s="221"/>
      <c r="CJ13" s="221"/>
      <c r="CK13" s="221"/>
      <c r="CL13" s="221"/>
      <c r="CM13" s="221"/>
      <c r="CN13" s="221"/>
      <c r="CO13" s="221"/>
      <c r="CP13" s="221"/>
      <c r="CQ13" s="221"/>
      <c r="CR13" s="221"/>
      <c r="CS13" s="221"/>
      <c r="CT13" s="221"/>
      <c r="CU13" s="221"/>
      <c r="CV13" s="221"/>
      <c r="CW13" s="221"/>
      <c r="CX13" s="221"/>
      <c r="CY13" s="221"/>
      <c r="CZ13" s="221"/>
      <c r="DA13" s="221"/>
      <c r="DB13" s="221"/>
      <c r="DC13" s="221"/>
      <c r="DD13" s="221"/>
      <c r="DE13" s="221"/>
      <c r="DF13" s="221"/>
      <c r="DG13" s="221"/>
      <c r="DH13" s="221"/>
      <c r="DI13" s="221"/>
      <c r="DJ13" s="221"/>
      <c r="DK13" s="221"/>
      <c r="DL13" s="221"/>
      <c r="DM13" s="221"/>
      <c r="DN13" s="221"/>
      <c r="DO13" s="221"/>
      <c r="DP13" s="221"/>
      <c r="DQ13" s="221"/>
      <c r="DR13" s="221"/>
      <c r="DS13" s="221"/>
      <c r="DT13" s="221"/>
      <c r="DU13" s="221"/>
      <c r="DV13" s="221"/>
      <c r="DW13" s="221"/>
      <c r="DX13" s="221"/>
      <c r="DY13" s="221"/>
      <c r="DZ13" s="221"/>
      <c r="EA13" s="221"/>
      <c r="EB13" s="221"/>
      <c r="EC13" s="221"/>
      <c r="ED13" s="221"/>
      <c r="EE13" s="221"/>
      <c r="EF13" s="221"/>
      <c r="EG13" s="221"/>
      <c r="EH13" s="221"/>
      <c r="EI13" s="221"/>
      <c r="EJ13" s="221"/>
      <c r="EK13" s="221"/>
      <c r="EL13" s="221"/>
      <c r="EM13" s="221"/>
      <c r="EN13" s="221"/>
      <c r="EO13" s="221"/>
      <c r="EP13" s="221"/>
      <c r="EQ13" s="221"/>
      <c r="ER13" s="221"/>
      <c r="ES13" s="221"/>
      <c r="ET13" s="221"/>
      <c r="EU13" s="221"/>
      <c r="EV13" s="221"/>
      <c r="EW13" s="221"/>
      <c r="EX13" s="221"/>
      <c r="EY13" s="221"/>
      <c r="EZ13" s="221"/>
      <c r="FA13" s="221"/>
      <c r="FB13" s="221"/>
      <c r="FC13" s="221"/>
      <c r="FD13" s="221"/>
      <c r="FE13" s="221"/>
      <c r="FF13" s="221"/>
      <c r="FG13" s="221"/>
      <c r="FH13" s="221"/>
      <c r="FI13" s="221"/>
      <c r="FJ13" s="221"/>
      <c r="FK13" s="221"/>
      <c r="FL13" s="221"/>
      <c r="FM13" s="221"/>
      <c r="FN13" s="221"/>
      <c r="FO13" s="221"/>
      <c r="FP13" s="221"/>
      <c r="FQ13" s="221"/>
      <c r="FR13" s="221"/>
      <c r="FS13" s="221"/>
      <c r="FT13" s="221"/>
      <c r="FU13" s="221"/>
      <c r="FV13" s="221"/>
      <c r="FW13" s="221"/>
      <c r="FX13" s="221"/>
      <c r="FY13" s="221"/>
      <c r="FZ13" s="221"/>
      <c r="GA13" s="221"/>
      <c r="GB13" s="221"/>
      <c r="GC13" s="221"/>
      <c r="GD13" s="24">
        <f t="shared" si="0"/>
        <v>0</v>
      </c>
      <c r="GE13" s="24">
        <f t="shared" si="1"/>
        <v>0</v>
      </c>
      <c r="GF13" s="24">
        <f t="shared" si="2"/>
        <v>0</v>
      </c>
      <c r="GG13" s="24">
        <f t="shared" si="3"/>
        <v>0</v>
      </c>
      <c r="GH13" s="24">
        <f t="shared" si="4"/>
        <v>0</v>
      </c>
      <c r="GI13" s="24">
        <f t="shared" si="5"/>
        <v>0</v>
      </c>
      <c r="GJ13" s="24">
        <f t="shared" si="6"/>
        <v>0</v>
      </c>
      <c r="GK13" s="24">
        <f t="shared" si="7"/>
        <v>0</v>
      </c>
      <c r="GL13" s="24">
        <f t="shared" si="8"/>
        <v>0</v>
      </c>
      <c r="GM13" s="24">
        <f t="shared" si="9"/>
        <v>0</v>
      </c>
      <c r="GN13" s="24">
        <f t="shared" si="10"/>
        <v>0</v>
      </c>
      <c r="GO13" s="24">
        <f t="shared" si="11"/>
        <v>0</v>
      </c>
      <c r="GP13" s="24">
        <f t="shared" si="12"/>
        <v>0</v>
      </c>
      <c r="GQ13" s="24">
        <f t="shared" si="13"/>
        <v>0</v>
      </c>
      <c r="GR13" s="24">
        <f t="shared" si="14"/>
        <v>0</v>
      </c>
    </row>
    <row r="14" spans="1:200" ht="14" customHeight="1" x14ac:dyDescent="0.35">
      <c r="A14" s="154" t="str">
        <f t="shared" si="15"/>
        <v>188mg LP</v>
      </c>
      <c r="B14" s="25" t="s">
        <v>129</v>
      </c>
      <c r="C14" s="12" t="s">
        <v>75</v>
      </c>
      <c r="D14" s="12" t="s">
        <v>103</v>
      </c>
      <c r="E14" s="21">
        <f>IFERROR(VLOOKUP(B14,'SKU Master'!A:P,6,0),0)</f>
        <v>0</v>
      </c>
      <c r="F14" s="221"/>
      <c r="G14" s="221"/>
      <c r="H14" s="221"/>
      <c r="I14" s="221"/>
      <c r="J14" s="221"/>
      <c r="K14" s="221"/>
      <c r="L14" s="221"/>
      <c r="M14" s="221"/>
      <c r="N14" s="221"/>
      <c r="O14" s="221"/>
      <c r="P14" s="221"/>
      <c r="Q14" s="221"/>
      <c r="R14" s="221"/>
      <c r="S14" s="221"/>
      <c r="T14" s="221"/>
      <c r="U14" s="221"/>
      <c r="V14" s="221"/>
      <c r="W14" s="221"/>
      <c r="X14" s="221"/>
      <c r="Y14" s="221"/>
      <c r="Z14" s="221"/>
      <c r="AA14" s="221"/>
      <c r="AB14" s="221"/>
      <c r="AC14" s="221"/>
      <c r="AD14" s="221"/>
      <c r="AE14" s="221"/>
      <c r="AF14" s="221"/>
      <c r="AG14" s="221"/>
      <c r="AH14" s="221"/>
      <c r="AI14" s="221"/>
      <c r="AJ14" s="221"/>
      <c r="AK14" s="221"/>
      <c r="AL14" s="221"/>
      <c r="AM14" s="221"/>
      <c r="AN14" s="221"/>
      <c r="AO14" s="221"/>
      <c r="AP14" s="221"/>
      <c r="AQ14" s="221"/>
      <c r="AR14" s="221"/>
      <c r="AS14" s="221"/>
      <c r="AT14" s="221"/>
      <c r="AU14" s="221"/>
      <c r="AV14" s="221"/>
      <c r="AW14" s="221"/>
      <c r="AX14" s="221"/>
      <c r="AY14" s="221"/>
      <c r="AZ14" s="221"/>
      <c r="BA14" s="221"/>
      <c r="BB14" s="221"/>
      <c r="BC14" s="221"/>
      <c r="BD14" s="221"/>
      <c r="BE14" s="221"/>
      <c r="BF14" s="221"/>
      <c r="BG14" s="221"/>
      <c r="BH14" s="221"/>
      <c r="BI14" s="221"/>
      <c r="BJ14" s="221"/>
      <c r="BK14" s="221"/>
      <c r="BL14" s="221"/>
      <c r="BM14" s="221"/>
      <c r="BN14" s="221"/>
      <c r="BO14" s="221"/>
      <c r="BP14" s="221"/>
      <c r="BQ14" s="221"/>
      <c r="BR14" s="221"/>
      <c r="BS14" s="221"/>
      <c r="BT14" s="221"/>
      <c r="BU14" s="221"/>
      <c r="BV14" s="221"/>
      <c r="BW14" s="221"/>
      <c r="BX14" s="221"/>
      <c r="BY14" s="221"/>
      <c r="BZ14" s="221"/>
      <c r="CA14" s="221"/>
      <c r="CB14" s="221"/>
      <c r="CC14" s="221"/>
      <c r="CD14" s="221"/>
      <c r="CE14" s="221"/>
      <c r="CF14" s="221"/>
      <c r="CG14" s="221"/>
      <c r="CH14" s="221"/>
      <c r="CI14" s="221"/>
      <c r="CJ14" s="221"/>
      <c r="CK14" s="221"/>
      <c r="CL14" s="221"/>
      <c r="CM14" s="221"/>
      <c r="CN14" s="221"/>
      <c r="CO14" s="221"/>
      <c r="CP14" s="221"/>
      <c r="CQ14" s="221"/>
      <c r="CR14" s="221"/>
      <c r="CS14" s="221"/>
      <c r="CT14" s="221"/>
      <c r="CU14" s="221"/>
      <c r="CV14" s="221"/>
      <c r="CW14" s="221"/>
      <c r="CX14" s="221"/>
      <c r="CY14" s="221"/>
      <c r="CZ14" s="221"/>
      <c r="DA14" s="221"/>
      <c r="DB14" s="221"/>
      <c r="DC14" s="221"/>
      <c r="DD14" s="221"/>
      <c r="DE14" s="221"/>
      <c r="DF14" s="221"/>
      <c r="DG14" s="221"/>
      <c r="DH14" s="221"/>
      <c r="DI14" s="221"/>
      <c r="DJ14" s="221"/>
      <c r="DK14" s="221"/>
      <c r="DL14" s="221"/>
      <c r="DM14" s="221"/>
      <c r="DN14" s="221"/>
      <c r="DO14" s="221"/>
      <c r="DP14" s="221"/>
      <c r="DQ14" s="221"/>
      <c r="DR14" s="221"/>
      <c r="DS14" s="221"/>
      <c r="DT14" s="221"/>
      <c r="DU14" s="221"/>
      <c r="DV14" s="221"/>
      <c r="DW14" s="221"/>
      <c r="DX14" s="221"/>
      <c r="DY14" s="221"/>
      <c r="DZ14" s="221"/>
      <c r="EA14" s="221"/>
      <c r="EB14" s="221"/>
      <c r="EC14" s="221"/>
      <c r="ED14" s="221"/>
      <c r="EE14" s="221"/>
      <c r="EF14" s="221"/>
      <c r="EG14" s="221"/>
      <c r="EH14" s="221"/>
      <c r="EI14" s="221"/>
      <c r="EJ14" s="221"/>
      <c r="EK14" s="221"/>
      <c r="EL14" s="221"/>
      <c r="EM14" s="221"/>
      <c r="EN14" s="221"/>
      <c r="EO14" s="221"/>
      <c r="EP14" s="221"/>
      <c r="EQ14" s="221"/>
      <c r="ER14" s="221"/>
      <c r="ES14" s="221"/>
      <c r="ET14" s="221"/>
      <c r="EU14" s="221"/>
      <c r="EV14" s="221"/>
      <c r="EW14" s="221"/>
      <c r="EX14" s="221"/>
      <c r="EY14" s="221"/>
      <c r="EZ14" s="221"/>
      <c r="FA14" s="221"/>
      <c r="FB14" s="221"/>
      <c r="FC14" s="221"/>
      <c r="FD14" s="221"/>
      <c r="FE14" s="221"/>
      <c r="FF14" s="221"/>
      <c r="FG14" s="221"/>
      <c r="FH14" s="221"/>
      <c r="FI14" s="221"/>
      <c r="FJ14" s="221"/>
      <c r="FK14" s="221"/>
      <c r="FL14" s="221"/>
      <c r="FM14" s="221"/>
      <c r="FN14" s="221"/>
      <c r="FO14" s="221"/>
      <c r="FP14" s="221"/>
      <c r="FQ14" s="221"/>
      <c r="FR14" s="221"/>
      <c r="FS14" s="221"/>
      <c r="FT14" s="221"/>
      <c r="FU14" s="221"/>
      <c r="FV14" s="221"/>
      <c r="FW14" s="221"/>
      <c r="FX14" s="221"/>
      <c r="FY14" s="221"/>
      <c r="FZ14" s="221"/>
      <c r="GA14" s="221"/>
      <c r="GB14" s="221"/>
      <c r="GC14" s="221"/>
      <c r="GD14" s="24">
        <f t="shared" si="0"/>
        <v>0</v>
      </c>
      <c r="GE14" s="24">
        <f t="shared" si="1"/>
        <v>0</v>
      </c>
      <c r="GF14" s="24">
        <f t="shared" si="2"/>
        <v>0</v>
      </c>
      <c r="GG14" s="24">
        <f t="shared" si="3"/>
        <v>0</v>
      </c>
      <c r="GH14" s="24">
        <f t="shared" si="4"/>
        <v>0</v>
      </c>
      <c r="GI14" s="24">
        <f t="shared" si="5"/>
        <v>0</v>
      </c>
      <c r="GJ14" s="24">
        <f t="shared" si="6"/>
        <v>0</v>
      </c>
      <c r="GK14" s="24">
        <f t="shared" si="7"/>
        <v>0</v>
      </c>
      <c r="GL14" s="24">
        <f t="shared" si="8"/>
        <v>0</v>
      </c>
      <c r="GM14" s="24">
        <f t="shared" si="9"/>
        <v>0</v>
      </c>
      <c r="GN14" s="24">
        <f t="shared" si="10"/>
        <v>0</v>
      </c>
      <c r="GO14" s="24">
        <f t="shared" si="11"/>
        <v>0</v>
      </c>
      <c r="GP14" s="24">
        <f t="shared" si="12"/>
        <v>0</v>
      </c>
      <c r="GQ14" s="24">
        <f t="shared" si="13"/>
        <v>0</v>
      </c>
      <c r="GR14" s="24">
        <f t="shared" si="14"/>
        <v>0</v>
      </c>
    </row>
    <row r="15" spans="1:200" ht="14" customHeight="1" x14ac:dyDescent="0.35">
      <c r="A15" s="154" t="str">
        <f t="shared" si="15"/>
        <v>188mg LP</v>
      </c>
      <c r="B15" s="22" t="s">
        <v>135</v>
      </c>
      <c r="C15" s="4" t="s">
        <v>85</v>
      </c>
      <c r="D15" s="4" t="s">
        <v>103</v>
      </c>
      <c r="E15" s="21">
        <f>IFERROR(VLOOKUP(B15,'SKU Master'!A:P,6,0),0)</f>
        <v>1</v>
      </c>
      <c r="F15" s="221">
        <v>0</v>
      </c>
      <c r="G15" s="221">
        <v>0</v>
      </c>
      <c r="H15" s="221">
        <v>0</v>
      </c>
      <c r="I15" s="221">
        <v>0</v>
      </c>
      <c r="J15" s="221">
        <v>0</v>
      </c>
      <c r="K15" s="221">
        <v>0</v>
      </c>
      <c r="L15" s="221">
        <v>0</v>
      </c>
      <c r="M15" s="221">
        <v>0</v>
      </c>
      <c r="N15" s="221">
        <v>0</v>
      </c>
      <c r="O15" s="221">
        <v>0</v>
      </c>
      <c r="P15" s="221">
        <v>0</v>
      </c>
      <c r="Q15" s="221">
        <v>0</v>
      </c>
      <c r="R15" s="221">
        <v>0</v>
      </c>
      <c r="S15" s="221">
        <v>0</v>
      </c>
      <c r="T15" s="221">
        <v>0</v>
      </c>
      <c r="U15" s="221">
        <v>0</v>
      </c>
      <c r="V15" s="221">
        <v>0</v>
      </c>
      <c r="W15" s="221">
        <v>0</v>
      </c>
      <c r="X15" s="221">
        <v>0</v>
      </c>
      <c r="Y15" s="221">
        <v>0</v>
      </c>
      <c r="Z15" s="221">
        <v>0</v>
      </c>
      <c r="AA15" s="221">
        <v>0</v>
      </c>
      <c r="AB15" s="221">
        <v>0</v>
      </c>
      <c r="AC15" s="221">
        <v>0</v>
      </c>
      <c r="AD15" s="221">
        <v>0</v>
      </c>
      <c r="AE15" s="221">
        <v>0</v>
      </c>
      <c r="AF15" s="221">
        <v>0</v>
      </c>
      <c r="AG15" s="221">
        <v>0</v>
      </c>
      <c r="AH15" s="221">
        <v>0</v>
      </c>
      <c r="AI15" s="221">
        <v>0</v>
      </c>
      <c r="AJ15" s="221">
        <v>0</v>
      </c>
      <c r="AK15" s="221">
        <v>0</v>
      </c>
      <c r="AL15" s="221">
        <v>0</v>
      </c>
      <c r="AM15" s="221">
        <v>0</v>
      </c>
      <c r="AN15" s="221">
        <v>0</v>
      </c>
      <c r="AO15" s="221">
        <v>0</v>
      </c>
      <c r="AP15" s="221">
        <v>0</v>
      </c>
      <c r="AQ15" s="221">
        <v>0</v>
      </c>
      <c r="AR15" s="221">
        <v>0</v>
      </c>
      <c r="AS15" s="221">
        <v>0</v>
      </c>
      <c r="AT15" s="221">
        <v>0</v>
      </c>
      <c r="AU15" s="221">
        <v>0</v>
      </c>
      <c r="AV15" s="221">
        <v>0</v>
      </c>
      <c r="AW15" s="221">
        <v>0</v>
      </c>
      <c r="AX15" s="221">
        <v>0</v>
      </c>
      <c r="AY15" s="221">
        <v>6.3557026957281124</v>
      </c>
      <c r="AZ15" s="221">
        <v>8.6188446743949285</v>
      </c>
      <c r="BA15" s="221">
        <v>14.9697385873516</v>
      </c>
      <c r="BB15" s="221">
        <v>26.861052867537296</v>
      </c>
      <c r="BC15" s="221">
        <v>35.37631532473668</v>
      </c>
      <c r="BD15" s="221">
        <v>70.387228221349389</v>
      </c>
      <c r="BE15" s="221">
        <v>115.63715168475859</v>
      </c>
      <c r="BF15" s="221">
        <v>175.73450080403717</v>
      </c>
      <c r="BG15" s="221">
        <v>199.03743231746003</v>
      </c>
      <c r="BH15" s="221">
        <v>410.49518191202378</v>
      </c>
      <c r="BI15" s="221">
        <v>553.30350549817069</v>
      </c>
      <c r="BJ15" s="221">
        <v>645.74958462894426</v>
      </c>
      <c r="BK15" s="221">
        <v>1104.2124320696682</v>
      </c>
      <c r="BL15" s="221">
        <v>1043.8681915097388</v>
      </c>
      <c r="BM15" s="221">
        <v>1767.2832768466435</v>
      </c>
      <c r="BN15" s="221">
        <v>2095.4295928033844</v>
      </c>
      <c r="BO15" s="221">
        <v>2098.5782138776144</v>
      </c>
      <c r="BP15" s="221">
        <v>3174.6971274016046</v>
      </c>
      <c r="BQ15" s="221">
        <v>3786.6873887045299</v>
      </c>
      <c r="BR15" s="221">
        <v>3832.2847658570213</v>
      </c>
      <c r="BS15" s="221">
        <v>3988.3519176898149</v>
      </c>
      <c r="BT15" s="221">
        <v>5323.6599020969461</v>
      </c>
      <c r="BU15" s="221">
        <v>4953.5294170428351</v>
      </c>
      <c r="BV15" s="221">
        <v>5413.2201558445231</v>
      </c>
      <c r="BW15" s="221">
        <v>6183.9508950469808</v>
      </c>
      <c r="BX15" s="221">
        <v>4140.6523169090306</v>
      </c>
      <c r="BY15" s="221">
        <v>7113.5893048783464</v>
      </c>
      <c r="BZ15" s="221">
        <v>5412.2419481869147</v>
      </c>
      <c r="CA15" s="221">
        <v>5336.7005741319836</v>
      </c>
      <c r="CB15" s="221">
        <v>7852.2165985863639</v>
      </c>
      <c r="CC15" s="221">
        <v>6611.2546147280518</v>
      </c>
      <c r="CD15" s="221">
        <v>5743.6560093855132</v>
      </c>
      <c r="CE15" s="221">
        <v>6786.4475176866918</v>
      </c>
      <c r="CF15" s="221">
        <v>6616.1687263440526</v>
      </c>
      <c r="CG15" s="221">
        <v>7263.1525054372896</v>
      </c>
      <c r="CH15" s="221">
        <v>6500.2415315844455</v>
      </c>
      <c r="CI15" s="221">
        <v>6136.2215714588046</v>
      </c>
      <c r="CJ15" s="221">
        <v>6342.257205752494</v>
      </c>
      <c r="CK15" s="221">
        <v>7543.0547838046177</v>
      </c>
      <c r="CL15" s="221">
        <v>5317.1961369089095</v>
      </c>
      <c r="CM15" s="221">
        <v>5933.6041827986846</v>
      </c>
      <c r="CN15" s="221">
        <v>8293.0097544261116</v>
      </c>
      <c r="CO15" s="221">
        <v>6272.7306919683133</v>
      </c>
      <c r="CP15" s="221">
        <v>6728.9521124101739</v>
      </c>
      <c r="CQ15" s="221">
        <v>6736.9715960260346</v>
      </c>
      <c r="CR15" s="221">
        <v>6133.2516531554693</v>
      </c>
      <c r="CS15" s="221">
        <v>8171.9891548700552</v>
      </c>
      <c r="CT15" s="221">
        <v>6342.4210875358249</v>
      </c>
      <c r="CU15" s="221">
        <v>6183.180334532407</v>
      </c>
      <c r="CV15" s="221">
        <v>6376.5306528928231</v>
      </c>
      <c r="CW15" s="221">
        <v>6954.0097608718543</v>
      </c>
      <c r="CX15" s="221">
        <v>6125.99619845092</v>
      </c>
      <c r="CY15" s="221">
        <v>5719.4023179913302</v>
      </c>
      <c r="CZ15" s="221">
        <v>8298.8700493145843</v>
      </c>
      <c r="DA15" s="221">
        <v>5664.3444215774252</v>
      </c>
      <c r="DB15" s="221">
        <v>7524.5100833083898</v>
      </c>
      <c r="DC15" s="221">
        <v>6511.530255096226</v>
      </c>
      <c r="DD15" s="221">
        <v>6131.9015885460449</v>
      </c>
      <c r="DE15" s="221">
        <v>8169.8819273255103</v>
      </c>
      <c r="DF15" s="221">
        <v>5727.001636451012</v>
      </c>
      <c r="DG15" s="221">
        <v>6987.1662416662184</v>
      </c>
      <c r="DH15" s="221">
        <v>6155.072862356853</v>
      </c>
      <c r="DI15" s="221">
        <v>6349.7904723929423</v>
      </c>
      <c r="DJ15" s="221">
        <v>6929.0040410114416</v>
      </c>
      <c r="DK15" s="221">
        <v>5505.2281359064445</v>
      </c>
      <c r="DL15" s="221">
        <v>7699.0617815049527</v>
      </c>
      <c r="DM15" s="221">
        <v>6475.1073371413031</v>
      </c>
      <c r="DN15" s="221">
        <v>7321.9161035675088</v>
      </c>
      <c r="DO15" s="221">
        <v>5919.8152733587876</v>
      </c>
      <c r="DP15" s="221">
        <v>6950.962295040028</v>
      </c>
      <c r="DQ15" s="221">
        <v>7977.084337190824</v>
      </c>
      <c r="DR15" s="221">
        <v>5139.7993303389358</v>
      </c>
      <c r="DS15" s="221">
        <v>7820.4238570270672</v>
      </c>
      <c r="DT15" s="221">
        <v>5958.3065192431777</v>
      </c>
      <c r="DU15" s="221">
        <v>6381.5336290864525</v>
      </c>
      <c r="DV15" s="221">
        <v>6964.9413683058483</v>
      </c>
      <c r="DW15" s="221">
        <v>6139.6024175881694</v>
      </c>
      <c r="DX15" s="221">
        <v>6946.7333444046681</v>
      </c>
      <c r="DY15" s="221">
        <v>7351.07487651869</v>
      </c>
      <c r="DZ15" s="221">
        <v>6558.0439862136445</v>
      </c>
      <c r="EA15" s="221">
        <v>6178.5002728928639</v>
      </c>
      <c r="EB15" s="221">
        <v>7608.6690316532477</v>
      </c>
      <c r="EC15" s="221">
        <v>6586.7782730905783</v>
      </c>
      <c r="ED15" s="221">
        <v>6821.9908223997309</v>
      </c>
      <c r="EE15" s="221">
        <v>7455.3231319608012</v>
      </c>
      <c r="EF15" s="221">
        <v>4799.9942565473375</v>
      </c>
      <c r="EG15" s="221">
        <v>8061.4032495784168</v>
      </c>
      <c r="EH15" s="221">
        <v>5972.0211287996672</v>
      </c>
      <c r="EI15" s="221">
        <v>5789.6081728624913</v>
      </c>
      <c r="EJ15" s="221">
        <v>7782.0634248057477</v>
      </c>
      <c r="EK15" s="221">
        <v>7165.3961463318328</v>
      </c>
      <c r="EL15" s="221">
        <v>5975.6732993684136</v>
      </c>
      <c r="EM15" s="221">
        <v>7017.3281833288156</v>
      </c>
      <c r="EN15" s="221">
        <v>7424.2898496387597</v>
      </c>
      <c r="EO15" s="221">
        <v>5572.8243822834293</v>
      </c>
      <c r="EP15" s="221">
        <v>5340.63161590853</v>
      </c>
      <c r="EQ15" s="221">
        <v>4884.19647912457</v>
      </c>
      <c r="ER15" s="221">
        <v>3600.6011592022555</v>
      </c>
      <c r="ES15" s="221">
        <v>4733.3502446185594</v>
      </c>
      <c r="ET15" s="221">
        <v>2829.6695087976864</v>
      </c>
      <c r="EU15" s="221">
        <v>2934.4119408996112</v>
      </c>
      <c r="EV15" s="221">
        <v>3801.7336544679729</v>
      </c>
      <c r="EW15" s="221">
        <v>2783.0562600158905</v>
      </c>
      <c r="EX15" s="221">
        <v>2140.3813811949753</v>
      </c>
      <c r="EY15" s="221">
        <v>2313.0874037980698</v>
      </c>
      <c r="EZ15" s="221">
        <v>1999.2586121483091</v>
      </c>
      <c r="FA15" s="221">
        <v>1968.8141382170268</v>
      </c>
      <c r="FB15" s="221">
        <v>1540.5869158548282</v>
      </c>
      <c r="FC15" s="221">
        <v>1283.8382232013698</v>
      </c>
      <c r="FD15" s="221">
        <v>1177.6608894325184</v>
      </c>
      <c r="FE15" s="221">
        <v>1245.8938955558181</v>
      </c>
      <c r="FF15" s="221">
        <v>722.17530750939125</v>
      </c>
      <c r="FG15" s="221">
        <v>717.85897104404216</v>
      </c>
      <c r="FH15" s="221">
        <v>885.09704805588547</v>
      </c>
      <c r="FI15" s="221">
        <v>526.53767419047642</v>
      </c>
      <c r="FJ15" s="221">
        <v>474.3638180202027</v>
      </c>
      <c r="FK15" s="221">
        <v>377.65868545016531</v>
      </c>
      <c r="FL15" s="221">
        <v>255.83994749644722</v>
      </c>
      <c r="FM15" s="221">
        <v>410.48775313033229</v>
      </c>
      <c r="FN15" s="221">
        <v>324.20887766123678</v>
      </c>
      <c r="FO15" s="221">
        <v>316.25401472460459</v>
      </c>
      <c r="FP15" s="221">
        <v>326.32032290813368</v>
      </c>
      <c r="FQ15" s="221">
        <v>356.07592090682783</v>
      </c>
      <c r="FR15" s="221">
        <v>313.8913275823208</v>
      </c>
      <c r="FS15" s="221">
        <v>324.01603085121906</v>
      </c>
      <c r="FT15" s="221">
        <v>385.02803787962074</v>
      </c>
      <c r="FU15" s="221">
        <v>333.40229694310244</v>
      </c>
      <c r="FV15" s="221">
        <v>377.01169998350275</v>
      </c>
      <c r="FW15" s="221">
        <v>304.81275368458466</v>
      </c>
      <c r="FX15" s="221">
        <v>357.8849879035713</v>
      </c>
      <c r="FY15" s="221">
        <v>410.67794259024805</v>
      </c>
      <c r="FZ15" s="221">
        <v>264.60438911118047</v>
      </c>
      <c r="GA15" s="221">
        <v>402.57457734030839</v>
      </c>
      <c r="GB15" s="221">
        <v>306.68318462068248</v>
      </c>
      <c r="GC15" s="221">
        <v>328.43457185466417</v>
      </c>
      <c r="GD15" s="24">
        <f t="shared" si="0"/>
        <v>0</v>
      </c>
      <c r="GE15" s="24">
        <f t="shared" si="1"/>
        <v>0</v>
      </c>
      <c r="GF15" s="24">
        <f t="shared" si="2"/>
        <v>0</v>
      </c>
      <c r="GG15" s="24">
        <f t="shared" si="3"/>
        <v>29.944285957474641</v>
      </c>
      <c r="GH15" s="24">
        <f t="shared" si="4"/>
        <v>6147.945853685068</v>
      </c>
      <c r="GI15" s="24">
        <f t="shared" si="5"/>
        <v>52104.630998152628</v>
      </c>
      <c r="GJ15" s="24">
        <f t="shared" si="6"/>
        <v>78143.613587087224</v>
      </c>
      <c r="GK15" s="24">
        <f t="shared" si="7"/>
        <v>79443.847118396647</v>
      </c>
      <c r="GL15" s="24">
        <f t="shared" si="8"/>
        <v>79365.46805447746</v>
      </c>
      <c r="GM15" s="24">
        <f t="shared" si="9"/>
        <v>80078.242640416924</v>
      </c>
      <c r="GN15" s="24">
        <f t="shared" si="10"/>
        <v>81473.055031153999</v>
      </c>
      <c r="GO15" s="24">
        <f t="shared" si="11"/>
        <v>71257.984086273078</v>
      </c>
      <c r="GP15" s="24">
        <f t="shared" si="12"/>
        <v>26018.392823584072</v>
      </c>
      <c r="GQ15" s="24">
        <f t="shared" si="13"/>
        <v>5692.8783410977467</v>
      </c>
      <c r="GR15" s="24">
        <f t="shared" si="14"/>
        <v>4109.0218003450045</v>
      </c>
    </row>
    <row r="16" spans="1:200" ht="14" customHeight="1" x14ac:dyDescent="0.35">
      <c r="A16" s="154" t="str">
        <f t="shared" si="15"/>
        <v>188mg LP</v>
      </c>
      <c r="B16" s="25" t="s">
        <v>139</v>
      </c>
      <c r="C16" s="12" t="s">
        <v>85</v>
      </c>
      <c r="D16" s="12" t="s">
        <v>103</v>
      </c>
      <c r="E16" s="21">
        <f>IFERROR(VLOOKUP(B16,'SKU Master'!A:P,6,0),0)</f>
        <v>1</v>
      </c>
      <c r="F16" s="221"/>
      <c r="G16" s="221"/>
      <c r="H16" s="221"/>
      <c r="I16" s="221"/>
      <c r="J16" s="221"/>
      <c r="K16" s="221"/>
      <c r="L16" s="221"/>
      <c r="M16" s="221"/>
      <c r="N16" s="221"/>
      <c r="O16" s="221"/>
      <c r="P16" s="221"/>
      <c r="Q16" s="221"/>
      <c r="R16" s="221"/>
      <c r="S16" s="221"/>
      <c r="T16" s="221"/>
      <c r="U16" s="221"/>
      <c r="V16" s="221"/>
      <c r="W16" s="221"/>
      <c r="X16" s="221"/>
      <c r="Y16" s="221"/>
      <c r="Z16" s="221"/>
      <c r="AA16" s="221"/>
      <c r="AB16" s="221"/>
      <c r="AC16" s="221"/>
      <c r="AD16" s="221"/>
      <c r="AE16" s="221"/>
      <c r="AF16" s="221"/>
      <c r="AG16" s="221"/>
      <c r="AH16" s="221"/>
      <c r="AI16" s="221"/>
      <c r="AJ16" s="221"/>
      <c r="AK16" s="221"/>
      <c r="AL16" s="221"/>
      <c r="AM16" s="221"/>
      <c r="AN16" s="221"/>
      <c r="AO16" s="221"/>
      <c r="AP16" s="221"/>
      <c r="AQ16" s="221"/>
      <c r="AR16" s="221"/>
      <c r="AS16" s="221"/>
      <c r="AT16" s="221"/>
      <c r="AU16" s="221"/>
      <c r="AV16" s="221"/>
      <c r="AW16" s="221"/>
      <c r="AX16" s="221"/>
      <c r="AY16" s="221"/>
      <c r="AZ16" s="221"/>
      <c r="BA16" s="221"/>
      <c r="BB16" s="221"/>
      <c r="BC16" s="221"/>
      <c r="BD16" s="221"/>
      <c r="BE16" s="221"/>
      <c r="BF16" s="221"/>
      <c r="BG16" s="221"/>
      <c r="BH16" s="221"/>
      <c r="BI16" s="221"/>
      <c r="BJ16" s="221"/>
      <c r="BK16" s="221"/>
      <c r="BL16" s="221"/>
      <c r="BM16" s="221"/>
      <c r="BN16" s="221"/>
      <c r="BO16" s="221"/>
      <c r="BP16" s="221"/>
      <c r="BQ16" s="221"/>
      <c r="BR16" s="221"/>
      <c r="BS16" s="221"/>
      <c r="BT16" s="221"/>
      <c r="BU16" s="221"/>
      <c r="BV16" s="221"/>
      <c r="BW16" s="221"/>
      <c r="BX16" s="221"/>
      <c r="BY16" s="221"/>
      <c r="BZ16" s="221"/>
      <c r="CA16" s="221"/>
      <c r="CB16" s="221"/>
      <c r="CC16" s="221"/>
      <c r="CD16" s="221"/>
      <c r="CE16" s="221"/>
      <c r="CF16" s="221"/>
      <c r="CG16" s="221"/>
      <c r="CH16" s="221"/>
      <c r="CI16" s="221"/>
      <c r="CJ16" s="221"/>
      <c r="CK16" s="221"/>
      <c r="CL16" s="221"/>
      <c r="CM16" s="221"/>
      <c r="CN16" s="221"/>
      <c r="CO16" s="221"/>
      <c r="CP16" s="221"/>
      <c r="CQ16" s="221"/>
      <c r="CR16" s="221"/>
      <c r="CS16" s="221"/>
      <c r="CT16" s="221"/>
      <c r="CU16" s="221"/>
      <c r="CV16" s="221"/>
      <c r="CW16" s="221"/>
      <c r="CX16" s="221"/>
      <c r="CY16" s="221"/>
      <c r="CZ16" s="221"/>
      <c r="DA16" s="221"/>
      <c r="DB16" s="221"/>
      <c r="DC16" s="221"/>
      <c r="DD16" s="221"/>
      <c r="DE16" s="221"/>
      <c r="DF16" s="221"/>
      <c r="DG16" s="221"/>
      <c r="DH16" s="221"/>
      <c r="DI16" s="221"/>
      <c r="DJ16" s="221"/>
      <c r="DK16" s="221"/>
      <c r="DL16" s="221"/>
      <c r="DM16" s="221"/>
      <c r="DN16" s="221"/>
      <c r="DO16" s="221"/>
      <c r="DP16" s="221"/>
      <c r="DQ16" s="221"/>
      <c r="DR16" s="221"/>
      <c r="DS16" s="221"/>
      <c r="DT16" s="221"/>
      <c r="DU16" s="221"/>
      <c r="DV16" s="221"/>
      <c r="DW16" s="221"/>
      <c r="DX16" s="221"/>
      <c r="DY16" s="221"/>
      <c r="DZ16" s="221"/>
      <c r="EA16" s="221"/>
      <c r="EB16" s="221"/>
      <c r="EC16" s="221"/>
      <c r="ED16" s="221"/>
      <c r="EE16" s="221"/>
      <c r="EF16" s="221"/>
      <c r="EG16" s="221"/>
      <c r="EH16" s="221"/>
      <c r="EI16" s="221"/>
      <c r="EJ16" s="221"/>
      <c r="EK16" s="221"/>
      <c r="EL16" s="221"/>
      <c r="EM16" s="221"/>
      <c r="EN16" s="221"/>
      <c r="EO16" s="221"/>
      <c r="EP16" s="221"/>
      <c r="EQ16" s="221"/>
      <c r="ER16" s="221"/>
      <c r="ES16" s="221"/>
      <c r="ET16" s="221"/>
      <c r="EU16" s="221"/>
      <c r="EV16" s="221"/>
      <c r="EW16" s="221"/>
      <c r="EX16" s="221"/>
      <c r="EY16" s="221"/>
      <c r="EZ16" s="221"/>
      <c r="FA16" s="221"/>
      <c r="FB16" s="221"/>
      <c r="FC16" s="221"/>
      <c r="FD16" s="221"/>
      <c r="FE16" s="221"/>
      <c r="FF16" s="221"/>
      <c r="FG16" s="221"/>
      <c r="FH16" s="221"/>
      <c r="FI16" s="221"/>
      <c r="FJ16" s="221"/>
      <c r="FK16" s="221"/>
      <c r="FL16" s="221"/>
      <c r="FM16" s="221"/>
      <c r="FN16" s="221"/>
      <c r="FO16" s="221"/>
      <c r="FP16" s="221"/>
      <c r="FQ16" s="221"/>
      <c r="FR16" s="221"/>
      <c r="FS16" s="221"/>
      <c r="FT16" s="221"/>
      <c r="FU16" s="221"/>
      <c r="FV16" s="221"/>
      <c r="FW16" s="221"/>
      <c r="FX16" s="221"/>
      <c r="FY16" s="221"/>
      <c r="FZ16" s="221"/>
      <c r="GA16" s="221"/>
      <c r="GB16" s="221"/>
      <c r="GC16" s="221"/>
      <c r="GD16" s="24">
        <f t="shared" si="0"/>
        <v>0</v>
      </c>
      <c r="GE16" s="24">
        <f t="shared" si="1"/>
        <v>0</v>
      </c>
      <c r="GF16" s="24">
        <f t="shared" si="2"/>
        <v>0</v>
      </c>
      <c r="GG16" s="24">
        <f t="shared" si="3"/>
        <v>0</v>
      </c>
      <c r="GH16" s="24">
        <f t="shared" si="4"/>
        <v>0</v>
      </c>
      <c r="GI16" s="24">
        <f t="shared" si="5"/>
        <v>0</v>
      </c>
      <c r="GJ16" s="24">
        <f t="shared" si="6"/>
        <v>0</v>
      </c>
      <c r="GK16" s="24">
        <f t="shared" si="7"/>
        <v>0</v>
      </c>
      <c r="GL16" s="24">
        <f t="shared" si="8"/>
        <v>0</v>
      </c>
      <c r="GM16" s="24">
        <f t="shared" si="9"/>
        <v>0</v>
      </c>
      <c r="GN16" s="24">
        <f t="shared" si="10"/>
        <v>0</v>
      </c>
      <c r="GO16" s="24">
        <f t="shared" si="11"/>
        <v>0</v>
      </c>
      <c r="GP16" s="24">
        <f t="shared" si="12"/>
        <v>0</v>
      </c>
      <c r="GQ16" s="24">
        <f t="shared" si="13"/>
        <v>0</v>
      </c>
      <c r="GR16" s="24">
        <f t="shared" si="14"/>
        <v>0</v>
      </c>
    </row>
    <row r="17" spans="1:200" ht="14" customHeight="1" x14ac:dyDescent="0.35">
      <c r="A17" s="154" t="str">
        <f t="shared" si="15"/>
        <v>188mg LP</v>
      </c>
      <c r="B17" s="22" t="s">
        <v>140</v>
      </c>
      <c r="C17" s="4" t="s">
        <v>85</v>
      </c>
      <c r="D17" s="4" t="s">
        <v>103</v>
      </c>
      <c r="E17" s="21">
        <f>IFERROR(VLOOKUP(B17,'SKU Master'!A:P,6,0),0)</f>
        <v>1</v>
      </c>
      <c r="F17" s="221"/>
      <c r="G17" s="221"/>
      <c r="H17" s="221"/>
      <c r="I17" s="221"/>
      <c r="J17" s="221"/>
      <c r="K17" s="221"/>
      <c r="L17" s="221"/>
      <c r="M17" s="221"/>
      <c r="N17" s="221"/>
      <c r="O17" s="221"/>
      <c r="P17" s="221"/>
      <c r="Q17" s="221"/>
      <c r="R17" s="221"/>
      <c r="S17" s="221"/>
      <c r="T17" s="221"/>
      <c r="U17" s="221"/>
      <c r="V17" s="221"/>
      <c r="W17" s="221"/>
      <c r="X17" s="221"/>
      <c r="Y17" s="221"/>
      <c r="Z17" s="221"/>
      <c r="AA17" s="221"/>
      <c r="AB17" s="221"/>
      <c r="AC17" s="221"/>
      <c r="AD17" s="221"/>
      <c r="AE17" s="221"/>
      <c r="AF17" s="221"/>
      <c r="AG17" s="221"/>
      <c r="AH17" s="221"/>
      <c r="AI17" s="221"/>
      <c r="AJ17" s="221"/>
      <c r="AK17" s="221"/>
      <c r="AL17" s="221"/>
      <c r="AM17" s="221"/>
      <c r="AN17" s="221"/>
      <c r="AO17" s="221"/>
      <c r="AP17" s="221"/>
      <c r="AQ17" s="221"/>
      <c r="AR17" s="221"/>
      <c r="AS17" s="221"/>
      <c r="AT17" s="221"/>
      <c r="AU17" s="221"/>
      <c r="AV17" s="221"/>
      <c r="AW17" s="221"/>
      <c r="AX17" s="221"/>
      <c r="AY17" s="221"/>
      <c r="AZ17" s="221"/>
      <c r="BA17" s="221"/>
      <c r="BB17" s="221"/>
      <c r="BC17" s="221"/>
      <c r="BD17" s="221"/>
      <c r="BE17" s="221"/>
      <c r="BF17" s="221"/>
      <c r="BG17" s="221"/>
      <c r="BH17" s="221"/>
      <c r="BI17" s="221"/>
      <c r="BJ17" s="221"/>
      <c r="BK17" s="221"/>
      <c r="BL17" s="221"/>
      <c r="BM17" s="221"/>
      <c r="BN17" s="221"/>
      <c r="BO17" s="221"/>
      <c r="BP17" s="221"/>
      <c r="BQ17" s="221"/>
      <c r="BR17" s="221"/>
      <c r="BS17" s="221"/>
      <c r="BT17" s="221"/>
      <c r="BU17" s="221"/>
      <c r="BV17" s="221"/>
      <c r="BW17" s="221"/>
      <c r="BX17" s="221"/>
      <c r="BY17" s="221"/>
      <c r="BZ17" s="221"/>
      <c r="CA17" s="221"/>
      <c r="CB17" s="221"/>
      <c r="CC17" s="221"/>
      <c r="CD17" s="221"/>
      <c r="CE17" s="221"/>
      <c r="CF17" s="221"/>
      <c r="CG17" s="221"/>
      <c r="CH17" s="221"/>
      <c r="CI17" s="221"/>
      <c r="CJ17" s="221"/>
      <c r="CK17" s="221"/>
      <c r="CL17" s="221"/>
      <c r="CM17" s="221"/>
      <c r="CN17" s="221"/>
      <c r="CO17" s="221"/>
      <c r="CP17" s="221"/>
      <c r="CQ17" s="221"/>
      <c r="CR17" s="221"/>
      <c r="CS17" s="221"/>
      <c r="CT17" s="221"/>
      <c r="CU17" s="221"/>
      <c r="CV17" s="221"/>
      <c r="CW17" s="221"/>
      <c r="CX17" s="221"/>
      <c r="CY17" s="221"/>
      <c r="CZ17" s="221"/>
      <c r="DA17" s="221"/>
      <c r="DB17" s="221"/>
      <c r="DC17" s="221"/>
      <c r="DD17" s="221"/>
      <c r="DE17" s="221"/>
      <c r="DF17" s="221"/>
      <c r="DG17" s="221"/>
      <c r="DH17" s="221"/>
      <c r="DI17" s="221"/>
      <c r="DJ17" s="221"/>
      <c r="DK17" s="221"/>
      <c r="DL17" s="221"/>
      <c r="DM17" s="221"/>
      <c r="DN17" s="221"/>
      <c r="DO17" s="221"/>
      <c r="DP17" s="221"/>
      <c r="DQ17" s="221"/>
      <c r="DR17" s="221"/>
      <c r="DS17" s="221"/>
      <c r="DT17" s="221"/>
      <c r="DU17" s="221"/>
      <c r="DV17" s="221"/>
      <c r="DW17" s="221"/>
      <c r="DX17" s="221"/>
      <c r="DY17" s="221"/>
      <c r="DZ17" s="221"/>
      <c r="EA17" s="221"/>
      <c r="EB17" s="221"/>
      <c r="EC17" s="221"/>
      <c r="ED17" s="221"/>
      <c r="EE17" s="221"/>
      <c r="EF17" s="221"/>
      <c r="EG17" s="221"/>
      <c r="EH17" s="221"/>
      <c r="EI17" s="221"/>
      <c r="EJ17" s="221"/>
      <c r="EK17" s="221"/>
      <c r="EL17" s="221"/>
      <c r="EM17" s="221"/>
      <c r="EN17" s="221"/>
      <c r="EO17" s="221"/>
      <c r="EP17" s="221"/>
      <c r="EQ17" s="221"/>
      <c r="ER17" s="221"/>
      <c r="ES17" s="221"/>
      <c r="ET17" s="221"/>
      <c r="EU17" s="221"/>
      <c r="EV17" s="221"/>
      <c r="EW17" s="221"/>
      <c r="EX17" s="221"/>
      <c r="EY17" s="221"/>
      <c r="EZ17" s="221"/>
      <c r="FA17" s="221"/>
      <c r="FB17" s="221"/>
      <c r="FC17" s="221"/>
      <c r="FD17" s="221"/>
      <c r="FE17" s="221"/>
      <c r="FF17" s="221"/>
      <c r="FG17" s="221"/>
      <c r="FH17" s="221"/>
      <c r="FI17" s="221"/>
      <c r="FJ17" s="221"/>
      <c r="FK17" s="221"/>
      <c r="FL17" s="221"/>
      <c r="FM17" s="221"/>
      <c r="FN17" s="221"/>
      <c r="FO17" s="221"/>
      <c r="FP17" s="221"/>
      <c r="FQ17" s="221"/>
      <c r="FR17" s="221"/>
      <c r="FS17" s="221"/>
      <c r="FT17" s="221"/>
      <c r="FU17" s="221"/>
      <c r="FV17" s="221"/>
      <c r="FW17" s="221"/>
      <c r="FX17" s="221"/>
      <c r="FY17" s="221"/>
      <c r="FZ17" s="221"/>
      <c r="GA17" s="221"/>
      <c r="GB17" s="221"/>
      <c r="GC17" s="221"/>
      <c r="GD17" s="24">
        <f t="shared" si="0"/>
        <v>0</v>
      </c>
      <c r="GE17" s="24">
        <f t="shared" si="1"/>
        <v>0</v>
      </c>
      <c r="GF17" s="24">
        <f t="shared" si="2"/>
        <v>0</v>
      </c>
      <c r="GG17" s="24">
        <f t="shared" si="3"/>
        <v>0</v>
      </c>
      <c r="GH17" s="24">
        <f t="shared" si="4"/>
        <v>0</v>
      </c>
      <c r="GI17" s="24">
        <f t="shared" si="5"/>
        <v>0</v>
      </c>
      <c r="GJ17" s="24">
        <f t="shared" si="6"/>
        <v>0</v>
      </c>
      <c r="GK17" s="24">
        <f t="shared" si="7"/>
        <v>0</v>
      </c>
      <c r="GL17" s="24">
        <f t="shared" si="8"/>
        <v>0</v>
      </c>
      <c r="GM17" s="24">
        <f t="shared" si="9"/>
        <v>0</v>
      </c>
      <c r="GN17" s="24">
        <f t="shared" si="10"/>
        <v>0</v>
      </c>
      <c r="GO17" s="24">
        <f t="shared" si="11"/>
        <v>0</v>
      </c>
      <c r="GP17" s="24">
        <f t="shared" si="12"/>
        <v>0</v>
      </c>
      <c r="GQ17" s="24">
        <f t="shared" si="13"/>
        <v>0</v>
      </c>
      <c r="GR17" s="24">
        <f t="shared" si="14"/>
        <v>0</v>
      </c>
    </row>
    <row r="18" spans="1:200" ht="14" customHeight="1" x14ac:dyDescent="0.35">
      <c r="A18" s="154" t="str">
        <f t="shared" si="15"/>
        <v>188mg LP</v>
      </c>
      <c r="B18" s="22" t="s">
        <v>739</v>
      </c>
      <c r="C18" s="4" t="s">
        <v>85</v>
      </c>
      <c r="D18" s="4" t="s">
        <v>103</v>
      </c>
      <c r="E18" s="21">
        <f>IFERROR(VLOOKUP(B18,'SKU Master'!A:P,6,0),0)</f>
        <v>0</v>
      </c>
      <c r="F18" s="221"/>
      <c r="G18" s="221"/>
      <c r="H18" s="221"/>
      <c r="I18" s="221"/>
      <c r="J18" s="221"/>
      <c r="K18" s="221"/>
      <c r="L18" s="221"/>
      <c r="M18" s="221"/>
      <c r="N18" s="221"/>
      <c r="O18" s="221"/>
      <c r="P18" s="221"/>
      <c r="Q18" s="221"/>
      <c r="R18" s="221"/>
      <c r="S18" s="221"/>
      <c r="T18" s="221"/>
      <c r="U18" s="221"/>
      <c r="V18" s="221"/>
      <c r="W18" s="221"/>
      <c r="X18" s="221"/>
      <c r="Y18" s="221"/>
      <c r="Z18" s="221"/>
      <c r="AA18" s="221"/>
      <c r="AB18" s="221"/>
      <c r="AC18" s="221"/>
      <c r="AD18" s="221"/>
      <c r="AE18" s="221"/>
      <c r="AF18" s="221"/>
      <c r="AG18" s="221"/>
      <c r="AH18" s="221"/>
      <c r="AI18" s="221"/>
      <c r="AJ18" s="221"/>
      <c r="AK18" s="221"/>
      <c r="AL18" s="221"/>
      <c r="AM18" s="221"/>
      <c r="AN18" s="221"/>
      <c r="AO18" s="221"/>
      <c r="AP18" s="221"/>
      <c r="AQ18" s="221"/>
      <c r="AR18" s="221"/>
      <c r="AS18" s="221"/>
      <c r="AT18" s="221"/>
      <c r="AU18" s="221"/>
      <c r="AV18" s="221"/>
      <c r="AW18" s="221"/>
      <c r="AX18" s="221"/>
      <c r="AY18" s="221"/>
      <c r="AZ18" s="221"/>
      <c r="BA18" s="221"/>
      <c r="BB18" s="221"/>
      <c r="BC18" s="221"/>
      <c r="BD18" s="221"/>
      <c r="BE18" s="221"/>
      <c r="BF18" s="221"/>
      <c r="BG18" s="221"/>
      <c r="BH18" s="221"/>
      <c r="BI18" s="221"/>
      <c r="BJ18" s="221"/>
      <c r="BK18" s="221"/>
      <c r="BL18" s="221"/>
      <c r="BM18" s="221"/>
      <c r="BN18" s="221"/>
      <c r="BO18" s="221"/>
      <c r="BP18" s="221"/>
      <c r="BQ18" s="221"/>
      <c r="BR18" s="221"/>
      <c r="BS18" s="221"/>
      <c r="BT18" s="221"/>
      <c r="BU18" s="221"/>
      <c r="BV18" s="221"/>
      <c r="BW18" s="221"/>
      <c r="BX18" s="221"/>
      <c r="BY18" s="221"/>
      <c r="BZ18" s="221"/>
      <c r="CA18" s="221"/>
      <c r="CB18" s="221"/>
      <c r="CC18" s="221"/>
      <c r="CD18" s="221"/>
      <c r="CE18" s="221"/>
      <c r="CF18" s="221"/>
      <c r="CG18" s="221"/>
      <c r="CH18" s="221"/>
      <c r="CI18" s="221"/>
      <c r="CJ18" s="221"/>
      <c r="CK18" s="221"/>
      <c r="CL18" s="221"/>
      <c r="CM18" s="221"/>
      <c r="CN18" s="221"/>
      <c r="CO18" s="221"/>
      <c r="CP18" s="221"/>
      <c r="CQ18" s="221"/>
      <c r="CR18" s="221"/>
      <c r="CS18" s="221"/>
      <c r="CT18" s="221"/>
      <c r="CU18" s="221"/>
      <c r="CV18" s="221"/>
      <c r="CW18" s="221"/>
      <c r="CX18" s="221"/>
      <c r="CY18" s="221"/>
      <c r="CZ18" s="221"/>
      <c r="DA18" s="221"/>
      <c r="DB18" s="221"/>
      <c r="DC18" s="221"/>
      <c r="DD18" s="221"/>
      <c r="DE18" s="221"/>
      <c r="DF18" s="221"/>
      <c r="DG18" s="221"/>
      <c r="DH18" s="221"/>
      <c r="DI18" s="221"/>
      <c r="DJ18" s="221"/>
      <c r="DK18" s="221"/>
      <c r="DL18" s="221"/>
      <c r="DM18" s="221"/>
      <c r="DN18" s="221"/>
      <c r="DO18" s="221"/>
      <c r="DP18" s="221"/>
      <c r="DQ18" s="221"/>
      <c r="DR18" s="221"/>
      <c r="DS18" s="221"/>
      <c r="DT18" s="221"/>
      <c r="DU18" s="221"/>
      <c r="DV18" s="221"/>
      <c r="DW18" s="221"/>
      <c r="DX18" s="221"/>
      <c r="DY18" s="221"/>
      <c r="DZ18" s="221"/>
      <c r="EA18" s="221"/>
      <c r="EB18" s="221"/>
      <c r="EC18" s="221"/>
      <c r="ED18" s="221"/>
      <c r="EE18" s="221"/>
      <c r="EF18" s="221"/>
      <c r="EG18" s="221"/>
      <c r="EH18" s="221"/>
      <c r="EI18" s="221"/>
      <c r="EJ18" s="221"/>
      <c r="EK18" s="221"/>
      <c r="EL18" s="221"/>
      <c r="EM18" s="221"/>
      <c r="EN18" s="221"/>
      <c r="EO18" s="221"/>
      <c r="EP18" s="221"/>
      <c r="EQ18" s="221"/>
      <c r="ER18" s="221"/>
      <c r="ES18" s="221"/>
      <c r="ET18" s="221"/>
      <c r="EU18" s="221"/>
      <c r="EV18" s="221"/>
      <c r="EW18" s="221"/>
      <c r="EX18" s="221"/>
      <c r="EY18" s="221"/>
      <c r="EZ18" s="221"/>
      <c r="FA18" s="221"/>
      <c r="FB18" s="221"/>
      <c r="FC18" s="221"/>
      <c r="FD18" s="221"/>
      <c r="FE18" s="221"/>
      <c r="FF18" s="221"/>
      <c r="FG18" s="221"/>
      <c r="FH18" s="221"/>
      <c r="FI18" s="221"/>
      <c r="FJ18" s="221"/>
      <c r="FK18" s="221"/>
      <c r="FL18" s="221"/>
      <c r="FM18" s="221"/>
      <c r="FN18" s="221"/>
      <c r="FO18" s="221"/>
      <c r="FP18" s="221"/>
      <c r="FQ18" s="221"/>
      <c r="FR18" s="221"/>
      <c r="FS18" s="221"/>
      <c r="FT18" s="221"/>
      <c r="FU18" s="221"/>
      <c r="FV18" s="221"/>
      <c r="FW18" s="221"/>
      <c r="FX18" s="221"/>
      <c r="FY18" s="221"/>
      <c r="FZ18" s="221"/>
      <c r="GA18" s="221"/>
      <c r="GB18" s="221"/>
      <c r="GC18" s="221"/>
      <c r="GD18" s="24">
        <f t="shared" ref="GD18:GD20" si="16">IF(E18=1,SUM(G18:Q18),0)</f>
        <v>0</v>
      </c>
      <c r="GE18" s="24">
        <f t="shared" ref="GE18:GE20" si="17">IF(E18=1,SUM(R18:AC18),0)</f>
        <v>0</v>
      </c>
      <c r="GF18" s="24">
        <f t="shared" ref="GF18:GF20" si="18">IF(E18=1,SUM(AD18:AO18),0)</f>
        <v>0</v>
      </c>
      <c r="GG18" s="24">
        <f t="shared" ref="GG18:GG20" si="19">IF(E18=1,SUM(AP18:BA18),0)</f>
        <v>0</v>
      </c>
      <c r="GH18" s="24">
        <f t="shared" ref="GH18:GH20" si="20">IF(E18=1,SUM(BB18:BM18),0)</f>
        <v>0</v>
      </c>
      <c r="GI18" s="24">
        <f t="shared" ref="GI18:GI20" si="21">IF(E18=1,SUM(BN18:BY18),0)</f>
        <v>0</v>
      </c>
      <c r="GJ18" s="24">
        <f t="shared" ref="GJ18:GJ20" si="22">IF(E18=1,SUM(BZ18:CK18),0)</f>
        <v>0</v>
      </c>
      <c r="GK18" s="24">
        <f t="shared" ref="GK18:GK20" si="23">IF(E18=1,SUM(CL18:CW18),0)</f>
        <v>0</v>
      </c>
      <c r="GL18" s="24">
        <f t="shared" ref="GL18:GL20" si="24">IF(E18=1,SUM(CX18:DI18),0)</f>
        <v>0</v>
      </c>
      <c r="GM18" s="24">
        <f t="shared" ref="GM18:GM20" si="25">IF(E18=1,SUM(DJ18:DU18),0)</f>
        <v>0</v>
      </c>
      <c r="GN18" s="24">
        <f t="shared" ref="GN18:GN20" si="26">IF(E18=1,SUM(DV18:EG18),0)</f>
        <v>0</v>
      </c>
      <c r="GO18" s="24">
        <f t="shared" ref="GO18:GO20" si="27">IF(E18=1,SUM(EH18:ES18),0)</f>
        <v>0</v>
      </c>
      <c r="GP18" s="24">
        <f t="shared" ref="GP18:GP20" si="28">IF(E18=1,SUM(ET18:FE18),0)</f>
        <v>0</v>
      </c>
      <c r="GQ18" s="24">
        <f t="shared" ref="GQ18:GQ20" si="29">IF(E18=1,SUM(FF18:FQ18),0)</f>
        <v>0</v>
      </c>
      <c r="GR18" s="24">
        <f t="shared" ref="GR18:GR20" si="30">IF(E18=1,SUM(FR18:GC18),0)</f>
        <v>0</v>
      </c>
    </row>
    <row r="19" spans="1:200" ht="14" customHeight="1" x14ac:dyDescent="0.35">
      <c r="A19" s="154" t="str">
        <f t="shared" si="15"/>
        <v>188mg LP</v>
      </c>
      <c r="B19" s="25" t="s">
        <v>740</v>
      </c>
      <c r="C19" s="12" t="s">
        <v>85</v>
      </c>
      <c r="D19" s="12" t="s">
        <v>103</v>
      </c>
      <c r="E19" s="21">
        <f>IFERROR(VLOOKUP(B19,'SKU Master'!A:P,6,0),0)</f>
        <v>0</v>
      </c>
      <c r="F19" s="221"/>
      <c r="G19" s="221"/>
      <c r="H19" s="221"/>
      <c r="I19" s="221"/>
      <c r="J19" s="221"/>
      <c r="K19" s="221"/>
      <c r="L19" s="221"/>
      <c r="M19" s="221"/>
      <c r="N19" s="221"/>
      <c r="O19" s="221"/>
      <c r="P19" s="221"/>
      <c r="Q19" s="221"/>
      <c r="R19" s="221"/>
      <c r="S19" s="221"/>
      <c r="T19" s="221"/>
      <c r="U19" s="221"/>
      <c r="V19" s="221"/>
      <c r="W19" s="221"/>
      <c r="X19" s="221"/>
      <c r="Y19" s="221"/>
      <c r="Z19" s="221"/>
      <c r="AA19" s="221"/>
      <c r="AB19" s="221"/>
      <c r="AC19" s="221"/>
      <c r="AD19" s="221"/>
      <c r="AE19" s="221"/>
      <c r="AF19" s="221"/>
      <c r="AG19" s="221"/>
      <c r="AH19" s="221"/>
      <c r="AI19" s="221"/>
      <c r="AJ19" s="221"/>
      <c r="AK19" s="221"/>
      <c r="AL19" s="221"/>
      <c r="AM19" s="221"/>
      <c r="AN19" s="221"/>
      <c r="AO19" s="221"/>
      <c r="AP19" s="221"/>
      <c r="AQ19" s="221"/>
      <c r="AR19" s="221"/>
      <c r="AS19" s="221"/>
      <c r="AT19" s="221"/>
      <c r="AU19" s="221"/>
      <c r="AV19" s="221"/>
      <c r="AW19" s="221"/>
      <c r="AX19" s="221"/>
      <c r="AY19" s="221"/>
      <c r="AZ19" s="221"/>
      <c r="BA19" s="221"/>
      <c r="BB19" s="221"/>
      <c r="BC19" s="221"/>
      <c r="BD19" s="221"/>
      <c r="BE19" s="221"/>
      <c r="BF19" s="221"/>
      <c r="BG19" s="221"/>
      <c r="BH19" s="221"/>
      <c r="BI19" s="221"/>
      <c r="BJ19" s="221"/>
      <c r="BK19" s="221"/>
      <c r="BL19" s="221"/>
      <c r="BM19" s="221"/>
      <c r="BN19" s="221"/>
      <c r="BO19" s="221"/>
      <c r="BP19" s="221"/>
      <c r="BQ19" s="221"/>
      <c r="BR19" s="221"/>
      <c r="BS19" s="221"/>
      <c r="BT19" s="221"/>
      <c r="BU19" s="221"/>
      <c r="BV19" s="221"/>
      <c r="BW19" s="221"/>
      <c r="BX19" s="221"/>
      <c r="BY19" s="221"/>
      <c r="BZ19" s="221"/>
      <c r="CA19" s="221"/>
      <c r="CB19" s="221"/>
      <c r="CC19" s="221"/>
      <c r="CD19" s="221"/>
      <c r="CE19" s="221"/>
      <c r="CF19" s="221"/>
      <c r="CG19" s="221"/>
      <c r="CH19" s="221"/>
      <c r="CI19" s="221"/>
      <c r="CJ19" s="221"/>
      <c r="CK19" s="221"/>
      <c r="CL19" s="221"/>
      <c r="CM19" s="221"/>
      <c r="CN19" s="221"/>
      <c r="CO19" s="221"/>
      <c r="CP19" s="221"/>
      <c r="CQ19" s="221"/>
      <c r="CR19" s="221"/>
      <c r="CS19" s="221"/>
      <c r="CT19" s="221"/>
      <c r="CU19" s="221"/>
      <c r="CV19" s="221"/>
      <c r="CW19" s="221"/>
      <c r="CX19" s="221"/>
      <c r="CY19" s="221"/>
      <c r="CZ19" s="221"/>
      <c r="DA19" s="221"/>
      <c r="DB19" s="221"/>
      <c r="DC19" s="221"/>
      <c r="DD19" s="221"/>
      <c r="DE19" s="221"/>
      <c r="DF19" s="221"/>
      <c r="DG19" s="221"/>
      <c r="DH19" s="221"/>
      <c r="DI19" s="221"/>
      <c r="DJ19" s="221"/>
      <c r="DK19" s="221"/>
      <c r="DL19" s="221"/>
      <c r="DM19" s="221"/>
      <c r="DN19" s="221"/>
      <c r="DO19" s="221"/>
      <c r="DP19" s="221"/>
      <c r="DQ19" s="221"/>
      <c r="DR19" s="221"/>
      <c r="DS19" s="221"/>
      <c r="DT19" s="221"/>
      <c r="DU19" s="221"/>
      <c r="DV19" s="221"/>
      <c r="DW19" s="221"/>
      <c r="DX19" s="221"/>
      <c r="DY19" s="221"/>
      <c r="DZ19" s="221"/>
      <c r="EA19" s="221"/>
      <c r="EB19" s="221"/>
      <c r="EC19" s="221"/>
      <c r="ED19" s="221"/>
      <c r="EE19" s="221"/>
      <c r="EF19" s="221"/>
      <c r="EG19" s="221"/>
      <c r="EH19" s="221"/>
      <c r="EI19" s="221"/>
      <c r="EJ19" s="221"/>
      <c r="EK19" s="221"/>
      <c r="EL19" s="221"/>
      <c r="EM19" s="221"/>
      <c r="EN19" s="221"/>
      <c r="EO19" s="221"/>
      <c r="EP19" s="221"/>
      <c r="EQ19" s="221"/>
      <c r="ER19" s="221"/>
      <c r="ES19" s="221"/>
      <c r="ET19" s="221"/>
      <c r="EU19" s="221"/>
      <c r="EV19" s="221"/>
      <c r="EW19" s="221"/>
      <c r="EX19" s="221"/>
      <c r="EY19" s="221"/>
      <c r="EZ19" s="221"/>
      <c r="FA19" s="221"/>
      <c r="FB19" s="221"/>
      <c r="FC19" s="221"/>
      <c r="FD19" s="221"/>
      <c r="FE19" s="221"/>
      <c r="FF19" s="221"/>
      <c r="FG19" s="221"/>
      <c r="FH19" s="221"/>
      <c r="FI19" s="221"/>
      <c r="FJ19" s="221"/>
      <c r="FK19" s="221"/>
      <c r="FL19" s="221"/>
      <c r="FM19" s="221"/>
      <c r="FN19" s="221"/>
      <c r="FO19" s="221"/>
      <c r="FP19" s="221"/>
      <c r="FQ19" s="221"/>
      <c r="FR19" s="221"/>
      <c r="FS19" s="221"/>
      <c r="FT19" s="221"/>
      <c r="FU19" s="221"/>
      <c r="FV19" s="221"/>
      <c r="FW19" s="221"/>
      <c r="FX19" s="221"/>
      <c r="FY19" s="221"/>
      <c r="FZ19" s="221"/>
      <c r="GA19" s="221"/>
      <c r="GB19" s="221"/>
      <c r="GC19" s="221"/>
      <c r="GD19" s="24">
        <f t="shared" si="16"/>
        <v>0</v>
      </c>
      <c r="GE19" s="24">
        <f t="shared" si="17"/>
        <v>0</v>
      </c>
      <c r="GF19" s="24">
        <f t="shared" si="18"/>
        <v>0</v>
      </c>
      <c r="GG19" s="24">
        <f t="shared" si="19"/>
        <v>0</v>
      </c>
      <c r="GH19" s="24">
        <f t="shared" si="20"/>
        <v>0</v>
      </c>
      <c r="GI19" s="24">
        <f t="shared" si="21"/>
        <v>0</v>
      </c>
      <c r="GJ19" s="24">
        <f t="shared" si="22"/>
        <v>0</v>
      </c>
      <c r="GK19" s="24">
        <f t="shared" si="23"/>
        <v>0</v>
      </c>
      <c r="GL19" s="24">
        <f t="shared" si="24"/>
        <v>0</v>
      </c>
      <c r="GM19" s="24">
        <f t="shared" si="25"/>
        <v>0</v>
      </c>
      <c r="GN19" s="24">
        <f t="shared" si="26"/>
        <v>0</v>
      </c>
      <c r="GO19" s="24">
        <f t="shared" si="27"/>
        <v>0</v>
      </c>
      <c r="GP19" s="24">
        <f t="shared" si="28"/>
        <v>0</v>
      </c>
      <c r="GQ19" s="24">
        <f t="shared" si="29"/>
        <v>0</v>
      </c>
      <c r="GR19" s="24">
        <f t="shared" si="30"/>
        <v>0</v>
      </c>
    </row>
    <row r="20" spans="1:200" ht="14" customHeight="1" x14ac:dyDescent="0.35">
      <c r="A20" s="154" t="str">
        <f t="shared" si="15"/>
        <v>188mg LP</v>
      </c>
      <c r="B20" s="22" t="s">
        <v>741</v>
      </c>
      <c r="C20" s="4" t="s">
        <v>85</v>
      </c>
      <c r="D20" s="4" t="s">
        <v>103</v>
      </c>
      <c r="E20" s="21">
        <f>IFERROR(VLOOKUP(B20,'SKU Master'!A:P,6,0),0)</f>
        <v>0</v>
      </c>
      <c r="F20" s="221"/>
      <c r="G20" s="221"/>
      <c r="H20" s="221"/>
      <c r="I20" s="221"/>
      <c r="J20" s="221"/>
      <c r="K20" s="221"/>
      <c r="L20" s="221"/>
      <c r="M20" s="221"/>
      <c r="N20" s="221"/>
      <c r="O20" s="221"/>
      <c r="P20" s="221"/>
      <c r="Q20" s="221"/>
      <c r="R20" s="221"/>
      <c r="S20" s="221"/>
      <c r="T20" s="221"/>
      <c r="U20" s="221"/>
      <c r="V20" s="221"/>
      <c r="W20" s="221"/>
      <c r="X20" s="221"/>
      <c r="Y20" s="221"/>
      <c r="Z20" s="221"/>
      <c r="AA20" s="221"/>
      <c r="AB20" s="221"/>
      <c r="AC20" s="221"/>
      <c r="AD20" s="221"/>
      <c r="AE20" s="221"/>
      <c r="AF20" s="221"/>
      <c r="AG20" s="221"/>
      <c r="AH20" s="221"/>
      <c r="AI20" s="221"/>
      <c r="AJ20" s="221"/>
      <c r="AK20" s="221"/>
      <c r="AL20" s="221"/>
      <c r="AM20" s="221"/>
      <c r="AN20" s="221"/>
      <c r="AO20" s="221"/>
      <c r="AP20" s="221"/>
      <c r="AQ20" s="221"/>
      <c r="AR20" s="221"/>
      <c r="AS20" s="221"/>
      <c r="AT20" s="221"/>
      <c r="AU20" s="221"/>
      <c r="AV20" s="221"/>
      <c r="AW20" s="221"/>
      <c r="AX20" s="221"/>
      <c r="AY20" s="221"/>
      <c r="AZ20" s="221"/>
      <c r="BA20" s="221"/>
      <c r="BB20" s="221"/>
      <c r="BC20" s="221"/>
      <c r="BD20" s="221"/>
      <c r="BE20" s="221"/>
      <c r="BF20" s="221"/>
      <c r="BG20" s="221"/>
      <c r="BH20" s="221"/>
      <c r="BI20" s="221"/>
      <c r="BJ20" s="221"/>
      <c r="BK20" s="221"/>
      <c r="BL20" s="221"/>
      <c r="BM20" s="221"/>
      <c r="BN20" s="221"/>
      <c r="BO20" s="221"/>
      <c r="BP20" s="221"/>
      <c r="BQ20" s="221"/>
      <c r="BR20" s="221"/>
      <c r="BS20" s="221"/>
      <c r="BT20" s="221"/>
      <c r="BU20" s="221"/>
      <c r="BV20" s="221"/>
      <c r="BW20" s="221"/>
      <c r="BX20" s="221"/>
      <c r="BY20" s="221"/>
      <c r="BZ20" s="221"/>
      <c r="CA20" s="221"/>
      <c r="CB20" s="221"/>
      <c r="CC20" s="221"/>
      <c r="CD20" s="221"/>
      <c r="CE20" s="221"/>
      <c r="CF20" s="221"/>
      <c r="CG20" s="221"/>
      <c r="CH20" s="221"/>
      <c r="CI20" s="221"/>
      <c r="CJ20" s="221"/>
      <c r="CK20" s="221"/>
      <c r="CL20" s="221"/>
      <c r="CM20" s="221"/>
      <c r="CN20" s="221"/>
      <c r="CO20" s="221"/>
      <c r="CP20" s="221"/>
      <c r="CQ20" s="221"/>
      <c r="CR20" s="221"/>
      <c r="CS20" s="221"/>
      <c r="CT20" s="221"/>
      <c r="CU20" s="221"/>
      <c r="CV20" s="221"/>
      <c r="CW20" s="221"/>
      <c r="CX20" s="221"/>
      <c r="CY20" s="221"/>
      <c r="CZ20" s="221"/>
      <c r="DA20" s="221"/>
      <c r="DB20" s="221"/>
      <c r="DC20" s="221"/>
      <c r="DD20" s="221"/>
      <c r="DE20" s="221"/>
      <c r="DF20" s="221"/>
      <c r="DG20" s="221"/>
      <c r="DH20" s="221"/>
      <c r="DI20" s="221"/>
      <c r="DJ20" s="221"/>
      <c r="DK20" s="221"/>
      <c r="DL20" s="221"/>
      <c r="DM20" s="221"/>
      <c r="DN20" s="221"/>
      <c r="DO20" s="221"/>
      <c r="DP20" s="221"/>
      <c r="DQ20" s="221"/>
      <c r="DR20" s="221"/>
      <c r="DS20" s="221"/>
      <c r="DT20" s="221"/>
      <c r="DU20" s="221"/>
      <c r="DV20" s="221"/>
      <c r="DW20" s="221"/>
      <c r="DX20" s="221"/>
      <c r="DY20" s="221"/>
      <c r="DZ20" s="221"/>
      <c r="EA20" s="221"/>
      <c r="EB20" s="221"/>
      <c r="EC20" s="221"/>
      <c r="ED20" s="221"/>
      <c r="EE20" s="221"/>
      <c r="EF20" s="221"/>
      <c r="EG20" s="221"/>
      <c r="EH20" s="221"/>
      <c r="EI20" s="221"/>
      <c r="EJ20" s="221"/>
      <c r="EK20" s="221"/>
      <c r="EL20" s="221"/>
      <c r="EM20" s="221"/>
      <c r="EN20" s="221"/>
      <c r="EO20" s="221"/>
      <c r="EP20" s="221"/>
      <c r="EQ20" s="221"/>
      <c r="ER20" s="221"/>
      <c r="ES20" s="221"/>
      <c r="ET20" s="221"/>
      <c r="EU20" s="221"/>
      <c r="EV20" s="221"/>
      <c r="EW20" s="221"/>
      <c r="EX20" s="221"/>
      <c r="EY20" s="221"/>
      <c r="EZ20" s="221"/>
      <c r="FA20" s="221"/>
      <c r="FB20" s="221"/>
      <c r="FC20" s="221"/>
      <c r="FD20" s="221"/>
      <c r="FE20" s="221"/>
      <c r="FF20" s="221"/>
      <c r="FG20" s="221"/>
      <c r="FH20" s="221"/>
      <c r="FI20" s="221"/>
      <c r="FJ20" s="221"/>
      <c r="FK20" s="221"/>
      <c r="FL20" s="221"/>
      <c r="FM20" s="221"/>
      <c r="FN20" s="221"/>
      <c r="FO20" s="221"/>
      <c r="FP20" s="221"/>
      <c r="FQ20" s="221"/>
      <c r="FR20" s="221"/>
      <c r="FS20" s="221"/>
      <c r="FT20" s="221"/>
      <c r="FU20" s="221"/>
      <c r="FV20" s="221"/>
      <c r="FW20" s="221"/>
      <c r="FX20" s="221"/>
      <c r="FY20" s="221"/>
      <c r="FZ20" s="221"/>
      <c r="GA20" s="221"/>
      <c r="GB20" s="221"/>
      <c r="GC20" s="221"/>
      <c r="GD20" s="24">
        <f t="shared" si="16"/>
        <v>0</v>
      </c>
      <c r="GE20" s="24">
        <f t="shared" si="17"/>
        <v>0</v>
      </c>
      <c r="GF20" s="24">
        <f t="shared" si="18"/>
        <v>0</v>
      </c>
      <c r="GG20" s="24">
        <f t="shared" si="19"/>
        <v>0</v>
      </c>
      <c r="GH20" s="24">
        <f t="shared" si="20"/>
        <v>0</v>
      </c>
      <c r="GI20" s="24">
        <f t="shared" si="21"/>
        <v>0</v>
      </c>
      <c r="GJ20" s="24">
        <f t="shared" si="22"/>
        <v>0</v>
      </c>
      <c r="GK20" s="24">
        <f t="shared" si="23"/>
        <v>0</v>
      </c>
      <c r="GL20" s="24">
        <f t="shared" si="24"/>
        <v>0</v>
      </c>
      <c r="GM20" s="24">
        <f t="shared" si="25"/>
        <v>0</v>
      </c>
      <c r="GN20" s="24">
        <f t="shared" si="26"/>
        <v>0</v>
      </c>
      <c r="GO20" s="24">
        <f t="shared" si="27"/>
        <v>0</v>
      </c>
      <c r="GP20" s="24">
        <f t="shared" si="28"/>
        <v>0</v>
      </c>
      <c r="GQ20" s="24">
        <f t="shared" si="29"/>
        <v>0</v>
      </c>
      <c r="GR20" s="24">
        <f t="shared" si="30"/>
        <v>0</v>
      </c>
    </row>
    <row r="21" spans="1:200" ht="14" customHeight="1" x14ac:dyDescent="0.35">
      <c r="A21" s="154" t="str">
        <f t="shared" si="15"/>
        <v>188mg LP</v>
      </c>
      <c r="B21" s="25" t="s">
        <v>376</v>
      </c>
      <c r="C21" s="12" t="s">
        <v>89</v>
      </c>
      <c r="D21" s="12" t="s">
        <v>103</v>
      </c>
      <c r="E21" s="21">
        <f>IFERROR(VLOOKUP(B21,'SKU Master'!A:P,6,0),0)</f>
        <v>0</v>
      </c>
      <c r="F21" s="221"/>
      <c r="G21" s="221"/>
      <c r="H21" s="221"/>
      <c r="I21" s="221"/>
      <c r="J21" s="221"/>
      <c r="K21" s="221"/>
      <c r="L21" s="221"/>
      <c r="M21" s="221"/>
      <c r="N21" s="221"/>
      <c r="O21" s="221"/>
      <c r="P21" s="221"/>
      <c r="Q21" s="221"/>
      <c r="R21" s="221"/>
      <c r="S21" s="221"/>
      <c r="T21" s="221"/>
      <c r="U21" s="221"/>
      <c r="V21" s="221"/>
      <c r="W21" s="221"/>
      <c r="X21" s="221"/>
      <c r="Y21" s="221"/>
      <c r="Z21" s="221"/>
      <c r="AA21" s="221"/>
      <c r="AB21" s="221"/>
      <c r="AC21" s="221"/>
      <c r="AD21" s="221"/>
      <c r="AE21" s="221"/>
      <c r="AF21" s="221"/>
      <c r="AG21" s="221"/>
      <c r="AH21" s="221"/>
      <c r="AI21" s="221"/>
      <c r="AJ21" s="221"/>
      <c r="AK21" s="221"/>
      <c r="AL21" s="221"/>
      <c r="AM21" s="221"/>
      <c r="AN21" s="221"/>
      <c r="AO21" s="221"/>
      <c r="AP21" s="221"/>
      <c r="AQ21" s="221"/>
      <c r="AR21" s="221"/>
      <c r="AS21" s="221"/>
      <c r="AT21" s="221"/>
      <c r="AU21" s="221"/>
      <c r="AV21" s="221"/>
      <c r="AW21" s="221"/>
      <c r="AX21" s="221"/>
      <c r="AY21" s="221"/>
      <c r="AZ21" s="221"/>
      <c r="BA21" s="221"/>
      <c r="BB21" s="221"/>
      <c r="BC21" s="221"/>
      <c r="BD21" s="221"/>
      <c r="BE21" s="221"/>
      <c r="BF21" s="221"/>
      <c r="BG21" s="221"/>
      <c r="BH21" s="221"/>
      <c r="BI21" s="221"/>
      <c r="BJ21" s="221"/>
      <c r="BK21" s="221"/>
      <c r="BL21" s="221"/>
      <c r="BM21" s="221"/>
      <c r="BN21" s="221"/>
      <c r="BO21" s="221"/>
      <c r="BP21" s="221"/>
      <c r="BQ21" s="221"/>
      <c r="BR21" s="221"/>
      <c r="BS21" s="221"/>
      <c r="BT21" s="221"/>
      <c r="BU21" s="221"/>
      <c r="BV21" s="221"/>
      <c r="BW21" s="221"/>
      <c r="BX21" s="221"/>
      <c r="BY21" s="221"/>
      <c r="BZ21" s="221"/>
      <c r="CA21" s="221"/>
      <c r="CB21" s="221"/>
      <c r="CC21" s="221"/>
      <c r="CD21" s="221"/>
      <c r="CE21" s="221"/>
      <c r="CF21" s="221"/>
      <c r="CG21" s="221"/>
      <c r="CH21" s="221"/>
      <c r="CI21" s="221"/>
      <c r="CJ21" s="221"/>
      <c r="CK21" s="221"/>
      <c r="CL21" s="221"/>
      <c r="CM21" s="221"/>
      <c r="CN21" s="221"/>
      <c r="CO21" s="221"/>
      <c r="CP21" s="221"/>
      <c r="CQ21" s="221"/>
      <c r="CR21" s="221"/>
      <c r="CS21" s="221"/>
      <c r="CT21" s="221"/>
      <c r="CU21" s="221"/>
      <c r="CV21" s="221"/>
      <c r="CW21" s="221"/>
      <c r="CX21" s="221"/>
      <c r="CY21" s="221"/>
      <c r="CZ21" s="221"/>
      <c r="DA21" s="221"/>
      <c r="DB21" s="221"/>
      <c r="DC21" s="221"/>
      <c r="DD21" s="221"/>
      <c r="DE21" s="221"/>
      <c r="DF21" s="221"/>
      <c r="DG21" s="221"/>
      <c r="DH21" s="221"/>
      <c r="DI21" s="221"/>
      <c r="DJ21" s="221"/>
      <c r="DK21" s="221"/>
      <c r="DL21" s="221"/>
      <c r="DM21" s="221"/>
      <c r="DN21" s="221"/>
      <c r="DO21" s="221"/>
      <c r="DP21" s="221"/>
      <c r="DQ21" s="221"/>
      <c r="DR21" s="221"/>
      <c r="DS21" s="221"/>
      <c r="DT21" s="221"/>
      <c r="DU21" s="221"/>
      <c r="DV21" s="221"/>
      <c r="DW21" s="221"/>
      <c r="DX21" s="221"/>
      <c r="DY21" s="221"/>
      <c r="DZ21" s="221"/>
      <c r="EA21" s="221"/>
      <c r="EB21" s="221"/>
      <c r="EC21" s="221"/>
      <c r="ED21" s="221"/>
      <c r="EE21" s="221"/>
      <c r="EF21" s="221"/>
      <c r="EG21" s="221"/>
      <c r="EH21" s="221"/>
      <c r="EI21" s="221"/>
      <c r="EJ21" s="221"/>
      <c r="EK21" s="221"/>
      <c r="EL21" s="221"/>
      <c r="EM21" s="221"/>
      <c r="EN21" s="221"/>
      <c r="EO21" s="221"/>
      <c r="EP21" s="221"/>
      <c r="EQ21" s="221"/>
      <c r="ER21" s="221"/>
      <c r="ES21" s="221"/>
      <c r="ET21" s="221"/>
      <c r="EU21" s="221"/>
      <c r="EV21" s="221"/>
      <c r="EW21" s="221"/>
      <c r="EX21" s="221"/>
      <c r="EY21" s="221"/>
      <c r="EZ21" s="221"/>
      <c r="FA21" s="221"/>
      <c r="FB21" s="221"/>
      <c r="FC21" s="221"/>
      <c r="FD21" s="221"/>
      <c r="FE21" s="221"/>
      <c r="FF21" s="221"/>
      <c r="FG21" s="221"/>
      <c r="FH21" s="221"/>
      <c r="FI21" s="221"/>
      <c r="FJ21" s="221"/>
      <c r="FK21" s="221"/>
      <c r="FL21" s="221"/>
      <c r="FM21" s="221"/>
      <c r="FN21" s="221"/>
      <c r="FO21" s="221"/>
      <c r="FP21" s="221"/>
      <c r="FQ21" s="221"/>
      <c r="FR21" s="221"/>
      <c r="FS21" s="221"/>
      <c r="FT21" s="221"/>
      <c r="FU21" s="221"/>
      <c r="FV21" s="221"/>
      <c r="FW21" s="221"/>
      <c r="FX21" s="221"/>
      <c r="FY21" s="221"/>
      <c r="FZ21" s="221"/>
      <c r="GA21" s="221"/>
      <c r="GB21" s="221"/>
      <c r="GC21" s="221"/>
      <c r="GD21" s="24">
        <f t="shared" si="0"/>
        <v>0</v>
      </c>
      <c r="GE21" s="24">
        <f t="shared" si="1"/>
        <v>0</v>
      </c>
      <c r="GF21" s="24">
        <f t="shared" si="2"/>
        <v>0</v>
      </c>
      <c r="GG21" s="24">
        <f t="shared" si="3"/>
        <v>0</v>
      </c>
      <c r="GH21" s="24">
        <f t="shared" si="4"/>
        <v>0</v>
      </c>
      <c r="GI21" s="24">
        <f t="shared" si="5"/>
        <v>0</v>
      </c>
      <c r="GJ21" s="24">
        <f t="shared" si="6"/>
        <v>0</v>
      </c>
      <c r="GK21" s="24">
        <f t="shared" si="7"/>
        <v>0</v>
      </c>
      <c r="GL21" s="24">
        <f t="shared" si="8"/>
        <v>0</v>
      </c>
      <c r="GM21" s="24">
        <f t="shared" si="9"/>
        <v>0</v>
      </c>
      <c r="GN21" s="24">
        <f t="shared" si="10"/>
        <v>0</v>
      </c>
      <c r="GO21" s="24">
        <f t="shared" si="11"/>
        <v>0</v>
      </c>
      <c r="GP21" s="24">
        <f t="shared" si="12"/>
        <v>0</v>
      </c>
      <c r="GQ21" s="24">
        <f t="shared" si="13"/>
        <v>0</v>
      </c>
      <c r="GR21" s="24">
        <f t="shared" si="14"/>
        <v>0</v>
      </c>
    </row>
    <row r="22" spans="1:200" ht="14" customHeight="1" x14ac:dyDescent="0.35">
      <c r="A22" s="154" t="str">
        <f t="shared" si="15"/>
        <v>188mg LP</v>
      </c>
      <c r="B22" s="22" t="s">
        <v>377</v>
      </c>
      <c r="C22" s="4" t="s">
        <v>94</v>
      </c>
      <c r="D22" s="4" t="s">
        <v>103</v>
      </c>
      <c r="E22" s="21">
        <f>IFERROR(VLOOKUP(B22,'SKU Master'!A:P,6,0),0)</f>
        <v>0</v>
      </c>
      <c r="F22" s="221"/>
      <c r="G22" s="221"/>
      <c r="H22" s="221"/>
      <c r="I22" s="221"/>
      <c r="J22" s="221"/>
      <c r="K22" s="221"/>
      <c r="L22" s="221"/>
      <c r="M22" s="221"/>
      <c r="N22" s="221"/>
      <c r="O22" s="221"/>
      <c r="P22" s="221"/>
      <c r="Q22" s="221"/>
      <c r="R22" s="221"/>
      <c r="S22" s="221"/>
      <c r="T22" s="221"/>
      <c r="U22" s="221"/>
      <c r="V22" s="221"/>
      <c r="W22" s="221"/>
      <c r="X22" s="221"/>
      <c r="Y22" s="221"/>
      <c r="Z22" s="221"/>
      <c r="AA22" s="221"/>
      <c r="AB22" s="221"/>
      <c r="AC22" s="221"/>
      <c r="AD22" s="221"/>
      <c r="AE22" s="221"/>
      <c r="AF22" s="221"/>
      <c r="AG22" s="221"/>
      <c r="AH22" s="221"/>
      <c r="AI22" s="221"/>
      <c r="AJ22" s="221"/>
      <c r="AK22" s="221"/>
      <c r="AL22" s="221"/>
      <c r="AM22" s="221"/>
      <c r="AN22" s="221"/>
      <c r="AO22" s="221"/>
      <c r="AP22" s="221"/>
      <c r="AQ22" s="221"/>
      <c r="AR22" s="221"/>
      <c r="AS22" s="221"/>
      <c r="AT22" s="221"/>
      <c r="AU22" s="221"/>
      <c r="AV22" s="221"/>
      <c r="AW22" s="221"/>
      <c r="AX22" s="221"/>
      <c r="AY22" s="221"/>
      <c r="AZ22" s="221"/>
      <c r="BA22" s="221"/>
      <c r="BB22" s="221"/>
      <c r="BC22" s="221"/>
      <c r="BD22" s="221"/>
      <c r="BE22" s="221"/>
      <c r="BF22" s="221"/>
      <c r="BG22" s="221"/>
      <c r="BH22" s="221"/>
      <c r="BI22" s="221"/>
      <c r="BJ22" s="221"/>
      <c r="BK22" s="221"/>
      <c r="BL22" s="221"/>
      <c r="BM22" s="221"/>
      <c r="BN22" s="221"/>
      <c r="BO22" s="221"/>
      <c r="BP22" s="221"/>
      <c r="BQ22" s="221"/>
      <c r="BR22" s="221"/>
      <c r="BS22" s="221"/>
      <c r="BT22" s="221"/>
      <c r="BU22" s="221"/>
      <c r="BV22" s="221"/>
      <c r="BW22" s="221"/>
      <c r="BX22" s="221"/>
      <c r="BY22" s="221"/>
      <c r="BZ22" s="221"/>
      <c r="CA22" s="221"/>
      <c r="CB22" s="221"/>
      <c r="CC22" s="221"/>
      <c r="CD22" s="221"/>
      <c r="CE22" s="221"/>
      <c r="CF22" s="221"/>
      <c r="CG22" s="221"/>
      <c r="CH22" s="221"/>
      <c r="CI22" s="221"/>
      <c r="CJ22" s="221"/>
      <c r="CK22" s="221"/>
      <c r="CL22" s="221"/>
      <c r="CM22" s="221"/>
      <c r="CN22" s="221"/>
      <c r="CO22" s="221"/>
      <c r="CP22" s="221"/>
      <c r="CQ22" s="221"/>
      <c r="CR22" s="221"/>
      <c r="CS22" s="221"/>
      <c r="CT22" s="221"/>
      <c r="CU22" s="221"/>
      <c r="CV22" s="221"/>
      <c r="CW22" s="221"/>
      <c r="CX22" s="221"/>
      <c r="CY22" s="221"/>
      <c r="CZ22" s="221"/>
      <c r="DA22" s="221"/>
      <c r="DB22" s="221"/>
      <c r="DC22" s="221"/>
      <c r="DD22" s="221"/>
      <c r="DE22" s="221"/>
      <c r="DF22" s="221"/>
      <c r="DG22" s="221"/>
      <c r="DH22" s="221"/>
      <c r="DI22" s="221"/>
      <c r="DJ22" s="221"/>
      <c r="DK22" s="221"/>
      <c r="DL22" s="221"/>
      <c r="DM22" s="221"/>
      <c r="DN22" s="221"/>
      <c r="DO22" s="221"/>
      <c r="DP22" s="221"/>
      <c r="DQ22" s="221"/>
      <c r="DR22" s="221"/>
      <c r="DS22" s="221"/>
      <c r="DT22" s="221"/>
      <c r="DU22" s="221"/>
      <c r="DV22" s="221"/>
      <c r="DW22" s="221"/>
      <c r="DX22" s="221"/>
      <c r="DY22" s="221"/>
      <c r="DZ22" s="221"/>
      <c r="EA22" s="221"/>
      <c r="EB22" s="221"/>
      <c r="EC22" s="221"/>
      <c r="ED22" s="221"/>
      <c r="EE22" s="221"/>
      <c r="EF22" s="221"/>
      <c r="EG22" s="221"/>
      <c r="EH22" s="221"/>
      <c r="EI22" s="221"/>
      <c r="EJ22" s="221"/>
      <c r="EK22" s="221"/>
      <c r="EL22" s="221"/>
      <c r="EM22" s="221"/>
      <c r="EN22" s="221"/>
      <c r="EO22" s="221"/>
      <c r="EP22" s="221"/>
      <c r="EQ22" s="221"/>
      <c r="ER22" s="221"/>
      <c r="ES22" s="221"/>
      <c r="ET22" s="221"/>
      <c r="EU22" s="221"/>
      <c r="EV22" s="221"/>
      <c r="EW22" s="221"/>
      <c r="EX22" s="221"/>
      <c r="EY22" s="221"/>
      <c r="EZ22" s="221"/>
      <c r="FA22" s="221"/>
      <c r="FB22" s="221"/>
      <c r="FC22" s="221"/>
      <c r="FD22" s="221"/>
      <c r="FE22" s="221"/>
      <c r="FF22" s="221"/>
      <c r="FG22" s="221"/>
      <c r="FH22" s="221"/>
      <c r="FI22" s="221"/>
      <c r="FJ22" s="221"/>
      <c r="FK22" s="221"/>
      <c r="FL22" s="221"/>
      <c r="FM22" s="221"/>
      <c r="FN22" s="221"/>
      <c r="FO22" s="221"/>
      <c r="FP22" s="221"/>
      <c r="FQ22" s="221"/>
      <c r="FR22" s="221"/>
      <c r="FS22" s="221"/>
      <c r="FT22" s="221"/>
      <c r="FU22" s="221"/>
      <c r="FV22" s="221"/>
      <c r="FW22" s="221"/>
      <c r="FX22" s="221"/>
      <c r="FY22" s="221"/>
      <c r="FZ22" s="221"/>
      <c r="GA22" s="221"/>
      <c r="GB22" s="221"/>
      <c r="GC22" s="221"/>
      <c r="GD22" s="24">
        <f t="shared" si="0"/>
        <v>0</v>
      </c>
      <c r="GE22" s="24">
        <f t="shared" si="1"/>
        <v>0</v>
      </c>
      <c r="GF22" s="24">
        <f t="shared" si="2"/>
        <v>0</v>
      </c>
      <c r="GG22" s="24">
        <f t="shared" si="3"/>
        <v>0</v>
      </c>
      <c r="GH22" s="24">
        <f t="shared" si="4"/>
        <v>0</v>
      </c>
      <c r="GI22" s="24">
        <f t="shared" si="5"/>
        <v>0</v>
      </c>
      <c r="GJ22" s="24">
        <f t="shared" si="6"/>
        <v>0</v>
      </c>
      <c r="GK22" s="24">
        <f t="shared" si="7"/>
        <v>0</v>
      </c>
      <c r="GL22" s="24">
        <f t="shared" si="8"/>
        <v>0</v>
      </c>
      <c r="GM22" s="24">
        <f t="shared" si="9"/>
        <v>0</v>
      </c>
      <c r="GN22" s="24">
        <f t="shared" si="10"/>
        <v>0</v>
      </c>
      <c r="GO22" s="24">
        <f t="shared" si="11"/>
        <v>0</v>
      </c>
      <c r="GP22" s="24">
        <f t="shared" si="12"/>
        <v>0</v>
      </c>
      <c r="GQ22" s="24">
        <f t="shared" si="13"/>
        <v>0</v>
      </c>
      <c r="GR22" s="24">
        <f t="shared" si="14"/>
        <v>0</v>
      </c>
    </row>
    <row r="23" spans="1:200" ht="18" customHeight="1" x14ac:dyDescent="0.35">
      <c r="A23" s="409" t="s">
        <v>26</v>
      </c>
      <c r="B23" s="26" t="s">
        <v>378</v>
      </c>
      <c r="C23" s="27" t="s">
        <v>379</v>
      </c>
      <c r="D23" s="27" t="s">
        <v>379</v>
      </c>
      <c r="E23" s="27" t="s">
        <v>380</v>
      </c>
      <c r="F23" s="28">
        <f>IF($E$5=1,F5,0)+IF($E$6=1,F6,0)+IF($E$7=1,F7,0)+IF($E$8=1,F8,0)+IF($F$1="Combined",F49,0)</f>
        <v>1660.603868886466</v>
      </c>
      <c r="G23" s="28">
        <f t="shared" ref="G23:BR23" si="31">IF($E$5=1,G5,0)+IF($E$6=1,G6,0)+IF($E$7=1,G7,0)+IF($E$8=1,G8,0)+IF($F$1="Combined",G49,0)</f>
        <v>1597.750505474781</v>
      </c>
      <c r="H23" s="28">
        <f t="shared" si="31"/>
        <v>2124.9921880618376</v>
      </c>
      <c r="I23" s="28">
        <f t="shared" si="31"/>
        <v>2053.6576284117737</v>
      </c>
      <c r="J23" s="28">
        <f t="shared" si="31"/>
        <v>1789.3498301935292</v>
      </c>
      <c r="K23" s="28">
        <f t="shared" si="31"/>
        <v>2101.9326546434804</v>
      </c>
      <c r="L23" s="28">
        <f t="shared" si="31"/>
        <v>2300.2239886063553</v>
      </c>
      <c r="M23" s="28">
        <f t="shared" si="31"/>
        <v>2156.5918919219398</v>
      </c>
      <c r="N23" s="28">
        <f t="shared" si="31"/>
        <v>2287.397516316053</v>
      </c>
      <c r="O23" s="28">
        <f t="shared" si="31"/>
        <v>2411.2846308610096</v>
      </c>
      <c r="P23" s="28">
        <f t="shared" si="31"/>
        <v>2102.2871252017048</v>
      </c>
      <c r="Q23" s="28">
        <f t="shared" si="31"/>
        <v>2931.4602227597193</v>
      </c>
      <c r="R23" s="28">
        <f t="shared" si="31"/>
        <v>2238.5979430491811</v>
      </c>
      <c r="S23" s="28">
        <f t="shared" si="31"/>
        <v>2525.5929800666936</v>
      </c>
      <c r="T23" s="28">
        <f t="shared" si="31"/>
        <v>3618.7106049950644</v>
      </c>
      <c r="U23" s="28">
        <f t="shared" si="31"/>
        <v>3306.2074884801073</v>
      </c>
      <c r="V23" s="28">
        <f t="shared" si="31"/>
        <v>3046.5446589714029</v>
      </c>
      <c r="W23" s="28">
        <f t="shared" si="31"/>
        <v>3690.4092931084087</v>
      </c>
      <c r="X23" s="28">
        <f t="shared" si="31"/>
        <v>3856.5826810063154</v>
      </c>
      <c r="Y23" s="28">
        <f t="shared" si="31"/>
        <v>4488.9609107204742</v>
      </c>
      <c r="Z23" s="28">
        <f t="shared" si="31"/>
        <v>4390.8676898315116</v>
      </c>
      <c r="AA23" s="28">
        <f t="shared" si="31"/>
        <v>4470.5850761545644</v>
      </c>
      <c r="AB23" s="28">
        <f t="shared" si="31"/>
        <v>4947.5609232171882</v>
      </c>
      <c r="AC23" s="28">
        <f t="shared" si="31"/>
        <v>6277.2442594367567</v>
      </c>
      <c r="AD23" s="28">
        <f t="shared" si="31"/>
        <v>5028.2403452700946</v>
      </c>
      <c r="AE23" s="28">
        <f t="shared" si="31"/>
        <v>6375.1433722913716</v>
      </c>
      <c r="AF23" s="28">
        <f t="shared" si="31"/>
        <v>8397.9412931950319</v>
      </c>
      <c r="AG23" s="28">
        <f t="shared" si="31"/>
        <v>6617.4277027717235</v>
      </c>
      <c r="AH23" s="28">
        <f t="shared" si="31"/>
        <v>8869.5561006615644</v>
      </c>
      <c r="AI23" s="28">
        <f t="shared" si="31"/>
        <v>8263.4961096135248</v>
      </c>
      <c r="AJ23" s="28">
        <f t="shared" si="31"/>
        <v>8112.2357642945672</v>
      </c>
      <c r="AK23" s="28">
        <f t="shared" si="31"/>
        <v>10852.914817644212</v>
      </c>
      <c r="AL23" s="28">
        <f t="shared" si="31"/>
        <v>8259.6592431022946</v>
      </c>
      <c r="AM23" s="28">
        <f t="shared" si="31"/>
        <v>9926.9778893556359</v>
      </c>
      <c r="AN23" s="28">
        <f t="shared" si="31"/>
        <v>9094.1021153869915</v>
      </c>
      <c r="AO23" s="28">
        <f t="shared" si="31"/>
        <v>9455.8897034058209</v>
      </c>
      <c r="AP23" s="28">
        <f t="shared" si="31"/>
        <v>10399.376703097714</v>
      </c>
      <c r="AQ23" s="28">
        <f t="shared" si="31"/>
        <v>8633.43340643991</v>
      </c>
      <c r="AR23" s="28">
        <f t="shared" si="31"/>
        <v>11698.43947969805</v>
      </c>
      <c r="AS23" s="28">
        <f t="shared" si="31"/>
        <v>10281.361155544804</v>
      </c>
      <c r="AT23" s="28">
        <f t="shared" si="31"/>
        <v>11558.047294338838</v>
      </c>
      <c r="AU23" s="28">
        <f t="shared" si="31"/>
        <v>9710.2972673691693</v>
      </c>
      <c r="AV23" s="28">
        <f t="shared" si="31"/>
        <v>11200.746895376578</v>
      </c>
      <c r="AW23" s="28">
        <f t="shared" si="31"/>
        <v>12925.351391310809</v>
      </c>
      <c r="AX23" s="28">
        <f t="shared" si="31"/>
        <v>8945.5607420650613</v>
      </c>
      <c r="AY23" s="28">
        <f t="shared" si="31"/>
        <v>12873.241468251274</v>
      </c>
      <c r="AZ23" s="28">
        <f t="shared" si="31"/>
        <v>10380.982334060835</v>
      </c>
      <c r="BA23" s="28">
        <f t="shared" si="31"/>
        <v>11061.929450169715</v>
      </c>
      <c r="BB23" s="28">
        <f t="shared" si="31"/>
        <v>12178.771389239186</v>
      </c>
      <c r="BC23" s="28">
        <f t="shared" si="31"/>
        <v>10151.054279299347</v>
      </c>
      <c r="BD23" s="28">
        <f t="shared" si="31"/>
        <v>12857.351659373258</v>
      </c>
      <c r="BE23" s="28">
        <f t="shared" si="31"/>
        <v>13625.060424707095</v>
      </c>
      <c r="BF23" s="28">
        <f t="shared" si="31"/>
        <v>13764.877213475218</v>
      </c>
      <c r="BG23" s="28">
        <f t="shared" si="31"/>
        <v>10904.157642449121</v>
      </c>
      <c r="BH23" s="28">
        <f t="shared" si="31"/>
        <v>15522.235490108971</v>
      </c>
      <c r="BI23" s="28">
        <f t="shared" si="31"/>
        <v>15088.42738239045</v>
      </c>
      <c r="BJ23" s="28">
        <f t="shared" si="31"/>
        <v>13221.849533993438</v>
      </c>
      <c r="BK23" s="28">
        <f t="shared" si="31"/>
        <v>16972.559291183326</v>
      </c>
      <c r="BL23" s="28">
        <f t="shared" si="31"/>
        <v>12911.737198879006</v>
      </c>
      <c r="BM23" s="28">
        <f t="shared" si="31"/>
        <v>17267.448749521587</v>
      </c>
      <c r="BN23" s="28">
        <f t="shared" si="31"/>
        <v>17098.763893882613</v>
      </c>
      <c r="BO23" s="28">
        <f t="shared" si="31"/>
        <v>14803.979864345692</v>
      </c>
      <c r="BP23" s="28">
        <f t="shared" si="31"/>
        <v>19236.375144980928</v>
      </c>
      <c r="BQ23" s="28">
        <f t="shared" si="31"/>
        <v>20580.299021664116</v>
      </c>
      <c r="BR23" s="28">
        <f t="shared" si="31"/>
        <v>19181.630624953432</v>
      </c>
      <c r="BS23" s="28">
        <f t="shared" ref="BS23:ED23" si="32">IF($E$5=1,BS5,0)+IF($E$6=1,BS6,0)+IF($E$7=1,BS7,0)+IF($E$8=1,BS8,0)+IF($F$1="Combined",BS49,0)</f>
        <v>18585.341673585677</v>
      </c>
      <c r="BT23" s="28">
        <f t="shared" si="32"/>
        <v>23099.861248685011</v>
      </c>
      <c r="BU23" s="28">
        <f t="shared" si="32"/>
        <v>20758.438539557646</v>
      </c>
      <c r="BV23" s="28">
        <f t="shared" si="32"/>
        <v>21775.369520488282</v>
      </c>
      <c r="BW23" s="28">
        <f t="shared" si="32"/>
        <v>24062.82345495222</v>
      </c>
      <c r="BX23" s="28">
        <f t="shared" si="32"/>
        <v>16220.019773091768</v>
      </c>
      <c r="BY23" s="28">
        <f t="shared" si="32"/>
        <v>26313.972639173018</v>
      </c>
      <c r="BZ23" s="28">
        <f t="shared" si="32"/>
        <v>20229.581100876891</v>
      </c>
      <c r="CA23" s="28">
        <f t="shared" si="32"/>
        <v>19647.071002106328</v>
      </c>
      <c r="CB23" s="28">
        <f t="shared" si="32"/>
        <v>28104.545886704265</v>
      </c>
      <c r="CC23" s="28">
        <f t="shared" si="32"/>
        <v>23928.444746743262</v>
      </c>
      <c r="CD23" s="28">
        <f t="shared" si="32"/>
        <v>20806.57969807808</v>
      </c>
      <c r="CE23" s="28">
        <f t="shared" si="32"/>
        <v>24143.021378824651</v>
      </c>
      <c r="CF23" s="28">
        <f t="shared" si="32"/>
        <v>23568.456155716736</v>
      </c>
      <c r="CG23" s="28">
        <f t="shared" si="32"/>
        <v>25709.910428696974</v>
      </c>
      <c r="CH23" s="28">
        <f t="shared" si="32"/>
        <v>23172.52563091425</v>
      </c>
      <c r="CI23" s="28">
        <f t="shared" si="32"/>
        <v>21861.504654971453</v>
      </c>
      <c r="CJ23" s="28">
        <f t="shared" si="32"/>
        <v>22471.305835527823</v>
      </c>
      <c r="CK23" s="28">
        <f t="shared" si="32"/>
        <v>26500.674645218191</v>
      </c>
      <c r="CL23" s="28">
        <f t="shared" si="32"/>
        <v>19152.896927292219</v>
      </c>
      <c r="CM23" s="28">
        <f t="shared" si="32"/>
        <v>21015.365641366225</v>
      </c>
      <c r="CN23" s="28">
        <f t="shared" si="32"/>
        <v>28949.266902361283</v>
      </c>
      <c r="CO23" s="28">
        <f t="shared" si="32"/>
        <v>22430.582756568845</v>
      </c>
      <c r="CP23" s="28">
        <f t="shared" si="32"/>
        <v>23841.868121835716</v>
      </c>
      <c r="CQ23" s="28">
        <f t="shared" si="32"/>
        <v>23880.229663403035</v>
      </c>
      <c r="CR23" s="28">
        <f t="shared" si="32"/>
        <v>21860.4439236371</v>
      </c>
      <c r="CS23" s="28">
        <f t="shared" si="32"/>
        <v>28673.490789305375</v>
      </c>
      <c r="CT23" s="28">
        <f t="shared" si="32"/>
        <v>22731.77557634905</v>
      </c>
      <c r="CU23" s="28">
        <f t="shared" si="32"/>
        <v>22074.022487854672</v>
      </c>
      <c r="CV23" s="28">
        <f t="shared" si="32"/>
        <v>22666.606608457892</v>
      </c>
      <c r="CW23" s="28">
        <f t="shared" si="32"/>
        <v>24625.663994139453</v>
      </c>
      <c r="CX23" s="28">
        <f t="shared" si="32"/>
        <v>21911.551880977477</v>
      </c>
      <c r="CY23" s="28">
        <f t="shared" si="32"/>
        <v>20478.495809013191</v>
      </c>
      <c r="CZ23" s="28">
        <f t="shared" si="32"/>
        <v>29139.542451731584</v>
      </c>
      <c r="DA23" s="28">
        <f t="shared" si="32"/>
        <v>20515.292959393824</v>
      </c>
      <c r="DB23" s="28">
        <f t="shared" si="32"/>
        <v>26616.718819445807</v>
      </c>
      <c r="DC23" s="28">
        <f t="shared" si="32"/>
        <v>23339.873443094217</v>
      </c>
      <c r="DD23" s="28">
        <f t="shared" si="32"/>
        <v>21998.918490728127</v>
      </c>
      <c r="DE23" s="28">
        <f t="shared" si="32"/>
        <v>28851.325819146528</v>
      </c>
      <c r="DF23" s="28">
        <f t="shared" si="32"/>
        <v>20792.650017376982</v>
      </c>
      <c r="DG23" s="28">
        <f t="shared" si="32"/>
        <v>24867.081232876804</v>
      </c>
      <c r="DH23" s="28">
        <f t="shared" si="32"/>
        <v>22125.328846607801</v>
      </c>
      <c r="DI23" s="28">
        <f t="shared" si="32"/>
        <v>22723.353871987565</v>
      </c>
      <c r="DJ23" s="28">
        <f t="shared" si="32"/>
        <v>24696.613027369116</v>
      </c>
      <c r="DK23" s="28">
        <f t="shared" si="32"/>
        <v>19939.100652745656</v>
      </c>
      <c r="DL23" s="28">
        <f t="shared" si="32"/>
        <v>27258.45778069026</v>
      </c>
      <c r="DM23" s="28">
        <f t="shared" si="32"/>
        <v>23313.619357976706</v>
      </c>
      <c r="DN23" s="28">
        <f t="shared" si="32"/>
        <v>26137.511185381281</v>
      </c>
      <c r="DO23" s="28">
        <f t="shared" si="32"/>
        <v>21448.289430601479</v>
      </c>
      <c r="DP23" s="28">
        <f t="shared" si="32"/>
        <v>24823.576438107171</v>
      </c>
      <c r="DQ23" s="28">
        <f t="shared" si="32"/>
        <v>28402.449968055225</v>
      </c>
      <c r="DR23" s="28">
        <f t="shared" si="32"/>
        <v>18895.296065638711</v>
      </c>
      <c r="DS23" s="28">
        <f t="shared" si="32"/>
        <v>27745.59375523364</v>
      </c>
      <c r="DT23" s="28">
        <f t="shared" si="32"/>
        <v>21622.080914936072</v>
      </c>
      <c r="DU23" s="28">
        <f t="shared" si="32"/>
        <v>22927.921398560411</v>
      </c>
      <c r="DV23" s="28">
        <f t="shared" si="32"/>
        <v>24919.5491188573</v>
      </c>
      <c r="DW23" s="28">
        <f t="shared" si="32"/>
        <v>22181.203155819028</v>
      </c>
      <c r="DX23" s="28">
        <f t="shared" si="32"/>
        <v>24865.748411227418</v>
      </c>
      <c r="DY23" s="28">
        <f t="shared" si="32"/>
        <v>26322.433355890313</v>
      </c>
      <c r="DZ23" s="28">
        <f t="shared" si="32"/>
        <v>23694.930394993389</v>
      </c>
      <c r="EA23" s="28">
        <f t="shared" si="32"/>
        <v>22336.31813442173</v>
      </c>
      <c r="EB23" s="28">
        <f t="shared" si="32"/>
        <v>27150.974211810637</v>
      </c>
      <c r="EC23" s="28">
        <f t="shared" si="32"/>
        <v>23810.796458901594</v>
      </c>
      <c r="ED23" s="28">
        <f t="shared" si="32"/>
        <v>24550.180252652164</v>
      </c>
      <c r="EE23" s="28">
        <f t="shared" ref="EE23:GP23" si="33">IF($E$5=1,EE5,0)+IF($E$6=1,EE6,0)+IF($E$7=1,EE7,0)+IF($E$8=1,EE8,0)+IF($F$1="Combined",EE49,0)</f>
        <v>26721.009294803473</v>
      </c>
      <c r="EF23" s="28">
        <f t="shared" si="33"/>
        <v>17738.584162178347</v>
      </c>
      <c r="EG23" s="28">
        <f t="shared" si="33"/>
        <v>28581.190662175097</v>
      </c>
      <c r="EH23" s="28">
        <f t="shared" si="33"/>
        <v>21731.993442591658</v>
      </c>
      <c r="EI23" s="28">
        <f t="shared" si="33"/>
        <v>20969.159246095158</v>
      </c>
      <c r="EJ23" s="28">
        <f t="shared" si="33"/>
        <v>27702.328031178353</v>
      </c>
      <c r="EK23" s="28">
        <f t="shared" si="33"/>
        <v>25810.632578366407</v>
      </c>
      <c r="EL23" s="28">
        <f t="shared" si="33"/>
        <v>21751.643648821675</v>
      </c>
      <c r="EM23" s="28">
        <f t="shared" si="33"/>
        <v>25170.094885486575</v>
      </c>
      <c r="EN23" s="28">
        <f t="shared" si="33"/>
        <v>26637.540807431713</v>
      </c>
      <c r="EO23" s="28">
        <f t="shared" si="33"/>
        <v>20425.839432955188</v>
      </c>
      <c r="EP23" s="28">
        <f t="shared" si="33"/>
        <v>19445.654103872188</v>
      </c>
      <c r="EQ23" s="28">
        <f t="shared" si="33"/>
        <v>17788.284272466728</v>
      </c>
      <c r="ER23" s="28">
        <f t="shared" si="33"/>
        <v>13310.594300415654</v>
      </c>
      <c r="ES23" s="28">
        <f t="shared" si="33"/>
        <v>16993.960059672936</v>
      </c>
      <c r="ET23" s="28">
        <f t="shared" si="33"/>
        <v>10552.622516743824</v>
      </c>
      <c r="EU23" s="28">
        <f t="shared" si="33"/>
        <v>10705.386794265209</v>
      </c>
      <c r="EV23" s="28">
        <f t="shared" si="33"/>
        <v>13610.850914488467</v>
      </c>
      <c r="EW23" s="28">
        <f t="shared" si="33"/>
        <v>10207.216231924358</v>
      </c>
      <c r="EX23" s="28">
        <f t="shared" si="33"/>
        <v>7918.2211085125136</v>
      </c>
      <c r="EY23" s="28">
        <f t="shared" si="33"/>
        <v>8395.9979704862744</v>
      </c>
      <c r="EZ23" s="28">
        <f t="shared" si="33"/>
        <v>7301.5752853739978</v>
      </c>
      <c r="FA23" s="28">
        <f t="shared" si="33"/>
        <v>7153.0325754834703</v>
      </c>
      <c r="FB23" s="28">
        <f t="shared" si="33"/>
        <v>5667.5465319748319</v>
      </c>
      <c r="FC23" s="28">
        <f t="shared" si="33"/>
        <v>4730.1410937415039</v>
      </c>
      <c r="FD23" s="28">
        <f t="shared" si="33"/>
        <v>4313.2946070097005</v>
      </c>
      <c r="FE23" s="28">
        <f t="shared" si="33"/>
        <v>4514.7263857468588</v>
      </c>
      <c r="FF23" s="28">
        <f t="shared" si="33"/>
        <v>2719.1856722663092</v>
      </c>
      <c r="FG23" s="28">
        <f t="shared" si="33"/>
        <v>2639.2963760676057</v>
      </c>
      <c r="FH23" s="28">
        <f t="shared" si="33"/>
        <v>3187.5286933461284</v>
      </c>
      <c r="FI23" s="28">
        <f t="shared" si="33"/>
        <v>1971.1197346902472</v>
      </c>
      <c r="FJ23" s="28">
        <f t="shared" si="33"/>
        <v>1753.9326600935019</v>
      </c>
      <c r="FK23" s="28">
        <f t="shared" si="33"/>
        <v>1401.9377186763129</v>
      </c>
      <c r="FL23" s="28">
        <f t="shared" si="33"/>
        <v>965.49079082246681</v>
      </c>
      <c r="FM23" s="28">
        <f t="shared" si="33"/>
        <v>1468.1648860837349</v>
      </c>
      <c r="FN23" s="28">
        <f t="shared" si="33"/>
        <v>1181.2824945204629</v>
      </c>
      <c r="FO23" s="28">
        <f t="shared" si="33"/>
        <v>1147.1320124520287</v>
      </c>
      <c r="FP23" s="28">
        <f t="shared" si="33"/>
        <v>1177.9135886665074</v>
      </c>
      <c r="FQ23" s="28">
        <f t="shared" si="33"/>
        <v>1279.7322834546603</v>
      </c>
      <c r="FR23" s="28">
        <f t="shared" si="33"/>
        <v>1138.9576788600573</v>
      </c>
      <c r="FS23" s="28">
        <f t="shared" si="33"/>
        <v>1169.8961359225343</v>
      </c>
      <c r="FT23" s="28">
        <f t="shared" si="33"/>
        <v>1378.8288618180768</v>
      </c>
      <c r="FU23" s="28">
        <f t="shared" si="33"/>
        <v>1209.3112218968054</v>
      </c>
      <c r="FV23" s="28">
        <f t="shared" si="33"/>
        <v>1355.3443358836835</v>
      </c>
      <c r="FW23" s="28">
        <f t="shared" si="33"/>
        <v>1111.9279322943755</v>
      </c>
      <c r="FX23" s="28">
        <f t="shared" si="33"/>
        <v>1286.3992541880161</v>
      </c>
      <c r="FY23" s="28">
        <f t="shared" si="33"/>
        <v>1471.286246445909</v>
      </c>
      <c r="FZ23" s="28">
        <f t="shared" si="33"/>
        <v>978.64776496878005</v>
      </c>
      <c r="GA23" s="28">
        <f t="shared" si="33"/>
        <v>1436.3511332697394</v>
      </c>
      <c r="GB23" s="28">
        <f t="shared" si="33"/>
        <v>1119.038651852821</v>
      </c>
      <c r="GC23" s="28">
        <f t="shared" si="33"/>
        <v>1186.1865833475913</v>
      </c>
      <c r="GD23" s="28">
        <f t="shared" si="33"/>
        <v>23856.928182452186</v>
      </c>
      <c r="GE23" s="28">
        <f t="shared" si="33"/>
        <v>46857.864509037667</v>
      </c>
      <c r="GF23" s="28">
        <f t="shared" si="33"/>
        <v>99253.58445699283</v>
      </c>
      <c r="GG23" s="28">
        <f t="shared" si="33"/>
        <v>129668.76758772274</v>
      </c>
      <c r="GH23" s="28">
        <f t="shared" si="33"/>
        <v>164465.53025462001</v>
      </c>
      <c r="GI23" s="28">
        <f t="shared" si="33"/>
        <v>241716.87539936038</v>
      </c>
      <c r="GJ23" s="28">
        <f t="shared" si="33"/>
        <v>280143.62116437888</v>
      </c>
      <c r="GK23" s="28">
        <f t="shared" si="33"/>
        <v>281902.21339257085</v>
      </c>
      <c r="GL23" s="28">
        <f t="shared" si="33"/>
        <v>283360.13364237989</v>
      </c>
      <c r="GM23" s="28">
        <f t="shared" si="33"/>
        <v>287210.50997529575</v>
      </c>
      <c r="GN23" s="28">
        <f t="shared" si="33"/>
        <v>292872.91761373053</v>
      </c>
      <c r="GO23" s="28">
        <f t="shared" si="33"/>
        <v>257737.7248093542</v>
      </c>
      <c r="GP23" s="28">
        <f t="shared" si="33"/>
        <v>95070.612015750987</v>
      </c>
      <c r="GQ23" s="28">
        <f t="shared" ref="GQ23:GR23" si="34">IF($E$5=1,GQ5,0)+IF($E$6=1,GQ6,0)+IF($E$7=1,GQ7,0)+IF($E$8=1,GQ8,0)+IF($F$1="Combined",GQ49,0)</f>
        <v>20892.716911139967</v>
      </c>
      <c r="GR23" s="28">
        <f t="shared" si="34"/>
        <v>14842.175800748388</v>
      </c>
    </row>
    <row r="25" spans="1:200" ht="22" customHeight="1" x14ac:dyDescent="0.35">
      <c r="A25" s="404" t="s">
        <v>381</v>
      </c>
      <c r="B25" s="395"/>
      <c r="C25" s="395"/>
      <c r="D25" s="395"/>
      <c r="E25" s="395"/>
      <c r="F25" s="395"/>
      <c r="G25" s="395"/>
      <c r="H25" s="395"/>
      <c r="I25" s="395"/>
      <c r="J25" s="395"/>
      <c r="K25" s="395"/>
      <c r="L25" s="395"/>
      <c r="M25" s="395"/>
      <c r="N25" s="395"/>
      <c r="O25" s="395"/>
      <c r="P25" s="395"/>
      <c r="Q25" s="395"/>
      <c r="R25" s="395"/>
      <c r="S25" s="395"/>
      <c r="T25" s="395"/>
      <c r="U25" s="395"/>
      <c r="V25" s="395"/>
      <c r="W25" s="395"/>
      <c r="X25" s="395"/>
      <c r="Y25" s="395"/>
      <c r="Z25" s="395"/>
      <c r="AA25" s="395"/>
      <c r="AB25" s="395"/>
      <c r="AC25" s="395"/>
      <c r="AD25" s="395"/>
      <c r="AE25" s="395"/>
      <c r="AF25" s="395"/>
      <c r="AG25" s="395"/>
      <c r="AH25" s="395"/>
      <c r="AI25" s="395"/>
      <c r="AJ25" s="395"/>
      <c r="AK25" s="395"/>
      <c r="AL25" s="395"/>
      <c r="AM25" s="395"/>
      <c r="AN25" s="395"/>
      <c r="AO25" s="395"/>
      <c r="AP25" s="395"/>
      <c r="AQ25" s="395"/>
      <c r="AR25" s="395"/>
      <c r="AS25" s="395"/>
      <c r="AT25" s="395"/>
      <c r="AU25" s="395"/>
      <c r="AV25" s="395"/>
      <c r="AW25" s="395"/>
      <c r="AX25" s="395"/>
      <c r="AY25" s="395"/>
      <c r="AZ25" s="395"/>
      <c r="BA25" s="395"/>
      <c r="BB25" s="395"/>
      <c r="BC25" s="395"/>
      <c r="BD25" s="395"/>
      <c r="BE25" s="395"/>
      <c r="BF25" s="395"/>
      <c r="BG25" s="395"/>
      <c r="BH25" s="395"/>
      <c r="BI25" s="395"/>
      <c r="BJ25" s="395"/>
      <c r="BK25" s="395"/>
      <c r="BL25" s="395"/>
      <c r="BM25" s="395"/>
      <c r="BN25" s="395"/>
      <c r="BO25" s="395"/>
      <c r="BP25" s="395"/>
      <c r="BQ25" s="395"/>
      <c r="BR25" s="395"/>
      <c r="BS25" s="395"/>
      <c r="BT25" s="395"/>
      <c r="BU25" s="395"/>
      <c r="BV25" s="395"/>
      <c r="BW25" s="395"/>
      <c r="BX25" s="395"/>
      <c r="BY25" s="395"/>
      <c r="BZ25" s="395"/>
      <c r="CA25" s="395"/>
      <c r="CB25" s="395"/>
      <c r="CC25" s="395"/>
      <c r="CD25" s="395"/>
      <c r="CE25" s="395"/>
      <c r="CF25" s="395"/>
      <c r="CG25" s="395"/>
      <c r="CH25" s="395"/>
      <c r="CI25" s="395"/>
      <c r="CJ25" s="395"/>
      <c r="CK25" s="395"/>
      <c r="CL25" s="395"/>
      <c r="CM25" s="395"/>
      <c r="CN25" s="395"/>
      <c r="CO25" s="395"/>
      <c r="CP25" s="395"/>
      <c r="CQ25" s="395"/>
      <c r="CR25" s="395"/>
      <c r="CS25" s="395"/>
      <c r="CT25" s="395"/>
      <c r="CU25" s="395"/>
      <c r="CV25" s="395"/>
      <c r="CW25" s="395"/>
      <c r="CX25" s="395"/>
      <c r="CY25" s="395"/>
      <c r="CZ25" s="395"/>
      <c r="DA25" s="395"/>
      <c r="DB25" s="395"/>
      <c r="DC25" s="395"/>
      <c r="DD25" s="395"/>
      <c r="DE25" s="395"/>
      <c r="DF25" s="395"/>
      <c r="DG25" s="395"/>
      <c r="DH25" s="395"/>
      <c r="DI25" s="395"/>
      <c r="DJ25" s="395"/>
      <c r="DK25" s="395"/>
      <c r="DL25" s="395"/>
      <c r="DM25" s="395"/>
      <c r="DN25" s="395"/>
      <c r="DO25" s="395"/>
      <c r="DP25" s="395"/>
      <c r="DQ25" s="395"/>
      <c r="DR25" s="395"/>
      <c r="DS25" s="395"/>
      <c r="DT25" s="395"/>
      <c r="DU25" s="395"/>
      <c r="DV25" s="395"/>
      <c r="DW25" s="395"/>
      <c r="DX25" s="395"/>
      <c r="DY25" s="395"/>
      <c r="DZ25" s="395"/>
      <c r="EA25" s="395"/>
      <c r="EB25" s="395"/>
      <c r="EC25" s="395"/>
      <c r="ED25" s="395"/>
      <c r="EE25" s="395"/>
      <c r="EF25" s="395"/>
      <c r="EG25" s="395"/>
      <c r="EH25" s="395"/>
      <c r="EI25" s="395"/>
      <c r="EJ25" s="395"/>
      <c r="EK25" s="395"/>
      <c r="EL25" s="395"/>
      <c r="EM25" s="395"/>
      <c r="EN25" s="395"/>
      <c r="EO25" s="395"/>
      <c r="EP25" s="395"/>
      <c r="EQ25" s="395"/>
      <c r="ER25" s="395"/>
      <c r="ES25" s="395"/>
      <c r="ET25" s="395"/>
      <c r="EU25" s="395"/>
      <c r="EV25" s="395"/>
      <c r="EW25" s="395"/>
      <c r="EX25" s="395"/>
      <c r="EY25" s="395"/>
      <c r="EZ25" s="395"/>
      <c r="FA25" s="395"/>
      <c r="FB25" s="395"/>
      <c r="FC25" s="395"/>
      <c r="FD25" s="395"/>
      <c r="FE25" s="395"/>
      <c r="FF25" s="395"/>
      <c r="FG25" s="395"/>
      <c r="FH25" s="395"/>
      <c r="FI25" s="395"/>
      <c r="FJ25" s="395"/>
      <c r="FK25" s="395"/>
      <c r="FL25" s="395"/>
      <c r="FM25" s="395"/>
      <c r="FN25" s="395"/>
      <c r="FO25" s="395"/>
      <c r="FP25" s="395"/>
      <c r="FQ25" s="395"/>
      <c r="FR25" s="395"/>
      <c r="FS25" s="395"/>
      <c r="FT25" s="395"/>
      <c r="FU25" s="395"/>
      <c r="FV25" s="395"/>
      <c r="FW25" s="395"/>
      <c r="FX25" s="395"/>
      <c r="FY25" s="395"/>
      <c r="FZ25" s="395"/>
      <c r="GA25" s="395"/>
      <c r="GB25" s="395"/>
      <c r="GC25" s="395"/>
      <c r="GD25" s="395"/>
      <c r="GE25" s="395"/>
      <c r="GF25" s="395"/>
      <c r="GG25" s="395"/>
      <c r="GH25" s="395"/>
      <c r="GI25" s="395"/>
      <c r="GJ25" s="395"/>
      <c r="GK25" s="395"/>
      <c r="GL25" s="395"/>
      <c r="GM25" s="395"/>
      <c r="GN25" s="395"/>
      <c r="GO25" s="395"/>
      <c r="GP25" s="395"/>
      <c r="GQ25" s="395"/>
    </row>
    <row r="26" spans="1:200" ht="14" customHeight="1" x14ac:dyDescent="0.35">
      <c r="A26" s="2" t="s">
        <v>35</v>
      </c>
      <c r="B26" s="22" t="s">
        <v>95</v>
      </c>
      <c r="C26" s="4" t="s">
        <v>75</v>
      </c>
      <c r="D26" s="4" t="s">
        <v>76</v>
      </c>
      <c r="E26" s="21">
        <f>IFERROR(VLOOKUP(B26,'SKU Master'!A:P,6,0),0)</f>
        <v>1</v>
      </c>
      <c r="F26" s="221">
        <v>735.28479123500347</v>
      </c>
      <c r="G26" s="221">
        <v>842.59859910549494</v>
      </c>
      <c r="H26" s="221">
        <v>1120.6477072832886</v>
      </c>
      <c r="I26" s="221">
        <v>1083.0283168822245</v>
      </c>
      <c r="J26" s="221">
        <v>943.64148536614266</v>
      </c>
      <c r="K26" s="221">
        <v>1108.4869033982282</v>
      </c>
      <c r="L26" s="221">
        <v>1213.0589248993151</v>
      </c>
      <c r="M26" s="221">
        <v>1137.3123029842027</v>
      </c>
      <c r="N26" s="221">
        <v>1206.2946850844983</v>
      </c>
      <c r="O26" s="221">
        <v>1249.880523870956</v>
      </c>
      <c r="P26" s="221">
        <v>1083.7400006718806</v>
      </c>
      <c r="Q26" s="221">
        <v>1500.3666488603367</v>
      </c>
      <c r="R26" s="221">
        <v>1135.0946598408959</v>
      </c>
      <c r="S26" s="221">
        <v>1265.2480423374886</v>
      </c>
      <c r="T26" s="221">
        <v>1785.0256636682575</v>
      </c>
      <c r="U26" s="221">
        <v>1599.1654915969036</v>
      </c>
      <c r="V26" s="221">
        <v>1437.783369154369</v>
      </c>
      <c r="W26" s="221">
        <v>1689.6859486139838</v>
      </c>
      <c r="X26" s="221">
        <v>1702.3361988379311</v>
      </c>
      <c r="Y26" s="221">
        <v>1897.7758658822281</v>
      </c>
      <c r="Z26" s="221">
        <v>1766.6002344802721</v>
      </c>
      <c r="AA26" s="221">
        <v>1702.2509389771853</v>
      </c>
      <c r="AB26" s="221">
        <v>1775.5446727404119</v>
      </c>
      <c r="AC26" s="221">
        <v>2118.6620245306513</v>
      </c>
      <c r="AD26" s="221">
        <v>1596.3322644634011</v>
      </c>
      <c r="AE26" s="221">
        <v>1908.3442506650085</v>
      </c>
      <c r="AF26" s="221">
        <v>2380.5685998263998</v>
      </c>
      <c r="AG26" s="221">
        <v>1786.5457024005138</v>
      </c>
      <c r="AH26" s="221">
        <v>2295.2795513617043</v>
      </c>
      <c r="AI26" s="221">
        <v>2063.2702433365603</v>
      </c>
      <c r="AJ26" s="221">
        <v>1966.5271742003206</v>
      </c>
      <c r="AK26" s="221">
        <v>2568.6926229202791</v>
      </c>
      <c r="AL26" s="221">
        <v>1917.9703995836271</v>
      </c>
      <c r="AM26" s="221">
        <v>2270.7776347505092</v>
      </c>
      <c r="AN26" s="221">
        <v>2056.056371423243</v>
      </c>
      <c r="AO26" s="221">
        <v>2118.5973124078023</v>
      </c>
      <c r="AP26" s="221">
        <v>2311.2963685839554</v>
      </c>
      <c r="AQ26" s="221">
        <v>1906.3830869014228</v>
      </c>
      <c r="AR26" s="221">
        <v>2569.624414976051</v>
      </c>
      <c r="AS26" s="221">
        <v>2247.3921984127564</v>
      </c>
      <c r="AT26" s="221">
        <v>2515.4055338303806</v>
      </c>
      <c r="AU26" s="221">
        <v>2104.0079837130647</v>
      </c>
      <c r="AV26" s="221">
        <v>2416.1307935673494</v>
      </c>
      <c r="AW26" s="221">
        <v>2773.0474558284996</v>
      </c>
      <c r="AX26" s="221">
        <v>1907.8569283851898</v>
      </c>
      <c r="AY26" s="221">
        <v>2725.8291495036819</v>
      </c>
      <c r="AZ26" s="221">
        <v>2178.9311568838993</v>
      </c>
      <c r="BA26" s="221">
        <v>2299.4466043012399</v>
      </c>
      <c r="BB26" s="221">
        <v>2500.7797791226603</v>
      </c>
      <c r="BC26" s="221">
        <v>2056.6806419297573</v>
      </c>
      <c r="BD26" s="221">
        <v>2562.4321879853014</v>
      </c>
      <c r="BE26" s="221">
        <v>2662.3764512186508</v>
      </c>
      <c r="BF26" s="221">
        <v>2632.4953157588525</v>
      </c>
      <c r="BG26" s="221">
        <v>2044.8409127531215</v>
      </c>
      <c r="BH26" s="221">
        <v>2830.398953868963</v>
      </c>
      <c r="BI26" s="221">
        <v>2676.842656220756</v>
      </c>
      <c r="BJ26" s="221">
        <v>2284.8343706433307</v>
      </c>
      <c r="BK26" s="221">
        <v>2829.3069568907181</v>
      </c>
      <c r="BL26" s="221">
        <v>2098.9263788887024</v>
      </c>
      <c r="BM26" s="221">
        <v>2689.4396643617392</v>
      </c>
      <c r="BN26" s="221">
        <v>2575.2630097438123</v>
      </c>
      <c r="BO26" s="221">
        <v>2165.3690312149097</v>
      </c>
      <c r="BP26" s="221">
        <v>2692.235690252066</v>
      </c>
      <c r="BQ26" s="221">
        <v>2790.105913127949</v>
      </c>
      <c r="BR26" s="221">
        <v>2536.6077111498016</v>
      </c>
      <c r="BS26" s="221">
        <v>2395.9737144532373</v>
      </c>
      <c r="BT26" s="221">
        <v>2882.5967852364101</v>
      </c>
      <c r="BU26" s="221">
        <v>2561.4984787289959</v>
      </c>
      <c r="BV26" s="221">
        <v>2633.6704796435533</v>
      </c>
      <c r="BW26" s="221">
        <v>2859.6091115266745</v>
      </c>
      <c r="BX26" s="221">
        <v>1952.3212425101642</v>
      </c>
      <c r="BY26" s="221">
        <v>3034.502496502033</v>
      </c>
      <c r="BZ26" s="221">
        <v>2364.689729040505</v>
      </c>
      <c r="CA26" s="221">
        <v>2274.1036385387979</v>
      </c>
      <c r="CB26" s="221">
        <v>3179.7511970940081</v>
      </c>
      <c r="CC26" s="221">
        <v>2740.468628634776</v>
      </c>
      <c r="CD26" s="221">
        <v>2388.379344425266</v>
      </c>
      <c r="CE26" s="221">
        <v>2729.1650322321461</v>
      </c>
      <c r="CF26" s="221">
        <v>2669.8106266665327</v>
      </c>
      <c r="CG26" s="221">
        <v>2897.2777761254483</v>
      </c>
      <c r="CH26" s="221">
        <v>2629.7616481416935</v>
      </c>
      <c r="CI26" s="221">
        <v>2480.5133675929806</v>
      </c>
      <c r="CJ26" s="221">
        <v>2537.4782750267377</v>
      </c>
      <c r="CK26" s="221">
        <v>2969.5363170629362</v>
      </c>
      <c r="CL26" s="221">
        <v>2196.3922930231411</v>
      </c>
      <c r="CM26" s="221">
        <v>2373.4067111277709</v>
      </c>
      <c r="CN26" s="221">
        <v>3225.4893675780777</v>
      </c>
      <c r="CO26" s="221">
        <v>2556.0610391904984</v>
      </c>
      <c r="CP26" s="221">
        <v>2694.1956434445397</v>
      </c>
      <c r="CQ26" s="221">
        <v>2699.6767735987369</v>
      </c>
      <c r="CR26" s="221">
        <v>2483.9839050088785</v>
      </c>
      <c r="CS26" s="221">
        <v>3211.0365768611364</v>
      </c>
      <c r="CT26" s="221">
        <v>2596.1780842240264</v>
      </c>
      <c r="CU26" s="221">
        <v>2512.0853255262296</v>
      </c>
      <c r="CV26" s="221">
        <v>2569.4025458338469</v>
      </c>
      <c r="CW26" s="221">
        <v>2781.7202463734448</v>
      </c>
      <c r="CX26" s="221">
        <v>2497.9780230892966</v>
      </c>
      <c r="CY26" s="221">
        <v>2336.8181012502182</v>
      </c>
      <c r="CZ26" s="221">
        <v>3265.6255715120924</v>
      </c>
      <c r="DA26" s="221">
        <v>2365.2528032884238</v>
      </c>
      <c r="DB26" s="221">
        <v>3003.6214303684683</v>
      </c>
      <c r="DC26" s="221">
        <v>2665.9572206608336</v>
      </c>
      <c r="DD26" s="221">
        <v>2514.8376033982031</v>
      </c>
      <c r="DE26" s="221">
        <v>3250.7389780859321</v>
      </c>
      <c r="DF26" s="221">
        <v>2402.4037823287981</v>
      </c>
      <c r="DG26" s="221">
        <v>2822.0311126987549</v>
      </c>
      <c r="DH26" s="221">
        <v>2533.7661645250228</v>
      </c>
      <c r="DI26" s="221">
        <v>2591.7400820511402</v>
      </c>
      <c r="DJ26" s="221">
        <v>2806.4930540921414</v>
      </c>
      <c r="DK26" s="221">
        <v>2298.8470777541124</v>
      </c>
      <c r="DL26" s="221">
        <v>3078.6011616098635</v>
      </c>
      <c r="DM26" s="221">
        <v>2673.7565275592715</v>
      </c>
      <c r="DN26" s="221">
        <v>2974.4454223304374</v>
      </c>
      <c r="DO26" s="221">
        <v>2473.6270094414567</v>
      </c>
      <c r="DP26" s="221">
        <v>2825.9879952357214</v>
      </c>
      <c r="DQ26" s="221">
        <v>3224.5246782756703</v>
      </c>
      <c r="DR26" s="221">
        <v>2207.1383191884588</v>
      </c>
      <c r="DS26" s="221">
        <v>3139.6362783310606</v>
      </c>
      <c r="DT26" s="221">
        <v>2497.1838407511386</v>
      </c>
      <c r="DU26" s="221">
        <v>2624.4990697200365</v>
      </c>
      <c r="DV26" s="221">
        <v>2841.6948122797903</v>
      </c>
      <c r="DW26" s="221">
        <v>2551.6658734415232</v>
      </c>
      <c r="DX26" s="221">
        <v>2836.7353080834419</v>
      </c>
      <c r="DY26" s="221">
        <v>3003.885287434925</v>
      </c>
      <c r="DZ26" s="221">
        <v>2726.0040175425138</v>
      </c>
      <c r="EA26" s="221">
        <v>2571.006607909665</v>
      </c>
      <c r="EB26" s="221">
        <v>3088.7209047357487</v>
      </c>
      <c r="EC26" s="221">
        <v>2740.5700236083194</v>
      </c>
      <c r="ED26" s="221">
        <v>2814.2978188574366</v>
      </c>
      <c r="EE26" s="221">
        <v>3051.9886742314147</v>
      </c>
      <c r="EF26" s="221">
        <v>2081.3533132061466</v>
      </c>
      <c r="EG26" s="221">
        <v>3232.1678613106305</v>
      </c>
      <c r="EH26" s="221">
        <v>2516.0227054264378</v>
      </c>
      <c r="EI26" s="221">
        <v>2417.6149170039012</v>
      </c>
      <c r="EJ26" s="221">
        <v>3144.4415609656244</v>
      </c>
      <c r="EK26" s="221">
        <v>2961.3282743736836</v>
      </c>
      <c r="EL26" s="221">
        <v>2518.9457062927809</v>
      </c>
      <c r="EM26" s="221">
        <v>2876.8059286826037</v>
      </c>
      <c r="EN26" s="221">
        <v>3045.3267060447788</v>
      </c>
      <c r="EO26" s="221">
        <v>2379.7298431199761</v>
      </c>
      <c r="EP26" s="221">
        <v>2252.4695709765265</v>
      </c>
      <c r="EQ26" s="221">
        <v>2060.9525437519719</v>
      </c>
      <c r="ER26" s="221">
        <v>1562.2392900317852</v>
      </c>
      <c r="ES26" s="221">
        <v>1943.9870771686503</v>
      </c>
      <c r="ET26" s="221">
        <v>1247.76673046613</v>
      </c>
      <c r="EU26" s="221">
        <v>1242.1835001735265</v>
      </c>
      <c r="EV26" s="221">
        <v>1553.0220314837543</v>
      </c>
      <c r="EW26" s="221">
        <v>1189.8677333231662</v>
      </c>
      <c r="EX26" s="221">
        <v>929.92065924326209</v>
      </c>
      <c r="EY26" s="221">
        <v>969.88175961498462</v>
      </c>
      <c r="EZ26" s="221">
        <v>848.0236448146162</v>
      </c>
      <c r="FA26" s="221">
        <v>826.9793095777934</v>
      </c>
      <c r="FB26" s="221">
        <v>662.41625624354367</v>
      </c>
      <c r="FC26" s="221">
        <v>553.57172045230345</v>
      </c>
      <c r="FD26" s="221">
        <v>502.20680177852029</v>
      </c>
      <c r="FE26" s="221">
        <v>520.75264016437427</v>
      </c>
      <c r="FF26" s="221">
        <v>324.1070912538263</v>
      </c>
      <c r="FG26" s="221">
        <v>308.31869149714112</v>
      </c>
      <c r="FH26" s="221">
        <v>365.64240501296922</v>
      </c>
      <c r="FI26" s="221">
        <v>233.8168942233093</v>
      </c>
      <c r="FJ26" s="221">
        <v>205.8877271260032</v>
      </c>
      <c r="FK26" s="221">
        <v>165.12652148872485</v>
      </c>
      <c r="FL26" s="221">
        <v>115.29451807729318</v>
      </c>
      <c r="FM26" s="221">
        <v>167.36994833267164</v>
      </c>
      <c r="FN26" s="221">
        <v>136.91554380774477</v>
      </c>
      <c r="FO26" s="221">
        <v>132.43166319294258</v>
      </c>
      <c r="FP26" s="221">
        <v>135.39943606343434</v>
      </c>
      <c r="FQ26" s="221">
        <v>146.52922473972154</v>
      </c>
      <c r="FR26" s="221">
        <v>131.52841832660877</v>
      </c>
      <c r="FS26" s="221">
        <v>134.50868754813661</v>
      </c>
      <c r="FT26" s="221">
        <v>157.3644130199788</v>
      </c>
      <c r="FU26" s="221">
        <v>139.6077604671116</v>
      </c>
      <c r="FV26" s="221">
        <v>155.2248772110118</v>
      </c>
      <c r="FW26" s="221">
        <v>129.01106024005443</v>
      </c>
      <c r="FX26" s="221">
        <v>147.30963505357818</v>
      </c>
      <c r="FY26" s="221">
        <v>167.97882986499286</v>
      </c>
      <c r="FZ26" s="221">
        <v>114.9087942862803</v>
      </c>
      <c r="GA26" s="221">
        <v>163.37922456186786</v>
      </c>
      <c r="GB26" s="221">
        <v>129.8653058829685</v>
      </c>
      <c r="GC26" s="221">
        <v>136.41626552074575</v>
      </c>
      <c r="GD26" s="24">
        <f t="shared" ref="GD26:GD41" si="35">IF(E26=1,SUM(G26:Q26),0)</f>
        <v>12489.056098406567</v>
      </c>
      <c r="GE26" s="24">
        <f t="shared" ref="GE26:GE41" si="36">IF(E26=1,SUM(R26:AC26),0)</f>
        <v>19875.17311066058</v>
      </c>
      <c r="GF26" s="24">
        <f t="shared" ref="GF26:GF41" si="37">IF(E26=1,SUM(AD26:AO26),0)</f>
        <v>24928.962127339371</v>
      </c>
      <c r="GG26" s="24">
        <f t="shared" ref="GG26:GG41" si="38">IF(E26=1,SUM(AP26:BA26),0)</f>
        <v>27955.351674887494</v>
      </c>
      <c r="GH26" s="24">
        <f t="shared" ref="GH26:GH41" si="39">IF(E26=1,SUM(BB26:BM26),0)</f>
        <v>29869.354269642557</v>
      </c>
      <c r="GI26" s="24">
        <f t="shared" ref="GI26:GI41" si="40">IF(E26=1,SUM(BN26:BY26),0)</f>
        <v>31079.7536640896</v>
      </c>
      <c r="GJ26" s="24">
        <f t="shared" ref="GJ26:GJ41" si="41">IF(E26=1,SUM(BZ26:CK26),0)</f>
        <v>31860.935580581827</v>
      </c>
      <c r="GK26" s="24">
        <f t="shared" ref="GK26:GK41" si="42">IF(E26=1,SUM(CL26:CW26),0)</f>
        <v>31899.628511790324</v>
      </c>
      <c r="GL26" s="24">
        <f t="shared" ref="GL26:GL41" si="43">IF(E26=1,SUM(CX26:DI26),0)</f>
        <v>32250.770873257181</v>
      </c>
      <c r="GM26" s="24">
        <f t="shared" ref="GM26:GM41" si="44">IF(E26=1,SUM(DJ26:DU26),0)</f>
        <v>32824.740434289371</v>
      </c>
      <c r="GN26" s="24">
        <f t="shared" ref="GN26:GN41" si="45">IF(E26=1,SUM(DV26:EG26),0)</f>
        <v>33540.090502641557</v>
      </c>
      <c r="GO26" s="24">
        <f t="shared" ref="GO26:GO41" si="46">IF(E26=1,SUM(EH26:ES26),0)</f>
        <v>29679.864123838724</v>
      </c>
      <c r="GP26" s="24">
        <f t="shared" ref="GP26:GP41" si="47">IF(E26=1,SUM(ET26:FE26),0)</f>
        <v>11046.592787335972</v>
      </c>
      <c r="GQ26" s="24">
        <f t="shared" ref="GQ26:GQ41" si="48">IF(E26=1,SUM(FF26:FQ26),0)</f>
        <v>2436.8396648157818</v>
      </c>
      <c r="GR26" s="24">
        <f t="shared" ref="GR26:GR41" si="49">IF(E26=1,SUM(FR26:GC26),0)</f>
        <v>1707.1032719833354</v>
      </c>
    </row>
    <row r="27" spans="1:200" ht="14" customHeight="1" x14ac:dyDescent="0.35">
      <c r="A27" s="10" t="s">
        <v>35</v>
      </c>
      <c r="B27" s="25" t="s">
        <v>98</v>
      </c>
      <c r="C27" s="12" t="s">
        <v>85</v>
      </c>
      <c r="D27" s="12" t="s">
        <v>76</v>
      </c>
      <c r="E27" s="21">
        <f>IFERROR(VLOOKUP(B27,'SKU Master'!A:P,6,0),0)</f>
        <v>1</v>
      </c>
      <c r="F27" s="221"/>
      <c r="G27" s="221"/>
      <c r="H27" s="221"/>
      <c r="I27" s="221"/>
      <c r="J27" s="221"/>
      <c r="K27" s="221"/>
      <c r="L27" s="221"/>
      <c r="M27" s="221"/>
      <c r="N27" s="221"/>
      <c r="O27" s="221"/>
      <c r="P27" s="221"/>
      <c r="Q27" s="221"/>
      <c r="R27" s="221"/>
      <c r="S27" s="221"/>
      <c r="T27" s="221"/>
      <c r="U27" s="221"/>
      <c r="V27" s="221"/>
      <c r="W27" s="221"/>
      <c r="X27" s="221"/>
      <c r="Y27" s="221"/>
      <c r="Z27" s="221"/>
      <c r="AA27" s="221"/>
      <c r="AB27" s="221"/>
      <c r="AC27" s="221"/>
      <c r="AD27" s="221"/>
      <c r="AE27" s="221"/>
      <c r="AF27" s="221"/>
      <c r="AG27" s="221"/>
      <c r="AH27" s="221"/>
      <c r="AI27" s="221"/>
      <c r="AJ27" s="221"/>
      <c r="AK27" s="221"/>
      <c r="AL27" s="221"/>
      <c r="AM27" s="221"/>
      <c r="AN27" s="221"/>
      <c r="AO27" s="221"/>
      <c r="AP27" s="221">
        <v>5.9987195337543264</v>
      </c>
      <c r="AQ27" s="221">
        <v>10.310786375198521</v>
      </c>
      <c r="AR27" s="221">
        <v>21.366003357756568</v>
      </c>
      <c r="AS27" s="221">
        <v>28.365391155867623</v>
      </c>
      <c r="AT27" s="221">
        <v>44.229413607688798</v>
      </c>
      <c r="AU27" s="221">
        <v>50.407761223023428</v>
      </c>
      <c r="AV27" s="221">
        <v>76.318878554470572</v>
      </c>
      <c r="AW27" s="221">
        <v>117.54278861327397</v>
      </c>
      <c r="AX27" s="221">
        <v>105.09336452016836</v>
      </c>
      <c r="AY27" s="221">
        <v>191.43290102990841</v>
      </c>
      <c r="AZ27" s="221">
        <v>196.33062081308259</v>
      </c>
      <c r="BA27" s="221">
        <v>258.22433066796327</v>
      </c>
      <c r="BB27" s="221">
        <v>351.46553650534622</v>
      </c>
      <c r="BC27" s="221">
        <v>351.89103912884354</v>
      </c>
      <c r="BD27" s="221">
        <v>533.79571125082066</v>
      </c>
      <c r="BE27" s="221">
        <v>671.09351660291759</v>
      </c>
      <c r="BF27" s="221">
        <v>784.20268149628214</v>
      </c>
      <c r="BG27" s="221">
        <v>687.13400947490049</v>
      </c>
      <c r="BH27" s="221">
        <v>1104.7968806503823</v>
      </c>
      <c r="BI27" s="221">
        <v>1172.0112723541224</v>
      </c>
      <c r="BJ27" s="221">
        <v>1089.0285744797272</v>
      </c>
      <c r="BK27" s="221">
        <v>1503.0898177777017</v>
      </c>
      <c r="BL27" s="221">
        <v>1165.2193466196318</v>
      </c>
      <c r="BM27" s="221">
        <v>1646.6040999543047</v>
      </c>
      <c r="BN27" s="221">
        <v>1661.0664536382012</v>
      </c>
      <c r="BO27" s="221">
        <v>1443.8232893912766</v>
      </c>
      <c r="BP27" s="221">
        <v>1933.7938234299345</v>
      </c>
      <c r="BQ27" s="221">
        <v>2081.5949133633262</v>
      </c>
      <c r="BR27" s="221">
        <v>1935.1503458216296</v>
      </c>
      <c r="BS27" s="221">
        <v>1879.5035360607069</v>
      </c>
      <c r="BT27" s="221">
        <v>2373.5757838363361</v>
      </c>
      <c r="BU27" s="221">
        <v>2113.7978454630902</v>
      </c>
      <c r="BV27" s="221">
        <v>2231.9609915886331</v>
      </c>
      <c r="BW27" s="221">
        <v>2482.6268383187453</v>
      </c>
      <c r="BX27" s="221">
        <v>1628.4650491813481</v>
      </c>
      <c r="BY27" s="221">
        <v>2753.8730825567</v>
      </c>
      <c r="BZ27" s="221">
        <v>2070.1252734092623</v>
      </c>
      <c r="CA27" s="221">
        <v>2022.58257273104</v>
      </c>
      <c r="CB27" s="221">
        <v>2955.2812712298223</v>
      </c>
      <c r="CC27" s="221">
        <v>2475.1206439694333</v>
      </c>
      <c r="CD27" s="221">
        <v>2141.7305384891838</v>
      </c>
      <c r="CE27" s="221">
        <v>2522.937941633284</v>
      </c>
      <c r="CF27" s="221">
        <v>2454.027808785494</v>
      </c>
      <c r="CG27" s="221">
        <v>2689.3663117499445</v>
      </c>
      <c r="CH27" s="221">
        <v>2403.7533969602428</v>
      </c>
      <c r="CI27" s="221">
        <v>2266.9181257468472</v>
      </c>
      <c r="CJ27" s="221">
        <v>2341.3038241189074</v>
      </c>
      <c r="CK27" s="221">
        <v>2783.0391890418041</v>
      </c>
      <c r="CL27" s="221">
        <v>1960.9768328681564</v>
      </c>
      <c r="CM27" s="221">
        <v>2187.6155411220925</v>
      </c>
      <c r="CN27" s="221">
        <v>3056.7583732065523</v>
      </c>
      <c r="CO27" s="221">
        <v>2311.6793946131365</v>
      </c>
      <c r="CP27" s="221">
        <v>2479.4745332934617</v>
      </c>
      <c r="CQ27" s="221">
        <v>2482.1765855699155</v>
      </c>
      <c r="CR27" s="221">
        <v>2259.5679348289887</v>
      </c>
      <c r="CS27" s="221">
        <v>3010.4906635570833</v>
      </c>
      <c r="CT27" s="221">
        <v>2336.3917058719499</v>
      </c>
      <c r="CU27" s="221">
        <v>2277.6565883000148</v>
      </c>
      <c r="CV27" s="221">
        <v>2348.8216809022333</v>
      </c>
      <c r="CW27" s="221">
        <v>2561.4908211412867</v>
      </c>
      <c r="CX27" s="221">
        <v>2256.4625966663893</v>
      </c>
      <c r="CY27" s="221">
        <v>2106.6746732846518</v>
      </c>
      <c r="CZ27" s="221">
        <v>3056.7669877047397</v>
      </c>
      <c r="DA27" s="221">
        <v>2086.3656281083304</v>
      </c>
      <c r="DB27" s="221">
        <v>2771.5137244771022</v>
      </c>
      <c r="DC27" s="221">
        <v>2398.3932340634701</v>
      </c>
      <c r="DD27" s="221">
        <v>2258.5587438731663</v>
      </c>
      <c r="DE27" s="221">
        <v>3009.2007148741595</v>
      </c>
      <c r="DF27" s="221">
        <v>2109.4151068992796</v>
      </c>
      <c r="DG27" s="221">
        <v>2573.5662073096755</v>
      </c>
      <c r="DH27" s="221">
        <v>2267.0813752854247</v>
      </c>
      <c r="DI27" s="221">
        <v>2338.7997334879897</v>
      </c>
      <c r="DJ27" s="221">
        <v>2552.1385765610316</v>
      </c>
      <c r="DK27" s="221">
        <v>2027.7228964635729</v>
      </c>
      <c r="DL27" s="221">
        <v>2835.7698033916763</v>
      </c>
      <c r="DM27" s="221">
        <v>2384.954259011578</v>
      </c>
      <c r="DN27" s="221">
        <v>2696.8560448545513</v>
      </c>
      <c r="DO27" s="221">
        <v>2180.4248458909178</v>
      </c>
      <c r="DP27" s="221">
        <v>2560.2234013855923</v>
      </c>
      <c r="DQ27" s="221">
        <v>2938.1711211049051</v>
      </c>
      <c r="DR27" s="221">
        <v>1893.12392717429</v>
      </c>
      <c r="DS27" s="221">
        <v>2880.4686781832847</v>
      </c>
      <c r="DT27" s="221">
        <v>2194.6016155747247</v>
      </c>
      <c r="DU27" s="221">
        <v>2350.4872863659175</v>
      </c>
      <c r="DV27" s="221">
        <v>2565.3717166181241</v>
      </c>
      <c r="DW27" s="221">
        <v>2261.3775730640918</v>
      </c>
      <c r="DX27" s="221">
        <v>2558.665168093723</v>
      </c>
      <c r="DY27" s="221">
        <v>2707.5948041307765</v>
      </c>
      <c r="DZ27" s="221">
        <v>2415.5005943051538</v>
      </c>
      <c r="EA27" s="221">
        <v>2275.7046241090866</v>
      </c>
      <c r="EB27" s="221">
        <v>2802.473494287035</v>
      </c>
      <c r="EC27" s="221">
        <v>2426.0841688080668</v>
      </c>
      <c r="ED27" s="221">
        <v>2512.7191505427372</v>
      </c>
      <c r="EE27" s="221">
        <v>2745.9921410036241</v>
      </c>
      <c r="EF27" s="221">
        <v>1767.9644812072188</v>
      </c>
      <c r="EG27" s="221">
        <v>2969.2274286863303</v>
      </c>
      <c r="EH27" s="221">
        <v>2199.6528869843537</v>
      </c>
      <c r="EI27" s="221">
        <v>2132.4653835414074</v>
      </c>
      <c r="EJ27" s="221">
        <v>2866.3392004311063</v>
      </c>
      <c r="EK27" s="221">
        <v>2639.2043774411372</v>
      </c>
      <c r="EL27" s="221">
        <v>2200.9980753509371</v>
      </c>
      <c r="EM27" s="221">
        <v>2584.6670408323835</v>
      </c>
      <c r="EN27" s="221">
        <v>2734.5617552429981</v>
      </c>
      <c r="EO27" s="221">
        <v>2052.6181940655197</v>
      </c>
      <c r="EP27" s="221">
        <v>1967.0954744012688</v>
      </c>
      <c r="EQ27" s="221">
        <v>1798.9783757341238</v>
      </c>
      <c r="ER27" s="221">
        <v>1326.1963666970635</v>
      </c>
      <c r="ES27" s="221">
        <v>1743.4177291559445</v>
      </c>
      <c r="ET27" s="221">
        <v>1042.2419077930576</v>
      </c>
      <c r="EU27" s="221">
        <v>1080.8213079248667</v>
      </c>
      <c r="EV27" s="221">
        <v>1400.2787691437002</v>
      </c>
      <c r="EW27" s="221">
        <v>1025.0730188906514</v>
      </c>
      <c r="EX27" s="221">
        <v>788.3589115708719</v>
      </c>
      <c r="EY27" s="221">
        <v>851.97109451623146</v>
      </c>
      <c r="EZ27" s="221">
        <v>736.37967385525542</v>
      </c>
      <c r="FA27" s="221">
        <v>725.16617118411727</v>
      </c>
      <c r="FB27" s="221">
        <v>567.43879143232289</v>
      </c>
      <c r="FC27" s="221">
        <v>472.87147662343079</v>
      </c>
      <c r="FD27" s="221">
        <v>433.76356435191843</v>
      </c>
      <c r="FE27" s="221">
        <v>458.89558003456625</v>
      </c>
      <c r="FF27" s="221">
        <v>265.9962118830083</v>
      </c>
      <c r="FG27" s="221">
        <v>264.40639132675847</v>
      </c>
      <c r="FH27" s="221">
        <v>326.00458570570981</v>
      </c>
      <c r="FI27" s="221">
        <v>193.93771192652466</v>
      </c>
      <c r="FJ27" s="221">
        <v>174.72070470359549</v>
      </c>
      <c r="FK27" s="221">
        <v>139.10165394713204</v>
      </c>
      <c r="FL27" s="221">
        <v>94.232599999853363</v>
      </c>
      <c r="FM27" s="221">
        <v>151.19346538367387</v>
      </c>
      <c r="FN27" s="221">
        <v>119.4146800920295</v>
      </c>
      <c r="FO27" s="221">
        <v>116.48469427667673</v>
      </c>
      <c r="FP27" s="221">
        <v>120.19238106214247</v>
      </c>
      <c r="FQ27" s="221">
        <v>131.15215255760066</v>
      </c>
      <c r="FR27" s="221">
        <v>115.61445429034949</v>
      </c>
      <c r="FS27" s="221">
        <v>119.34364952586132</v>
      </c>
      <c r="FT27" s="221">
        <v>141.81598080074454</v>
      </c>
      <c r="FU27" s="221">
        <v>122.80085887406213</v>
      </c>
      <c r="FV27" s="221">
        <v>138.86335213654957</v>
      </c>
      <c r="FW27" s="221">
        <v>112.270576092102</v>
      </c>
      <c r="FX27" s="221">
        <v>131.81847964350118</v>
      </c>
      <c r="FY27" s="221">
        <v>151.26351717763802</v>
      </c>
      <c r="FZ27" s="221">
        <v>97.460774993533192</v>
      </c>
      <c r="GA27" s="221">
        <v>148.27883404383658</v>
      </c>
      <c r="GB27" s="221">
        <v>112.95950513526986</v>
      </c>
      <c r="GC27" s="221">
        <v>120.97111470882589</v>
      </c>
      <c r="GD27" s="24">
        <f t="shared" si="35"/>
        <v>0</v>
      </c>
      <c r="GE27" s="24">
        <f t="shared" si="36"/>
        <v>0</v>
      </c>
      <c r="GF27" s="24">
        <f t="shared" si="37"/>
        <v>0</v>
      </c>
      <c r="GG27" s="24">
        <f t="shared" si="38"/>
        <v>1105.6209594521565</v>
      </c>
      <c r="GH27" s="24">
        <f t="shared" si="39"/>
        <v>11060.332486294981</v>
      </c>
      <c r="GI27" s="24">
        <f t="shared" si="40"/>
        <v>24519.231952649927</v>
      </c>
      <c r="GJ27" s="24">
        <f t="shared" si="41"/>
        <v>29126.186897865267</v>
      </c>
      <c r="GK27" s="24">
        <f t="shared" si="42"/>
        <v>29273.100655274873</v>
      </c>
      <c r="GL27" s="24">
        <f t="shared" si="43"/>
        <v>29232.79872603438</v>
      </c>
      <c r="GM27" s="24">
        <f t="shared" si="44"/>
        <v>29494.942455962042</v>
      </c>
      <c r="GN27" s="24">
        <f t="shared" si="45"/>
        <v>30008.675344855961</v>
      </c>
      <c r="GO27" s="24">
        <f t="shared" si="46"/>
        <v>26246.19485987824</v>
      </c>
      <c r="GP27" s="24">
        <f t="shared" si="47"/>
        <v>9583.2602673209913</v>
      </c>
      <c r="GQ27" s="24">
        <f t="shared" si="48"/>
        <v>2096.8372328647051</v>
      </c>
      <c r="GR27" s="24">
        <f t="shared" si="49"/>
        <v>1513.4610974222742</v>
      </c>
    </row>
    <row r="28" spans="1:200" ht="14" customHeight="1" x14ac:dyDescent="0.35">
      <c r="A28" s="2" t="s">
        <v>35</v>
      </c>
      <c r="B28" s="22" t="s">
        <v>100</v>
      </c>
      <c r="C28" s="4" t="s">
        <v>89</v>
      </c>
      <c r="D28" s="4" t="s">
        <v>76</v>
      </c>
      <c r="E28" s="21">
        <f>IFERROR(VLOOKUP(B28,'SKU Master'!A:P,6,0),0)</f>
        <v>0</v>
      </c>
      <c r="F28" s="221"/>
      <c r="G28" s="221"/>
      <c r="H28" s="221"/>
      <c r="I28" s="221"/>
      <c r="J28" s="221"/>
      <c r="K28" s="221"/>
      <c r="L28" s="221"/>
      <c r="M28" s="221"/>
      <c r="N28" s="221"/>
      <c r="O28" s="221"/>
      <c r="P28" s="221"/>
      <c r="Q28" s="221"/>
      <c r="R28" s="221"/>
      <c r="S28" s="221"/>
      <c r="T28" s="221"/>
      <c r="U28" s="221"/>
      <c r="V28" s="221"/>
      <c r="W28" s="221"/>
      <c r="X28" s="221"/>
      <c r="Y28" s="221"/>
      <c r="Z28" s="221"/>
      <c r="AA28" s="221"/>
      <c r="AB28" s="221"/>
      <c r="AC28" s="221"/>
      <c r="AD28" s="221"/>
      <c r="AE28" s="221"/>
      <c r="AF28" s="221"/>
      <c r="AG28" s="221"/>
      <c r="AH28" s="221"/>
      <c r="AI28" s="221"/>
      <c r="AJ28" s="221"/>
      <c r="AK28" s="221"/>
      <c r="AL28" s="221"/>
      <c r="AM28" s="221"/>
      <c r="AN28" s="221"/>
      <c r="AO28" s="221"/>
      <c r="AP28" s="221"/>
      <c r="AQ28" s="221"/>
      <c r="AR28" s="221"/>
      <c r="AS28" s="221"/>
      <c r="AT28" s="221"/>
      <c r="AU28" s="221"/>
      <c r="AV28" s="221"/>
      <c r="AW28" s="221"/>
      <c r="AX28" s="221"/>
      <c r="AY28" s="221"/>
      <c r="AZ28" s="221"/>
      <c r="BA28" s="221"/>
      <c r="BB28" s="221"/>
      <c r="BC28" s="221"/>
      <c r="BD28" s="221"/>
      <c r="BE28" s="221"/>
      <c r="BF28" s="221"/>
      <c r="BG28" s="221"/>
      <c r="BH28" s="221"/>
      <c r="BI28" s="221"/>
      <c r="BJ28" s="221"/>
      <c r="BK28" s="221"/>
      <c r="BL28" s="221"/>
      <c r="BM28" s="221"/>
      <c r="BN28" s="221"/>
      <c r="BO28" s="221"/>
      <c r="BP28" s="221"/>
      <c r="BQ28" s="221"/>
      <c r="BR28" s="221"/>
      <c r="BS28" s="221"/>
      <c r="BT28" s="221"/>
      <c r="BU28" s="221"/>
      <c r="BV28" s="221"/>
      <c r="BW28" s="221"/>
      <c r="BX28" s="221"/>
      <c r="BY28" s="221"/>
      <c r="BZ28" s="221"/>
      <c r="CA28" s="221"/>
      <c r="CB28" s="221"/>
      <c r="CC28" s="221"/>
      <c r="CD28" s="221"/>
      <c r="CE28" s="221"/>
      <c r="CF28" s="221"/>
      <c r="CG28" s="221"/>
      <c r="CH28" s="221"/>
      <c r="CI28" s="221"/>
      <c r="CJ28" s="221"/>
      <c r="CK28" s="221"/>
      <c r="CL28" s="221"/>
      <c r="CM28" s="221"/>
      <c r="CN28" s="221"/>
      <c r="CO28" s="221"/>
      <c r="CP28" s="221"/>
      <c r="CQ28" s="221"/>
      <c r="CR28" s="221"/>
      <c r="CS28" s="221"/>
      <c r="CT28" s="221"/>
      <c r="CU28" s="221"/>
      <c r="CV28" s="221"/>
      <c r="CW28" s="221"/>
      <c r="CX28" s="221"/>
      <c r="CY28" s="221"/>
      <c r="CZ28" s="221"/>
      <c r="DA28" s="221"/>
      <c r="DB28" s="221"/>
      <c r="DC28" s="221"/>
      <c r="DD28" s="221"/>
      <c r="DE28" s="221"/>
      <c r="DF28" s="221"/>
      <c r="DG28" s="221"/>
      <c r="DH28" s="221"/>
      <c r="DI28" s="221"/>
      <c r="DJ28" s="221"/>
      <c r="DK28" s="221"/>
      <c r="DL28" s="221"/>
      <c r="DM28" s="221"/>
      <c r="DN28" s="221"/>
      <c r="DO28" s="221"/>
      <c r="DP28" s="221"/>
      <c r="DQ28" s="221"/>
      <c r="DR28" s="221"/>
      <c r="DS28" s="221"/>
      <c r="DT28" s="221"/>
      <c r="DU28" s="221"/>
      <c r="DV28" s="221"/>
      <c r="DW28" s="221"/>
      <c r="DX28" s="221"/>
      <c r="DY28" s="221"/>
      <c r="DZ28" s="221"/>
      <c r="EA28" s="221"/>
      <c r="EB28" s="221"/>
      <c r="EC28" s="221"/>
      <c r="ED28" s="221"/>
      <c r="EE28" s="221"/>
      <c r="EF28" s="221"/>
      <c r="EG28" s="221"/>
      <c r="EH28" s="221"/>
      <c r="EI28" s="221"/>
      <c r="EJ28" s="221"/>
      <c r="EK28" s="221"/>
      <c r="EL28" s="221"/>
      <c r="EM28" s="221"/>
      <c r="EN28" s="221"/>
      <c r="EO28" s="221"/>
      <c r="EP28" s="221"/>
      <c r="EQ28" s="221"/>
      <c r="ER28" s="221"/>
      <c r="ES28" s="221"/>
      <c r="ET28" s="221"/>
      <c r="EU28" s="221"/>
      <c r="EV28" s="221"/>
      <c r="EW28" s="221"/>
      <c r="EX28" s="221"/>
      <c r="EY28" s="221"/>
      <c r="EZ28" s="221"/>
      <c r="FA28" s="221"/>
      <c r="FB28" s="221"/>
      <c r="FC28" s="221"/>
      <c r="FD28" s="221"/>
      <c r="FE28" s="221"/>
      <c r="FF28" s="221"/>
      <c r="FG28" s="221"/>
      <c r="FH28" s="221"/>
      <c r="FI28" s="221"/>
      <c r="FJ28" s="221"/>
      <c r="FK28" s="221"/>
      <c r="FL28" s="221"/>
      <c r="FM28" s="221"/>
      <c r="FN28" s="221"/>
      <c r="FO28" s="221"/>
      <c r="FP28" s="221"/>
      <c r="FQ28" s="221"/>
      <c r="FR28" s="221"/>
      <c r="FS28" s="221"/>
      <c r="FT28" s="221"/>
      <c r="FU28" s="221"/>
      <c r="FV28" s="221"/>
      <c r="FW28" s="221"/>
      <c r="FX28" s="221"/>
      <c r="FY28" s="221"/>
      <c r="FZ28" s="221"/>
      <c r="GA28" s="221"/>
      <c r="GB28" s="221"/>
      <c r="GC28" s="221"/>
      <c r="GD28" s="24">
        <f t="shared" si="35"/>
        <v>0</v>
      </c>
      <c r="GE28" s="24">
        <f t="shared" si="36"/>
        <v>0</v>
      </c>
      <c r="GF28" s="24">
        <f t="shared" si="37"/>
        <v>0</v>
      </c>
      <c r="GG28" s="24">
        <f t="shared" si="38"/>
        <v>0</v>
      </c>
      <c r="GH28" s="24">
        <f t="shared" si="39"/>
        <v>0</v>
      </c>
      <c r="GI28" s="24">
        <f t="shared" si="40"/>
        <v>0</v>
      </c>
      <c r="GJ28" s="24">
        <f t="shared" si="41"/>
        <v>0</v>
      </c>
      <c r="GK28" s="24">
        <f t="shared" si="42"/>
        <v>0</v>
      </c>
      <c r="GL28" s="24">
        <f t="shared" si="43"/>
        <v>0</v>
      </c>
      <c r="GM28" s="24">
        <f t="shared" si="44"/>
        <v>0</v>
      </c>
      <c r="GN28" s="24">
        <f t="shared" si="45"/>
        <v>0</v>
      </c>
      <c r="GO28" s="24">
        <f t="shared" si="46"/>
        <v>0</v>
      </c>
      <c r="GP28" s="24">
        <f t="shared" si="47"/>
        <v>0</v>
      </c>
      <c r="GQ28" s="24">
        <f t="shared" si="48"/>
        <v>0</v>
      </c>
      <c r="GR28" s="24">
        <f t="shared" si="49"/>
        <v>0</v>
      </c>
    </row>
    <row r="29" spans="1:200" ht="14" customHeight="1" x14ac:dyDescent="0.35">
      <c r="A29" s="10" t="s">
        <v>35</v>
      </c>
      <c r="B29" s="25" t="s">
        <v>101</v>
      </c>
      <c r="C29" s="12" t="s">
        <v>94</v>
      </c>
      <c r="D29" s="12" t="s">
        <v>76</v>
      </c>
      <c r="E29" s="21">
        <f>IFERROR(VLOOKUP(B29,'SKU Master'!A:P,6,0),0)</f>
        <v>0</v>
      </c>
      <c r="F29" s="221"/>
      <c r="G29" s="221"/>
      <c r="H29" s="221"/>
      <c r="I29" s="221"/>
      <c r="J29" s="221"/>
      <c r="K29" s="221"/>
      <c r="L29" s="221"/>
      <c r="M29" s="221"/>
      <c r="N29" s="221"/>
      <c r="O29" s="221"/>
      <c r="P29" s="221"/>
      <c r="Q29" s="221"/>
      <c r="R29" s="221"/>
      <c r="S29" s="221"/>
      <c r="T29" s="221"/>
      <c r="U29" s="221"/>
      <c r="V29" s="221"/>
      <c r="W29" s="221"/>
      <c r="X29" s="221"/>
      <c r="Y29" s="221"/>
      <c r="Z29" s="221"/>
      <c r="AA29" s="221"/>
      <c r="AB29" s="221"/>
      <c r="AC29" s="221"/>
      <c r="AD29" s="221"/>
      <c r="AE29" s="221"/>
      <c r="AF29" s="221"/>
      <c r="AG29" s="221"/>
      <c r="AH29" s="221"/>
      <c r="AI29" s="221"/>
      <c r="AJ29" s="221"/>
      <c r="AK29" s="221"/>
      <c r="AL29" s="221"/>
      <c r="AM29" s="221"/>
      <c r="AN29" s="221"/>
      <c r="AO29" s="221"/>
      <c r="AP29" s="221"/>
      <c r="AQ29" s="221"/>
      <c r="AR29" s="221"/>
      <c r="AS29" s="221"/>
      <c r="AT29" s="221"/>
      <c r="AU29" s="221"/>
      <c r="AV29" s="221"/>
      <c r="AW29" s="221"/>
      <c r="AX29" s="221"/>
      <c r="AY29" s="221"/>
      <c r="AZ29" s="221"/>
      <c r="BA29" s="221"/>
      <c r="BB29" s="221"/>
      <c r="BC29" s="221"/>
      <c r="BD29" s="221"/>
      <c r="BE29" s="221"/>
      <c r="BF29" s="221"/>
      <c r="BG29" s="221"/>
      <c r="BH29" s="221"/>
      <c r="BI29" s="221"/>
      <c r="BJ29" s="221"/>
      <c r="BK29" s="221"/>
      <c r="BL29" s="221"/>
      <c r="BM29" s="221"/>
      <c r="BN29" s="221"/>
      <c r="BO29" s="221"/>
      <c r="BP29" s="221"/>
      <c r="BQ29" s="221"/>
      <c r="BR29" s="221"/>
      <c r="BS29" s="221"/>
      <c r="BT29" s="221"/>
      <c r="BU29" s="221"/>
      <c r="BV29" s="221"/>
      <c r="BW29" s="221"/>
      <c r="BX29" s="221"/>
      <c r="BY29" s="221"/>
      <c r="BZ29" s="221"/>
      <c r="CA29" s="221"/>
      <c r="CB29" s="221"/>
      <c r="CC29" s="221"/>
      <c r="CD29" s="221"/>
      <c r="CE29" s="221"/>
      <c r="CF29" s="221"/>
      <c r="CG29" s="221"/>
      <c r="CH29" s="221"/>
      <c r="CI29" s="221"/>
      <c r="CJ29" s="221"/>
      <c r="CK29" s="221"/>
      <c r="CL29" s="221"/>
      <c r="CM29" s="221"/>
      <c r="CN29" s="221"/>
      <c r="CO29" s="221"/>
      <c r="CP29" s="221"/>
      <c r="CQ29" s="221"/>
      <c r="CR29" s="221"/>
      <c r="CS29" s="221"/>
      <c r="CT29" s="221"/>
      <c r="CU29" s="221"/>
      <c r="CV29" s="221"/>
      <c r="CW29" s="221"/>
      <c r="CX29" s="221"/>
      <c r="CY29" s="221"/>
      <c r="CZ29" s="221"/>
      <c r="DA29" s="221"/>
      <c r="DB29" s="221"/>
      <c r="DC29" s="221"/>
      <c r="DD29" s="221"/>
      <c r="DE29" s="221"/>
      <c r="DF29" s="221"/>
      <c r="DG29" s="221"/>
      <c r="DH29" s="221"/>
      <c r="DI29" s="221"/>
      <c r="DJ29" s="221"/>
      <c r="DK29" s="221"/>
      <c r="DL29" s="221"/>
      <c r="DM29" s="221"/>
      <c r="DN29" s="221"/>
      <c r="DO29" s="221"/>
      <c r="DP29" s="221"/>
      <c r="DQ29" s="221"/>
      <c r="DR29" s="221"/>
      <c r="DS29" s="221"/>
      <c r="DT29" s="221"/>
      <c r="DU29" s="221"/>
      <c r="DV29" s="221"/>
      <c r="DW29" s="221"/>
      <c r="DX29" s="221"/>
      <c r="DY29" s="221"/>
      <c r="DZ29" s="221"/>
      <c r="EA29" s="221"/>
      <c r="EB29" s="221"/>
      <c r="EC29" s="221"/>
      <c r="ED29" s="221"/>
      <c r="EE29" s="221"/>
      <c r="EF29" s="221"/>
      <c r="EG29" s="221"/>
      <c r="EH29" s="221"/>
      <c r="EI29" s="221"/>
      <c r="EJ29" s="221"/>
      <c r="EK29" s="221"/>
      <c r="EL29" s="221"/>
      <c r="EM29" s="221"/>
      <c r="EN29" s="221"/>
      <c r="EO29" s="221"/>
      <c r="EP29" s="221"/>
      <c r="EQ29" s="221"/>
      <c r="ER29" s="221"/>
      <c r="ES29" s="221"/>
      <c r="ET29" s="221"/>
      <c r="EU29" s="221"/>
      <c r="EV29" s="221"/>
      <c r="EW29" s="221"/>
      <c r="EX29" s="221"/>
      <c r="EY29" s="221"/>
      <c r="EZ29" s="221"/>
      <c r="FA29" s="221"/>
      <c r="FB29" s="221"/>
      <c r="FC29" s="221"/>
      <c r="FD29" s="221"/>
      <c r="FE29" s="221"/>
      <c r="FF29" s="221"/>
      <c r="FG29" s="221"/>
      <c r="FH29" s="221"/>
      <c r="FI29" s="221"/>
      <c r="FJ29" s="221"/>
      <c r="FK29" s="221"/>
      <c r="FL29" s="221"/>
      <c r="FM29" s="221"/>
      <c r="FN29" s="221"/>
      <c r="FO29" s="221"/>
      <c r="FP29" s="221"/>
      <c r="FQ29" s="221"/>
      <c r="FR29" s="221"/>
      <c r="FS29" s="221"/>
      <c r="FT29" s="221"/>
      <c r="FU29" s="221"/>
      <c r="FV29" s="221"/>
      <c r="FW29" s="221"/>
      <c r="FX29" s="221"/>
      <c r="FY29" s="221"/>
      <c r="FZ29" s="221"/>
      <c r="GA29" s="221"/>
      <c r="GB29" s="221"/>
      <c r="GC29" s="221"/>
      <c r="GD29" s="24">
        <f t="shared" si="35"/>
        <v>0</v>
      </c>
      <c r="GE29" s="24">
        <f t="shared" si="36"/>
        <v>0</v>
      </c>
      <c r="GF29" s="24">
        <f t="shared" si="37"/>
        <v>0</v>
      </c>
      <c r="GG29" s="24">
        <f t="shared" si="38"/>
        <v>0</v>
      </c>
      <c r="GH29" s="24">
        <f t="shared" si="39"/>
        <v>0</v>
      </c>
      <c r="GI29" s="24">
        <f t="shared" si="40"/>
        <v>0</v>
      </c>
      <c r="GJ29" s="24">
        <f t="shared" si="41"/>
        <v>0</v>
      </c>
      <c r="GK29" s="24">
        <f t="shared" si="42"/>
        <v>0</v>
      </c>
      <c r="GL29" s="24">
        <f t="shared" si="43"/>
        <v>0</v>
      </c>
      <c r="GM29" s="24">
        <f t="shared" si="44"/>
        <v>0</v>
      </c>
      <c r="GN29" s="24">
        <f t="shared" si="45"/>
        <v>0</v>
      </c>
      <c r="GO29" s="24">
        <f t="shared" si="46"/>
        <v>0</v>
      </c>
      <c r="GP29" s="24">
        <f t="shared" si="47"/>
        <v>0</v>
      </c>
      <c r="GQ29" s="24">
        <f t="shared" si="48"/>
        <v>0</v>
      </c>
      <c r="GR29" s="24">
        <f t="shared" si="49"/>
        <v>0</v>
      </c>
    </row>
    <row r="30" spans="1:200" ht="14" customHeight="1" x14ac:dyDescent="0.35">
      <c r="A30" s="2" t="str">
        <f>IF($F$1="Combined","47mg LP","47mg LP - EU Stock")</f>
        <v>47mg LP</v>
      </c>
      <c r="B30" s="150" t="s">
        <v>733</v>
      </c>
      <c r="C30" s="4" t="s">
        <v>85</v>
      </c>
      <c r="D30" s="4" t="s">
        <v>103</v>
      </c>
      <c r="E30" s="21">
        <f>IFERROR(VLOOKUP(B30,'SKU Master'!A:P,6,0),0)</f>
        <v>1</v>
      </c>
      <c r="F30" s="221">
        <v>0</v>
      </c>
      <c r="G30" s="221">
        <v>0</v>
      </c>
      <c r="H30" s="221">
        <v>0</v>
      </c>
      <c r="I30" s="221">
        <v>0</v>
      </c>
      <c r="J30" s="221">
        <v>0</v>
      </c>
      <c r="K30" s="221">
        <v>0</v>
      </c>
      <c r="L30" s="221">
        <v>0</v>
      </c>
      <c r="M30" s="221">
        <v>0</v>
      </c>
      <c r="N30" s="221">
        <v>0</v>
      </c>
      <c r="O30" s="221">
        <v>0</v>
      </c>
      <c r="P30" s="221">
        <v>0</v>
      </c>
      <c r="Q30" s="221">
        <v>0</v>
      </c>
      <c r="R30" s="221">
        <v>0</v>
      </c>
      <c r="S30" s="221">
        <v>0</v>
      </c>
      <c r="T30" s="221">
        <v>0</v>
      </c>
      <c r="U30" s="221">
        <v>0</v>
      </c>
      <c r="V30" s="221">
        <v>0</v>
      </c>
      <c r="W30" s="221">
        <v>0</v>
      </c>
      <c r="X30" s="221">
        <v>0</v>
      </c>
      <c r="Y30" s="221">
        <v>0</v>
      </c>
      <c r="Z30" s="221">
        <v>0</v>
      </c>
      <c r="AA30" s="221">
        <v>0</v>
      </c>
      <c r="AB30" s="221">
        <v>0</v>
      </c>
      <c r="AC30" s="221">
        <v>0</v>
      </c>
      <c r="AD30" s="221">
        <v>0</v>
      </c>
      <c r="AE30" s="221">
        <v>0</v>
      </c>
      <c r="AF30" s="221">
        <v>0</v>
      </c>
      <c r="AG30" s="221">
        <v>0</v>
      </c>
      <c r="AH30" s="221">
        <v>0</v>
      </c>
      <c r="AI30" s="221">
        <v>0</v>
      </c>
      <c r="AJ30" s="221">
        <v>0</v>
      </c>
      <c r="AK30" s="221">
        <v>0</v>
      </c>
      <c r="AL30" s="221">
        <v>0</v>
      </c>
      <c r="AM30" s="221">
        <v>0</v>
      </c>
      <c r="AN30" s="221">
        <v>0</v>
      </c>
      <c r="AO30" s="221">
        <v>0</v>
      </c>
      <c r="AP30" s="221">
        <v>0</v>
      </c>
      <c r="AQ30" s="221">
        <v>0</v>
      </c>
      <c r="AR30" s="221">
        <v>0</v>
      </c>
      <c r="AS30" s="221">
        <v>0</v>
      </c>
      <c r="AT30" s="221">
        <v>0</v>
      </c>
      <c r="AU30" s="221">
        <v>0</v>
      </c>
      <c r="AV30" s="221">
        <v>0</v>
      </c>
      <c r="AW30" s="221">
        <v>0</v>
      </c>
      <c r="AX30" s="221">
        <v>0</v>
      </c>
      <c r="AY30" s="221">
        <v>3.4667469249426062</v>
      </c>
      <c r="AZ30" s="221">
        <v>4.7011880042154157</v>
      </c>
      <c r="BA30" s="221">
        <v>8.1653119567372361</v>
      </c>
      <c r="BB30" s="221">
        <v>14.651483382293069</v>
      </c>
      <c r="BC30" s="221">
        <v>19.296171995310917</v>
      </c>
      <c r="BD30" s="221">
        <v>38.393033575281486</v>
      </c>
      <c r="BE30" s="221">
        <v>63.074810009868315</v>
      </c>
      <c r="BF30" s="221">
        <v>95.85518225674754</v>
      </c>
      <c r="BG30" s="221">
        <v>108.56587217316</v>
      </c>
      <c r="BH30" s="221">
        <v>223.90646286110388</v>
      </c>
      <c r="BI30" s="221">
        <v>301.8019120899113</v>
      </c>
      <c r="BJ30" s="221">
        <v>352.2270461612423</v>
      </c>
      <c r="BK30" s="221">
        <v>602.29769021981895</v>
      </c>
      <c r="BL30" s="221">
        <v>569.38264991440303</v>
      </c>
      <c r="BM30" s="221">
        <v>963.97269646180564</v>
      </c>
      <c r="BN30" s="221">
        <v>1142.9615960745732</v>
      </c>
      <c r="BO30" s="221">
        <v>1144.6790257514258</v>
      </c>
      <c r="BP30" s="221">
        <v>1731.6529785826933</v>
      </c>
      <c r="BQ30" s="221">
        <v>2065.4658483842891</v>
      </c>
      <c r="BR30" s="221">
        <v>2090.3371450129207</v>
      </c>
      <c r="BS30" s="221">
        <v>2175.4646823762623</v>
      </c>
      <c r="BT30" s="221">
        <v>2903.8144920528803</v>
      </c>
      <c r="BU30" s="221">
        <v>2701.9251365688192</v>
      </c>
      <c r="BV30" s="221">
        <v>2952.6655395515577</v>
      </c>
      <c r="BW30" s="221">
        <v>3373.0641245710804</v>
      </c>
      <c r="BX30" s="221">
        <v>2258.5376274049258</v>
      </c>
      <c r="BY30" s="221">
        <v>3880.1396208427341</v>
      </c>
      <c r="BZ30" s="221">
        <v>2952.1319717383167</v>
      </c>
      <c r="CA30" s="221">
        <v>2910.9275858901728</v>
      </c>
      <c r="CB30" s="221">
        <v>4283.0272355925617</v>
      </c>
      <c r="CC30" s="221">
        <v>3606.1388807607559</v>
      </c>
      <c r="CD30" s="221">
        <v>3132.9032778466435</v>
      </c>
      <c r="CE30" s="221">
        <v>3701.6986460109229</v>
      </c>
      <c r="CF30" s="221">
        <v>3608.8193052785741</v>
      </c>
      <c r="CG30" s="221">
        <v>3961.7195484203394</v>
      </c>
      <c r="CH30" s="221">
        <v>3545.5862899551516</v>
      </c>
      <c r="CI30" s="221">
        <v>3347.0299480684384</v>
      </c>
      <c r="CJ30" s="221">
        <v>3459.4130213195422</v>
      </c>
      <c r="CK30" s="221">
        <v>4114.393518438882</v>
      </c>
      <c r="CL30" s="221">
        <v>2900.2888019503139</v>
      </c>
      <c r="CM30" s="221">
        <v>3236.5113724356456</v>
      </c>
      <c r="CN30" s="221">
        <v>4523.4598660506063</v>
      </c>
      <c r="CO30" s="221">
        <v>3421.4894683463526</v>
      </c>
      <c r="CP30" s="221">
        <v>3670.3375158600943</v>
      </c>
      <c r="CQ30" s="221">
        <v>3674.711779650564</v>
      </c>
      <c r="CR30" s="221">
        <v>3345.4099926302556</v>
      </c>
      <c r="CS30" s="221">
        <v>4457.4486299291211</v>
      </c>
      <c r="CT30" s="221">
        <v>3459.5024113831773</v>
      </c>
      <c r="CU30" s="221">
        <v>3372.6438188358584</v>
      </c>
      <c r="CV30" s="221">
        <v>3478.1076288506306</v>
      </c>
      <c r="CW30" s="221">
        <v>3793.0962332028294</v>
      </c>
      <c r="CX30" s="221">
        <v>3341.45247188232</v>
      </c>
      <c r="CY30" s="221">
        <v>3119.6739916316346</v>
      </c>
      <c r="CZ30" s="221">
        <v>4526.6563905352277</v>
      </c>
      <c r="DA30" s="221">
        <v>3089.6424117695042</v>
      </c>
      <c r="DB30" s="221">
        <v>4104.2782272591221</v>
      </c>
      <c r="DC30" s="221">
        <v>3551.7437755070323</v>
      </c>
      <c r="DD30" s="221">
        <v>3344.6735937523881</v>
      </c>
      <c r="DE30" s="221">
        <v>4456.2992330866418</v>
      </c>
      <c r="DF30" s="221">
        <v>3123.8190744278245</v>
      </c>
      <c r="DG30" s="221">
        <v>3811.1815863633915</v>
      </c>
      <c r="DH30" s="221">
        <v>3357.3124703764652</v>
      </c>
      <c r="DI30" s="221">
        <v>3463.5220758506953</v>
      </c>
      <c r="DJ30" s="221">
        <v>3779.4567496426048</v>
      </c>
      <c r="DK30" s="221">
        <v>3002.851710494424</v>
      </c>
      <c r="DL30" s="221">
        <v>4199.4882444572468</v>
      </c>
      <c r="DM30" s="221">
        <v>3531.8767293498013</v>
      </c>
      <c r="DN30" s="221">
        <v>3993.7724201277315</v>
      </c>
      <c r="DO30" s="221">
        <v>3228.9901491047931</v>
      </c>
      <c r="DP30" s="221">
        <v>3791.4339791127422</v>
      </c>
      <c r="DQ30" s="221">
        <v>4351.1369111949944</v>
      </c>
      <c r="DR30" s="221">
        <v>2803.5269074576008</v>
      </c>
      <c r="DS30" s="221">
        <v>4265.6857401965817</v>
      </c>
      <c r="DT30" s="221">
        <v>3249.9853741326428</v>
      </c>
      <c r="DU30" s="221">
        <v>3480.8365249562466</v>
      </c>
      <c r="DV30" s="221">
        <v>3799.0589281668263</v>
      </c>
      <c r="DW30" s="221">
        <v>3348.8740459571827</v>
      </c>
      <c r="DX30" s="221">
        <v>3789.1272787661824</v>
      </c>
      <c r="DY30" s="221">
        <v>4009.6772053738309</v>
      </c>
      <c r="DZ30" s="221">
        <v>3577.1149015710789</v>
      </c>
      <c r="EA30" s="221">
        <v>3370.0910579415622</v>
      </c>
      <c r="EB30" s="221">
        <v>4150.1831081744986</v>
      </c>
      <c r="EC30" s="221">
        <v>3592.7881489584975</v>
      </c>
      <c r="ED30" s="221">
        <v>3721.0859031271257</v>
      </c>
      <c r="EE30" s="221">
        <v>4066.5398901604367</v>
      </c>
      <c r="EF30" s="221">
        <v>2618.1786853894569</v>
      </c>
      <c r="EG30" s="221">
        <v>4397.1290452245912</v>
      </c>
      <c r="EH30" s="221">
        <v>3257.4660702543638</v>
      </c>
      <c r="EI30" s="221">
        <v>3157.9680942886312</v>
      </c>
      <c r="EJ30" s="221">
        <v>4244.7618680758624</v>
      </c>
      <c r="EK30" s="221">
        <v>3908.3978979991807</v>
      </c>
      <c r="EL30" s="221">
        <v>3259.4581632918621</v>
      </c>
      <c r="EM30" s="221">
        <v>3827.6335545429902</v>
      </c>
      <c r="EN30" s="221">
        <v>4049.6126452575054</v>
      </c>
      <c r="EO30" s="221">
        <v>3039.7223903364161</v>
      </c>
      <c r="EP30" s="221">
        <v>2913.0717904955613</v>
      </c>
      <c r="EQ30" s="221">
        <v>2664.1071704315837</v>
      </c>
      <c r="ER30" s="221">
        <v>1963.9642686557759</v>
      </c>
      <c r="ES30" s="221">
        <v>2581.827406155578</v>
      </c>
      <c r="ET30" s="221">
        <v>1543.4560957078288</v>
      </c>
      <c r="EU30" s="221">
        <v>1600.5883313997876</v>
      </c>
      <c r="EV30" s="221">
        <v>2073.6729024370761</v>
      </c>
      <c r="EW30" s="221">
        <v>1518.0306872813949</v>
      </c>
      <c r="EX30" s="221">
        <v>1167.4807533790774</v>
      </c>
      <c r="EY30" s="221">
        <v>1261.6840384353106</v>
      </c>
      <c r="EZ30" s="221">
        <v>1090.504697535441</v>
      </c>
      <c r="FA30" s="221">
        <v>1073.8986208456508</v>
      </c>
      <c r="FB30" s="221">
        <v>840.32013592081535</v>
      </c>
      <c r="FC30" s="221">
        <v>700.27539447347442</v>
      </c>
      <c r="FD30" s="221">
        <v>642.36048514500987</v>
      </c>
      <c r="FE30" s="221">
        <v>679.57848848499168</v>
      </c>
      <c r="FF30" s="221">
        <v>393.91380409603153</v>
      </c>
      <c r="FG30" s="221">
        <v>391.55943875129572</v>
      </c>
      <c r="FH30" s="221">
        <v>482.78020803048298</v>
      </c>
      <c r="FI30" s="221">
        <v>287.20236774025983</v>
      </c>
      <c r="FJ30" s="221">
        <v>258.74390073829233</v>
      </c>
      <c r="FK30" s="221">
        <v>205.99564660918105</v>
      </c>
      <c r="FL30" s="221">
        <v>139.54906227078939</v>
      </c>
      <c r="FM30" s="221">
        <v>223.90241079836309</v>
      </c>
      <c r="FN30" s="221">
        <v>176.84120599703823</v>
      </c>
      <c r="FO30" s="221">
        <v>172.50218984978434</v>
      </c>
      <c r="FP30" s="221">
        <v>177.99290340443653</v>
      </c>
      <c r="FQ30" s="221">
        <v>194.22322958554244</v>
      </c>
      <c r="FR30" s="221">
        <v>171.21345140853862</v>
      </c>
      <c r="FS30" s="221">
        <v>176.73601682793768</v>
      </c>
      <c r="FT30" s="221">
        <v>210.015293388884</v>
      </c>
      <c r="FU30" s="221">
        <v>181.85579833260132</v>
      </c>
      <c r="FV30" s="221">
        <v>205.64274544554695</v>
      </c>
      <c r="FW30" s="221">
        <v>166.26150200977344</v>
      </c>
      <c r="FX30" s="221">
        <v>195.20999340194797</v>
      </c>
      <c r="FY30" s="221">
        <v>224.00615050377166</v>
      </c>
      <c r="FZ30" s="221">
        <v>144.32966678791661</v>
      </c>
      <c r="GA30" s="221">
        <v>219.58613309471366</v>
      </c>
      <c r="GB30" s="221">
        <v>167.2817370658268</v>
      </c>
      <c r="GC30" s="221">
        <v>179.14613010254408</v>
      </c>
      <c r="GD30" s="24">
        <f t="shared" ref="GD30:GD35" si="50">IF(E30=1,SUM(G30:Q30),0)</f>
        <v>0</v>
      </c>
      <c r="GE30" s="24">
        <f t="shared" ref="GE30:GE35" si="51">IF(E30=1,SUM(R30:AC30),0)</f>
        <v>0</v>
      </c>
      <c r="GF30" s="24">
        <f t="shared" ref="GF30:GF35" si="52">IF(E30=1,SUM(AD30:AO30),0)</f>
        <v>0</v>
      </c>
      <c r="GG30" s="24">
        <f t="shared" ref="GG30:GG35" si="53">IF(E30=1,SUM(AP30:BA30),0)</f>
        <v>16.333246885895257</v>
      </c>
      <c r="GH30" s="24">
        <f t="shared" ref="GH30:GH35" si="54">IF(E30=1,SUM(BB30:BM30),0)</f>
        <v>3353.4250111009464</v>
      </c>
      <c r="GI30" s="24">
        <f t="shared" ref="GI30:GI35" si="55">IF(E30=1,SUM(BN30:BY30),0)</f>
        <v>28420.70781717416</v>
      </c>
      <c r="GJ30" s="24">
        <f t="shared" ref="GJ30:GJ35" si="56">IF(E30=1,SUM(BZ30:CK30),0)</f>
        <v>42623.789229320304</v>
      </c>
      <c r="GK30" s="24">
        <f t="shared" ref="GK30:GK35" si="57">IF(E30=1,SUM(CL30:CW30),0)</f>
        <v>43333.007519125444</v>
      </c>
      <c r="GL30" s="24">
        <f t="shared" ref="GL30:GL35" si="58">IF(E30=1,SUM(CX30:DI30),0)</f>
        <v>43290.255302442245</v>
      </c>
      <c r="GM30" s="24">
        <f t="shared" ref="GM30:GM35" si="59">IF(E30=1,SUM(DJ30:DU30),0)</f>
        <v>43679.041440227411</v>
      </c>
      <c r="GN30" s="24">
        <f t="shared" ref="GN30:GN35" si="60">IF(E30=1,SUM(DV30:EG30),0)</f>
        <v>44439.848198811269</v>
      </c>
      <c r="GO30" s="24">
        <f t="shared" ref="GO30:GO35" si="61">IF(E30=1,SUM(EH30:ES30),0)</f>
        <v>38867.991319785309</v>
      </c>
      <c r="GP30" s="24">
        <f t="shared" ref="GP30:GP35" si="62">IF(E30=1,SUM(ET30:FE30),0)</f>
        <v>14191.850631045858</v>
      </c>
      <c r="GQ30" s="24">
        <f t="shared" ref="GQ30:GQ35" si="63">IF(E30=1,SUM(FF30:FQ30),0)</f>
        <v>3105.2063678714981</v>
      </c>
      <c r="GR30" s="24">
        <f t="shared" ref="GR30:GR35" si="64">IF(E30=1,SUM(FR30:GC30),0)</f>
        <v>2241.284618370003</v>
      </c>
    </row>
    <row r="31" spans="1:200" ht="14" customHeight="1" x14ac:dyDescent="0.35">
      <c r="A31" s="2" t="str">
        <f t="shared" ref="A31:A41" si="65">IF($F$1="Combined","47mg LP","47mg LP - EU Stock")</f>
        <v>47mg LP</v>
      </c>
      <c r="B31" s="150" t="s">
        <v>734</v>
      </c>
      <c r="C31" s="4" t="s">
        <v>85</v>
      </c>
      <c r="D31" s="12" t="s">
        <v>103</v>
      </c>
      <c r="E31" s="21">
        <f>IFERROR(VLOOKUP(B31,'SKU Master'!A:P,6,0),0)</f>
        <v>1</v>
      </c>
      <c r="F31" s="221"/>
      <c r="G31" s="221"/>
      <c r="H31" s="221"/>
      <c r="I31" s="221"/>
      <c r="J31" s="221"/>
      <c r="K31" s="221"/>
      <c r="L31" s="221"/>
      <c r="M31" s="221"/>
      <c r="N31" s="221"/>
      <c r="O31" s="221"/>
      <c r="P31" s="221"/>
      <c r="Q31" s="221"/>
      <c r="R31" s="221"/>
      <c r="S31" s="221"/>
      <c r="T31" s="221"/>
      <c r="U31" s="221"/>
      <c r="V31" s="221"/>
      <c r="W31" s="221"/>
      <c r="X31" s="221"/>
      <c r="Y31" s="221"/>
      <c r="Z31" s="221"/>
      <c r="AA31" s="221"/>
      <c r="AB31" s="221"/>
      <c r="AC31" s="221"/>
      <c r="AD31" s="221"/>
      <c r="AE31" s="221"/>
      <c r="AF31" s="221"/>
      <c r="AG31" s="221"/>
      <c r="AH31" s="221"/>
      <c r="AI31" s="221"/>
      <c r="AJ31" s="221"/>
      <c r="AK31" s="221"/>
      <c r="AL31" s="221"/>
      <c r="AM31" s="221"/>
      <c r="AN31" s="221"/>
      <c r="AO31" s="221"/>
      <c r="AP31" s="221"/>
      <c r="AQ31" s="221"/>
      <c r="AR31" s="221"/>
      <c r="AS31" s="221"/>
      <c r="AT31" s="221"/>
      <c r="AU31" s="221"/>
      <c r="AV31" s="221"/>
      <c r="AW31" s="221"/>
      <c r="AX31" s="221"/>
      <c r="AY31" s="221"/>
      <c r="AZ31" s="221"/>
      <c r="BA31" s="221"/>
      <c r="BB31" s="221"/>
      <c r="BC31" s="221"/>
      <c r="BD31" s="221"/>
      <c r="BE31" s="221"/>
      <c r="BF31" s="221"/>
      <c r="BG31" s="221"/>
      <c r="BH31" s="221"/>
      <c r="BI31" s="221"/>
      <c r="BJ31" s="221"/>
      <c r="BK31" s="221"/>
      <c r="BL31" s="221"/>
      <c r="BM31" s="221"/>
      <c r="BN31" s="221"/>
      <c r="BO31" s="221"/>
      <c r="BP31" s="221"/>
      <c r="BQ31" s="221"/>
      <c r="BR31" s="221"/>
      <c r="BS31" s="221"/>
      <c r="BT31" s="221"/>
      <c r="BU31" s="221"/>
      <c r="BV31" s="221"/>
      <c r="BW31" s="221"/>
      <c r="BX31" s="221"/>
      <c r="BY31" s="221"/>
      <c r="BZ31" s="221"/>
      <c r="CA31" s="221"/>
      <c r="CB31" s="221"/>
      <c r="CC31" s="221"/>
      <c r="CD31" s="221"/>
      <c r="CE31" s="221"/>
      <c r="CF31" s="221"/>
      <c r="CG31" s="221"/>
      <c r="CH31" s="221"/>
      <c r="CI31" s="221"/>
      <c r="CJ31" s="221"/>
      <c r="CK31" s="221"/>
      <c r="CL31" s="221"/>
      <c r="CM31" s="221"/>
      <c r="CN31" s="221"/>
      <c r="CO31" s="221"/>
      <c r="CP31" s="221"/>
      <c r="CQ31" s="221"/>
      <c r="CR31" s="221"/>
      <c r="CS31" s="221"/>
      <c r="CT31" s="221"/>
      <c r="CU31" s="221"/>
      <c r="CV31" s="221"/>
      <c r="CW31" s="221"/>
      <c r="CX31" s="221"/>
      <c r="CY31" s="221"/>
      <c r="CZ31" s="221"/>
      <c r="DA31" s="221"/>
      <c r="DB31" s="221"/>
      <c r="DC31" s="221"/>
      <c r="DD31" s="221"/>
      <c r="DE31" s="221"/>
      <c r="DF31" s="221"/>
      <c r="DG31" s="221"/>
      <c r="DH31" s="221"/>
      <c r="DI31" s="221"/>
      <c r="DJ31" s="221"/>
      <c r="DK31" s="221"/>
      <c r="DL31" s="221"/>
      <c r="DM31" s="221"/>
      <c r="DN31" s="221"/>
      <c r="DO31" s="221"/>
      <c r="DP31" s="221"/>
      <c r="DQ31" s="221"/>
      <c r="DR31" s="221"/>
      <c r="DS31" s="221"/>
      <c r="DT31" s="221"/>
      <c r="DU31" s="221"/>
      <c r="DV31" s="221"/>
      <c r="DW31" s="221"/>
      <c r="DX31" s="221"/>
      <c r="DY31" s="221"/>
      <c r="DZ31" s="221"/>
      <c r="EA31" s="221"/>
      <c r="EB31" s="221"/>
      <c r="EC31" s="221"/>
      <c r="ED31" s="221"/>
      <c r="EE31" s="221"/>
      <c r="EF31" s="221"/>
      <c r="EG31" s="221"/>
      <c r="EH31" s="221"/>
      <c r="EI31" s="221"/>
      <c r="EJ31" s="221"/>
      <c r="EK31" s="221"/>
      <c r="EL31" s="221"/>
      <c r="EM31" s="221"/>
      <c r="EN31" s="221"/>
      <c r="EO31" s="221"/>
      <c r="EP31" s="221"/>
      <c r="EQ31" s="221"/>
      <c r="ER31" s="221"/>
      <c r="ES31" s="221"/>
      <c r="ET31" s="221"/>
      <c r="EU31" s="221"/>
      <c r="EV31" s="221"/>
      <c r="EW31" s="221"/>
      <c r="EX31" s="221"/>
      <c r="EY31" s="221"/>
      <c r="EZ31" s="221"/>
      <c r="FA31" s="221"/>
      <c r="FB31" s="221"/>
      <c r="FC31" s="221"/>
      <c r="FD31" s="221"/>
      <c r="FE31" s="221"/>
      <c r="FF31" s="221"/>
      <c r="FG31" s="221"/>
      <c r="FH31" s="221"/>
      <c r="FI31" s="221"/>
      <c r="FJ31" s="221"/>
      <c r="FK31" s="221"/>
      <c r="FL31" s="221"/>
      <c r="FM31" s="221"/>
      <c r="FN31" s="221"/>
      <c r="FO31" s="221"/>
      <c r="FP31" s="221"/>
      <c r="FQ31" s="221"/>
      <c r="FR31" s="221"/>
      <c r="FS31" s="221"/>
      <c r="FT31" s="221"/>
      <c r="FU31" s="221"/>
      <c r="FV31" s="221"/>
      <c r="FW31" s="221"/>
      <c r="FX31" s="221"/>
      <c r="FY31" s="221"/>
      <c r="FZ31" s="221"/>
      <c r="GA31" s="221"/>
      <c r="GB31" s="221"/>
      <c r="GC31" s="221"/>
      <c r="GD31" s="24">
        <f t="shared" si="50"/>
        <v>0</v>
      </c>
      <c r="GE31" s="24">
        <f t="shared" si="51"/>
        <v>0</v>
      </c>
      <c r="GF31" s="24">
        <f t="shared" si="52"/>
        <v>0</v>
      </c>
      <c r="GG31" s="24">
        <f t="shared" si="53"/>
        <v>0</v>
      </c>
      <c r="GH31" s="24">
        <f t="shared" si="54"/>
        <v>0</v>
      </c>
      <c r="GI31" s="24">
        <f t="shared" si="55"/>
        <v>0</v>
      </c>
      <c r="GJ31" s="24">
        <f t="shared" si="56"/>
        <v>0</v>
      </c>
      <c r="GK31" s="24">
        <f t="shared" si="57"/>
        <v>0</v>
      </c>
      <c r="GL31" s="24">
        <f t="shared" si="58"/>
        <v>0</v>
      </c>
      <c r="GM31" s="24">
        <f t="shared" si="59"/>
        <v>0</v>
      </c>
      <c r="GN31" s="24">
        <f t="shared" si="60"/>
        <v>0</v>
      </c>
      <c r="GO31" s="24">
        <f t="shared" si="61"/>
        <v>0</v>
      </c>
      <c r="GP31" s="24">
        <f t="shared" si="62"/>
        <v>0</v>
      </c>
      <c r="GQ31" s="24">
        <f t="shared" si="63"/>
        <v>0</v>
      </c>
      <c r="GR31" s="24">
        <f t="shared" si="64"/>
        <v>0</v>
      </c>
    </row>
    <row r="32" spans="1:200" ht="14" customHeight="1" x14ac:dyDescent="0.35">
      <c r="A32" s="2" t="str">
        <f t="shared" si="65"/>
        <v>47mg LP</v>
      </c>
      <c r="B32" s="150" t="s">
        <v>735</v>
      </c>
      <c r="C32" s="4" t="s">
        <v>85</v>
      </c>
      <c r="D32" s="4" t="s">
        <v>103</v>
      </c>
      <c r="E32" s="21">
        <f>IFERROR(VLOOKUP(B32,'SKU Master'!A:P,6,0),0)</f>
        <v>1</v>
      </c>
      <c r="F32" s="221"/>
      <c r="G32" s="221"/>
      <c r="H32" s="221"/>
      <c r="I32" s="221"/>
      <c r="J32" s="221"/>
      <c r="K32" s="221"/>
      <c r="L32" s="221"/>
      <c r="M32" s="221"/>
      <c r="N32" s="221"/>
      <c r="O32" s="221"/>
      <c r="P32" s="221"/>
      <c r="Q32" s="221"/>
      <c r="R32" s="221"/>
      <c r="S32" s="221"/>
      <c r="T32" s="221"/>
      <c r="U32" s="221"/>
      <c r="V32" s="221"/>
      <c r="W32" s="221"/>
      <c r="X32" s="221"/>
      <c r="Y32" s="221"/>
      <c r="Z32" s="221"/>
      <c r="AA32" s="221"/>
      <c r="AB32" s="221"/>
      <c r="AC32" s="221"/>
      <c r="AD32" s="221"/>
      <c r="AE32" s="221"/>
      <c r="AF32" s="221"/>
      <c r="AG32" s="221"/>
      <c r="AH32" s="221"/>
      <c r="AI32" s="221"/>
      <c r="AJ32" s="221"/>
      <c r="AK32" s="221"/>
      <c r="AL32" s="221"/>
      <c r="AM32" s="221"/>
      <c r="AN32" s="221"/>
      <c r="AO32" s="221"/>
      <c r="AP32" s="221"/>
      <c r="AQ32" s="221"/>
      <c r="AR32" s="221"/>
      <c r="AS32" s="221"/>
      <c r="AT32" s="221"/>
      <c r="AU32" s="221"/>
      <c r="AV32" s="221"/>
      <c r="AW32" s="221"/>
      <c r="AX32" s="221"/>
      <c r="AY32" s="221"/>
      <c r="AZ32" s="221"/>
      <c r="BA32" s="221"/>
      <c r="BB32" s="221"/>
      <c r="BC32" s="221"/>
      <c r="BD32" s="221"/>
      <c r="BE32" s="221"/>
      <c r="BF32" s="221"/>
      <c r="BG32" s="221"/>
      <c r="BH32" s="221"/>
      <c r="BI32" s="221"/>
      <c r="BJ32" s="221"/>
      <c r="BK32" s="221"/>
      <c r="BL32" s="221"/>
      <c r="BM32" s="221"/>
      <c r="BN32" s="221"/>
      <c r="BO32" s="221"/>
      <c r="BP32" s="221"/>
      <c r="BQ32" s="221"/>
      <c r="BR32" s="221"/>
      <c r="BS32" s="221"/>
      <c r="BT32" s="221"/>
      <c r="BU32" s="221"/>
      <c r="BV32" s="221"/>
      <c r="BW32" s="221"/>
      <c r="BX32" s="221"/>
      <c r="BY32" s="221"/>
      <c r="BZ32" s="221"/>
      <c r="CA32" s="221"/>
      <c r="CB32" s="221"/>
      <c r="CC32" s="221"/>
      <c r="CD32" s="221"/>
      <c r="CE32" s="221"/>
      <c r="CF32" s="221"/>
      <c r="CG32" s="221"/>
      <c r="CH32" s="221"/>
      <c r="CI32" s="221"/>
      <c r="CJ32" s="221"/>
      <c r="CK32" s="221"/>
      <c r="CL32" s="221"/>
      <c r="CM32" s="221"/>
      <c r="CN32" s="221"/>
      <c r="CO32" s="221"/>
      <c r="CP32" s="221"/>
      <c r="CQ32" s="221"/>
      <c r="CR32" s="221"/>
      <c r="CS32" s="221"/>
      <c r="CT32" s="221"/>
      <c r="CU32" s="221"/>
      <c r="CV32" s="221"/>
      <c r="CW32" s="221"/>
      <c r="CX32" s="221"/>
      <c r="CY32" s="221"/>
      <c r="CZ32" s="221"/>
      <c r="DA32" s="221"/>
      <c r="DB32" s="221"/>
      <c r="DC32" s="221"/>
      <c r="DD32" s="221"/>
      <c r="DE32" s="221"/>
      <c r="DF32" s="221"/>
      <c r="DG32" s="221"/>
      <c r="DH32" s="221"/>
      <c r="DI32" s="221"/>
      <c r="DJ32" s="221"/>
      <c r="DK32" s="221"/>
      <c r="DL32" s="221"/>
      <c r="DM32" s="221"/>
      <c r="DN32" s="221"/>
      <c r="DO32" s="221"/>
      <c r="DP32" s="221"/>
      <c r="DQ32" s="221"/>
      <c r="DR32" s="221"/>
      <c r="DS32" s="221"/>
      <c r="DT32" s="221"/>
      <c r="DU32" s="221"/>
      <c r="DV32" s="221"/>
      <c r="DW32" s="221"/>
      <c r="DX32" s="221"/>
      <c r="DY32" s="221"/>
      <c r="DZ32" s="221"/>
      <c r="EA32" s="221"/>
      <c r="EB32" s="221"/>
      <c r="EC32" s="221"/>
      <c r="ED32" s="221"/>
      <c r="EE32" s="221"/>
      <c r="EF32" s="221"/>
      <c r="EG32" s="221"/>
      <c r="EH32" s="221"/>
      <c r="EI32" s="221"/>
      <c r="EJ32" s="221"/>
      <c r="EK32" s="221"/>
      <c r="EL32" s="221"/>
      <c r="EM32" s="221"/>
      <c r="EN32" s="221"/>
      <c r="EO32" s="221"/>
      <c r="EP32" s="221"/>
      <c r="EQ32" s="221"/>
      <c r="ER32" s="221"/>
      <c r="ES32" s="221"/>
      <c r="ET32" s="221"/>
      <c r="EU32" s="221"/>
      <c r="EV32" s="221"/>
      <c r="EW32" s="221"/>
      <c r="EX32" s="221"/>
      <c r="EY32" s="221"/>
      <c r="EZ32" s="221"/>
      <c r="FA32" s="221"/>
      <c r="FB32" s="221"/>
      <c r="FC32" s="221"/>
      <c r="FD32" s="221"/>
      <c r="FE32" s="221"/>
      <c r="FF32" s="221"/>
      <c r="FG32" s="221"/>
      <c r="FH32" s="221"/>
      <c r="FI32" s="221"/>
      <c r="FJ32" s="221"/>
      <c r="FK32" s="221"/>
      <c r="FL32" s="221"/>
      <c r="FM32" s="221"/>
      <c r="FN32" s="221"/>
      <c r="FO32" s="221"/>
      <c r="FP32" s="221"/>
      <c r="FQ32" s="221"/>
      <c r="FR32" s="221"/>
      <c r="FS32" s="221"/>
      <c r="FT32" s="221"/>
      <c r="FU32" s="221"/>
      <c r="FV32" s="221"/>
      <c r="FW32" s="221"/>
      <c r="FX32" s="221"/>
      <c r="FY32" s="221"/>
      <c r="FZ32" s="221"/>
      <c r="GA32" s="221"/>
      <c r="GB32" s="221"/>
      <c r="GC32" s="221"/>
      <c r="GD32" s="24">
        <f t="shared" si="50"/>
        <v>0</v>
      </c>
      <c r="GE32" s="24">
        <f t="shared" si="51"/>
        <v>0</v>
      </c>
      <c r="GF32" s="24">
        <f t="shared" si="52"/>
        <v>0</v>
      </c>
      <c r="GG32" s="24">
        <f t="shared" si="53"/>
        <v>0</v>
      </c>
      <c r="GH32" s="24">
        <f t="shared" si="54"/>
        <v>0</v>
      </c>
      <c r="GI32" s="24">
        <f t="shared" si="55"/>
        <v>0</v>
      </c>
      <c r="GJ32" s="24">
        <f t="shared" si="56"/>
        <v>0</v>
      </c>
      <c r="GK32" s="24">
        <f t="shared" si="57"/>
        <v>0</v>
      </c>
      <c r="GL32" s="24">
        <f t="shared" si="58"/>
        <v>0</v>
      </c>
      <c r="GM32" s="24">
        <f t="shared" si="59"/>
        <v>0</v>
      </c>
      <c r="GN32" s="24">
        <f t="shared" si="60"/>
        <v>0</v>
      </c>
      <c r="GO32" s="24">
        <f t="shared" si="61"/>
        <v>0</v>
      </c>
      <c r="GP32" s="24">
        <f t="shared" si="62"/>
        <v>0</v>
      </c>
      <c r="GQ32" s="24">
        <f t="shared" si="63"/>
        <v>0</v>
      </c>
      <c r="GR32" s="24">
        <f t="shared" si="64"/>
        <v>0</v>
      </c>
    </row>
    <row r="33" spans="1:200" ht="14" customHeight="1" x14ac:dyDescent="0.35">
      <c r="A33" s="2" t="str">
        <f t="shared" si="65"/>
        <v>47mg LP</v>
      </c>
      <c r="B33" s="150" t="s">
        <v>736</v>
      </c>
      <c r="C33" s="4" t="s">
        <v>85</v>
      </c>
      <c r="D33" s="12" t="s">
        <v>103</v>
      </c>
      <c r="E33" s="21">
        <f>IFERROR(VLOOKUP(B33,'SKU Master'!A:P,6,0),0)</f>
        <v>0</v>
      </c>
      <c r="F33" s="221"/>
      <c r="G33" s="221"/>
      <c r="H33" s="221"/>
      <c r="I33" s="221"/>
      <c r="J33" s="221"/>
      <c r="K33" s="221"/>
      <c r="L33" s="221"/>
      <c r="M33" s="221"/>
      <c r="N33" s="221"/>
      <c r="O33" s="221"/>
      <c r="P33" s="221"/>
      <c r="Q33" s="221"/>
      <c r="R33" s="221"/>
      <c r="S33" s="221"/>
      <c r="T33" s="221"/>
      <c r="U33" s="221"/>
      <c r="V33" s="221"/>
      <c r="W33" s="221"/>
      <c r="X33" s="221"/>
      <c r="Y33" s="221"/>
      <c r="Z33" s="221"/>
      <c r="AA33" s="221"/>
      <c r="AB33" s="221"/>
      <c r="AC33" s="221"/>
      <c r="AD33" s="221"/>
      <c r="AE33" s="221"/>
      <c r="AF33" s="221"/>
      <c r="AG33" s="221"/>
      <c r="AH33" s="221"/>
      <c r="AI33" s="221"/>
      <c r="AJ33" s="221"/>
      <c r="AK33" s="221"/>
      <c r="AL33" s="221"/>
      <c r="AM33" s="221"/>
      <c r="AN33" s="221"/>
      <c r="AO33" s="221"/>
      <c r="AP33" s="221"/>
      <c r="AQ33" s="221"/>
      <c r="AR33" s="221"/>
      <c r="AS33" s="221"/>
      <c r="AT33" s="221"/>
      <c r="AU33" s="221"/>
      <c r="AV33" s="221"/>
      <c r="AW33" s="221"/>
      <c r="AX33" s="221"/>
      <c r="AY33" s="221"/>
      <c r="AZ33" s="221"/>
      <c r="BA33" s="221"/>
      <c r="BB33" s="221"/>
      <c r="BC33" s="221"/>
      <c r="BD33" s="221"/>
      <c r="BE33" s="221"/>
      <c r="BF33" s="221"/>
      <c r="BG33" s="221"/>
      <c r="BH33" s="221"/>
      <c r="BI33" s="221"/>
      <c r="BJ33" s="221"/>
      <c r="BK33" s="221"/>
      <c r="BL33" s="221"/>
      <c r="BM33" s="221"/>
      <c r="BN33" s="221"/>
      <c r="BO33" s="221"/>
      <c r="BP33" s="221"/>
      <c r="BQ33" s="221"/>
      <c r="BR33" s="221"/>
      <c r="BS33" s="221"/>
      <c r="BT33" s="221"/>
      <c r="BU33" s="221"/>
      <c r="BV33" s="221"/>
      <c r="BW33" s="221"/>
      <c r="BX33" s="221"/>
      <c r="BY33" s="221"/>
      <c r="BZ33" s="221"/>
      <c r="CA33" s="221"/>
      <c r="CB33" s="221"/>
      <c r="CC33" s="221"/>
      <c r="CD33" s="221"/>
      <c r="CE33" s="221"/>
      <c r="CF33" s="221"/>
      <c r="CG33" s="221"/>
      <c r="CH33" s="221"/>
      <c r="CI33" s="221"/>
      <c r="CJ33" s="221"/>
      <c r="CK33" s="221"/>
      <c r="CL33" s="221"/>
      <c r="CM33" s="221"/>
      <c r="CN33" s="221"/>
      <c r="CO33" s="221"/>
      <c r="CP33" s="221"/>
      <c r="CQ33" s="221"/>
      <c r="CR33" s="221"/>
      <c r="CS33" s="221"/>
      <c r="CT33" s="221"/>
      <c r="CU33" s="221"/>
      <c r="CV33" s="221"/>
      <c r="CW33" s="221"/>
      <c r="CX33" s="221"/>
      <c r="CY33" s="221"/>
      <c r="CZ33" s="221"/>
      <c r="DA33" s="221"/>
      <c r="DB33" s="221"/>
      <c r="DC33" s="221"/>
      <c r="DD33" s="221"/>
      <c r="DE33" s="221"/>
      <c r="DF33" s="221"/>
      <c r="DG33" s="221"/>
      <c r="DH33" s="221"/>
      <c r="DI33" s="221"/>
      <c r="DJ33" s="221"/>
      <c r="DK33" s="221"/>
      <c r="DL33" s="221"/>
      <c r="DM33" s="221"/>
      <c r="DN33" s="221"/>
      <c r="DO33" s="221"/>
      <c r="DP33" s="221"/>
      <c r="DQ33" s="221"/>
      <c r="DR33" s="221"/>
      <c r="DS33" s="221"/>
      <c r="DT33" s="221"/>
      <c r="DU33" s="221"/>
      <c r="DV33" s="221"/>
      <c r="DW33" s="221"/>
      <c r="DX33" s="221"/>
      <c r="DY33" s="221"/>
      <c r="DZ33" s="221"/>
      <c r="EA33" s="221"/>
      <c r="EB33" s="221"/>
      <c r="EC33" s="221"/>
      <c r="ED33" s="221"/>
      <c r="EE33" s="221"/>
      <c r="EF33" s="221"/>
      <c r="EG33" s="221"/>
      <c r="EH33" s="221"/>
      <c r="EI33" s="221"/>
      <c r="EJ33" s="221"/>
      <c r="EK33" s="221"/>
      <c r="EL33" s="221"/>
      <c r="EM33" s="221"/>
      <c r="EN33" s="221"/>
      <c r="EO33" s="221"/>
      <c r="EP33" s="221"/>
      <c r="EQ33" s="221"/>
      <c r="ER33" s="221"/>
      <c r="ES33" s="221"/>
      <c r="ET33" s="221"/>
      <c r="EU33" s="221"/>
      <c r="EV33" s="221"/>
      <c r="EW33" s="221"/>
      <c r="EX33" s="221"/>
      <c r="EY33" s="221"/>
      <c r="EZ33" s="221"/>
      <c r="FA33" s="221"/>
      <c r="FB33" s="221"/>
      <c r="FC33" s="221"/>
      <c r="FD33" s="221"/>
      <c r="FE33" s="221"/>
      <c r="FF33" s="221"/>
      <c r="FG33" s="221"/>
      <c r="FH33" s="221"/>
      <c r="FI33" s="221"/>
      <c r="FJ33" s="221"/>
      <c r="FK33" s="221"/>
      <c r="FL33" s="221"/>
      <c r="FM33" s="221"/>
      <c r="FN33" s="221"/>
      <c r="FO33" s="221"/>
      <c r="FP33" s="221"/>
      <c r="FQ33" s="221"/>
      <c r="FR33" s="221"/>
      <c r="FS33" s="221"/>
      <c r="FT33" s="221"/>
      <c r="FU33" s="221"/>
      <c r="FV33" s="221"/>
      <c r="FW33" s="221"/>
      <c r="FX33" s="221"/>
      <c r="FY33" s="221"/>
      <c r="FZ33" s="221"/>
      <c r="GA33" s="221"/>
      <c r="GB33" s="221"/>
      <c r="GC33" s="221"/>
      <c r="GD33" s="24">
        <f t="shared" si="50"/>
        <v>0</v>
      </c>
      <c r="GE33" s="24">
        <f t="shared" si="51"/>
        <v>0</v>
      </c>
      <c r="GF33" s="24">
        <f t="shared" si="52"/>
        <v>0</v>
      </c>
      <c r="GG33" s="24">
        <f t="shared" si="53"/>
        <v>0</v>
      </c>
      <c r="GH33" s="24">
        <f t="shared" si="54"/>
        <v>0</v>
      </c>
      <c r="GI33" s="24">
        <f t="shared" si="55"/>
        <v>0</v>
      </c>
      <c r="GJ33" s="24">
        <f t="shared" si="56"/>
        <v>0</v>
      </c>
      <c r="GK33" s="24">
        <f t="shared" si="57"/>
        <v>0</v>
      </c>
      <c r="GL33" s="24">
        <f t="shared" si="58"/>
        <v>0</v>
      </c>
      <c r="GM33" s="24">
        <f t="shared" si="59"/>
        <v>0</v>
      </c>
      <c r="GN33" s="24">
        <f t="shared" si="60"/>
        <v>0</v>
      </c>
      <c r="GO33" s="24">
        <f t="shared" si="61"/>
        <v>0</v>
      </c>
      <c r="GP33" s="24">
        <f t="shared" si="62"/>
        <v>0</v>
      </c>
      <c r="GQ33" s="24">
        <f t="shared" si="63"/>
        <v>0</v>
      </c>
      <c r="GR33" s="24">
        <f t="shared" si="64"/>
        <v>0</v>
      </c>
    </row>
    <row r="34" spans="1:200" ht="14" customHeight="1" x14ac:dyDescent="0.35">
      <c r="A34" s="2" t="str">
        <f t="shared" si="65"/>
        <v>47mg LP</v>
      </c>
      <c r="B34" s="150" t="s">
        <v>737</v>
      </c>
      <c r="C34" s="4" t="s">
        <v>85</v>
      </c>
      <c r="D34" s="4" t="s">
        <v>103</v>
      </c>
      <c r="E34" s="21">
        <f>IFERROR(VLOOKUP(B34,'SKU Master'!A:P,6,0),0)</f>
        <v>0</v>
      </c>
      <c r="F34" s="221"/>
      <c r="G34" s="221"/>
      <c r="H34" s="221"/>
      <c r="I34" s="221"/>
      <c r="J34" s="221"/>
      <c r="K34" s="221"/>
      <c r="L34" s="221"/>
      <c r="M34" s="221"/>
      <c r="N34" s="221"/>
      <c r="O34" s="221"/>
      <c r="P34" s="221"/>
      <c r="Q34" s="221"/>
      <c r="R34" s="221"/>
      <c r="S34" s="221"/>
      <c r="T34" s="221"/>
      <c r="U34" s="221"/>
      <c r="V34" s="221"/>
      <c r="W34" s="221"/>
      <c r="X34" s="221"/>
      <c r="Y34" s="221"/>
      <c r="Z34" s="221"/>
      <c r="AA34" s="221"/>
      <c r="AB34" s="221"/>
      <c r="AC34" s="221"/>
      <c r="AD34" s="221"/>
      <c r="AE34" s="221"/>
      <c r="AF34" s="221"/>
      <c r="AG34" s="221"/>
      <c r="AH34" s="221"/>
      <c r="AI34" s="221"/>
      <c r="AJ34" s="221"/>
      <c r="AK34" s="221"/>
      <c r="AL34" s="221"/>
      <c r="AM34" s="221"/>
      <c r="AN34" s="221"/>
      <c r="AO34" s="221"/>
      <c r="AP34" s="221"/>
      <c r="AQ34" s="221"/>
      <c r="AR34" s="221"/>
      <c r="AS34" s="221"/>
      <c r="AT34" s="221"/>
      <c r="AU34" s="221"/>
      <c r="AV34" s="221"/>
      <c r="AW34" s="221"/>
      <c r="AX34" s="221"/>
      <c r="AY34" s="221"/>
      <c r="AZ34" s="221"/>
      <c r="BA34" s="221"/>
      <c r="BB34" s="221"/>
      <c r="BC34" s="221"/>
      <c r="BD34" s="221"/>
      <c r="BE34" s="221"/>
      <c r="BF34" s="221"/>
      <c r="BG34" s="221"/>
      <c r="BH34" s="221"/>
      <c r="BI34" s="221"/>
      <c r="BJ34" s="221"/>
      <c r="BK34" s="221"/>
      <c r="BL34" s="221"/>
      <c r="BM34" s="221"/>
      <c r="BN34" s="221"/>
      <c r="BO34" s="221"/>
      <c r="BP34" s="221"/>
      <c r="BQ34" s="221"/>
      <c r="BR34" s="221"/>
      <c r="BS34" s="221"/>
      <c r="BT34" s="221"/>
      <c r="BU34" s="221"/>
      <c r="BV34" s="221"/>
      <c r="BW34" s="221"/>
      <c r="BX34" s="221"/>
      <c r="BY34" s="221"/>
      <c r="BZ34" s="221"/>
      <c r="CA34" s="221"/>
      <c r="CB34" s="221"/>
      <c r="CC34" s="221"/>
      <c r="CD34" s="221"/>
      <c r="CE34" s="221"/>
      <c r="CF34" s="221"/>
      <c r="CG34" s="221"/>
      <c r="CH34" s="221"/>
      <c r="CI34" s="221"/>
      <c r="CJ34" s="221"/>
      <c r="CK34" s="221"/>
      <c r="CL34" s="221"/>
      <c r="CM34" s="221"/>
      <c r="CN34" s="221"/>
      <c r="CO34" s="221"/>
      <c r="CP34" s="221"/>
      <c r="CQ34" s="221"/>
      <c r="CR34" s="221"/>
      <c r="CS34" s="221"/>
      <c r="CT34" s="221"/>
      <c r="CU34" s="221"/>
      <c r="CV34" s="221"/>
      <c r="CW34" s="221"/>
      <c r="CX34" s="221"/>
      <c r="CY34" s="221"/>
      <c r="CZ34" s="221"/>
      <c r="DA34" s="221"/>
      <c r="DB34" s="221"/>
      <c r="DC34" s="221"/>
      <c r="DD34" s="221"/>
      <c r="DE34" s="221"/>
      <c r="DF34" s="221"/>
      <c r="DG34" s="221"/>
      <c r="DH34" s="221"/>
      <c r="DI34" s="221"/>
      <c r="DJ34" s="221"/>
      <c r="DK34" s="221"/>
      <c r="DL34" s="221"/>
      <c r="DM34" s="221"/>
      <c r="DN34" s="221"/>
      <c r="DO34" s="221"/>
      <c r="DP34" s="221"/>
      <c r="DQ34" s="221"/>
      <c r="DR34" s="221"/>
      <c r="DS34" s="221"/>
      <c r="DT34" s="221"/>
      <c r="DU34" s="221"/>
      <c r="DV34" s="221"/>
      <c r="DW34" s="221"/>
      <c r="DX34" s="221"/>
      <c r="DY34" s="221"/>
      <c r="DZ34" s="221"/>
      <c r="EA34" s="221"/>
      <c r="EB34" s="221"/>
      <c r="EC34" s="221"/>
      <c r="ED34" s="221"/>
      <c r="EE34" s="221"/>
      <c r="EF34" s="221"/>
      <c r="EG34" s="221"/>
      <c r="EH34" s="221"/>
      <c r="EI34" s="221"/>
      <c r="EJ34" s="221"/>
      <c r="EK34" s="221"/>
      <c r="EL34" s="221"/>
      <c r="EM34" s="221"/>
      <c r="EN34" s="221"/>
      <c r="EO34" s="221"/>
      <c r="EP34" s="221"/>
      <c r="EQ34" s="221"/>
      <c r="ER34" s="221"/>
      <c r="ES34" s="221"/>
      <c r="ET34" s="221"/>
      <c r="EU34" s="221"/>
      <c r="EV34" s="221"/>
      <c r="EW34" s="221"/>
      <c r="EX34" s="221"/>
      <c r="EY34" s="221"/>
      <c r="EZ34" s="221"/>
      <c r="FA34" s="221"/>
      <c r="FB34" s="221"/>
      <c r="FC34" s="221"/>
      <c r="FD34" s="221"/>
      <c r="FE34" s="221"/>
      <c r="FF34" s="221"/>
      <c r="FG34" s="221"/>
      <c r="FH34" s="221"/>
      <c r="FI34" s="221"/>
      <c r="FJ34" s="221"/>
      <c r="FK34" s="221"/>
      <c r="FL34" s="221"/>
      <c r="FM34" s="221"/>
      <c r="FN34" s="221"/>
      <c r="FO34" s="221"/>
      <c r="FP34" s="221"/>
      <c r="FQ34" s="221"/>
      <c r="FR34" s="221"/>
      <c r="FS34" s="221"/>
      <c r="FT34" s="221"/>
      <c r="FU34" s="221"/>
      <c r="FV34" s="221"/>
      <c r="FW34" s="221"/>
      <c r="FX34" s="221"/>
      <c r="FY34" s="221"/>
      <c r="FZ34" s="221"/>
      <c r="GA34" s="221"/>
      <c r="GB34" s="221"/>
      <c r="GC34" s="221"/>
      <c r="GD34" s="24">
        <f t="shared" si="50"/>
        <v>0</v>
      </c>
      <c r="GE34" s="24">
        <f t="shared" si="51"/>
        <v>0</v>
      </c>
      <c r="GF34" s="24">
        <f t="shared" si="52"/>
        <v>0</v>
      </c>
      <c r="GG34" s="24">
        <f t="shared" si="53"/>
        <v>0</v>
      </c>
      <c r="GH34" s="24">
        <f t="shared" si="54"/>
        <v>0</v>
      </c>
      <c r="GI34" s="24">
        <f t="shared" si="55"/>
        <v>0</v>
      </c>
      <c r="GJ34" s="24">
        <f t="shared" si="56"/>
        <v>0</v>
      </c>
      <c r="GK34" s="24">
        <f t="shared" si="57"/>
        <v>0</v>
      </c>
      <c r="GL34" s="24">
        <f t="shared" si="58"/>
        <v>0</v>
      </c>
      <c r="GM34" s="24">
        <f t="shared" si="59"/>
        <v>0</v>
      </c>
      <c r="GN34" s="24">
        <f t="shared" si="60"/>
        <v>0</v>
      </c>
      <c r="GO34" s="24">
        <f t="shared" si="61"/>
        <v>0</v>
      </c>
      <c r="GP34" s="24">
        <f t="shared" si="62"/>
        <v>0</v>
      </c>
      <c r="GQ34" s="24">
        <f t="shared" si="63"/>
        <v>0</v>
      </c>
      <c r="GR34" s="24">
        <f t="shared" si="64"/>
        <v>0</v>
      </c>
    </row>
    <row r="35" spans="1:200" ht="14" customHeight="1" x14ac:dyDescent="0.35">
      <c r="A35" s="2" t="str">
        <f t="shared" si="65"/>
        <v>47mg LP</v>
      </c>
      <c r="B35" s="150" t="s">
        <v>738</v>
      </c>
      <c r="C35" s="4" t="s">
        <v>85</v>
      </c>
      <c r="D35" s="12" t="s">
        <v>103</v>
      </c>
      <c r="E35" s="21">
        <f>IFERROR(VLOOKUP(B35,'SKU Master'!A:P,6,0),0)</f>
        <v>0</v>
      </c>
      <c r="F35" s="221"/>
      <c r="G35" s="221"/>
      <c r="H35" s="221"/>
      <c r="I35" s="221"/>
      <c r="J35" s="221"/>
      <c r="K35" s="221"/>
      <c r="L35" s="221"/>
      <c r="M35" s="221"/>
      <c r="N35" s="221"/>
      <c r="O35" s="221"/>
      <c r="P35" s="221"/>
      <c r="Q35" s="221"/>
      <c r="R35" s="221"/>
      <c r="S35" s="221"/>
      <c r="T35" s="221"/>
      <c r="U35" s="221"/>
      <c r="V35" s="221"/>
      <c r="W35" s="221"/>
      <c r="X35" s="221"/>
      <c r="Y35" s="221"/>
      <c r="Z35" s="221"/>
      <c r="AA35" s="221"/>
      <c r="AB35" s="221"/>
      <c r="AC35" s="221"/>
      <c r="AD35" s="221"/>
      <c r="AE35" s="221"/>
      <c r="AF35" s="221"/>
      <c r="AG35" s="221"/>
      <c r="AH35" s="221"/>
      <c r="AI35" s="221"/>
      <c r="AJ35" s="221"/>
      <c r="AK35" s="221"/>
      <c r="AL35" s="221"/>
      <c r="AM35" s="221"/>
      <c r="AN35" s="221"/>
      <c r="AO35" s="221"/>
      <c r="AP35" s="221"/>
      <c r="AQ35" s="221"/>
      <c r="AR35" s="221"/>
      <c r="AS35" s="221"/>
      <c r="AT35" s="221"/>
      <c r="AU35" s="221"/>
      <c r="AV35" s="221"/>
      <c r="AW35" s="221"/>
      <c r="AX35" s="221"/>
      <c r="AY35" s="221"/>
      <c r="AZ35" s="221"/>
      <c r="BA35" s="221"/>
      <c r="BB35" s="221"/>
      <c r="BC35" s="221"/>
      <c r="BD35" s="221"/>
      <c r="BE35" s="221"/>
      <c r="BF35" s="221"/>
      <c r="BG35" s="221"/>
      <c r="BH35" s="221"/>
      <c r="BI35" s="221"/>
      <c r="BJ35" s="221"/>
      <c r="BK35" s="221"/>
      <c r="BL35" s="221"/>
      <c r="BM35" s="221"/>
      <c r="BN35" s="221"/>
      <c r="BO35" s="221"/>
      <c r="BP35" s="221"/>
      <c r="BQ35" s="221"/>
      <c r="BR35" s="221"/>
      <c r="BS35" s="221"/>
      <c r="BT35" s="221"/>
      <c r="BU35" s="221"/>
      <c r="BV35" s="221"/>
      <c r="BW35" s="221"/>
      <c r="BX35" s="221"/>
      <c r="BY35" s="221"/>
      <c r="BZ35" s="221"/>
      <c r="CA35" s="221"/>
      <c r="CB35" s="221"/>
      <c r="CC35" s="221"/>
      <c r="CD35" s="221"/>
      <c r="CE35" s="221"/>
      <c r="CF35" s="221"/>
      <c r="CG35" s="221"/>
      <c r="CH35" s="221"/>
      <c r="CI35" s="221"/>
      <c r="CJ35" s="221"/>
      <c r="CK35" s="221"/>
      <c r="CL35" s="221"/>
      <c r="CM35" s="221"/>
      <c r="CN35" s="221"/>
      <c r="CO35" s="221"/>
      <c r="CP35" s="221"/>
      <c r="CQ35" s="221"/>
      <c r="CR35" s="221"/>
      <c r="CS35" s="221"/>
      <c r="CT35" s="221"/>
      <c r="CU35" s="221"/>
      <c r="CV35" s="221"/>
      <c r="CW35" s="221"/>
      <c r="CX35" s="221"/>
      <c r="CY35" s="221"/>
      <c r="CZ35" s="221"/>
      <c r="DA35" s="221"/>
      <c r="DB35" s="221"/>
      <c r="DC35" s="221"/>
      <c r="DD35" s="221"/>
      <c r="DE35" s="221"/>
      <c r="DF35" s="221"/>
      <c r="DG35" s="221"/>
      <c r="DH35" s="221"/>
      <c r="DI35" s="221"/>
      <c r="DJ35" s="221"/>
      <c r="DK35" s="221"/>
      <c r="DL35" s="221"/>
      <c r="DM35" s="221"/>
      <c r="DN35" s="221"/>
      <c r="DO35" s="221"/>
      <c r="DP35" s="221"/>
      <c r="DQ35" s="221"/>
      <c r="DR35" s="221"/>
      <c r="DS35" s="221"/>
      <c r="DT35" s="221"/>
      <c r="DU35" s="221"/>
      <c r="DV35" s="221"/>
      <c r="DW35" s="221"/>
      <c r="DX35" s="221"/>
      <c r="DY35" s="221"/>
      <c r="DZ35" s="221"/>
      <c r="EA35" s="221"/>
      <c r="EB35" s="221"/>
      <c r="EC35" s="221"/>
      <c r="ED35" s="221"/>
      <c r="EE35" s="221"/>
      <c r="EF35" s="221"/>
      <c r="EG35" s="221"/>
      <c r="EH35" s="221"/>
      <c r="EI35" s="221"/>
      <c r="EJ35" s="221"/>
      <c r="EK35" s="221"/>
      <c r="EL35" s="221"/>
      <c r="EM35" s="221"/>
      <c r="EN35" s="221"/>
      <c r="EO35" s="221"/>
      <c r="EP35" s="221"/>
      <c r="EQ35" s="221"/>
      <c r="ER35" s="221"/>
      <c r="ES35" s="221"/>
      <c r="ET35" s="221"/>
      <c r="EU35" s="221"/>
      <c r="EV35" s="221"/>
      <c r="EW35" s="221"/>
      <c r="EX35" s="221"/>
      <c r="EY35" s="221"/>
      <c r="EZ35" s="221"/>
      <c r="FA35" s="221"/>
      <c r="FB35" s="221"/>
      <c r="FC35" s="221"/>
      <c r="FD35" s="221"/>
      <c r="FE35" s="221"/>
      <c r="FF35" s="221"/>
      <c r="FG35" s="221"/>
      <c r="FH35" s="221"/>
      <c r="FI35" s="221"/>
      <c r="FJ35" s="221"/>
      <c r="FK35" s="221"/>
      <c r="FL35" s="221"/>
      <c r="FM35" s="221"/>
      <c r="FN35" s="221"/>
      <c r="FO35" s="221"/>
      <c r="FP35" s="221"/>
      <c r="FQ35" s="221"/>
      <c r="FR35" s="221"/>
      <c r="FS35" s="221"/>
      <c r="FT35" s="221"/>
      <c r="FU35" s="221"/>
      <c r="FV35" s="221"/>
      <c r="FW35" s="221"/>
      <c r="FX35" s="221"/>
      <c r="FY35" s="221"/>
      <c r="FZ35" s="221"/>
      <c r="GA35" s="221"/>
      <c r="GB35" s="221"/>
      <c r="GC35" s="221"/>
      <c r="GD35" s="24">
        <f t="shared" si="50"/>
        <v>0</v>
      </c>
      <c r="GE35" s="24">
        <f t="shared" si="51"/>
        <v>0</v>
      </c>
      <c r="GF35" s="24">
        <f t="shared" si="52"/>
        <v>0</v>
      </c>
      <c r="GG35" s="24">
        <f t="shared" si="53"/>
        <v>0</v>
      </c>
      <c r="GH35" s="24">
        <f t="shared" si="54"/>
        <v>0</v>
      </c>
      <c r="GI35" s="24">
        <f t="shared" si="55"/>
        <v>0</v>
      </c>
      <c r="GJ35" s="24">
        <f t="shared" si="56"/>
        <v>0</v>
      </c>
      <c r="GK35" s="24">
        <f t="shared" si="57"/>
        <v>0</v>
      </c>
      <c r="GL35" s="24">
        <f t="shared" si="58"/>
        <v>0</v>
      </c>
      <c r="GM35" s="24">
        <f t="shared" si="59"/>
        <v>0</v>
      </c>
      <c r="GN35" s="24">
        <f t="shared" si="60"/>
        <v>0</v>
      </c>
      <c r="GO35" s="24">
        <f t="shared" si="61"/>
        <v>0</v>
      </c>
      <c r="GP35" s="24">
        <f t="shared" si="62"/>
        <v>0</v>
      </c>
      <c r="GQ35" s="24">
        <f t="shared" si="63"/>
        <v>0</v>
      </c>
      <c r="GR35" s="24">
        <f t="shared" si="64"/>
        <v>0</v>
      </c>
    </row>
    <row r="36" spans="1:200" ht="14" customHeight="1" x14ac:dyDescent="0.35">
      <c r="A36" s="2" t="str">
        <f t="shared" si="65"/>
        <v>47mg LP</v>
      </c>
      <c r="B36" s="22" t="s">
        <v>117</v>
      </c>
      <c r="C36" s="4" t="s">
        <v>75</v>
      </c>
      <c r="D36" s="4" t="s">
        <v>103</v>
      </c>
      <c r="E36" s="21">
        <f>IFERROR(VLOOKUP(B36,'SKU Master'!A:P,6,0),0)</f>
        <v>1</v>
      </c>
      <c r="F36" s="221">
        <v>0</v>
      </c>
      <c r="G36" s="221">
        <v>0</v>
      </c>
      <c r="H36" s="221">
        <v>0</v>
      </c>
      <c r="I36" s="221">
        <v>0</v>
      </c>
      <c r="J36" s="221">
        <v>0</v>
      </c>
      <c r="K36" s="221">
        <v>0</v>
      </c>
      <c r="L36" s="221">
        <v>0</v>
      </c>
      <c r="M36" s="221">
        <v>0</v>
      </c>
      <c r="N36" s="221">
        <v>0</v>
      </c>
      <c r="O36" s="221">
        <v>22.49392852092339</v>
      </c>
      <c r="P36" s="221">
        <v>25.789085063555611</v>
      </c>
      <c r="Q36" s="221">
        <v>47.148108564949588</v>
      </c>
      <c r="R36" s="221">
        <v>47.024283078745007</v>
      </c>
      <c r="S36" s="221">
        <v>68.949302895014597</v>
      </c>
      <c r="T36" s="221">
        <v>127.5889504001732</v>
      </c>
      <c r="U36" s="221">
        <v>149.36800114244747</v>
      </c>
      <c r="V36" s="221">
        <v>174.65136406162515</v>
      </c>
      <c r="W36" s="221">
        <v>265.30725464328941</v>
      </c>
      <c r="X36" s="221">
        <v>342.86312242198397</v>
      </c>
      <c r="Y36" s="221">
        <v>485.65332830926013</v>
      </c>
      <c r="Z36" s="221">
        <v>567.82297544854737</v>
      </c>
      <c r="AA36" s="221">
        <v>677.86170410465559</v>
      </c>
      <c r="AB36" s="221">
        <v>862.2225917483654</v>
      </c>
      <c r="AC36" s="221">
        <v>1232.6179127555881</v>
      </c>
      <c r="AD36" s="221">
        <v>1091.5890589562193</v>
      </c>
      <c r="AE36" s="221">
        <v>1503.5492383174869</v>
      </c>
      <c r="AF36" s="221">
        <v>2118.4716092252875</v>
      </c>
      <c r="AG36" s="221">
        <v>1761.6806448713851</v>
      </c>
      <c r="AH36" s="221">
        <v>2463.9305676197505</v>
      </c>
      <c r="AI36" s="221">
        <v>2373.3197679465006</v>
      </c>
      <c r="AJ36" s="221">
        <v>2390.8755439879169</v>
      </c>
      <c r="AK36" s="221">
        <v>3262.971278416629</v>
      </c>
      <c r="AL36" s="221">
        <v>2521.5106539836338</v>
      </c>
      <c r="AM36" s="221">
        <v>3066.0484369146825</v>
      </c>
      <c r="AN36" s="221">
        <v>2833.8389016604892</v>
      </c>
      <c r="AO36" s="221">
        <v>2966.4914503473938</v>
      </c>
      <c r="AP36" s="221">
        <v>3275.5635480582159</v>
      </c>
      <c r="AQ36" s="221">
        <v>2726.6322620596416</v>
      </c>
      <c r="AR36" s="221">
        <v>3700.9474313653272</v>
      </c>
      <c r="AS36" s="221">
        <v>3253.9898704677307</v>
      </c>
      <c r="AT36" s="221">
        <v>3656.6333988778229</v>
      </c>
      <c r="AU36" s="221">
        <v>3067.8429782266021</v>
      </c>
      <c r="AV36" s="221">
        <v>3530.9970099357997</v>
      </c>
      <c r="AW36" s="221">
        <v>4059.5913798346282</v>
      </c>
      <c r="AX36" s="221">
        <v>2796.6312339320416</v>
      </c>
      <c r="AY36" s="221">
        <v>3999.573171845786</v>
      </c>
      <c r="AZ36" s="221">
        <v>3199.4800172821219</v>
      </c>
      <c r="BA36" s="221">
        <v>3378.322349756068</v>
      </c>
      <c r="BB36" s="221">
        <v>3675.6612827784329</v>
      </c>
      <c r="BC36" s="221">
        <v>3023.8778901307155</v>
      </c>
      <c r="BD36" s="221">
        <v>3768.3676231881159</v>
      </c>
      <c r="BE36" s="221">
        <v>3916.0508341086802</v>
      </c>
      <c r="BF36" s="221">
        <v>3872.6229039573632</v>
      </c>
      <c r="BG36" s="221">
        <v>3008.4402091794504</v>
      </c>
      <c r="BH36" s="221">
        <v>4164.4998764735155</v>
      </c>
      <c r="BI36" s="221">
        <v>3938.7930073952552</v>
      </c>
      <c r="BJ36" s="221">
        <v>3362.1257807668512</v>
      </c>
      <c r="BK36" s="221">
        <v>4163.4519147579686</v>
      </c>
      <c r="BL36" s="221">
        <v>3088.7405340657306</v>
      </c>
      <c r="BM36" s="221">
        <v>3957.8024649006557</v>
      </c>
      <c r="BN36" s="221">
        <v>3789.8322819478117</v>
      </c>
      <c r="BO36" s="221">
        <v>3186.653999474363</v>
      </c>
      <c r="BP36" s="221">
        <v>3962.04609579321</v>
      </c>
      <c r="BQ36" s="221">
        <v>4106.1020620350464</v>
      </c>
      <c r="BR36" s="221">
        <v>3733.0544137664815</v>
      </c>
      <c r="BS36" s="221">
        <v>3526.0993016983389</v>
      </c>
      <c r="BT36" s="221">
        <v>4242.2621324822685</v>
      </c>
      <c r="BU36" s="221">
        <v>3769.7152202932698</v>
      </c>
      <c r="BV36" s="221">
        <v>3875.9352040729646</v>
      </c>
      <c r="BW36" s="221">
        <v>4208.4504690861768</v>
      </c>
      <c r="BX36" s="221">
        <v>2873.208787436567</v>
      </c>
      <c r="BY36" s="221">
        <v>4465.8453062673716</v>
      </c>
      <c r="BZ36" s="221">
        <v>3480.0905530020113</v>
      </c>
      <c r="CA36" s="221">
        <v>3346.7770772365584</v>
      </c>
      <c r="CB36" s="221">
        <v>4679.6113705309745</v>
      </c>
      <c r="CC36" s="221">
        <v>4033.1239541611076</v>
      </c>
      <c r="CD36" s="221">
        <v>3514.9577327330221</v>
      </c>
      <c r="CE36" s="221">
        <v>4016.4896106244896</v>
      </c>
      <c r="CF36" s="221">
        <v>3929.138558791899</v>
      </c>
      <c r="CG36" s="221">
        <v>4263.9003850630434</v>
      </c>
      <c r="CH36" s="221">
        <v>3870.1992403637832</v>
      </c>
      <c r="CI36" s="221">
        <v>3650.551869855839</v>
      </c>
      <c r="CJ36" s="221">
        <v>3734.3867756186123</v>
      </c>
      <c r="CK36" s="221">
        <v>4370.2432810206792</v>
      </c>
      <c r="CL36" s="221">
        <v>3232.4133420720059</v>
      </c>
      <c r="CM36" s="221">
        <v>3492.9241164580444</v>
      </c>
      <c r="CN36" s="221">
        <v>4746.9275478364834</v>
      </c>
      <c r="CO36" s="221">
        <v>3761.7351226992091</v>
      </c>
      <c r="CP36" s="221">
        <v>3965.0267638207247</v>
      </c>
      <c r="CQ36" s="221">
        <v>3973.0933154723853</v>
      </c>
      <c r="CR36" s="221">
        <v>3655.6598083943491</v>
      </c>
      <c r="CS36" s="221">
        <v>4725.6575853342683</v>
      </c>
      <c r="CT36" s="221">
        <v>3820.7751244161773</v>
      </c>
      <c r="CU36" s="221">
        <v>3697.0164690221968</v>
      </c>
      <c r="CV36" s="221">
        <v>3781.3697805963884</v>
      </c>
      <c r="CW36" s="221">
        <v>4093.8360951056238</v>
      </c>
      <c r="CX36" s="221">
        <v>3676.2548693989015</v>
      </c>
      <c r="CY36" s="221">
        <v>3439.0770645653856</v>
      </c>
      <c r="CZ36" s="221">
        <v>4805.9958118946597</v>
      </c>
      <c r="DA36" s="221">
        <v>3480.9241966911259</v>
      </c>
      <c r="DB36" s="221">
        <v>4420.4063522887145</v>
      </c>
      <c r="DC36" s="221">
        <v>3923.4685554842931</v>
      </c>
      <c r="DD36" s="221">
        <v>3701.0669877052019</v>
      </c>
      <c r="DE36" s="221">
        <v>4784.0873311446649</v>
      </c>
      <c r="DF36" s="221">
        <v>3535.5990060825875</v>
      </c>
      <c r="DG36" s="221">
        <v>4153.161292447774</v>
      </c>
      <c r="DH36" s="221">
        <v>3728.9240049796776</v>
      </c>
      <c r="DI36" s="221">
        <v>3814.2437696745701</v>
      </c>
      <c r="DJ36" s="221">
        <v>4130.2940524500409</v>
      </c>
      <c r="DK36" s="221">
        <v>3383.1954078845429</v>
      </c>
      <c r="DL36" s="221">
        <v>4530.7534431324457</v>
      </c>
      <c r="DM36" s="221">
        <v>3934.9467363587423</v>
      </c>
      <c r="DN36" s="221">
        <v>4377.4682498208285</v>
      </c>
      <c r="DO36" s="221">
        <v>3640.4176773535396</v>
      </c>
      <c r="DP36" s="221">
        <v>4158.9846062526003</v>
      </c>
      <c r="DQ36" s="221">
        <v>4745.5079505189988</v>
      </c>
      <c r="DR36" s="221">
        <v>3248.2283395715376</v>
      </c>
      <c r="DS36" s="221">
        <v>4620.5783509687753</v>
      </c>
      <c r="DT36" s="221">
        <v>3675.0860832544913</v>
      </c>
      <c r="DU36" s="221">
        <v>3862.4549179161472</v>
      </c>
      <c r="DV36" s="221">
        <v>4182.1002070631384</v>
      </c>
      <c r="DW36" s="221">
        <v>3755.2668680558086</v>
      </c>
      <c r="DX36" s="221">
        <v>4174.8013432204079</v>
      </c>
      <c r="DY36" s="221">
        <v>4420.7946709484349</v>
      </c>
      <c r="DZ36" s="221">
        <v>4011.838962075914</v>
      </c>
      <c r="EA36" s="221">
        <v>3783.73047691493</v>
      </c>
      <c r="EB36" s="221">
        <v>4545.6465907087186</v>
      </c>
      <c r="EC36" s="221">
        <v>4033.2756401895508</v>
      </c>
      <c r="ED36" s="221">
        <v>4141.7802644180765</v>
      </c>
      <c r="EE36" s="221">
        <v>4491.5880520745995</v>
      </c>
      <c r="EF36" s="221">
        <v>3063.1115222264839</v>
      </c>
      <c r="EG36" s="221">
        <v>4756.7563637238927</v>
      </c>
      <c r="EH36" s="221">
        <v>3702.8110942413509</v>
      </c>
      <c r="EI36" s="221">
        <v>3557.9851155469528</v>
      </c>
      <c r="EJ36" s="221">
        <v>4627.6502481578045</v>
      </c>
      <c r="EK36" s="221">
        <v>4358.1638450211167</v>
      </c>
      <c r="EL36" s="221">
        <v>3707.1128519373833</v>
      </c>
      <c r="EM36" s="221">
        <v>4233.7729646601074</v>
      </c>
      <c r="EN36" s="221">
        <v>4481.7836851838483</v>
      </c>
      <c r="EO36" s="221">
        <v>3502.2299462551082</v>
      </c>
      <c r="EP36" s="221">
        <v>3314.9419911294285</v>
      </c>
      <c r="EQ36" s="221">
        <v>3033.0878681067379</v>
      </c>
      <c r="ER36" s="221">
        <v>2299.1354420266607</v>
      </c>
      <c r="ES36" s="221">
        <v>2860.9506984485297</v>
      </c>
      <c r="ET36" s="221">
        <v>1836.3286160458017</v>
      </c>
      <c r="EU36" s="221">
        <v>1828.1118193434193</v>
      </c>
      <c r="EV36" s="221">
        <v>2285.5704741363406</v>
      </c>
      <c r="EW36" s="221">
        <v>1751.1191111776047</v>
      </c>
      <c r="EX36" s="221">
        <v>1368.5570191334057</v>
      </c>
      <c r="EY36" s="221">
        <v>1427.3674604999912</v>
      </c>
      <c r="EZ36" s="221">
        <v>1248.0298184218336</v>
      </c>
      <c r="FA36" s="221">
        <v>1217.0590335328295</v>
      </c>
      <c r="FB36" s="221">
        <v>974.87286475373128</v>
      </c>
      <c r="FC36" s="221">
        <v>814.68720593347268</v>
      </c>
      <c r="FD36" s="221">
        <v>739.09385365176456</v>
      </c>
      <c r="FE36" s="221">
        <v>766.38762011073356</v>
      </c>
      <c r="FF36" s="221">
        <v>476.98589151394293</v>
      </c>
      <c r="FG36" s="221">
        <v>453.75022609107918</v>
      </c>
      <c r="FH36" s="221">
        <v>538.11309050878481</v>
      </c>
      <c r="FI36" s="221">
        <v>344.10650908831377</v>
      </c>
      <c r="FJ36" s="221">
        <v>303.00337056824526</v>
      </c>
      <c r="FK36" s="221">
        <v>243.01542049010436</v>
      </c>
      <c r="FL36" s="221">
        <v>169.67804770643212</v>
      </c>
      <c r="FM36" s="221">
        <v>246.31705437006477</v>
      </c>
      <c r="FN36" s="221">
        <v>201.49754352053924</v>
      </c>
      <c r="FO36" s="221">
        <v>194.89865120927348</v>
      </c>
      <c r="FP36" s="221">
        <v>199.26629951643673</v>
      </c>
      <c r="FQ36" s="221">
        <v>215.64592315743533</v>
      </c>
      <c r="FR36" s="221">
        <v>193.56935274769899</v>
      </c>
      <c r="FS36" s="221">
        <v>197.95539183768935</v>
      </c>
      <c r="FT36" s="221">
        <v>231.59198568146965</v>
      </c>
      <c r="FU36" s="221">
        <v>205.45965788980629</v>
      </c>
      <c r="FV36" s="221">
        <v>228.44324743158765</v>
      </c>
      <c r="FW36" s="221">
        <v>189.8645763833641</v>
      </c>
      <c r="FX36" s="221">
        <v>216.79444696127715</v>
      </c>
      <c r="FY36" s="221">
        <v>247.21314059695661</v>
      </c>
      <c r="FZ36" s="221">
        <v>169.11038099600199</v>
      </c>
      <c r="GA36" s="221">
        <v>240.4439371598165</v>
      </c>
      <c r="GB36" s="221">
        <v>191.1217630680604</v>
      </c>
      <c r="GC36" s="221">
        <v>200.76275953947592</v>
      </c>
      <c r="GD36" s="24">
        <f t="shared" si="35"/>
        <v>95.431122149428589</v>
      </c>
      <c r="GE36" s="24">
        <f t="shared" si="36"/>
        <v>5001.930791009695</v>
      </c>
      <c r="GF36" s="24">
        <f t="shared" si="37"/>
        <v>28354.277152247378</v>
      </c>
      <c r="GG36" s="24">
        <f t="shared" si="38"/>
        <v>40646.204651641783</v>
      </c>
      <c r="GH36" s="24">
        <f t="shared" si="39"/>
        <v>43940.434321702734</v>
      </c>
      <c r="GI36" s="24">
        <f t="shared" si="40"/>
        <v>45739.205274353873</v>
      </c>
      <c r="GJ36" s="24">
        <f t="shared" si="41"/>
        <v>46889.470409002024</v>
      </c>
      <c r="GK36" s="24">
        <f t="shared" si="42"/>
        <v>46946.435071227861</v>
      </c>
      <c r="GL36" s="24">
        <f t="shared" si="43"/>
        <v>47463.20924235756</v>
      </c>
      <c r="GM36" s="24">
        <f t="shared" si="44"/>
        <v>48307.915815482695</v>
      </c>
      <c r="GN36" s="24">
        <f t="shared" si="45"/>
        <v>49360.690961619963</v>
      </c>
      <c r="GO36" s="24">
        <f t="shared" si="46"/>
        <v>43679.625750715029</v>
      </c>
      <c r="GP36" s="24">
        <f t="shared" si="47"/>
        <v>16257.184896740928</v>
      </c>
      <c r="GQ36" s="24">
        <f t="shared" si="48"/>
        <v>3586.2780277406523</v>
      </c>
      <c r="GR36" s="24">
        <f t="shared" si="49"/>
        <v>2512.3306402932049</v>
      </c>
    </row>
    <row r="37" spans="1:200" ht="14" customHeight="1" x14ac:dyDescent="0.35">
      <c r="A37" s="2" t="str">
        <f t="shared" si="65"/>
        <v>47mg LP</v>
      </c>
      <c r="B37" s="25" t="s">
        <v>118</v>
      </c>
      <c r="C37" s="12" t="s">
        <v>75</v>
      </c>
      <c r="D37" s="12" t="s">
        <v>103</v>
      </c>
      <c r="E37" s="21">
        <f>IFERROR(VLOOKUP(B37,'SKU Master'!A:P,6,0),0)</f>
        <v>1</v>
      </c>
      <c r="F37" s="221"/>
      <c r="G37" s="221"/>
      <c r="H37" s="221"/>
      <c r="I37" s="221"/>
      <c r="J37" s="221"/>
      <c r="K37" s="221"/>
      <c r="L37" s="221"/>
      <c r="M37" s="221"/>
      <c r="N37" s="221"/>
      <c r="O37" s="221"/>
      <c r="P37" s="221"/>
      <c r="Q37" s="221"/>
      <c r="R37" s="221"/>
      <c r="S37" s="221"/>
      <c r="T37" s="221"/>
      <c r="U37" s="221"/>
      <c r="V37" s="221"/>
      <c r="W37" s="221"/>
      <c r="X37" s="221"/>
      <c r="Y37" s="221"/>
      <c r="Z37" s="221"/>
      <c r="AA37" s="221"/>
      <c r="AB37" s="221"/>
      <c r="AC37" s="221"/>
      <c r="AD37" s="221"/>
      <c r="AE37" s="221"/>
      <c r="AF37" s="221"/>
      <c r="AG37" s="221"/>
      <c r="AH37" s="221"/>
      <c r="AI37" s="221"/>
      <c r="AJ37" s="221"/>
      <c r="AK37" s="221"/>
      <c r="AL37" s="221"/>
      <c r="AM37" s="221"/>
      <c r="AN37" s="221"/>
      <c r="AO37" s="221"/>
      <c r="AP37" s="221"/>
      <c r="AQ37" s="221"/>
      <c r="AR37" s="221"/>
      <c r="AS37" s="221"/>
      <c r="AT37" s="221"/>
      <c r="AU37" s="221"/>
      <c r="AV37" s="221"/>
      <c r="AW37" s="221"/>
      <c r="AX37" s="221"/>
      <c r="AY37" s="221"/>
      <c r="AZ37" s="221"/>
      <c r="BA37" s="221"/>
      <c r="BB37" s="221"/>
      <c r="BC37" s="221"/>
      <c r="BD37" s="221"/>
      <c r="BE37" s="221"/>
      <c r="BF37" s="221"/>
      <c r="BG37" s="221"/>
      <c r="BH37" s="221"/>
      <c r="BI37" s="221"/>
      <c r="BJ37" s="221"/>
      <c r="BK37" s="221"/>
      <c r="BL37" s="221"/>
      <c r="BM37" s="221"/>
      <c r="BN37" s="221"/>
      <c r="BO37" s="221"/>
      <c r="BP37" s="221"/>
      <c r="BQ37" s="221"/>
      <c r="BR37" s="221"/>
      <c r="BS37" s="221"/>
      <c r="BT37" s="221"/>
      <c r="BU37" s="221"/>
      <c r="BV37" s="221"/>
      <c r="BW37" s="221"/>
      <c r="BX37" s="221"/>
      <c r="BY37" s="221"/>
      <c r="BZ37" s="221"/>
      <c r="CA37" s="221"/>
      <c r="CB37" s="221"/>
      <c r="CC37" s="221"/>
      <c r="CD37" s="221"/>
      <c r="CE37" s="221"/>
      <c r="CF37" s="221"/>
      <c r="CG37" s="221"/>
      <c r="CH37" s="221"/>
      <c r="CI37" s="221"/>
      <c r="CJ37" s="221"/>
      <c r="CK37" s="221"/>
      <c r="CL37" s="221"/>
      <c r="CM37" s="221"/>
      <c r="CN37" s="221"/>
      <c r="CO37" s="221"/>
      <c r="CP37" s="221"/>
      <c r="CQ37" s="221"/>
      <c r="CR37" s="221"/>
      <c r="CS37" s="221"/>
      <c r="CT37" s="221"/>
      <c r="CU37" s="221"/>
      <c r="CV37" s="221"/>
      <c r="CW37" s="221"/>
      <c r="CX37" s="221"/>
      <c r="CY37" s="221"/>
      <c r="CZ37" s="221"/>
      <c r="DA37" s="221"/>
      <c r="DB37" s="221"/>
      <c r="DC37" s="221"/>
      <c r="DD37" s="221"/>
      <c r="DE37" s="221"/>
      <c r="DF37" s="221"/>
      <c r="DG37" s="221"/>
      <c r="DH37" s="221"/>
      <c r="DI37" s="221"/>
      <c r="DJ37" s="221"/>
      <c r="DK37" s="221"/>
      <c r="DL37" s="221"/>
      <c r="DM37" s="221"/>
      <c r="DN37" s="221"/>
      <c r="DO37" s="221"/>
      <c r="DP37" s="221"/>
      <c r="DQ37" s="221"/>
      <c r="DR37" s="221"/>
      <c r="DS37" s="221"/>
      <c r="DT37" s="221"/>
      <c r="DU37" s="221"/>
      <c r="DV37" s="221"/>
      <c r="DW37" s="221"/>
      <c r="DX37" s="221"/>
      <c r="DY37" s="221"/>
      <c r="DZ37" s="221"/>
      <c r="EA37" s="221"/>
      <c r="EB37" s="221"/>
      <c r="EC37" s="221"/>
      <c r="ED37" s="221"/>
      <c r="EE37" s="221"/>
      <c r="EF37" s="221"/>
      <c r="EG37" s="221"/>
      <c r="EH37" s="221"/>
      <c r="EI37" s="221"/>
      <c r="EJ37" s="221"/>
      <c r="EK37" s="221"/>
      <c r="EL37" s="221"/>
      <c r="EM37" s="221"/>
      <c r="EN37" s="221"/>
      <c r="EO37" s="221"/>
      <c r="EP37" s="221"/>
      <c r="EQ37" s="221"/>
      <c r="ER37" s="221"/>
      <c r="ES37" s="221"/>
      <c r="ET37" s="221"/>
      <c r="EU37" s="221"/>
      <c r="EV37" s="221"/>
      <c r="EW37" s="221"/>
      <c r="EX37" s="221"/>
      <c r="EY37" s="221"/>
      <c r="EZ37" s="221"/>
      <c r="FA37" s="221"/>
      <c r="FB37" s="221"/>
      <c r="FC37" s="221"/>
      <c r="FD37" s="221"/>
      <c r="FE37" s="221"/>
      <c r="FF37" s="221"/>
      <c r="FG37" s="221"/>
      <c r="FH37" s="221"/>
      <c r="FI37" s="221"/>
      <c r="FJ37" s="221"/>
      <c r="FK37" s="221"/>
      <c r="FL37" s="221"/>
      <c r="FM37" s="221"/>
      <c r="FN37" s="221"/>
      <c r="FO37" s="221"/>
      <c r="FP37" s="221"/>
      <c r="FQ37" s="221"/>
      <c r="FR37" s="221"/>
      <c r="FS37" s="221"/>
      <c r="FT37" s="221"/>
      <c r="FU37" s="221"/>
      <c r="FV37" s="221"/>
      <c r="FW37" s="221"/>
      <c r="FX37" s="221"/>
      <c r="FY37" s="221"/>
      <c r="FZ37" s="221"/>
      <c r="GA37" s="221"/>
      <c r="GB37" s="221"/>
      <c r="GC37" s="221"/>
      <c r="GD37" s="24">
        <f t="shared" si="35"/>
        <v>0</v>
      </c>
      <c r="GE37" s="24">
        <f t="shared" si="36"/>
        <v>0</v>
      </c>
      <c r="GF37" s="24">
        <f t="shared" si="37"/>
        <v>0</v>
      </c>
      <c r="GG37" s="24">
        <f t="shared" si="38"/>
        <v>0</v>
      </c>
      <c r="GH37" s="24">
        <f t="shared" si="39"/>
        <v>0</v>
      </c>
      <c r="GI37" s="24">
        <f t="shared" si="40"/>
        <v>0</v>
      </c>
      <c r="GJ37" s="24">
        <f t="shared" si="41"/>
        <v>0</v>
      </c>
      <c r="GK37" s="24">
        <f t="shared" si="42"/>
        <v>0</v>
      </c>
      <c r="GL37" s="24">
        <f t="shared" si="43"/>
        <v>0</v>
      </c>
      <c r="GM37" s="24">
        <f t="shared" si="44"/>
        <v>0</v>
      </c>
      <c r="GN37" s="24">
        <f t="shared" si="45"/>
        <v>0</v>
      </c>
      <c r="GO37" s="24">
        <f t="shared" si="46"/>
        <v>0</v>
      </c>
      <c r="GP37" s="24">
        <f t="shared" si="47"/>
        <v>0</v>
      </c>
      <c r="GQ37" s="24">
        <f t="shared" si="48"/>
        <v>0</v>
      </c>
      <c r="GR37" s="24">
        <f t="shared" si="49"/>
        <v>0</v>
      </c>
    </row>
    <row r="38" spans="1:200" ht="14" customHeight="1" x14ac:dyDescent="0.35">
      <c r="A38" s="2" t="str">
        <f t="shared" si="65"/>
        <v>47mg LP</v>
      </c>
      <c r="B38" s="22" t="s">
        <v>119</v>
      </c>
      <c r="C38" s="4" t="s">
        <v>75</v>
      </c>
      <c r="D38" s="4" t="s">
        <v>103</v>
      </c>
      <c r="E38" s="21">
        <f>IFERROR(VLOOKUP(B38,'SKU Master'!A:P,6,0),0)</f>
        <v>1</v>
      </c>
      <c r="F38" s="221"/>
      <c r="G38" s="221"/>
      <c r="H38" s="221"/>
      <c r="I38" s="221"/>
      <c r="J38" s="221"/>
      <c r="K38" s="221"/>
      <c r="L38" s="221"/>
      <c r="M38" s="221"/>
      <c r="N38" s="221"/>
      <c r="O38" s="221"/>
      <c r="P38" s="221"/>
      <c r="Q38" s="221"/>
      <c r="R38" s="221"/>
      <c r="S38" s="221"/>
      <c r="T38" s="221"/>
      <c r="U38" s="221"/>
      <c r="V38" s="221"/>
      <c r="W38" s="221"/>
      <c r="X38" s="221"/>
      <c r="Y38" s="221"/>
      <c r="Z38" s="221"/>
      <c r="AA38" s="221"/>
      <c r="AB38" s="221"/>
      <c r="AC38" s="221"/>
      <c r="AD38" s="221"/>
      <c r="AE38" s="221"/>
      <c r="AF38" s="221"/>
      <c r="AG38" s="221"/>
      <c r="AH38" s="221"/>
      <c r="AI38" s="221"/>
      <c r="AJ38" s="221"/>
      <c r="AK38" s="221"/>
      <c r="AL38" s="221"/>
      <c r="AM38" s="221"/>
      <c r="AN38" s="221"/>
      <c r="AO38" s="221"/>
      <c r="AP38" s="221"/>
      <c r="AQ38" s="221"/>
      <c r="AR38" s="221"/>
      <c r="AS38" s="221"/>
      <c r="AT38" s="221"/>
      <c r="AU38" s="221"/>
      <c r="AV38" s="221"/>
      <c r="AW38" s="221"/>
      <c r="AX38" s="221"/>
      <c r="AY38" s="221"/>
      <c r="AZ38" s="221"/>
      <c r="BA38" s="221"/>
      <c r="BB38" s="221"/>
      <c r="BC38" s="221"/>
      <c r="BD38" s="221"/>
      <c r="BE38" s="221"/>
      <c r="BF38" s="221"/>
      <c r="BG38" s="221"/>
      <c r="BH38" s="221"/>
      <c r="BI38" s="221"/>
      <c r="BJ38" s="221"/>
      <c r="BK38" s="221"/>
      <c r="BL38" s="221"/>
      <c r="BM38" s="221"/>
      <c r="BN38" s="221"/>
      <c r="BO38" s="221"/>
      <c r="BP38" s="221"/>
      <c r="BQ38" s="221"/>
      <c r="BR38" s="221"/>
      <c r="BS38" s="221"/>
      <c r="BT38" s="221"/>
      <c r="BU38" s="221"/>
      <c r="BV38" s="221"/>
      <c r="BW38" s="221"/>
      <c r="BX38" s="221"/>
      <c r="BY38" s="221"/>
      <c r="BZ38" s="221"/>
      <c r="CA38" s="221"/>
      <c r="CB38" s="221"/>
      <c r="CC38" s="221"/>
      <c r="CD38" s="221"/>
      <c r="CE38" s="221"/>
      <c r="CF38" s="221"/>
      <c r="CG38" s="221"/>
      <c r="CH38" s="221"/>
      <c r="CI38" s="221"/>
      <c r="CJ38" s="221"/>
      <c r="CK38" s="221"/>
      <c r="CL38" s="221"/>
      <c r="CM38" s="221"/>
      <c r="CN38" s="221"/>
      <c r="CO38" s="221"/>
      <c r="CP38" s="221"/>
      <c r="CQ38" s="221"/>
      <c r="CR38" s="221"/>
      <c r="CS38" s="221"/>
      <c r="CT38" s="221"/>
      <c r="CU38" s="221"/>
      <c r="CV38" s="221"/>
      <c r="CW38" s="221"/>
      <c r="CX38" s="221"/>
      <c r="CY38" s="221"/>
      <c r="CZ38" s="221"/>
      <c r="DA38" s="221"/>
      <c r="DB38" s="221"/>
      <c r="DC38" s="221"/>
      <c r="DD38" s="221"/>
      <c r="DE38" s="221"/>
      <c r="DF38" s="221"/>
      <c r="DG38" s="221"/>
      <c r="DH38" s="221"/>
      <c r="DI38" s="221"/>
      <c r="DJ38" s="221"/>
      <c r="DK38" s="221"/>
      <c r="DL38" s="221"/>
      <c r="DM38" s="221"/>
      <c r="DN38" s="221"/>
      <c r="DO38" s="221"/>
      <c r="DP38" s="221"/>
      <c r="DQ38" s="221"/>
      <c r="DR38" s="221"/>
      <c r="DS38" s="221"/>
      <c r="DT38" s="221"/>
      <c r="DU38" s="221"/>
      <c r="DV38" s="221"/>
      <c r="DW38" s="221"/>
      <c r="DX38" s="221"/>
      <c r="DY38" s="221"/>
      <c r="DZ38" s="221"/>
      <c r="EA38" s="221"/>
      <c r="EB38" s="221"/>
      <c r="EC38" s="221"/>
      <c r="ED38" s="221"/>
      <c r="EE38" s="221"/>
      <c r="EF38" s="221"/>
      <c r="EG38" s="221"/>
      <c r="EH38" s="221"/>
      <c r="EI38" s="221"/>
      <c r="EJ38" s="221"/>
      <c r="EK38" s="221"/>
      <c r="EL38" s="221"/>
      <c r="EM38" s="221"/>
      <c r="EN38" s="221"/>
      <c r="EO38" s="221"/>
      <c r="EP38" s="221"/>
      <c r="EQ38" s="221"/>
      <c r="ER38" s="221"/>
      <c r="ES38" s="221"/>
      <c r="ET38" s="221"/>
      <c r="EU38" s="221"/>
      <c r="EV38" s="221"/>
      <c r="EW38" s="221"/>
      <c r="EX38" s="221"/>
      <c r="EY38" s="221"/>
      <c r="EZ38" s="221"/>
      <c r="FA38" s="221"/>
      <c r="FB38" s="221"/>
      <c r="FC38" s="221"/>
      <c r="FD38" s="221"/>
      <c r="FE38" s="221"/>
      <c r="FF38" s="221"/>
      <c r="FG38" s="221"/>
      <c r="FH38" s="221"/>
      <c r="FI38" s="221"/>
      <c r="FJ38" s="221"/>
      <c r="FK38" s="221"/>
      <c r="FL38" s="221"/>
      <c r="FM38" s="221"/>
      <c r="FN38" s="221"/>
      <c r="FO38" s="221"/>
      <c r="FP38" s="221"/>
      <c r="FQ38" s="221"/>
      <c r="FR38" s="221"/>
      <c r="FS38" s="221"/>
      <c r="FT38" s="221"/>
      <c r="FU38" s="221"/>
      <c r="FV38" s="221"/>
      <c r="FW38" s="221"/>
      <c r="FX38" s="221"/>
      <c r="FY38" s="221"/>
      <c r="FZ38" s="221"/>
      <c r="GA38" s="221"/>
      <c r="GB38" s="221"/>
      <c r="GC38" s="221"/>
      <c r="GD38" s="24">
        <f t="shared" si="35"/>
        <v>0</v>
      </c>
      <c r="GE38" s="24">
        <f t="shared" si="36"/>
        <v>0</v>
      </c>
      <c r="GF38" s="24">
        <f t="shared" si="37"/>
        <v>0</v>
      </c>
      <c r="GG38" s="24">
        <f t="shared" si="38"/>
        <v>0</v>
      </c>
      <c r="GH38" s="24">
        <f t="shared" si="39"/>
        <v>0</v>
      </c>
      <c r="GI38" s="24">
        <f t="shared" si="40"/>
        <v>0</v>
      </c>
      <c r="GJ38" s="24">
        <f t="shared" si="41"/>
        <v>0</v>
      </c>
      <c r="GK38" s="24">
        <f t="shared" si="42"/>
        <v>0</v>
      </c>
      <c r="GL38" s="24">
        <f t="shared" si="43"/>
        <v>0</v>
      </c>
      <c r="GM38" s="24">
        <f t="shared" si="44"/>
        <v>0</v>
      </c>
      <c r="GN38" s="24">
        <f t="shared" si="45"/>
        <v>0</v>
      </c>
      <c r="GO38" s="24">
        <f t="shared" si="46"/>
        <v>0</v>
      </c>
      <c r="GP38" s="24">
        <f t="shared" si="47"/>
        <v>0</v>
      </c>
      <c r="GQ38" s="24">
        <f t="shared" si="48"/>
        <v>0</v>
      </c>
      <c r="GR38" s="24">
        <f t="shared" si="49"/>
        <v>0</v>
      </c>
    </row>
    <row r="39" spans="1:200" ht="14" customHeight="1" x14ac:dyDescent="0.35">
      <c r="A39" s="2" t="str">
        <f t="shared" si="65"/>
        <v>47mg LP</v>
      </c>
      <c r="B39" s="25" t="s">
        <v>132</v>
      </c>
      <c r="C39" s="12" t="s">
        <v>75</v>
      </c>
      <c r="D39" s="12" t="s">
        <v>103</v>
      </c>
      <c r="E39" s="21">
        <f>IFERROR(VLOOKUP(B39,'SKU Master'!A:P,6,0),0)</f>
        <v>0</v>
      </c>
      <c r="F39" s="221"/>
      <c r="G39" s="221"/>
      <c r="H39" s="221"/>
      <c r="I39" s="221"/>
      <c r="J39" s="221"/>
      <c r="K39" s="221"/>
      <c r="L39" s="221"/>
      <c r="M39" s="221"/>
      <c r="N39" s="221"/>
      <c r="O39" s="221"/>
      <c r="P39" s="221"/>
      <c r="Q39" s="221"/>
      <c r="R39" s="221"/>
      <c r="S39" s="221"/>
      <c r="T39" s="221"/>
      <c r="U39" s="221"/>
      <c r="V39" s="221"/>
      <c r="W39" s="221"/>
      <c r="X39" s="221"/>
      <c r="Y39" s="221"/>
      <c r="Z39" s="221"/>
      <c r="AA39" s="221"/>
      <c r="AB39" s="221"/>
      <c r="AC39" s="221"/>
      <c r="AD39" s="221"/>
      <c r="AE39" s="221"/>
      <c r="AF39" s="221"/>
      <c r="AG39" s="221"/>
      <c r="AH39" s="221"/>
      <c r="AI39" s="221"/>
      <c r="AJ39" s="221"/>
      <c r="AK39" s="221"/>
      <c r="AL39" s="221"/>
      <c r="AM39" s="221"/>
      <c r="AN39" s="221"/>
      <c r="AO39" s="221"/>
      <c r="AP39" s="221"/>
      <c r="AQ39" s="221"/>
      <c r="AR39" s="221"/>
      <c r="AS39" s="221"/>
      <c r="AT39" s="221"/>
      <c r="AU39" s="221"/>
      <c r="AV39" s="221"/>
      <c r="AW39" s="221"/>
      <c r="AX39" s="221"/>
      <c r="AY39" s="221"/>
      <c r="AZ39" s="221"/>
      <c r="BA39" s="221"/>
      <c r="BB39" s="221"/>
      <c r="BC39" s="221"/>
      <c r="BD39" s="221"/>
      <c r="BE39" s="221"/>
      <c r="BF39" s="221"/>
      <c r="BG39" s="221"/>
      <c r="BH39" s="221"/>
      <c r="BI39" s="221"/>
      <c r="BJ39" s="221"/>
      <c r="BK39" s="221"/>
      <c r="BL39" s="221"/>
      <c r="BM39" s="221"/>
      <c r="BN39" s="221"/>
      <c r="BO39" s="221"/>
      <c r="BP39" s="221"/>
      <c r="BQ39" s="221"/>
      <c r="BR39" s="221"/>
      <c r="BS39" s="221"/>
      <c r="BT39" s="221"/>
      <c r="BU39" s="221"/>
      <c r="BV39" s="221"/>
      <c r="BW39" s="221"/>
      <c r="BX39" s="221"/>
      <c r="BY39" s="221"/>
      <c r="BZ39" s="221"/>
      <c r="CA39" s="221"/>
      <c r="CB39" s="221"/>
      <c r="CC39" s="221"/>
      <c r="CD39" s="221"/>
      <c r="CE39" s="221"/>
      <c r="CF39" s="221"/>
      <c r="CG39" s="221"/>
      <c r="CH39" s="221"/>
      <c r="CI39" s="221"/>
      <c r="CJ39" s="221"/>
      <c r="CK39" s="221"/>
      <c r="CL39" s="221"/>
      <c r="CM39" s="221"/>
      <c r="CN39" s="221"/>
      <c r="CO39" s="221"/>
      <c r="CP39" s="221"/>
      <c r="CQ39" s="221"/>
      <c r="CR39" s="221"/>
      <c r="CS39" s="221"/>
      <c r="CT39" s="221"/>
      <c r="CU39" s="221"/>
      <c r="CV39" s="221"/>
      <c r="CW39" s="221"/>
      <c r="CX39" s="221"/>
      <c r="CY39" s="221"/>
      <c r="CZ39" s="221"/>
      <c r="DA39" s="221"/>
      <c r="DB39" s="221"/>
      <c r="DC39" s="221"/>
      <c r="DD39" s="221"/>
      <c r="DE39" s="221"/>
      <c r="DF39" s="221"/>
      <c r="DG39" s="221"/>
      <c r="DH39" s="221"/>
      <c r="DI39" s="221"/>
      <c r="DJ39" s="221"/>
      <c r="DK39" s="221"/>
      <c r="DL39" s="221"/>
      <c r="DM39" s="221"/>
      <c r="DN39" s="221"/>
      <c r="DO39" s="221"/>
      <c r="DP39" s="221"/>
      <c r="DQ39" s="221"/>
      <c r="DR39" s="221"/>
      <c r="DS39" s="221"/>
      <c r="DT39" s="221"/>
      <c r="DU39" s="221"/>
      <c r="DV39" s="221"/>
      <c r="DW39" s="221"/>
      <c r="DX39" s="221"/>
      <c r="DY39" s="221"/>
      <c r="DZ39" s="221"/>
      <c r="EA39" s="221"/>
      <c r="EB39" s="221"/>
      <c r="EC39" s="221"/>
      <c r="ED39" s="221"/>
      <c r="EE39" s="221"/>
      <c r="EF39" s="221"/>
      <c r="EG39" s="221"/>
      <c r="EH39" s="221"/>
      <c r="EI39" s="221"/>
      <c r="EJ39" s="221"/>
      <c r="EK39" s="221"/>
      <c r="EL39" s="221"/>
      <c r="EM39" s="221"/>
      <c r="EN39" s="221"/>
      <c r="EO39" s="221"/>
      <c r="EP39" s="221"/>
      <c r="EQ39" s="221"/>
      <c r="ER39" s="221"/>
      <c r="ES39" s="221"/>
      <c r="ET39" s="221"/>
      <c r="EU39" s="221"/>
      <c r="EV39" s="221"/>
      <c r="EW39" s="221"/>
      <c r="EX39" s="221"/>
      <c r="EY39" s="221"/>
      <c r="EZ39" s="221"/>
      <c r="FA39" s="221"/>
      <c r="FB39" s="221"/>
      <c r="FC39" s="221"/>
      <c r="FD39" s="221"/>
      <c r="FE39" s="221"/>
      <c r="FF39" s="221"/>
      <c r="FG39" s="221"/>
      <c r="FH39" s="221"/>
      <c r="FI39" s="221"/>
      <c r="FJ39" s="221"/>
      <c r="FK39" s="221"/>
      <c r="FL39" s="221"/>
      <c r="FM39" s="221"/>
      <c r="FN39" s="221"/>
      <c r="FO39" s="221"/>
      <c r="FP39" s="221"/>
      <c r="FQ39" s="221"/>
      <c r="FR39" s="221"/>
      <c r="FS39" s="221"/>
      <c r="FT39" s="221"/>
      <c r="FU39" s="221"/>
      <c r="FV39" s="221"/>
      <c r="FW39" s="221"/>
      <c r="FX39" s="221"/>
      <c r="FY39" s="221"/>
      <c r="FZ39" s="221"/>
      <c r="GA39" s="221"/>
      <c r="GB39" s="221"/>
      <c r="GC39" s="221"/>
      <c r="GD39" s="24">
        <f t="shared" si="35"/>
        <v>0</v>
      </c>
      <c r="GE39" s="24">
        <f t="shared" si="36"/>
        <v>0</v>
      </c>
      <c r="GF39" s="24">
        <f t="shared" si="37"/>
        <v>0</v>
      </c>
      <c r="GG39" s="24">
        <f t="shared" si="38"/>
        <v>0</v>
      </c>
      <c r="GH39" s="24">
        <f t="shared" si="39"/>
        <v>0</v>
      </c>
      <c r="GI39" s="24">
        <f t="shared" si="40"/>
        <v>0</v>
      </c>
      <c r="GJ39" s="24">
        <f t="shared" si="41"/>
        <v>0</v>
      </c>
      <c r="GK39" s="24">
        <f t="shared" si="42"/>
        <v>0</v>
      </c>
      <c r="GL39" s="24">
        <f t="shared" si="43"/>
        <v>0</v>
      </c>
      <c r="GM39" s="24">
        <f t="shared" si="44"/>
        <v>0</v>
      </c>
      <c r="GN39" s="24">
        <f t="shared" si="45"/>
        <v>0</v>
      </c>
      <c r="GO39" s="24">
        <f t="shared" si="46"/>
        <v>0</v>
      </c>
      <c r="GP39" s="24">
        <f t="shared" si="47"/>
        <v>0</v>
      </c>
      <c r="GQ39" s="24">
        <f t="shared" si="48"/>
        <v>0</v>
      </c>
      <c r="GR39" s="24">
        <f t="shared" si="49"/>
        <v>0</v>
      </c>
    </row>
    <row r="40" spans="1:200" ht="14" customHeight="1" x14ac:dyDescent="0.35">
      <c r="A40" s="2" t="str">
        <f t="shared" si="65"/>
        <v>47mg LP</v>
      </c>
      <c r="B40" s="22" t="s">
        <v>133</v>
      </c>
      <c r="C40" s="4" t="s">
        <v>75</v>
      </c>
      <c r="D40" s="4" t="s">
        <v>103</v>
      </c>
      <c r="E40" s="21">
        <f>IFERROR(VLOOKUP(B40,'SKU Master'!A:P,6,0),0)</f>
        <v>0</v>
      </c>
      <c r="F40" s="221"/>
      <c r="G40" s="221"/>
      <c r="H40" s="221"/>
      <c r="I40" s="221"/>
      <c r="J40" s="221"/>
      <c r="K40" s="221"/>
      <c r="L40" s="221"/>
      <c r="M40" s="221"/>
      <c r="N40" s="221"/>
      <c r="O40" s="221"/>
      <c r="P40" s="221"/>
      <c r="Q40" s="221"/>
      <c r="R40" s="221"/>
      <c r="S40" s="221"/>
      <c r="T40" s="221"/>
      <c r="U40" s="221"/>
      <c r="V40" s="221"/>
      <c r="W40" s="221"/>
      <c r="X40" s="221"/>
      <c r="Y40" s="221"/>
      <c r="Z40" s="221"/>
      <c r="AA40" s="221"/>
      <c r="AB40" s="221"/>
      <c r="AC40" s="221"/>
      <c r="AD40" s="221"/>
      <c r="AE40" s="221"/>
      <c r="AF40" s="221"/>
      <c r="AG40" s="221"/>
      <c r="AH40" s="221"/>
      <c r="AI40" s="221"/>
      <c r="AJ40" s="221"/>
      <c r="AK40" s="221"/>
      <c r="AL40" s="221"/>
      <c r="AM40" s="221"/>
      <c r="AN40" s="221"/>
      <c r="AO40" s="221"/>
      <c r="AP40" s="221"/>
      <c r="AQ40" s="221"/>
      <c r="AR40" s="221"/>
      <c r="AS40" s="221"/>
      <c r="AT40" s="221"/>
      <c r="AU40" s="221"/>
      <c r="AV40" s="221"/>
      <c r="AW40" s="221"/>
      <c r="AX40" s="221"/>
      <c r="AY40" s="221"/>
      <c r="AZ40" s="221"/>
      <c r="BA40" s="221"/>
      <c r="BB40" s="221"/>
      <c r="BC40" s="221"/>
      <c r="BD40" s="221"/>
      <c r="BE40" s="221"/>
      <c r="BF40" s="221"/>
      <c r="BG40" s="221"/>
      <c r="BH40" s="221"/>
      <c r="BI40" s="221"/>
      <c r="BJ40" s="221"/>
      <c r="BK40" s="221"/>
      <c r="BL40" s="221"/>
      <c r="BM40" s="221"/>
      <c r="BN40" s="221"/>
      <c r="BO40" s="221"/>
      <c r="BP40" s="221"/>
      <c r="BQ40" s="221"/>
      <c r="BR40" s="221"/>
      <c r="BS40" s="221"/>
      <c r="BT40" s="221"/>
      <c r="BU40" s="221"/>
      <c r="BV40" s="221"/>
      <c r="BW40" s="221"/>
      <c r="BX40" s="221"/>
      <c r="BY40" s="221"/>
      <c r="BZ40" s="221"/>
      <c r="CA40" s="221"/>
      <c r="CB40" s="221"/>
      <c r="CC40" s="221"/>
      <c r="CD40" s="221"/>
      <c r="CE40" s="221"/>
      <c r="CF40" s="221"/>
      <c r="CG40" s="221"/>
      <c r="CH40" s="221"/>
      <c r="CI40" s="221"/>
      <c r="CJ40" s="221"/>
      <c r="CK40" s="221"/>
      <c r="CL40" s="221"/>
      <c r="CM40" s="221"/>
      <c r="CN40" s="221"/>
      <c r="CO40" s="221"/>
      <c r="CP40" s="221"/>
      <c r="CQ40" s="221"/>
      <c r="CR40" s="221"/>
      <c r="CS40" s="221"/>
      <c r="CT40" s="221"/>
      <c r="CU40" s="221"/>
      <c r="CV40" s="221"/>
      <c r="CW40" s="221"/>
      <c r="CX40" s="221"/>
      <c r="CY40" s="221"/>
      <c r="CZ40" s="221"/>
      <c r="DA40" s="221"/>
      <c r="DB40" s="221"/>
      <c r="DC40" s="221"/>
      <c r="DD40" s="221"/>
      <c r="DE40" s="221"/>
      <c r="DF40" s="221"/>
      <c r="DG40" s="221"/>
      <c r="DH40" s="221"/>
      <c r="DI40" s="221"/>
      <c r="DJ40" s="221"/>
      <c r="DK40" s="221"/>
      <c r="DL40" s="221"/>
      <c r="DM40" s="221"/>
      <c r="DN40" s="221"/>
      <c r="DO40" s="221"/>
      <c r="DP40" s="221"/>
      <c r="DQ40" s="221"/>
      <c r="DR40" s="221"/>
      <c r="DS40" s="221"/>
      <c r="DT40" s="221"/>
      <c r="DU40" s="221"/>
      <c r="DV40" s="221"/>
      <c r="DW40" s="221"/>
      <c r="DX40" s="221"/>
      <c r="DY40" s="221"/>
      <c r="DZ40" s="221"/>
      <c r="EA40" s="221"/>
      <c r="EB40" s="221"/>
      <c r="EC40" s="221"/>
      <c r="ED40" s="221"/>
      <c r="EE40" s="221"/>
      <c r="EF40" s="221"/>
      <c r="EG40" s="221"/>
      <c r="EH40" s="221"/>
      <c r="EI40" s="221"/>
      <c r="EJ40" s="221"/>
      <c r="EK40" s="221"/>
      <c r="EL40" s="221"/>
      <c r="EM40" s="221"/>
      <c r="EN40" s="221"/>
      <c r="EO40" s="221"/>
      <c r="EP40" s="221"/>
      <c r="EQ40" s="221"/>
      <c r="ER40" s="221"/>
      <c r="ES40" s="221"/>
      <c r="ET40" s="221"/>
      <c r="EU40" s="221"/>
      <c r="EV40" s="221"/>
      <c r="EW40" s="221"/>
      <c r="EX40" s="221"/>
      <c r="EY40" s="221"/>
      <c r="EZ40" s="221"/>
      <c r="FA40" s="221"/>
      <c r="FB40" s="221"/>
      <c r="FC40" s="221"/>
      <c r="FD40" s="221"/>
      <c r="FE40" s="221"/>
      <c r="FF40" s="221"/>
      <c r="FG40" s="221"/>
      <c r="FH40" s="221"/>
      <c r="FI40" s="221"/>
      <c r="FJ40" s="221"/>
      <c r="FK40" s="221"/>
      <c r="FL40" s="221"/>
      <c r="FM40" s="221"/>
      <c r="FN40" s="221"/>
      <c r="FO40" s="221"/>
      <c r="FP40" s="221"/>
      <c r="FQ40" s="221"/>
      <c r="FR40" s="221"/>
      <c r="FS40" s="221"/>
      <c r="FT40" s="221"/>
      <c r="FU40" s="221"/>
      <c r="FV40" s="221"/>
      <c r="FW40" s="221"/>
      <c r="FX40" s="221"/>
      <c r="FY40" s="221"/>
      <c r="FZ40" s="221"/>
      <c r="GA40" s="221"/>
      <c r="GB40" s="221"/>
      <c r="GC40" s="221"/>
      <c r="GD40" s="24">
        <f t="shared" si="35"/>
        <v>0</v>
      </c>
      <c r="GE40" s="24">
        <f t="shared" si="36"/>
        <v>0</v>
      </c>
      <c r="GF40" s="24">
        <f t="shared" si="37"/>
        <v>0</v>
      </c>
      <c r="GG40" s="24">
        <f t="shared" si="38"/>
        <v>0</v>
      </c>
      <c r="GH40" s="24">
        <f t="shared" si="39"/>
        <v>0</v>
      </c>
      <c r="GI40" s="24">
        <f t="shared" si="40"/>
        <v>0</v>
      </c>
      <c r="GJ40" s="24">
        <f t="shared" si="41"/>
        <v>0</v>
      </c>
      <c r="GK40" s="24">
        <f t="shared" si="42"/>
        <v>0</v>
      </c>
      <c r="GL40" s="24">
        <f t="shared" si="43"/>
        <v>0</v>
      </c>
      <c r="GM40" s="24">
        <f t="shared" si="44"/>
        <v>0</v>
      </c>
      <c r="GN40" s="24">
        <f t="shared" si="45"/>
        <v>0</v>
      </c>
      <c r="GO40" s="24">
        <f t="shared" si="46"/>
        <v>0</v>
      </c>
      <c r="GP40" s="24">
        <f t="shared" si="47"/>
        <v>0</v>
      </c>
      <c r="GQ40" s="24">
        <f t="shared" si="48"/>
        <v>0</v>
      </c>
      <c r="GR40" s="24">
        <f t="shared" si="49"/>
        <v>0</v>
      </c>
    </row>
    <row r="41" spans="1:200" ht="14" customHeight="1" x14ac:dyDescent="0.35">
      <c r="A41" s="2" t="str">
        <f t="shared" si="65"/>
        <v>47mg LP</v>
      </c>
      <c r="B41" s="25" t="s">
        <v>134</v>
      </c>
      <c r="C41" s="12" t="s">
        <v>75</v>
      </c>
      <c r="D41" s="12" t="s">
        <v>103</v>
      </c>
      <c r="E41" s="21">
        <f>IFERROR(VLOOKUP(B41,'SKU Master'!A:P,6,0),0)</f>
        <v>0</v>
      </c>
      <c r="F41" s="221"/>
      <c r="G41" s="221"/>
      <c r="H41" s="221"/>
      <c r="I41" s="221"/>
      <c r="J41" s="221"/>
      <c r="K41" s="221"/>
      <c r="L41" s="221"/>
      <c r="M41" s="221"/>
      <c r="N41" s="221"/>
      <c r="O41" s="221"/>
      <c r="P41" s="221"/>
      <c r="Q41" s="221"/>
      <c r="R41" s="221"/>
      <c r="S41" s="221"/>
      <c r="T41" s="221"/>
      <c r="U41" s="221"/>
      <c r="V41" s="221"/>
      <c r="W41" s="221"/>
      <c r="X41" s="221"/>
      <c r="Y41" s="221"/>
      <c r="Z41" s="221"/>
      <c r="AA41" s="221"/>
      <c r="AB41" s="221"/>
      <c r="AC41" s="221"/>
      <c r="AD41" s="221"/>
      <c r="AE41" s="221"/>
      <c r="AF41" s="221"/>
      <c r="AG41" s="221"/>
      <c r="AH41" s="221"/>
      <c r="AI41" s="221"/>
      <c r="AJ41" s="221"/>
      <c r="AK41" s="221"/>
      <c r="AL41" s="221"/>
      <c r="AM41" s="221"/>
      <c r="AN41" s="221"/>
      <c r="AO41" s="221"/>
      <c r="AP41" s="221"/>
      <c r="AQ41" s="221"/>
      <c r="AR41" s="221"/>
      <c r="AS41" s="221"/>
      <c r="AT41" s="221"/>
      <c r="AU41" s="221"/>
      <c r="AV41" s="221"/>
      <c r="AW41" s="221"/>
      <c r="AX41" s="221"/>
      <c r="AY41" s="221"/>
      <c r="AZ41" s="221"/>
      <c r="BA41" s="221"/>
      <c r="BB41" s="221"/>
      <c r="BC41" s="221"/>
      <c r="BD41" s="221"/>
      <c r="BE41" s="221"/>
      <c r="BF41" s="221"/>
      <c r="BG41" s="221"/>
      <c r="BH41" s="221"/>
      <c r="BI41" s="221"/>
      <c r="BJ41" s="221"/>
      <c r="BK41" s="221"/>
      <c r="BL41" s="221"/>
      <c r="BM41" s="221"/>
      <c r="BN41" s="221"/>
      <c r="BO41" s="221"/>
      <c r="BP41" s="221"/>
      <c r="BQ41" s="221"/>
      <c r="BR41" s="221"/>
      <c r="BS41" s="221"/>
      <c r="BT41" s="221"/>
      <c r="BU41" s="221"/>
      <c r="BV41" s="221"/>
      <c r="BW41" s="221"/>
      <c r="BX41" s="221"/>
      <c r="BY41" s="221"/>
      <c r="BZ41" s="221"/>
      <c r="CA41" s="221"/>
      <c r="CB41" s="221"/>
      <c r="CC41" s="221"/>
      <c r="CD41" s="221"/>
      <c r="CE41" s="221"/>
      <c r="CF41" s="221"/>
      <c r="CG41" s="221"/>
      <c r="CH41" s="221"/>
      <c r="CI41" s="221"/>
      <c r="CJ41" s="221"/>
      <c r="CK41" s="221"/>
      <c r="CL41" s="221"/>
      <c r="CM41" s="221"/>
      <c r="CN41" s="221"/>
      <c r="CO41" s="221"/>
      <c r="CP41" s="221"/>
      <c r="CQ41" s="221"/>
      <c r="CR41" s="221"/>
      <c r="CS41" s="221"/>
      <c r="CT41" s="221"/>
      <c r="CU41" s="221"/>
      <c r="CV41" s="221"/>
      <c r="CW41" s="221"/>
      <c r="CX41" s="221"/>
      <c r="CY41" s="221"/>
      <c r="CZ41" s="221"/>
      <c r="DA41" s="221"/>
      <c r="DB41" s="221"/>
      <c r="DC41" s="221"/>
      <c r="DD41" s="221"/>
      <c r="DE41" s="221"/>
      <c r="DF41" s="221"/>
      <c r="DG41" s="221"/>
      <c r="DH41" s="221"/>
      <c r="DI41" s="221"/>
      <c r="DJ41" s="221"/>
      <c r="DK41" s="221"/>
      <c r="DL41" s="221"/>
      <c r="DM41" s="221"/>
      <c r="DN41" s="221"/>
      <c r="DO41" s="221"/>
      <c r="DP41" s="221"/>
      <c r="DQ41" s="221"/>
      <c r="DR41" s="221"/>
      <c r="DS41" s="221"/>
      <c r="DT41" s="221"/>
      <c r="DU41" s="221"/>
      <c r="DV41" s="221"/>
      <c r="DW41" s="221"/>
      <c r="DX41" s="221"/>
      <c r="DY41" s="221"/>
      <c r="DZ41" s="221"/>
      <c r="EA41" s="221"/>
      <c r="EB41" s="221"/>
      <c r="EC41" s="221"/>
      <c r="ED41" s="221"/>
      <c r="EE41" s="221"/>
      <c r="EF41" s="221"/>
      <c r="EG41" s="221"/>
      <c r="EH41" s="221"/>
      <c r="EI41" s="221"/>
      <c r="EJ41" s="221"/>
      <c r="EK41" s="221"/>
      <c r="EL41" s="221"/>
      <c r="EM41" s="221"/>
      <c r="EN41" s="221"/>
      <c r="EO41" s="221"/>
      <c r="EP41" s="221"/>
      <c r="EQ41" s="221"/>
      <c r="ER41" s="221"/>
      <c r="ES41" s="221"/>
      <c r="ET41" s="221"/>
      <c r="EU41" s="221"/>
      <c r="EV41" s="221"/>
      <c r="EW41" s="221"/>
      <c r="EX41" s="221"/>
      <c r="EY41" s="221"/>
      <c r="EZ41" s="221"/>
      <c r="FA41" s="221"/>
      <c r="FB41" s="221"/>
      <c r="FC41" s="221"/>
      <c r="FD41" s="221"/>
      <c r="FE41" s="221"/>
      <c r="FF41" s="221"/>
      <c r="FG41" s="221"/>
      <c r="FH41" s="221"/>
      <c r="FI41" s="221"/>
      <c r="FJ41" s="221"/>
      <c r="FK41" s="221"/>
      <c r="FL41" s="221"/>
      <c r="FM41" s="221"/>
      <c r="FN41" s="221"/>
      <c r="FO41" s="221"/>
      <c r="FP41" s="221"/>
      <c r="FQ41" s="221"/>
      <c r="FR41" s="221"/>
      <c r="FS41" s="221"/>
      <c r="FT41" s="221"/>
      <c r="FU41" s="221"/>
      <c r="FV41" s="221"/>
      <c r="FW41" s="221"/>
      <c r="FX41" s="221"/>
      <c r="FY41" s="221"/>
      <c r="FZ41" s="221"/>
      <c r="GA41" s="221"/>
      <c r="GB41" s="221"/>
      <c r="GC41" s="221"/>
      <c r="GD41" s="24">
        <f t="shared" si="35"/>
        <v>0</v>
      </c>
      <c r="GE41" s="24">
        <f t="shared" si="36"/>
        <v>0</v>
      </c>
      <c r="GF41" s="24">
        <f t="shared" si="37"/>
        <v>0</v>
      </c>
      <c r="GG41" s="24">
        <f t="shared" si="38"/>
        <v>0</v>
      </c>
      <c r="GH41" s="24">
        <f t="shared" si="39"/>
        <v>0</v>
      </c>
      <c r="GI41" s="24">
        <f t="shared" si="40"/>
        <v>0</v>
      </c>
      <c r="GJ41" s="24">
        <f t="shared" si="41"/>
        <v>0</v>
      </c>
      <c r="GK41" s="24">
        <f t="shared" si="42"/>
        <v>0</v>
      </c>
      <c r="GL41" s="24">
        <f t="shared" si="43"/>
        <v>0</v>
      </c>
      <c r="GM41" s="24">
        <f t="shared" si="44"/>
        <v>0</v>
      </c>
      <c r="GN41" s="24">
        <f t="shared" si="45"/>
        <v>0</v>
      </c>
      <c r="GO41" s="24">
        <f t="shared" si="46"/>
        <v>0</v>
      </c>
      <c r="GP41" s="24">
        <f t="shared" si="47"/>
        <v>0</v>
      </c>
      <c r="GQ41" s="24">
        <f t="shared" si="48"/>
        <v>0</v>
      </c>
      <c r="GR41" s="24">
        <f t="shared" si="49"/>
        <v>0</v>
      </c>
    </row>
    <row r="42" spans="1:200" ht="18" customHeight="1" x14ac:dyDescent="0.35">
      <c r="A42" s="410" t="s">
        <v>35</v>
      </c>
      <c r="B42" s="26" t="s">
        <v>378</v>
      </c>
      <c r="C42" s="27" t="s">
        <v>379</v>
      </c>
      <c r="D42" s="27" t="s">
        <v>379</v>
      </c>
      <c r="E42" s="27" t="s">
        <v>380</v>
      </c>
      <c r="F42" s="28">
        <f>IF($E$26=1,F26,0)+IF($E$27=1,F27,0)+IF($E$28=1,F28,0)+IF($E$29=1,F29,0)+IF($F$1="Combined",F52,0)</f>
        <v>735.28479123500347</v>
      </c>
      <c r="G42" s="28">
        <f t="shared" ref="G42:BR42" si="66">IF($E$26=1,G26,0)+IF($E$27=1,G27,0)+IF($E$28=1,G28,0)+IF($E$29=1,G29,0)+IF($F$1="Combined",G52,0)</f>
        <v>842.59859910549494</v>
      </c>
      <c r="H42" s="28">
        <f t="shared" si="66"/>
        <v>1120.6477072832886</v>
      </c>
      <c r="I42" s="28">
        <f t="shared" si="66"/>
        <v>1083.0283168822245</v>
      </c>
      <c r="J42" s="28">
        <f t="shared" si="66"/>
        <v>943.64148536614266</v>
      </c>
      <c r="K42" s="28">
        <f t="shared" si="66"/>
        <v>1108.4869033982282</v>
      </c>
      <c r="L42" s="28">
        <f t="shared" si="66"/>
        <v>1213.0589248993151</v>
      </c>
      <c r="M42" s="28">
        <f t="shared" si="66"/>
        <v>1137.3123029842027</v>
      </c>
      <c r="N42" s="28">
        <f t="shared" si="66"/>
        <v>1206.2946850844983</v>
      </c>
      <c r="O42" s="28">
        <f t="shared" si="66"/>
        <v>1272.3744523918795</v>
      </c>
      <c r="P42" s="28">
        <f t="shared" si="66"/>
        <v>1109.5290857354362</v>
      </c>
      <c r="Q42" s="28">
        <f t="shared" si="66"/>
        <v>1547.5147574252862</v>
      </c>
      <c r="R42" s="28">
        <f t="shared" si="66"/>
        <v>1182.1189429196409</v>
      </c>
      <c r="S42" s="28">
        <f t="shared" si="66"/>
        <v>1334.1973452325033</v>
      </c>
      <c r="T42" s="28">
        <f t="shared" si="66"/>
        <v>1912.6146140684307</v>
      </c>
      <c r="U42" s="28">
        <f t="shared" si="66"/>
        <v>1748.533492739351</v>
      </c>
      <c r="V42" s="28">
        <f t="shared" si="66"/>
        <v>1612.4347332159941</v>
      </c>
      <c r="W42" s="28">
        <f t="shared" si="66"/>
        <v>1954.9932032572733</v>
      </c>
      <c r="X42" s="28">
        <f t="shared" si="66"/>
        <v>2045.199321259915</v>
      </c>
      <c r="Y42" s="28">
        <f t="shared" si="66"/>
        <v>2383.429194191488</v>
      </c>
      <c r="Z42" s="28">
        <f t="shared" si="66"/>
        <v>2334.4232099288192</v>
      </c>
      <c r="AA42" s="28">
        <f t="shared" si="66"/>
        <v>2380.1126430818408</v>
      </c>
      <c r="AB42" s="28">
        <f t="shared" si="66"/>
        <v>2637.7672644887771</v>
      </c>
      <c r="AC42" s="28">
        <f t="shared" si="66"/>
        <v>3351.2799372862391</v>
      </c>
      <c r="AD42" s="28">
        <f t="shared" si="66"/>
        <v>2687.9213234196204</v>
      </c>
      <c r="AE42" s="28">
        <f t="shared" si="66"/>
        <v>3411.8934889824955</v>
      </c>
      <c r="AF42" s="28">
        <f t="shared" si="66"/>
        <v>4499.0402090516873</v>
      </c>
      <c r="AG42" s="28">
        <f t="shared" si="66"/>
        <v>3548.2263472718987</v>
      </c>
      <c r="AH42" s="28">
        <f t="shared" si="66"/>
        <v>4759.2101189814548</v>
      </c>
      <c r="AI42" s="28">
        <f t="shared" si="66"/>
        <v>4436.5900112830604</v>
      </c>
      <c r="AJ42" s="28">
        <f t="shared" si="66"/>
        <v>4357.4027181882375</v>
      </c>
      <c r="AK42" s="28">
        <f t="shared" si="66"/>
        <v>5831.6639013369077</v>
      </c>
      <c r="AL42" s="28">
        <f t="shared" si="66"/>
        <v>4439.4810535672605</v>
      </c>
      <c r="AM42" s="28">
        <f t="shared" si="66"/>
        <v>5336.8260716651912</v>
      </c>
      <c r="AN42" s="28">
        <f t="shared" si="66"/>
        <v>4889.8952730837318</v>
      </c>
      <c r="AO42" s="28">
        <f t="shared" si="66"/>
        <v>5085.0887627551965</v>
      </c>
      <c r="AP42" s="28">
        <f t="shared" si="66"/>
        <v>5592.8586361759262</v>
      </c>
      <c r="AQ42" s="28">
        <f t="shared" si="66"/>
        <v>4643.3261353362632</v>
      </c>
      <c r="AR42" s="28">
        <f t="shared" si="66"/>
        <v>6291.9378496991349</v>
      </c>
      <c r="AS42" s="28">
        <f t="shared" si="66"/>
        <v>5529.7474600363548</v>
      </c>
      <c r="AT42" s="28">
        <f t="shared" si="66"/>
        <v>6216.2683463158919</v>
      </c>
      <c r="AU42" s="28">
        <f t="shared" si="66"/>
        <v>5222.2587231626903</v>
      </c>
      <c r="AV42" s="28">
        <f t="shared" si="66"/>
        <v>6023.4466820576199</v>
      </c>
      <c r="AW42" s="28">
        <f t="shared" si="66"/>
        <v>6950.1816242764016</v>
      </c>
      <c r="AX42" s="28">
        <f t="shared" si="66"/>
        <v>4809.5815268373999</v>
      </c>
      <c r="AY42" s="28">
        <f t="shared" si="66"/>
        <v>6920.3019693043188</v>
      </c>
      <c r="AZ42" s="28">
        <f t="shared" si="66"/>
        <v>5579.4429829833189</v>
      </c>
      <c r="BA42" s="28">
        <f t="shared" si="66"/>
        <v>5944.1585966820085</v>
      </c>
      <c r="BB42" s="28">
        <f t="shared" si="66"/>
        <v>6542.558081788733</v>
      </c>
      <c r="BC42" s="28">
        <f t="shared" si="66"/>
        <v>5451.7457431846269</v>
      </c>
      <c r="BD42" s="28">
        <f t="shared" si="66"/>
        <v>6902.98855599952</v>
      </c>
      <c r="BE42" s="28">
        <f t="shared" si="66"/>
        <v>7312.5956119401171</v>
      </c>
      <c r="BF42" s="28">
        <f t="shared" si="66"/>
        <v>7385.176083469245</v>
      </c>
      <c r="BG42" s="28">
        <f t="shared" si="66"/>
        <v>5848.9810035806331</v>
      </c>
      <c r="BH42" s="28">
        <f t="shared" si="66"/>
        <v>8323.6021738539639</v>
      </c>
      <c r="BI42" s="28">
        <f t="shared" si="66"/>
        <v>8089.4488480600448</v>
      </c>
      <c r="BJ42" s="28">
        <f t="shared" si="66"/>
        <v>7088.2157720511514</v>
      </c>
      <c r="BK42" s="28">
        <f t="shared" si="66"/>
        <v>9098.1463796462067</v>
      </c>
      <c r="BL42" s="28">
        <f t="shared" si="66"/>
        <v>6922.2689094884681</v>
      </c>
      <c r="BM42" s="28">
        <f t="shared" si="66"/>
        <v>9257.8189256785045</v>
      </c>
      <c r="BN42" s="28">
        <f t="shared" si="66"/>
        <v>9169.1233414043982</v>
      </c>
      <c r="BO42" s="28">
        <f t="shared" si="66"/>
        <v>7940.5253458319758</v>
      </c>
      <c r="BP42" s="28">
        <f t="shared" si="66"/>
        <v>10319.728588057904</v>
      </c>
      <c r="BQ42" s="28">
        <f t="shared" si="66"/>
        <v>11043.26873691061</v>
      </c>
      <c r="BR42" s="28">
        <f t="shared" si="66"/>
        <v>10295.149615750834</v>
      </c>
      <c r="BS42" s="28">
        <f t="shared" ref="BS42:ED42" si="67">IF($E$26=1,BS26,0)+IF($E$27=1,BS27,0)+IF($E$28=1,BS28,0)+IF($E$29=1,BS29,0)+IF($F$1="Combined",BS52,0)</f>
        <v>9977.0412345885452</v>
      </c>
      <c r="BT42" s="28">
        <f t="shared" si="67"/>
        <v>12402.249193607895</v>
      </c>
      <c r="BU42" s="28">
        <f t="shared" si="67"/>
        <v>11146.936681054176</v>
      </c>
      <c r="BV42" s="28">
        <f t="shared" si="67"/>
        <v>11694.232214856707</v>
      </c>
      <c r="BW42" s="28">
        <f t="shared" si="67"/>
        <v>12923.750543502676</v>
      </c>
      <c r="BX42" s="28">
        <f t="shared" si="67"/>
        <v>8712.5327065330057</v>
      </c>
      <c r="BY42" s="28">
        <f t="shared" si="67"/>
        <v>14134.360506168838</v>
      </c>
      <c r="BZ42" s="28">
        <f t="shared" si="67"/>
        <v>10867.037527190096</v>
      </c>
      <c r="CA42" s="28">
        <f t="shared" si="67"/>
        <v>10554.390874396569</v>
      </c>
      <c r="CB42" s="28">
        <f t="shared" si="67"/>
        <v>15097.671074447366</v>
      </c>
      <c r="CC42" s="28">
        <f t="shared" si="67"/>
        <v>12854.852107526072</v>
      </c>
      <c r="CD42" s="28">
        <f t="shared" si="67"/>
        <v>11177.970893494115</v>
      </c>
      <c r="CE42" s="28">
        <f t="shared" si="67"/>
        <v>12970.291230500843</v>
      </c>
      <c r="CF42" s="28">
        <f t="shared" si="67"/>
        <v>12661.796299522499</v>
      </c>
      <c r="CG42" s="28">
        <f t="shared" si="67"/>
        <v>13812.264021358777</v>
      </c>
      <c r="CH42" s="28">
        <f t="shared" si="67"/>
        <v>12449.300575420872</v>
      </c>
      <c r="CI42" s="28">
        <f t="shared" si="67"/>
        <v>11745.013311264105</v>
      </c>
      <c r="CJ42" s="28">
        <f t="shared" si="67"/>
        <v>12072.581896083799</v>
      </c>
      <c r="CK42" s="28">
        <f t="shared" si="67"/>
        <v>14237.212305564301</v>
      </c>
      <c r="CL42" s="28">
        <f t="shared" si="67"/>
        <v>10290.071269913617</v>
      </c>
      <c r="CM42" s="28">
        <f t="shared" si="67"/>
        <v>11290.457741143553</v>
      </c>
      <c r="CN42" s="28">
        <f t="shared" si="67"/>
        <v>15552.63515467172</v>
      </c>
      <c r="CO42" s="28">
        <f t="shared" si="67"/>
        <v>12050.965024849196</v>
      </c>
      <c r="CP42" s="28">
        <f t="shared" si="67"/>
        <v>12809.03445641882</v>
      </c>
      <c r="CQ42" s="28">
        <f t="shared" si="67"/>
        <v>12829.658454291601</v>
      </c>
      <c r="CR42" s="28">
        <f t="shared" si="67"/>
        <v>11744.621640862471</v>
      </c>
      <c r="CS42" s="28">
        <f t="shared" si="67"/>
        <v>15404.633455681609</v>
      </c>
      <c r="CT42" s="28">
        <f t="shared" si="67"/>
        <v>12212.847325895331</v>
      </c>
      <c r="CU42" s="28">
        <f t="shared" si="67"/>
        <v>11859.402201684301</v>
      </c>
      <c r="CV42" s="28">
        <f t="shared" si="67"/>
        <v>12177.701636183099</v>
      </c>
      <c r="CW42" s="28">
        <f t="shared" si="67"/>
        <v>13230.143395823185</v>
      </c>
      <c r="CX42" s="28">
        <f t="shared" si="67"/>
        <v>11772.147961036906</v>
      </c>
      <c r="CY42" s="28">
        <f t="shared" si="67"/>
        <v>11002.243830731892</v>
      </c>
      <c r="CZ42" s="28">
        <f t="shared" si="67"/>
        <v>15655.044761646719</v>
      </c>
      <c r="DA42" s="28">
        <f t="shared" si="67"/>
        <v>11022.185039857384</v>
      </c>
      <c r="DB42" s="28">
        <f t="shared" si="67"/>
        <v>14299.819734393408</v>
      </c>
      <c r="DC42" s="28">
        <f t="shared" si="67"/>
        <v>12539.562785715629</v>
      </c>
      <c r="DD42" s="28">
        <f t="shared" si="67"/>
        <v>11819.13692872896</v>
      </c>
      <c r="DE42" s="28">
        <f t="shared" si="67"/>
        <v>15500.326257191398</v>
      </c>
      <c r="DF42" s="28">
        <f t="shared" si="67"/>
        <v>11171.236969738489</v>
      </c>
      <c r="DG42" s="28">
        <f t="shared" si="67"/>
        <v>13359.940198819595</v>
      </c>
      <c r="DH42" s="28">
        <f t="shared" si="67"/>
        <v>11887.084015166591</v>
      </c>
      <c r="DI42" s="28">
        <f t="shared" si="67"/>
        <v>12208.305661064396</v>
      </c>
      <c r="DJ42" s="28">
        <f t="shared" si="67"/>
        <v>13268.382432745819</v>
      </c>
      <c r="DK42" s="28">
        <f t="shared" si="67"/>
        <v>10712.617092596653</v>
      </c>
      <c r="DL42" s="28">
        <f t="shared" si="67"/>
        <v>14644.612652591233</v>
      </c>
      <c r="DM42" s="28">
        <f t="shared" si="67"/>
        <v>12525.534252279393</v>
      </c>
      <c r="DN42" s="28">
        <f t="shared" si="67"/>
        <v>14042.542137133549</v>
      </c>
      <c r="DO42" s="28">
        <f t="shared" si="67"/>
        <v>11523.459681790708</v>
      </c>
      <c r="DP42" s="28">
        <f t="shared" si="67"/>
        <v>13336.629981986656</v>
      </c>
      <c r="DQ42" s="28">
        <f t="shared" si="67"/>
        <v>15259.340661094569</v>
      </c>
      <c r="DR42" s="28">
        <f t="shared" si="67"/>
        <v>10152.017493391886</v>
      </c>
      <c r="DS42" s="28">
        <f t="shared" si="67"/>
        <v>14906.369047679704</v>
      </c>
      <c r="DT42" s="28">
        <f t="shared" si="67"/>
        <v>11616.856913712996</v>
      </c>
      <c r="DU42" s="28">
        <f t="shared" si="67"/>
        <v>12318.277798958348</v>
      </c>
      <c r="DV42" s="28">
        <f t="shared" si="67"/>
        <v>13388.22566412788</v>
      </c>
      <c r="DW42" s="28">
        <f t="shared" si="67"/>
        <v>11917.184360518606</v>
      </c>
      <c r="DX42" s="28">
        <f t="shared" si="67"/>
        <v>13359.329098163755</v>
      </c>
      <c r="DY42" s="28">
        <f t="shared" si="67"/>
        <v>14141.951967887968</v>
      </c>
      <c r="DZ42" s="28">
        <f t="shared" si="67"/>
        <v>12730.458475494661</v>
      </c>
      <c r="EA42" s="28">
        <f t="shared" si="67"/>
        <v>12000.532766875243</v>
      </c>
      <c r="EB42" s="28">
        <f t="shared" si="67"/>
        <v>14587.024097906</v>
      </c>
      <c r="EC42" s="28">
        <f t="shared" si="67"/>
        <v>12792.717981564434</v>
      </c>
      <c r="ED42" s="28">
        <f t="shared" si="67"/>
        <v>13189.883136945376</v>
      </c>
      <c r="EE42" s="28">
        <f t="shared" ref="EE42:GP42" si="68">IF($E$26=1,EE26,0)+IF($E$27=1,EE27,0)+IF($E$28=1,EE28,0)+IF($E$29=1,EE29,0)+IF($F$1="Combined",EE52,0)</f>
        <v>14356.108757470076</v>
      </c>
      <c r="EF42" s="28">
        <f t="shared" si="68"/>
        <v>9530.6080020293066</v>
      </c>
      <c r="EG42" s="28">
        <f t="shared" si="68"/>
        <v>15355.280698945446</v>
      </c>
      <c r="EH42" s="28">
        <f t="shared" si="68"/>
        <v>11675.952756906507</v>
      </c>
      <c r="EI42" s="28">
        <f t="shared" si="68"/>
        <v>11266.033510380894</v>
      </c>
      <c r="EJ42" s="28">
        <f t="shared" si="68"/>
        <v>14883.192877630398</v>
      </c>
      <c r="EK42" s="28">
        <f t="shared" si="68"/>
        <v>13867.09439483512</v>
      </c>
      <c r="EL42" s="28">
        <f t="shared" si="68"/>
        <v>11686.514796872963</v>
      </c>
      <c r="EM42" s="28">
        <f t="shared" si="68"/>
        <v>13522.879488718085</v>
      </c>
      <c r="EN42" s="28">
        <f t="shared" si="68"/>
        <v>14311.284791729131</v>
      </c>
      <c r="EO42" s="28">
        <f t="shared" si="68"/>
        <v>10974.30037377702</v>
      </c>
      <c r="EP42" s="28">
        <f t="shared" si="68"/>
        <v>10447.578827002784</v>
      </c>
      <c r="EQ42" s="28">
        <f t="shared" si="68"/>
        <v>9557.1259580244168</v>
      </c>
      <c r="ER42" s="28">
        <f t="shared" si="68"/>
        <v>7151.5353674112848</v>
      </c>
      <c r="ES42" s="28">
        <f t="shared" si="68"/>
        <v>9130.1829109287028</v>
      </c>
      <c r="ET42" s="28">
        <f t="shared" si="68"/>
        <v>5669.7933500128183</v>
      </c>
      <c r="EU42" s="28">
        <f t="shared" si="68"/>
        <v>5751.7049588416003</v>
      </c>
      <c r="EV42" s="28">
        <f t="shared" si="68"/>
        <v>7312.5441772008708</v>
      </c>
      <c r="EW42" s="28">
        <f t="shared" si="68"/>
        <v>5484.0905506728177</v>
      </c>
      <c r="EX42" s="28">
        <f t="shared" si="68"/>
        <v>4254.3173433266165</v>
      </c>
      <c r="EY42" s="28">
        <f t="shared" si="68"/>
        <v>4510.9043530665185</v>
      </c>
      <c r="EZ42" s="28">
        <f t="shared" si="68"/>
        <v>3922.937834627146</v>
      </c>
      <c r="FA42" s="28">
        <f t="shared" si="68"/>
        <v>3843.1031351403913</v>
      </c>
      <c r="FB42" s="28">
        <f t="shared" si="68"/>
        <v>3045.048048350413</v>
      </c>
      <c r="FC42" s="28">
        <f t="shared" si="68"/>
        <v>2541.405797482681</v>
      </c>
      <c r="FD42" s="28">
        <f t="shared" si="68"/>
        <v>2317.424704927213</v>
      </c>
      <c r="FE42" s="28">
        <f t="shared" si="68"/>
        <v>2425.6143287946657</v>
      </c>
      <c r="FF42" s="28">
        <f t="shared" si="68"/>
        <v>1461.0029987468092</v>
      </c>
      <c r="FG42" s="28">
        <f t="shared" si="68"/>
        <v>1418.0347476662746</v>
      </c>
      <c r="FH42" s="28">
        <f t="shared" si="68"/>
        <v>1712.5402892579468</v>
      </c>
      <c r="FI42" s="28">
        <f t="shared" si="68"/>
        <v>1059.0634829784076</v>
      </c>
      <c r="FJ42" s="28">
        <f t="shared" si="68"/>
        <v>942.3557031361363</v>
      </c>
      <c r="FK42" s="28">
        <f t="shared" si="68"/>
        <v>753.23924253514224</v>
      </c>
      <c r="FL42" s="28">
        <f t="shared" si="68"/>
        <v>518.75422805436801</v>
      </c>
      <c r="FM42" s="28">
        <f t="shared" si="68"/>
        <v>788.78287888477337</v>
      </c>
      <c r="FN42" s="28">
        <f t="shared" si="68"/>
        <v>634.66897341735171</v>
      </c>
      <c r="FO42" s="28">
        <f t="shared" si="68"/>
        <v>616.31719852867718</v>
      </c>
      <c r="FP42" s="28">
        <f t="shared" si="68"/>
        <v>632.85102004645</v>
      </c>
      <c r="FQ42" s="28">
        <f t="shared" si="68"/>
        <v>687.55053004030003</v>
      </c>
      <c r="FR42" s="28">
        <f t="shared" si="68"/>
        <v>611.92567677319585</v>
      </c>
      <c r="FS42" s="28">
        <f t="shared" si="68"/>
        <v>628.54374573962491</v>
      </c>
      <c r="FT42" s="28">
        <f t="shared" si="68"/>
        <v>740.78767289107702</v>
      </c>
      <c r="FU42" s="28">
        <f t="shared" si="68"/>
        <v>649.72407556358144</v>
      </c>
      <c r="FV42" s="28">
        <f t="shared" si="68"/>
        <v>728.174222224696</v>
      </c>
      <c r="FW42" s="28">
        <f t="shared" si="68"/>
        <v>597.407714725294</v>
      </c>
      <c r="FX42" s="28">
        <f t="shared" si="68"/>
        <v>691.13255506030441</v>
      </c>
      <c r="FY42" s="28">
        <f t="shared" si="68"/>
        <v>790.4616381433591</v>
      </c>
      <c r="FZ42" s="28">
        <f t="shared" si="68"/>
        <v>525.80961706373205</v>
      </c>
      <c r="GA42" s="28">
        <f t="shared" si="68"/>
        <v>771.68812886023466</v>
      </c>
      <c r="GB42" s="28">
        <f t="shared" si="68"/>
        <v>601.22831115212557</v>
      </c>
      <c r="GC42" s="28">
        <f t="shared" si="68"/>
        <v>637.29626987159168</v>
      </c>
      <c r="GD42" s="28">
        <f t="shared" si="68"/>
        <v>12584.487220555995</v>
      </c>
      <c r="GE42" s="28">
        <f t="shared" si="68"/>
        <v>24877.103901670274</v>
      </c>
      <c r="GF42" s="28">
        <f t="shared" si="68"/>
        <v>53283.239279586749</v>
      </c>
      <c r="GG42" s="28">
        <f t="shared" si="68"/>
        <v>69723.510532867323</v>
      </c>
      <c r="GH42" s="28">
        <f t="shared" si="68"/>
        <v>88223.546088741219</v>
      </c>
      <c r="GI42" s="28">
        <f t="shared" si="68"/>
        <v>129758.89870826754</v>
      </c>
      <c r="GJ42" s="28">
        <f t="shared" si="68"/>
        <v>150500.38211676944</v>
      </c>
      <c r="GK42" s="28">
        <f t="shared" si="68"/>
        <v>151452.17175741852</v>
      </c>
      <c r="GL42" s="28">
        <f t="shared" si="68"/>
        <v>152237.03414409136</v>
      </c>
      <c r="GM42" s="28">
        <f t="shared" si="68"/>
        <v>154306.64014596152</v>
      </c>
      <c r="GN42" s="28">
        <f t="shared" si="68"/>
        <v>157349.30500792875</v>
      </c>
      <c r="GO42" s="28">
        <f t="shared" si="68"/>
        <v>138473.6760542173</v>
      </c>
      <c r="GP42" s="28">
        <f t="shared" si="68"/>
        <v>51078.888582443746</v>
      </c>
      <c r="GQ42" s="28">
        <f t="shared" ref="GQ42:GR42" si="69">IF($E$26=1,GQ26,0)+IF($E$27=1,GQ27,0)+IF($E$28=1,GQ28,0)+IF($E$29=1,GQ29,0)+IF($F$1="Combined",GQ52,0)</f>
        <v>11225.161293292636</v>
      </c>
      <c r="GR42" s="28">
        <f t="shared" si="69"/>
        <v>7974.1796280688177</v>
      </c>
    </row>
    <row r="44" spans="1:200" ht="22" customHeight="1" x14ac:dyDescent="0.35">
      <c r="A44" s="404" t="s">
        <v>926</v>
      </c>
      <c r="B44" s="395"/>
      <c r="C44" s="395"/>
      <c r="D44" s="395"/>
      <c r="E44" s="395"/>
      <c r="F44" s="395"/>
      <c r="G44" s="395"/>
      <c r="H44" s="395"/>
      <c r="I44" s="395"/>
      <c r="J44" s="395"/>
      <c r="K44" s="395"/>
      <c r="L44" s="395"/>
      <c r="M44" s="395"/>
      <c r="N44" s="395"/>
      <c r="O44" s="395"/>
      <c r="P44" s="395"/>
      <c r="Q44" s="395"/>
      <c r="R44" s="395"/>
      <c r="S44" s="395"/>
      <c r="T44" s="395"/>
      <c r="U44" s="395"/>
      <c r="V44" s="395"/>
      <c r="W44" s="395"/>
      <c r="X44" s="395"/>
      <c r="Y44" s="395"/>
      <c r="Z44" s="395"/>
      <c r="AA44" s="395"/>
      <c r="AB44" s="395"/>
      <c r="AC44" s="395"/>
      <c r="AD44" s="395"/>
      <c r="AE44" s="395"/>
      <c r="AF44" s="395"/>
      <c r="AG44" s="395"/>
      <c r="AH44" s="395"/>
      <c r="AI44" s="395"/>
      <c r="AJ44" s="395"/>
      <c r="AK44" s="395"/>
      <c r="AL44" s="395"/>
      <c r="AM44" s="395"/>
      <c r="AN44" s="395"/>
      <c r="AO44" s="395"/>
      <c r="AP44" s="395"/>
      <c r="AQ44" s="395"/>
      <c r="AR44" s="395"/>
      <c r="AS44" s="395"/>
      <c r="AT44" s="395"/>
      <c r="AU44" s="395"/>
      <c r="AV44" s="395"/>
      <c r="AW44" s="395"/>
      <c r="AX44" s="395"/>
      <c r="AY44" s="395"/>
      <c r="AZ44" s="395"/>
      <c r="BA44" s="395"/>
      <c r="BB44" s="395"/>
      <c r="BC44" s="395"/>
      <c r="BD44" s="395"/>
      <c r="BE44" s="395"/>
      <c r="BF44" s="395"/>
      <c r="BG44" s="395"/>
      <c r="BH44" s="395"/>
      <c r="BI44" s="395"/>
      <c r="BJ44" s="395"/>
      <c r="BK44" s="395"/>
      <c r="BL44" s="395"/>
      <c r="BM44" s="395"/>
      <c r="BN44" s="395"/>
      <c r="BO44" s="395"/>
      <c r="BP44" s="395"/>
      <c r="BQ44" s="395"/>
      <c r="BR44" s="395"/>
      <c r="BS44" s="395"/>
      <c r="BT44" s="395"/>
      <c r="BU44" s="395"/>
      <c r="BV44" s="395"/>
      <c r="BW44" s="395"/>
      <c r="BX44" s="395"/>
      <c r="BY44" s="395"/>
      <c r="BZ44" s="395"/>
      <c r="CA44" s="395"/>
      <c r="CB44" s="395"/>
      <c r="CC44" s="395"/>
      <c r="CD44" s="395"/>
      <c r="CE44" s="395"/>
      <c r="CF44" s="395"/>
      <c r="CG44" s="395"/>
      <c r="CH44" s="395"/>
      <c r="CI44" s="395"/>
      <c r="CJ44" s="395"/>
      <c r="CK44" s="395"/>
      <c r="CL44" s="395"/>
      <c r="CM44" s="395"/>
      <c r="CN44" s="395"/>
      <c r="CO44" s="395"/>
      <c r="CP44" s="395"/>
      <c r="CQ44" s="395"/>
      <c r="CR44" s="395"/>
      <c r="CS44" s="395"/>
      <c r="CT44" s="395"/>
      <c r="CU44" s="395"/>
      <c r="CV44" s="395"/>
      <c r="CW44" s="395"/>
      <c r="CX44" s="395"/>
      <c r="CY44" s="395"/>
      <c r="CZ44" s="395"/>
      <c r="DA44" s="395"/>
      <c r="DB44" s="395"/>
      <c r="DC44" s="395"/>
      <c r="DD44" s="395"/>
      <c r="DE44" s="395"/>
      <c r="DF44" s="395"/>
      <c r="DG44" s="395"/>
      <c r="DH44" s="395"/>
      <c r="DI44" s="395"/>
      <c r="DJ44" s="395"/>
      <c r="DK44" s="395"/>
      <c r="DL44" s="395"/>
      <c r="DM44" s="395"/>
      <c r="DN44" s="395"/>
      <c r="DO44" s="395"/>
      <c r="DP44" s="395"/>
      <c r="DQ44" s="395"/>
      <c r="DR44" s="395"/>
      <c r="DS44" s="395"/>
      <c r="DT44" s="395"/>
      <c r="DU44" s="395"/>
      <c r="DV44" s="395"/>
      <c r="DW44" s="395"/>
      <c r="DX44" s="395"/>
      <c r="DY44" s="395"/>
      <c r="DZ44" s="395"/>
      <c r="EA44" s="395"/>
      <c r="EB44" s="395"/>
      <c r="EC44" s="395"/>
      <c r="ED44" s="395"/>
      <c r="EE44" s="395"/>
      <c r="EF44" s="395"/>
      <c r="EG44" s="395"/>
      <c r="EH44" s="395"/>
      <c r="EI44" s="395"/>
      <c r="EJ44" s="395"/>
      <c r="EK44" s="395"/>
      <c r="EL44" s="395"/>
      <c r="EM44" s="395"/>
      <c r="EN44" s="395"/>
      <c r="EO44" s="395"/>
      <c r="EP44" s="395"/>
      <c r="EQ44" s="395"/>
      <c r="ER44" s="395"/>
      <c r="ES44" s="395"/>
      <c r="ET44" s="395"/>
      <c r="EU44" s="395"/>
      <c r="EV44" s="395"/>
      <c r="EW44" s="395"/>
      <c r="EX44" s="395"/>
      <c r="EY44" s="395"/>
      <c r="EZ44" s="395"/>
      <c r="FA44" s="395"/>
      <c r="FB44" s="395"/>
      <c r="FC44" s="395"/>
      <c r="FD44" s="395"/>
      <c r="FE44" s="395"/>
      <c r="FF44" s="395"/>
      <c r="FG44" s="395"/>
      <c r="FH44" s="395"/>
      <c r="FI44" s="395"/>
      <c r="FJ44" s="395"/>
      <c r="FK44" s="395"/>
      <c r="FL44" s="395"/>
      <c r="FM44" s="395"/>
      <c r="FN44" s="395"/>
      <c r="FO44" s="395"/>
      <c r="FP44" s="395"/>
      <c r="FQ44" s="395"/>
      <c r="FR44" s="395"/>
      <c r="FS44" s="395"/>
      <c r="FT44" s="395"/>
      <c r="FU44" s="395"/>
      <c r="FV44" s="395"/>
      <c r="FW44" s="395"/>
      <c r="FX44" s="395"/>
      <c r="FY44" s="395"/>
      <c r="FZ44" s="395"/>
      <c r="GA44" s="395"/>
      <c r="GB44" s="395"/>
      <c r="GC44" s="395"/>
      <c r="GD44" s="395"/>
      <c r="GE44" s="395"/>
      <c r="GF44" s="395"/>
      <c r="GG44" s="395"/>
      <c r="GH44" s="395"/>
      <c r="GI44" s="395"/>
      <c r="GJ44" s="395"/>
      <c r="GK44" s="395"/>
      <c r="GL44" s="395"/>
      <c r="GM44" s="395"/>
      <c r="GN44" s="395"/>
      <c r="GO44" s="395"/>
      <c r="GP44" s="395"/>
      <c r="GQ44" s="395"/>
    </row>
    <row r="45" spans="1:200" ht="14" customHeight="1" x14ac:dyDescent="0.35">
      <c r="A45" s="2" t="s">
        <v>923</v>
      </c>
      <c r="B45" s="22" t="s">
        <v>927</v>
      </c>
      <c r="C45" s="4" t="s">
        <v>379</v>
      </c>
      <c r="D45" s="4" t="s">
        <v>76</v>
      </c>
      <c r="E45" s="21">
        <f>IFERROR(VLOOKUP(B45,'SKU Master'!A:P,6,0),0)</f>
        <v>1</v>
      </c>
      <c r="F45" s="23"/>
      <c r="G45" s="23"/>
      <c r="H45" s="23"/>
      <c r="I45" s="23"/>
      <c r="J45" s="23"/>
      <c r="K45" s="23"/>
      <c r="L45" s="23"/>
      <c r="M45" s="23"/>
      <c r="N45" s="23"/>
      <c r="O45" s="23"/>
      <c r="P45" s="23"/>
      <c r="Q45" s="23"/>
      <c r="R45" s="23"/>
      <c r="S45" s="23"/>
      <c r="T45" s="23"/>
      <c r="U45" s="23"/>
      <c r="V45" s="23"/>
      <c r="W45" s="23"/>
      <c r="X45" s="23"/>
      <c r="Y45" s="23"/>
      <c r="Z45" s="23"/>
      <c r="AA45" s="23"/>
      <c r="AB45" s="23"/>
      <c r="AC45" s="23"/>
      <c r="AD45" s="23"/>
      <c r="AE45" s="23"/>
      <c r="AF45" s="23"/>
      <c r="AG45" s="23"/>
      <c r="AH45" s="23"/>
      <c r="AI45" s="23"/>
      <c r="AJ45" s="23"/>
      <c r="AK45" s="23"/>
      <c r="AL45" s="23"/>
      <c r="AM45" s="23"/>
      <c r="AN45" s="23"/>
      <c r="AO45" s="23"/>
      <c r="AP45" s="23"/>
      <c r="AQ45" s="23"/>
      <c r="AR45" s="23"/>
      <c r="AS45" s="23"/>
      <c r="AT45" s="23"/>
      <c r="AU45" s="23"/>
      <c r="AV45" s="23"/>
      <c r="AW45" s="23"/>
      <c r="AX45" s="23"/>
      <c r="AY45" s="23"/>
      <c r="AZ45" s="23"/>
      <c r="BA45" s="23"/>
      <c r="BB45" s="23"/>
      <c r="BC45" s="23"/>
      <c r="BD45" s="23"/>
      <c r="BE45" s="23"/>
      <c r="BF45" s="23"/>
      <c r="BG45" s="23"/>
      <c r="BH45" s="23"/>
      <c r="BI45" s="23"/>
      <c r="BJ45" s="23"/>
      <c r="BK45" s="23"/>
      <c r="BL45" s="23"/>
      <c r="BM45" s="23"/>
      <c r="BN45" s="23"/>
      <c r="BO45" s="23"/>
      <c r="BP45" s="23"/>
      <c r="BQ45" s="23"/>
      <c r="BR45" s="23"/>
      <c r="BS45" s="23"/>
      <c r="BT45" s="23"/>
      <c r="BU45" s="23"/>
      <c r="BV45" s="23"/>
      <c r="BW45" s="23"/>
      <c r="BX45" s="23"/>
      <c r="BY45" s="23"/>
      <c r="BZ45" s="23"/>
      <c r="CA45" s="23"/>
      <c r="CB45" s="23"/>
      <c r="CC45" s="23"/>
      <c r="CD45" s="23"/>
      <c r="CE45" s="23"/>
      <c r="CF45" s="23"/>
      <c r="CG45" s="23"/>
      <c r="CH45" s="23"/>
      <c r="CI45" s="23"/>
      <c r="CJ45" s="23"/>
      <c r="CK45" s="23"/>
      <c r="CL45" s="23"/>
      <c r="CM45" s="23"/>
      <c r="CN45" s="23"/>
      <c r="CO45" s="23"/>
      <c r="CP45" s="23"/>
      <c r="CQ45" s="23"/>
      <c r="CR45" s="23"/>
      <c r="CS45" s="23"/>
      <c r="CT45" s="23"/>
      <c r="CU45" s="23"/>
      <c r="CV45" s="23"/>
      <c r="CW45" s="23"/>
      <c r="CX45" s="23"/>
      <c r="CY45" s="23"/>
      <c r="CZ45" s="23"/>
      <c r="DA45" s="23"/>
      <c r="DB45" s="23"/>
      <c r="DC45" s="23"/>
      <c r="DD45" s="23"/>
      <c r="DE45" s="23"/>
      <c r="DF45" s="23"/>
      <c r="DG45" s="23"/>
      <c r="DH45" s="23"/>
      <c r="DI45" s="23"/>
      <c r="DJ45" s="23"/>
      <c r="DK45" s="23"/>
      <c r="DL45" s="23"/>
      <c r="DM45" s="23"/>
      <c r="DN45" s="23"/>
      <c r="DO45" s="23"/>
      <c r="DP45" s="23"/>
      <c r="DQ45" s="23"/>
      <c r="DR45" s="23"/>
      <c r="DS45" s="23"/>
      <c r="DT45" s="23"/>
      <c r="DU45" s="23"/>
      <c r="DV45" s="23"/>
      <c r="DW45" s="23"/>
      <c r="DX45" s="23"/>
      <c r="DY45" s="23"/>
      <c r="DZ45" s="23"/>
      <c r="EA45" s="23"/>
      <c r="EB45" s="23"/>
      <c r="EC45" s="23"/>
      <c r="ED45" s="23"/>
      <c r="EE45" s="23"/>
      <c r="EF45" s="23"/>
      <c r="EG45" s="23"/>
      <c r="EH45" s="23"/>
      <c r="EI45" s="23"/>
      <c r="EJ45" s="23"/>
      <c r="EK45" s="23"/>
      <c r="EL45" s="23"/>
      <c r="EM45" s="23"/>
      <c r="EN45" s="23"/>
      <c r="EO45" s="23"/>
      <c r="EP45" s="23"/>
      <c r="EQ45" s="23"/>
      <c r="ER45" s="23"/>
      <c r="ES45" s="23"/>
      <c r="ET45" s="23"/>
      <c r="EU45" s="23"/>
      <c r="EV45" s="23"/>
      <c r="EW45" s="23"/>
      <c r="EX45" s="23"/>
      <c r="EY45" s="23"/>
      <c r="EZ45" s="23"/>
      <c r="FA45" s="23"/>
      <c r="FB45" s="23"/>
      <c r="FC45" s="23"/>
      <c r="FD45" s="23"/>
      <c r="FE45" s="23"/>
      <c r="FF45" s="23"/>
      <c r="FG45" s="23"/>
      <c r="FH45" s="23"/>
      <c r="FI45" s="23"/>
      <c r="FJ45" s="23"/>
      <c r="FK45" s="23"/>
      <c r="FL45" s="23"/>
      <c r="FM45" s="23"/>
      <c r="FN45" s="23"/>
      <c r="FO45" s="23"/>
      <c r="FP45" s="23"/>
      <c r="FQ45" s="23"/>
      <c r="FR45" s="23"/>
      <c r="FS45" s="23"/>
      <c r="FT45" s="23"/>
      <c r="FU45" s="23"/>
      <c r="FV45" s="23"/>
      <c r="FW45" s="23"/>
      <c r="FX45" s="23"/>
      <c r="FY45" s="23"/>
      <c r="FZ45" s="23"/>
      <c r="GA45" s="23"/>
      <c r="GB45" s="23"/>
      <c r="GC45" s="23"/>
      <c r="GD45" s="24">
        <f t="shared" ref="GD45" si="70">IF(E45=1,SUM(G45:Q45),0)</f>
        <v>0</v>
      </c>
      <c r="GE45" s="24">
        <f t="shared" ref="GE45" si="71">IF(E45=1,SUM(R45:AC45),0)</f>
        <v>0</v>
      </c>
      <c r="GF45" s="24">
        <f t="shared" ref="GF45" si="72">IF(E45=1,SUM(AD45:AO45),0)</f>
        <v>0</v>
      </c>
      <c r="GG45" s="24">
        <f t="shared" ref="GG45" si="73">IF(E45=1,SUM(AP45:BA45),0)</f>
        <v>0</v>
      </c>
      <c r="GH45" s="24">
        <f t="shared" ref="GH45" si="74">IF(E45=1,SUM(BB45:BM45),0)</f>
        <v>0</v>
      </c>
      <c r="GI45" s="24">
        <f t="shared" ref="GI45" si="75">IF(E45=1,SUM(BN45:BY45),0)</f>
        <v>0</v>
      </c>
      <c r="GJ45" s="24">
        <f t="shared" ref="GJ45" si="76">IF(E45=1,SUM(BZ45:CK45),0)</f>
        <v>0</v>
      </c>
      <c r="GK45" s="24">
        <f t="shared" ref="GK45" si="77">IF(E45=1,SUM(CL45:CW45),0)</f>
        <v>0</v>
      </c>
      <c r="GL45" s="24">
        <f t="shared" ref="GL45" si="78">IF(E45=1,SUM(CX45:DI45),0)</f>
        <v>0</v>
      </c>
      <c r="GM45" s="24">
        <f t="shared" ref="GM45" si="79">IF(E45=1,SUM(DJ45:DU45),0)</f>
        <v>0</v>
      </c>
      <c r="GN45" s="24">
        <f t="shared" ref="GN45" si="80">IF(E45=1,SUM(DV45:EG45),0)</f>
        <v>0</v>
      </c>
      <c r="GO45" s="24">
        <f t="shared" ref="GO45" si="81">IF(E45=1,SUM(EH45:ES45),0)</f>
        <v>0</v>
      </c>
      <c r="GP45" s="24">
        <f t="shared" ref="GP45" si="82">IF(E45=1,SUM(ET45:FE45),0)</f>
        <v>0</v>
      </c>
      <c r="GQ45" s="24">
        <f t="shared" ref="GQ45" si="83">IF(E45=1,SUM(FF45:FQ45),0)</f>
        <v>0</v>
      </c>
      <c r="GR45" s="24">
        <f t="shared" ref="GR45" si="84">IF(E45=1,SUM(FR45:GC45),0)</f>
        <v>0</v>
      </c>
    </row>
    <row r="46" spans="1:200" x14ac:dyDescent="0.35">
      <c r="A46" s="200" t="s">
        <v>923</v>
      </c>
      <c r="B46" s="26" t="s">
        <v>378</v>
      </c>
      <c r="C46" s="27" t="s">
        <v>379</v>
      </c>
      <c r="D46" s="27" t="s">
        <v>379</v>
      </c>
      <c r="E46" s="27" t="s">
        <v>380</v>
      </c>
      <c r="F46" s="28">
        <f>F45</f>
        <v>0</v>
      </c>
      <c r="G46" s="28">
        <f t="shared" ref="G46:BR46" si="85">G45</f>
        <v>0</v>
      </c>
      <c r="H46" s="28">
        <f t="shared" si="85"/>
        <v>0</v>
      </c>
      <c r="I46" s="28">
        <f t="shared" si="85"/>
        <v>0</v>
      </c>
      <c r="J46" s="28">
        <f t="shared" si="85"/>
        <v>0</v>
      </c>
      <c r="K46" s="28">
        <f t="shared" si="85"/>
        <v>0</v>
      </c>
      <c r="L46" s="28">
        <f t="shared" si="85"/>
        <v>0</v>
      </c>
      <c r="M46" s="28">
        <f t="shared" si="85"/>
        <v>0</v>
      </c>
      <c r="N46" s="28">
        <f t="shared" si="85"/>
        <v>0</v>
      </c>
      <c r="O46" s="28">
        <f t="shared" si="85"/>
        <v>0</v>
      </c>
      <c r="P46" s="28">
        <f t="shared" si="85"/>
        <v>0</v>
      </c>
      <c r="Q46" s="28">
        <f t="shared" si="85"/>
        <v>0</v>
      </c>
      <c r="R46" s="28">
        <f t="shared" si="85"/>
        <v>0</v>
      </c>
      <c r="S46" s="28">
        <f t="shared" si="85"/>
        <v>0</v>
      </c>
      <c r="T46" s="28">
        <f t="shared" si="85"/>
        <v>0</v>
      </c>
      <c r="U46" s="28">
        <f t="shared" si="85"/>
        <v>0</v>
      </c>
      <c r="V46" s="28">
        <f t="shared" si="85"/>
        <v>0</v>
      </c>
      <c r="W46" s="28">
        <f t="shared" si="85"/>
        <v>0</v>
      </c>
      <c r="X46" s="28">
        <f t="shared" si="85"/>
        <v>0</v>
      </c>
      <c r="Y46" s="28">
        <f t="shared" si="85"/>
        <v>0</v>
      </c>
      <c r="Z46" s="28">
        <f t="shared" si="85"/>
        <v>0</v>
      </c>
      <c r="AA46" s="28">
        <f t="shared" si="85"/>
        <v>0</v>
      </c>
      <c r="AB46" s="28">
        <f t="shared" si="85"/>
        <v>0</v>
      </c>
      <c r="AC46" s="28">
        <f t="shared" si="85"/>
        <v>0</v>
      </c>
      <c r="AD46" s="28">
        <f t="shared" si="85"/>
        <v>0</v>
      </c>
      <c r="AE46" s="28">
        <f t="shared" si="85"/>
        <v>0</v>
      </c>
      <c r="AF46" s="28">
        <f t="shared" si="85"/>
        <v>0</v>
      </c>
      <c r="AG46" s="28">
        <f t="shared" si="85"/>
        <v>0</v>
      </c>
      <c r="AH46" s="28">
        <f t="shared" si="85"/>
        <v>0</v>
      </c>
      <c r="AI46" s="28">
        <f t="shared" si="85"/>
        <v>0</v>
      </c>
      <c r="AJ46" s="28">
        <f t="shared" si="85"/>
        <v>0</v>
      </c>
      <c r="AK46" s="28">
        <f t="shared" si="85"/>
        <v>0</v>
      </c>
      <c r="AL46" s="28">
        <f t="shared" si="85"/>
        <v>0</v>
      </c>
      <c r="AM46" s="28">
        <f t="shared" si="85"/>
        <v>0</v>
      </c>
      <c r="AN46" s="28">
        <f t="shared" si="85"/>
        <v>0</v>
      </c>
      <c r="AO46" s="28">
        <f t="shared" si="85"/>
        <v>0</v>
      </c>
      <c r="AP46" s="28">
        <f t="shared" si="85"/>
        <v>0</v>
      </c>
      <c r="AQ46" s="28">
        <f t="shared" si="85"/>
        <v>0</v>
      </c>
      <c r="AR46" s="28">
        <f t="shared" si="85"/>
        <v>0</v>
      </c>
      <c r="AS46" s="28">
        <f t="shared" si="85"/>
        <v>0</v>
      </c>
      <c r="AT46" s="28">
        <f t="shared" si="85"/>
        <v>0</v>
      </c>
      <c r="AU46" s="28">
        <f t="shared" si="85"/>
        <v>0</v>
      </c>
      <c r="AV46" s="28">
        <f t="shared" si="85"/>
        <v>0</v>
      </c>
      <c r="AW46" s="28">
        <f t="shared" si="85"/>
        <v>0</v>
      </c>
      <c r="AX46" s="28">
        <f t="shared" si="85"/>
        <v>0</v>
      </c>
      <c r="AY46" s="28">
        <f t="shared" si="85"/>
        <v>0</v>
      </c>
      <c r="AZ46" s="28">
        <f t="shared" si="85"/>
        <v>0</v>
      </c>
      <c r="BA46" s="28">
        <f t="shared" si="85"/>
        <v>0</v>
      </c>
      <c r="BB46" s="28">
        <f t="shared" si="85"/>
        <v>0</v>
      </c>
      <c r="BC46" s="28">
        <f t="shared" si="85"/>
        <v>0</v>
      </c>
      <c r="BD46" s="28">
        <f t="shared" si="85"/>
        <v>0</v>
      </c>
      <c r="BE46" s="28">
        <f t="shared" si="85"/>
        <v>0</v>
      </c>
      <c r="BF46" s="28">
        <f t="shared" si="85"/>
        <v>0</v>
      </c>
      <c r="BG46" s="28">
        <f t="shared" si="85"/>
        <v>0</v>
      </c>
      <c r="BH46" s="28">
        <f t="shared" si="85"/>
        <v>0</v>
      </c>
      <c r="BI46" s="28">
        <f t="shared" si="85"/>
        <v>0</v>
      </c>
      <c r="BJ46" s="28">
        <f t="shared" si="85"/>
        <v>0</v>
      </c>
      <c r="BK46" s="28">
        <f t="shared" si="85"/>
        <v>0</v>
      </c>
      <c r="BL46" s="28">
        <f t="shared" si="85"/>
        <v>0</v>
      </c>
      <c r="BM46" s="28">
        <f t="shared" si="85"/>
        <v>0</v>
      </c>
      <c r="BN46" s="28">
        <f t="shared" si="85"/>
        <v>0</v>
      </c>
      <c r="BO46" s="28">
        <f t="shared" si="85"/>
        <v>0</v>
      </c>
      <c r="BP46" s="28">
        <f t="shared" si="85"/>
        <v>0</v>
      </c>
      <c r="BQ46" s="28">
        <f t="shared" si="85"/>
        <v>0</v>
      </c>
      <c r="BR46" s="28">
        <f t="shared" si="85"/>
        <v>0</v>
      </c>
      <c r="BS46" s="28">
        <f t="shared" ref="BS46:ED46" si="86">BS45</f>
        <v>0</v>
      </c>
      <c r="BT46" s="28">
        <f t="shared" si="86"/>
        <v>0</v>
      </c>
      <c r="BU46" s="28">
        <f t="shared" si="86"/>
        <v>0</v>
      </c>
      <c r="BV46" s="28">
        <f t="shared" si="86"/>
        <v>0</v>
      </c>
      <c r="BW46" s="28">
        <f t="shared" si="86"/>
        <v>0</v>
      </c>
      <c r="BX46" s="28">
        <f t="shared" si="86"/>
        <v>0</v>
      </c>
      <c r="BY46" s="28">
        <f t="shared" si="86"/>
        <v>0</v>
      </c>
      <c r="BZ46" s="28">
        <f t="shared" si="86"/>
        <v>0</v>
      </c>
      <c r="CA46" s="28">
        <f t="shared" si="86"/>
        <v>0</v>
      </c>
      <c r="CB46" s="28">
        <f t="shared" si="86"/>
        <v>0</v>
      </c>
      <c r="CC46" s="28">
        <f t="shared" si="86"/>
        <v>0</v>
      </c>
      <c r="CD46" s="28">
        <f t="shared" si="86"/>
        <v>0</v>
      </c>
      <c r="CE46" s="28">
        <f t="shared" si="86"/>
        <v>0</v>
      </c>
      <c r="CF46" s="28">
        <f t="shared" si="86"/>
        <v>0</v>
      </c>
      <c r="CG46" s="28">
        <f t="shared" si="86"/>
        <v>0</v>
      </c>
      <c r="CH46" s="28">
        <f t="shared" si="86"/>
        <v>0</v>
      </c>
      <c r="CI46" s="28">
        <f t="shared" si="86"/>
        <v>0</v>
      </c>
      <c r="CJ46" s="28">
        <f t="shared" si="86"/>
        <v>0</v>
      </c>
      <c r="CK46" s="28">
        <f t="shared" si="86"/>
        <v>0</v>
      </c>
      <c r="CL46" s="28">
        <f t="shared" si="86"/>
        <v>0</v>
      </c>
      <c r="CM46" s="28">
        <f t="shared" si="86"/>
        <v>0</v>
      </c>
      <c r="CN46" s="28">
        <f t="shared" si="86"/>
        <v>0</v>
      </c>
      <c r="CO46" s="28">
        <f t="shared" si="86"/>
        <v>0</v>
      </c>
      <c r="CP46" s="28">
        <f t="shared" si="86"/>
        <v>0</v>
      </c>
      <c r="CQ46" s="28">
        <f t="shared" si="86"/>
        <v>0</v>
      </c>
      <c r="CR46" s="28">
        <f t="shared" si="86"/>
        <v>0</v>
      </c>
      <c r="CS46" s="28">
        <f t="shared" si="86"/>
        <v>0</v>
      </c>
      <c r="CT46" s="28">
        <f t="shared" si="86"/>
        <v>0</v>
      </c>
      <c r="CU46" s="28">
        <f t="shared" si="86"/>
        <v>0</v>
      </c>
      <c r="CV46" s="28">
        <f t="shared" si="86"/>
        <v>0</v>
      </c>
      <c r="CW46" s="28">
        <f t="shared" si="86"/>
        <v>0</v>
      </c>
      <c r="CX46" s="28">
        <f t="shared" si="86"/>
        <v>0</v>
      </c>
      <c r="CY46" s="28">
        <f t="shared" si="86"/>
        <v>0</v>
      </c>
      <c r="CZ46" s="28">
        <f t="shared" si="86"/>
        <v>0</v>
      </c>
      <c r="DA46" s="28">
        <f t="shared" si="86"/>
        <v>0</v>
      </c>
      <c r="DB46" s="28">
        <f t="shared" si="86"/>
        <v>0</v>
      </c>
      <c r="DC46" s="28">
        <f t="shared" si="86"/>
        <v>0</v>
      </c>
      <c r="DD46" s="28">
        <f t="shared" si="86"/>
        <v>0</v>
      </c>
      <c r="DE46" s="28">
        <f t="shared" si="86"/>
        <v>0</v>
      </c>
      <c r="DF46" s="28">
        <f t="shared" si="86"/>
        <v>0</v>
      </c>
      <c r="DG46" s="28">
        <f t="shared" si="86"/>
        <v>0</v>
      </c>
      <c r="DH46" s="28">
        <f t="shared" si="86"/>
        <v>0</v>
      </c>
      <c r="DI46" s="28">
        <f t="shared" si="86"/>
        <v>0</v>
      </c>
      <c r="DJ46" s="28">
        <f t="shared" si="86"/>
        <v>0</v>
      </c>
      <c r="DK46" s="28">
        <f t="shared" si="86"/>
        <v>0</v>
      </c>
      <c r="DL46" s="28">
        <f t="shared" si="86"/>
        <v>0</v>
      </c>
      <c r="DM46" s="28">
        <f t="shared" si="86"/>
        <v>0</v>
      </c>
      <c r="DN46" s="28">
        <f t="shared" si="86"/>
        <v>0</v>
      </c>
      <c r="DO46" s="28">
        <f t="shared" si="86"/>
        <v>0</v>
      </c>
      <c r="DP46" s="28">
        <f t="shared" si="86"/>
        <v>0</v>
      </c>
      <c r="DQ46" s="28">
        <f t="shared" si="86"/>
        <v>0</v>
      </c>
      <c r="DR46" s="28">
        <f t="shared" si="86"/>
        <v>0</v>
      </c>
      <c r="DS46" s="28">
        <f t="shared" si="86"/>
        <v>0</v>
      </c>
      <c r="DT46" s="28">
        <f t="shared" si="86"/>
        <v>0</v>
      </c>
      <c r="DU46" s="28">
        <f t="shared" si="86"/>
        <v>0</v>
      </c>
      <c r="DV46" s="28">
        <f t="shared" si="86"/>
        <v>0</v>
      </c>
      <c r="DW46" s="28">
        <f t="shared" si="86"/>
        <v>0</v>
      </c>
      <c r="DX46" s="28">
        <f t="shared" si="86"/>
        <v>0</v>
      </c>
      <c r="DY46" s="28">
        <f t="shared" si="86"/>
        <v>0</v>
      </c>
      <c r="DZ46" s="28">
        <f t="shared" si="86"/>
        <v>0</v>
      </c>
      <c r="EA46" s="28">
        <f t="shared" si="86"/>
        <v>0</v>
      </c>
      <c r="EB46" s="28">
        <f t="shared" si="86"/>
        <v>0</v>
      </c>
      <c r="EC46" s="28">
        <f t="shared" si="86"/>
        <v>0</v>
      </c>
      <c r="ED46" s="28">
        <f t="shared" si="86"/>
        <v>0</v>
      </c>
      <c r="EE46" s="28">
        <f t="shared" ref="EE46:GC46" si="87">EE45</f>
        <v>0</v>
      </c>
      <c r="EF46" s="28">
        <f t="shared" si="87"/>
        <v>0</v>
      </c>
      <c r="EG46" s="28">
        <f t="shared" si="87"/>
        <v>0</v>
      </c>
      <c r="EH46" s="28">
        <f t="shared" si="87"/>
        <v>0</v>
      </c>
      <c r="EI46" s="28">
        <f t="shared" si="87"/>
        <v>0</v>
      </c>
      <c r="EJ46" s="28">
        <f t="shared" si="87"/>
        <v>0</v>
      </c>
      <c r="EK46" s="28">
        <f t="shared" si="87"/>
        <v>0</v>
      </c>
      <c r="EL46" s="28">
        <f t="shared" si="87"/>
        <v>0</v>
      </c>
      <c r="EM46" s="28">
        <f t="shared" si="87"/>
        <v>0</v>
      </c>
      <c r="EN46" s="28">
        <f t="shared" si="87"/>
        <v>0</v>
      </c>
      <c r="EO46" s="28">
        <f t="shared" si="87"/>
        <v>0</v>
      </c>
      <c r="EP46" s="28">
        <f t="shared" si="87"/>
        <v>0</v>
      </c>
      <c r="EQ46" s="28">
        <f t="shared" si="87"/>
        <v>0</v>
      </c>
      <c r="ER46" s="28">
        <f t="shared" si="87"/>
        <v>0</v>
      </c>
      <c r="ES46" s="28">
        <f t="shared" si="87"/>
        <v>0</v>
      </c>
      <c r="ET46" s="28">
        <f t="shared" si="87"/>
        <v>0</v>
      </c>
      <c r="EU46" s="28">
        <f t="shared" si="87"/>
        <v>0</v>
      </c>
      <c r="EV46" s="28">
        <f t="shared" si="87"/>
        <v>0</v>
      </c>
      <c r="EW46" s="28">
        <f t="shared" si="87"/>
        <v>0</v>
      </c>
      <c r="EX46" s="28">
        <f t="shared" si="87"/>
        <v>0</v>
      </c>
      <c r="EY46" s="28">
        <f t="shared" si="87"/>
        <v>0</v>
      </c>
      <c r="EZ46" s="28">
        <f t="shared" si="87"/>
        <v>0</v>
      </c>
      <c r="FA46" s="28">
        <f t="shared" si="87"/>
        <v>0</v>
      </c>
      <c r="FB46" s="28">
        <f t="shared" si="87"/>
        <v>0</v>
      </c>
      <c r="FC46" s="28">
        <f t="shared" si="87"/>
        <v>0</v>
      </c>
      <c r="FD46" s="28">
        <f t="shared" si="87"/>
        <v>0</v>
      </c>
      <c r="FE46" s="28">
        <f t="shared" si="87"/>
        <v>0</v>
      </c>
      <c r="FF46" s="28">
        <f t="shared" si="87"/>
        <v>0</v>
      </c>
      <c r="FG46" s="28">
        <f t="shared" si="87"/>
        <v>0</v>
      </c>
      <c r="FH46" s="28">
        <f t="shared" si="87"/>
        <v>0</v>
      </c>
      <c r="FI46" s="28">
        <f t="shared" si="87"/>
        <v>0</v>
      </c>
      <c r="FJ46" s="28">
        <f t="shared" si="87"/>
        <v>0</v>
      </c>
      <c r="FK46" s="28">
        <f t="shared" si="87"/>
        <v>0</v>
      </c>
      <c r="FL46" s="28">
        <f t="shared" si="87"/>
        <v>0</v>
      </c>
      <c r="FM46" s="28">
        <f t="shared" si="87"/>
        <v>0</v>
      </c>
      <c r="FN46" s="28">
        <f t="shared" si="87"/>
        <v>0</v>
      </c>
      <c r="FO46" s="28">
        <f t="shared" si="87"/>
        <v>0</v>
      </c>
      <c r="FP46" s="28">
        <f t="shared" si="87"/>
        <v>0</v>
      </c>
      <c r="FQ46" s="28">
        <f t="shared" si="87"/>
        <v>0</v>
      </c>
      <c r="FR46" s="28">
        <f t="shared" si="87"/>
        <v>0</v>
      </c>
      <c r="FS46" s="28">
        <f t="shared" si="87"/>
        <v>0</v>
      </c>
      <c r="FT46" s="28">
        <f t="shared" si="87"/>
        <v>0</v>
      </c>
      <c r="FU46" s="28">
        <f t="shared" si="87"/>
        <v>0</v>
      </c>
      <c r="FV46" s="28">
        <f t="shared" si="87"/>
        <v>0</v>
      </c>
      <c r="FW46" s="28">
        <f t="shared" si="87"/>
        <v>0</v>
      </c>
      <c r="FX46" s="28">
        <f t="shared" si="87"/>
        <v>0</v>
      </c>
      <c r="FY46" s="28">
        <f t="shared" si="87"/>
        <v>0</v>
      </c>
      <c r="FZ46" s="28">
        <f t="shared" si="87"/>
        <v>0</v>
      </c>
      <c r="GA46" s="28">
        <f t="shared" si="87"/>
        <v>0</v>
      </c>
      <c r="GB46" s="28">
        <f t="shared" si="87"/>
        <v>0</v>
      </c>
      <c r="GC46" s="28">
        <f t="shared" si="87"/>
        <v>0</v>
      </c>
      <c r="GD46" s="28">
        <f t="shared" ref="GD46" si="88">GD45</f>
        <v>0</v>
      </c>
      <c r="GE46" s="28">
        <f t="shared" ref="GE46" si="89">GE45</f>
        <v>0</v>
      </c>
      <c r="GF46" s="28">
        <f t="shared" ref="GF46" si="90">GF45</f>
        <v>0</v>
      </c>
      <c r="GG46" s="28">
        <f t="shared" ref="GG46" si="91">GG45</f>
        <v>0</v>
      </c>
      <c r="GH46" s="28">
        <f t="shared" ref="GH46" si="92">GH45</f>
        <v>0</v>
      </c>
      <c r="GI46" s="28">
        <f t="shared" ref="GI46" si="93">GI45</f>
        <v>0</v>
      </c>
      <c r="GJ46" s="28">
        <f t="shared" ref="GJ46" si="94">GJ45</f>
        <v>0</v>
      </c>
      <c r="GK46" s="28">
        <f t="shared" ref="GK46" si="95">GK45</f>
        <v>0</v>
      </c>
      <c r="GL46" s="28">
        <f t="shared" ref="GL46" si="96">GL45</f>
        <v>0</v>
      </c>
      <c r="GM46" s="28">
        <f t="shared" ref="GM46" si="97">GM45</f>
        <v>0</v>
      </c>
      <c r="GN46" s="28">
        <f t="shared" ref="GN46" si="98">GN45</f>
        <v>0</v>
      </c>
      <c r="GO46" s="28">
        <f t="shared" ref="GO46" si="99">GO45</f>
        <v>0</v>
      </c>
      <c r="GP46" s="28">
        <f t="shared" ref="GP46" si="100">GP45</f>
        <v>0</v>
      </c>
      <c r="GQ46" s="28">
        <f t="shared" ref="GQ46" si="101">GQ45</f>
        <v>0</v>
      </c>
      <c r="GR46" s="28">
        <f t="shared" ref="GR46" si="102">GR45</f>
        <v>0</v>
      </c>
    </row>
    <row r="47" spans="1:200" x14ac:dyDescent="0.35">
      <c r="F47" s="198"/>
      <c r="G47" s="198"/>
      <c r="H47" s="198"/>
      <c r="I47" s="198"/>
      <c r="J47" s="198"/>
      <c r="K47" s="198"/>
      <c r="L47" s="198"/>
      <c r="M47" s="198"/>
      <c r="N47" s="198"/>
      <c r="O47" s="198"/>
      <c r="P47" s="198"/>
      <c r="Q47" s="198"/>
      <c r="R47" s="198"/>
      <c r="S47" s="198"/>
      <c r="T47" s="198"/>
      <c r="U47" s="198"/>
      <c r="V47" s="198"/>
      <c r="W47" s="198"/>
      <c r="X47" s="198"/>
      <c r="Y47" s="198"/>
      <c r="Z47" s="198"/>
      <c r="AA47" s="198"/>
      <c r="AB47" s="198"/>
      <c r="AC47" s="198"/>
      <c r="AD47" s="198"/>
      <c r="AE47" s="198"/>
      <c r="AF47" s="198"/>
      <c r="AG47" s="198"/>
      <c r="AH47" s="198"/>
      <c r="AI47" s="198"/>
      <c r="AJ47" s="198"/>
      <c r="AK47" s="198"/>
      <c r="AL47" s="198"/>
      <c r="AM47" s="198"/>
      <c r="AN47" s="198"/>
      <c r="AO47" s="198"/>
      <c r="AP47" s="198"/>
      <c r="AQ47" s="198"/>
      <c r="AR47" s="198"/>
      <c r="AS47" s="198"/>
      <c r="AT47" s="198"/>
      <c r="AU47" s="198"/>
      <c r="AV47" s="198"/>
      <c r="AW47" s="198"/>
      <c r="AX47" s="198"/>
      <c r="AY47" s="198"/>
      <c r="AZ47" s="198"/>
      <c r="BA47" s="198"/>
      <c r="BB47" s="198"/>
      <c r="BC47" s="198"/>
      <c r="BD47" s="198"/>
      <c r="BE47" s="198"/>
      <c r="BF47" s="198"/>
      <c r="BG47" s="198"/>
      <c r="BH47" s="198"/>
      <c r="BI47" s="198"/>
      <c r="BJ47" s="198"/>
      <c r="BK47" s="198"/>
      <c r="BL47" s="198"/>
      <c r="BM47" s="198"/>
      <c r="BN47" s="198"/>
      <c r="BO47" s="198"/>
      <c r="BP47" s="198"/>
      <c r="BQ47" s="198"/>
      <c r="BR47" s="198"/>
      <c r="BS47" s="198"/>
      <c r="BT47" s="198"/>
      <c r="BU47" s="198"/>
      <c r="BV47" s="198"/>
      <c r="BW47" s="198"/>
      <c r="BX47" s="198"/>
      <c r="BY47" s="198"/>
      <c r="BZ47" s="198"/>
      <c r="CA47" s="198"/>
      <c r="CB47" s="198"/>
      <c r="CC47" s="198"/>
      <c r="CD47" s="198"/>
      <c r="CE47" s="198"/>
      <c r="CF47" s="198"/>
      <c r="CG47" s="198"/>
      <c r="CH47" s="198"/>
      <c r="CI47" s="198"/>
      <c r="CJ47" s="198"/>
      <c r="CK47" s="198"/>
      <c r="CL47" s="198"/>
      <c r="CM47" s="198"/>
      <c r="CN47" s="198"/>
      <c r="CO47" s="198"/>
      <c r="CP47" s="198"/>
      <c r="CQ47" s="198"/>
      <c r="CR47" s="198"/>
      <c r="CS47" s="198"/>
      <c r="CT47" s="198"/>
      <c r="CU47" s="198"/>
      <c r="CV47" s="198"/>
      <c r="CW47" s="198"/>
      <c r="CX47" s="198"/>
      <c r="CY47" s="198"/>
      <c r="CZ47" s="198"/>
      <c r="DA47" s="198"/>
      <c r="DB47" s="198"/>
      <c r="DC47" s="198"/>
      <c r="DD47" s="198"/>
      <c r="DE47" s="198"/>
      <c r="DF47" s="198"/>
      <c r="DG47" s="198"/>
      <c r="DH47" s="198"/>
      <c r="DI47" s="198"/>
      <c r="DJ47" s="198"/>
      <c r="DK47" s="198"/>
      <c r="DL47" s="198"/>
      <c r="DM47" s="198"/>
      <c r="DN47" s="198"/>
      <c r="DO47" s="198"/>
      <c r="DP47" s="198"/>
      <c r="DQ47" s="198"/>
      <c r="DR47" s="198"/>
      <c r="DS47" s="198"/>
      <c r="DT47" s="198"/>
      <c r="DU47" s="198"/>
      <c r="DV47" s="198"/>
      <c r="DW47" s="198"/>
      <c r="DX47" s="198"/>
      <c r="DY47" s="198"/>
      <c r="DZ47" s="198"/>
      <c r="EA47" s="198"/>
      <c r="EB47" s="198"/>
      <c r="EC47" s="198"/>
      <c r="ED47" s="198"/>
      <c r="EE47" s="198"/>
      <c r="EF47" s="198"/>
      <c r="EG47" s="198"/>
      <c r="EH47" s="198"/>
      <c r="EI47" s="198"/>
      <c r="EJ47" s="198"/>
      <c r="EK47" s="198"/>
      <c r="EL47" s="198"/>
      <c r="EM47" s="198"/>
      <c r="EN47" s="198"/>
      <c r="EO47" s="198"/>
      <c r="EP47" s="198"/>
      <c r="EQ47" s="198"/>
      <c r="ER47" s="198"/>
      <c r="ES47" s="198"/>
      <c r="ET47" s="198"/>
      <c r="EU47" s="198"/>
      <c r="EV47" s="198"/>
      <c r="EW47" s="198"/>
      <c r="EX47" s="198"/>
      <c r="EY47" s="198"/>
      <c r="EZ47" s="198"/>
      <c r="FA47" s="198"/>
      <c r="FB47" s="198"/>
      <c r="FC47" s="198"/>
      <c r="FD47" s="198"/>
      <c r="FE47" s="198"/>
      <c r="FF47" s="198"/>
      <c r="FG47" s="198"/>
      <c r="FH47" s="198"/>
      <c r="FI47" s="198"/>
      <c r="FJ47" s="198"/>
      <c r="FK47" s="198"/>
      <c r="FL47" s="198"/>
      <c r="FM47" s="198"/>
      <c r="FN47" s="198"/>
      <c r="FO47" s="198"/>
      <c r="FP47" s="198"/>
      <c r="FQ47" s="198"/>
      <c r="FR47" s="198"/>
      <c r="FS47" s="198"/>
      <c r="FT47" s="198"/>
      <c r="FU47" s="198"/>
      <c r="FV47" s="198"/>
      <c r="FW47" s="198"/>
      <c r="FX47" s="198"/>
      <c r="FY47" s="198"/>
      <c r="FZ47" s="198"/>
      <c r="GA47" s="198"/>
      <c r="GB47" s="198"/>
      <c r="GC47" s="198"/>
    </row>
    <row r="48" spans="1:200" x14ac:dyDescent="0.35">
      <c r="A48" s="234" t="str">
        <f>IF($F$1="Combined","▸ 188mg LP (EU incl.)","▸ 188mg LP - EU Stock")</f>
        <v>▸ 188mg LP (EU incl.)</v>
      </c>
      <c r="B48" s="234" t="str">
        <f>A48</f>
        <v>▸ 188mg LP (EU incl.)</v>
      </c>
      <c r="C48" s="234" t="str">
        <f>A48</f>
        <v>▸ 188mg LP (EU incl.)</v>
      </c>
      <c r="D48" s="234" t="str">
        <f>A48</f>
        <v>▸ 188mg LP (EU incl.)</v>
      </c>
      <c r="E48" s="234" t="str">
        <f>A48</f>
        <v>▸ 188mg LP (EU incl.)</v>
      </c>
      <c r="F48" s="234" t="str">
        <f>A48</f>
        <v>▸ 188mg LP (EU incl.)</v>
      </c>
      <c r="G48" s="232" t="s">
        <v>961</v>
      </c>
      <c r="H48" s="232" t="s">
        <v>961</v>
      </c>
      <c r="I48" s="232" t="s">
        <v>961</v>
      </c>
      <c r="J48" s="232" t="s">
        <v>961</v>
      </c>
      <c r="K48" s="232" t="s">
        <v>961</v>
      </c>
      <c r="L48" s="232" t="s">
        <v>961</v>
      </c>
      <c r="M48" s="232" t="s">
        <v>961</v>
      </c>
      <c r="N48" s="232" t="s">
        <v>961</v>
      </c>
      <c r="O48" s="232" t="s">
        <v>961</v>
      </c>
      <c r="P48" s="232" t="s">
        <v>961</v>
      </c>
      <c r="Q48" s="232" t="s">
        <v>961</v>
      </c>
      <c r="R48" s="232" t="s">
        <v>961</v>
      </c>
      <c r="S48" s="232" t="s">
        <v>961</v>
      </c>
      <c r="T48" s="232" t="s">
        <v>961</v>
      </c>
      <c r="U48" s="232" t="s">
        <v>961</v>
      </c>
      <c r="V48" s="232" t="s">
        <v>961</v>
      </c>
      <c r="W48" s="232" t="s">
        <v>961</v>
      </c>
      <c r="X48" s="232" t="s">
        <v>961</v>
      </c>
      <c r="Y48" s="232" t="s">
        <v>961</v>
      </c>
      <c r="Z48" s="232" t="s">
        <v>961</v>
      </c>
      <c r="AA48" s="232" t="s">
        <v>961</v>
      </c>
      <c r="AB48" s="232" t="s">
        <v>961</v>
      </c>
      <c r="AC48" s="232" t="s">
        <v>961</v>
      </c>
      <c r="AD48" s="232" t="s">
        <v>961</v>
      </c>
      <c r="AE48" s="232" t="s">
        <v>961</v>
      </c>
      <c r="AF48" s="232" t="s">
        <v>961</v>
      </c>
      <c r="AG48" s="232" t="s">
        <v>961</v>
      </c>
      <c r="AH48" s="232" t="s">
        <v>961</v>
      </c>
      <c r="AI48" s="232" t="s">
        <v>961</v>
      </c>
      <c r="AJ48" s="232" t="s">
        <v>961</v>
      </c>
      <c r="AK48" s="232" t="s">
        <v>961</v>
      </c>
      <c r="AL48" s="232" t="s">
        <v>961</v>
      </c>
      <c r="AM48" s="232" t="s">
        <v>961</v>
      </c>
      <c r="AN48" s="232" t="s">
        <v>961</v>
      </c>
      <c r="AO48" s="232" t="s">
        <v>961</v>
      </c>
      <c r="AP48" s="232" t="s">
        <v>961</v>
      </c>
      <c r="AQ48" s="232" t="s">
        <v>961</v>
      </c>
      <c r="AR48" s="232" t="s">
        <v>961</v>
      </c>
      <c r="AS48" s="232" t="s">
        <v>961</v>
      </c>
      <c r="AT48" s="232" t="s">
        <v>961</v>
      </c>
      <c r="AU48" s="232" t="s">
        <v>961</v>
      </c>
      <c r="AV48" s="232" t="s">
        <v>961</v>
      </c>
      <c r="AW48" s="232" t="s">
        <v>961</v>
      </c>
      <c r="AX48" s="232" t="s">
        <v>961</v>
      </c>
      <c r="AY48" s="232" t="s">
        <v>961</v>
      </c>
      <c r="AZ48" s="232" t="s">
        <v>961</v>
      </c>
      <c r="BA48" s="232" t="s">
        <v>961</v>
      </c>
      <c r="BB48" s="232" t="s">
        <v>961</v>
      </c>
      <c r="BC48" s="232" t="s">
        <v>961</v>
      </c>
      <c r="BD48" s="232" t="s">
        <v>961</v>
      </c>
      <c r="BE48" s="232" t="s">
        <v>961</v>
      </c>
      <c r="BF48" s="232" t="s">
        <v>961</v>
      </c>
      <c r="BG48" s="232" t="s">
        <v>961</v>
      </c>
      <c r="BH48" s="232" t="s">
        <v>961</v>
      </c>
      <c r="BI48" s="232" t="s">
        <v>961</v>
      </c>
      <c r="BJ48" s="232" t="s">
        <v>961</v>
      </c>
      <c r="BK48" s="232" t="s">
        <v>961</v>
      </c>
      <c r="BL48" s="232" t="s">
        <v>961</v>
      </c>
      <c r="BM48" s="232" t="s">
        <v>961</v>
      </c>
      <c r="BN48" s="232" t="s">
        <v>961</v>
      </c>
      <c r="BO48" s="232" t="s">
        <v>961</v>
      </c>
      <c r="BP48" s="232" t="s">
        <v>961</v>
      </c>
      <c r="BQ48" s="232" t="s">
        <v>961</v>
      </c>
      <c r="BR48" s="232" t="s">
        <v>961</v>
      </c>
      <c r="BS48" s="232" t="s">
        <v>961</v>
      </c>
      <c r="BT48" s="232" t="s">
        <v>961</v>
      </c>
      <c r="BU48" s="232" t="s">
        <v>961</v>
      </c>
      <c r="BV48" s="232" t="s">
        <v>961</v>
      </c>
      <c r="BW48" s="232" t="s">
        <v>961</v>
      </c>
      <c r="BX48" s="232" t="s">
        <v>961</v>
      </c>
      <c r="BY48" s="232" t="s">
        <v>961</v>
      </c>
      <c r="BZ48" s="232" t="s">
        <v>961</v>
      </c>
      <c r="CA48" s="232" t="s">
        <v>961</v>
      </c>
      <c r="CB48" s="232" t="s">
        <v>961</v>
      </c>
      <c r="CC48" s="232" t="s">
        <v>961</v>
      </c>
      <c r="CD48" s="232" t="s">
        <v>961</v>
      </c>
      <c r="CE48" s="232" t="s">
        <v>961</v>
      </c>
      <c r="CF48" s="232" t="s">
        <v>961</v>
      </c>
      <c r="CG48" s="232" t="s">
        <v>961</v>
      </c>
      <c r="CH48" s="232" t="s">
        <v>961</v>
      </c>
      <c r="CI48" s="232" t="s">
        <v>961</v>
      </c>
      <c r="CJ48" s="232" t="s">
        <v>961</v>
      </c>
      <c r="CK48" s="232" t="s">
        <v>961</v>
      </c>
      <c r="CL48" s="232" t="s">
        <v>961</v>
      </c>
      <c r="CM48" s="232" t="s">
        <v>961</v>
      </c>
      <c r="CN48" s="232" t="s">
        <v>961</v>
      </c>
      <c r="CO48" s="232" t="s">
        <v>961</v>
      </c>
      <c r="CP48" s="232" t="s">
        <v>961</v>
      </c>
      <c r="CQ48" s="232" t="s">
        <v>961</v>
      </c>
      <c r="CR48" s="232" t="s">
        <v>961</v>
      </c>
      <c r="CS48" s="232" t="s">
        <v>961</v>
      </c>
      <c r="CT48" s="232" t="s">
        <v>961</v>
      </c>
      <c r="CU48" s="232" t="s">
        <v>961</v>
      </c>
      <c r="CV48" s="232" t="s">
        <v>961</v>
      </c>
      <c r="CW48" s="232" t="s">
        <v>961</v>
      </c>
      <c r="CX48" s="232" t="s">
        <v>961</v>
      </c>
      <c r="CY48" s="232" t="s">
        <v>961</v>
      </c>
      <c r="CZ48" s="232" t="s">
        <v>961</v>
      </c>
      <c r="DA48" s="232" t="s">
        <v>961</v>
      </c>
      <c r="DB48" s="232" t="s">
        <v>961</v>
      </c>
      <c r="DC48" s="232" t="s">
        <v>961</v>
      </c>
      <c r="DD48" s="232" t="s">
        <v>961</v>
      </c>
      <c r="DE48" s="232" t="s">
        <v>961</v>
      </c>
      <c r="DF48" s="232" t="s">
        <v>961</v>
      </c>
      <c r="DG48" s="232" t="s">
        <v>961</v>
      </c>
      <c r="DH48" s="232" t="s">
        <v>961</v>
      </c>
      <c r="DI48" s="232" t="s">
        <v>961</v>
      </c>
      <c r="DJ48" s="232" t="s">
        <v>961</v>
      </c>
      <c r="DK48" s="232" t="s">
        <v>961</v>
      </c>
      <c r="DL48" s="232" t="s">
        <v>961</v>
      </c>
      <c r="DM48" s="232" t="s">
        <v>961</v>
      </c>
      <c r="DN48" s="232" t="s">
        <v>961</v>
      </c>
      <c r="DO48" s="232" t="s">
        <v>961</v>
      </c>
      <c r="DP48" s="232" t="s">
        <v>961</v>
      </c>
      <c r="DQ48" s="232" t="s">
        <v>961</v>
      </c>
      <c r="DR48" s="232" t="s">
        <v>961</v>
      </c>
      <c r="DS48" s="232" t="s">
        <v>961</v>
      </c>
      <c r="DT48" s="232" t="s">
        <v>961</v>
      </c>
      <c r="DU48" s="232" t="s">
        <v>961</v>
      </c>
      <c r="DV48" s="232" t="s">
        <v>961</v>
      </c>
      <c r="DW48" s="232" t="s">
        <v>961</v>
      </c>
      <c r="DX48" s="232" t="s">
        <v>961</v>
      </c>
      <c r="DY48" s="232" t="s">
        <v>961</v>
      </c>
      <c r="DZ48" s="232" t="s">
        <v>961</v>
      </c>
      <c r="EA48" s="232" t="s">
        <v>961</v>
      </c>
      <c r="EB48" s="232" t="s">
        <v>961</v>
      </c>
      <c r="EC48" s="232" t="s">
        <v>961</v>
      </c>
      <c r="ED48" s="232" t="s">
        <v>961</v>
      </c>
      <c r="EE48" s="232" t="s">
        <v>961</v>
      </c>
      <c r="EF48" s="232" t="s">
        <v>961</v>
      </c>
      <c r="EG48" s="232" t="s">
        <v>961</v>
      </c>
      <c r="EH48" s="232" t="s">
        <v>961</v>
      </c>
      <c r="EI48" s="232" t="s">
        <v>961</v>
      </c>
      <c r="EJ48" s="232" t="s">
        <v>961</v>
      </c>
      <c r="EK48" s="232" t="s">
        <v>961</v>
      </c>
      <c r="EL48" s="232" t="s">
        <v>961</v>
      </c>
      <c r="EM48" s="232" t="s">
        <v>961</v>
      </c>
      <c r="EN48" s="232" t="s">
        <v>961</v>
      </c>
      <c r="EO48" s="232" t="s">
        <v>961</v>
      </c>
      <c r="EP48" s="232" t="s">
        <v>961</v>
      </c>
      <c r="EQ48" s="232" t="s">
        <v>961</v>
      </c>
      <c r="ER48" s="232" t="s">
        <v>961</v>
      </c>
      <c r="ES48" s="232" t="s">
        <v>961</v>
      </c>
      <c r="ET48" s="232" t="s">
        <v>961</v>
      </c>
      <c r="EU48" s="232" t="s">
        <v>961</v>
      </c>
      <c r="EV48" s="232" t="s">
        <v>961</v>
      </c>
      <c r="EW48" s="232" t="s">
        <v>961</v>
      </c>
      <c r="EX48" s="232" t="s">
        <v>961</v>
      </c>
      <c r="EY48" s="232" t="s">
        <v>961</v>
      </c>
      <c r="EZ48" s="232" t="s">
        <v>961</v>
      </c>
      <c r="FA48" s="232" t="s">
        <v>961</v>
      </c>
      <c r="FB48" s="232" t="s">
        <v>961</v>
      </c>
      <c r="FC48" s="232" t="s">
        <v>961</v>
      </c>
      <c r="FD48" s="232" t="s">
        <v>961</v>
      </c>
      <c r="FE48" s="232" t="s">
        <v>961</v>
      </c>
      <c r="FF48" s="232" t="s">
        <v>961</v>
      </c>
      <c r="FG48" s="232" t="s">
        <v>961</v>
      </c>
      <c r="FH48" s="232" t="s">
        <v>961</v>
      </c>
      <c r="FI48" s="232" t="s">
        <v>961</v>
      </c>
      <c r="FJ48" s="232" t="s">
        <v>961</v>
      </c>
      <c r="FK48" s="232" t="s">
        <v>961</v>
      </c>
      <c r="FL48" s="232" t="s">
        <v>961</v>
      </c>
      <c r="FM48" s="232" t="s">
        <v>961</v>
      </c>
      <c r="FN48" s="232" t="s">
        <v>961</v>
      </c>
      <c r="FO48" s="232" t="s">
        <v>961</v>
      </c>
      <c r="FP48" s="232" t="s">
        <v>961</v>
      </c>
      <c r="FQ48" s="232" t="s">
        <v>961</v>
      </c>
      <c r="FR48" s="232" t="s">
        <v>961</v>
      </c>
      <c r="FS48" s="232" t="s">
        <v>961</v>
      </c>
      <c r="FT48" s="232" t="s">
        <v>961</v>
      </c>
      <c r="FU48" s="232" t="s">
        <v>961</v>
      </c>
      <c r="FV48" s="232" t="s">
        <v>961</v>
      </c>
      <c r="FW48" s="232" t="s">
        <v>961</v>
      </c>
      <c r="FX48" s="232" t="s">
        <v>961</v>
      </c>
      <c r="FY48" s="232" t="s">
        <v>961</v>
      </c>
      <c r="FZ48" s="232" t="s">
        <v>961</v>
      </c>
      <c r="GA48" s="232" t="s">
        <v>961</v>
      </c>
      <c r="GB48" s="232" t="s">
        <v>961</v>
      </c>
      <c r="GC48" s="232" t="s">
        <v>961</v>
      </c>
      <c r="GD48" s="232" t="s">
        <v>961</v>
      </c>
      <c r="GE48" s="232" t="s">
        <v>961</v>
      </c>
      <c r="GF48" s="232" t="s">
        <v>961</v>
      </c>
      <c r="GG48" s="232" t="s">
        <v>961</v>
      </c>
      <c r="GH48" s="232" t="s">
        <v>961</v>
      </c>
      <c r="GI48" s="232" t="s">
        <v>961</v>
      </c>
      <c r="GJ48" s="232" t="s">
        <v>961</v>
      </c>
      <c r="GK48" s="232" t="s">
        <v>961</v>
      </c>
      <c r="GL48" s="232" t="s">
        <v>961</v>
      </c>
      <c r="GM48" s="232" t="s">
        <v>961</v>
      </c>
      <c r="GN48" s="232" t="s">
        <v>961</v>
      </c>
      <c r="GO48" s="232" t="s">
        <v>961</v>
      </c>
      <c r="GP48" s="232" t="s">
        <v>961</v>
      </c>
      <c r="GQ48" s="232" t="s">
        <v>961</v>
      </c>
      <c r="GR48" s="232" t="s">
        <v>961</v>
      </c>
    </row>
    <row r="49" spans="1:200" x14ac:dyDescent="0.35">
      <c r="A49" s="233" t="s">
        <v>959</v>
      </c>
      <c r="B49" s="235" t="s">
        <v>378</v>
      </c>
      <c r="C49" s="236" t="s">
        <v>379</v>
      </c>
      <c r="D49" s="236" t="s">
        <v>103</v>
      </c>
      <c r="E49" s="236" t="s">
        <v>380</v>
      </c>
      <c r="F49" s="239">
        <f>IF($E$9=1,F9,0)+IF($E$10=1,F10,0)+IF($E$11=1,F11,0)+IF($E$12=1,F12,0)+IF($E$13=1,F13,0)+IF($E$14=1,F14,0)+IF($E$15=1,F15,0)+IF($E$16=1,F16,0)+IF($E$17=1,F17,0)+IF($E$18=1,F18,0)+IF($E$19=1,F19,0)+IF($E$20=1,F20,0)+IF($E$21=1,F21,0)+IF($E$22=1,F22,0)</f>
        <v>0</v>
      </c>
      <c r="G49" s="239">
        <f t="shared" ref="G49:BR49" si="103">IF($E$9=1,G9,0)+IF($E$10=1,G10,0)+IF($E$11=1,G11,0)+IF($E$12=1,G12,0)+IF($E$13=1,G13,0)+IF($E$14=1,G14,0)+IF($E$15=1,G15,0)+IF($E$16=1,G16,0)+IF($E$17=1,G17,0)+IF($E$18=1,G18,0)+IF($E$19=1,G19,0)+IF($E$20=1,G20,0)+IF($E$21=1,G21,0)+IF($E$22=1,G22,0)</f>
        <v>0</v>
      </c>
      <c r="H49" s="239">
        <f t="shared" si="103"/>
        <v>0</v>
      </c>
      <c r="I49" s="239">
        <f t="shared" si="103"/>
        <v>0</v>
      </c>
      <c r="J49" s="239">
        <f t="shared" si="103"/>
        <v>0</v>
      </c>
      <c r="K49" s="239">
        <f t="shared" si="103"/>
        <v>0</v>
      </c>
      <c r="L49" s="239">
        <f t="shared" si="103"/>
        <v>0</v>
      </c>
      <c r="M49" s="239">
        <f t="shared" si="103"/>
        <v>0</v>
      </c>
      <c r="N49" s="239">
        <f t="shared" si="103"/>
        <v>0</v>
      </c>
      <c r="O49" s="239">
        <f t="shared" si="103"/>
        <v>41.238868955026213</v>
      </c>
      <c r="P49" s="239">
        <f t="shared" si="103"/>
        <v>47.279989283185294</v>
      </c>
      <c r="Q49" s="239">
        <f t="shared" si="103"/>
        <v>86.438199035740922</v>
      </c>
      <c r="R49" s="239">
        <f t="shared" si="103"/>
        <v>86.211185644365855</v>
      </c>
      <c r="S49" s="239">
        <f t="shared" si="103"/>
        <v>126.40705530752679</v>
      </c>
      <c r="T49" s="239">
        <f t="shared" si="103"/>
        <v>233.91307573365086</v>
      </c>
      <c r="U49" s="239">
        <f t="shared" si="103"/>
        <v>273.84133542782041</v>
      </c>
      <c r="V49" s="239">
        <f t="shared" si="103"/>
        <v>320.19416744631275</v>
      </c>
      <c r="W49" s="239">
        <f t="shared" si="103"/>
        <v>486.39663351269724</v>
      </c>
      <c r="X49" s="239">
        <f t="shared" si="103"/>
        <v>628.5823911069707</v>
      </c>
      <c r="Y49" s="239">
        <f t="shared" si="103"/>
        <v>890.3644352336438</v>
      </c>
      <c r="Z49" s="239">
        <f t="shared" si="103"/>
        <v>1041.0087883223368</v>
      </c>
      <c r="AA49" s="239">
        <f t="shared" si="103"/>
        <v>1242.746457525202</v>
      </c>
      <c r="AB49" s="239">
        <f t="shared" si="103"/>
        <v>1580.7414182053367</v>
      </c>
      <c r="AC49" s="239">
        <f t="shared" si="103"/>
        <v>2259.7995067185784</v>
      </c>
      <c r="AD49" s="239">
        <f t="shared" si="103"/>
        <v>2001.2466080864021</v>
      </c>
      <c r="AE49" s="239">
        <f t="shared" si="103"/>
        <v>2756.506936915393</v>
      </c>
      <c r="AF49" s="239">
        <f t="shared" si="103"/>
        <v>3883.864616913027</v>
      </c>
      <c r="AG49" s="239">
        <f t="shared" si="103"/>
        <v>3229.7478489308733</v>
      </c>
      <c r="AH49" s="239">
        <f t="shared" si="103"/>
        <v>4517.2060406362098</v>
      </c>
      <c r="AI49" s="239">
        <f t="shared" si="103"/>
        <v>4351.0862412352517</v>
      </c>
      <c r="AJ49" s="239">
        <f t="shared" si="103"/>
        <v>4383.2718306445149</v>
      </c>
      <c r="AK49" s="239">
        <f t="shared" si="103"/>
        <v>5982.1140104304859</v>
      </c>
      <c r="AL49" s="239">
        <f t="shared" si="103"/>
        <v>4622.7695323033286</v>
      </c>
      <c r="AM49" s="239">
        <f t="shared" si="103"/>
        <v>5621.0888010102508</v>
      </c>
      <c r="AN49" s="239">
        <f t="shared" si="103"/>
        <v>5195.3713197108964</v>
      </c>
      <c r="AO49" s="239">
        <f t="shared" si="103"/>
        <v>5438.5676589702216</v>
      </c>
      <c r="AP49" s="239">
        <f t="shared" si="103"/>
        <v>6005.1998381067287</v>
      </c>
      <c r="AQ49" s="239">
        <f t="shared" si="103"/>
        <v>4998.8258137760095</v>
      </c>
      <c r="AR49" s="239">
        <f t="shared" si="103"/>
        <v>6785.0702908364337</v>
      </c>
      <c r="AS49" s="239">
        <f t="shared" si="103"/>
        <v>5965.6480958575066</v>
      </c>
      <c r="AT49" s="239">
        <f t="shared" si="103"/>
        <v>6703.8278979426759</v>
      </c>
      <c r="AU49" s="239">
        <f t="shared" si="103"/>
        <v>5624.378793415437</v>
      </c>
      <c r="AV49" s="239">
        <f t="shared" si="103"/>
        <v>6473.4945182156334</v>
      </c>
      <c r="AW49" s="239">
        <f t="shared" si="103"/>
        <v>7442.5841963634848</v>
      </c>
      <c r="AX49" s="239">
        <f t="shared" si="103"/>
        <v>5127.1572622087424</v>
      </c>
      <c r="AY49" s="239">
        <f t="shared" si="103"/>
        <v>7338.9065177463362</v>
      </c>
      <c r="AZ49" s="239">
        <f t="shared" si="103"/>
        <v>5874.3322096916181</v>
      </c>
      <c r="BA49" s="239">
        <f t="shared" si="103"/>
        <v>6208.5607131401439</v>
      </c>
      <c r="BB49" s="239">
        <f t="shared" si="103"/>
        <v>6765.5734046279968</v>
      </c>
      <c r="BC49" s="239">
        <f t="shared" si="103"/>
        <v>5579.1524472310493</v>
      </c>
      <c r="BD49" s="239">
        <f t="shared" si="103"/>
        <v>6979.061204066229</v>
      </c>
      <c r="BE49" s="239">
        <f t="shared" si="103"/>
        <v>7295.0636808840063</v>
      </c>
      <c r="BF49" s="239">
        <f t="shared" si="103"/>
        <v>7275.543158059204</v>
      </c>
      <c r="BG49" s="239">
        <f t="shared" si="103"/>
        <v>5714.5111491464531</v>
      </c>
      <c r="BH49" s="239">
        <f t="shared" si="103"/>
        <v>8045.4116221134682</v>
      </c>
      <c r="BI49" s="239">
        <f t="shared" si="103"/>
        <v>7774.4240190561395</v>
      </c>
      <c r="BJ49" s="239">
        <f t="shared" si="103"/>
        <v>6809.6468493681714</v>
      </c>
      <c r="BK49" s="239">
        <f t="shared" si="103"/>
        <v>8737.2076091259441</v>
      </c>
      <c r="BL49" s="239">
        <f t="shared" si="103"/>
        <v>6706.5591706302457</v>
      </c>
      <c r="BM49" s="239">
        <f t="shared" si="103"/>
        <v>9023.2544624978473</v>
      </c>
      <c r="BN49" s="239">
        <f t="shared" si="103"/>
        <v>9043.455443041039</v>
      </c>
      <c r="BO49" s="239">
        <f t="shared" si="103"/>
        <v>7940.7772129139466</v>
      </c>
      <c r="BP49" s="239">
        <f t="shared" si="103"/>
        <v>10438.448303022489</v>
      </c>
      <c r="BQ49" s="239">
        <f t="shared" si="103"/>
        <v>11314.541169102116</v>
      </c>
      <c r="BR49" s="239">
        <f t="shared" si="103"/>
        <v>10676.217857762238</v>
      </c>
      <c r="BS49" s="239">
        <f t="shared" ref="BS49:ED49" si="104">IF($E$9=1,BS9,0)+IF($E$10=1,BS10,0)+IF($E$11=1,BS11,0)+IF($E$12=1,BS12,0)+IF($E$13=1,BS13,0)+IF($E$14=1,BS14,0)+IF($E$15=1,BS15,0)+IF($E$16=1,BS16,0)+IF($E$17=1,BS17,0)+IF($E$18=1,BS18,0)+IF($E$19=1,BS19,0)+IF($E$20=1,BS20,0)+IF($E$21=1,BS21,0)+IF($E$22=1,BS22,0)</f>
        <v>10452.867304136769</v>
      </c>
      <c r="BT49" s="239">
        <f t="shared" si="104"/>
        <v>13101.140478314439</v>
      </c>
      <c r="BU49" s="239">
        <f t="shared" si="104"/>
        <v>11864.673987580496</v>
      </c>
      <c r="BV49" s="239">
        <f t="shared" si="104"/>
        <v>12519.101363311625</v>
      </c>
      <c r="BW49" s="239">
        <f t="shared" si="104"/>
        <v>13899.443421704971</v>
      </c>
      <c r="BX49" s="239">
        <f t="shared" si="104"/>
        <v>9408.2017605427372</v>
      </c>
      <c r="BY49" s="239">
        <f t="shared" si="104"/>
        <v>15300.972366368529</v>
      </c>
      <c r="BZ49" s="239">
        <f t="shared" si="104"/>
        <v>11792.407962023935</v>
      </c>
      <c r="CA49" s="239">
        <f t="shared" si="104"/>
        <v>11472.458549065674</v>
      </c>
      <c r="CB49" s="239">
        <f t="shared" si="104"/>
        <v>16431.504111226484</v>
      </c>
      <c r="CC49" s="239">
        <f t="shared" si="104"/>
        <v>14005.315197356749</v>
      </c>
      <c r="CD49" s="239">
        <f t="shared" si="104"/>
        <v>12187.745186062719</v>
      </c>
      <c r="CE49" s="239">
        <f t="shared" si="104"/>
        <v>14150.011803831589</v>
      </c>
      <c r="CF49" s="239">
        <f t="shared" si="104"/>
        <v>13819.589417462535</v>
      </c>
      <c r="CG49" s="239">
        <f t="shared" si="104"/>
        <v>15080.303211386203</v>
      </c>
      <c r="CH49" s="239">
        <f t="shared" si="104"/>
        <v>13595.606805584715</v>
      </c>
      <c r="CI49" s="239">
        <f t="shared" si="104"/>
        <v>12828.899999527843</v>
      </c>
      <c r="CJ49" s="239">
        <f t="shared" si="104"/>
        <v>13188.632961053285</v>
      </c>
      <c r="CK49" s="239">
        <f t="shared" si="104"/>
        <v>15555.167465675864</v>
      </c>
      <c r="CL49" s="239">
        <f t="shared" si="104"/>
        <v>11243.287264040922</v>
      </c>
      <c r="CM49" s="239">
        <f t="shared" si="104"/>
        <v>12337.298396305099</v>
      </c>
      <c r="CN49" s="239">
        <f t="shared" si="104"/>
        <v>16995.710258792999</v>
      </c>
      <c r="CO49" s="239">
        <f t="shared" si="104"/>
        <v>13169.24508358353</v>
      </c>
      <c r="CP49" s="239">
        <f t="shared" si="104"/>
        <v>13998.167846081502</v>
      </c>
      <c r="CQ49" s="239">
        <f t="shared" si="104"/>
        <v>14020.976007725407</v>
      </c>
      <c r="CR49" s="239">
        <f t="shared" si="104"/>
        <v>12835.294635211776</v>
      </c>
      <c r="CS49" s="239">
        <f t="shared" si="104"/>
        <v>16835.694727982882</v>
      </c>
      <c r="CT49" s="239">
        <f t="shared" si="104"/>
        <v>13347.175482298817</v>
      </c>
      <c r="CU49" s="239">
        <f t="shared" si="104"/>
        <v>12961.0438610731</v>
      </c>
      <c r="CV49" s="239">
        <f t="shared" si="104"/>
        <v>13309.041917319537</v>
      </c>
      <c r="CW49" s="239">
        <f t="shared" si="104"/>
        <v>14459.375935232165</v>
      </c>
      <c r="CX49" s="239">
        <f t="shared" si="104"/>
        <v>12865.796792348905</v>
      </c>
      <c r="CY49" s="239">
        <f t="shared" si="104"/>
        <v>12024.376936361205</v>
      </c>
      <c r="CZ49" s="239">
        <f t="shared" si="104"/>
        <v>17109.86237112146</v>
      </c>
      <c r="DA49" s="239">
        <f t="shared" si="104"/>
        <v>12046.038782177824</v>
      </c>
      <c r="DB49" s="239">
        <f t="shared" si="104"/>
        <v>15628.588395837698</v>
      </c>
      <c r="DC49" s="239">
        <f t="shared" si="104"/>
        <v>13704.555940150763</v>
      </c>
      <c r="DD49" s="239">
        <f t="shared" si="104"/>
        <v>12917.191066005582</v>
      </c>
      <c r="DE49" s="239">
        <f t="shared" si="104"/>
        <v>16940.708701090727</v>
      </c>
      <c r="DF49" s="239">
        <f t="shared" si="104"/>
        <v>12208.933147602424</v>
      </c>
      <c r="DG49" s="239">
        <f t="shared" si="104"/>
        <v>14601.295277820471</v>
      </c>
      <c r="DH49" s="239">
        <f t="shared" si="104"/>
        <v>12991.433538152929</v>
      </c>
      <c r="DI49" s="239">
        <f t="shared" si="104"/>
        <v>13342.570716796323</v>
      </c>
      <c r="DJ49" s="239">
        <f t="shared" si="104"/>
        <v>14501.209803836517</v>
      </c>
      <c r="DK49" s="239">
        <f t="shared" si="104"/>
        <v>11707.75305036144</v>
      </c>
      <c r="DL49" s="239">
        <f t="shared" si="104"/>
        <v>16005.443093914437</v>
      </c>
      <c r="DM49" s="239">
        <f t="shared" si="104"/>
        <v>13689.176353798997</v>
      </c>
      <c r="DN49" s="239">
        <f t="shared" si="104"/>
        <v>15347.274561572362</v>
      </c>
      <c r="DO49" s="239">
        <f t="shared" si="104"/>
        <v>12593.914348506943</v>
      </c>
      <c r="DP49" s="239">
        <f t="shared" si="104"/>
        <v>14575.767406503128</v>
      </c>
      <c r="DQ49" s="239">
        <f t="shared" si="104"/>
        <v>16677.182246475655</v>
      </c>
      <c r="DR49" s="239">
        <f t="shared" si="104"/>
        <v>11094.884619553421</v>
      </c>
      <c r="DS49" s="239">
        <f t="shared" si="104"/>
        <v>16291.484167136488</v>
      </c>
      <c r="DT49" s="239">
        <f t="shared" si="104"/>
        <v>12695.964338543079</v>
      </c>
      <c r="DU49" s="239">
        <f t="shared" si="104"/>
        <v>13462.700978599389</v>
      </c>
      <c r="DV49" s="239">
        <f t="shared" si="104"/>
        <v>14632.125081254935</v>
      </c>
      <c r="DW49" s="239">
        <f t="shared" si="104"/>
        <v>13024.258342357152</v>
      </c>
      <c r="DX49" s="239">
        <f t="shared" si="104"/>
        <v>14600.535806975417</v>
      </c>
      <c r="DY49" s="239">
        <f t="shared" si="104"/>
        <v>15455.86510659082</v>
      </c>
      <c r="DZ49" s="239">
        <f t="shared" si="104"/>
        <v>13913.08208335282</v>
      </c>
      <c r="EA49" s="239">
        <f t="shared" si="104"/>
        <v>13115.339480570237</v>
      </c>
      <c r="EB49" s="239">
        <f t="shared" si="104"/>
        <v>15942.354447952564</v>
      </c>
      <c r="EC49" s="239">
        <f t="shared" si="104"/>
        <v>13981.116946771421</v>
      </c>
      <c r="ED49" s="239">
        <f t="shared" si="104"/>
        <v>14415.254640499537</v>
      </c>
      <c r="EE49" s="239">
        <f t="shared" ref="EE49:GP49" si="105">IF($E$9=1,EE9,0)+IF($E$10=1,EE10,0)+IF($E$11=1,EE11,0)+IF($E$12=1,EE12,0)+IF($E$13=1,EE13,0)+IF($E$14=1,EE14,0)+IF($E$15=1,EE15,0)+IF($E$16=1,EE16,0)+IF($E$17=1,EE17,0)+IF($E$18=1,EE18,0)+IF($E$19=1,EE19,0)+IF($E$20=1,EE20,0)+IF($E$21=1,EE21,0)+IF($E$22=1,EE22,0)</f>
        <v>15689.901227430903</v>
      </c>
      <c r="EF49" s="239">
        <f t="shared" si="105"/>
        <v>10415.69871396256</v>
      </c>
      <c r="EG49" s="239">
        <f t="shared" si="105"/>
        <v>16782.123249738888</v>
      </c>
      <c r="EH49" s="239">
        <f t="shared" si="105"/>
        <v>12760.50813490881</v>
      </c>
      <c r="EI49" s="239">
        <f t="shared" si="105"/>
        <v>12312.580884698571</v>
      </c>
      <c r="EJ49" s="239">
        <f t="shared" si="105"/>
        <v>16266.088879761723</v>
      </c>
      <c r="EK49" s="239">
        <f t="shared" si="105"/>
        <v>15155.363195537215</v>
      </c>
      <c r="EL49" s="239">
        <f t="shared" si="105"/>
        <v>12772.046861253617</v>
      </c>
      <c r="EM49" s="239">
        <f t="shared" si="105"/>
        <v>14779.245285205681</v>
      </c>
      <c r="EN49" s="239">
        <f t="shared" si="105"/>
        <v>15640.893272475816</v>
      </c>
      <c r="EO49" s="239">
        <f t="shared" si="105"/>
        <v>11993.579283751127</v>
      </c>
      <c r="EP49" s="239">
        <f t="shared" si="105"/>
        <v>11418.025266312483</v>
      </c>
      <c r="EQ49" s="239">
        <f t="shared" si="105"/>
        <v>10444.85757065359</v>
      </c>
      <c r="ER49" s="239">
        <f t="shared" si="105"/>
        <v>7815.6828029177996</v>
      </c>
      <c r="ES49" s="239">
        <f t="shared" si="105"/>
        <v>9978.4265251075303</v>
      </c>
      <c r="ET49" s="239">
        <f t="shared" si="105"/>
        <v>6196.2719715483236</v>
      </c>
      <c r="EU49" s="239">
        <f t="shared" si="105"/>
        <v>6285.950276362546</v>
      </c>
      <c r="EV49" s="239">
        <f t="shared" si="105"/>
        <v>7991.9461903845977</v>
      </c>
      <c r="EW49" s="239">
        <f t="shared" si="105"/>
        <v>5993.4412971748325</v>
      </c>
      <c r="EX49" s="239">
        <f t="shared" si="105"/>
        <v>4649.4025829395523</v>
      </c>
      <c r="EY49" s="239">
        <f t="shared" si="105"/>
        <v>4929.9277480480541</v>
      </c>
      <c r="EZ49" s="239">
        <f t="shared" si="105"/>
        <v>4287.3132792550041</v>
      </c>
      <c r="FA49" s="239">
        <f t="shared" si="105"/>
        <v>4200.0890330272141</v>
      </c>
      <c r="FB49" s="239">
        <f t="shared" si="105"/>
        <v>3327.8538345700026</v>
      </c>
      <c r="FC49" s="239">
        <f t="shared" si="105"/>
        <v>2777.4314340794031</v>
      </c>
      <c r="FD49" s="239">
        <f t="shared" si="105"/>
        <v>2532.6662877940867</v>
      </c>
      <c r="FE49" s="239">
        <f t="shared" si="105"/>
        <v>2650.9378657588295</v>
      </c>
      <c r="FF49" s="239">
        <f t="shared" si="105"/>
        <v>1596.6494419516198</v>
      </c>
      <c r="FG49" s="239">
        <f t="shared" si="105"/>
        <v>1549.7343855443542</v>
      </c>
      <c r="FH49" s="239">
        <f t="shared" si="105"/>
        <v>1871.6377139886577</v>
      </c>
      <c r="FI49" s="239">
        <f t="shared" si="105"/>
        <v>1157.3996075190516</v>
      </c>
      <c r="FJ49" s="239">
        <f t="shared" si="105"/>
        <v>1029.8699973953189</v>
      </c>
      <c r="FK49" s="239">
        <f t="shared" si="105"/>
        <v>823.18695634868993</v>
      </c>
      <c r="FL49" s="239">
        <f t="shared" si="105"/>
        <v>566.91636829157278</v>
      </c>
      <c r="FM49" s="239">
        <f t="shared" si="105"/>
        <v>862.069019475451</v>
      </c>
      <c r="FN49" s="239">
        <f t="shared" si="105"/>
        <v>693.62104078222546</v>
      </c>
      <c r="FO49" s="239">
        <f t="shared" si="105"/>
        <v>673.5682086082727</v>
      </c>
      <c r="FP49" s="239">
        <f t="shared" si="105"/>
        <v>691.64187202160099</v>
      </c>
      <c r="FQ49" s="239">
        <f t="shared" si="105"/>
        <v>751.42678002879256</v>
      </c>
      <c r="FR49" s="239">
        <f t="shared" si="105"/>
        <v>668.76847428643555</v>
      </c>
      <c r="FS49" s="239">
        <f t="shared" si="105"/>
        <v>686.93424922031625</v>
      </c>
      <c r="FT49" s="239">
        <f t="shared" si="105"/>
        <v>809.61334496231507</v>
      </c>
      <c r="FU49" s="239">
        <f t="shared" si="105"/>
        <v>710.07833640774743</v>
      </c>
      <c r="FV49" s="239">
        <f t="shared" si="105"/>
        <v>795.8243202747467</v>
      </c>
      <c r="FW49" s="239">
        <f t="shared" si="105"/>
        <v>652.89781038741887</v>
      </c>
      <c r="FX49" s="239">
        <f t="shared" si="105"/>
        <v>755.34147399924609</v>
      </c>
      <c r="FY49" s="239">
        <f t="shared" si="105"/>
        <v>863.9020336846686</v>
      </c>
      <c r="FZ49" s="239">
        <f t="shared" si="105"/>
        <v>574.64008760385082</v>
      </c>
      <c r="GA49" s="239">
        <f t="shared" si="105"/>
        <v>843.38846213330532</v>
      </c>
      <c r="GB49" s="239">
        <f t="shared" si="105"/>
        <v>657.0730835787931</v>
      </c>
      <c r="GC49" s="239">
        <f t="shared" si="105"/>
        <v>696.49963101036997</v>
      </c>
      <c r="GD49" s="239">
        <f t="shared" si="105"/>
        <v>174.95705727395244</v>
      </c>
      <c r="GE49" s="239">
        <f t="shared" si="105"/>
        <v>9170.2064501844416</v>
      </c>
      <c r="GF49" s="239">
        <f t="shared" si="105"/>
        <v>51982.841445786849</v>
      </c>
      <c r="GG49" s="239">
        <f t="shared" si="105"/>
        <v>74547.986147300748</v>
      </c>
      <c r="GH49" s="239">
        <f t="shared" si="105"/>
        <v>86705.408776806755</v>
      </c>
      <c r="GI49" s="239">
        <f t="shared" si="105"/>
        <v>135959.84066780139</v>
      </c>
      <c r="GJ49" s="239">
        <f t="shared" si="105"/>
        <v>164107.6426702576</v>
      </c>
      <c r="GK49" s="239">
        <f t="shared" si="105"/>
        <v>165512.31141564774</v>
      </c>
      <c r="GL49" s="239">
        <f t="shared" si="105"/>
        <v>166381.35166546633</v>
      </c>
      <c r="GM49" s="239">
        <f t="shared" si="105"/>
        <v>168642.75496880186</v>
      </c>
      <c r="GN49" s="239">
        <f t="shared" si="105"/>
        <v>171967.65512745728</v>
      </c>
      <c r="GO49" s="239">
        <f t="shared" si="105"/>
        <v>151337.29796258395</v>
      </c>
      <c r="GP49" s="239">
        <f t="shared" si="105"/>
        <v>55823.231800942434</v>
      </c>
      <c r="GQ49" s="239">
        <f t="shared" ref="GQ49:GR49" si="106">IF($E$9=1,GQ9,0)+IF($E$10=1,GQ10,0)+IF($E$11=1,GQ11,0)+IF($E$12=1,GQ12,0)+IF($E$13=1,GQ13,0)+IF($E$14=1,GQ14,0)+IF($E$15=1,GQ15,0)+IF($E$16=1,GQ16,0)+IF($E$17=1,GQ17,0)+IF($E$18=1,GQ18,0)+IF($E$19=1,GQ19,0)+IF($E$20=1,GQ20,0)+IF($E$21=1,GQ21,0)+IF($E$22=1,GQ22,0)</f>
        <v>12267.721391955609</v>
      </c>
      <c r="GR49" s="239">
        <f t="shared" si="106"/>
        <v>8714.9613075492125</v>
      </c>
    </row>
    <row r="50" spans="1:200" x14ac:dyDescent="0.35">
      <c r="F50" s="198"/>
      <c r="G50" s="198"/>
      <c r="H50" s="198"/>
      <c r="I50" s="198"/>
      <c r="J50" s="198"/>
      <c r="K50" s="198"/>
      <c r="L50" s="198"/>
      <c r="M50" s="198"/>
      <c r="N50" s="198"/>
      <c r="O50" s="198"/>
      <c r="P50" s="198"/>
      <c r="Q50" s="198"/>
      <c r="R50" s="198"/>
      <c r="S50" s="198"/>
      <c r="T50" s="198"/>
      <c r="U50" s="198"/>
      <c r="V50" s="198"/>
      <c r="W50" s="198"/>
      <c r="X50" s="198"/>
      <c r="Y50" s="198"/>
      <c r="Z50" s="198"/>
      <c r="AA50" s="198"/>
      <c r="AB50" s="198"/>
      <c r="AC50" s="198"/>
      <c r="AD50" s="198"/>
      <c r="AE50" s="198"/>
      <c r="AF50" s="198"/>
      <c r="AG50" s="198"/>
      <c r="AH50" s="198"/>
      <c r="AI50" s="198"/>
      <c r="AJ50" s="198"/>
      <c r="AK50" s="198"/>
      <c r="AL50" s="198"/>
      <c r="AM50" s="198"/>
      <c r="AN50" s="198"/>
      <c r="AO50" s="198"/>
      <c r="AP50" s="198"/>
      <c r="AQ50" s="198"/>
      <c r="AR50" s="198"/>
      <c r="AS50" s="198"/>
      <c r="AT50" s="198"/>
      <c r="AU50" s="198"/>
      <c r="AV50" s="198"/>
      <c r="AW50" s="198"/>
      <c r="AX50" s="198"/>
      <c r="AY50" s="198"/>
      <c r="AZ50" s="198"/>
      <c r="BA50" s="198"/>
      <c r="BB50" s="198"/>
      <c r="BC50" s="198"/>
      <c r="BD50" s="198"/>
      <c r="BE50" s="198"/>
      <c r="BF50" s="198"/>
      <c r="BG50" s="198"/>
      <c r="BH50" s="198"/>
      <c r="BI50" s="198"/>
      <c r="BJ50" s="198"/>
      <c r="BK50" s="198"/>
      <c r="BL50" s="198"/>
      <c r="BM50" s="198"/>
      <c r="BN50" s="198"/>
      <c r="BO50" s="198"/>
      <c r="BP50" s="198"/>
      <c r="BQ50" s="198"/>
      <c r="BR50" s="198"/>
      <c r="BS50" s="198"/>
      <c r="BT50" s="198"/>
      <c r="BU50" s="198"/>
      <c r="BV50" s="198"/>
      <c r="BW50" s="198"/>
      <c r="BX50" s="198"/>
      <c r="BY50" s="198"/>
      <c r="BZ50" s="198"/>
      <c r="CA50" s="198"/>
      <c r="CB50" s="198"/>
      <c r="CC50" s="198"/>
      <c r="CD50" s="198"/>
      <c r="CE50" s="198"/>
      <c r="CF50" s="198"/>
      <c r="CG50" s="198"/>
      <c r="CH50" s="198"/>
      <c r="CI50" s="198"/>
      <c r="CJ50" s="198"/>
      <c r="CK50" s="198"/>
      <c r="CL50" s="198"/>
      <c r="CM50" s="198"/>
      <c r="CN50" s="198"/>
      <c r="CO50" s="198"/>
      <c r="CP50" s="198"/>
      <c r="CQ50" s="198"/>
      <c r="CR50" s="198"/>
      <c r="CS50" s="198"/>
      <c r="CT50" s="198"/>
      <c r="CU50" s="198"/>
      <c r="CV50" s="198"/>
      <c r="CW50" s="198"/>
      <c r="CX50" s="198"/>
      <c r="CY50" s="198"/>
      <c r="CZ50" s="198"/>
      <c r="DA50" s="198"/>
      <c r="DB50" s="198"/>
      <c r="DC50" s="198"/>
      <c r="DD50" s="198"/>
      <c r="DE50" s="198"/>
      <c r="DF50" s="198"/>
      <c r="DG50" s="198"/>
      <c r="DH50" s="198"/>
      <c r="DI50" s="198"/>
      <c r="DJ50" s="198"/>
      <c r="DK50" s="198"/>
      <c r="DL50" s="198"/>
      <c r="DM50" s="198"/>
      <c r="DN50" s="198"/>
      <c r="DO50" s="198"/>
      <c r="DP50" s="198"/>
      <c r="DQ50" s="198"/>
      <c r="DR50" s="198"/>
      <c r="DS50" s="198"/>
      <c r="DT50" s="198"/>
      <c r="DU50" s="198"/>
      <c r="DV50" s="198"/>
      <c r="DW50" s="198"/>
      <c r="DX50" s="198"/>
      <c r="DY50" s="198"/>
      <c r="DZ50" s="198"/>
      <c r="EA50" s="198"/>
      <c r="EB50" s="198"/>
      <c r="EC50" s="198"/>
      <c r="ED50" s="198"/>
      <c r="EE50" s="198"/>
      <c r="EF50" s="198"/>
      <c r="EG50" s="198"/>
      <c r="EH50" s="198"/>
      <c r="EI50" s="198"/>
      <c r="EJ50" s="198"/>
      <c r="EK50" s="198"/>
      <c r="EL50" s="198"/>
      <c r="EM50" s="198"/>
      <c r="EN50" s="198"/>
      <c r="EO50" s="198"/>
      <c r="EP50" s="198"/>
      <c r="EQ50" s="198"/>
      <c r="ER50" s="198"/>
      <c r="ES50" s="198"/>
      <c r="ET50" s="198"/>
      <c r="EU50" s="198"/>
      <c r="EV50" s="198"/>
      <c r="EW50" s="198"/>
      <c r="EX50" s="198"/>
      <c r="EY50" s="198"/>
      <c r="EZ50" s="198"/>
      <c r="FA50" s="198"/>
      <c r="FB50" s="198"/>
      <c r="FC50" s="198"/>
      <c r="FD50" s="198"/>
      <c r="FE50" s="198"/>
      <c r="FF50" s="198"/>
      <c r="FG50" s="198"/>
      <c r="FH50" s="198"/>
      <c r="FI50" s="198"/>
      <c r="FJ50" s="198"/>
      <c r="FK50" s="198"/>
      <c r="FL50" s="198"/>
      <c r="FM50" s="198"/>
      <c r="FN50" s="198"/>
      <c r="FO50" s="198"/>
      <c r="FP50" s="198"/>
      <c r="FQ50" s="198"/>
      <c r="FR50" s="198"/>
      <c r="FS50" s="198"/>
      <c r="FT50" s="198"/>
      <c r="FU50" s="198"/>
      <c r="FV50" s="198"/>
      <c r="FW50" s="198"/>
      <c r="FX50" s="198"/>
      <c r="FY50" s="198"/>
      <c r="FZ50" s="198"/>
      <c r="GA50" s="198"/>
      <c r="GB50" s="198"/>
      <c r="GC50" s="198"/>
    </row>
    <row r="51" spans="1:200" x14ac:dyDescent="0.35">
      <c r="A51" s="234" t="str">
        <f>IF($F$1="Combined","▸ 47mg LP (EU incl.)","▸ 47mg LP - EU Stock")</f>
        <v>▸ 47mg LP (EU incl.)</v>
      </c>
      <c r="B51" s="234" t="str">
        <f>A51</f>
        <v>▸ 47mg LP (EU incl.)</v>
      </c>
      <c r="C51" s="234" t="str">
        <f>A51</f>
        <v>▸ 47mg LP (EU incl.)</v>
      </c>
      <c r="D51" s="234" t="str">
        <f>A51</f>
        <v>▸ 47mg LP (EU incl.)</v>
      </c>
      <c r="E51" s="234" t="str">
        <f>A51</f>
        <v>▸ 47mg LP (EU incl.)</v>
      </c>
      <c r="F51" s="232" t="str">
        <f>A51</f>
        <v>▸ 47mg LP (EU incl.)</v>
      </c>
      <c r="G51" s="232" t="s">
        <v>962</v>
      </c>
      <c r="H51" s="232" t="s">
        <v>962</v>
      </c>
      <c r="I51" s="232" t="s">
        <v>962</v>
      </c>
      <c r="J51" s="232" t="s">
        <v>962</v>
      </c>
      <c r="K51" s="232" t="s">
        <v>962</v>
      </c>
      <c r="L51" s="232" t="s">
        <v>962</v>
      </c>
      <c r="M51" s="232" t="s">
        <v>962</v>
      </c>
      <c r="N51" s="232" t="s">
        <v>962</v>
      </c>
      <c r="O51" s="232" t="s">
        <v>962</v>
      </c>
      <c r="P51" s="232" t="s">
        <v>962</v>
      </c>
      <c r="Q51" s="232" t="s">
        <v>962</v>
      </c>
      <c r="R51" s="232" t="s">
        <v>962</v>
      </c>
      <c r="S51" s="232" t="s">
        <v>962</v>
      </c>
      <c r="T51" s="232" t="s">
        <v>962</v>
      </c>
      <c r="U51" s="232" t="s">
        <v>962</v>
      </c>
      <c r="V51" s="232" t="s">
        <v>962</v>
      </c>
      <c r="W51" s="232" t="s">
        <v>962</v>
      </c>
      <c r="X51" s="232" t="s">
        <v>962</v>
      </c>
      <c r="Y51" s="232" t="s">
        <v>962</v>
      </c>
      <c r="Z51" s="232" t="s">
        <v>962</v>
      </c>
      <c r="AA51" s="232" t="s">
        <v>962</v>
      </c>
      <c r="AB51" s="232" t="s">
        <v>962</v>
      </c>
      <c r="AC51" s="232" t="s">
        <v>962</v>
      </c>
      <c r="AD51" s="232" t="s">
        <v>962</v>
      </c>
      <c r="AE51" s="232" t="s">
        <v>962</v>
      </c>
      <c r="AF51" s="232" t="s">
        <v>962</v>
      </c>
      <c r="AG51" s="232" t="s">
        <v>962</v>
      </c>
      <c r="AH51" s="232" t="s">
        <v>962</v>
      </c>
      <c r="AI51" s="232" t="s">
        <v>962</v>
      </c>
      <c r="AJ51" s="232" t="s">
        <v>962</v>
      </c>
      <c r="AK51" s="232" t="s">
        <v>962</v>
      </c>
      <c r="AL51" s="232" t="s">
        <v>962</v>
      </c>
      <c r="AM51" s="232" t="s">
        <v>962</v>
      </c>
      <c r="AN51" s="232" t="s">
        <v>962</v>
      </c>
      <c r="AO51" s="232" t="s">
        <v>962</v>
      </c>
      <c r="AP51" s="232" t="s">
        <v>962</v>
      </c>
      <c r="AQ51" s="232" t="s">
        <v>962</v>
      </c>
      <c r="AR51" s="232" t="s">
        <v>962</v>
      </c>
      <c r="AS51" s="232" t="s">
        <v>962</v>
      </c>
      <c r="AT51" s="232" t="s">
        <v>962</v>
      </c>
      <c r="AU51" s="232" t="s">
        <v>962</v>
      </c>
      <c r="AV51" s="232" t="s">
        <v>962</v>
      </c>
      <c r="AW51" s="232" t="s">
        <v>962</v>
      </c>
      <c r="AX51" s="232" t="s">
        <v>962</v>
      </c>
      <c r="AY51" s="232" t="s">
        <v>962</v>
      </c>
      <c r="AZ51" s="232" t="s">
        <v>962</v>
      </c>
      <c r="BA51" s="232" t="s">
        <v>962</v>
      </c>
      <c r="BB51" s="232" t="s">
        <v>962</v>
      </c>
      <c r="BC51" s="232" t="s">
        <v>962</v>
      </c>
      <c r="BD51" s="232" t="s">
        <v>962</v>
      </c>
      <c r="BE51" s="232" t="s">
        <v>962</v>
      </c>
      <c r="BF51" s="232" t="s">
        <v>962</v>
      </c>
      <c r="BG51" s="232" t="s">
        <v>962</v>
      </c>
      <c r="BH51" s="232" t="s">
        <v>962</v>
      </c>
      <c r="BI51" s="232" t="s">
        <v>962</v>
      </c>
      <c r="BJ51" s="232" t="s">
        <v>962</v>
      </c>
      <c r="BK51" s="232" t="s">
        <v>962</v>
      </c>
      <c r="BL51" s="232" t="s">
        <v>962</v>
      </c>
      <c r="BM51" s="232" t="s">
        <v>962</v>
      </c>
      <c r="BN51" s="232" t="s">
        <v>962</v>
      </c>
      <c r="BO51" s="232" t="s">
        <v>962</v>
      </c>
      <c r="BP51" s="232" t="s">
        <v>962</v>
      </c>
      <c r="BQ51" s="232" t="s">
        <v>962</v>
      </c>
      <c r="BR51" s="232" t="s">
        <v>962</v>
      </c>
      <c r="BS51" s="232" t="s">
        <v>962</v>
      </c>
      <c r="BT51" s="232" t="s">
        <v>962</v>
      </c>
      <c r="BU51" s="232" t="s">
        <v>962</v>
      </c>
      <c r="BV51" s="232" t="s">
        <v>962</v>
      </c>
      <c r="BW51" s="232" t="s">
        <v>962</v>
      </c>
      <c r="BX51" s="232" t="s">
        <v>962</v>
      </c>
      <c r="BY51" s="232" t="s">
        <v>962</v>
      </c>
      <c r="BZ51" s="232" t="s">
        <v>962</v>
      </c>
      <c r="CA51" s="232" t="s">
        <v>962</v>
      </c>
      <c r="CB51" s="232" t="s">
        <v>962</v>
      </c>
      <c r="CC51" s="232" t="s">
        <v>962</v>
      </c>
      <c r="CD51" s="232" t="s">
        <v>962</v>
      </c>
      <c r="CE51" s="232" t="s">
        <v>962</v>
      </c>
      <c r="CF51" s="232" t="s">
        <v>962</v>
      </c>
      <c r="CG51" s="232" t="s">
        <v>962</v>
      </c>
      <c r="CH51" s="232" t="s">
        <v>962</v>
      </c>
      <c r="CI51" s="232" t="s">
        <v>962</v>
      </c>
      <c r="CJ51" s="232" t="s">
        <v>962</v>
      </c>
      <c r="CK51" s="232" t="s">
        <v>962</v>
      </c>
      <c r="CL51" s="232" t="s">
        <v>962</v>
      </c>
      <c r="CM51" s="232" t="s">
        <v>962</v>
      </c>
      <c r="CN51" s="232" t="s">
        <v>962</v>
      </c>
      <c r="CO51" s="232" t="s">
        <v>962</v>
      </c>
      <c r="CP51" s="232" t="s">
        <v>962</v>
      </c>
      <c r="CQ51" s="232" t="s">
        <v>962</v>
      </c>
      <c r="CR51" s="232" t="s">
        <v>962</v>
      </c>
      <c r="CS51" s="232" t="s">
        <v>962</v>
      </c>
      <c r="CT51" s="232" t="s">
        <v>962</v>
      </c>
      <c r="CU51" s="232" t="s">
        <v>962</v>
      </c>
      <c r="CV51" s="232" t="s">
        <v>962</v>
      </c>
      <c r="CW51" s="232" t="s">
        <v>962</v>
      </c>
      <c r="CX51" s="232" t="s">
        <v>962</v>
      </c>
      <c r="CY51" s="232" t="s">
        <v>962</v>
      </c>
      <c r="CZ51" s="232" t="s">
        <v>962</v>
      </c>
      <c r="DA51" s="232" t="s">
        <v>962</v>
      </c>
      <c r="DB51" s="232" t="s">
        <v>962</v>
      </c>
      <c r="DC51" s="232" t="s">
        <v>962</v>
      </c>
      <c r="DD51" s="232" t="s">
        <v>962</v>
      </c>
      <c r="DE51" s="232" t="s">
        <v>962</v>
      </c>
      <c r="DF51" s="232" t="s">
        <v>962</v>
      </c>
      <c r="DG51" s="232" t="s">
        <v>962</v>
      </c>
      <c r="DH51" s="232" t="s">
        <v>962</v>
      </c>
      <c r="DI51" s="232" t="s">
        <v>962</v>
      </c>
      <c r="DJ51" s="232" t="s">
        <v>962</v>
      </c>
      <c r="DK51" s="232" t="s">
        <v>962</v>
      </c>
      <c r="DL51" s="232" t="s">
        <v>962</v>
      </c>
      <c r="DM51" s="232" t="s">
        <v>962</v>
      </c>
      <c r="DN51" s="232" t="s">
        <v>962</v>
      </c>
      <c r="DO51" s="232" t="s">
        <v>962</v>
      </c>
      <c r="DP51" s="232" t="s">
        <v>962</v>
      </c>
      <c r="DQ51" s="232" t="s">
        <v>962</v>
      </c>
      <c r="DR51" s="232" t="s">
        <v>962</v>
      </c>
      <c r="DS51" s="232" t="s">
        <v>962</v>
      </c>
      <c r="DT51" s="232" t="s">
        <v>962</v>
      </c>
      <c r="DU51" s="232" t="s">
        <v>962</v>
      </c>
      <c r="DV51" s="232" t="s">
        <v>962</v>
      </c>
      <c r="DW51" s="232" t="s">
        <v>962</v>
      </c>
      <c r="DX51" s="232" t="s">
        <v>962</v>
      </c>
      <c r="DY51" s="232" t="s">
        <v>962</v>
      </c>
      <c r="DZ51" s="232" t="s">
        <v>962</v>
      </c>
      <c r="EA51" s="232" t="s">
        <v>962</v>
      </c>
      <c r="EB51" s="232" t="s">
        <v>962</v>
      </c>
      <c r="EC51" s="232" t="s">
        <v>962</v>
      </c>
      <c r="ED51" s="232" t="s">
        <v>962</v>
      </c>
      <c r="EE51" s="232" t="s">
        <v>962</v>
      </c>
      <c r="EF51" s="232" t="s">
        <v>962</v>
      </c>
      <c r="EG51" s="232" t="s">
        <v>962</v>
      </c>
      <c r="EH51" s="232" t="s">
        <v>962</v>
      </c>
      <c r="EI51" s="232" t="s">
        <v>962</v>
      </c>
      <c r="EJ51" s="232" t="s">
        <v>962</v>
      </c>
      <c r="EK51" s="232" t="s">
        <v>962</v>
      </c>
      <c r="EL51" s="232" t="s">
        <v>962</v>
      </c>
      <c r="EM51" s="232" t="s">
        <v>962</v>
      </c>
      <c r="EN51" s="232" t="s">
        <v>962</v>
      </c>
      <c r="EO51" s="232" t="s">
        <v>962</v>
      </c>
      <c r="EP51" s="232" t="s">
        <v>962</v>
      </c>
      <c r="EQ51" s="232" t="s">
        <v>962</v>
      </c>
      <c r="ER51" s="232" t="s">
        <v>962</v>
      </c>
      <c r="ES51" s="232" t="s">
        <v>962</v>
      </c>
      <c r="ET51" s="232" t="s">
        <v>962</v>
      </c>
      <c r="EU51" s="232" t="s">
        <v>962</v>
      </c>
      <c r="EV51" s="232" t="s">
        <v>962</v>
      </c>
      <c r="EW51" s="232" t="s">
        <v>962</v>
      </c>
      <c r="EX51" s="232" t="s">
        <v>962</v>
      </c>
      <c r="EY51" s="232" t="s">
        <v>962</v>
      </c>
      <c r="EZ51" s="232" t="s">
        <v>962</v>
      </c>
      <c r="FA51" s="232" t="s">
        <v>962</v>
      </c>
      <c r="FB51" s="232" t="s">
        <v>962</v>
      </c>
      <c r="FC51" s="232" t="s">
        <v>962</v>
      </c>
      <c r="FD51" s="232" t="s">
        <v>962</v>
      </c>
      <c r="FE51" s="232" t="s">
        <v>962</v>
      </c>
      <c r="FF51" s="232" t="s">
        <v>962</v>
      </c>
      <c r="FG51" s="232" t="s">
        <v>962</v>
      </c>
      <c r="FH51" s="232" t="s">
        <v>962</v>
      </c>
      <c r="FI51" s="232" t="s">
        <v>962</v>
      </c>
      <c r="FJ51" s="232" t="s">
        <v>962</v>
      </c>
      <c r="FK51" s="232" t="s">
        <v>962</v>
      </c>
      <c r="FL51" s="232" t="s">
        <v>962</v>
      </c>
      <c r="FM51" s="232" t="s">
        <v>962</v>
      </c>
      <c r="FN51" s="232" t="s">
        <v>962</v>
      </c>
      <c r="FO51" s="232" t="s">
        <v>962</v>
      </c>
      <c r="FP51" s="232" t="s">
        <v>962</v>
      </c>
      <c r="FQ51" s="232" t="s">
        <v>962</v>
      </c>
      <c r="FR51" s="232" t="s">
        <v>962</v>
      </c>
      <c r="FS51" s="232" t="s">
        <v>962</v>
      </c>
      <c r="FT51" s="232" t="s">
        <v>962</v>
      </c>
      <c r="FU51" s="232" t="s">
        <v>962</v>
      </c>
      <c r="FV51" s="232" t="s">
        <v>962</v>
      </c>
      <c r="FW51" s="232" t="s">
        <v>962</v>
      </c>
      <c r="FX51" s="232" t="s">
        <v>962</v>
      </c>
      <c r="FY51" s="232" t="s">
        <v>962</v>
      </c>
      <c r="FZ51" s="232" t="s">
        <v>962</v>
      </c>
      <c r="GA51" s="232" t="s">
        <v>962</v>
      </c>
      <c r="GB51" s="232" t="s">
        <v>962</v>
      </c>
      <c r="GC51" s="232" t="s">
        <v>962</v>
      </c>
      <c r="GD51" s="232" t="s">
        <v>962</v>
      </c>
      <c r="GE51" s="232" t="s">
        <v>962</v>
      </c>
      <c r="GF51" s="232" t="s">
        <v>962</v>
      </c>
      <c r="GG51" s="232" t="s">
        <v>962</v>
      </c>
      <c r="GH51" s="232" t="s">
        <v>962</v>
      </c>
      <c r="GI51" s="232" t="s">
        <v>962</v>
      </c>
      <c r="GJ51" s="232" t="s">
        <v>962</v>
      </c>
      <c r="GK51" s="232" t="s">
        <v>962</v>
      </c>
      <c r="GL51" s="232" t="s">
        <v>962</v>
      </c>
      <c r="GM51" s="232" t="s">
        <v>962</v>
      </c>
      <c r="GN51" s="232" t="s">
        <v>962</v>
      </c>
      <c r="GO51" s="232" t="s">
        <v>962</v>
      </c>
      <c r="GP51" s="232" t="s">
        <v>962</v>
      </c>
      <c r="GQ51" s="232" t="s">
        <v>962</v>
      </c>
      <c r="GR51" s="232" t="s">
        <v>962</v>
      </c>
    </row>
    <row r="52" spans="1:200" x14ac:dyDescent="0.35">
      <c r="A52" s="233" t="s">
        <v>960</v>
      </c>
      <c r="B52" s="235" t="s">
        <v>378</v>
      </c>
      <c r="C52" s="236" t="s">
        <v>379</v>
      </c>
      <c r="D52" s="236" t="s">
        <v>103</v>
      </c>
      <c r="E52" s="237" t="s">
        <v>380</v>
      </c>
      <c r="F52" s="238">
        <f>IF($E$30=1,F30,0)+IF($E$31=1,F31,0)+IF($E$32=1,F32,0)+IF($E$33=1,F33,0)+IF($E$34=1,F34,0)+IF($E$35=1,F35,0)+IF($E$36=1,F36,0)+IF($E$37=1,F37,0)+IF($E$38=1,F38,0)+IF($E$39=1,F39,0)+IF($E$40=1,F40,0)+IF($E$41=1,F41,0)</f>
        <v>0</v>
      </c>
      <c r="G52" s="238">
        <f t="shared" ref="G52:BR52" si="107">IF($E$30=1,G30,0)+IF($E$31=1,G31,0)+IF($E$32=1,G32,0)+IF($E$33=1,G33,0)+IF($E$34=1,G34,0)+IF($E$35=1,G35,0)+IF($E$36=1,G36,0)+IF($E$37=1,G37,0)+IF($E$38=1,G38,0)+IF($E$39=1,G39,0)+IF($E$40=1,G40,0)+IF($E$41=1,G41,0)</f>
        <v>0</v>
      </c>
      <c r="H52" s="238">
        <f t="shared" si="107"/>
        <v>0</v>
      </c>
      <c r="I52" s="238">
        <f t="shared" si="107"/>
        <v>0</v>
      </c>
      <c r="J52" s="238">
        <f t="shared" si="107"/>
        <v>0</v>
      </c>
      <c r="K52" s="238">
        <f t="shared" si="107"/>
        <v>0</v>
      </c>
      <c r="L52" s="238">
        <f t="shared" si="107"/>
        <v>0</v>
      </c>
      <c r="M52" s="238">
        <f t="shared" si="107"/>
        <v>0</v>
      </c>
      <c r="N52" s="238">
        <f t="shared" si="107"/>
        <v>0</v>
      </c>
      <c r="O52" s="238">
        <f t="shared" si="107"/>
        <v>22.49392852092339</v>
      </c>
      <c r="P52" s="238">
        <f t="shared" si="107"/>
        <v>25.789085063555611</v>
      </c>
      <c r="Q52" s="238">
        <f t="shared" si="107"/>
        <v>47.148108564949588</v>
      </c>
      <c r="R52" s="238">
        <f t="shared" si="107"/>
        <v>47.024283078745007</v>
      </c>
      <c r="S52" s="238">
        <f t="shared" si="107"/>
        <v>68.949302895014597</v>
      </c>
      <c r="T52" s="238">
        <f t="shared" si="107"/>
        <v>127.5889504001732</v>
      </c>
      <c r="U52" s="238">
        <f t="shared" si="107"/>
        <v>149.36800114244747</v>
      </c>
      <c r="V52" s="238">
        <f t="shared" si="107"/>
        <v>174.65136406162515</v>
      </c>
      <c r="W52" s="238">
        <f t="shared" si="107"/>
        <v>265.30725464328941</v>
      </c>
      <c r="X52" s="238">
        <f t="shared" si="107"/>
        <v>342.86312242198397</v>
      </c>
      <c r="Y52" s="238">
        <f t="shared" si="107"/>
        <v>485.65332830926013</v>
      </c>
      <c r="Z52" s="238">
        <f t="shared" si="107"/>
        <v>567.82297544854737</v>
      </c>
      <c r="AA52" s="238">
        <f t="shared" si="107"/>
        <v>677.86170410465559</v>
      </c>
      <c r="AB52" s="238">
        <f t="shared" si="107"/>
        <v>862.2225917483654</v>
      </c>
      <c r="AC52" s="238">
        <f t="shared" si="107"/>
        <v>1232.6179127555881</v>
      </c>
      <c r="AD52" s="238">
        <f t="shared" si="107"/>
        <v>1091.5890589562193</v>
      </c>
      <c r="AE52" s="238">
        <f t="shared" si="107"/>
        <v>1503.5492383174869</v>
      </c>
      <c r="AF52" s="238">
        <f t="shared" si="107"/>
        <v>2118.4716092252875</v>
      </c>
      <c r="AG52" s="238">
        <f t="shared" si="107"/>
        <v>1761.6806448713851</v>
      </c>
      <c r="AH52" s="238">
        <f t="shared" si="107"/>
        <v>2463.9305676197505</v>
      </c>
      <c r="AI52" s="238">
        <f t="shared" si="107"/>
        <v>2373.3197679465006</v>
      </c>
      <c r="AJ52" s="238">
        <f t="shared" si="107"/>
        <v>2390.8755439879169</v>
      </c>
      <c r="AK52" s="238">
        <f t="shared" si="107"/>
        <v>3262.971278416629</v>
      </c>
      <c r="AL52" s="238">
        <f t="shared" si="107"/>
        <v>2521.5106539836338</v>
      </c>
      <c r="AM52" s="238">
        <f t="shared" si="107"/>
        <v>3066.0484369146825</v>
      </c>
      <c r="AN52" s="238">
        <f t="shared" si="107"/>
        <v>2833.8389016604892</v>
      </c>
      <c r="AO52" s="238">
        <f t="shared" si="107"/>
        <v>2966.4914503473938</v>
      </c>
      <c r="AP52" s="238">
        <f t="shared" si="107"/>
        <v>3275.5635480582159</v>
      </c>
      <c r="AQ52" s="238">
        <f t="shared" si="107"/>
        <v>2726.6322620596416</v>
      </c>
      <c r="AR52" s="238">
        <f t="shared" si="107"/>
        <v>3700.9474313653272</v>
      </c>
      <c r="AS52" s="238">
        <f t="shared" si="107"/>
        <v>3253.9898704677307</v>
      </c>
      <c r="AT52" s="238">
        <f t="shared" si="107"/>
        <v>3656.6333988778229</v>
      </c>
      <c r="AU52" s="238">
        <f t="shared" si="107"/>
        <v>3067.8429782266021</v>
      </c>
      <c r="AV52" s="238">
        <f t="shared" si="107"/>
        <v>3530.9970099357997</v>
      </c>
      <c r="AW52" s="238">
        <f t="shared" si="107"/>
        <v>4059.5913798346282</v>
      </c>
      <c r="AX52" s="238">
        <f t="shared" si="107"/>
        <v>2796.6312339320416</v>
      </c>
      <c r="AY52" s="238">
        <f t="shared" si="107"/>
        <v>4003.0399187707285</v>
      </c>
      <c r="AZ52" s="238">
        <f t="shared" si="107"/>
        <v>3204.1812052863374</v>
      </c>
      <c r="BA52" s="238">
        <f t="shared" si="107"/>
        <v>3386.4876617128052</v>
      </c>
      <c r="BB52" s="238">
        <f t="shared" si="107"/>
        <v>3690.3127661607259</v>
      </c>
      <c r="BC52" s="238">
        <f t="shared" si="107"/>
        <v>3043.1740621260265</v>
      </c>
      <c r="BD52" s="238">
        <f t="shared" si="107"/>
        <v>3806.7606567633975</v>
      </c>
      <c r="BE52" s="238">
        <f t="shared" si="107"/>
        <v>3979.1256441185487</v>
      </c>
      <c r="BF52" s="238">
        <f t="shared" si="107"/>
        <v>3968.4780862141106</v>
      </c>
      <c r="BG52" s="238">
        <f t="shared" si="107"/>
        <v>3117.0060813526106</v>
      </c>
      <c r="BH52" s="238">
        <f t="shared" si="107"/>
        <v>4388.4063393346196</v>
      </c>
      <c r="BI52" s="238">
        <f t="shared" si="107"/>
        <v>4240.5949194851664</v>
      </c>
      <c r="BJ52" s="238">
        <f t="shared" si="107"/>
        <v>3714.3528269280937</v>
      </c>
      <c r="BK52" s="238">
        <f t="shared" si="107"/>
        <v>4765.7496049777874</v>
      </c>
      <c r="BL52" s="238">
        <f t="shared" si="107"/>
        <v>3658.1231839801335</v>
      </c>
      <c r="BM52" s="238">
        <f t="shared" si="107"/>
        <v>4921.7751613624614</v>
      </c>
      <c r="BN52" s="238">
        <f t="shared" si="107"/>
        <v>4932.7938780223849</v>
      </c>
      <c r="BO52" s="238">
        <f t="shared" si="107"/>
        <v>4331.3330252257892</v>
      </c>
      <c r="BP52" s="238">
        <f t="shared" si="107"/>
        <v>5693.6990743759034</v>
      </c>
      <c r="BQ52" s="238">
        <f t="shared" si="107"/>
        <v>6171.567910419335</v>
      </c>
      <c r="BR52" s="238">
        <f t="shared" si="107"/>
        <v>5823.3915587794017</v>
      </c>
      <c r="BS52" s="238">
        <f t="shared" ref="BS52:ED52" si="108">IF($E$30=1,BS30,0)+IF($E$31=1,BS31,0)+IF($E$32=1,BS32,0)+IF($E$33=1,BS33,0)+IF($E$34=1,BS34,0)+IF($E$35=1,BS35,0)+IF($E$36=1,BS36,0)+IF($E$37=1,BS37,0)+IF($E$38=1,BS38,0)+IF($E$39=1,BS39,0)+IF($E$40=1,BS40,0)+IF($E$41=1,BS41,0)</f>
        <v>5701.5639840746007</v>
      </c>
      <c r="BT52" s="238">
        <f t="shared" si="108"/>
        <v>7146.0766245351488</v>
      </c>
      <c r="BU52" s="238">
        <f t="shared" si="108"/>
        <v>6471.640356862089</v>
      </c>
      <c r="BV52" s="238">
        <f t="shared" si="108"/>
        <v>6828.6007436245218</v>
      </c>
      <c r="BW52" s="238">
        <f t="shared" si="108"/>
        <v>7581.5145936572571</v>
      </c>
      <c r="BX52" s="238">
        <f t="shared" si="108"/>
        <v>5131.7464148414929</v>
      </c>
      <c r="BY52" s="238">
        <f t="shared" si="108"/>
        <v>8345.9849271101048</v>
      </c>
      <c r="BZ52" s="238">
        <f t="shared" si="108"/>
        <v>6432.2225247403276</v>
      </c>
      <c r="CA52" s="238">
        <f t="shared" si="108"/>
        <v>6257.7046631267312</v>
      </c>
      <c r="CB52" s="238">
        <f t="shared" si="108"/>
        <v>8962.6386061235353</v>
      </c>
      <c r="CC52" s="238">
        <f t="shared" si="108"/>
        <v>7639.262834921863</v>
      </c>
      <c r="CD52" s="238">
        <f t="shared" si="108"/>
        <v>6647.8610105796652</v>
      </c>
      <c r="CE52" s="238">
        <f t="shared" si="108"/>
        <v>7718.1882566354125</v>
      </c>
      <c r="CF52" s="238">
        <f t="shared" si="108"/>
        <v>7537.9578640704731</v>
      </c>
      <c r="CG52" s="238">
        <f t="shared" si="108"/>
        <v>8225.6199334833836</v>
      </c>
      <c r="CH52" s="238">
        <f t="shared" si="108"/>
        <v>7415.7855303189353</v>
      </c>
      <c r="CI52" s="238">
        <f t="shared" si="108"/>
        <v>6997.5818179242779</v>
      </c>
      <c r="CJ52" s="238">
        <f t="shared" si="108"/>
        <v>7193.799796938154</v>
      </c>
      <c r="CK52" s="238">
        <f t="shared" si="108"/>
        <v>8484.6367994595603</v>
      </c>
      <c r="CL52" s="238">
        <f t="shared" si="108"/>
        <v>6132.7021440223198</v>
      </c>
      <c r="CM52" s="238">
        <f t="shared" si="108"/>
        <v>6729.4354888936905</v>
      </c>
      <c r="CN52" s="238">
        <f t="shared" si="108"/>
        <v>9270.3874138870888</v>
      </c>
      <c r="CO52" s="238">
        <f t="shared" si="108"/>
        <v>7183.2245910455622</v>
      </c>
      <c r="CP52" s="238">
        <f t="shared" si="108"/>
        <v>7635.364279680819</v>
      </c>
      <c r="CQ52" s="238">
        <f t="shared" si="108"/>
        <v>7647.8050951229488</v>
      </c>
      <c r="CR52" s="238">
        <f t="shared" si="108"/>
        <v>7001.0698010246051</v>
      </c>
      <c r="CS52" s="238">
        <f t="shared" si="108"/>
        <v>9183.1062152633895</v>
      </c>
      <c r="CT52" s="238">
        <f t="shared" si="108"/>
        <v>7280.2775357993542</v>
      </c>
      <c r="CU52" s="238">
        <f t="shared" si="108"/>
        <v>7069.6602878580552</v>
      </c>
      <c r="CV52" s="238">
        <f t="shared" si="108"/>
        <v>7259.4774094470195</v>
      </c>
      <c r="CW52" s="238">
        <f t="shared" si="108"/>
        <v>7886.9323283084532</v>
      </c>
      <c r="CX52" s="238">
        <f t="shared" si="108"/>
        <v>7017.7073412812215</v>
      </c>
      <c r="CY52" s="238">
        <f t="shared" si="108"/>
        <v>6558.7510561970203</v>
      </c>
      <c r="CZ52" s="238">
        <f t="shared" si="108"/>
        <v>9332.6522024298865</v>
      </c>
      <c r="DA52" s="238">
        <f t="shared" si="108"/>
        <v>6570.5666084606301</v>
      </c>
      <c r="DB52" s="238">
        <f t="shared" si="108"/>
        <v>8524.6845795478366</v>
      </c>
      <c r="DC52" s="238">
        <f t="shared" si="108"/>
        <v>7475.2123309913259</v>
      </c>
      <c r="DD52" s="238">
        <f t="shared" si="108"/>
        <v>7045.7405814575905</v>
      </c>
      <c r="DE52" s="238">
        <f t="shared" si="108"/>
        <v>9240.3865642313067</v>
      </c>
      <c r="DF52" s="238">
        <f t="shared" si="108"/>
        <v>6659.4180805104115</v>
      </c>
      <c r="DG52" s="238">
        <f t="shared" si="108"/>
        <v>7964.3428788111651</v>
      </c>
      <c r="DH52" s="238">
        <f t="shared" si="108"/>
        <v>7086.2364753561433</v>
      </c>
      <c r="DI52" s="238">
        <f t="shared" si="108"/>
        <v>7277.7658455252658</v>
      </c>
      <c r="DJ52" s="238">
        <f t="shared" si="108"/>
        <v>7909.7508020926452</v>
      </c>
      <c r="DK52" s="238">
        <f t="shared" si="108"/>
        <v>6386.0471183789668</v>
      </c>
      <c r="DL52" s="238">
        <f t="shared" si="108"/>
        <v>8730.2416875896924</v>
      </c>
      <c r="DM52" s="238">
        <f t="shared" si="108"/>
        <v>7466.8234657085432</v>
      </c>
      <c r="DN52" s="238">
        <f t="shared" si="108"/>
        <v>8371.24066994856</v>
      </c>
      <c r="DO52" s="238">
        <f t="shared" si="108"/>
        <v>6869.4078264583331</v>
      </c>
      <c r="DP52" s="238">
        <f t="shared" si="108"/>
        <v>7950.4185853653426</v>
      </c>
      <c r="DQ52" s="238">
        <f t="shared" si="108"/>
        <v>9096.644861713994</v>
      </c>
      <c r="DR52" s="238">
        <f t="shared" si="108"/>
        <v>6051.7552470291384</v>
      </c>
      <c r="DS52" s="238">
        <f t="shared" si="108"/>
        <v>8886.264091165358</v>
      </c>
      <c r="DT52" s="238">
        <f t="shared" si="108"/>
        <v>6925.0714573871337</v>
      </c>
      <c r="DU52" s="238">
        <f t="shared" si="108"/>
        <v>7343.2914428723943</v>
      </c>
      <c r="DV52" s="238">
        <f t="shared" si="108"/>
        <v>7981.1591352299647</v>
      </c>
      <c r="DW52" s="238">
        <f t="shared" si="108"/>
        <v>7104.1409140129908</v>
      </c>
      <c r="DX52" s="238">
        <f t="shared" si="108"/>
        <v>7963.9286219865899</v>
      </c>
      <c r="DY52" s="238">
        <f t="shared" si="108"/>
        <v>8430.4718763222663</v>
      </c>
      <c r="DZ52" s="238">
        <f t="shared" si="108"/>
        <v>7588.9538636469933</v>
      </c>
      <c r="EA52" s="238">
        <f t="shared" si="108"/>
        <v>7153.8215348564918</v>
      </c>
      <c r="EB52" s="238">
        <f t="shared" si="108"/>
        <v>8695.8296988832171</v>
      </c>
      <c r="EC52" s="238">
        <f t="shared" si="108"/>
        <v>7626.0637891480483</v>
      </c>
      <c r="ED52" s="238">
        <f t="shared" si="108"/>
        <v>7862.8661675452022</v>
      </c>
      <c r="EE52" s="238">
        <f t="shared" ref="EE52:GP52" si="109">IF($E$30=1,EE30,0)+IF($E$31=1,EE31,0)+IF($E$32=1,EE32,0)+IF($E$33=1,EE33,0)+IF($E$34=1,EE34,0)+IF($E$35=1,EE35,0)+IF($E$36=1,EE36,0)+IF($E$37=1,EE37,0)+IF($E$38=1,EE38,0)+IF($E$39=1,EE39,0)+IF($E$40=1,EE40,0)+IF($E$41=1,EE41,0)</f>
        <v>8558.1279422350362</v>
      </c>
      <c r="EF52" s="238">
        <f t="shared" si="109"/>
        <v>5681.2902076159407</v>
      </c>
      <c r="EG52" s="238">
        <f t="shared" si="109"/>
        <v>9153.8854089484848</v>
      </c>
      <c r="EH52" s="238">
        <f t="shared" si="109"/>
        <v>6960.2771644957147</v>
      </c>
      <c r="EI52" s="238">
        <f t="shared" si="109"/>
        <v>6715.9532098355839</v>
      </c>
      <c r="EJ52" s="238">
        <f t="shared" si="109"/>
        <v>8872.4121162336669</v>
      </c>
      <c r="EK52" s="238">
        <f t="shared" si="109"/>
        <v>8266.5617430202983</v>
      </c>
      <c r="EL52" s="238">
        <f t="shared" si="109"/>
        <v>6966.5710152292449</v>
      </c>
      <c r="EM52" s="238">
        <f t="shared" si="109"/>
        <v>8061.4065192030976</v>
      </c>
      <c r="EN52" s="238">
        <f t="shared" si="109"/>
        <v>8531.3963304413537</v>
      </c>
      <c r="EO52" s="238">
        <f t="shared" si="109"/>
        <v>6541.9523365915247</v>
      </c>
      <c r="EP52" s="238">
        <f t="shared" si="109"/>
        <v>6228.0137816249899</v>
      </c>
      <c r="EQ52" s="238">
        <f t="shared" si="109"/>
        <v>5697.1950385383216</v>
      </c>
      <c r="ER52" s="238">
        <f t="shared" si="109"/>
        <v>4263.0997106824361</v>
      </c>
      <c r="ES52" s="238">
        <f t="shared" si="109"/>
        <v>5442.7781046041073</v>
      </c>
      <c r="ET52" s="238">
        <f t="shared" si="109"/>
        <v>3379.7847117536303</v>
      </c>
      <c r="EU52" s="238">
        <f t="shared" si="109"/>
        <v>3428.7001507432069</v>
      </c>
      <c r="EV52" s="238">
        <f t="shared" si="109"/>
        <v>4359.2433765734168</v>
      </c>
      <c r="EW52" s="238">
        <f t="shared" si="109"/>
        <v>3269.1497984589996</v>
      </c>
      <c r="EX52" s="238">
        <f t="shared" si="109"/>
        <v>2536.0377725124831</v>
      </c>
      <c r="EY52" s="238">
        <f t="shared" si="109"/>
        <v>2689.0514989353019</v>
      </c>
      <c r="EZ52" s="238">
        <f t="shared" si="109"/>
        <v>2338.5345159572744</v>
      </c>
      <c r="FA52" s="238">
        <f t="shared" si="109"/>
        <v>2290.9576543784806</v>
      </c>
      <c r="FB52" s="238">
        <f t="shared" si="109"/>
        <v>1815.1930006745465</v>
      </c>
      <c r="FC52" s="238">
        <f t="shared" si="109"/>
        <v>1514.9626004069471</v>
      </c>
      <c r="FD52" s="238">
        <f t="shared" si="109"/>
        <v>1381.4543387967744</v>
      </c>
      <c r="FE52" s="238">
        <f t="shared" si="109"/>
        <v>1445.9661085957252</v>
      </c>
      <c r="FF52" s="238">
        <f t="shared" si="109"/>
        <v>870.89969560997451</v>
      </c>
      <c r="FG52" s="238">
        <f t="shared" si="109"/>
        <v>845.3096648423749</v>
      </c>
      <c r="FH52" s="238">
        <f t="shared" si="109"/>
        <v>1020.8932985392678</v>
      </c>
      <c r="FI52" s="238">
        <f t="shared" si="109"/>
        <v>631.3088768285736</v>
      </c>
      <c r="FJ52" s="238">
        <f t="shared" si="109"/>
        <v>561.74727130653764</v>
      </c>
      <c r="FK52" s="238">
        <f t="shared" si="109"/>
        <v>449.01106709928541</v>
      </c>
      <c r="FL52" s="238">
        <f t="shared" si="109"/>
        <v>309.22710997722152</v>
      </c>
      <c r="FM52" s="238">
        <f t="shared" si="109"/>
        <v>470.21946516842786</v>
      </c>
      <c r="FN52" s="238">
        <f t="shared" si="109"/>
        <v>378.33874951757747</v>
      </c>
      <c r="FO52" s="238">
        <f t="shared" si="109"/>
        <v>367.40084105905783</v>
      </c>
      <c r="FP52" s="238">
        <f t="shared" si="109"/>
        <v>377.25920292087324</v>
      </c>
      <c r="FQ52" s="238">
        <f t="shared" si="109"/>
        <v>409.8691527429778</v>
      </c>
      <c r="FR52" s="238">
        <f t="shared" si="109"/>
        <v>364.7828041562376</v>
      </c>
      <c r="FS52" s="238">
        <f t="shared" si="109"/>
        <v>374.69140866562702</v>
      </c>
      <c r="FT52" s="238">
        <f t="shared" si="109"/>
        <v>441.60727907035368</v>
      </c>
      <c r="FU52" s="238">
        <f t="shared" si="109"/>
        <v>387.31545622240765</v>
      </c>
      <c r="FV52" s="238">
        <f t="shared" si="109"/>
        <v>434.08599287713457</v>
      </c>
      <c r="FW52" s="238">
        <f t="shared" si="109"/>
        <v>356.1260783931375</v>
      </c>
      <c r="FX52" s="238">
        <f t="shared" si="109"/>
        <v>412.00444036322511</v>
      </c>
      <c r="FY52" s="238">
        <f t="shared" si="109"/>
        <v>471.21929110072824</v>
      </c>
      <c r="FZ52" s="238">
        <f t="shared" si="109"/>
        <v>313.4400477839186</v>
      </c>
      <c r="GA52" s="238">
        <f t="shared" si="109"/>
        <v>460.03007025453019</v>
      </c>
      <c r="GB52" s="238">
        <f t="shared" si="109"/>
        <v>358.40350013388718</v>
      </c>
      <c r="GC52" s="238">
        <f t="shared" si="109"/>
        <v>379.90888964201997</v>
      </c>
      <c r="GD52" s="238">
        <f t="shared" si="109"/>
        <v>95.431122149428589</v>
      </c>
      <c r="GE52" s="238">
        <f t="shared" si="109"/>
        <v>5001.930791009695</v>
      </c>
      <c r="GF52" s="238">
        <f t="shared" si="109"/>
        <v>28354.277152247378</v>
      </c>
      <c r="GG52" s="238">
        <f t="shared" si="109"/>
        <v>40662.537898527677</v>
      </c>
      <c r="GH52" s="238">
        <f t="shared" si="109"/>
        <v>47293.85933280368</v>
      </c>
      <c r="GI52" s="238">
        <f t="shared" si="109"/>
        <v>74159.913091528026</v>
      </c>
      <c r="GJ52" s="238">
        <f t="shared" si="109"/>
        <v>89513.259638322328</v>
      </c>
      <c r="GK52" s="238">
        <f t="shared" si="109"/>
        <v>90279.442590353312</v>
      </c>
      <c r="GL52" s="238">
        <f t="shared" si="109"/>
        <v>90753.464544799805</v>
      </c>
      <c r="GM52" s="238">
        <f t="shared" si="109"/>
        <v>91986.957255710106</v>
      </c>
      <c r="GN52" s="238">
        <f t="shared" si="109"/>
        <v>93800.539160431232</v>
      </c>
      <c r="GO52" s="238">
        <f t="shared" si="109"/>
        <v>82547.617070500331</v>
      </c>
      <c r="GP52" s="238">
        <f t="shared" si="109"/>
        <v>30449.035527786786</v>
      </c>
      <c r="GQ52" s="238">
        <f t="shared" ref="GQ52:GR52" si="110">IF($E$30=1,GQ30,0)+IF($E$31=1,GQ31,0)+IF($E$32=1,GQ32,0)+IF($E$33=1,GQ33,0)+IF($E$34=1,GQ34,0)+IF($E$35=1,GQ35,0)+IF($E$36=1,GQ36,0)+IF($E$37=1,GQ37,0)+IF($E$38=1,GQ38,0)+IF($E$39=1,GQ39,0)+IF($E$40=1,GQ40,0)+IF($E$41=1,GQ41,0)</f>
        <v>6691.4843956121504</v>
      </c>
      <c r="GR52" s="238">
        <f t="shared" si="110"/>
        <v>4753.6152586632079</v>
      </c>
    </row>
    <row r="53" spans="1:200" x14ac:dyDescent="0.35">
      <c r="F53" s="198"/>
      <c r="G53" s="198"/>
      <c r="H53" s="198"/>
      <c r="I53" s="198"/>
      <c r="J53" s="198"/>
      <c r="K53" s="198"/>
      <c r="L53" s="198"/>
      <c r="M53" s="198"/>
      <c r="N53" s="198"/>
      <c r="O53" s="198"/>
      <c r="P53" s="198"/>
      <c r="Q53" s="198"/>
      <c r="R53" s="198"/>
      <c r="S53" s="198"/>
      <c r="T53" s="198"/>
      <c r="U53" s="198"/>
      <c r="V53" s="198"/>
      <c r="W53" s="198"/>
      <c r="X53" s="198"/>
      <c r="Y53" s="198"/>
      <c r="Z53" s="198"/>
      <c r="AA53" s="198"/>
      <c r="AB53" s="198"/>
      <c r="AC53" s="198"/>
      <c r="AD53" s="198"/>
      <c r="AE53" s="198"/>
      <c r="AF53" s="198"/>
      <c r="AG53" s="198"/>
      <c r="AH53" s="198"/>
      <c r="AI53" s="198"/>
      <c r="AJ53" s="198"/>
      <c r="AK53" s="198"/>
      <c r="AL53" s="198"/>
      <c r="AM53" s="198"/>
      <c r="AN53" s="198"/>
      <c r="AO53" s="198"/>
      <c r="AP53" s="198"/>
      <c r="AQ53" s="198"/>
      <c r="AR53" s="198"/>
      <c r="AS53" s="198"/>
      <c r="AT53" s="198"/>
      <c r="AU53" s="198"/>
      <c r="AV53" s="198"/>
      <c r="AW53" s="198"/>
      <c r="AX53" s="198"/>
      <c r="AY53" s="198"/>
      <c r="AZ53" s="198"/>
      <c r="BA53" s="198"/>
      <c r="BB53" s="198"/>
      <c r="BC53" s="198"/>
      <c r="BD53" s="198"/>
      <c r="BE53" s="198"/>
      <c r="BF53" s="198"/>
      <c r="BG53" s="198"/>
      <c r="BH53" s="198"/>
      <c r="BI53" s="198"/>
      <c r="BJ53" s="198"/>
      <c r="BK53" s="198"/>
      <c r="BL53" s="198"/>
      <c r="BM53" s="198"/>
      <c r="BN53" s="198"/>
      <c r="BO53" s="198"/>
      <c r="BP53" s="198"/>
      <c r="BQ53" s="198"/>
      <c r="BR53" s="198"/>
      <c r="BS53" s="198"/>
      <c r="BT53" s="198"/>
      <c r="BU53" s="198"/>
      <c r="BV53" s="198"/>
      <c r="BW53" s="198"/>
      <c r="BX53" s="198"/>
      <c r="BY53" s="198"/>
      <c r="BZ53" s="198"/>
      <c r="CA53" s="198"/>
      <c r="CB53" s="198"/>
      <c r="CC53" s="198"/>
      <c r="CD53" s="198"/>
      <c r="CE53" s="198"/>
      <c r="CF53" s="198"/>
      <c r="CG53" s="198"/>
      <c r="CH53" s="198"/>
      <c r="CI53" s="198"/>
      <c r="CJ53" s="198"/>
      <c r="CK53" s="198"/>
      <c r="CL53" s="198"/>
      <c r="CM53" s="198"/>
      <c r="CN53" s="198"/>
      <c r="CO53" s="198"/>
      <c r="CP53" s="198"/>
      <c r="CQ53" s="198"/>
      <c r="CR53" s="198"/>
      <c r="CS53" s="198"/>
      <c r="CT53" s="198"/>
      <c r="CU53" s="198"/>
      <c r="CV53" s="198"/>
      <c r="CW53" s="198"/>
      <c r="CX53" s="198"/>
      <c r="CY53" s="198"/>
      <c r="CZ53" s="198"/>
      <c r="DA53" s="198"/>
      <c r="DB53" s="198"/>
      <c r="DC53" s="198"/>
      <c r="DD53" s="198"/>
      <c r="DE53" s="198"/>
      <c r="DF53" s="198"/>
      <c r="DG53" s="198"/>
      <c r="DH53" s="198"/>
      <c r="DI53" s="198"/>
      <c r="DJ53" s="198"/>
      <c r="DK53" s="198"/>
      <c r="DL53" s="198"/>
      <c r="DM53" s="198"/>
      <c r="DN53" s="198"/>
      <c r="DO53" s="198"/>
      <c r="DP53" s="198"/>
      <c r="DQ53" s="198"/>
      <c r="DR53" s="198"/>
      <c r="DS53" s="198"/>
      <c r="DT53" s="198"/>
      <c r="DU53" s="198"/>
      <c r="DV53" s="198"/>
      <c r="DW53" s="198"/>
      <c r="DX53" s="198"/>
      <c r="DY53" s="198"/>
      <c r="DZ53" s="198"/>
      <c r="EA53" s="198"/>
      <c r="EB53" s="198"/>
      <c r="EC53" s="198"/>
      <c r="ED53" s="198"/>
      <c r="EE53" s="198"/>
      <c r="EF53" s="198"/>
      <c r="EG53" s="198"/>
      <c r="EH53" s="198"/>
      <c r="EI53" s="198"/>
      <c r="EJ53" s="198"/>
      <c r="EK53" s="198"/>
      <c r="EL53" s="198"/>
      <c r="EM53" s="198"/>
      <c r="EN53" s="198"/>
      <c r="EO53" s="198"/>
      <c r="EP53" s="198"/>
      <c r="EQ53" s="198"/>
      <c r="ER53" s="198"/>
      <c r="ES53" s="198"/>
      <c r="ET53" s="198"/>
      <c r="EU53" s="198"/>
      <c r="EV53" s="198"/>
      <c r="EW53" s="198"/>
      <c r="EX53" s="198"/>
      <c r="EY53" s="198"/>
      <c r="EZ53" s="198"/>
      <c r="FA53" s="198"/>
      <c r="FB53" s="198"/>
      <c r="FC53" s="198"/>
      <c r="FD53" s="198"/>
      <c r="FE53" s="198"/>
      <c r="FF53" s="198"/>
      <c r="FG53" s="198"/>
      <c r="FH53" s="198"/>
      <c r="FI53" s="198"/>
      <c r="FJ53" s="198"/>
      <c r="FK53" s="198"/>
      <c r="FL53" s="198"/>
      <c r="FM53" s="198"/>
      <c r="FN53" s="198"/>
      <c r="FO53" s="198"/>
      <c r="FP53" s="198"/>
      <c r="FQ53" s="198"/>
      <c r="FR53" s="198"/>
      <c r="FS53" s="198"/>
      <c r="FT53" s="198"/>
      <c r="FU53" s="198"/>
      <c r="FV53" s="198"/>
      <c r="FW53" s="198"/>
      <c r="FX53" s="198"/>
      <c r="FY53" s="198"/>
      <c r="FZ53" s="198"/>
      <c r="GA53" s="198"/>
      <c r="GB53" s="198"/>
      <c r="GC53" s="198"/>
    </row>
    <row r="54" spans="1:200" x14ac:dyDescent="0.35">
      <c r="F54" s="198"/>
      <c r="G54" s="198"/>
      <c r="H54" s="198"/>
      <c r="I54" s="198"/>
      <c r="J54" s="198"/>
      <c r="K54" s="198"/>
      <c r="L54" s="198"/>
      <c r="M54" s="198"/>
      <c r="N54" s="198"/>
      <c r="O54" s="198"/>
      <c r="P54" s="198"/>
      <c r="Q54" s="198"/>
      <c r="R54" s="198"/>
      <c r="S54" s="198"/>
      <c r="T54" s="198"/>
      <c r="U54" s="198"/>
      <c r="V54" s="198"/>
      <c r="W54" s="198"/>
      <c r="X54" s="198"/>
      <c r="Y54" s="198"/>
      <c r="Z54" s="198"/>
      <c r="AA54" s="198"/>
      <c r="AB54" s="198"/>
      <c r="AC54" s="198"/>
      <c r="AD54" s="198"/>
      <c r="AE54" s="198"/>
      <c r="AF54" s="198"/>
      <c r="AG54" s="198"/>
      <c r="AH54" s="198"/>
      <c r="AI54" s="198"/>
      <c r="AJ54" s="198"/>
      <c r="AK54" s="198"/>
      <c r="AL54" s="198"/>
      <c r="AM54" s="198"/>
      <c r="AN54" s="198"/>
      <c r="AO54" s="198"/>
      <c r="AP54" s="198"/>
      <c r="AQ54" s="198"/>
      <c r="AR54" s="198"/>
      <c r="AS54" s="198"/>
      <c r="AT54" s="198"/>
      <c r="AU54" s="198"/>
      <c r="AV54" s="198"/>
      <c r="AW54" s="198"/>
      <c r="AX54" s="198"/>
      <c r="AY54" s="198"/>
      <c r="AZ54" s="198"/>
      <c r="BA54" s="198"/>
      <c r="BB54" s="198"/>
      <c r="BC54" s="198"/>
      <c r="BD54" s="198"/>
      <c r="BE54" s="198"/>
      <c r="BF54" s="198"/>
      <c r="BG54" s="198"/>
      <c r="BH54" s="198"/>
      <c r="BI54" s="198"/>
      <c r="BJ54" s="198"/>
      <c r="BK54" s="198"/>
      <c r="BL54" s="198"/>
      <c r="BM54" s="198"/>
      <c r="BN54" s="198"/>
      <c r="BO54" s="198"/>
      <c r="BP54" s="198"/>
      <c r="BQ54" s="198"/>
      <c r="BR54" s="198"/>
      <c r="BS54" s="198"/>
      <c r="BT54" s="198"/>
      <c r="BU54" s="198"/>
      <c r="BV54" s="198"/>
      <c r="BW54" s="198"/>
      <c r="BX54" s="198"/>
      <c r="BY54" s="198"/>
      <c r="BZ54" s="198"/>
      <c r="CA54" s="198"/>
      <c r="CB54" s="198"/>
      <c r="CC54" s="198"/>
      <c r="CD54" s="198"/>
      <c r="CE54" s="198"/>
      <c r="CF54" s="198"/>
      <c r="CG54" s="198"/>
      <c r="CH54" s="198"/>
      <c r="CI54" s="198"/>
      <c r="CJ54" s="198"/>
      <c r="CK54" s="198"/>
      <c r="CL54" s="198"/>
      <c r="CM54" s="198"/>
      <c r="CN54" s="198"/>
      <c r="CO54" s="198"/>
      <c r="CP54" s="198"/>
      <c r="CQ54" s="198"/>
      <c r="CR54" s="198"/>
      <c r="CS54" s="198"/>
      <c r="CT54" s="198"/>
      <c r="CU54" s="198"/>
      <c r="CV54" s="198"/>
      <c r="CW54" s="198"/>
      <c r="CX54" s="198"/>
      <c r="CY54" s="198"/>
      <c r="CZ54" s="198"/>
      <c r="DA54" s="198"/>
      <c r="DB54" s="198"/>
      <c r="DC54" s="198"/>
      <c r="DD54" s="198"/>
      <c r="DE54" s="198"/>
      <c r="DF54" s="198"/>
      <c r="DG54" s="198"/>
      <c r="DH54" s="198"/>
      <c r="DI54" s="198"/>
      <c r="DJ54" s="198"/>
      <c r="DK54" s="198"/>
      <c r="DL54" s="198"/>
      <c r="DM54" s="198"/>
      <c r="DN54" s="198"/>
      <c r="DO54" s="198"/>
      <c r="DP54" s="198"/>
      <c r="DQ54" s="198"/>
      <c r="DR54" s="198"/>
      <c r="DS54" s="198"/>
      <c r="DT54" s="198"/>
      <c r="DU54" s="198"/>
      <c r="DV54" s="198"/>
      <c r="DW54" s="198"/>
      <c r="DX54" s="198"/>
      <c r="DY54" s="198"/>
      <c r="DZ54" s="198"/>
      <c r="EA54" s="198"/>
      <c r="EB54" s="198"/>
      <c r="EC54" s="198"/>
      <c r="ED54" s="198"/>
      <c r="EE54" s="198"/>
      <c r="EF54" s="198"/>
      <c r="EG54" s="198"/>
      <c r="EH54" s="198"/>
      <c r="EI54" s="198"/>
      <c r="EJ54" s="198"/>
      <c r="EK54" s="198"/>
      <c r="EL54" s="198"/>
      <c r="EM54" s="198"/>
      <c r="EN54" s="198"/>
      <c r="EO54" s="198"/>
      <c r="EP54" s="198"/>
      <c r="EQ54" s="198"/>
      <c r="ER54" s="198"/>
      <c r="ES54" s="198"/>
      <c r="ET54" s="198"/>
      <c r="EU54" s="198"/>
      <c r="EV54" s="198"/>
      <c r="EW54" s="198"/>
      <c r="EX54" s="198"/>
      <c r="EY54" s="198"/>
      <c r="EZ54" s="198"/>
      <c r="FA54" s="198"/>
      <c r="FB54" s="198"/>
      <c r="FC54" s="198"/>
      <c r="FD54" s="198"/>
      <c r="FE54" s="198"/>
      <c r="FF54" s="198"/>
      <c r="FG54" s="198"/>
      <c r="FH54" s="198"/>
      <c r="FI54" s="198"/>
      <c r="FJ54" s="198"/>
      <c r="FK54" s="198"/>
      <c r="FL54" s="198"/>
      <c r="FM54" s="198"/>
      <c r="FN54" s="198"/>
      <c r="FO54" s="198"/>
      <c r="FP54" s="198"/>
      <c r="FQ54" s="198"/>
      <c r="FR54" s="198"/>
      <c r="FS54" s="198"/>
      <c r="FT54" s="198"/>
      <c r="FU54" s="198"/>
      <c r="FV54" s="198"/>
      <c r="FW54" s="198"/>
      <c r="FX54" s="198"/>
      <c r="FY54" s="198"/>
      <c r="FZ54" s="198"/>
      <c r="GA54" s="198"/>
      <c r="GB54" s="198"/>
      <c r="GC54" s="198"/>
    </row>
    <row r="55" spans="1:200" x14ac:dyDescent="0.35">
      <c r="F55" s="198"/>
      <c r="G55" s="198"/>
      <c r="H55" s="198"/>
      <c r="I55" s="198"/>
      <c r="J55" s="198"/>
      <c r="K55" s="198"/>
      <c r="L55" s="198"/>
      <c r="M55" s="198"/>
      <c r="N55" s="198"/>
      <c r="O55" s="198"/>
      <c r="P55" s="198"/>
      <c r="Q55" s="198"/>
      <c r="R55" s="198"/>
      <c r="S55" s="198"/>
      <c r="T55" s="198"/>
      <c r="U55" s="198"/>
      <c r="V55" s="198"/>
      <c r="W55" s="198"/>
      <c r="X55" s="198"/>
      <c r="Y55" s="198"/>
      <c r="Z55" s="198"/>
      <c r="AA55" s="198"/>
      <c r="AB55" s="198"/>
      <c r="AC55" s="198"/>
      <c r="AD55" s="198"/>
      <c r="AE55" s="198"/>
      <c r="AF55" s="198"/>
      <c r="AG55" s="198"/>
      <c r="AH55" s="198"/>
      <c r="AI55" s="198"/>
      <c r="AJ55" s="198"/>
      <c r="AK55" s="198"/>
      <c r="AL55" s="198"/>
      <c r="AM55" s="198"/>
      <c r="AN55" s="198"/>
      <c r="AO55" s="198"/>
      <c r="AP55" s="198"/>
      <c r="AQ55" s="198"/>
      <c r="AR55" s="198"/>
      <c r="AS55" s="198"/>
      <c r="AT55" s="198"/>
      <c r="AU55" s="198"/>
      <c r="AV55" s="198"/>
      <c r="AW55" s="198"/>
      <c r="AX55" s="198"/>
      <c r="AY55" s="198"/>
      <c r="AZ55" s="198"/>
      <c r="BA55" s="198"/>
      <c r="BB55" s="198"/>
      <c r="BC55" s="198"/>
      <c r="BD55" s="198"/>
      <c r="BE55" s="198"/>
      <c r="BF55" s="198"/>
      <c r="BG55" s="198"/>
      <c r="BH55" s="198"/>
      <c r="BI55" s="198"/>
      <c r="BJ55" s="198"/>
      <c r="BK55" s="198"/>
      <c r="BL55" s="198"/>
      <c r="BM55" s="198"/>
      <c r="BN55" s="198"/>
      <c r="BO55" s="198"/>
      <c r="BP55" s="198"/>
      <c r="BQ55" s="198"/>
      <c r="BR55" s="198"/>
      <c r="BS55" s="198"/>
      <c r="BT55" s="198"/>
      <c r="BU55" s="198"/>
      <c r="BV55" s="198"/>
      <c r="BW55" s="198"/>
      <c r="BX55" s="198"/>
      <c r="BY55" s="198"/>
      <c r="BZ55" s="198"/>
      <c r="CA55" s="198"/>
      <c r="CB55" s="198"/>
      <c r="CC55" s="198"/>
      <c r="CD55" s="198"/>
      <c r="CE55" s="198"/>
      <c r="CF55" s="198"/>
      <c r="CG55" s="198"/>
      <c r="CH55" s="198"/>
      <c r="CI55" s="198"/>
      <c r="CJ55" s="198"/>
      <c r="CK55" s="198"/>
      <c r="CL55" s="198"/>
      <c r="CM55" s="198"/>
      <c r="CN55" s="198"/>
      <c r="CO55" s="198"/>
      <c r="CP55" s="198"/>
      <c r="CQ55" s="198"/>
      <c r="CR55" s="198"/>
      <c r="CS55" s="198"/>
      <c r="CT55" s="198"/>
      <c r="CU55" s="198"/>
      <c r="CV55" s="198"/>
      <c r="CW55" s="198"/>
      <c r="CX55" s="198"/>
      <c r="CY55" s="198"/>
      <c r="CZ55" s="198"/>
      <c r="DA55" s="198"/>
      <c r="DB55" s="198"/>
      <c r="DC55" s="198"/>
      <c r="DD55" s="198"/>
      <c r="DE55" s="198"/>
      <c r="DF55" s="198"/>
      <c r="DG55" s="198"/>
      <c r="DH55" s="198"/>
      <c r="DI55" s="198"/>
      <c r="DJ55" s="198"/>
      <c r="DK55" s="198"/>
      <c r="DL55" s="198"/>
      <c r="DM55" s="198"/>
      <c r="DN55" s="198"/>
      <c r="DO55" s="198"/>
      <c r="DP55" s="198"/>
      <c r="DQ55" s="198"/>
      <c r="DR55" s="198"/>
      <c r="DS55" s="198"/>
      <c r="DT55" s="198"/>
      <c r="DU55" s="198"/>
      <c r="DV55" s="198"/>
      <c r="DW55" s="198"/>
      <c r="DX55" s="198"/>
      <c r="DY55" s="198"/>
      <c r="DZ55" s="198"/>
      <c r="EA55" s="198"/>
      <c r="EB55" s="198"/>
      <c r="EC55" s="198"/>
      <c r="ED55" s="198"/>
      <c r="EE55" s="198"/>
      <c r="EF55" s="198"/>
      <c r="EG55" s="198"/>
      <c r="EH55" s="198"/>
      <c r="EI55" s="198"/>
      <c r="EJ55" s="198"/>
      <c r="EK55" s="198"/>
      <c r="EL55" s="198"/>
      <c r="EM55" s="198"/>
      <c r="EN55" s="198"/>
      <c r="EO55" s="198"/>
      <c r="EP55" s="198"/>
      <c r="EQ55" s="198"/>
      <c r="ER55" s="198"/>
      <c r="ES55" s="198"/>
      <c r="ET55" s="198"/>
      <c r="EU55" s="198"/>
      <c r="EV55" s="198"/>
      <c r="EW55" s="198"/>
      <c r="EX55" s="198"/>
      <c r="EY55" s="198"/>
      <c r="EZ55" s="198"/>
      <c r="FA55" s="198"/>
      <c r="FB55" s="198"/>
      <c r="FC55" s="198"/>
      <c r="FD55" s="198"/>
      <c r="FE55" s="198"/>
      <c r="FF55" s="198"/>
      <c r="FG55" s="198"/>
      <c r="FH55" s="198"/>
      <c r="FI55" s="198"/>
      <c r="FJ55" s="198"/>
      <c r="FK55" s="198"/>
      <c r="FL55" s="198"/>
      <c r="FM55" s="198"/>
      <c r="FN55" s="198"/>
      <c r="FO55" s="198"/>
      <c r="FP55" s="198"/>
      <c r="FQ55" s="198"/>
      <c r="FR55" s="198"/>
      <c r="FS55" s="198"/>
      <c r="FT55" s="198"/>
      <c r="FU55" s="198"/>
      <c r="FV55" s="198"/>
      <c r="FW55" s="198"/>
      <c r="FX55" s="198"/>
      <c r="FY55" s="198"/>
      <c r="FZ55" s="198"/>
      <c r="GA55" s="198"/>
      <c r="GB55" s="198"/>
      <c r="GC55" s="198"/>
    </row>
    <row r="56" spans="1:200" x14ac:dyDescent="0.35">
      <c r="F56" s="198"/>
      <c r="G56" s="198"/>
      <c r="H56" s="198"/>
      <c r="I56" s="198"/>
      <c r="J56" s="198"/>
      <c r="K56" s="198"/>
      <c r="L56" s="198"/>
      <c r="M56" s="198"/>
      <c r="N56" s="198"/>
      <c r="O56" s="198"/>
      <c r="P56" s="198"/>
      <c r="Q56" s="198"/>
      <c r="R56" s="198"/>
      <c r="S56" s="198"/>
      <c r="T56" s="198"/>
      <c r="U56" s="198"/>
      <c r="V56" s="198"/>
      <c r="W56" s="198"/>
      <c r="X56" s="198"/>
      <c r="Y56" s="198"/>
      <c r="Z56" s="198"/>
      <c r="AA56" s="198"/>
      <c r="AB56" s="198"/>
      <c r="AC56" s="198"/>
      <c r="AD56" s="198"/>
      <c r="AE56" s="198"/>
      <c r="AF56" s="198"/>
      <c r="AG56" s="198"/>
      <c r="AH56" s="198"/>
      <c r="AI56" s="198"/>
      <c r="AJ56" s="198"/>
      <c r="AK56" s="198"/>
      <c r="AL56" s="198"/>
      <c r="AM56" s="198"/>
      <c r="AN56" s="198"/>
      <c r="AO56" s="198"/>
      <c r="AP56" s="198"/>
      <c r="AQ56" s="198"/>
      <c r="AR56" s="198"/>
      <c r="AS56" s="198"/>
      <c r="AT56" s="198"/>
      <c r="AU56" s="198"/>
      <c r="AV56" s="198"/>
      <c r="AW56" s="198"/>
      <c r="AX56" s="198"/>
      <c r="AY56" s="198"/>
      <c r="AZ56" s="198"/>
      <c r="BA56" s="198"/>
      <c r="BB56" s="198"/>
      <c r="BC56" s="198"/>
      <c r="BD56" s="198"/>
      <c r="BE56" s="198"/>
      <c r="BF56" s="198"/>
      <c r="BG56" s="198"/>
      <c r="BH56" s="198"/>
      <c r="BI56" s="198"/>
      <c r="BJ56" s="198"/>
      <c r="BK56" s="198"/>
      <c r="BL56" s="198"/>
      <c r="BM56" s="198"/>
      <c r="BN56" s="198"/>
      <c r="BO56" s="198"/>
      <c r="BP56" s="198"/>
      <c r="BQ56" s="198"/>
      <c r="BR56" s="198"/>
      <c r="BS56" s="198"/>
      <c r="BT56" s="198"/>
      <c r="BU56" s="198"/>
      <c r="BV56" s="198"/>
      <c r="BW56" s="198"/>
      <c r="BX56" s="198"/>
      <c r="BY56" s="198"/>
      <c r="BZ56" s="198"/>
      <c r="CA56" s="198"/>
      <c r="CB56" s="198"/>
      <c r="CC56" s="198"/>
      <c r="CD56" s="198"/>
      <c r="CE56" s="198"/>
      <c r="CF56" s="198"/>
      <c r="CG56" s="198"/>
      <c r="CH56" s="198"/>
      <c r="CI56" s="198"/>
      <c r="CJ56" s="198"/>
      <c r="CK56" s="198"/>
      <c r="CL56" s="198"/>
      <c r="CM56" s="198"/>
      <c r="CN56" s="198"/>
      <c r="CO56" s="198"/>
      <c r="CP56" s="198"/>
      <c r="CQ56" s="198"/>
      <c r="CR56" s="198"/>
      <c r="CS56" s="198"/>
      <c r="CT56" s="198"/>
      <c r="CU56" s="198"/>
      <c r="CV56" s="198"/>
      <c r="CW56" s="198"/>
      <c r="CX56" s="198"/>
      <c r="CY56" s="198"/>
      <c r="CZ56" s="198"/>
      <c r="DA56" s="198"/>
      <c r="DB56" s="198"/>
      <c r="DC56" s="198"/>
      <c r="DD56" s="198"/>
      <c r="DE56" s="198"/>
      <c r="DF56" s="198"/>
      <c r="DG56" s="198"/>
      <c r="DH56" s="198"/>
      <c r="DI56" s="198"/>
      <c r="DJ56" s="198"/>
      <c r="DK56" s="198"/>
      <c r="DL56" s="198"/>
      <c r="DM56" s="198"/>
      <c r="DN56" s="198"/>
      <c r="DO56" s="198"/>
      <c r="DP56" s="198"/>
      <c r="DQ56" s="198"/>
      <c r="DR56" s="198"/>
      <c r="DS56" s="198"/>
      <c r="DT56" s="198"/>
      <c r="DU56" s="198"/>
      <c r="DV56" s="198"/>
      <c r="DW56" s="198"/>
      <c r="DX56" s="198"/>
      <c r="DY56" s="198"/>
      <c r="DZ56" s="198"/>
      <c r="EA56" s="198"/>
      <c r="EB56" s="198"/>
      <c r="EC56" s="198"/>
      <c r="ED56" s="198"/>
      <c r="EE56" s="198"/>
      <c r="EF56" s="198"/>
      <c r="EG56" s="198"/>
      <c r="EH56" s="198"/>
      <c r="EI56" s="198"/>
      <c r="EJ56" s="198"/>
      <c r="EK56" s="198"/>
      <c r="EL56" s="198"/>
      <c r="EM56" s="198"/>
      <c r="EN56" s="198"/>
      <c r="EO56" s="198"/>
      <c r="EP56" s="198"/>
      <c r="EQ56" s="198"/>
      <c r="ER56" s="198"/>
      <c r="ES56" s="198"/>
      <c r="ET56" s="198"/>
      <c r="EU56" s="198"/>
      <c r="EV56" s="198"/>
      <c r="EW56" s="198"/>
      <c r="EX56" s="198"/>
      <c r="EY56" s="198"/>
      <c r="EZ56" s="198"/>
      <c r="FA56" s="198"/>
      <c r="FB56" s="198"/>
      <c r="FC56" s="198"/>
      <c r="FD56" s="198"/>
      <c r="FE56" s="198"/>
      <c r="FF56" s="198"/>
      <c r="FG56" s="198"/>
      <c r="FH56" s="198"/>
      <c r="FI56" s="198"/>
      <c r="FJ56" s="198"/>
      <c r="FK56" s="198"/>
      <c r="FL56" s="198"/>
      <c r="FM56" s="198"/>
      <c r="FN56" s="198"/>
      <c r="FO56" s="198"/>
      <c r="FP56" s="198"/>
      <c r="FQ56" s="198"/>
      <c r="FR56" s="198"/>
      <c r="FS56" s="198"/>
      <c r="FT56" s="198"/>
      <c r="FU56" s="198"/>
      <c r="FV56" s="198"/>
      <c r="FW56" s="198"/>
      <c r="FX56" s="198"/>
      <c r="FY56" s="198"/>
      <c r="FZ56" s="198"/>
      <c r="GA56" s="198"/>
      <c r="GB56" s="198"/>
      <c r="GC56" s="198"/>
    </row>
    <row r="57" spans="1:200" x14ac:dyDescent="0.35">
      <c r="F57" s="198"/>
      <c r="G57" s="198"/>
      <c r="H57" s="198"/>
      <c r="I57" s="198"/>
      <c r="J57" s="198"/>
      <c r="K57" s="198"/>
      <c r="L57" s="198"/>
      <c r="M57" s="198"/>
      <c r="N57" s="198"/>
      <c r="O57" s="198"/>
      <c r="P57" s="198"/>
      <c r="Q57" s="198"/>
      <c r="R57" s="198"/>
      <c r="S57" s="198"/>
      <c r="T57" s="198"/>
      <c r="U57" s="198"/>
      <c r="V57" s="198"/>
      <c r="W57" s="198"/>
      <c r="X57" s="198"/>
      <c r="Y57" s="198"/>
      <c r="Z57" s="198"/>
      <c r="AA57" s="198"/>
      <c r="AB57" s="198"/>
      <c r="AC57" s="198"/>
      <c r="AD57" s="198"/>
      <c r="AE57" s="198"/>
      <c r="AF57" s="198"/>
      <c r="AG57" s="198"/>
      <c r="AH57" s="198"/>
      <c r="AI57" s="198"/>
      <c r="AJ57" s="198"/>
      <c r="AK57" s="198"/>
      <c r="AL57" s="198"/>
      <c r="AM57" s="198"/>
      <c r="AN57" s="198"/>
      <c r="AO57" s="198"/>
      <c r="AP57" s="198"/>
      <c r="AQ57" s="198"/>
      <c r="AR57" s="198"/>
      <c r="AS57" s="198"/>
      <c r="AT57" s="198"/>
      <c r="AU57" s="198"/>
      <c r="AV57" s="198"/>
      <c r="AW57" s="198"/>
      <c r="AX57" s="198"/>
      <c r="AY57" s="198"/>
      <c r="AZ57" s="198"/>
      <c r="BA57" s="198"/>
      <c r="BB57" s="198"/>
      <c r="BC57" s="198"/>
      <c r="BD57" s="198"/>
      <c r="BE57" s="198"/>
      <c r="BF57" s="198"/>
      <c r="BG57" s="198"/>
      <c r="BH57" s="198"/>
      <c r="BI57" s="198"/>
      <c r="BJ57" s="198"/>
      <c r="BK57" s="198"/>
      <c r="BL57" s="198"/>
      <c r="BM57" s="198"/>
      <c r="BN57" s="198"/>
      <c r="BO57" s="198"/>
      <c r="BP57" s="198"/>
      <c r="BQ57" s="198"/>
      <c r="BR57" s="198"/>
      <c r="BS57" s="198"/>
      <c r="BT57" s="198"/>
      <c r="BU57" s="198"/>
      <c r="BV57" s="198"/>
      <c r="BW57" s="198"/>
      <c r="BX57" s="198"/>
      <c r="BY57" s="198"/>
      <c r="BZ57" s="198"/>
      <c r="CA57" s="198"/>
      <c r="CB57" s="198"/>
      <c r="CC57" s="198"/>
      <c r="CD57" s="198"/>
      <c r="CE57" s="198"/>
      <c r="CF57" s="198"/>
      <c r="CG57" s="198"/>
      <c r="CH57" s="198"/>
      <c r="CI57" s="198"/>
      <c r="CJ57" s="198"/>
      <c r="CK57" s="198"/>
      <c r="CL57" s="198"/>
      <c r="CM57" s="198"/>
      <c r="CN57" s="198"/>
      <c r="CO57" s="198"/>
      <c r="CP57" s="198"/>
      <c r="CQ57" s="198"/>
      <c r="CR57" s="198"/>
      <c r="CS57" s="198"/>
      <c r="CT57" s="198"/>
      <c r="CU57" s="198"/>
      <c r="CV57" s="198"/>
      <c r="CW57" s="198"/>
      <c r="CX57" s="198"/>
      <c r="CY57" s="198"/>
      <c r="CZ57" s="198"/>
      <c r="DA57" s="198"/>
      <c r="DB57" s="198"/>
      <c r="DC57" s="198"/>
      <c r="DD57" s="198"/>
      <c r="DE57" s="198"/>
      <c r="DF57" s="198"/>
      <c r="DG57" s="198"/>
      <c r="DH57" s="198"/>
      <c r="DI57" s="198"/>
      <c r="DJ57" s="198"/>
      <c r="DK57" s="198"/>
      <c r="DL57" s="198"/>
      <c r="DM57" s="198"/>
      <c r="DN57" s="198"/>
      <c r="DO57" s="198"/>
      <c r="DP57" s="198"/>
      <c r="DQ57" s="198"/>
      <c r="DR57" s="198"/>
      <c r="DS57" s="198"/>
      <c r="DT57" s="198"/>
      <c r="DU57" s="198"/>
      <c r="DV57" s="198"/>
      <c r="DW57" s="198"/>
      <c r="DX57" s="198"/>
      <c r="DY57" s="198"/>
      <c r="DZ57" s="198"/>
      <c r="EA57" s="198"/>
      <c r="EB57" s="198"/>
      <c r="EC57" s="198"/>
      <c r="ED57" s="198"/>
      <c r="EE57" s="198"/>
      <c r="EF57" s="198"/>
      <c r="EG57" s="198"/>
      <c r="EH57" s="198"/>
      <c r="EI57" s="198"/>
      <c r="EJ57" s="198"/>
      <c r="EK57" s="198"/>
      <c r="EL57" s="198"/>
      <c r="EM57" s="198"/>
      <c r="EN57" s="198"/>
      <c r="EO57" s="198"/>
      <c r="EP57" s="198"/>
      <c r="EQ57" s="198"/>
      <c r="ER57" s="198"/>
      <c r="ES57" s="198"/>
      <c r="ET57" s="198"/>
      <c r="EU57" s="198"/>
      <c r="EV57" s="198"/>
      <c r="EW57" s="198"/>
      <c r="EX57" s="198"/>
      <c r="EY57" s="198"/>
      <c r="EZ57" s="198"/>
      <c r="FA57" s="198"/>
      <c r="FB57" s="198"/>
      <c r="FC57" s="198"/>
      <c r="FD57" s="198"/>
      <c r="FE57" s="198"/>
      <c r="FF57" s="198"/>
      <c r="FG57" s="198"/>
      <c r="FH57" s="198"/>
      <c r="FI57" s="198"/>
      <c r="FJ57" s="198"/>
      <c r="FK57" s="198"/>
      <c r="FL57" s="198"/>
      <c r="FM57" s="198"/>
      <c r="FN57" s="198"/>
      <c r="FO57" s="198"/>
      <c r="FP57" s="198"/>
      <c r="FQ57" s="198"/>
      <c r="FR57" s="198"/>
      <c r="FS57" s="198"/>
      <c r="FT57" s="198"/>
      <c r="FU57" s="198"/>
      <c r="FV57" s="198"/>
      <c r="FW57" s="198"/>
      <c r="FX57" s="198"/>
      <c r="FY57" s="198"/>
      <c r="FZ57" s="198"/>
      <c r="GA57" s="198"/>
      <c r="GB57" s="198"/>
      <c r="GC57" s="198"/>
    </row>
    <row r="58" spans="1:200" x14ac:dyDescent="0.35">
      <c r="F58" s="198"/>
      <c r="G58" s="198"/>
      <c r="H58" s="198"/>
      <c r="I58" s="198"/>
      <c r="J58" s="198"/>
      <c r="K58" s="198"/>
      <c r="L58" s="198"/>
      <c r="M58" s="198"/>
      <c r="N58" s="198"/>
      <c r="O58" s="198"/>
      <c r="P58" s="198"/>
      <c r="Q58" s="198"/>
      <c r="R58" s="198"/>
      <c r="S58" s="198"/>
      <c r="T58" s="198"/>
      <c r="U58" s="198"/>
      <c r="V58" s="198"/>
      <c r="W58" s="198"/>
      <c r="X58" s="198"/>
      <c r="Y58" s="198"/>
      <c r="Z58" s="198"/>
      <c r="AA58" s="198"/>
      <c r="AB58" s="198"/>
      <c r="AC58" s="198"/>
      <c r="AD58" s="198"/>
      <c r="AE58" s="198"/>
      <c r="AF58" s="198"/>
      <c r="AG58" s="198"/>
      <c r="AH58" s="198"/>
      <c r="AI58" s="198"/>
      <c r="AJ58" s="198"/>
      <c r="AK58" s="198"/>
      <c r="AL58" s="198"/>
      <c r="AM58" s="198"/>
      <c r="AN58" s="198"/>
      <c r="AO58" s="198"/>
      <c r="AP58" s="198"/>
      <c r="AQ58" s="198"/>
      <c r="AR58" s="198"/>
      <c r="AS58" s="198"/>
      <c r="AT58" s="198"/>
      <c r="AU58" s="198"/>
      <c r="AV58" s="198"/>
      <c r="AW58" s="198"/>
      <c r="AX58" s="198"/>
      <c r="AY58" s="198"/>
      <c r="AZ58" s="198"/>
      <c r="BA58" s="198"/>
      <c r="BB58" s="198"/>
      <c r="BC58" s="198"/>
      <c r="BD58" s="198"/>
      <c r="BE58" s="198"/>
      <c r="BF58" s="198"/>
      <c r="BG58" s="198"/>
      <c r="BH58" s="198"/>
      <c r="BI58" s="198"/>
      <c r="BJ58" s="198"/>
      <c r="BK58" s="198"/>
      <c r="BL58" s="198"/>
      <c r="BM58" s="198"/>
      <c r="BN58" s="198"/>
      <c r="BO58" s="198"/>
      <c r="BP58" s="198"/>
      <c r="BQ58" s="198"/>
      <c r="BR58" s="198"/>
      <c r="BS58" s="198"/>
      <c r="BT58" s="198"/>
      <c r="BU58" s="198"/>
      <c r="BV58" s="198"/>
      <c r="BW58" s="198"/>
      <c r="BX58" s="198"/>
      <c r="BY58" s="198"/>
      <c r="BZ58" s="198"/>
      <c r="CA58" s="198"/>
      <c r="CB58" s="198"/>
      <c r="CC58" s="198"/>
      <c r="CD58" s="198"/>
      <c r="CE58" s="198"/>
      <c r="CF58" s="198"/>
      <c r="CG58" s="198"/>
      <c r="CH58" s="198"/>
      <c r="CI58" s="198"/>
      <c r="CJ58" s="198"/>
      <c r="CK58" s="198"/>
      <c r="CL58" s="198"/>
      <c r="CM58" s="198"/>
      <c r="CN58" s="198"/>
      <c r="CO58" s="198"/>
      <c r="CP58" s="198"/>
      <c r="CQ58" s="198"/>
      <c r="CR58" s="198"/>
      <c r="CS58" s="198"/>
      <c r="CT58" s="198"/>
      <c r="CU58" s="198"/>
      <c r="CV58" s="198"/>
      <c r="CW58" s="198"/>
      <c r="CX58" s="198"/>
      <c r="CY58" s="198"/>
      <c r="CZ58" s="198"/>
      <c r="DA58" s="198"/>
      <c r="DB58" s="198"/>
      <c r="DC58" s="198"/>
      <c r="DD58" s="198"/>
      <c r="DE58" s="198"/>
      <c r="DF58" s="198"/>
      <c r="DG58" s="198"/>
      <c r="DH58" s="198"/>
      <c r="DI58" s="198"/>
      <c r="DJ58" s="198"/>
      <c r="DK58" s="198"/>
      <c r="DL58" s="198"/>
      <c r="DM58" s="198"/>
      <c r="DN58" s="198"/>
      <c r="DO58" s="198"/>
      <c r="DP58" s="198"/>
      <c r="DQ58" s="198"/>
      <c r="DR58" s="198"/>
      <c r="DS58" s="198"/>
      <c r="DT58" s="198"/>
      <c r="DU58" s="198"/>
      <c r="DV58" s="198"/>
      <c r="DW58" s="198"/>
      <c r="DX58" s="198"/>
      <c r="DY58" s="198"/>
      <c r="DZ58" s="198"/>
      <c r="EA58" s="198"/>
      <c r="EB58" s="198"/>
      <c r="EC58" s="198"/>
      <c r="ED58" s="198"/>
      <c r="EE58" s="198"/>
      <c r="EF58" s="198"/>
      <c r="EG58" s="198"/>
      <c r="EH58" s="198"/>
      <c r="EI58" s="198"/>
      <c r="EJ58" s="198"/>
      <c r="EK58" s="198"/>
      <c r="EL58" s="198"/>
      <c r="EM58" s="198"/>
      <c r="EN58" s="198"/>
      <c r="EO58" s="198"/>
      <c r="EP58" s="198"/>
      <c r="EQ58" s="198"/>
      <c r="ER58" s="198"/>
      <c r="ES58" s="198"/>
      <c r="ET58" s="198"/>
      <c r="EU58" s="198"/>
      <c r="EV58" s="198"/>
      <c r="EW58" s="198"/>
      <c r="EX58" s="198"/>
      <c r="EY58" s="198"/>
      <c r="EZ58" s="198"/>
      <c r="FA58" s="198"/>
      <c r="FB58" s="198"/>
      <c r="FC58" s="198"/>
      <c r="FD58" s="198"/>
      <c r="FE58" s="198"/>
      <c r="FF58" s="198"/>
      <c r="FG58" s="198"/>
      <c r="FH58" s="198"/>
      <c r="FI58" s="198"/>
      <c r="FJ58" s="198"/>
      <c r="FK58" s="198"/>
      <c r="FL58" s="198"/>
      <c r="FM58" s="198"/>
      <c r="FN58" s="198"/>
      <c r="FO58" s="198"/>
      <c r="FP58" s="198"/>
      <c r="FQ58" s="198"/>
      <c r="FR58" s="198"/>
      <c r="FS58" s="198"/>
      <c r="FT58" s="198"/>
      <c r="FU58" s="198"/>
      <c r="FV58" s="198"/>
      <c r="FW58" s="198"/>
      <c r="FX58" s="198"/>
      <c r="FY58" s="198"/>
      <c r="FZ58" s="198"/>
      <c r="GA58" s="198"/>
      <c r="GB58" s="198"/>
      <c r="GC58" s="198"/>
    </row>
    <row r="59" spans="1:200" x14ac:dyDescent="0.35">
      <c r="F59" s="198"/>
      <c r="G59" s="198"/>
      <c r="H59" s="198"/>
      <c r="I59" s="198"/>
      <c r="J59" s="198"/>
      <c r="K59" s="198"/>
      <c r="L59" s="198"/>
      <c r="M59" s="198"/>
      <c r="N59" s="198"/>
      <c r="O59" s="198"/>
      <c r="P59" s="198"/>
      <c r="Q59" s="198"/>
      <c r="R59" s="198"/>
      <c r="S59" s="198"/>
      <c r="T59" s="198"/>
      <c r="U59" s="198"/>
      <c r="V59" s="198"/>
      <c r="W59" s="198"/>
      <c r="X59" s="198"/>
      <c r="Y59" s="198"/>
      <c r="Z59" s="198"/>
      <c r="AA59" s="198"/>
      <c r="AB59" s="198"/>
      <c r="AC59" s="198"/>
      <c r="AD59" s="198"/>
      <c r="AE59" s="198"/>
      <c r="AF59" s="198"/>
      <c r="AG59" s="198"/>
      <c r="AH59" s="198"/>
      <c r="AI59" s="198"/>
      <c r="AJ59" s="198"/>
      <c r="AK59" s="198"/>
      <c r="AL59" s="198"/>
      <c r="AM59" s="198"/>
      <c r="AN59" s="198"/>
      <c r="AO59" s="198"/>
      <c r="AP59" s="198"/>
      <c r="AQ59" s="198"/>
      <c r="AR59" s="198"/>
      <c r="AS59" s="198"/>
      <c r="AT59" s="198"/>
      <c r="AU59" s="198"/>
      <c r="AV59" s="198"/>
      <c r="AW59" s="198"/>
      <c r="AX59" s="198"/>
      <c r="AY59" s="198"/>
      <c r="AZ59" s="198"/>
      <c r="BA59" s="198"/>
      <c r="BB59" s="198"/>
      <c r="BC59" s="198"/>
      <c r="BD59" s="198"/>
      <c r="BE59" s="198"/>
      <c r="BF59" s="198"/>
      <c r="BG59" s="198"/>
      <c r="BH59" s="198"/>
      <c r="BI59" s="198"/>
      <c r="BJ59" s="198"/>
      <c r="BK59" s="198"/>
      <c r="BL59" s="198"/>
      <c r="BM59" s="198"/>
      <c r="BN59" s="198"/>
      <c r="BO59" s="198"/>
      <c r="BP59" s="198"/>
      <c r="BQ59" s="198"/>
      <c r="BR59" s="198"/>
      <c r="BS59" s="198"/>
      <c r="BT59" s="198"/>
      <c r="BU59" s="198"/>
      <c r="BV59" s="198"/>
      <c r="BW59" s="198"/>
      <c r="BX59" s="198"/>
      <c r="BY59" s="198"/>
      <c r="BZ59" s="198"/>
      <c r="CA59" s="198"/>
      <c r="CB59" s="198"/>
      <c r="CC59" s="198"/>
      <c r="CD59" s="198"/>
      <c r="CE59" s="198"/>
      <c r="CF59" s="198"/>
      <c r="CG59" s="198"/>
      <c r="CH59" s="198"/>
      <c r="CI59" s="198"/>
      <c r="CJ59" s="198"/>
      <c r="CK59" s="198"/>
      <c r="CL59" s="198"/>
      <c r="CM59" s="198"/>
      <c r="CN59" s="198"/>
      <c r="CO59" s="198"/>
      <c r="CP59" s="198"/>
      <c r="CQ59" s="198"/>
      <c r="CR59" s="198"/>
      <c r="CS59" s="198"/>
      <c r="CT59" s="198"/>
      <c r="CU59" s="198"/>
      <c r="CV59" s="198"/>
      <c r="CW59" s="198"/>
      <c r="CX59" s="198"/>
      <c r="CY59" s="198"/>
      <c r="CZ59" s="198"/>
      <c r="DA59" s="198"/>
      <c r="DB59" s="198"/>
      <c r="DC59" s="198"/>
      <c r="DD59" s="198"/>
      <c r="DE59" s="198"/>
      <c r="DF59" s="198"/>
      <c r="DG59" s="198"/>
      <c r="DH59" s="198"/>
      <c r="DI59" s="198"/>
      <c r="DJ59" s="198"/>
      <c r="DK59" s="198"/>
      <c r="DL59" s="198"/>
      <c r="DM59" s="198"/>
      <c r="DN59" s="198"/>
      <c r="DO59" s="198"/>
      <c r="DP59" s="198"/>
      <c r="DQ59" s="198"/>
      <c r="DR59" s="198"/>
      <c r="DS59" s="198"/>
      <c r="DT59" s="198"/>
      <c r="DU59" s="198"/>
      <c r="DV59" s="198"/>
      <c r="DW59" s="198"/>
      <c r="DX59" s="198"/>
      <c r="DY59" s="198"/>
      <c r="DZ59" s="198"/>
      <c r="EA59" s="198"/>
      <c r="EB59" s="198"/>
      <c r="EC59" s="198"/>
      <c r="ED59" s="198"/>
      <c r="EE59" s="198"/>
      <c r="EF59" s="198"/>
      <c r="EG59" s="198"/>
      <c r="EH59" s="198"/>
      <c r="EI59" s="198"/>
      <c r="EJ59" s="198"/>
      <c r="EK59" s="198"/>
      <c r="EL59" s="198"/>
      <c r="EM59" s="198"/>
      <c r="EN59" s="198"/>
      <c r="EO59" s="198"/>
      <c r="EP59" s="198"/>
      <c r="EQ59" s="198"/>
      <c r="ER59" s="198"/>
      <c r="ES59" s="198"/>
      <c r="ET59" s="198"/>
      <c r="EU59" s="198"/>
      <c r="EV59" s="198"/>
      <c r="EW59" s="198"/>
      <c r="EX59" s="198"/>
      <c r="EY59" s="198"/>
      <c r="EZ59" s="198"/>
      <c r="FA59" s="198"/>
      <c r="FB59" s="198"/>
      <c r="FC59" s="198"/>
      <c r="FD59" s="198"/>
      <c r="FE59" s="198"/>
      <c r="FF59" s="198"/>
      <c r="FG59" s="198"/>
      <c r="FH59" s="198"/>
      <c r="FI59" s="198"/>
      <c r="FJ59" s="198"/>
      <c r="FK59" s="198"/>
      <c r="FL59" s="198"/>
      <c r="FM59" s="198"/>
      <c r="FN59" s="198"/>
      <c r="FO59" s="198"/>
      <c r="FP59" s="198"/>
      <c r="FQ59" s="198"/>
      <c r="FR59" s="198"/>
      <c r="FS59" s="198"/>
      <c r="FT59" s="198"/>
      <c r="FU59" s="198"/>
      <c r="FV59" s="198"/>
      <c r="FW59" s="198"/>
      <c r="FX59" s="198"/>
      <c r="FY59" s="198"/>
      <c r="FZ59" s="198"/>
      <c r="GA59" s="198"/>
      <c r="GB59" s="198"/>
      <c r="GC59" s="198"/>
    </row>
    <row r="60" spans="1:200" x14ac:dyDescent="0.35">
      <c r="F60" s="198"/>
      <c r="G60" s="198"/>
      <c r="H60" s="198"/>
      <c r="I60" s="198"/>
      <c r="J60" s="198"/>
      <c r="K60" s="198"/>
      <c r="L60" s="198"/>
      <c r="M60" s="198"/>
      <c r="N60" s="198"/>
      <c r="O60" s="198"/>
      <c r="P60" s="198"/>
      <c r="Q60" s="198"/>
      <c r="R60" s="198"/>
      <c r="S60" s="198"/>
      <c r="T60" s="198"/>
      <c r="U60" s="198"/>
      <c r="V60" s="198"/>
      <c r="W60" s="198"/>
      <c r="X60" s="198"/>
      <c r="Y60" s="198"/>
      <c r="Z60" s="198"/>
      <c r="AA60" s="198"/>
      <c r="AB60" s="198"/>
      <c r="AC60" s="198"/>
      <c r="AD60" s="198"/>
      <c r="AE60" s="198"/>
      <c r="AF60" s="198"/>
      <c r="AG60" s="198"/>
      <c r="AH60" s="198"/>
      <c r="AI60" s="198"/>
      <c r="AJ60" s="198"/>
      <c r="AK60" s="198"/>
      <c r="AL60" s="198"/>
      <c r="AM60" s="198"/>
      <c r="AN60" s="198"/>
      <c r="AO60" s="198"/>
      <c r="AP60" s="198"/>
      <c r="AQ60" s="198"/>
      <c r="AR60" s="198"/>
      <c r="AS60" s="198"/>
      <c r="AT60" s="198"/>
      <c r="AU60" s="198"/>
      <c r="AV60" s="198"/>
      <c r="AW60" s="198"/>
      <c r="AX60" s="198"/>
      <c r="AY60" s="198"/>
      <c r="AZ60" s="198"/>
      <c r="BA60" s="198"/>
      <c r="BB60" s="198"/>
      <c r="BC60" s="198"/>
      <c r="BD60" s="198"/>
      <c r="BE60" s="198"/>
      <c r="BF60" s="198"/>
      <c r="BG60" s="198"/>
      <c r="BH60" s="198"/>
      <c r="BI60" s="198"/>
      <c r="BJ60" s="198"/>
      <c r="BK60" s="198"/>
      <c r="BL60" s="198"/>
      <c r="BM60" s="198"/>
      <c r="BN60" s="198"/>
      <c r="BO60" s="198"/>
      <c r="BP60" s="198"/>
      <c r="BQ60" s="198"/>
      <c r="BR60" s="198"/>
      <c r="BS60" s="198"/>
      <c r="BT60" s="198"/>
      <c r="BU60" s="198"/>
      <c r="BV60" s="198"/>
      <c r="BW60" s="198"/>
      <c r="BX60" s="198"/>
      <c r="BY60" s="198"/>
      <c r="BZ60" s="198"/>
      <c r="CA60" s="198"/>
      <c r="CB60" s="198"/>
      <c r="CC60" s="198"/>
      <c r="CD60" s="198"/>
      <c r="CE60" s="198"/>
      <c r="CF60" s="198"/>
      <c r="CG60" s="198"/>
      <c r="CH60" s="198"/>
      <c r="CI60" s="198"/>
      <c r="CJ60" s="198"/>
      <c r="CK60" s="198"/>
      <c r="CL60" s="198"/>
      <c r="CM60" s="198"/>
      <c r="CN60" s="198"/>
      <c r="CO60" s="198"/>
      <c r="CP60" s="198"/>
      <c r="CQ60" s="198"/>
      <c r="CR60" s="198"/>
      <c r="CS60" s="198"/>
      <c r="CT60" s="198"/>
      <c r="CU60" s="198"/>
      <c r="CV60" s="198"/>
      <c r="CW60" s="198"/>
      <c r="CX60" s="198"/>
      <c r="CY60" s="198"/>
      <c r="CZ60" s="198"/>
      <c r="DA60" s="198"/>
      <c r="DB60" s="198"/>
      <c r="DC60" s="198"/>
      <c r="DD60" s="198"/>
      <c r="DE60" s="198"/>
      <c r="DF60" s="198"/>
      <c r="DG60" s="198"/>
      <c r="DH60" s="198"/>
      <c r="DI60" s="198"/>
      <c r="DJ60" s="198"/>
      <c r="DK60" s="198"/>
      <c r="DL60" s="198"/>
      <c r="DM60" s="198"/>
      <c r="DN60" s="198"/>
      <c r="DO60" s="198"/>
      <c r="DP60" s="198"/>
      <c r="DQ60" s="198"/>
      <c r="DR60" s="198"/>
      <c r="DS60" s="198"/>
      <c r="DT60" s="198"/>
      <c r="DU60" s="198"/>
      <c r="DV60" s="198"/>
      <c r="DW60" s="198"/>
      <c r="DX60" s="198"/>
      <c r="DY60" s="198"/>
      <c r="DZ60" s="198"/>
      <c r="EA60" s="198"/>
      <c r="EB60" s="198"/>
      <c r="EC60" s="198"/>
      <c r="ED60" s="198"/>
      <c r="EE60" s="198"/>
      <c r="EF60" s="198"/>
      <c r="EG60" s="198"/>
      <c r="EH60" s="198"/>
      <c r="EI60" s="198"/>
      <c r="EJ60" s="198"/>
      <c r="EK60" s="198"/>
      <c r="EL60" s="198"/>
      <c r="EM60" s="198"/>
      <c r="EN60" s="198"/>
      <c r="EO60" s="198"/>
      <c r="EP60" s="198"/>
      <c r="EQ60" s="198"/>
      <c r="ER60" s="198"/>
      <c r="ES60" s="198"/>
      <c r="ET60" s="198"/>
      <c r="EU60" s="198"/>
      <c r="EV60" s="198"/>
      <c r="EW60" s="198"/>
      <c r="EX60" s="198"/>
      <c r="EY60" s="198"/>
      <c r="EZ60" s="198"/>
      <c r="FA60" s="198"/>
      <c r="FB60" s="198"/>
      <c r="FC60" s="198"/>
      <c r="FD60" s="198"/>
      <c r="FE60" s="198"/>
      <c r="FF60" s="198"/>
      <c r="FG60" s="198"/>
      <c r="FH60" s="198"/>
      <c r="FI60" s="198"/>
      <c r="FJ60" s="198"/>
      <c r="FK60" s="198"/>
      <c r="FL60" s="198"/>
      <c r="FM60" s="198"/>
      <c r="FN60" s="198"/>
      <c r="FO60" s="198"/>
      <c r="FP60" s="198"/>
      <c r="FQ60" s="198"/>
      <c r="FR60" s="198"/>
      <c r="FS60" s="198"/>
      <c r="FT60" s="198"/>
      <c r="FU60" s="198"/>
      <c r="FV60" s="198"/>
      <c r="FW60" s="198"/>
      <c r="FX60" s="198"/>
      <c r="FY60" s="198"/>
      <c r="FZ60" s="198"/>
      <c r="GA60" s="198"/>
      <c r="GB60" s="198"/>
      <c r="GC60" s="198"/>
    </row>
    <row r="61" spans="1:200" x14ac:dyDescent="0.35">
      <c r="F61" s="198"/>
      <c r="G61" s="198"/>
      <c r="H61" s="198"/>
      <c r="I61" s="198"/>
      <c r="J61" s="198"/>
      <c r="K61" s="198"/>
      <c r="L61" s="198"/>
      <c r="M61" s="198"/>
      <c r="N61" s="198"/>
      <c r="O61" s="198"/>
      <c r="P61" s="198"/>
      <c r="Q61" s="198"/>
      <c r="R61" s="198"/>
      <c r="S61" s="198"/>
      <c r="T61" s="198"/>
      <c r="U61" s="198"/>
      <c r="V61" s="198"/>
      <c r="W61" s="198"/>
      <c r="X61" s="198"/>
      <c r="Y61" s="198"/>
      <c r="Z61" s="198"/>
      <c r="AA61" s="198"/>
      <c r="AB61" s="198"/>
      <c r="AC61" s="198"/>
      <c r="AD61" s="198"/>
      <c r="AE61" s="198"/>
      <c r="AF61" s="198"/>
      <c r="AG61" s="198"/>
      <c r="AH61" s="198"/>
      <c r="AI61" s="198"/>
      <c r="AJ61" s="198"/>
      <c r="AK61" s="198"/>
      <c r="AL61" s="198"/>
      <c r="AM61" s="198"/>
      <c r="AN61" s="198"/>
      <c r="AO61" s="198"/>
      <c r="AP61" s="198"/>
      <c r="AQ61" s="198"/>
      <c r="AR61" s="198"/>
      <c r="AS61" s="198"/>
      <c r="AT61" s="198"/>
      <c r="AU61" s="198"/>
      <c r="AV61" s="198"/>
      <c r="AW61" s="198"/>
      <c r="AX61" s="198"/>
      <c r="AY61" s="198"/>
      <c r="AZ61" s="198"/>
      <c r="BA61" s="198"/>
      <c r="BB61" s="198"/>
      <c r="BC61" s="198"/>
      <c r="BD61" s="198"/>
      <c r="BE61" s="198"/>
      <c r="BF61" s="198"/>
      <c r="BG61" s="198"/>
      <c r="BH61" s="198"/>
      <c r="BI61" s="198"/>
      <c r="BJ61" s="198"/>
      <c r="BK61" s="198"/>
      <c r="BL61" s="198"/>
      <c r="BM61" s="198"/>
      <c r="BN61" s="198"/>
      <c r="BO61" s="198"/>
      <c r="BP61" s="198"/>
      <c r="BQ61" s="198"/>
      <c r="BR61" s="198"/>
      <c r="BS61" s="198"/>
      <c r="BT61" s="198"/>
      <c r="BU61" s="198"/>
      <c r="BV61" s="198"/>
      <c r="BW61" s="198"/>
      <c r="BX61" s="198"/>
      <c r="BY61" s="198"/>
      <c r="BZ61" s="198"/>
      <c r="CA61" s="198"/>
      <c r="CB61" s="198"/>
      <c r="CC61" s="198"/>
      <c r="CD61" s="198"/>
      <c r="CE61" s="198"/>
      <c r="CF61" s="198"/>
      <c r="CG61" s="198"/>
      <c r="CH61" s="198"/>
      <c r="CI61" s="198"/>
      <c r="CJ61" s="198"/>
      <c r="CK61" s="198"/>
      <c r="CL61" s="198"/>
      <c r="CM61" s="198"/>
      <c r="CN61" s="198"/>
      <c r="CO61" s="198"/>
      <c r="CP61" s="198"/>
      <c r="CQ61" s="198"/>
      <c r="CR61" s="198"/>
      <c r="CS61" s="198"/>
      <c r="CT61" s="198"/>
      <c r="CU61" s="198"/>
      <c r="CV61" s="198"/>
      <c r="CW61" s="198"/>
      <c r="CX61" s="198"/>
      <c r="CY61" s="198"/>
      <c r="CZ61" s="198"/>
      <c r="DA61" s="198"/>
      <c r="DB61" s="198"/>
      <c r="DC61" s="198"/>
      <c r="DD61" s="198"/>
      <c r="DE61" s="198"/>
      <c r="DF61" s="198"/>
      <c r="DG61" s="198"/>
      <c r="DH61" s="198"/>
      <c r="DI61" s="198"/>
      <c r="DJ61" s="198"/>
      <c r="DK61" s="198"/>
      <c r="DL61" s="198"/>
      <c r="DM61" s="198"/>
      <c r="DN61" s="198"/>
      <c r="DO61" s="198"/>
      <c r="DP61" s="198"/>
      <c r="DQ61" s="198"/>
      <c r="DR61" s="198"/>
      <c r="DS61" s="198"/>
      <c r="DT61" s="198"/>
      <c r="DU61" s="198"/>
      <c r="DV61" s="198"/>
      <c r="DW61" s="198"/>
      <c r="DX61" s="198"/>
      <c r="DY61" s="198"/>
      <c r="DZ61" s="198"/>
      <c r="EA61" s="198"/>
      <c r="EB61" s="198"/>
      <c r="EC61" s="198"/>
      <c r="ED61" s="198"/>
      <c r="EE61" s="198"/>
      <c r="EF61" s="198"/>
      <c r="EG61" s="198"/>
      <c r="EH61" s="198"/>
      <c r="EI61" s="198"/>
      <c r="EJ61" s="198"/>
      <c r="EK61" s="198"/>
      <c r="EL61" s="198"/>
      <c r="EM61" s="198"/>
      <c r="EN61" s="198"/>
      <c r="EO61" s="198"/>
      <c r="EP61" s="198"/>
      <c r="EQ61" s="198"/>
      <c r="ER61" s="198"/>
      <c r="ES61" s="198"/>
      <c r="ET61" s="198"/>
      <c r="EU61" s="198"/>
      <c r="EV61" s="198"/>
      <c r="EW61" s="198"/>
      <c r="EX61" s="198"/>
      <c r="EY61" s="198"/>
      <c r="EZ61" s="198"/>
      <c r="FA61" s="198"/>
      <c r="FB61" s="198"/>
      <c r="FC61" s="198"/>
      <c r="FD61" s="198"/>
      <c r="FE61" s="198"/>
      <c r="FF61" s="198"/>
      <c r="FG61" s="198"/>
      <c r="FH61" s="198"/>
      <c r="FI61" s="198"/>
      <c r="FJ61" s="198"/>
      <c r="FK61" s="198"/>
      <c r="FL61" s="198"/>
      <c r="FM61" s="198"/>
      <c r="FN61" s="198"/>
      <c r="FO61" s="198"/>
      <c r="FP61" s="198"/>
      <c r="FQ61" s="198"/>
      <c r="FR61" s="198"/>
      <c r="FS61" s="198"/>
      <c r="FT61" s="198"/>
      <c r="FU61" s="198"/>
      <c r="FV61" s="198"/>
      <c r="FW61" s="198"/>
      <c r="FX61" s="198"/>
      <c r="FY61" s="198"/>
      <c r="FZ61" s="198"/>
      <c r="GA61" s="198"/>
      <c r="GB61" s="198"/>
      <c r="GC61" s="198"/>
    </row>
    <row r="62" spans="1:200" x14ac:dyDescent="0.35">
      <c r="F62" s="198"/>
      <c r="G62" s="198"/>
      <c r="H62" s="198"/>
      <c r="I62" s="198"/>
      <c r="J62" s="198"/>
      <c r="K62" s="198"/>
      <c r="L62" s="198"/>
      <c r="M62" s="198"/>
      <c r="N62" s="198"/>
      <c r="O62" s="198"/>
      <c r="P62" s="198"/>
      <c r="Q62" s="198"/>
      <c r="R62" s="198"/>
      <c r="S62" s="198"/>
      <c r="T62" s="198"/>
      <c r="U62" s="198"/>
      <c r="V62" s="198"/>
      <c r="W62" s="198"/>
      <c r="X62" s="198"/>
      <c r="Y62" s="198"/>
      <c r="Z62" s="198"/>
      <c r="AA62" s="198"/>
      <c r="AB62" s="198"/>
      <c r="AC62" s="198"/>
      <c r="AD62" s="198"/>
      <c r="AE62" s="198"/>
      <c r="AF62" s="198"/>
      <c r="AG62" s="198"/>
      <c r="AH62" s="198"/>
      <c r="AI62" s="198"/>
      <c r="AJ62" s="198"/>
      <c r="AK62" s="198"/>
      <c r="AL62" s="198"/>
      <c r="AM62" s="198"/>
      <c r="AN62" s="198"/>
      <c r="AO62" s="198"/>
      <c r="AP62" s="198"/>
      <c r="AQ62" s="198"/>
      <c r="AR62" s="198"/>
      <c r="AS62" s="198"/>
      <c r="AT62" s="198"/>
      <c r="AU62" s="198"/>
      <c r="AV62" s="198"/>
      <c r="AW62" s="198"/>
      <c r="AX62" s="198"/>
      <c r="AY62" s="198"/>
      <c r="AZ62" s="198"/>
      <c r="BA62" s="198"/>
      <c r="BB62" s="198"/>
      <c r="BC62" s="198"/>
      <c r="BD62" s="198"/>
      <c r="BE62" s="198"/>
      <c r="BF62" s="198"/>
      <c r="BG62" s="198"/>
      <c r="BH62" s="198"/>
      <c r="BI62" s="198"/>
      <c r="BJ62" s="198"/>
      <c r="BK62" s="198"/>
      <c r="BL62" s="198"/>
      <c r="BM62" s="198"/>
      <c r="BN62" s="198"/>
      <c r="BO62" s="198"/>
      <c r="BP62" s="198"/>
      <c r="BQ62" s="198"/>
      <c r="BR62" s="198"/>
      <c r="BS62" s="198"/>
      <c r="BT62" s="198"/>
      <c r="BU62" s="198"/>
      <c r="BV62" s="198"/>
      <c r="BW62" s="198"/>
      <c r="BX62" s="198"/>
      <c r="BY62" s="198"/>
      <c r="BZ62" s="198"/>
      <c r="CA62" s="198"/>
      <c r="CB62" s="198"/>
      <c r="CC62" s="198"/>
      <c r="CD62" s="198"/>
      <c r="CE62" s="198"/>
      <c r="CF62" s="198"/>
      <c r="CG62" s="198"/>
      <c r="CH62" s="198"/>
      <c r="CI62" s="198"/>
      <c r="CJ62" s="198"/>
      <c r="CK62" s="198"/>
      <c r="CL62" s="198"/>
      <c r="CM62" s="198"/>
      <c r="CN62" s="198"/>
      <c r="CO62" s="198"/>
      <c r="CP62" s="198"/>
      <c r="CQ62" s="198"/>
      <c r="CR62" s="198"/>
      <c r="CS62" s="198"/>
      <c r="CT62" s="198"/>
      <c r="CU62" s="198"/>
      <c r="CV62" s="198"/>
      <c r="CW62" s="198"/>
      <c r="CX62" s="198"/>
      <c r="CY62" s="198"/>
      <c r="CZ62" s="198"/>
      <c r="DA62" s="198"/>
      <c r="DB62" s="198"/>
      <c r="DC62" s="198"/>
      <c r="DD62" s="198"/>
      <c r="DE62" s="198"/>
      <c r="DF62" s="198"/>
      <c r="DG62" s="198"/>
      <c r="DH62" s="198"/>
      <c r="DI62" s="198"/>
      <c r="DJ62" s="198"/>
      <c r="DK62" s="198"/>
      <c r="DL62" s="198"/>
      <c r="DM62" s="198"/>
      <c r="DN62" s="198"/>
      <c r="DO62" s="198"/>
      <c r="DP62" s="198"/>
      <c r="DQ62" s="198"/>
      <c r="DR62" s="198"/>
      <c r="DS62" s="198"/>
      <c r="DT62" s="198"/>
      <c r="DU62" s="198"/>
      <c r="DV62" s="198"/>
      <c r="DW62" s="198"/>
      <c r="DX62" s="198"/>
      <c r="DY62" s="198"/>
      <c r="DZ62" s="198"/>
      <c r="EA62" s="198"/>
      <c r="EB62" s="198"/>
      <c r="EC62" s="198"/>
      <c r="ED62" s="198"/>
      <c r="EE62" s="198"/>
      <c r="EF62" s="198"/>
      <c r="EG62" s="198"/>
      <c r="EH62" s="198"/>
      <c r="EI62" s="198"/>
      <c r="EJ62" s="198"/>
      <c r="EK62" s="198"/>
      <c r="EL62" s="198"/>
      <c r="EM62" s="198"/>
      <c r="EN62" s="198"/>
      <c r="EO62" s="198"/>
      <c r="EP62" s="198"/>
      <c r="EQ62" s="198"/>
      <c r="ER62" s="198"/>
      <c r="ES62" s="198"/>
      <c r="ET62" s="198"/>
      <c r="EU62" s="198"/>
      <c r="EV62" s="198"/>
      <c r="EW62" s="198"/>
      <c r="EX62" s="198"/>
      <c r="EY62" s="198"/>
      <c r="EZ62" s="198"/>
      <c r="FA62" s="198"/>
      <c r="FB62" s="198"/>
      <c r="FC62" s="198"/>
      <c r="FD62" s="198"/>
      <c r="FE62" s="198"/>
      <c r="FF62" s="198"/>
      <c r="FG62" s="198"/>
      <c r="FH62" s="198"/>
      <c r="FI62" s="198"/>
      <c r="FJ62" s="198"/>
      <c r="FK62" s="198"/>
      <c r="FL62" s="198"/>
      <c r="FM62" s="198"/>
      <c r="FN62" s="198"/>
      <c r="FO62" s="198"/>
      <c r="FP62" s="198"/>
      <c r="FQ62" s="198"/>
      <c r="FR62" s="198"/>
      <c r="FS62" s="198"/>
      <c r="FT62" s="198"/>
      <c r="FU62" s="198"/>
      <c r="FV62" s="198"/>
      <c r="FW62" s="198"/>
      <c r="FX62" s="198"/>
      <c r="FY62" s="198"/>
      <c r="FZ62" s="198"/>
      <c r="GA62" s="198"/>
      <c r="GB62" s="198"/>
      <c r="GC62" s="198"/>
    </row>
  </sheetData>
  <mergeCells count="7">
    <mergeCell ref="A1:E1"/>
    <mergeCell ref="A2:E2"/>
    <mergeCell ref="A44:GQ44"/>
    <mergeCell ref="A23"/>
    <mergeCell ref="A42"/>
    <mergeCell ref="A25:GQ25"/>
    <mergeCell ref="A4:GQ4"/>
  </mergeCells>
  <phoneticPr fontId="65" type="noConversion"/>
  <conditionalFormatting sqref="G45:GC45">
    <cfRule type="expression" dxfId="29" priority="11">
      <formula>$E45=0</formula>
    </cfRule>
    <cfRule type="expression" dxfId="28" priority="12">
      <formula>$E45=1</formula>
    </cfRule>
  </conditionalFormatting>
  <conditionalFormatting sqref="F45:GC45">
    <cfRule type="expression" dxfId="27" priority="9">
      <formula>$E45=0</formula>
    </cfRule>
    <cfRule type="expression" dxfId="26" priority="10">
      <formula>$E45=1</formula>
    </cfRule>
  </conditionalFormatting>
  <conditionalFormatting sqref="G5:GC22">
    <cfRule type="expression" dxfId="25" priority="7">
      <formula>$E5=0</formula>
    </cfRule>
    <cfRule type="expression" dxfId="24" priority="8">
      <formula>$E5=1</formula>
    </cfRule>
  </conditionalFormatting>
  <conditionalFormatting sqref="F5:F22">
    <cfRule type="expression" dxfId="23" priority="5">
      <formula>$E5=0</formula>
    </cfRule>
    <cfRule type="expression" dxfId="22" priority="6">
      <formula>$E5=1</formula>
    </cfRule>
  </conditionalFormatting>
  <conditionalFormatting sqref="G26:GC41">
    <cfRule type="expression" dxfId="21" priority="3">
      <formula>$E26=0</formula>
    </cfRule>
    <cfRule type="expression" dxfId="20" priority="4">
      <formula>$E26=1</formula>
    </cfRule>
  </conditionalFormatting>
  <conditionalFormatting sqref="F26:F41">
    <cfRule type="expression" dxfId="19" priority="1">
      <formula>$E26=0</formula>
    </cfRule>
    <cfRule type="expression" dxfId="18" priority="2">
      <formula>$E26=1</formula>
    </cfRule>
  </conditionalFormatting>
  <dataValidations count="1">
    <dataValidation type="list" allowBlank="1" showInputMessage="1" showErrorMessage="1" errorTitle="Invalid" error="Please select Combined or Split." promptTitle="EU Demand Mode" prompt="Combined = EU demand rolls into main product aggregates (for HTML refresh)._x000a_Split = EU demand stays separate under EU Stock products." sqref="F1" xr:uid="{0E6A80EC-6DBF-402C-8DEE-2A90C72C792C}">
      <formula1>"Combined,Split"</formula1>
    </dataValidation>
  </dataValidations>
  <pageMargins left="0.75" right="0.75" top="1" bottom="1" header="0.5" footer="0.5"/>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GW67"/>
  <sheetViews>
    <sheetView showGridLines="0" zoomScale="55" zoomScaleNormal="55" workbookViewId="0">
      <pane xSplit="7" ySplit="3" topLeftCell="V14" activePane="bottomRight" state="frozen"/>
      <selection pane="topRight"/>
      <selection pane="bottomLeft"/>
      <selection pane="bottomRight" activeCell="AG28" sqref="AG28"/>
    </sheetView>
  </sheetViews>
  <sheetFormatPr defaultRowHeight="14.5" x14ac:dyDescent="0.35"/>
  <cols>
    <col min="1" max="1" width="18" customWidth="1"/>
    <col min="2" max="2" width="28" customWidth="1"/>
    <col min="3" max="3" width="14" customWidth="1"/>
    <col min="4" max="4" width="8" customWidth="1"/>
    <col min="5" max="5" width="16" customWidth="1"/>
    <col min="6" max="6" width="14" customWidth="1"/>
    <col min="7" max="9" width="13" customWidth="1"/>
    <col min="10" max="10" width="13" hidden="1" customWidth="1"/>
    <col min="11" max="202" width="9" customWidth="1"/>
  </cols>
  <sheetData>
    <row r="1" spans="1:205" ht="22" customHeight="1" x14ac:dyDescent="0.35">
      <c r="A1" s="396" t="s">
        <v>382</v>
      </c>
      <c r="B1" s="395"/>
      <c r="C1" s="395"/>
      <c r="D1" s="395"/>
      <c r="E1" s="395"/>
      <c r="F1" s="395"/>
      <c r="G1" s="395"/>
      <c r="H1" s="395"/>
      <c r="I1" s="395"/>
      <c r="J1" s="395"/>
      <c r="K1" s="395"/>
      <c r="L1" s="395"/>
      <c r="M1" s="395"/>
      <c r="N1" s="395"/>
      <c r="O1" s="395"/>
      <c r="P1" s="395"/>
      <c r="Q1" s="395"/>
      <c r="R1" s="395"/>
      <c r="S1" s="395"/>
      <c r="T1" s="395"/>
      <c r="U1" s="395"/>
      <c r="V1" s="395"/>
      <c r="W1" s="395"/>
      <c r="X1" s="395"/>
      <c r="Y1" s="395"/>
      <c r="Z1" s="395"/>
      <c r="AA1" s="395"/>
      <c r="AB1" s="395"/>
      <c r="AC1" s="395"/>
      <c r="AD1" s="395"/>
      <c r="AE1" s="395"/>
      <c r="AF1" s="395"/>
      <c r="AG1" s="395"/>
      <c r="AH1" s="395"/>
      <c r="AI1" s="395"/>
      <c r="AJ1" s="395"/>
      <c r="AK1" s="395"/>
      <c r="AL1" s="395"/>
      <c r="AM1" s="395"/>
      <c r="AN1" s="395"/>
      <c r="AO1" s="395"/>
      <c r="AP1" s="395"/>
      <c r="AQ1" s="395"/>
      <c r="AR1" s="395"/>
      <c r="AS1" s="395"/>
      <c r="AT1" s="395"/>
      <c r="AU1" s="395"/>
      <c r="AV1" s="395"/>
      <c r="AW1" s="395"/>
      <c r="AX1" s="395"/>
      <c r="AY1" s="395"/>
      <c r="AZ1" s="395"/>
      <c r="BA1" s="395"/>
      <c r="BB1" s="395"/>
      <c r="BC1" s="395"/>
      <c r="BD1" s="395"/>
      <c r="BE1" s="395"/>
      <c r="BF1" s="395"/>
      <c r="BG1" s="395"/>
      <c r="BH1" s="395"/>
      <c r="BI1" s="395"/>
      <c r="BJ1" s="395"/>
      <c r="BK1" s="395"/>
      <c r="BL1" s="395"/>
      <c r="BM1" s="395"/>
      <c r="BN1" s="395"/>
      <c r="BO1" s="395"/>
      <c r="BP1" s="395"/>
      <c r="BQ1" s="395"/>
      <c r="BR1" s="395"/>
      <c r="BS1" s="395"/>
      <c r="BT1" s="395"/>
      <c r="BU1" s="395"/>
      <c r="BV1" s="395"/>
      <c r="BW1" s="395"/>
      <c r="BX1" s="395"/>
      <c r="BY1" s="395"/>
      <c r="BZ1" s="395"/>
      <c r="CA1" s="395"/>
      <c r="CB1" s="395"/>
      <c r="CC1" s="395"/>
      <c r="CD1" s="395"/>
      <c r="CE1" s="395"/>
      <c r="CF1" s="395"/>
      <c r="CG1" s="395"/>
      <c r="CH1" s="395"/>
      <c r="CI1" s="395"/>
      <c r="CJ1" s="395"/>
      <c r="CK1" s="395"/>
      <c r="CL1" s="395"/>
      <c r="CM1" s="395"/>
      <c r="CN1" s="395"/>
      <c r="CO1" s="395"/>
      <c r="CP1" s="395"/>
      <c r="CQ1" s="395"/>
      <c r="CR1" s="395"/>
      <c r="CS1" s="395"/>
      <c r="CT1" s="395"/>
      <c r="CU1" s="395"/>
      <c r="CV1" s="395"/>
      <c r="CW1" s="395"/>
      <c r="CX1" s="395"/>
      <c r="CY1" s="395"/>
      <c r="CZ1" s="395"/>
      <c r="DA1" s="395"/>
      <c r="DB1" s="395"/>
      <c r="DC1" s="395"/>
      <c r="DD1" s="395"/>
      <c r="DE1" s="395"/>
      <c r="DF1" s="395"/>
      <c r="DG1" s="395"/>
      <c r="DH1" s="395"/>
      <c r="DI1" s="395"/>
      <c r="DJ1" s="395"/>
      <c r="DK1" s="395"/>
      <c r="DL1" s="395"/>
      <c r="DM1" s="395"/>
      <c r="DN1" s="395"/>
      <c r="DO1" s="395"/>
      <c r="DP1" s="395"/>
      <c r="DQ1" s="395"/>
      <c r="DR1" s="395"/>
      <c r="DS1" s="395"/>
      <c r="DT1" s="395"/>
      <c r="DU1" s="395"/>
      <c r="DV1" s="395"/>
      <c r="DW1" s="395"/>
      <c r="DX1" s="395"/>
      <c r="DY1" s="395"/>
      <c r="DZ1" s="395"/>
      <c r="EA1" s="395"/>
      <c r="EB1" s="395"/>
      <c r="EC1" s="395"/>
      <c r="ED1" s="395"/>
      <c r="EE1" s="395"/>
      <c r="EF1" s="395"/>
      <c r="EG1" s="395"/>
      <c r="EH1" s="395"/>
      <c r="EI1" s="395"/>
      <c r="EJ1" s="395"/>
      <c r="EK1" s="395"/>
      <c r="EL1" s="395"/>
      <c r="EM1" s="395"/>
      <c r="EN1" s="395"/>
      <c r="EO1" s="395"/>
      <c r="EP1" s="395"/>
      <c r="EQ1" s="395"/>
      <c r="ER1" s="395"/>
      <c r="ES1" s="395"/>
      <c r="ET1" s="395"/>
      <c r="EU1" s="395"/>
      <c r="EV1" s="395"/>
      <c r="EW1" s="395"/>
      <c r="EX1" s="395"/>
      <c r="EY1" s="395"/>
      <c r="EZ1" s="395"/>
      <c r="FA1" s="395"/>
      <c r="FB1" s="395"/>
      <c r="FC1" s="395"/>
      <c r="FD1" s="395"/>
      <c r="FE1" s="395"/>
      <c r="FF1" s="395"/>
      <c r="FG1" s="395"/>
      <c r="FH1" s="395"/>
      <c r="FI1" s="395"/>
      <c r="FJ1" s="395"/>
      <c r="FK1" s="395"/>
      <c r="FL1" s="395"/>
      <c r="FM1" s="395"/>
      <c r="FN1" s="395"/>
      <c r="FO1" s="395"/>
      <c r="FP1" s="395"/>
      <c r="FQ1" s="395"/>
      <c r="FR1" s="395"/>
      <c r="FS1" s="395"/>
      <c r="FT1" s="395"/>
      <c r="FU1" s="395"/>
      <c r="FV1" s="395"/>
      <c r="FW1" s="395"/>
      <c r="FX1" s="395"/>
      <c r="FY1" s="395"/>
      <c r="FZ1" s="395"/>
      <c r="GA1" s="395"/>
      <c r="GB1" s="395"/>
      <c r="GC1" s="395"/>
      <c r="GD1" s="395"/>
      <c r="GE1" s="395"/>
    </row>
    <row r="2" spans="1:205" ht="22" customHeight="1" x14ac:dyDescent="0.35">
      <c r="A2" s="397" t="s">
        <v>383</v>
      </c>
      <c r="B2" s="395"/>
      <c r="C2" s="395"/>
      <c r="D2" s="395"/>
      <c r="E2" s="395"/>
      <c r="F2" s="395"/>
      <c r="G2" s="395"/>
      <c r="H2" s="395"/>
      <c r="I2" s="395"/>
      <c r="J2" s="395"/>
      <c r="K2" s="395"/>
      <c r="L2" s="395"/>
      <c r="M2" s="395"/>
      <c r="N2" s="395"/>
      <c r="O2" s="395"/>
      <c r="P2" s="395"/>
      <c r="Q2" s="395"/>
      <c r="R2" s="395"/>
      <c r="S2" s="395"/>
      <c r="T2" s="395"/>
      <c r="U2" s="395"/>
      <c r="V2" s="395"/>
      <c r="W2" s="395"/>
      <c r="X2" s="395"/>
      <c r="Y2" s="395"/>
      <c r="Z2" s="395"/>
      <c r="AA2" s="395"/>
      <c r="AB2" s="395"/>
      <c r="AC2" s="395"/>
      <c r="AD2" s="395"/>
      <c r="AE2" s="395"/>
      <c r="AF2" s="395"/>
      <c r="AG2" s="395"/>
      <c r="AH2" s="395"/>
      <c r="AI2" s="395"/>
      <c r="AJ2" s="395"/>
      <c r="AK2" s="395"/>
      <c r="AL2" s="395"/>
      <c r="AM2" s="395"/>
      <c r="AN2" s="395"/>
      <c r="AO2" s="395"/>
      <c r="AP2" s="395"/>
      <c r="AQ2" s="395"/>
      <c r="AR2" s="395"/>
      <c r="AS2" s="395"/>
      <c r="AT2" s="395"/>
      <c r="AU2" s="395"/>
      <c r="AV2" s="395"/>
      <c r="AW2" s="395"/>
      <c r="AX2" s="395"/>
      <c r="AY2" s="395"/>
      <c r="AZ2" s="395"/>
      <c r="BA2" s="395"/>
      <c r="BB2" s="395"/>
      <c r="BC2" s="395"/>
      <c r="BD2" s="395"/>
      <c r="BE2" s="395"/>
      <c r="BF2" s="395"/>
      <c r="BG2" s="395"/>
      <c r="BH2" s="395"/>
      <c r="BI2" s="395"/>
      <c r="BJ2" s="395"/>
      <c r="BK2" s="395"/>
      <c r="BL2" s="395"/>
      <c r="BM2" s="395"/>
      <c r="BN2" s="395"/>
      <c r="BO2" s="395"/>
      <c r="BP2" s="395"/>
      <c r="BQ2" s="395"/>
      <c r="BR2" s="395"/>
      <c r="BS2" s="395"/>
      <c r="BT2" s="395"/>
      <c r="BU2" s="395"/>
      <c r="BV2" s="395"/>
      <c r="BW2" s="395"/>
      <c r="BX2" s="395"/>
      <c r="BY2" s="395"/>
      <c r="BZ2" s="395"/>
      <c r="CA2" s="395"/>
      <c r="CB2" s="395"/>
      <c r="CC2" s="395"/>
      <c r="CD2" s="395"/>
      <c r="CE2" s="395"/>
      <c r="CF2" s="395"/>
      <c r="CG2" s="395"/>
      <c r="CH2" s="395"/>
      <c r="CI2" s="395"/>
      <c r="CJ2" s="395"/>
      <c r="CK2" s="395"/>
      <c r="CL2" s="395"/>
      <c r="CM2" s="395"/>
      <c r="CN2" s="395"/>
      <c r="CO2" s="395"/>
      <c r="CP2" s="395"/>
      <c r="CQ2" s="395"/>
      <c r="CR2" s="395"/>
      <c r="CS2" s="395"/>
      <c r="CT2" s="395"/>
      <c r="CU2" s="395"/>
      <c r="CV2" s="395"/>
      <c r="CW2" s="395"/>
      <c r="CX2" s="395"/>
      <c r="CY2" s="395"/>
      <c r="CZ2" s="395"/>
      <c r="DA2" s="395"/>
      <c r="DB2" s="395"/>
      <c r="DC2" s="395"/>
      <c r="DD2" s="395"/>
      <c r="DE2" s="395"/>
      <c r="DF2" s="395"/>
      <c r="DG2" s="395"/>
      <c r="DH2" s="395"/>
      <c r="DI2" s="395"/>
      <c r="DJ2" s="395"/>
      <c r="DK2" s="395"/>
      <c r="DL2" s="395"/>
      <c r="DM2" s="395"/>
      <c r="DN2" s="395"/>
      <c r="DO2" s="395"/>
      <c r="DP2" s="395"/>
      <c r="DQ2" s="395"/>
      <c r="DR2" s="395"/>
      <c r="DS2" s="395"/>
      <c r="DT2" s="395"/>
      <c r="DU2" s="395"/>
      <c r="DV2" s="395"/>
      <c r="DW2" s="395"/>
      <c r="DX2" s="395"/>
      <c r="DY2" s="395"/>
      <c r="DZ2" s="395"/>
      <c r="EA2" s="395"/>
      <c r="EB2" s="395"/>
      <c r="EC2" s="395"/>
      <c r="ED2" s="395"/>
      <c r="EE2" s="395"/>
      <c r="EF2" s="395"/>
      <c r="EG2" s="395"/>
      <c r="EH2" s="395"/>
      <c r="EI2" s="395"/>
      <c r="EJ2" s="395"/>
      <c r="EK2" s="395"/>
      <c r="EL2" s="395"/>
      <c r="EM2" s="395"/>
      <c r="EN2" s="395"/>
      <c r="EO2" s="395"/>
      <c r="EP2" s="395"/>
      <c r="EQ2" s="395"/>
      <c r="ER2" s="395"/>
      <c r="ES2" s="395"/>
      <c r="ET2" s="395"/>
      <c r="EU2" s="395"/>
      <c r="EV2" s="395"/>
      <c r="EW2" s="395"/>
      <c r="EX2" s="395"/>
      <c r="EY2" s="395"/>
      <c r="EZ2" s="395"/>
      <c r="FA2" s="395"/>
      <c r="FB2" s="395"/>
      <c r="FC2" s="395"/>
      <c r="FD2" s="395"/>
      <c r="FE2" s="395"/>
      <c r="FF2" s="395"/>
      <c r="FG2" s="395"/>
      <c r="FH2" s="395"/>
      <c r="FI2" s="395"/>
      <c r="FJ2" s="395"/>
      <c r="FK2" s="395"/>
      <c r="FL2" s="395"/>
      <c r="FM2" s="395"/>
      <c r="FN2" s="395"/>
      <c r="FO2" s="395"/>
      <c r="FP2" s="395"/>
      <c r="FQ2" s="395"/>
      <c r="FR2" s="395"/>
      <c r="FS2" s="395"/>
      <c r="FT2" s="395"/>
      <c r="FU2" s="395"/>
      <c r="FV2" s="395"/>
      <c r="FW2" s="395"/>
      <c r="FX2" s="395"/>
      <c r="FY2" s="395"/>
      <c r="FZ2" s="395"/>
      <c r="GA2" s="395"/>
      <c r="GB2" s="395"/>
      <c r="GC2" s="395"/>
      <c r="GD2" s="395"/>
      <c r="GE2" s="395"/>
    </row>
    <row r="3" spans="1:205" ht="24" x14ac:dyDescent="0.35">
      <c r="A3" s="1" t="s">
        <v>2</v>
      </c>
      <c r="B3" s="1" t="s">
        <v>384</v>
      </c>
      <c r="C3" s="1" t="s">
        <v>4</v>
      </c>
      <c r="D3" s="1" t="s">
        <v>5</v>
      </c>
      <c r="E3" s="1" t="s">
        <v>385</v>
      </c>
      <c r="F3" s="1" t="s">
        <v>386</v>
      </c>
      <c r="G3" s="1" t="s">
        <v>387</v>
      </c>
      <c r="H3" s="52" t="s">
        <v>17</v>
      </c>
      <c r="I3" s="52" t="s">
        <v>388</v>
      </c>
      <c r="J3" s="18" t="s">
        <v>389</v>
      </c>
      <c r="K3" s="197" t="s">
        <v>478</v>
      </c>
      <c r="L3" s="18" t="s">
        <v>181</v>
      </c>
      <c r="M3" s="18" t="s">
        <v>182</v>
      </c>
      <c r="N3" s="18" t="s">
        <v>183</v>
      </c>
      <c r="O3" s="18" t="s">
        <v>184</v>
      </c>
      <c r="P3" s="18" t="s">
        <v>185</v>
      </c>
      <c r="Q3" s="18" t="s">
        <v>186</v>
      </c>
      <c r="R3" s="18" t="s">
        <v>187</v>
      </c>
      <c r="S3" s="18" t="s">
        <v>188</v>
      </c>
      <c r="T3" s="18" t="s">
        <v>189</v>
      </c>
      <c r="U3" s="18" t="s">
        <v>190</v>
      </c>
      <c r="V3" s="18" t="s">
        <v>191</v>
      </c>
      <c r="W3" s="18" t="s">
        <v>192</v>
      </c>
      <c r="X3" s="18" t="s">
        <v>193</v>
      </c>
      <c r="Y3" s="18" t="s">
        <v>194</v>
      </c>
      <c r="Z3" s="18" t="s">
        <v>195</v>
      </c>
      <c r="AA3" s="18" t="s">
        <v>196</v>
      </c>
      <c r="AB3" s="18" t="s">
        <v>197</v>
      </c>
      <c r="AC3" s="18" t="s">
        <v>198</v>
      </c>
      <c r="AD3" s="18" t="s">
        <v>199</v>
      </c>
      <c r="AE3" s="18" t="s">
        <v>200</v>
      </c>
      <c r="AF3" s="18" t="s">
        <v>201</v>
      </c>
      <c r="AG3" s="18" t="s">
        <v>202</v>
      </c>
      <c r="AH3" s="18" t="s">
        <v>203</v>
      </c>
      <c r="AI3" s="18" t="s">
        <v>204</v>
      </c>
      <c r="AJ3" s="18" t="s">
        <v>205</v>
      </c>
      <c r="AK3" s="18" t="s">
        <v>206</v>
      </c>
      <c r="AL3" s="18" t="s">
        <v>207</v>
      </c>
      <c r="AM3" s="18" t="s">
        <v>208</v>
      </c>
      <c r="AN3" s="18" t="s">
        <v>209</v>
      </c>
      <c r="AO3" s="18" t="s">
        <v>210</v>
      </c>
      <c r="AP3" s="18" t="s">
        <v>211</v>
      </c>
      <c r="AQ3" s="18" t="s">
        <v>212</v>
      </c>
      <c r="AR3" s="18" t="s">
        <v>213</v>
      </c>
      <c r="AS3" s="18" t="s">
        <v>214</v>
      </c>
      <c r="AT3" s="18" t="s">
        <v>215</v>
      </c>
      <c r="AU3" s="18" t="s">
        <v>216</v>
      </c>
      <c r="AV3" s="18" t="s">
        <v>217</v>
      </c>
      <c r="AW3" s="18" t="s">
        <v>218</v>
      </c>
      <c r="AX3" s="18" t="s">
        <v>219</v>
      </c>
      <c r="AY3" s="18" t="s">
        <v>220</v>
      </c>
      <c r="AZ3" s="18" t="s">
        <v>221</v>
      </c>
      <c r="BA3" s="18" t="s">
        <v>222</v>
      </c>
      <c r="BB3" s="18" t="s">
        <v>223</v>
      </c>
      <c r="BC3" s="18" t="s">
        <v>224</v>
      </c>
      <c r="BD3" s="18" t="s">
        <v>225</v>
      </c>
      <c r="BE3" s="18" t="s">
        <v>226</v>
      </c>
      <c r="BF3" s="18" t="s">
        <v>227</v>
      </c>
      <c r="BG3" s="18" t="s">
        <v>228</v>
      </c>
      <c r="BH3" s="18" t="s">
        <v>229</v>
      </c>
      <c r="BI3" s="18" t="s">
        <v>230</v>
      </c>
      <c r="BJ3" s="18" t="s">
        <v>231</v>
      </c>
      <c r="BK3" s="18" t="s">
        <v>232</v>
      </c>
      <c r="BL3" s="18" t="s">
        <v>233</v>
      </c>
      <c r="BM3" s="18" t="s">
        <v>234</v>
      </c>
      <c r="BN3" s="18" t="s">
        <v>235</v>
      </c>
      <c r="BO3" s="18" t="s">
        <v>236</v>
      </c>
      <c r="BP3" s="18" t="s">
        <v>237</v>
      </c>
      <c r="BQ3" s="18" t="s">
        <v>238</v>
      </c>
      <c r="BR3" s="18" t="s">
        <v>239</v>
      </c>
      <c r="BS3" s="18" t="s">
        <v>240</v>
      </c>
      <c r="BT3" s="18" t="s">
        <v>241</v>
      </c>
      <c r="BU3" s="18" t="s">
        <v>242</v>
      </c>
      <c r="BV3" s="18" t="s">
        <v>243</v>
      </c>
      <c r="BW3" s="18" t="s">
        <v>244</v>
      </c>
      <c r="BX3" s="18" t="s">
        <v>245</v>
      </c>
      <c r="BY3" s="18" t="s">
        <v>246</v>
      </c>
      <c r="BZ3" s="18" t="s">
        <v>247</v>
      </c>
      <c r="CA3" s="18" t="s">
        <v>248</v>
      </c>
      <c r="CB3" s="18" t="s">
        <v>249</v>
      </c>
      <c r="CC3" s="18" t="s">
        <v>250</v>
      </c>
      <c r="CD3" s="18" t="s">
        <v>251</v>
      </c>
      <c r="CE3" s="18" t="s">
        <v>252</v>
      </c>
      <c r="CF3" s="18" t="s">
        <v>253</v>
      </c>
      <c r="CG3" s="18" t="s">
        <v>254</v>
      </c>
      <c r="CH3" s="18" t="s">
        <v>255</v>
      </c>
      <c r="CI3" s="18" t="s">
        <v>256</v>
      </c>
      <c r="CJ3" s="18" t="s">
        <v>257</v>
      </c>
      <c r="CK3" s="18" t="s">
        <v>258</v>
      </c>
      <c r="CL3" s="18" t="s">
        <v>259</v>
      </c>
      <c r="CM3" s="18" t="s">
        <v>260</v>
      </c>
      <c r="CN3" s="18" t="s">
        <v>261</v>
      </c>
      <c r="CO3" s="18" t="s">
        <v>262</v>
      </c>
      <c r="CP3" s="18" t="s">
        <v>263</v>
      </c>
      <c r="CQ3" s="18" t="s">
        <v>264</v>
      </c>
      <c r="CR3" s="18" t="s">
        <v>265</v>
      </c>
      <c r="CS3" s="18" t="s">
        <v>266</v>
      </c>
      <c r="CT3" s="18" t="s">
        <v>267</v>
      </c>
      <c r="CU3" s="18" t="s">
        <v>268</v>
      </c>
      <c r="CV3" s="18" t="s">
        <v>269</v>
      </c>
      <c r="CW3" s="18" t="s">
        <v>270</v>
      </c>
      <c r="CX3" s="18" t="s">
        <v>271</v>
      </c>
      <c r="CY3" s="18" t="s">
        <v>272</v>
      </c>
      <c r="CZ3" s="18" t="s">
        <v>273</v>
      </c>
      <c r="DA3" s="18" t="s">
        <v>274</v>
      </c>
      <c r="DB3" s="18" t="s">
        <v>275</v>
      </c>
      <c r="DC3" s="18" t="s">
        <v>276</v>
      </c>
      <c r="DD3" s="18" t="s">
        <v>277</v>
      </c>
      <c r="DE3" s="18" t="s">
        <v>278</v>
      </c>
      <c r="DF3" s="18" t="s">
        <v>279</v>
      </c>
      <c r="DG3" s="18" t="s">
        <v>280</v>
      </c>
      <c r="DH3" s="18" t="s">
        <v>281</v>
      </c>
      <c r="DI3" s="18" t="s">
        <v>282</v>
      </c>
      <c r="DJ3" s="18" t="s">
        <v>283</v>
      </c>
      <c r="DK3" s="18" t="s">
        <v>284</v>
      </c>
      <c r="DL3" s="18" t="s">
        <v>285</v>
      </c>
      <c r="DM3" s="18" t="s">
        <v>286</v>
      </c>
      <c r="DN3" s="18" t="s">
        <v>287</v>
      </c>
      <c r="DO3" s="18" t="s">
        <v>288</v>
      </c>
      <c r="DP3" s="18" t="s">
        <v>289</v>
      </c>
      <c r="DQ3" s="18" t="s">
        <v>290</v>
      </c>
      <c r="DR3" s="18" t="s">
        <v>291</v>
      </c>
      <c r="DS3" s="18" t="s">
        <v>292</v>
      </c>
      <c r="DT3" s="18" t="s">
        <v>293</v>
      </c>
      <c r="DU3" s="18" t="s">
        <v>294</v>
      </c>
      <c r="DV3" s="18" t="s">
        <v>295</v>
      </c>
      <c r="DW3" s="18" t="s">
        <v>296</v>
      </c>
      <c r="DX3" s="18" t="s">
        <v>297</v>
      </c>
      <c r="DY3" s="18" t="s">
        <v>298</v>
      </c>
      <c r="DZ3" s="18" t="s">
        <v>299</v>
      </c>
      <c r="EA3" s="18" t="s">
        <v>300</v>
      </c>
      <c r="EB3" s="18" t="s">
        <v>301</v>
      </c>
      <c r="EC3" s="18" t="s">
        <v>302</v>
      </c>
      <c r="ED3" s="18" t="s">
        <v>303</v>
      </c>
      <c r="EE3" s="18" t="s">
        <v>304</v>
      </c>
      <c r="EF3" s="18" t="s">
        <v>305</v>
      </c>
      <c r="EG3" s="18" t="s">
        <v>306</v>
      </c>
      <c r="EH3" s="18" t="s">
        <v>307</v>
      </c>
      <c r="EI3" s="18" t="s">
        <v>308</v>
      </c>
      <c r="EJ3" s="18" t="s">
        <v>309</v>
      </c>
      <c r="EK3" s="18" t="s">
        <v>310</v>
      </c>
      <c r="EL3" s="18" t="s">
        <v>311</v>
      </c>
      <c r="EM3" s="18" t="s">
        <v>312</v>
      </c>
      <c r="EN3" s="18" t="s">
        <v>313</v>
      </c>
      <c r="EO3" s="18" t="s">
        <v>314</v>
      </c>
      <c r="EP3" s="18" t="s">
        <v>315</v>
      </c>
      <c r="EQ3" s="18" t="s">
        <v>316</v>
      </c>
      <c r="ER3" s="18" t="s">
        <v>317</v>
      </c>
      <c r="ES3" s="18" t="s">
        <v>318</v>
      </c>
      <c r="ET3" s="18" t="s">
        <v>319</v>
      </c>
      <c r="EU3" s="18" t="s">
        <v>320</v>
      </c>
      <c r="EV3" s="18" t="s">
        <v>321</v>
      </c>
      <c r="EW3" s="18" t="s">
        <v>322</v>
      </c>
      <c r="EX3" s="18" t="s">
        <v>323</v>
      </c>
      <c r="EY3" s="18" t="s">
        <v>324</v>
      </c>
      <c r="EZ3" s="18" t="s">
        <v>325</v>
      </c>
      <c r="FA3" s="18" t="s">
        <v>326</v>
      </c>
      <c r="FB3" s="18" t="s">
        <v>327</v>
      </c>
      <c r="FC3" s="18" t="s">
        <v>328</v>
      </c>
      <c r="FD3" s="18" t="s">
        <v>329</v>
      </c>
      <c r="FE3" s="18" t="s">
        <v>330</v>
      </c>
      <c r="FF3" s="18" t="s">
        <v>331</v>
      </c>
      <c r="FG3" s="18" t="s">
        <v>332</v>
      </c>
      <c r="FH3" s="18" t="s">
        <v>333</v>
      </c>
      <c r="FI3" s="18" t="s">
        <v>334</v>
      </c>
      <c r="FJ3" s="18" t="s">
        <v>335</v>
      </c>
      <c r="FK3" s="18" t="s">
        <v>336</v>
      </c>
      <c r="FL3" s="18" t="s">
        <v>337</v>
      </c>
      <c r="FM3" s="18" t="s">
        <v>338</v>
      </c>
      <c r="FN3" s="18" t="s">
        <v>339</v>
      </c>
      <c r="FO3" s="18" t="s">
        <v>340</v>
      </c>
      <c r="FP3" s="18" t="s">
        <v>341</v>
      </c>
      <c r="FQ3" s="18" t="s">
        <v>342</v>
      </c>
      <c r="FR3" s="18" t="s">
        <v>343</v>
      </c>
      <c r="FS3" s="18" t="s">
        <v>344</v>
      </c>
      <c r="FT3" s="18" t="s">
        <v>345</v>
      </c>
      <c r="FU3" s="18" t="s">
        <v>346</v>
      </c>
      <c r="FV3" s="18" t="s">
        <v>347</v>
      </c>
      <c r="FW3" s="18" t="s">
        <v>348</v>
      </c>
      <c r="FX3" s="18" t="s">
        <v>349</v>
      </c>
      <c r="FY3" s="18" t="s">
        <v>350</v>
      </c>
      <c r="FZ3" s="18" t="s">
        <v>351</v>
      </c>
      <c r="GA3" s="18" t="s">
        <v>352</v>
      </c>
      <c r="GB3" s="18" t="s">
        <v>353</v>
      </c>
      <c r="GC3" s="18" t="s">
        <v>354</v>
      </c>
      <c r="GD3" s="18" t="s">
        <v>355</v>
      </c>
      <c r="GE3" s="18" t="s">
        <v>356</v>
      </c>
      <c r="GF3" s="18" t="s">
        <v>357</v>
      </c>
      <c r="GG3" s="18" t="s">
        <v>358</v>
      </c>
      <c r="GH3" s="18" t="s">
        <v>359</v>
      </c>
      <c r="GI3" s="20" t="s">
        <v>360</v>
      </c>
      <c r="GJ3" s="20" t="s">
        <v>361</v>
      </c>
      <c r="GK3" s="20" t="s">
        <v>362</v>
      </c>
      <c r="GL3" s="20" t="s">
        <v>363</v>
      </c>
      <c r="GM3" s="20" t="s">
        <v>364</v>
      </c>
      <c r="GN3" s="20" t="s">
        <v>365</v>
      </c>
      <c r="GO3" s="20" t="s">
        <v>366</v>
      </c>
      <c r="GP3" s="20" t="s">
        <v>367</v>
      </c>
      <c r="GQ3" s="20" t="s">
        <v>368</v>
      </c>
      <c r="GR3" s="20" t="s">
        <v>369</v>
      </c>
      <c r="GS3" s="20" t="s">
        <v>370</v>
      </c>
      <c r="GT3" s="20" t="s">
        <v>371</v>
      </c>
      <c r="GU3" s="20" t="s">
        <v>372</v>
      </c>
      <c r="GV3" s="20" t="s">
        <v>373</v>
      </c>
      <c r="GW3" s="20" t="s">
        <v>374</v>
      </c>
    </row>
    <row r="4" spans="1:205" ht="22" customHeight="1" x14ac:dyDescent="0.35">
      <c r="A4" s="392" t="s">
        <v>375</v>
      </c>
      <c r="B4" s="393"/>
      <c r="C4" s="393"/>
      <c r="D4" s="393"/>
      <c r="E4" s="393"/>
      <c r="F4" s="393"/>
      <c r="G4" s="393"/>
      <c r="H4" s="393"/>
      <c r="I4" s="393"/>
      <c r="J4" s="393"/>
      <c r="K4" s="393"/>
      <c r="L4" s="393"/>
      <c r="M4" s="393"/>
      <c r="N4" s="393"/>
      <c r="O4" s="393"/>
      <c r="P4" s="393"/>
      <c r="Q4" s="393"/>
      <c r="R4" s="393"/>
      <c r="S4" s="393"/>
      <c r="T4" s="393"/>
      <c r="U4" s="393"/>
      <c r="V4" s="393"/>
      <c r="W4" s="393"/>
      <c r="X4" s="393"/>
      <c r="Y4" s="393"/>
      <c r="Z4" s="393"/>
      <c r="AA4" s="393"/>
      <c r="AB4" s="393"/>
      <c r="AC4" s="393"/>
      <c r="AD4" s="393"/>
      <c r="AE4" s="393"/>
      <c r="AF4" s="393"/>
      <c r="AG4" s="393"/>
      <c r="AH4" s="393"/>
      <c r="AI4" s="393"/>
      <c r="AJ4" s="393"/>
      <c r="AK4" s="393"/>
      <c r="AL4" s="393"/>
      <c r="AM4" s="393"/>
      <c r="AN4" s="393"/>
      <c r="AO4" s="393"/>
      <c r="AP4" s="393"/>
      <c r="AQ4" s="393"/>
      <c r="AR4" s="393"/>
      <c r="AS4" s="393"/>
      <c r="AT4" s="393"/>
      <c r="AU4" s="393"/>
      <c r="AV4" s="393"/>
      <c r="AW4" s="393"/>
      <c r="AX4" s="393"/>
      <c r="AY4" s="393"/>
      <c r="AZ4" s="393"/>
      <c r="BA4" s="393"/>
      <c r="BB4" s="393"/>
      <c r="BC4" s="393"/>
      <c r="BD4" s="393"/>
      <c r="BE4" s="393"/>
      <c r="BF4" s="393"/>
      <c r="BG4" s="393"/>
      <c r="BH4" s="393"/>
      <c r="BI4" s="393"/>
      <c r="BJ4" s="393"/>
      <c r="BK4" s="393"/>
      <c r="BL4" s="393"/>
      <c r="BM4" s="393"/>
      <c r="BN4" s="393"/>
      <c r="BO4" s="393"/>
      <c r="BP4" s="393"/>
      <c r="BQ4" s="393"/>
      <c r="BR4" s="393"/>
      <c r="BS4" s="393"/>
      <c r="BT4" s="393"/>
      <c r="BU4" s="393"/>
      <c r="BV4" s="393"/>
      <c r="BW4" s="393"/>
      <c r="BX4" s="393"/>
      <c r="BY4" s="393"/>
      <c r="BZ4" s="393"/>
      <c r="CA4" s="393"/>
      <c r="CB4" s="393"/>
      <c r="CC4" s="393"/>
      <c r="CD4" s="393"/>
      <c r="CE4" s="393"/>
      <c r="CF4" s="393"/>
      <c r="CG4" s="393"/>
      <c r="CH4" s="393"/>
      <c r="CI4" s="393"/>
      <c r="CJ4" s="393"/>
      <c r="CK4" s="393"/>
      <c r="CL4" s="393"/>
      <c r="CM4" s="393"/>
      <c r="CN4" s="393"/>
      <c r="CO4" s="393"/>
      <c r="CP4" s="393"/>
      <c r="CQ4" s="393"/>
      <c r="CR4" s="393"/>
      <c r="CS4" s="393"/>
      <c r="CT4" s="393"/>
      <c r="CU4" s="393"/>
      <c r="CV4" s="393"/>
      <c r="CW4" s="393"/>
      <c r="CX4" s="393"/>
      <c r="CY4" s="393"/>
      <c r="CZ4" s="393"/>
      <c r="DA4" s="393"/>
      <c r="DB4" s="393"/>
      <c r="DC4" s="393"/>
      <c r="DD4" s="393"/>
      <c r="DE4" s="393"/>
      <c r="DF4" s="393"/>
      <c r="DG4" s="393"/>
      <c r="DH4" s="393"/>
      <c r="DI4" s="393"/>
      <c r="DJ4" s="393"/>
      <c r="DK4" s="393"/>
      <c r="DL4" s="393"/>
      <c r="DM4" s="393"/>
      <c r="DN4" s="393"/>
      <c r="DO4" s="393"/>
      <c r="DP4" s="393"/>
      <c r="DQ4" s="393"/>
      <c r="DR4" s="393"/>
      <c r="DS4" s="393"/>
      <c r="DT4" s="393"/>
      <c r="DU4" s="393"/>
      <c r="DV4" s="393"/>
      <c r="DW4" s="393"/>
      <c r="DX4" s="393"/>
      <c r="DY4" s="393"/>
      <c r="DZ4" s="393"/>
      <c r="EA4" s="393"/>
      <c r="EB4" s="393"/>
      <c r="EC4" s="393"/>
      <c r="ED4" s="393"/>
      <c r="EE4" s="393"/>
      <c r="EF4" s="393"/>
      <c r="EG4" s="393"/>
      <c r="EH4" s="393"/>
      <c r="EI4" s="393"/>
      <c r="EJ4" s="393"/>
      <c r="EK4" s="393"/>
      <c r="EL4" s="393"/>
      <c r="EM4" s="393"/>
      <c r="EN4" s="393"/>
      <c r="EO4" s="393"/>
      <c r="EP4" s="393"/>
      <c r="EQ4" s="393"/>
      <c r="ER4" s="393"/>
      <c r="ES4" s="393"/>
      <c r="ET4" s="393"/>
      <c r="EU4" s="393"/>
      <c r="EV4" s="393"/>
      <c r="EW4" s="393"/>
      <c r="EX4" s="393"/>
      <c r="EY4" s="393"/>
      <c r="EZ4" s="393"/>
      <c r="FA4" s="393"/>
      <c r="FB4" s="393"/>
      <c r="FC4" s="393"/>
      <c r="FD4" s="393"/>
      <c r="FE4" s="393"/>
      <c r="FF4" s="393"/>
      <c r="FG4" s="393"/>
      <c r="FH4" s="393"/>
      <c r="FI4" s="393"/>
      <c r="FJ4" s="393"/>
      <c r="FK4" s="393"/>
      <c r="FL4" s="393"/>
      <c r="FM4" s="393"/>
      <c r="FN4" s="393"/>
      <c r="FO4" s="393"/>
      <c r="FP4" s="393"/>
      <c r="FQ4" s="393"/>
      <c r="FR4" s="393"/>
      <c r="FS4" s="393"/>
      <c r="FT4" s="393"/>
      <c r="FU4" s="393"/>
      <c r="FV4" s="393"/>
      <c r="FW4" s="393"/>
      <c r="FX4" s="393"/>
      <c r="FY4" s="393"/>
      <c r="FZ4" s="393"/>
      <c r="GA4" s="393"/>
      <c r="GB4" s="393"/>
      <c r="GC4" s="393"/>
      <c r="GD4" s="393"/>
      <c r="GE4" s="393"/>
      <c r="GF4" s="393"/>
      <c r="GG4" s="393"/>
      <c r="GH4" s="393"/>
      <c r="GI4" s="393"/>
      <c r="GJ4" s="393"/>
      <c r="GK4" s="393"/>
      <c r="GL4" s="393"/>
      <c r="GM4" s="393"/>
      <c r="GN4" s="393"/>
      <c r="GO4" s="393"/>
      <c r="GP4" s="393"/>
      <c r="GQ4" s="393"/>
      <c r="GR4" s="393"/>
      <c r="GS4" s="393"/>
    </row>
    <row r="5" spans="1:205" ht="14" customHeight="1" x14ac:dyDescent="0.35">
      <c r="A5" s="2" t="s">
        <v>26</v>
      </c>
      <c r="B5" s="14" t="s">
        <v>27</v>
      </c>
      <c r="C5" s="4" t="s">
        <v>28</v>
      </c>
      <c r="D5" s="4" t="s">
        <v>29</v>
      </c>
      <c r="E5" s="21" t="str">
        <f>'Supplier Registry'!N5</f>
        <v>Active</v>
      </c>
      <c r="F5" s="21">
        <f>'Supplier Registry'!M5</f>
        <v>1</v>
      </c>
      <c r="G5" s="21">
        <f>'Supplier Registry'!E5</f>
        <v>16200</v>
      </c>
      <c r="H5" s="58">
        <f>'Supplier Registry'!P5</f>
        <v>9</v>
      </c>
      <c r="I5" s="74">
        <f>IFERROR(EDATE(Controls!B5,H5),"")</f>
        <v>46388</v>
      </c>
      <c r="J5" s="75">
        <f>IFERROR(EDATE(I5,-'Supplier Registry'!Q5),"")</f>
        <v>46357</v>
      </c>
      <c r="K5" s="29"/>
      <c r="L5" s="29"/>
      <c r="M5" s="29"/>
      <c r="N5" s="29"/>
      <c r="O5" s="29"/>
      <c r="P5" s="29">
        <v>2700</v>
      </c>
      <c r="Q5" s="29"/>
      <c r="R5" s="29"/>
      <c r="S5" s="29"/>
      <c r="T5" s="29">
        <v>32400</v>
      </c>
      <c r="U5" s="29"/>
      <c r="V5" s="29"/>
      <c r="W5" s="29">
        <v>0</v>
      </c>
      <c r="X5" s="29">
        <v>0</v>
      </c>
      <c r="Y5" s="29">
        <v>0</v>
      </c>
      <c r="Z5" s="29">
        <v>0</v>
      </c>
      <c r="AA5" s="29">
        <v>0</v>
      </c>
      <c r="AB5" s="29">
        <v>0</v>
      </c>
      <c r="AC5" s="29">
        <v>0</v>
      </c>
      <c r="AD5" s="29">
        <v>0</v>
      </c>
      <c r="AE5" s="29">
        <v>0</v>
      </c>
      <c r="AF5" s="29">
        <v>0</v>
      </c>
      <c r="AG5" s="29">
        <v>0</v>
      </c>
      <c r="AH5" s="29">
        <v>0</v>
      </c>
      <c r="AI5" s="29">
        <v>0</v>
      </c>
      <c r="AJ5" s="29">
        <v>0</v>
      </c>
      <c r="AK5" s="29">
        <v>0</v>
      </c>
      <c r="AL5" s="29">
        <v>0</v>
      </c>
      <c r="AM5" s="29">
        <v>0</v>
      </c>
      <c r="AN5" s="29">
        <v>0</v>
      </c>
      <c r="AO5" s="29">
        <v>0</v>
      </c>
      <c r="AP5" s="29">
        <v>0</v>
      </c>
      <c r="AQ5" s="29">
        <v>0</v>
      </c>
      <c r="AR5" s="29">
        <v>0</v>
      </c>
      <c r="AS5" s="29">
        <v>0</v>
      </c>
      <c r="AT5" s="29">
        <v>0</v>
      </c>
      <c r="AU5" s="29">
        <v>0</v>
      </c>
      <c r="AV5" s="29">
        <v>0</v>
      </c>
      <c r="AW5" s="29">
        <v>0</v>
      </c>
      <c r="AX5" s="29">
        <v>0</v>
      </c>
      <c r="AY5" s="29">
        <v>0</v>
      </c>
      <c r="AZ5" s="29">
        <v>0</v>
      </c>
      <c r="BA5" s="29">
        <v>0</v>
      </c>
      <c r="BB5" s="29">
        <v>0</v>
      </c>
      <c r="BC5" s="29">
        <v>0</v>
      </c>
      <c r="BD5" s="29">
        <v>0</v>
      </c>
      <c r="BE5" s="29">
        <v>0</v>
      </c>
      <c r="BF5" s="29">
        <v>0</v>
      </c>
      <c r="BG5" s="29">
        <v>0</v>
      </c>
      <c r="BH5" s="29">
        <v>0</v>
      </c>
      <c r="BI5" s="29">
        <v>0</v>
      </c>
      <c r="BJ5" s="29">
        <v>0</v>
      </c>
      <c r="BK5" s="29">
        <v>0</v>
      </c>
      <c r="BL5" s="29">
        <v>0</v>
      </c>
      <c r="BM5" s="29">
        <v>0</v>
      </c>
      <c r="BN5" s="29">
        <v>0</v>
      </c>
      <c r="BO5" s="29">
        <v>0</v>
      </c>
      <c r="BP5" s="29">
        <v>0</v>
      </c>
      <c r="BQ5" s="29">
        <v>0</v>
      </c>
      <c r="BR5" s="29">
        <v>0</v>
      </c>
      <c r="BS5" s="29">
        <v>0</v>
      </c>
      <c r="BT5" s="29">
        <v>0</v>
      </c>
      <c r="BU5" s="29">
        <v>0</v>
      </c>
      <c r="BV5" s="29">
        <v>0</v>
      </c>
      <c r="BW5" s="29">
        <v>0</v>
      </c>
      <c r="BX5" s="29">
        <v>0</v>
      </c>
      <c r="BY5" s="29">
        <v>0</v>
      </c>
      <c r="BZ5" s="29">
        <v>0</v>
      </c>
      <c r="CA5" s="29">
        <v>0</v>
      </c>
      <c r="CB5" s="29">
        <v>0</v>
      </c>
      <c r="CC5" s="29">
        <v>0</v>
      </c>
      <c r="CD5" s="29">
        <v>0</v>
      </c>
      <c r="CE5" s="29">
        <v>0</v>
      </c>
      <c r="CF5" s="29">
        <v>0</v>
      </c>
      <c r="CG5" s="29">
        <v>0</v>
      </c>
      <c r="CH5" s="29">
        <v>0</v>
      </c>
      <c r="CI5" s="29">
        <v>0</v>
      </c>
      <c r="CJ5" s="29">
        <v>0</v>
      </c>
      <c r="CK5" s="29">
        <v>0</v>
      </c>
      <c r="CL5" s="29">
        <v>0</v>
      </c>
      <c r="CM5" s="29">
        <v>0</v>
      </c>
      <c r="CN5" s="29">
        <v>0</v>
      </c>
      <c r="CO5" s="29">
        <v>0</v>
      </c>
      <c r="CP5" s="29">
        <v>0</v>
      </c>
      <c r="CQ5" s="29">
        <v>0</v>
      </c>
      <c r="CR5" s="29">
        <v>0</v>
      </c>
      <c r="CS5" s="29">
        <v>0</v>
      </c>
      <c r="CT5" s="29">
        <v>0</v>
      </c>
      <c r="CU5" s="29">
        <v>0</v>
      </c>
      <c r="CV5" s="29">
        <v>0</v>
      </c>
      <c r="CW5" s="29">
        <v>0</v>
      </c>
      <c r="CX5" s="29">
        <v>0</v>
      </c>
      <c r="CY5" s="29">
        <v>0</v>
      </c>
      <c r="CZ5" s="29">
        <v>0</v>
      </c>
      <c r="DA5" s="29">
        <v>0</v>
      </c>
      <c r="DB5" s="29">
        <v>0</v>
      </c>
      <c r="DC5" s="29">
        <v>0</v>
      </c>
      <c r="DD5" s="29">
        <v>0</v>
      </c>
      <c r="DE5" s="29">
        <v>0</v>
      </c>
      <c r="DF5" s="29">
        <v>0</v>
      </c>
      <c r="DG5" s="29">
        <v>0</v>
      </c>
      <c r="DH5" s="29">
        <v>0</v>
      </c>
      <c r="DI5" s="29">
        <v>0</v>
      </c>
      <c r="DJ5" s="29">
        <v>0</v>
      </c>
      <c r="DK5" s="29">
        <v>0</v>
      </c>
      <c r="DL5" s="29">
        <v>0</v>
      </c>
      <c r="DM5" s="29">
        <v>0</v>
      </c>
      <c r="DN5" s="29">
        <v>0</v>
      </c>
      <c r="DO5" s="29">
        <v>0</v>
      </c>
      <c r="DP5" s="29">
        <v>0</v>
      </c>
      <c r="DQ5" s="29">
        <v>0</v>
      </c>
      <c r="DR5" s="29">
        <v>0</v>
      </c>
      <c r="DS5" s="29">
        <v>0</v>
      </c>
      <c r="DT5" s="29">
        <v>0</v>
      </c>
      <c r="DU5" s="29">
        <v>0</v>
      </c>
      <c r="DV5" s="29">
        <v>0</v>
      </c>
      <c r="DW5" s="29">
        <v>0</v>
      </c>
      <c r="DX5" s="29">
        <v>0</v>
      </c>
      <c r="DY5" s="29">
        <v>0</v>
      </c>
      <c r="DZ5" s="29">
        <v>0</v>
      </c>
      <c r="EA5" s="29">
        <v>0</v>
      </c>
      <c r="EB5" s="29">
        <v>0</v>
      </c>
      <c r="EC5" s="29">
        <v>0</v>
      </c>
      <c r="ED5" s="29">
        <v>0</v>
      </c>
      <c r="EE5" s="29">
        <v>0</v>
      </c>
      <c r="EF5" s="29">
        <v>0</v>
      </c>
      <c r="EG5" s="29">
        <v>0</v>
      </c>
      <c r="EH5" s="29">
        <v>0</v>
      </c>
      <c r="EI5" s="29">
        <v>0</v>
      </c>
      <c r="EJ5" s="29">
        <v>0</v>
      </c>
      <c r="EK5" s="29">
        <v>0</v>
      </c>
      <c r="EL5" s="29">
        <v>0</v>
      </c>
      <c r="EM5" s="29">
        <v>0</v>
      </c>
      <c r="EN5" s="29">
        <v>0</v>
      </c>
      <c r="EO5" s="29">
        <v>0</v>
      </c>
      <c r="EP5" s="29">
        <v>0</v>
      </c>
      <c r="EQ5" s="29">
        <v>0</v>
      </c>
      <c r="ER5" s="29">
        <v>0</v>
      </c>
      <c r="ES5" s="29">
        <v>0</v>
      </c>
      <c r="ET5" s="29">
        <v>0</v>
      </c>
      <c r="EU5" s="29">
        <v>0</v>
      </c>
      <c r="EV5" s="29">
        <v>0</v>
      </c>
      <c r="EW5" s="29">
        <v>0</v>
      </c>
      <c r="EX5" s="29">
        <v>0</v>
      </c>
      <c r="EY5" s="29">
        <v>0</v>
      </c>
      <c r="EZ5" s="29">
        <v>0</v>
      </c>
      <c r="FA5" s="29">
        <v>0</v>
      </c>
      <c r="FB5" s="29">
        <v>0</v>
      </c>
      <c r="FC5" s="29">
        <v>0</v>
      </c>
      <c r="FD5" s="29">
        <v>0</v>
      </c>
      <c r="FE5" s="29">
        <v>0</v>
      </c>
      <c r="FF5" s="29">
        <v>0</v>
      </c>
      <c r="FG5" s="29">
        <v>0</v>
      </c>
      <c r="FH5" s="29">
        <v>0</v>
      </c>
      <c r="FI5" s="29">
        <v>0</v>
      </c>
      <c r="FJ5" s="29">
        <v>0</v>
      </c>
      <c r="FK5" s="29">
        <v>0</v>
      </c>
      <c r="FL5" s="29">
        <v>0</v>
      </c>
      <c r="FM5" s="29">
        <v>0</v>
      </c>
      <c r="FN5" s="29">
        <v>0</v>
      </c>
      <c r="FO5" s="29">
        <v>0</v>
      </c>
      <c r="FP5" s="29">
        <v>0</v>
      </c>
      <c r="FQ5" s="29">
        <v>0</v>
      </c>
      <c r="FR5" s="29">
        <v>0</v>
      </c>
      <c r="FS5" s="29">
        <v>0</v>
      </c>
      <c r="FT5" s="29">
        <v>0</v>
      </c>
      <c r="FU5" s="29">
        <v>0</v>
      </c>
      <c r="FV5" s="29">
        <v>0</v>
      </c>
      <c r="FW5" s="29">
        <v>0</v>
      </c>
      <c r="FX5" s="29">
        <v>0</v>
      </c>
      <c r="FY5" s="29">
        <v>0</v>
      </c>
      <c r="FZ5" s="29">
        <v>0</v>
      </c>
      <c r="GA5" s="29">
        <v>0</v>
      </c>
      <c r="GB5" s="29">
        <v>0</v>
      </c>
      <c r="GC5" s="29">
        <v>0</v>
      </c>
      <c r="GD5" s="29">
        <v>0</v>
      </c>
      <c r="GE5" s="29">
        <v>0</v>
      </c>
      <c r="GF5" s="29">
        <v>0</v>
      </c>
      <c r="GG5" s="29">
        <v>0</v>
      </c>
      <c r="GH5" s="29">
        <v>0</v>
      </c>
      <c r="GI5" s="206">
        <f>SUM(K5:V5)</f>
        <v>35100</v>
      </c>
      <c r="GJ5" s="206">
        <f>SUM(T5:AE5)</f>
        <v>32400</v>
      </c>
      <c r="GK5" s="206">
        <f>SUM(AF5:AQ5)</f>
        <v>0</v>
      </c>
      <c r="GL5" s="206">
        <f>SUM(AR5:BC5)</f>
        <v>0</v>
      </c>
      <c r="GM5" s="206">
        <f>SUM(BD5:BO5)</f>
        <v>0</v>
      </c>
      <c r="GN5" s="206">
        <f>SUM(BP5:CA5)</f>
        <v>0</v>
      </c>
      <c r="GO5" s="206">
        <f>SUM(CB5:CM5)</f>
        <v>0</v>
      </c>
      <c r="GP5" s="206">
        <f>SUM(CN5:CY5)</f>
        <v>0</v>
      </c>
      <c r="GQ5" s="206">
        <f>SUM(CZ5:DK5)</f>
        <v>0</v>
      </c>
      <c r="GR5" s="206">
        <f>SUM(DL5:DW5)</f>
        <v>0</v>
      </c>
      <c r="GS5" s="206">
        <f>SUM(DX5:EI5)</f>
        <v>0</v>
      </c>
      <c r="GT5" s="206">
        <f>SUM(EJ5:EU5)</f>
        <v>0</v>
      </c>
      <c r="GU5" s="206">
        <f>SUM(EV5:FG5)</f>
        <v>0</v>
      </c>
      <c r="GV5" s="206">
        <f>SUM(FH5:FS5)</f>
        <v>0</v>
      </c>
      <c r="GW5" s="206">
        <f>SUM(FT5:GE5)</f>
        <v>0</v>
      </c>
    </row>
    <row r="6" spans="1:205" ht="14" customHeight="1" x14ac:dyDescent="0.35">
      <c r="A6" s="10" t="s">
        <v>26</v>
      </c>
      <c r="B6" s="11" t="s">
        <v>31</v>
      </c>
      <c r="C6" s="12" t="s">
        <v>28</v>
      </c>
      <c r="D6" s="12" t="s">
        <v>29</v>
      </c>
      <c r="E6" s="21" t="str">
        <f>'Supplier Registry'!N6</f>
        <v>Inactive</v>
      </c>
      <c r="F6" s="21">
        <f>'Supplier Registry'!M6</f>
        <v>0</v>
      </c>
      <c r="G6" s="21">
        <f>'Supplier Registry'!E6</f>
        <v>32000</v>
      </c>
      <c r="H6" s="58">
        <f>'Supplier Registry'!P6</f>
        <v>9</v>
      </c>
      <c r="I6" s="74">
        <f>IFERROR(EDATE(Controls!B5,H6),"")</f>
        <v>46388</v>
      </c>
      <c r="J6" s="75">
        <f>IFERROR(EDATE(I6,-'Supplier Registry'!Q6),"")</f>
        <v>46357</v>
      </c>
      <c r="K6" s="29"/>
      <c r="L6" s="29"/>
      <c r="M6" s="29"/>
      <c r="N6" s="29"/>
      <c r="O6" s="29"/>
      <c r="P6" s="29"/>
      <c r="Q6" s="29"/>
      <c r="R6" s="29"/>
      <c r="S6" s="29"/>
      <c r="T6" s="29"/>
      <c r="U6" s="29"/>
      <c r="V6" s="29"/>
      <c r="W6" s="29">
        <v>0</v>
      </c>
      <c r="X6" s="29">
        <v>0</v>
      </c>
      <c r="Y6" s="29">
        <v>0</v>
      </c>
      <c r="Z6" s="29">
        <v>0</v>
      </c>
      <c r="AA6" s="29">
        <v>0</v>
      </c>
      <c r="AB6" s="29">
        <v>0</v>
      </c>
      <c r="AC6" s="29">
        <v>0</v>
      </c>
      <c r="AD6" s="29">
        <v>0</v>
      </c>
      <c r="AE6" s="29">
        <v>0</v>
      </c>
      <c r="AF6" s="29">
        <v>0</v>
      </c>
      <c r="AG6" s="29">
        <v>0</v>
      </c>
      <c r="AH6" s="29">
        <v>0</v>
      </c>
      <c r="AI6" s="29">
        <v>0</v>
      </c>
      <c r="AJ6" s="29">
        <v>0</v>
      </c>
      <c r="AK6" s="29">
        <v>0</v>
      </c>
      <c r="AL6" s="29">
        <v>0</v>
      </c>
      <c r="AM6" s="29">
        <v>0</v>
      </c>
      <c r="AN6" s="29">
        <v>0</v>
      </c>
      <c r="AO6" s="29">
        <v>0</v>
      </c>
      <c r="AP6" s="29">
        <v>0</v>
      </c>
      <c r="AQ6" s="29">
        <v>0</v>
      </c>
      <c r="AR6" s="29">
        <v>0</v>
      </c>
      <c r="AS6" s="29">
        <v>0</v>
      </c>
      <c r="AT6" s="29">
        <v>0</v>
      </c>
      <c r="AU6" s="29">
        <v>0</v>
      </c>
      <c r="AV6" s="29">
        <v>0</v>
      </c>
      <c r="AW6" s="29">
        <v>0</v>
      </c>
      <c r="AX6" s="29">
        <v>0</v>
      </c>
      <c r="AY6" s="29">
        <v>0</v>
      </c>
      <c r="AZ6" s="29">
        <v>0</v>
      </c>
      <c r="BA6" s="29">
        <v>0</v>
      </c>
      <c r="BB6" s="29">
        <v>0</v>
      </c>
      <c r="BC6" s="29">
        <v>0</v>
      </c>
      <c r="BD6" s="29">
        <v>0</v>
      </c>
      <c r="BE6" s="29">
        <v>0</v>
      </c>
      <c r="BF6" s="29">
        <v>0</v>
      </c>
      <c r="BG6" s="29">
        <v>0</v>
      </c>
      <c r="BH6" s="29">
        <v>0</v>
      </c>
      <c r="BI6" s="29">
        <v>0</v>
      </c>
      <c r="BJ6" s="29">
        <v>0</v>
      </c>
      <c r="BK6" s="29">
        <v>0</v>
      </c>
      <c r="BL6" s="29">
        <v>0</v>
      </c>
      <c r="BM6" s="29">
        <v>0</v>
      </c>
      <c r="BN6" s="29">
        <v>0</v>
      </c>
      <c r="BO6" s="29">
        <v>0</v>
      </c>
      <c r="BP6" s="29">
        <v>0</v>
      </c>
      <c r="BQ6" s="29">
        <v>0</v>
      </c>
      <c r="BR6" s="29">
        <v>0</v>
      </c>
      <c r="BS6" s="29">
        <v>0</v>
      </c>
      <c r="BT6" s="29">
        <v>0</v>
      </c>
      <c r="BU6" s="29">
        <v>0</v>
      </c>
      <c r="BV6" s="29">
        <v>0</v>
      </c>
      <c r="BW6" s="29">
        <v>0</v>
      </c>
      <c r="BX6" s="29">
        <v>0</v>
      </c>
      <c r="BY6" s="29">
        <v>0</v>
      </c>
      <c r="BZ6" s="29">
        <v>0</v>
      </c>
      <c r="CA6" s="29">
        <v>0</v>
      </c>
      <c r="CB6" s="29">
        <v>0</v>
      </c>
      <c r="CC6" s="29">
        <v>0</v>
      </c>
      <c r="CD6" s="29">
        <v>0</v>
      </c>
      <c r="CE6" s="29">
        <v>0</v>
      </c>
      <c r="CF6" s="29">
        <v>0</v>
      </c>
      <c r="CG6" s="29">
        <v>0</v>
      </c>
      <c r="CH6" s="29">
        <v>0</v>
      </c>
      <c r="CI6" s="29">
        <v>0</v>
      </c>
      <c r="CJ6" s="29">
        <v>0</v>
      </c>
      <c r="CK6" s="29">
        <v>0</v>
      </c>
      <c r="CL6" s="29">
        <v>0</v>
      </c>
      <c r="CM6" s="29">
        <v>0</v>
      </c>
      <c r="CN6" s="29">
        <v>0</v>
      </c>
      <c r="CO6" s="29">
        <v>0</v>
      </c>
      <c r="CP6" s="29">
        <v>0</v>
      </c>
      <c r="CQ6" s="29">
        <v>0</v>
      </c>
      <c r="CR6" s="29">
        <v>0</v>
      </c>
      <c r="CS6" s="29">
        <v>0</v>
      </c>
      <c r="CT6" s="29">
        <v>0</v>
      </c>
      <c r="CU6" s="29">
        <v>0</v>
      </c>
      <c r="CV6" s="29">
        <v>0</v>
      </c>
      <c r="CW6" s="29">
        <v>0</v>
      </c>
      <c r="CX6" s="29">
        <v>0</v>
      </c>
      <c r="CY6" s="29">
        <v>0</v>
      </c>
      <c r="CZ6" s="29">
        <v>0</v>
      </c>
      <c r="DA6" s="29">
        <v>0</v>
      </c>
      <c r="DB6" s="29">
        <v>0</v>
      </c>
      <c r="DC6" s="29">
        <v>0</v>
      </c>
      <c r="DD6" s="29">
        <v>0</v>
      </c>
      <c r="DE6" s="29">
        <v>0</v>
      </c>
      <c r="DF6" s="29">
        <v>0</v>
      </c>
      <c r="DG6" s="29">
        <v>0</v>
      </c>
      <c r="DH6" s="29">
        <v>0</v>
      </c>
      <c r="DI6" s="29">
        <v>0</v>
      </c>
      <c r="DJ6" s="29">
        <v>0</v>
      </c>
      <c r="DK6" s="29">
        <v>0</v>
      </c>
      <c r="DL6" s="29">
        <v>0</v>
      </c>
      <c r="DM6" s="29">
        <v>0</v>
      </c>
      <c r="DN6" s="29">
        <v>0</v>
      </c>
      <c r="DO6" s="29">
        <v>0</v>
      </c>
      <c r="DP6" s="29">
        <v>0</v>
      </c>
      <c r="DQ6" s="29">
        <v>0</v>
      </c>
      <c r="DR6" s="29">
        <v>0</v>
      </c>
      <c r="DS6" s="29">
        <v>0</v>
      </c>
      <c r="DT6" s="29">
        <v>0</v>
      </c>
      <c r="DU6" s="29">
        <v>0</v>
      </c>
      <c r="DV6" s="29">
        <v>0</v>
      </c>
      <c r="DW6" s="29">
        <v>0</v>
      </c>
      <c r="DX6" s="29">
        <v>0</v>
      </c>
      <c r="DY6" s="29">
        <v>0</v>
      </c>
      <c r="DZ6" s="29">
        <v>0</v>
      </c>
      <c r="EA6" s="29">
        <v>0</v>
      </c>
      <c r="EB6" s="29">
        <v>0</v>
      </c>
      <c r="EC6" s="29">
        <v>0</v>
      </c>
      <c r="ED6" s="29">
        <v>0</v>
      </c>
      <c r="EE6" s="29">
        <v>0</v>
      </c>
      <c r="EF6" s="29">
        <v>0</v>
      </c>
      <c r="EG6" s="29">
        <v>0</v>
      </c>
      <c r="EH6" s="29">
        <v>0</v>
      </c>
      <c r="EI6" s="29">
        <v>0</v>
      </c>
      <c r="EJ6" s="29">
        <v>0</v>
      </c>
      <c r="EK6" s="29">
        <v>0</v>
      </c>
      <c r="EL6" s="29">
        <v>0</v>
      </c>
      <c r="EM6" s="29">
        <v>0</v>
      </c>
      <c r="EN6" s="29">
        <v>0</v>
      </c>
      <c r="EO6" s="29">
        <v>0</v>
      </c>
      <c r="EP6" s="29">
        <v>0</v>
      </c>
      <c r="EQ6" s="29">
        <v>0</v>
      </c>
      <c r="ER6" s="29">
        <v>0</v>
      </c>
      <c r="ES6" s="29">
        <v>0</v>
      </c>
      <c r="ET6" s="29">
        <v>0</v>
      </c>
      <c r="EU6" s="29">
        <v>0</v>
      </c>
      <c r="EV6" s="29">
        <v>0</v>
      </c>
      <c r="EW6" s="29">
        <v>0</v>
      </c>
      <c r="EX6" s="29">
        <v>0</v>
      </c>
      <c r="EY6" s="29">
        <v>0</v>
      </c>
      <c r="EZ6" s="29">
        <v>0</v>
      </c>
      <c r="FA6" s="29">
        <v>0</v>
      </c>
      <c r="FB6" s="29">
        <v>0</v>
      </c>
      <c r="FC6" s="29">
        <v>0</v>
      </c>
      <c r="FD6" s="29">
        <v>0</v>
      </c>
      <c r="FE6" s="29">
        <v>0</v>
      </c>
      <c r="FF6" s="29">
        <v>0</v>
      </c>
      <c r="FG6" s="29">
        <v>0</v>
      </c>
      <c r="FH6" s="29">
        <v>0</v>
      </c>
      <c r="FI6" s="29">
        <v>0</v>
      </c>
      <c r="FJ6" s="29">
        <v>0</v>
      </c>
      <c r="FK6" s="29">
        <v>0</v>
      </c>
      <c r="FL6" s="29">
        <v>0</v>
      </c>
      <c r="FM6" s="29">
        <v>0</v>
      </c>
      <c r="FN6" s="29">
        <v>0</v>
      </c>
      <c r="FO6" s="29">
        <v>0</v>
      </c>
      <c r="FP6" s="29">
        <v>0</v>
      </c>
      <c r="FQ6" s="29">
        <v>0</v>
      </c>
      <c r="FR6" s="29">
        <v>0</v>
      </c>
      <c r="FS6" s="29">
        <v>0</v>
      </c>
      <c r="FT6" s="29">
        <v>0</v>
      </c>
      <c r="FU6" s="29">
        <v>0</v>
      </c>
      <c r="FV6" s="29">
        <v>0</v>
      </c>
      <c r="FW6" s="29">
        <v>0</v>
      </c>
      <c r="FX6" s="29">
        <v>0</v>
      </c>
      <c r="FY6" s="29">
        <v>0</v>
      </c>
      <c r="FZ6" s="29">
        <v>0</v>
      </c>
      <c r="GA6" s="29">
        <v>0</v>
      </c>
      <c r="GB6" s="29">
        <v>0</v>
      </c>
      <c r="GC6" s="29">
        <v>0</v>
      </c>
      <c r="GD6" s="29">
        <v>0</v>
      </c>
      <c r="GE6" s="29">
        <v>0</v>
      </c>
      <c r="GF6" s="29">
        <v>0</v>
      </c>
      <c r="GG6" s="29">
        <v>0</v>
      </c>
      <c r="GH6" s="29">
        <v>0</v>
      </c>
      <c r="GI6" s="206">
        <f>SUM(K6:V6)</f>
        <v>0</v>
      </c>
      <c r="GJ6" s="206">
        <f>SUM(T6:AE6)</f>
        <v>0</v>
      </c>
      <c r="GK6" s="206">
        <f>SUM(AF6:AQ6)</f>
        <v>0</v>
      </c>
      <c r="GL6" s="206">
        <f>SUM(AR6:BC6)</f>
        <v>0</v>
      </c>
      <c r="GM6" s="206">
        <f>SUM(BD6:BO6)</f>
        <v>0</v>
      </c>
      <c r="GN6" s="206">
        <f>SUM(BP6:CA6)</f>
        <v>0</v>
      </c>
      <c r="GO6" s="206">
        <f>SUM(CB6:CM6)</f>
        <v>0</v>
      </c>
      <c r="GP6" s="206">
        <f>SUM(CN6:CY6)</f>
        <v>0</v>
      </c>
      <c r="GQ6" s="206">
        <f>SUM(CZ6:DK6)</f>
        <v>0</v>
      </c>
      <c r="GR6" s="206">
        <f>SUM(DL6:DW6)</f>
        <v>0</v>
      </c>
      <c r="GS6" s="206">
        <f>SUM(DX6:EI6)</f>
        <v>0</v>
      </c>
      <c r="GT6" s="206">
        <f>SUM(EJ6:EU6)</f>
        <v>0</v>
      </c>
      <c r="GU6" s="206">
        <f>SUM(EV6:FG6)</f>
        <v>0</v>
      </c>
      <c r="GV6" s="206">
        <f>SUM(FH6:FS6)</f>
        <v>0</v>
      </c>
      <c r="GW6" s="206">
        <f>SUM(FT6:GE6)</f>
        <v>0</v>
      </c>
    </row>
    <row r="7" spans="1:205" ht="14" customHeight="1" x14ac:dyDescent="0.35">
      <c r="A7" s="2" t="s">
        <v>26</v>
      </c>
      <c r="B7" s="3" t="s">
        <v>33</v>
      </c>
      <c r="C7" s="4" t="s">
        <v>28</v>
      </c>
      <c r="D7" s="4" t="s">
        <v>29</v>
      </c>
      <c r="E7" s="21" t="str">
        <f>'Supplier Registry'!N7</f>
        <v>Inactive</v>
      </c>
      <c r="F7" s="21">
        <f>'Supplier Registry'!M7</f>
        <v>0</v>
      </c>
      <c r="G7" s="21">
        <f>'Supplier Registry'!E7</f>
        <v>16200</v>
      </c>
      <c r="H7" s="58">
        <f>'Supplier Registry'!P7</f>
        <v>9</v>
      </c>
      <c r="I7" s="74">
        <f>IFERROR(EDATE(Controls!B5,H7),"")</f>
        <v>46388</v>
      </c>
      <c r="J7" s="75">
        <f>IFERROR(EDATE(I7,-'Supplier Registry'!Q7),"")</f>
        <v>46357</v>
      </c>
      <c r="K7" s="29"/>
      <c r="L7" s="29"/>
      <c r="M7" s="29"/>
      <c r="N7" s="29"/>
      <c r="O7" s="29"/>
      <c r="P7" s="29"/>
      <c r="Q7" s="29"/>
      <c r="R7" s="29"/>
      <c r="S7" s="29"/>
      <c r="T7" s="29"/>
      <c r="U7" s="29"/>
      <c r="V7" s="29"/>
      <c r="W7" s="29">
        <v>0</v>
      </c>
      <c r="X7" s="29">
        <v>0</v>
      </c>
      <c r="Y7" s="29">
        <v>0</v>
      </c>
      <c r="Z7" s="29">
        <v>0</v>
      </c>
      <c r="AA7" s="29">
        <v>0</v>
      </c>
      <c r="AB7" s="29">
        <v>0</v>
      </c>
      <c r="AC7" s="29">
        <v>0</v>
      </c>
      <c r="AD7" s="29">
        <v>0</v>
      </c>
      <c r="AE7" s="29">
        <v>0</v>
      </c>
      <c r="AF7" s="29">
        <v>0</v>
      </c>
      <c r="AG7" s="29">
        <v>0</v>
      </c>
      <c r="AH7" s="29">
        <v>0</v>
      </c>
      <c r="AI7" s="29">
        <v>0</v>
      </c>
      <c r="AJ7" s="29">
        <v>0</v>
      </c>
      <c r="AK7" s="29">
        <v>0</v>
      </c>
      <c r="AL7" s="29">
        <v>0</v>
      </c>
      <c r="AM7" s="29">
        <v>0</v>
      </c>
      <c r="AN7" s="29">
        <v>0</v>
      </c>
      <c r="AO7" s="29">
        <v>0</v>
      </c>
      <c r="AP7" s="29">
        <v>0</v>
      </c>
      <c r="AQ7" s="29">
        <v>0</v>
      </c>
      <c r="AR7" s="29">
        <v>0</v>
      </c>
      <c r="AS7" s="29">
        <v>0</v>
      </c>
      <c r="AT7" s="29">
        <v>0</v>
      </c>
      <c r="AU7" s="29">
        <v>0</v>
      </c>
      <c r="AV7" s="29">
        <v>0</v>
      </c>
      <c r="AW7" s="29">
        <v>0</v>
      </c>
      <c r="AX7" s="29">
        <v>0</v>
      </c>
      <c r="AY7" s="29">
        <v>0</v>
      </c>
      <c r="AZ7" s="29">
        <v>0</v>
      </c>
      <c r="BA7" s="29">
        <v>0</v>
      </c>
      <c r="BB7" s="29">
        <v>0</v>
      </c>
      <c r="BC7" s="29">
        <v>0</v>
      </c>
      <c r="BD7" s="29">
        <v>0</v>
      </c>
      <c r="BE7" s="29">
        <v>0</v>
      </c>
      <c r="BF7" s="29">
        <v>0</v>
      </c>
      <c r="BG7" s="29">
        <v>0</v>
      </c>
      <c r="BH7" s="29">
        <v>0</v>
      </c>
      <c r="BI7" s="29">
        <v>0</v>
      </c>
      <c r="BJ7" s="29">
        <v>0</v>
      </c>
      <c r="BK7" s="29">
        <v>0</v>
      </c>
      <c r="BL7" s="29">
        <v>0</v>
      </c>
      <c r="BM7" s="29">
        <v>0</v>
      </c>
      <c r="BN7" s="29">
        <v>0</v>
      </c>
      <c r="BO7" s="29">
        <v>0</v>
      </c>
      <c r="BP7" s="29">
        <v>0</v>
      </c>
      <c r="BQ7" s="29">
        <v>0</v>
      </c>
      <c r="BR7" s="29">
        <v>0</v>
      </c>
      <c r="BS7" s="29">
        <v>0</v>
      </c>
      <c r="BT7" s="29">
        <v>0</v>
      </c>
      <c r="BU7" s="29">
        <v>0</v>
      </c>
      <c r="BV7" s="29">
        <v>0</v>
      </c>
      <c r="BW7" s="29">
        <v>0</v>
      </c>
      <c r="BX7" s="29">
        <v>0</v>
      </c>
      <c r="BY7" s="29">
        <v>0</v>
      </c>
      <c r="BZ7" s="29">
        <v>0</v>
      </c>
      <c r="CA7" s="29">
        <v>0</v>
      </c>
      <c r="CB7" s="29">
        <v>0</v>
      </c>
      <c r="CC7" s="29">
        <v>0</v>
      </c>
      <c r="CD7" s="29">
        <v>0</v>
      </c>
      <c r="CE7" s="29">
        <v>0</v>
      </c>
      <c r="CF7" s="29">
        <v>0</v>
      </c>
      <c r="CG7" s="29">
        <v>0</v>
      </c>
      <c r="CH7" s="29">
        <v>0</v>
      </c>
      <c r="CI7" s="29">
        <v>0</v>
      </c>
      <c r="CJ7" s="29">
        <v>0</v>
      </c>
      <c r="CK7" s="29">
        <v>0</v>
      </c>
      <c r="CL7" s="29">
        <v>0</v>
      </c>
      <c r="CM7" s="29">
        <v>0</v>
      </c>
      <c r="CN7" s="29">
        <v>0</v>
      </c>
      <c r="CO7" s="29">
        <v>0</v>
      </c>
      <c r="CP7" s="29">
        <v>0</v>
      </c>
      <c r="CQ7" s="29">
        <v>0</v>
      </c>
      <c r="CR7" s="29">
        <v>0</v>
      </c>
      <c r="CS7" s="29">
        <v>0</v>
      </c>
      <c r="CT7" s="29">
        <v>0</v>
      </c>
      <c r="CU7" s="29">
        <v>0</v>
      </c>
      <c r="CV7" s="29">
        <v>0</v>
      </c>
      <c r="CW7" s="29">
        <v>0</v>
      </c>
      <c r="CX7" s="29">
        <v>0</v>
      </c>
      <c r="CY7" s="29">
        <v>0</v>
      </c>
      <c r="CZ7" s="29">
        <v>0</v>
      </c>
      <c r="DA7" s="29">
        <v>0</v>
      </c>
      <c r="DB7" s="29">
        <v>0</v>
      </c>
      <c r="DC7" s="29">
        <v>0</v>
      </c>
      <c r="DD7" s="29">
        <v>0</v>
      </c>
      <c r="DE7" s="29">
        <v>0</v>
      </c>
      <c r="DF7" s="29">
        <v>0</v>
      </c>
      <c r="DG7" s="29">
        <v>0</v>
      </c>
      <c r="DH7" s="29">
        <v>0</v>
      </c>
      <c r="DI7" s="29">
        <v>0</v>
      </c>
      <c r="DJ7" s="29">
        <v>0</v>
      </c>
      <c r="DK7" s="29">
        <v>0</v>
      </c>
      <c r="DL7" s="29">
        <v>0</v>
      </c>
      <c r="DM7" s="29">
        <v>0</v>
      </c>
      <c r="DN7" s="29">
        <v>0</v>
      </c>
      <c r="DO7" s="29">
        <v>0</v>
      </c>
      <c r="DP7" s="29">
        <v>0</v>
      </c>
      <c r="DQ7" s="29">
        <v>0</v>
      </c>
      <c r="DR7" s="29">
        <v>0</v>
      </c>
      <c r="DS7" s="29">
        <v>0</v>
      </c>
      <c r="DT7" s="29">
        <v>0</v>
      </c>
      <c r="DU7" s="29">
        <v>0</v>
      </c>
      <c r="DV7" s="29">
        <v>0</v>
      </c>
      <c r="DW7" s="29">
        <v>0</v>
      </c>
      <c r="DX7" s="29">
        <v>0</v>
      </c>
      <c r="DY7" s="29">
        <v>0</v>
      </c>
      <c r="DZ7" s="29">
        <v>0</v>
      </c>
      <c r="EA7" s="29">
        <v>0</v>
      </c>
      <c r="EB7" s="29">
        <v>0</v>
      </c>
      <c r="EC7" s="29">
        <v>0</v>
      </c>
      <c r="ED7" s="29">
        <v>0</v>
      </c>
      <c r="EE7" s="29">
        <v>0</v>
      </c>
      <c r="EF7" s="29">
        <v>0</v>
      </c>
      <c r="EG7" s="29">
        <v>0</v>
      </c>
      <c r="EH7" s="29">
        <v>0</v>
      </c>
      <c r="EI7" s="29">
        <v>0</v>
      </c>
      <c r="EJ7" s="29">
        <v>0</v>
      </c>
      <c r="EK7" s="29">
        <v>0</v>
      </c>
      <c r="EL7" s="29">
        <v>0</v>
      </c>
      <c r="EM7" s="29">
        <v>0</v>
      </c>
      <c r="EN7" s="29">
        <v>0</v>
      </c>
      <c r="EO7" s="29">
        <v>0</v>
      </c>
      <c r="EP7" s="29">
        <v>0</v>
      </c>
      <c r="EQ7" s="29">
        <v>0</v>
      </c>
      <c r="ER7" s="29">
        <v>0</v>
      </c>
      <c r="ES7" s="29">
        <v>0</v>
      </c>
      <c r="ET7" s="29">
        <v>0</v>
      </c>
      <c r="EU7" s="29">
        <v>0</v>
      </c>
      <c r="EV7" s="29">
        <v>0</v>
      </c>
      <c r="EW7" s="29">
        <v>0</v>
      </c>
      <c r="EX7" s="29">
        <v>0</v>
      </c>
      <c r="EY7" s="29">
        <v>0</v>
      </c>
      <c r="EZ7" s="29">
        <v>0</v>
      </c>
      <c r="FA7" s="29">
        <v>0</v>
      </c>
      <c r="FB7" s="29">
        <v>0</v>
      </c>
      <c r="FC7" s="29">
        <v>0</v>
      </c>
      <c r="FD7" s="29">
        <v>0</v>
      </c>
      <c r="FE7" s="29">
        <v>0</v>
      </c>
      <c r="FF7" s="29">
        <v>0</v>
      </c>
      <c r="FG7" s="29">
        <v>0</v>
      </c>
      <c r="FH7" s="29">
        <v>0</v>
      </c>
      <c r="FI7" s="29">
        <v>0</v>
      </c>
      <c r="FJ7" s="29">
        <v>0</v>
      </c>
      <c r="FK7" s="29">
        <v>0</v>
      </c>
      <c r="FL7" s="29">
        <v>0</v>
      </c>
      <c r="FM7" s="29">
        <v>0</v>
      </c>
      <c r="FN7" s="29">
        <v>0</v>
      </c>
      <c r="FO7" s="29">
        <v>0</v>
      </c>
      <c r="FP7" s="29">
        <v>0</v>
      </c>
      <c r="FQ7" s="29">
        <v>0</v>
      </c>
      <c r="FR7" s="29">
        <v>0</v>
      </c>
      <c r="FS7" s="29">
        <v>0</v>
      </c>
      <c r="FT7" s="29">
        <v>0</v>
      </c>
      <c r="FU7" s="29">
        <v>0</v>
      </c>
      <c r="FV7" s="29">
        <v>0</v>
      </c>
      <c r="FW7" s="29">
        <v>0</v>
      </c>
      <c r="FX7" s="29">
        <v>0</v>
      </c>
      <c r="FY7" s="29">
        <v>0</v>
      </c>
      <c r="FZ7" s="29">
        <v>0</v>
      </c>
      <c r="GA7" s="29">
        <v>0</v>
      </c>
      <c r="GB7" s="29">
        <v>0</v>
      </c>
      <c r="GC7" s="29">
        <v>0</v>
      </c>
      <c r="GD7" s="29">
        <v>0</v>
      </c>
      <c r="GE7" s="29">
        <v>0</v>
      </c>
      <c r="GF7" s="29">
        <v>0</v>
      </c>
      <c r="GG7" s="29">
        <v>0</v>
      </c>
      <c r="GH7" s="29">
        <v>0</v>
      </c>
      <c r="GI7" s="206">
        <f>SUM(K7:V7)</f>
        <v>0</v>
      </c>
      <c r="GJ7" s="206">
        <f>SUM(T7:AE7)</f>
        <v>0</v>
      </c>
      <c r="GK7" s="206">
        <f>SUM(AF7:AQ7)</f>
        <v>0</v>
      </c>
      <c r="GL7" s="206">
        <f>SUM(AR7:BC7)</f>
        <v>0</v>
      </c>
      <c r="GM7" s="206">
        <f>SUM(BD7:BO7)</f>
        <v>0</v>
      </c>
      <c r="GN7" s="206">
        <f>SUM(BP7:CA7)</f>
        <v>0</v>
      </c>
      <c r="GO7" s="206">
        <f>SUM(CB7:CM7)</f>
        <v>0</v>
      </c>
      <c r="GP7" s="206">
        <f>SUM(CN7:CY7)</f>
        <v>0</v>
      </c>
      <c r="GQ7" s="206">
        <f>SUM(CZ7:DK7)</f>
        <v>0</v>
      </c>
      <c r="GR7" s="206">
        <f>SUM(DL7:DW7)</f>
        <v>0</v>
      </c>
      <c r="GS7" s="206">
        <f>SUM(DX7:EI7)</f>
        <v>0</v>
      </c>
      <c r="GT7" s="206">
        <f>SUM(EJ7:EU7)</f>
        <v>0</v>
      </c>
      <c r="GU7" s="206">
        <f>SUM(EV7:FG7)</f>
        <v>0</v>
      </c>
      <c r="GV7" s="206">
        <f>SUM(FH7:FS7)</f>
        <v>0</v>
      </c>
      <c r="GW7" s="206">
        <f>SUM(FT7:GE7)</f>
        <v>0</v>
      </c>
    </row>
    <row r="8" spans="1:205" ht="18" customHeight="1" x14ac:dyDescent="0.35">
      <c r="A8" s="26" t="s">
        <v>26</v>
      </c>
      <c r="B8" s="26" t="s">
        <v>390</v>
      </c>
      <c r="C8" s="31"/>
      <c r="D8" s="31"/>
      <c r="E8" s="31"/>
      <c r="F8" s="31"/>
      <c r="G8" s="31"/>
      <c r="K8" s="32">
        <f>IF($E5="Active",K5,0)+IF($E6="Active",K6,0)+IF($E7="Active",K7,0)</f>
        <v>0</v>
      </c>
      <c r="L8" s="32">
        <f>IF($E5="Active",L5,0)+IF($E6="Active",L6,0)+IF($E7="Active",L7,0)</f>
        <v>0</v>
      </c>
      <c r="M8" s="32">
        <f>IF($E5="Active",M5,0)+IF($E6="Active",M6,0)+IF($E7="Active",M7,0)</f>
        <v>0</v>
      </c>
      <c r="N8" s="32">
        <f t="shared" ref="N8:BY8" si="0">IF($E5="Active",N5,0)+IF($E6="Active",N6,0)+IF($E7="Active",N7,0)</f>
        <v>0</v>
      </c>
      <c r="O8" s="32">
        <f t="shared" si="0"/>
        <v>0</v>
      </c>
      <c r="P8" s="32">
        <f t="shared" si="0"/>
        <v>2700</v>
      </c>
      <c r="Q8" s="32">
        <f t="shared" si="0"/>
        <v>0</v>
      </c>
      <c r="R8" s="32">
        <f t="shared" si="0"/>
        <v>0</v>
      </c>
      <c r="S8" s="32">
        <f t="shared" si="0"/>
        <v>0</v>
      </c>
      <c r="T8" s="32">
        <f t="shared" si="0"/>
        <v>32400</v>
      </c>
      <c r="U8" s="32">
        <f t="shared" si="0"/>
        <v>0</v>
      </c>
      <c r="V8" s="32">
        <f t="shared" si="0"/>
        <v>0</v>
      </c>
      <c r="W8" s="32">
        <f t="shared" si="0"/>
        <v>0</v>
      </c>
      <c r="X8" s="32">
        <f t="shared" si="0"/>
        <v>0</v>
      </c>
      <c r="Y8" s="32">
        <f t="shared" si="0"/>
        <v>0</v>
      </c>
      <c r="Z8" s="32">
        <f t="shared" si="0"/>
        <v>0</v>
      </c>
      <c r="AA8" s="32">
        <f t="shared" si="0"/>
        <v>0</v>
      </c>
      <c r="AB8" s="32">
        <f t="shared" si="0"/>
        <v>0</v>
      </c>
      <c r="AC8" s="32">
        <f t="shared" si="0"/>
        <v>0</v>
      </c>
      <c r="AD8" s="32">
        <f t="shared" si="0"/>
        <v>0</v>
      </c>
      <c r="AE8" s="32">
        <f t="shared" si="0"/>
        <v>0</v>
      </c>
      <c r="AF8" s="32">
        <f t="shared" si="0"/>
        <v>0</v>
      </c>
      <c r="AG8" s="32">
        <f t="shared" si="0"/>
        <v>0</v>
      </c>
      <c r="AH8" s="32">
        <f t="shared" si="0"/>
        <v>0</v>
      </c>
      <c r="AI8" s="32">
        <f t="shared" si="0"/>
        <v>0</v>
      </c>
      <c r="AJ8" s="32">
        <f t="shared" si="0"/>
        <v>0</v>
      </c>
      <c r="AK8" s="32">
        <f t="shared" si="0"/>
        <v>0</v>
      </c>
      <c r="AL8" s="32">
        <f t="shared" si="0"/>
        <v>0</v>
      </c>
      <c r="AM8" s="32">
        <f t="shared" si="0"/>
        <v>0</v>
      </c>
      <c r="AN8" s="32">
        <f t="shared" si="0"/>
        <v>0</v>
      </c>
      <c r="AO8" s="32">
        <f t="shared" si="0"/>
        <v>0</v>
      </c>
      <c r="AP8" s="32">
        <f t="shared" si="0"/>
        <v>0</v>
      </c>
      <c r="AQ8" s="32">
        <f t="shared" si="0"/>
        <v>0</v>
      </c>
      <c r="AR8" s="32">
        <f t="shared" si="0"/>
        <v>0</v>
      </c>
      <c r="AS8" s="32">
        <f t="shared" si="0"/>
        <v>0</v>
      </c>
      <c r="AT8" s="32">
        <f t="shared" si="0"/>
        <v>0</v>
      </c>
      <c r="AU8" s="32">
        <f t="shared" si="0"/>
        <v>0</v>
      </c>
      <c r="AV8" s="32">
        <f t="shared" si="0"/>
        <v>0</v>
      </c>
      <c r="AW8" s="32">
        <f t="shared" si="0"/>
        <v>0</v>
      </c>
      <c r="AX8" s="32">
        <f t="shared" si="0"/>
        <v>0</v>
      </c>
      <c r="AY8" s="32">
        <f t="shared" si="0"/>
        <v>0</v>
      </c>
      <c r="AZ8" s="32">
        <f t="shared" si="0"/>
        <v>0</v>
      </c>
      <c r="BA8" s="32">
        <f t="shared" si="0"/>
        <v>0</v>
      </c>
      <c r="BB8" s="32">
        <f t="shared" si="0"/>
        <v>0</v>
      </c>
      <c r="BC8" s="32">
        <f t="shared" si="0"/>
        <v>0</v>
      </c>
      <c r="BD8" s="32">
        <f t="shared" si="0"/>
        <v>0</v>
      </c>
      <c r="BE8" s="32">
        <f t="shared" si="0"/>
        <v>0</v>
      </c>
      <c r="BF8" s="32">
        <f t="shared" si="0"/>
        <v>0</v>
      </c>
      <c r="BG8" s="32">
        <f t="shared" si="0"/>
        <v>0</v>
      </c>
      <c r="BH8" s="32">
        <f t="shared" si="0"/>
        <v>0</v>
      </c>
      <c r="BI8" s="32">
        <f t="shared" si="0"/>
        <v>0</v>
      </c>
      <c r="BJ8" s="32">
        <f t="shared" si="0"/>
        <v>0</v>
      </c>
      <c r="BK8" s="32">
        <f t="shared" si="0"/>
        <v>0</v>
      </c>
      <c r="BL8" s="32">
        <f t="shared" si="0"/>
        <v>0</v>
      </c>
      <c r="BM8" s="32">
        <f t="shared" si="0"/>
        <v>0</v>
      </c>
      <c r="BN8" s="32">
        <f t="shared" si="0"/>
        <v>0</v>
      </c>
      <c r="BO8" s="32">
        <f t="shared" si="0"/>
        <v>0</v>
      </c>
      <c r="BP8" s="32">
        <f t="shared" si="0"/>
        <v>0</v>
      </c>
      <c r="BQ8" s="32">
        <f t="shared" si="0"/>
        <v>0</v>
      </c>
      <c r="BR8" s="32">
        <f t="shared" si="0"/>
        <v>0</v>
      </c>
      <c r="BS8" s="32">
        <f t="shared" si="0"/>
        <v>0</v>
      </c>
      <c r="BT8" s="32">
        <f t="shared" si="0"/>
        <v>0</v>
      </c>
      <c r="BU8" s="32">
        <f t="shared" si="0"/>
        <v>0</v>
      </c>
      <c r="BV8" s="32">
        <f t="shared" si="0"/>
        <v>0</v>
      </c>
      <c r="BW8" s="32">
        <f t="shared" si="0"/>
        <v>0</v>
      </c>
      <c r="BX8" s="32">
        <f t="shared" si="0"/>
        <v>0</v>
      </c>
      <c r="BY8" s="32">
        <f t="shared" si="0"/>
        <v>0</v>
      </c>
      <c r="BZ8" s="32">
        <f t="shared" ref="BZ8:EK8" si="1">IF($E5="Active",BZ5,0)+IF($E6="Active",BZ6,0)+IF($E7="Active",BZ7,0)</f>
        <v>0</v>
      </c>
      <c r="CA8" s="32">
        <f t="shared" si="1"/>
        <v>0</v>
      </c>
      <c r="CB8" s="32">
        <f t="shared" si="1"/>
        <v>0</v>
      </c>
      <c r="CC8" s="32">
        <f t="shared" si="1"/>
        <v>0</v>
      </c>
      <c r="CD8" s="32">
        <f t="shared" si="1"/>
        <v>0</v>
      </c>
      <c r="CE8" s="32">
        <f t="shared" si="1"/>
        <v>0</v>
      </c>
      <c r="CF8" s="32">
        <f t="shared" si="1"/>
        <v>0</v>
      </c>
      <c r="CG8" s="32">
        <f t="shared" si="1"/>
        <v>0</v>
      </c>
      <c r="CH8" s="32">
        <f t="shared" si="1"/>
        <v>0</v>
      </c>
      <c r="CI8" s="32">
        <f t="shared" si="1"/>
        <v>0</v>
      </c>
      <c r="CJ8" s="32">
        <f t="shared" si="1"/>
        <v>0</v>
      </c>
      <c r="CK8" s="32">
        <f t="shared" si="1"/>
        <v>0</v>
      </c>
      <c r="CL8" s="32">
        <f t="shared" si="1"/>
        <v>0</v>
      </c>
      <c r="CM8" s="32">
        <f t="shared" si="1"/>
        <v>0</v>
      </c>
      <c r="CN8" s="32">
        <f t="shared" si="1"/>
        <v>0</v>
      </c>
      <c r="CO8" s="32">
        <f t="shared" si="1"/>
        <v>0</v>
      </c>
      <c r="CP8" s="32">
        <f t="shared" si="1"/>
        <v>0</v>
      </c>
      <c r="CQ8" s="32">
        <f t="shared" si="1"/>
        <v>0</v>
      </c>
      <c r="CR8" s="32">
        <f t="shared" si="1"/>
        <v>0</v>
      </c>
      <c r="CS8" s="32">
        <f t="shared" si="1"/>
        <v>0</v>
      </c>
      <c r="CT8" s="32">
        <f t="shared" si="1"/>
        <v>0</v>
      </c>
      <c r="CU8" s="32">
        <f t="shared" si="1"/>
        <v>0</v>
      </c>
      <c r="CV8" s="32">
        <f t="shared" si="1"/>
        <v>0</v>
      </c>
      <c r="CW8" s="32">
        <f t="shared" si="1"/>
        <v>0</v>
      </c>
      <c r="CX8" s="32">
        <f t="shared" si="1"/>
        <v>0</v>
      </c>
      <c r="CY8" s="32">
        <f t="shared" si="1"/>
        <v>0</v>
      </c>
      <c r="CZ8" s="32">
        <f t="shared" si="1"/>
        <v>0</v>
      </c>
      <c r="DA8" s="32">
        <f t="shared" si="1"/>
        <v>0</v>
      </c>
      <c r="DB8" s="32">
        <f t="shared" si="1"/>
        <v>0</v>
      </c>
      <c r="DC8" s="32">
        <f t="shared" si="1"/>
        <v>0</v>
      </c>
      <c r="DD8" s="32">
        <f t="shared" si="1"/>
        <v>0</v>
      </c>
      <c r="DE8" s="32">
        <f t="shared" si="1"/>
        <v>0</v>
      </c>
      <c r="DF8" s="32">
        <f t="shared" si="1"/>
        <v>0</v>
      </c>
      <c r="DG8" s="32">
        <f t="shared" si="1"/>
        <v>0</v>
      </c>
      <c r="DH8" s="32">
        <f t="shared" si="1"/>
        <v>0</v>
      </c>
      <c r="DI8" s="32">
        <f t="shared" si="1"/>
        <v>0</v>
      </c>
      <c r="DJ8" s="32">
        <f t="shared" si="1"/>
        <v>0</v>
      </c>
      <c r="DK8" s="32">
        <f t="shared" si="1"/>
        <v>0</v>
      </c>
      <c r="DL8" s="32">
        <f t="shared" si="1"/>
        <v>0</v>
      </c>
      <c r="DM8" s="32">
        <f t="shared" si="1"/>
        <v>0</v>
      </c>
      <c r="DN8" s="32">
        <f t="shared" si="1"/>
        <v>0</v>
      </c>
      <c r="DO8" s="32">
        <f t="shared" si="1"/>
        <v>0</v>
      </c>
      <c r="DP8" s="32">
        <f t="shared" si="1"/>
        <v>0</v>
      </c>
      <c r="DQ8" s="32">
        <f t="shared" si="1"/>
        <v>0</v>
      </c>
      <c r="DR8" s="32">
        <f t="shared" si="1"/>
        <v>0</v>
      </c>
      <c r="DS8" s="32">
        <f t="shared" si="1"/>
        <v>0</v>
      </c>
      <c r="DT8" s="32">
        <f t="shared" si="1"/>
        <v>0</v>
      </c>
      <c r="DU8" s="32">
        <f t="shared" si="1"/>
        <v>0</v>
      </c>
      <c r="DV8" s="32">
        <f t="shared" si="1"/>
        <v>0</v>
      </c>
      <c r="DW8" s="32">
        <f t="shared" si="1"/>
        <v>0</v>
      </c>
      <c r="DX8" s="32">
        <f t="shared" si="1"/>
        <v>0</v>
      </c>
      <c r="DY8" s="32">
        <f t="shared" si="1"/>
        <v>0</v>
      </c>
      <c r="DZ8" s="32">
        <f t="shared" si="1"/>
        <v>0</v>
      </c>
      <c r="EA8" s="32">
        <f t="shared" si="1"/>
        <v>0</v>
      </c>
      <c r="EB8" s="32">
        <f t="shared" si="1"/>
        <v>0</v>
      </c>
      <c r="EC8" s="32">
        <f t="shared" si="1"/>
        <v>0</v>
      </c>
      <c r="ED8" s="32">
        <f t="shared" si="1"/>
        <v>0</v>
      </c>
      <c r="EE8" s="32">
        <f t="shared" si="1"/>
        <v>0</v>
      </c>
      <c r="EF8" s="32">
        <f t="shared" si="1"/>
        <v>0</v>
      </c>
      <c r="EG8" s="32">
        <f t="shared" si="1"/>
        <v>0</v>
      </c>
      <c r="EH8" s="32">
        <f t="shared" si="1"/>
        <v>0</v>
      </c>
      <c r="EI8" s="32">
        <f t="shared" si="1"/>
        <v>0</v>
      </c>
      <c r="EJ8" s="32">
        <f t="shared" si="1"/>
        <v>0</v>
      </c>
      <c r="EK8" s="32">
        <f t="shared" si="1"/>
        <v>0</v>
      </c>
      <c r="EL8" s="32">
        <f t="shared" ref="EL8:GH8" si="2">IF($E5="Active",EL5,0)+IF($E6="Active",EL6,0)+IF($E7="Active",EL7,0)</f>
        <v>0</v>
      </c>
      <c r="EM8" s="32">
        <f t="shared" si="2"/>
        <v>0</v>
      </c>
      <c r="EN8" s="32">
        <f t="shared" si="2"/>
        <v>0</v>
      </c>
      <c r="EO8" s="32">
        <f t="shared" si="2"/>
        <v>0</v>
      </c>
      <c r="EP8" s="32">
        <f t="shared" si="2"/>
        <v>0</v>
      </c>
      <c r="EQ8" s="32">
        <f t="shared" si="2"/>
        <v>0</v>
      </c>
      <c r="ER8" s="32">
        <f t="shared" si="2"/>
        <v>0</v>
      </c>
      <c r="ES8" s="32">
        <f t="shared" si="2"/>
        <v>0</v>
      </c>
      <c r="ET8" s="32">
        <f t="shared" si="2"/>
        <v>0</v>
      </c>
      <c r="EU8" s="32">
        <f t="shared" si="2"/>
        <v>0</v>
      </c>
      <c r="EV8" s="32">
        <f t="shared" si="2"/>
        <v>0</v>
      </c>
      <c r="EW8" s="32">
        <f t="shared" si="2"/>
        <v>0</v>
      </c>
      <c r="EX8" s="32">
        <f t="shared" si="2"/>
        <v>0</v>
      </c>
      <c r="EY8" s="32">
        <f t="shared" si="2"/>
        <v>0</v>
      </c>
      <c r="EZ8" s="32">
        <f t="shared" si="2"/>
        <v>0</v>
      </c>
      <c r="FA8" s="32">
        <f t="shared" si="2"/>
        <v>0</v>
      </c>
      <c r="FB8" s="32">
        <f t="shared" si="2"/>
        <v>0</v>
      </c>
      <c r="FC8" s="32">
        <f t="shared" si="2"/>
        <v>0</v>
      </c>
      <c r="FD8" s="32">
        <f t="shared" si="2"/>
        <v>0</v>
      </c>
      <c r="FE8" s="32">
        <f t="shared" si="2"/>
        <v>0</v>
      </c>
      <c r="FF8" s="32">
        <f t="shared" si="2"/>
        <v>0</v>
      </c>
      <c r="FG8" s="32">
        <f t="shared" si="2"/>
        <v>0</v>
      </c>
      <c r="FH8" s="32">
        <f t="shared" si="2"/>
        <v>0</v>
      </c>
      <c r="FI8" s="32">
        <f t="shared" si="2"/>
        <v>0</v>
      </c>
      <c r="FJ8" s="32">
        <f t="shared" si="2"/>
        <v>0</v>
      </c>
      <c r="FK8" s="32">
        <f t="shared" si="2"/>
        <v>0</v>
      </c>
      <c r="FL8" s="32">
        <f t="shared" si="2"/>
        <v>0</v>
      </c>
      <c r="FM8" s="32">
        <f t="shared" si="2"/>
        <v>0</v>
      </c>
      <c r="FN8" s="32">
        <f t="shared" si="2"/>
        <v>0</v>
      </c>
      <c r="FO8" s="32">
        <f t="shared" si="2"/>
        <v>0</v>
      </c>
      <c r="FP8" s="32">
        <f t="shared" si="2"/>
        <v>0</v>
      </c>
      <c r="FQ8" s="32">
        <f t="shared" si="2"/>
        <v>0</v>
      </c>
      <c r="FR8" s="32">
        <f t="shared" si="2"/>
        <v>0</v>
      </c>
      <c r="FS8" s="32">
        <f t="shared" si="2"/>
        <v>0</v>
      </c>
      <c r="FT8" s="32">
        <f t="shared" si="2"/>
        <v>0</v>
      </c>
      <c r="FU8" s="32">
        <f t="shared" si="2"/>
        <v>0</v>
      </c>
      <c r="FV8" s="32">
        <f t="shared" si="2"/>
        <v>0</v>
      </c>
      <c r="FW8" s="32">
        <f t="shared" si="2"/>
        <v>0</v>
      </c>
      <c r="FX8" s="32">
        <f t="shared" si="2"/>
        <v>0</v>
      </c>
      <c r="FY8" s="32">
        <f t="shared" si="2"/>
        <v>0</v>
      </c>
      <c r="FZ8" s="32">
        <f t="shared" si="2"/>
        <v>0</v>
      </c>
      <c r="GA8" s="32">
        <f t="shared" si="2"/>
        <v>0</v>
      </c>
      <c r="GB8" s="32">
        <f t="shared" si="2"/>
        <v>0</v>
      </c>
      <c r="GC8" s="32">
        <f t="shared" si="2"/>
        <v>0</v>
      </c>
      <c r="GD8" s="32">
        <f t="shared" si="2"/>
        <v>0</v>
      </c>
      <c r="GE8" s="32">
        <f t="shared" si="2"/>
        <v>0</v>
      </c>
      <c r="GF8" s="32">
        <f t="shared" si="2"/>
        <v>0</v>
      </c>
      <c r="GG8" s="32">
        <f t="shared" si="2"/>
        <v>0</v>
      </c>
      <c r="GH8" s="32">
        <f t="shared" si="2"/>
        <v>0</v>
      </c>
      <c r="GI8" s="32">
        <f>IF(E5="Active",GF5,0)+IF(E6="Active",GF6,0)+IF(E7="Active",GF7,0)</f>
        <v>0</v>
      </c>
      <c r="GJ8" s="32">
        <f>IF(E5="Active",GG5,0)+IF(E6="Active",GG6,0)+IF(E7="Active",GG7,0)</f>
        <v>0</v>
      </c>
      <c r="GK8" s="32">
        <f>IF(E5="Active",GH5,0)+IF(E6="Active",GH6,0)+IF(E7="Active",GH7,0)</f>
        <v>0</v>
      </c>
      <c r="GL8" s="32">
        <f>IF(E5="Active",GI5,0)+IF(E6="Active",GI6,0)+IF(E7="Active",GI7,0)</f>
        <v>35100</v>
      </c>
      <c r="GM8" s="32">
        <f>IF(E5="Active",GJ5,0)+IF(E6="Active",GJ6,0)+IF(E7="Active",GJ7,0)</f>
        <v>32400</v>
      </c>
      <c r="GN8" s="32">
        <f>IF(E5="Active",GK5,0)+IF(E6="Active",GK6,0)+IF(E7="Active",GK7,0)</f>
        <v>0</v>
      </c>
      <c r="GO8" s="32">
        <f>IF(E5="Active",GL5,0)+IF(E6="Active",GL6,0)+IF(E7="Active",GL7,0)</f>
        <v>0</v>
      </c>
      <c r="GP8" s="32">
        <f>IF(E5="Active",GM5,0)+IF(E6="Active",GM6,0)+IF(E7="Active",GM7,0)</f>
        <v>0</v>
      </c>
      <c r="GQ8" s="32">
        <f>IF(E5="Active",GN5,0)+IF(E6="Active",GN6,0)+IF(E7="Active",GN7,0)</f>
        <v>0</v>
      </c>
      <c r="GR8" s="32">
        <f>IF(E5="Active",GO5,0)+IF(E6="Active",GO6,0)+IF(E7="Active",GO7,0)</f>
        <v>0</v>
      </c>
      <c r="GS8" s="32">
        <f>IF(E5="Active",GP5,0)+IF(E6="Active",GP6,0)+IF(E7="Active",GP7,0)</f>
        <v>0</v>
      </c>
      <c r="GT8" s="32">
        <f>IF(E5="Active",GQ5,0)+IF(E6="Active",GQ6,0)+IF(E7="Active",GQ7,0)</f>
        <v>0</v>
      </c>
      <c r="GU8" s="32">
        <f>IF(E5="Active",GR5,0)+IF(E6="Active",GR6,0)+IF(E7="Active",GR7,0)</f>
        <v>0</v>
      </c>
      <c r="GV8" s="32">
        <f>IF(E5="Active",GS5,0)+IF(E6="Active",GS6,0)+IF(E7="Active",GS7,0)</f>
        <v>0</v>
      </c>
      <c r="GW8" s="32">
        <f>IF(E5="Active",GT5,0)+IF(E6="Active",GT6,0)+IF(E7="Active",GT7,0)</f>
        <v>0</v>
      </c>
    </row>
    <row r="10" spans="1:205" ht="22" customHeight="1" x14ac:dyDescent="0.35">
      <c r="A10" s="392" t="s">
        <v>381</v>
      </c>
      <c r="B10" s="393"/>
      <c r="C10" s="393"/>
      <c r="D10" s="393"/>
      <c r="E10" s="393"/>
      <c r="F10" s="393"/>
      <c r="G10" s="393"/>
      <c r="H10" s="393"/>
      <c r="I10" s="393"/>
      <c r="J10" s="393"/>
      <c r="K10" s="393"/>
      <c r="L10" s="393"/>
      <c r="M10" s="393"/>
      <c r="N10" s="393"/>
      <c r="O10" s="393"/>
      <c r="P10" s="393"/>
      <c r="Q10" s="393"/>
      <c r="R10" s="393"/>
      <c r="S10" s="393"/>
      <c r="T10" s="393"/>
      <c r="U10" s="393"/>
      <c r="V10" s="393"/>
      <c r="W10" s="393"/>
      <c r="X10" s="393"/>
      <c r="Y10" s="393"/>
      <c r="Z10" s="393"/>
      <c r="AA10" s="393"/>
      <c r="AB10" s="393"/>
      <c r="AC10" s="393"/>
      <c r="AD10" s="393"/>
      <c r="AE10" s="393"/>
      <c r="AF10" s="393"/>
      <c r="AG10" s="393"/>
      <c r="AH10" s="393"/>
      <c r="AI10" s="393"/>
      <c r="AJ10" s="393"/>
      <c r="AK10" s="393"/>
      <c r="AL10" s="393"/>
      <c r="AM10" s="393"/>
      <c r="AN10" s="393"/>
      <c r="AO10" s="393"/>
      <c r="AP10" s="393"/>
      <c r="AQ10" s="393"/>
      <c r="AR10" s="393"/>
      <c r="AS10" s="393"/>
      <c r="AT10" s="393"/>
      <c r="AU10" s="393"/>
      <c r="AV10" s="393"/>
      <c r="AW10" s="393"/>
      <c r="AX10" s="393"/>
      <c r="AY10" s="393"/>
      <c r="AZ10" s="393"/>
      <c r="BA10" s="393"/>
      <c r="BB10" s="393"/>
      <c r="BC10" s="393"/>
      <c r="BD10" s="393"/>
      <c r="BE10" s="393"/>
      <c r="BF10" s="393"/>
      <c r="BG10" s="393"/>
      <c r="BH10" s="393"/>
      <c r="BI10" s="393"/>
      <c r="BJ10" s="393"/>
      <c r="BK10" s="393"/>
      <c r="BL10" s="393"/>
      <c r="BM10" s="393"/>
      <c r="BN10" s="393"/>
      <c r="BO10" s="393"/>
      <c r="BP10" s="393"/>
      <c r="BQ10" s="393"/>
      <c r="BR10" s="393"/>
      <c r="BS10" s="393"/>
      <c r="BT10" s="393"/>
      <c r="BU10" s="393"/>
      <c r="BV10" s="393"/>
      <c r="BW10" s="393"/>
      <c r="BX10" s="393"/>
      <c r="BY10" s="393"/>
      <c r="BZ10" s="393"/>
      <c r="CA10" s="393"/>
      <c r="CB10" s="393"/>
      <c r="CC10" s="393"/>
      <c r="CD10" s="393"/>
      <c r="CE10" s="393"/>
      <c r="CF10" s="393"/>
      <c r="CG10" s="393"/>
      <c r="CH10" s="393"/>
      <c r="CI10" s="393"/>
      <c r="CJ10" s="393"/>
      <c r="CK10" s="393"/>
      <c r="CL10" s="393"/>
      <c r="CM10" s="393"/>
      <c r="CN10" s="393"/>
      <c r="CO10" s="393"/>
      <c r="CP10" s="393"/>
      <c r="CQ10" s="393"/>
      <c r="CR10" s="393"/>
      <c r="CS10" s="393"/>
      <c r="CT10" s="393"/>
      <c r="CU10" s="393"/>
      <c r="CV10" s="393"/>
      <c r="CW10" s="393"/>
      <c r="CX10" s="393"/>
      <c r="CY10" s="393"/>
      <c r="CZ10" s="393"/>
      <c r="DA10" s="393"/>
      <c r="DB10" s="393"/>
      <c r="DC10" s="393"/>
      <c r="DD10" s="393"/>
      <c r="DE10" s="393"/>
      <c r="DF10" s="393"/>
      <c r="DG10" s="393"/>
      <c r="DH10" s="393"/>
      <c r="DI10" s="393"/>
      <c r="DJ10" s="393"/>
      <c r="DK10" s="393"/>
      <c r="DL10" s="393"/>
      <c r="DM10" s="393"/>
      <c r="DN10" s="393"/>
      <c r="DO10" s="393"/>
      <c r="DP10" s="393"/>
      <c r="DQ10" s="393"/>
      <c r="DR10" s="393"/>
      <c r="DS10" s="393"/>
      <c r="DT10" s="393"/>
      <c r="DU10" s="393"/>
      <c r="DV10" s="393"/>
      <c r="DW10" s="393"/>
      <c r="DX10" s="393"/>
      <c r="DY10" s="393"/>
      <c r="DZ10" s="393"/>
      <c r="EA10" s="393"/>
      <c r="EB10" s="393"/>
      <c r="EC10" s="393"/>
      <c r="ED10" s="393"/>
      <c r="EE10" s="393"/>
      <c r="EF10" s="393"/>
      <c r="EG10" s="393"/>
      <c r="EH10" s="393"/>
      <c r="EI10" s="393"/>
      <c r="EJ10" s="393"/>
      <c r="EK10" s="393"/>
      <c r="EL10" s="393"/>
      <c r="EM10" s="393"/>
      <c r="EN10" s="393"/>
      <c r="EO10" s="393"/>
      <c r="EP10" s="393"/>
      <c r="EQ10" s="393"/>
      <c r="ER10" s="393"/>
      <c r="ES10" s="393"/>
      <c r="ET10" s="393"/>
      <c r="EU10" s="393"/>
      <c r="EV10" s="393"/>
      <c r="EW10" s="393"/>
      <c r="EX10" s="393"/>
      <c r="EY10" s="393"/>
      <c r="EZ10" s="393"/>
      <c r="FA10" s="393"/>
      <c r="FB10" s="393"/>
      <c r="FC10" s="393"/>
      <c r="FD10" s="393"/>
      <c r="FE10" s="393"/>
      <c r="FF10" s="393"/>
      <c r="FG10" s="393"/>
      <c r="FH10" s="393"/>
      <c r="FI10" s="393"/>
      <c r="FJ10" s="393"/>
      <c r="FK10" s="393"/>
      <c r="FL10" s="393"/>
      <c r="FM10" s="393"/>
      <c r="FN10" s="393"/>
      <c r="FO10" s="393"/>
      <c r="FP10" s="393"/>
      <c r="FQ10" s="393"/>
      <c r="FR10" s="393"/>
      <c r="FS10" s="393"/>
      <c r="FT10" s="393"/>
      <c r="FU10" s="393"/>
      <c r="FV10" s="393"/>
      <c r="FW10" s="393"/>
      <c r="FX10" s="393"/>
      <c r="FY10" s="393"/>
      <c r="FZ10" s="393"/>
      <c r="GA10" s="393"/>
      <c r="GB10" s="393"/>
      <c r="GC10" s="393"/>
      <c r="GD10" s="393"/>
      <c r="GE10" s="393"/>
      <c r="GF10" s="393"/>
      <c r="GG10" s="393"/>
      <c r="GH10" s="393"/>
      <c r="GI10" s="393"/>
      <c r="GJ10" s="393"/>
      <c r="GK10" s="393"/>
      <c r="GL10" s="393"/>
      <c r="GM10" s="393"/>
      <c r="GN10" s="393"/>
      <c r="GO10" s="393"/>
      <c r="GP10" s="393"/>
      <c r="GQ10" s="393"/>
      <c r="GR10" s="393"/>
      <c r="GS10" s="393"/>
    </row>
    <row r="11" spans="1:205" ht="14" customHeight="1" x14ac:dyDescent="0.35">
      <c r="A11" s="2" t="s">
        <v>35</v>
      </c>
      <c r="B11" s="14" t="s">
        <v>27</v>
      </c>
      <c r="C11" s="4" t="s">
        <v>28</v>
      </c>
      <c r="D11" s="4" t="s">
        <v>29</v>
      </c>
      <c r="E11" s="21" t="str">
        <f>'Supplier Registry'!N8</f>
        <v>Active</v>
      </c>
      <c r="F11" s="21">
        <f>'Supplier Registry'!M8</f>
        <v>1</v>
      </c>
      <c r="G11" s="21">
        <f>'Supplier Registry'!E8</f>
        <v>10000</v>
      </c>
      <c r="H11" s="58">
        <f>'Supplier Registry'!P8</f>
        <v>9</v>
      </c>
      <c r="I11" s="74">
        <f>IFERROR(EDATE(Controls!B5,H11),"")</f>
        <v>46388</v>
      </c>
      <c r="J11" s="75">
        <f>IFERROR(EDATE(I11,-'Supplier Registry'!Q8),"")</f>
        <v>46357</v>
      </c>
      <c r="K11" s="29"/>
      <c r="L11" s="29"/>
      <c r="M11" s="29"/>
      <c r="N11" s="29">
        <v>3</v>
      </c>
      <c r="O11" s="29">
        <v>2</v>
      </c>
      <c r="P11" s="29"/>
      <c r="Q11" s="29"/>
      <c r="R11" s="29"/>
      <c r="S11" s="29"/>
      <c r="T11" s="29"/>
      <c r="U11" s="29"/>
      <c r="V11" s="29"/>
      <c r="W11" s="29">
        <v>0</v>
      </c>
      <c r="X11" s="29">
        <v>0</v>
      </c>
      <c r="Y11" s="29">
        <v>0</v>
      </c>
      <c r="Z11" s="29">
        <v>0</v>
      </c>
      <c r="AA11" s="29">
        <v>0</v>
      </c>
      <c r="AB11" s="29">
        <v>0</v>
      </c>
      <c r="AC11" s="29">
        <v>0</v>
      </c>
      <c r="AD11" s="29">
        <v>0</v>
      </c>
      <c r="AE11" s="29">
        <v>0</v>
      </c>
      <c r="AF11" s="29">
        <v>0</v>
      </c>
      <c r="AG11" s="29">
        <v>0</v>
      </c>
      <c r="AH11" s="29">
        <v>0</v>
      </c>
      <c r="AI11" s="29">
        <v>0</v>
      </c>
      <c r="AJ11" s="29">
        <v>0</v>
      </c>
      <c r="AK11" s="29">
        <v>0</v>
      </c>
      <c r="AL11" s="29">
        <v>0</v>
      </c>
      <c r="AM11" s="29">
        <v>0</v>
      </c>
      <c r="AN11" s="29">
        <v>0</v>
      </c>
      <c r="AO11" s="29">
        <v>0</v>
      </c>
      <c r="AP11" s="29">
        <v>0</v>
      </c>
      <c r="AQ11" s="29">
        <v>0</v>
      </c>
      <c r="AR11" s="29">
        <v>0</v>
      </c>
      <c r="AS11" s="29">
        <v>0</v>
      </c>
      <c r="AT11" s="29">
        <v>0</v>
      </c>
      <c r="AU11" s="29">
        <v>0</v>
      </c>
      <c r="AV11" s="29">
        <v>0</v>
      </c>
      <c r="AW11" s="29">
        <v>0</v>
      </c>
      <c r="AX11" s="29">
        <v>0</v>
      </c>
      <c r="AY11" s="29">
        <v>0</v>
      </c>
      <c r="AZ11" s="29">
        <v>0</v>
      </c>
      <c r="BA11" s="29">
        <v>0</v>
      </c>
      <c r="BB11" s="29">
        <v>0</v>
      </c>
      <c r="BC11" s="29">
        <v>0</v>
      </c>
      <c r="BD11" s="29">
        <v>0</v>
      </c>
      <c r="BE11" s="29">
        <v>0</v>
      </c>
      <c r="BF11" s="29">
        <v>0</v>
      </c>
      <c r="BG11" s="29">
        <v>0</v>
      </c>
      <c r="BH11" s="29">
        <v>0</v>
      </c>
      <c r="BI11" s="29">
        <v>0</v>
      </c>
      <c r="BJ11" s="29">
        <v>0</v>
      </c>
      <c r="BK11" s="29">
        <v>0</v>
      </c>
      <c r="BL11" s="29">
        <v>0</v>
      </c>
      <c r="BM11" s="29">
        <v>0</v>
      </c>
      <c r="BN11" s="29">
        <v>0</v>
      </c>
      <c r="BO11" s="29">
        <v>0</v>
      </c>
      <c r="BP11" s="29">
        <v>0</v>
      </c>
      <c r="BQ11" s="29">
        <v>0</v>
      </c>
      <c r="BR11" s="29">
        <v>0</v>
      </c>
      <c r="BS11" s="29">
        <v>0</v>
      </c>
      <c r="BT11" s="29">
        <v>0</v>
      </c>
      <c r="BU11" s="29">
        <v>0</v>
      </c>
      <c r="BV11" s="29">
        <v>0</v>
      </c>
      <c r="BW11" s="29">
        <v>0</v>
      </c>
      <c r="BX11" s="29">
        <v>0</v>
      </c>
      <c r="BY11" s="29">
        <v>0</v>
      </c>
      <c r="BZ11" s="29">
        <v>0</v>
      </c>
      <c r="CA11" s="29">
        <v>0</v>
      </c>
      <c r="CB11" s="29">
        <v>0</v>
      </c>
      <c r="CC11" s="29">
        <v>0</v>
      </c>
      <c r="CD11" s="29">
        <v>0</v>
      </c>
      <c r="CE11" s="29">
        <v>0</v>
      </c>
      <c r="CF11" s="29">
        <v>0</v>
      </c>
      <c r="CG11" s="29">
        <v>0</v>
      </c>
      <c r="CH11" s="29">
        <v>0</v>
      </c>
      <c r="CI11" s="29">
        <v>0</v>
      </c>
      <c r="CJ11" s="29">
        <v>0</v>
      </c>
      <c r="CK11" s="29">
        <v>0</v>
      </c>
      <c r="CL11" s="29">
        <v>0</v>
      </c>
      <c r="CM11" s="29">
        <v>0</v>
      </c>
      <c r="CN11" s="29">
        <v>0</v>
      </c>
      <c r="CO11" s="29">
        <v>0</v>
      </c>
      <c r="CP11" s="29">
        <v>0</v>
      </c>
      <c r="CQ11" s="29">
        <v>0</v>
      </c>
      <c r="CR11" s="29">
        <v>0</v>
      </c>
      <c r="CS11" s="29">
        <v>0</v>
      </c>
      <c r="CT11" s="29">
        <v>0</v>
      </c>
      <c r="CU11" s="29">
        <v>0</v>
      </c>
      <c r="CV11" s="29">
        <v>0</v>
      </c>
      <c r="CW11" s="29">
        <v>0</v>
      </c>
      <c r="CX11" s="29">
        <v>0</v>
      </c>
      <c r="CY11" s="29">
        <v>0</v>
      </c>
      <c r="CZ11" s="29">
        <v>0</v>
      </c>
      <c r="DA11" s="29">
        <v>0</v>
      </c>
      <c r="DB11" s="29">
        <v>0</v>
      </c>
      <c r="DC11" s="29">
        <v>0</v>
      </c>
      <c r="DD11" s="29">
        <v>0</v>
      </c>
      <c r="DE11" s="29">
        <v>0</v>
      </c>
      <c r="DF11" s="29">
        <v>0</v>
      </c>
      <c r="DG11" s="29">
        <v>0</v>
      </c>
      <c r="DH11" s="29">
        <v>0</v>
      </c>
      <c r="DI11" s="29">
        <v>0</v>
      </c>
      <c r="DJ11" s="29">
        <v>0</v>
      </c>
      <c r="DK11" s="29">
        <v>0</v>
      </c>
      <c r="DL11" s="29">
        <v>0</v>
      </c>
      <c r="DM11" s="29">
        <v>0</v>
      </c>
      <c r="DN11" s="29">
        <v>0</v>
      </c>
      <c r="DO11" s="29">
        <v>0</v>
      </c>
      <c r="DP11" s="29">
        <v>0</v>
      </c>
      <c r="DQ11" s="29">
        <v>0</v>
      </c>
      <c r="DR11" s="29">
        <v>0</v>
      </c>
      <c r="DS11" s="29">
        <v>0</v>
      </c>
      <c r="DT11" s="29">
        <v>0</v>
      </c>
      <c r="DU11" s="29">
        <v>0</v>
      </c>
      <c r="DV11" s="29">
        <v>0</v>
      </c>
      <c r="DW11" s="29">
        <v>0</v>
      </c>
      <c r="DX11" s="29">
        <v>0</v>
      </c>
      <c r="DY11" s="29">
        <v>0</v>
      </c>
      <c r="DZ11" s="29">
        <v>0</v>
      </c>
      <c r="EA11" s="29">
        <v>0</v>
      </c>
      <c r="EB11" s="29">
        <v>0</v>
      </c>
      <c r="EC11" s="29">
        <v>0</v>
      </c>
      <c r="ED11" s="29">
        <v>0</v>
      </c>
      <c r="EE11" s="29">
        <v>0</v>
      </c>
      <c r="EF11" s="29">
        <v>0</v>
      </c>
      <c r="EG11" s="29">
        <v>0</v>
      </c>
      <c r="EH11" s="29">
        <v>0</v>
      </c>
      <c r="EI11" s="29">
        <v>0</v>
      </c>
      <c r="EJ11" s="29">
        <v>0</v>
      </c>
      <c r="EK11" s="29">
        <v>0</v>
      </c>
      <c r="EL11" s="29">
        <v>0</v>
      </c>
      <c r="EM11" s="29">
        <v>0</v>
      </c>
      <c r="EN11" s="29">
        <v>0</v>
      </c>
      <c r="EO11" s="29">
        <v>0</v>
      </c>
      <c r="EP11" s="29">
        <v>0</v>
      </c>
      <c r="EQ11" s="29">
        <v>0</v>
      </c>
      <c r="ER11" s="29">
        <v>0</v>
      </c>
      <c r="ES11" s="29">
        <v>0</v>
      </c>
      <c r="ET11" s="29">
        <v>0</v>
      </c>
      <c r="EU11" s="29">
        <v>0</v>
      </c>
      <c r="EV11" s="29">
        <v>0</v>
      </c>
      <c r="EW11" s="29">
        <v>0</v>
      </c>
      <c r="EX11" s="29">
        <v>0</v>
      </c>
      <c r="EY11" s="29">
        <v>0</v>
      </c>
      <c r="EZ11" s="29">
        <v>0</v>
      </c>
      <c r="FA11" s="29">
        <v>0</v>
      </c>
      <c r="FB11" s="29">
        <v>0</v>
      </c>
      <c r="FC11" s="29">
        <v>0</v>
      </c>
      <c r="FD11" s="29">
        <v>0</v>
      </c>
      <c r="FE11" s="29">
        <v>0</v>
      </c>
      <c r="FF11" s="29">
        <v>0</v>
      </c>
      <c r="FG11" s="29">
        <v>0</v>
      </c>
      <c r="FH11" s="29">
        <v>0</v>
      </c>
      <c r="FI11" s="29">
        <v>0</v>
      </c>
      <c r="FJ11" s="29">
        <v>0</v>
      </c>
      <c r="FK11" s="29">
        <v>0</v>
      </c>
      <c r="FL11" s="29">
        <v>0</v>
      </c>
      <c r="FM11" s="29">
        <v>0</v>
      </c>
      <c r="FN11" s="29">
        <v>0</v>
      </c>
      <c r="FO11" s="29">
        <v>0</v>
      </c>
      <c r="FP11" s="29">
        <v>0</v>
      </c>
      <c r="FQ11" s="29">
        <v>0</v>
      </c>
      <c r="FR11" s="29">
        <v>0</v>
      </c>
      <c r="FS11" s="29">
        <v>0</v>
      </c>
      <c r="FT11" s="29">
        <v>0</v>
      </c>
      <c r="FU11" s="29">
        <v>0</v>
      </c>
      <c r="FV11" s="29">
        <v>0</v>
      </c>
      <c r="FW11" s="29">
        <v>0</v>
      </c>
      <c r="FX11" s="29">
        <v>0</v>
      </c>
      <c r="FY11" s="29">
        <v>0</v>
      </c>
      <c r="FZ11" s="29">
        <v>0</v>
      </c>
      <c r="GA11" s="29">
        <v>0</v>
      </c>
      <c r="GB11" s="29">
        <v>0</v>
      </c>
      <c r="GC11" s="29">
        <v>0</v>
      </c>
      <c r="GD11" s="29">
        <v>0</v>
      </c>
      <c r="GE11" s="29">
        <v>0</v>
      </c>
      <c r="GF11" s="29">
        <v>0</v>
      </c>
      <c r="GG11" s="29">
        <v>0</v>
      </c>
      <c r="GH11" s="29">
        <v>0</v>
      </c>
      <c r="GI11" s="206">
        <f>SUM(K11:V11)</f>
        <v>5</v>
      </c>
      <c r="GJ11" s="206">
        <f>SUM(T11:AE11)</f>
        <v>0</v>
      </c>
      <c r="GK11" s="206">
        <f>SUM(AF11:AQ11)</f>
        <v>0</v>
      </c>
      <c r="GL11" s="206">
        <f>SUM(AR11:BC11)</f>
        <v>0</v>
      </c>
      <c r="GM11" s="206">
        <f>SUM(BD11:BO11)</f>
        <v>0</v>
      </c>
      <c r="GN11" s="206">
        <f>SUM(BP11:CA11)</f>
        <v>0</v>
      </c>
      <c r="GO11" s="206">
        <f>SUM(CB11:CM11)</f>
        <v>0</v>
      </c>
      <c r="GP11" s="206">
        <f>SUM(CN11:CY11)</f>
        <v>0</v>
      </c>
      <c r="GQ11" s="206">
        <f>SUM(CZ11:DK11)</f>
        <v>0</v>
      </c>
      <c r="GR11" s="206">
        <f>SUM(DL11:DW11)</f>
        <v>0</v>
      </c>
      <c r="GS11" s="206">
        <f>SUM(DX11:EI11)</f>
        <v>0</v>
      </c>
      <c r="GT11" s="206">
        <f>SUM(EJ11:EU11)</f>
        <v>0</v>
      </c>
      <c r="GU11" s="206">
        <f>SUM(EV11:FG11)</f>
        <v>0</v>
      </c>
      <c r="GV11" s="206">
        <f>SUM(FH11:FS11)</f>
        <v>0</v>
      </c>
      <c r="GW11" s="206">
        <f>SUM(FT11:GE11)</f>
        <v>0</v>
      </c>
    </row>
    <row r="12" spans="1:205" ht="14" customHeight="1" x14ac:dyDescent="0.35">
      <c r="A12" s="10" t="s">
        <v>35</v>
      </c>
      <c r="B12" s="11" t="s">
        <v>31</v>
      </c>
      <c r="C12" s="12" t="s">
        <v>28</v>
      </c>
      <c r="D12" s="12" t="s">
        <v>29</v>
      </c>
      <c r="E12" s="21" t="str">
        <f>'Supplier Registry'!N9</f>
        <v>Active</v>
      </c>
      <c r="F12" s="21">
        <f>'Supplier Registry'!M9</f>
        <v>0</v>
      </c>
      <c r="G12" s="21">
        <f>'Supplier Registry'!E9</f>
        <v>32000</v>
      </c>
      <c r="H12" s="58">
        <f>'Supplier Registry'!P9</f>
        <v>9</v>
      </c>
      <c r="I12" s="74">
        <f>IFERROR(EDATE(Controls!B5,H12),"")</f>
        <v>46388</v>
      </c>
      <c r="J12" s="75">
        <f>IFERROR(EDATE(I12,-'Supplier Registry'!Q9),"")</f>
        <v>46357</v>
      </c>
      <c r="K12" s="29"/>
      <c r="L12" s="29"/>
      <c r="M12" s="29"/>
      <c r="N12" s="29"/>
      <c r="O12" s="29"/>
      <c r="P12" s="29"/>
      <c r="Q12" s="29"/>
      <c r="R12" s="29"/>
      <c r="S12" s="29"/>
      <c r="T12" s="29"/>
      <c r="U12" s="29"/>
      <c r="V12" s="29"/>
      <c r="W12" s="29">
        <v>0</v>
      </c>
      <c r="X12" s="29">
        <v>0</v>
      </c>
      <c r="Y12" s="29">
        <v>0</v>
      </c>
      <c r="Z12" s="29">
        <v>0</v>
      </c>
      <c r="AA12" s="29">
        <v>0</v>
      </c>
      <c r="AB12" s="29">
        <v>0</v>
      </c>
      <c r="AC12" s="29">
        <v>0</v>
      </c>
      <c r="AD12" s="29">
        <v>0</v>
      </c>
      <c r="AE12" s="29">
        <v>0</v>
      </c>
      <c r="AF12" s="29">
        <v>0</v>
      </c>
      <c r="AG12" s="29">
        <v>0</v>
      </c>
      <c r="AH12" s="29">
        <v>0</v>
      </c>
      <c r="AI12" s="29">
        <v>0</v>
      </c>
      <c r="AJ12" s="29">
        <v>0</v>
      </c>
      <c r="AK12" s="29">
        <v>0</v>
      </c>
      <c r="AL12" s="29">
        <v>0</v>
      </c>
      <c r="AM12" s="29">
        <v>0</v>
      </c>
      <c r="AN12" s="29">
        <v>0</v>
      </c>
      <c r="AO12" s="29">
        <v>0</v>
      </c>
      <c r="AP12" s="29">
        <v>0</v>
      </c>
      <c r="AQ12" s="29">
        <v>0</v>
      </c>
      <c r="AR12" s="29">
        <v>0</v>
      </c>
      <c r="AS12" s="29">
        <v>0</v>
      </c>
      <c r="AT12" s="29">
        <v>0</v>
      </c>
      <c r="AU12" s="29">
        <v>0</v>
      </c>
      <c r="AV12" s="29">
        <v>0</v>
      </c>
      <c r="AW12" s="29">
        <v>0</v>
      </c>
      <c r="AX12" s="29">
        <v>0</v>
      </c>
      <c r="AY12" s="29">
        <v>0</v>
      </c>
      <c r="AZ12" s="29">
        <v>0</v>
      </c>
      <c r="BA12" s="29">
        <v>0</v>
      </c>
      <c r="BB12" s="29">
        <v>0</v>
      </c>
      <c r="BC12" s="29">
        <v>0</v>
      </c>
      <c r="BD12" s="29">
        <v>0</v>
      </c>
      <c r="BE12" s="29">
        <v>0</v>
      </c>
      <c r="BF12" s="29">
        <v>0</v>
      </c>
      <c r="BG12" s="29">
        <v>0</v>
      </c>
      <c r="BH12" s="29">
        <v>0</v>
      </c>
      <c r="BI12" s="29">
        <v>0</v>
      </c>
      <c r="BJ12" s="29">
        <v>0</v>
      </c>
      <c r="BK12" s="29">
        <v>0</v>
      </c>
      <c r="BL12" s="29">
        <v>0</v>
      </c>
      <c r="BM12" s="29">
        <v>0</v>
      </c>
      <c r="BN12" s="29">
        <v>0</v>
      </c>
      <c r="BO12" s="29">
        <v>0</v>
      </c>
      <c r="BP12" s="29">
        <v>0</v>
      </c>
      <c r="BQ12" s="29">
        <v>0</v>
      </c>
      <c r="BR12" s="29">
        <v>0</v>
      </c>
      <c r="BS12" s="29">
        <v>0</v>
      </c>
      <c r="BT12" s="29">
        <v>0</v>
      </c>
      <c r="BU12" s="29">
        <v>0</v>
      </c>
      <c r="BV12" s="29">
        <v>0</v>
      </c>
      <c r="BW12" s="29">
        <v>0</v>
      </c>
      <c r="BX12" s="29">
        <v>0</v>
      </c>
      <c r="BY12" s="29">
        <v>0</v>
      </c>
      <c r="BZ12" s="29">
        <v>0</v>
      </c>
      <c r="CA12" s="29">
        <v>0</v>
      </c>
      <c r="CB12" s="29">
        <v>0</v>
      </c>
      <c r="CC12" s="29">
        <v>0</v>
      </c>
      <c r="CD12" s="29">
        <v>0</v>
      </c>
      <c r="CE12" s="29">
        <v>0</v>
      </c>
      <c r="CF12" s="29">
        <v>0</v>
      </c>
      <c r="CG12" s="29">
        <v>0</v>
      </c>
      <c r="CH12" s="29">
        <v>0</v>
      </c>
      <c r="CI12" s="29">
        <v>0</v>
      </c>
      <c r="CJ12" s="29">
        <v>0</v>
      </c>
      <c r="CK12" s="29">
        <v>0</v>
      </c>
      <c r="CL12" s="29">
        <v>0</v>
      </c>
      <c r="CM12" s="29">
        <v>0</v>
      </c>
      <c r="CN12" s="29">
        <v>0</v>
      </c>
      <c r="CO12" s="29">
        <v>0</v>
      </c>
      <c r="CP12" s="29">
        <v>0</v>
      </c>
      <c r="CQ12" s="29">
        <v>0</v>
      </c>
      <c r="CR12" s="29">
        <v>0</v>
      </c>
      <c r="CS12" s="29">
        <v>0</v>
      </c>
      <c r="CT12" s="29">
        <v>0</v>
      </c>
      <c r="CU12" s="29">
        <v>0</v>
      </c>
      <c r="CV12" s="29">
        <v>0</v>
      </c>
      <c r="CW12" s="29">
        <v>0</v>
      </c>
      <c r="CX12" s="29">
        <v>0</v>
      </c>
      <c r="CY12" s="29">
        <v>0</v>
      </c>
      <c r="CZ12" s="29">
        <v>0</v>
      </c>
      <c r="DA12" s="29">
        <v>0</v>
      </c>
      <c r="DB12" s="29">
        <v>0</v>
      </c>
      <c r="DC12" s="29">
        <v>0</v>
      </c>
      <c r="DD12" s="29">
        <v>0</v>
      </c>
      <c r="DE12" s="29">
        <v>0</v>
      </c>
      <c r="DF12" s="29">
        <v>0</v>
      </c>
      <c r="DG12" s="29">
        <v>0</v>
      </c>
      <c r="DH12" s="29">
        <v>0</v>
      </c>
      <c r="DI12" s="29">
        <v>0</v>
      </c>
      <c r="DJ12" s="29">
        <v>0</v>
      </c>
      <c r="DK12" s="29">
        <v>0</v>
      </c>
      <c r="DL12" s="29">
        <v>0</v>
      </c>
      <c r="DM12" s="29">
        <v>0</v>
      </c>
      <c r="DN12" s="29">
        <v>0</v>
      </c>
      <c r="DO12" s="29">
        <v>0</v>
      </c>
      <c r="DP12" s="29">
        <v>0</v>
      </c>
      <c r="DQ12" s="29">
        <v>0</v>
      </c>
      <c r="DR12" s="29">
        <v>0</v>
      </c>
      <c r="DS12" s="29">
        <v>0</v>
      </c>
      <c r="DT12" s="29">
        <v>0</v>
      </c>
      <c r="DU12" s="29">
        <v>0</v>
      </c>
      <c r="DV12" s="29">
        <v>0</v>
      </c>
      <c r="DW12" s="29">
        <v>0</v>
      </c>
      <c r="DX12" s="29">
        <v>0</v>
      </c>
      <c r="DY12" s="29">
        <v>0</v>
      </c>
      <c r="DZ12" s="29">
        <v>0</v>
      </c>
      <c r="EA12" s="29">
        <v>0</v>
      </c>
      <c r="EB12" s="29">
        <v>0</v>
      </c>
      <c r="EC12" s="29">
        <v>0</v>
      </c>
      <c r="ED12" s="29">
        <v>0</v>
      </c>
      <c r="EE12" s="29">
        <v>0</v>
      </c>
      <c r="EF12" s="29">
        <v>0</v>
      </c>
      <c r="EG12" s="29">
        <v>0</v>
      </c>
      <c r="EH12" s="29">
        <v>0</v>
      </c>
      <c r="EI12" s="29">
        <v>0</v>
      </c>
      <c r="EJ12" s="29">
        <v>0</v>
      </c>
      <c r="EK12" s="29">
        <v>0</v>
      </c>
      <c r="EL12" s="29">
        <v>0</v>
      </c>
      <c r="EM12" s="29">
        <v>0</v>
      </c>
      <c r="EN12" s="29">
        <v>0</v>
      </c>
      <c r="EO12" s="29">
        <v>0</v>
      </c>
      <c r="EP12" s="29">
        <v>0</v>
      </c>
      <c r="EQ12" s="29">
        <v>0</v>
      </c>
      <c r="ER12" s="29">
        <v>0</v>
      </c>
      <c r="ES12" s="29">
        <v>0</v>
      </c>
      <c r="ET12" s="29">
        <v>0</v>
      </c>
      <c r="EU12" s="29">
        <v>0</v>
      </c>
      <c r="EV12" s="29">
        <v>0</v>
      </c>
      <c r="EW12" s="29">
        <v>0</v>
      </c>
      <c r="EX12" s="29">
        <v>0</v>
      </c>
      <c r="EY12" s="29">
        <v>0</v>
      </c>
      <c r="EZ12" s="29">
        <v>0</v>
      </c>
      <c r="FA12" s="29">
        <v>0</v>
      </c>
      <c r="FB12" s="29">
        <v>0</v>
      </c>
      <c r="FC12" s="29">
        <v>0</v>
      </c>
      <c r="FD12" s="29">
        <v>0</v>
      </c>
      <c r="FE12" s="29">
        <v>0</v>
      </c>
      <c r="FF12" s="29">
        <v>0</v>
      </c>
      <c r="FG12" s="29">
        <v>0</v>
      </c>
      <c r="FH12" s="29">
        <v>0</v>
      </c>
      <c r="FI12" s="29">
        <v>0</v>
      </c>
      <c r="FJ12" s="29">
        <v>0</v>
      </c>
      <c r="FK12" s="29">
        <v>0</v>
      </c>
      <c r="FL12" s="29">
        <v>0</v>
      </c>
      <c r="FM12" s="29">
        <v>0</v>
      </c>
      <c r="FN12" s="29">
        <v>0</v>
      </c>
      <c r="FO12" s="29">
        <v>0</v>
      </c>
      <c r="FP12" s="29">
        <v>0</v>
      </c>
      <c r="FQ12" s="29">
        <v>0</v>
      </c>
      <c r="FR12" s="29">
        <v>0</v>
      </c>
      <c r="FS12" s="29">
        <v>0</v>
      </c>
      <c r="FT12" s="29">
        <v>0</v>
      </c>
      <c r="FU12" s="29">
        <v>0</v>
      </c>
      <c r="FV12" s="29">
        <v>0</v>
      </c>
      <c r="FW12" s="29">
        <v>0</v>
      </c>
      <c r="FX12" s="29">
        <v>0</v>
      </c>
      <c r="FY12" s="29">
        <v>0</v>
      </c>
      <c r="FZ12" s="29">
        <v>0</v>
      </c>
      <c r="GA12" s="29">
        <v>0</v>
      </c>
      <c r="GB12" s="29">
        <v>0</v>
      </c>
      <c r="GC12" s="29">
        <v>0</v>
      </c>
      <c r="GD12" s="29">
        <v>0</v>
      </c>
      <c r="GE12" s="29">
        <v>0</v>
      </c>
      <c r="GF12" s="29">
        <v>0</v>
      </c>
      <c r="GG12" s="29">
        <v>0</v>
      </c>
      <c r="GH12" s="29">
        <v>0</v>
      </c>
      <c r="GI12" s="206">
        <f>SUM(K12:V12)</f>
        <v>0</v>
      </c>
      <c r="GJ12" s="206">
        <f>SUM(T12:AE12)</f>
        <v>0</v>
      </c>
      <c r="GK12" s="206">
        <f>SUM(AF12:AQ12)</f>
        <v>0</v>
      </c>
      <c r="GL12" s="206">
        <f>SUM(AR12:BC12)</f>
        <v>0</v>
      </c>
      <c r="GM12" s="206">
        <f>SUM(BD12:BO12)</f>
        <v>0</v>
      </c>
      <c r="GN12" s="206">
        <f>SUM(BP12:CA12)</f>
        <v>0</v>
      </c>
      <c r="GO12" s="206">
        <f>SUM(CB12:CM12)</f>
        <v>0</v>
      </c>
      <c r="GP12" s="206">
        <f>SUM(CN12:CY12)</f>
        <v>0</v>
      </c>
      <c r="GQ12" s="206">
        <f>SUM(CZ12:DK12)</f>
        <v>0</v>
      </c>
      <c r="GR12" s="206">
        <f>SUM(DL12:DW12)</f>
        <v>0</v>
      </c>
      <c r="GS12" s="206">
        <f>SUM(DX12:EI12)</f>
        <v>0</v>
      </c>
      <c r="GT12" s="206">
        <f>SUM(EJ12:EU12)</f>
        <v>0</v>
      </c>
      <c r="GU12" s="206">
        <f>SUM(EV12:FG12)</f>
        <v>0</v>
      </c>
      <c r="GV12" s="206">
        <f>SUM(FH12:FS12)</f>
        <v>0</v>
      </c>
      <c r="GW12" s="206">
        <f>SUM(FT12:GE12)</f>
        <v>0</v>
      </c>
    </row>
    <row r="13" spans="1:205" ht="18" customHeight="1" x14ac:dyDescent="0.35">
      <c r="A13" s="319" t="s">
        <v>35</v>
      </c>
      <c r="B13" s="26" t="s">
        <v>390</v>
      </c>
      <c r="C13" s="31"/>
      <c r="D13" s="31"/>
      <c r="E13" s="31"/>
      <c r="F13" s="31"/>
      <c r="G13" s="31"/>
      <c r="K13" s="32">
        <f>IF($E11="Active",K11,0)+IF($E12="Active",K12,0)</f>
        <v>0</v>
      </c>
      <c r="L13" s="32">
        <f>IF($E11="Active",L11,0)+IF($E12="Active",L12,0)</f>
        <v>0</v>
      </c>
      <c r="M13" s="32">
        <f t="shared" ref="M13:BX13" si="3">IF($E11="Active",M11,0)+IF($E12="Active",M12,0)</f>
        <v>0</v>
      </c>
      <c r="N13" s="32">
        <f t="shared" si="3"/>
        <v>3</v>
      </c>
      <c r="O13" s="32">
        <f t="shared" si="3"/>
        <v>2</v>
      </c>
      <c r="P13" s="32">
        <f t="shared" si="3"/>
        <v>0</v>
      </c>
      <c r="Q13" s="32">
        <f t="shared" si="3"/>
        <v>0</v>
      </c>
      <c r="R13" s="32">
        <f t="shared" si="3"/>
        <v>0</v>
      </c>
      <c r="S13" s="32">
        <f t="shared" si="3"/>
        <v>0</v>
      </c>
      <c r="T13" s="32">
        <f t="shared" si="3"/>
        <v>0</v>
      </c>
      <c r="U13" s="32">
        <f t="shared" si="3"/>
        <v>0</v>
      </c>
      <c r="V13" s="32">
        <f t="shared" si="3"/>
        <v>0</v>
      </c>
      <c r="W13" s="32">
        <f t="shared" si="3"/>
        <v>0</v>
      </c>
      <c r="X13" s="32">
        <f t="shared" si="3"/>
        <v>0</v>
      </c>
      <c r="Y13" s="32">
        <f t="shared" si="3"/>
        <v>0</v>
      </c>
      <c r="Z13" s="32">
        <f t="shared" si="3"/>
        <v>0</v>
      </c>
      <c r="AA13" s="32">
        <f t="shared" si="3"/>
        <v>0</v>
      </c>
      <c r="AB13" s="32">
        <f t="shared" si="3"/>
        <v>0</v>
      </c>
      <c r="AC13" s="32">
        <f t="shared" si="3"/>
        <v>0</v>
      </c>
      <c r="AD13" s="32">
        <f t="shared" si="3"/>
        <v>0</v>
      </c>
      <c r="AE13" s="32">
        <f t="shared" si="3"/>
        <v>0</v>
      </c>
      <c r="AF13" s="32">
        <f t="shared" si="3"/>
        <v>0</v>
      </c>
      <c r="AG13" s="32">
        <f t="shared" si="3"/>
        <v>0</v>
      </c>
      <c r="AH13" s="32">
        <f t="shared" si="3"/>
        <v>0</v>
      </c>
      <c r="AI13" s="32">
        <f t="shared" si="3"/>
        <v>0</v>
      </c>
      <c r="AJ13" s="32">
        <f t="shared" si="3"/>
        <v>0</v>
      </c>
      <c r="AK13" s="32">
        <f t="shared" si="3"/>
        <v>0</v>
      </c>
      <c r="AL13" s="32">
        <f t="shared" si="3"/>
        <v>0</v>
      </c>
      <c r="AM13" s="32">
        <f t="shared" si="3"/>
        <v>0</v>
      </c>
      <c r="AN13" s="32">
        <f t="shared" si="3"/>
        <v>0</v>
      </c>
      <c r="AO13" s="32">
        <f t="shared" si="3"/>
        <v>0</v>
      </c>
      <c r="AP13" s="32">
        <f t="shared" si="3"/>
        <v>0</v>
      </c>
      <c r="AQ13" s="32">
        <f t="shared" si="3"/>
        <v>0</v>
      </c>
      <c r="AR13" s="32">
        <f t="shared" si="3"/>
        <v>0</v>
      </c>
      <c r="AS13" s="32">
        <f t="shared" si="3"/>
        <v>0</v>
      </c>
      <c r="AT13" s="32">
        <f t="shared" si="3"/>
        <v>0</v>
      </c>
      <c r="AU13" s="32">
        <f t="shared" si="3"/>
        <v>0</v>
      </c>
      <c r="AV13" s="32">
        <f t="shared" si="3"/>
        <v>0</v>
      </c>
      <c r="AW13" s="32">
        <f t="shared" si="3"/>
        <v>0</v>
      </c>
      <c r="AX13" s="32">
        <f t="shared" si="3"/>
        <v>0</v>
      </c>
      <c r="AY13" s="32">
        <f t="shared" si="3"/>
        <v>0</v>
      </c>
      <c r="AZ13" s="32">
        <f t="shared" si="3"/>
        <v>0</v>
      </c>
      <c r="BA13" s="32">
        <f t="shared" si="3"/>
        <v>0</v>
      </c>
      <c r="BB13" s="32">
        <f t="shared" si="3"/>
        <v>0</v>
      </c>
      <c r="BC13" s="32">
        <f t="shared" si="3"/>
        <v>0</v>
      </c>
      <c r="BD13" s="32">
        <f t="shared" si="3"/>
        <v>0</v>
      </c>
      <c r="BE13" s="32">
        <f t="shared" si="3"/>
        <v>0</v>
      </c>
      <c r="BF13" s="32">
        <f t="shared" si="3"/>
        <v>0</v>
      </c>
      <c r="BG13" s="32">
        <f t="shared" si="3"/>
        <v>0</v>
      </c>
      <c r="BH13" s="32">
        <f t="shared" si="3"/>
        <v>0</v>
      </c>
      <c r="BI13" s="32">
        <f t="shared" si="3"/>
        <v>0</v>
      </c>
      <c r="BJ13" s="32">
        <f t="shared" si="3"/>
        <v>0</v>
      </c>
      <c r="BK13" s="32">
        <f t="shared" si="3"/>
        <v>0</v>
      </c>
      <c r="BL13" s="32">
        <f t="shared" si="3"/>
        <v>0</v>
      </c>
      <c r="BM13" s="32">
        <f t="shared" si="3"/>
        <v>0</v>
      </c>
      <c r="BN13" s="32">
        <f t="shared" si="3"/>
        <v>0</v>
      </c>
      <c r="BO13" s="32">
        <f t="shared" si="3"/>
        <v>0</v>
      </c>
      <c r="BP13" s="32">
        <f t="shared" si="3"/>
        <v>0</v>
      </c>
      <c r="BQ13" s="32">
        <f t="shared" si="3"/>
        <v>0</v>
      </c>
      <c r="BR13" s="32">
        <f t="shared" si="3"/>
        <v>0</v>
      </c>
      <c r="BS13" s="32">
        <f t="shared" si="3"/>
        <v>0</v>
      </c>
      <c r="BT13" s="32">
        <f t="shared" si="3"/>
        <v>0</v>
      </c>
      <c r="BU13" s="32">
        <f t="shared" si="3"/>
        <v>0</v>
      </c>
      <c r="BV13" s="32">
        <f t="shared" si="3"/>
        <v>0</v>
      </c>
      <c r="BW13" s="32">
        <f t="shared" si="3"/>
        <v>0</v>
      </c>
      <c r="BX13" s="32">
        <f t="shared" si="3"/>
        <v>0</v>
      </c>
      <c r="BY13" s="32">
        <f t="shared" ref="BY13:EJ13" si="4">IF($E11="Active",BY11,0)+IF($E12="Active",BY12,0)</f>
        <v>0</v>
      </c>
      <c r="BZ13" s="32">
        <f t="shared" si="4"/>
        <v>0</v>
      </c>
      <c r="CA13" s="32">
        <f t="shared" si="4"/>
        <v>0</v>
      </c>
      <c r="CB13" s="32">
        <f t="shared" si="4"/>
        <v>0</v>
      </c>
      <c r="CC13" s="32">
        <f t="shared" si="4"/>
        <v>0</v>
      </c>
      <c r="CD13" s="32">
        <f t="shared" si="4"/>
        <v>0</v>
      </c>
      <c r="CE13" s="32">
        <f t="shared" si="4"/>
        <v>0</v>
      </c>
      <c r="CF13" s="32">
        <f t="shared" si="4"/>
        <v>0</v>
      </c>
      <c r="CG13" s="32">
        <f t="shared" si="4"/>
        <v>0</v>
      </c>
      <c r="CH13" s="32">
        <f t="shared" si="4"/>
        <v>0</v>
      </c>
      <c r="CI13" s="32">
        <f t="shared" si="4"/>
        <v>0</v>
      </c>
      <c r="CJ13" s="32">
        <f t="shared" si="4"/>
        <v>0</v>
      </c>
      <c r="CK13" s="32">
        <f t="shared" si="4"/>
        <v>0</v>
      </c>
      <c r="CL13" s="32">
        <f t="shared" si="4"/>
        <v>0</v>
      </c>
      <c r="CM13" s="32">
        <f t="shared" si="4"/>
        <v>0</v>
      </c>
      <c r="CN13" s="32">
        <f t="shared" si="4"/>
        <v>0</v>
      </c>
      <c r="CO13" s="32">
        <f t="shared" si="4"/>
        <v>0</v>
      </c>
      <c r="CP13" s="32">
        <f t="shared" si="4"/>
        <v>0</v>
      </c>
      <c r="CQ13" s="32">
        <f t="shared" si="4"/>
        <v>0</v>
      </c>
      <c r="CR13" s="32">
        <f t="shared" si="4"/>
        <v>0</v>
      </c>
      <c r="CS13" s="32">
        <f t="shared" si="4"/>
        <v>0</v>
      </c>
      <c r="CT13" s="32">
        <f t="shared" si="4"/>
        <v>0</v>
      </c>
      <c r="CU13" s="32">
        <f t="shared" si="4"/>
        <v>0</v>
      </c>
      <c r="CV13" s="32">
        <f t="shared" si="4"/>
        <v>0</v>
      </c>
      <c r="CW13" s="32">
        <f t="shared" si="4"/>
        <v>0</v>
      </c>
      <c r="CX13" s="32">
        <f t="shared" si="4"/>
        <v>0</v>
      </c>
      <c r="CY13" s="32">
        <f t="shared" si="4"/>
        <v>0</v>
      </c>
      <c r="CZ13" s="32">
        <f t="shared" si="4"/>
        <v>0</v>
      </c>
      <c r="DA13" s="32">
        <f t="shared" si="4"/>
        <v>0</v>
      </c>
      <c r="DB13" s="32">
        <f t="shared" si="4"/>
        <v>0</v>
      </c>
      <c r="DC13" s="32">
        <f t="shared" si="4"/>
        <v>0</v>
      </c>
      <c r="DD13" s="32">
        <f t="shared" si="4"/>
        <v>0</v>
      </c>
      <c r="DE13" s="32">
        <f t="shared" si="4"/>
        <v>0</v>
      </c>
      <c r="DF13" s="32">
        <f t="shared" si="4"/>
        <v>0</v>
      </c>
      <c r="DG13" s="32">
        <f t="shared" si="4"/>
        <v>0</v>
      </c>
      <c r="DH13" s="32">
        <f t="shared" si="4"/>
        <v>0</v>
      </c>
      <c r="DI13" s="32">
        <f t="shared" si="4"/>
        <v>0</v>
      </c>
      <c r="DJ13" s="32">
        <f t="shared" si="4"/>
        <v>0</v>
      </c>
      <c r="DK13" s="32">
        <f t="shared" si="4"/>
        <v>0</v>
      </c>
      <c r="DL13" s="32">
        <f t="shared" si="4"/>
        <v>0</v>
      </c>
      <c r="DM13" s="32">
        <f t="shared" si="4"/>
        <v>0</v>
      </c>
      <c r="DN13" s="32">
        <f t="shared" si="4"/>
        <v>0</v>
      </c>
      <c r="DO13" s="32">
        <f t="shared" si="4"/>
        <v>0</v>
      </c>
      <c r="DP13" s="32">
        <f t="shared" si="4"/>
        <v>0</v>
      </c>
      <c r="DQ13" s="32">
        <f t="shared" si="4"/>
        <v>0</v>
      </c>
      <c r="DR13" s="32">
        <f t="shared" si="4"/>
        <v>0</v>
      </c>
      <c r="DS13" s="32">
        <f t="shared" si="4"/>
        <v>0</v>
      </c>
      <c r="DT13" s="32">
        <f t="shared" si="4"/>
        <v>0</v>
      </c>
      <c r="DU13" s="32">
        <f t="shared" si="4"/>
        <v>0</v>
      </c>
      <c r="DV13" s="32">
        <f t="shared" si="4"/>
        <v>0</v>
      </c>
      <c r="DW13" s="32">
        <f t="shared" si="4"/>
        <v>0</v>
      </c>
      <c r="DX13" s="32">
        <f t="shared" si="4"/>
        <v>0</v>
      </c>
      <c r="DY13" s="32">
        <f t="shared" si="4"/>
        <v>0</v>
      </c>
      <c r="DZ13" s="32">
        <f t="shared" si="4"/>
        <v>0</v>
      </c>
      <c r="EA13" s="32">
        <f t="shared" si="4"/>
        <v>0</v>
      </c>
      <c r="EB13" s="32">
        <f t="shared" si="4"/>
        <v>0</v>
      </c>
      <c r="EC13" s="32">
        <f t="shared" si="4"/>
        <v>0</v>
      </c>
      <c r="ED13" s="32">
        <f t="shared" si="4"/>
        <v>0</v>
      </c>
      <c r="EE13" s="32">
        <f t="shared" si="4"/>
        <v>0</v>
      </c>
      <c r="EF13" s="32">
        <f t="shared" si="4"/>
        <v>0</v>
      </c>
      <c r="EG13" s="32">
        <f t="shared" si="4"/>
        <v>0</v>
      </c>
      <c r="EH13" s="32">
        <f t="shared" si="4"/>
        <v>0</v>
      </c>
      <c r="EI13" s="32">
        <f t="shared" si="4"/>
        <v>0</v>
      </c>
      <c r="EJ13" s="32">
        <f t="shared" si="4"/>
        <v>0</v>
      </c>
      <c r="EK13" s="32">
        <f t="shared" ref="EK13:GH13" si="5">IF($E11="Active",EK11,0)+IF($E12="Active",EK12,0)</f>
        <v>0</v>
      </c>
      <c r="EL13" s="32">
        <f t="shared" si="5"/>
        <v>0</v>
      </c>
      <c r="EM13" s="32">
        <f t="shared" si="5"/>
        <v>0</v>
      </c>
      <c r="EN13" s="32">
        <f t="shared" si="5"/>
        <v>0</v>
      </c>
      <c r="EO13" s="32">
        <f t="shared" si="5"/>
        <v>0</v>
      </c>
      <c r="EP13" s="32">
        <f t="shared" si="5"/>
        <v>0</v>
      </c>
      <c r="EQ13" s="32">
        <f t="shared" si="5"/>
        <v>0</v>
      </c>
      <c r="ER13" s="32">
        <f t="shared" si="5"/>
        <v>0</v>
      </c>
      <c r="ES13" s="32">
        <f t="shared" si="5"/>
        <v>0</v>
      </c>
      <c r="ET13" s="32">
        <f t="shared" si="5"/>
        <v>0</v>
      </c>
      <c r="EU13" s="32">
        <f t="shared" si="5"/>
        <v>0</v>
      </c>
      <c r="EV13" s="32">
        <f t="shared" si="5"/>
        <v>0</v>
      </c>
      <c r="EW13" s="32">
        <f t="shared" si="5"/>
        <v>0</v>
      </c>
      <c r="EX13" s="32">
        <f t="shared" si="5"/>
        <v>0</v>
      </c>
      <c r="EY13" s="32">
        <f t="shared" si="5"/>
        <v>0</v>
      </c>
      <c r="EZ13" s="32">
        <f t="shared" si="5"/>
        <v>0</v>
      </c>
      <c r="FA13" s="32">
        <f t="shared" si="5"/>
        <v>0</v>
      </c>
      <c r="FB13" s="32">
        <f t="shared" si="5"/>
        <v>0</v>
      </c>
      <c r="FC13" s="32">
        <f t="shared" si="5"/>
        <v>0</v>
      </c>
      <c r="FD13" s="32">
        <f t="shared" si="5"/>
        <v>0</v>
      </c>
      <c r="FE13" s="32">
        <f t="shared" si="5"/>
        <v>0</v>
      </c>
      <c r="FF13" s="32">
        <f t="shared" si="5"/>
        <v>0</v>
      </c>
      <c r="FG13" s="32">
        <f t="shared" si="5"/>
        <v>0</v>
      </c>
      <c r="FH13" s="32">
        <f t="shared" si="5"/>
        <v>0</v>
      </c>
      <c r="FI13" s="32">
        <f t="shared" si="5"/>
        <v>0</v>
      </c>
      <c r="FJ13" s="32">
        <f t="shared" si="5"/>
        <v>0</v>
      </c>
      <c r="FK13" s="32">
        <f t="shared" si="5"/>
        <v>0</v>
      </c>
      <c r="FL13" s="32">
        <f t="shared" si="5"/>
        <v>0</v>
      </c>
      <c r="FM13" s="32">
        <f t="shared" si="5"/>
        <v>0</v>
      </c>
      <c r="FN13" s="32">
        <f t="shared" si="5"/>
        <v>0</v>
      </c>
      <c r="FO13" s="32">
        <f t="shared" si="5"/>
        <v>0</v>
      </c>
      <c r="FP13" s="32">
        <f t="shared" si="5"/>
        <v>0</v>
      </c>
      <c r="FQ13" s="32">
        <f t="shared" si="5"/>
        <v>0</v>
      </c>
      <c r="FR13" s="32">
        <f t="shared" si="5"/>
        <v>0</v>
      </c>
      <c r="FS13" s="32">
        <f t="shared" si="5"/>
        <v>0</v>
      </c>
      <c r="FT13" s="32">
        <f t="shared" si="5"/>
        <v>0</v>
      </c>
      <c r="FU13" s="32">
        <f t="shared" si="5"/>
        <v>0</v>
      </c>
      <c r="FV13" s="32">
        <f t="shared" si="5"/>
        <v>0</v>
      </c>
      <c r="FW13" s="32">
        <f t="shared" si="5"/>
        <v>0</v>
      </c>
      <c r="FX13" s="32">
        <f t="shared" si="5"/>
        <v>0</v>
      </c>
      <c r="FY13" s="32">
        <f t="shared" si="5"/>
        <v>0</v>
      </c>
      <c r="FZ13" s="32">
        <f t="shared" si="5"/>
        <v>0</v>
      </c>
      <c r="GA13" s="32">
        <f t="shared" si="5"/>
        <v>0</v>
      </c>
      <c r="GB13" s="32">
        <f t="shared" si="5"/>
        <v>0</v>
      </c>
      <c r="GC13" s="32">
        <f t="shared" si="5"/>
        <v>0</v>
      </c>
      <c r="GD13" s="32">
        <f t="shared" si="5"/>
        <v>0</v>
      </c>
      <c r="GE13" s="32">
        <f t="shared" si="5"/>
        <v>0</v>
      </c>
      <c r="GF13" s="32">
        <f t="shared" si="5"/>
        <v>0</v>
      </c>
      <c r="GG13" s="32">
        <f t="shared" si="5"/>
        <v>0</v>
      </c>
      <c r="GH13" s="32">
        <f t="shared" si="5"/>
        <v>0</v>
      </c>
      <c r="GI13" s="32">
        <f>IF(E11="Active",GF11,0)+IF(E12="Active",GF12,0)</f>
        <v>0</v>
      </c>
      <c r="GJ13" s="32">
        <f>IF(E11="Active",GG11,0)+IF(E12="Active",GG12,0)</f>
        <v>0</v>
      </c>
      <c r="GK13" s="32">
        <f>IF(E11="Active",GH11,0)+IF(E12="Active",GH12,0)</f>
        <v>0</v>
      </c>
      <c r="GL13" s="32">
        <f>IF(E11="Active",GI11,0)+IF(E12="Active",GI12,0)</f>
        <v>5</v>
      </c>
      <c r="GM13" s="32">
        <f>IF(E11="Active",GJ11,0)+IF(E12="Active",GJ12,0)</f>
        <v>0</v>
      </c>
      <c r="GN13" s="32">
        <f>IF(E11="Active",GK11,0)+IF(E12="Active",GK12,0)</f>
        <v>0</v>
      </c>
      <c r="GO13" s="32">
        <f>IF(E11="Active",GL11,0)+IF(E12="Active",GL12,0)</f>
        <v>0</v>
      </c>
      <c r="GP13" s="32">
        <f>IF(E11="Active",GM11,0)+IF(E12="Active",GM12,0)</f>
        <v>0</v>
      </c>
      <c r="GQ13" s="32">
        <f>IF(E11="Active",GN11,0)+IF(E12="Active",GN12,0)</f>
        <v>0</v>
      </c>
      <c r="GR13" s="32">
        <f>IF(E11="Active",GO11,0)+IF(E12="Active",GO12,0)</f>
        <v>0</v>
      </c>
      <c r="GS13" s="32">
        <f>IF(E11="Active",GP11,0)+IF(E12="Active",GP12,0)</f>
        <v>0</v>
      </c>
      <c r="GT13" s="32">
        <f>IF(E11="Active",GQ11,0)+IF(E12="Active",GQ12,0)</f>
        <v>0</v>
      </c>
      <c r="GU13" s="32">
        <f>IF(E11="Active",GR11,0)+IF(E12="Active",GR12,0)</f>
        <v>0</v>
      </c>
      <c r="GV13" s="32">
        <f>IF(E11="Active",GS11,0)+IF(E12="Active",GS12,0)</f>
        <v>0</v>
      </c>
      <c r="GW13" s="32">
        <f>IF(E11="Active",GT11,0)+IF(E12="Active",GT12,0)</f>
        <v>0</v>
      </c>
    </row>
    <row r="14" spans="1:205" ht="18" customHeight="1" x14ac:dyDescent="0.35">
      <c r="A14" s="318" t="s">
        <v>961</v>
      </c>
      <c r="B14" s="320"/>
      <c r="C14" s="321"/>
      <c r="D14" s="321"/>
      <c r="E14" s="321"/>
      <c r="F14" s="321"/>
      <c r="G14" s="321"/>
      <c r="H14" s="322"/>
      <c r="I14" s="322"/>
      <c r="J14" s="322"/>
      <c r="K14" s="323"/>
      <c r="L14" s="323"/>
      <c r="M14" s="323"/>
      <c r="N14" s="323"/>
      <c r="O14" s="323"/>
      <c r="P14" s="323"/>
      <c r="Q14" s="323"/>
      <c r="R14" s="323"/>
      <c r="S14" s="323"/>
      <c r="T14" s="323"/>
      <c r="U14" s="323"/>
      <c r="V14" s="323"/>
      <c r="W14" s="323"/>
      <c r="X14" s="323"/>
      <c r="Y14" s="323"/>
      <c r="Z14" s="323"/>
      <c r="AA14" s="323"/>
      <c r="AB14" s="323"/>
      <c r="AC14" s="323"/>
      <c r="AD14" s="323"/>
      <c r="AE14" s="323"/>
      <c r="AF14" s="323"/>
      <c r="AG14" s="323"/>
      <c r="AH14" s="323"/>
      <c r="AI14" s="323"/>
      <c r="AJ14" s="323"/>
      <c r="AK14" s="323"/>
      <c r="AL14" s="323"/>
      <c r="AM14" s="323"/>
      <c r="AN14" s="323"/>
      <c r="AO14" s="323"/>
      <c r="AP14" s="323"/>
      <c r="AQ14" s="323"/>
      <c r="AR14" s="323"/>
      <c r="AS14" s="323"/>
      <c r="AT14" s="323"/>
      <c r="AU14" s="323"/>
      <c r="AV14" s="323"/>
      <c r="AW14" s="323"/>
      <c r="AX14" s="323"/>
      <c r="AY14" s="323"/>
      <c r="AZ14" s="323"/>
      <c r="BA14" s="323"/>
      <c r="BB14" s="323"/>
      <c r="BC14" s="323"/>
      <c r="BD14" s="323"/>
      <c r="BE14" s="323"/>
      <c r="BF14" s="323"/>
      <c r="BG14" s="323"/>
      <c r="BH14" s="323"/>
      <c r="BI14" s="323"/>
      <c r="BJ14" s="323"/>
      <c r="BK14" s="323"/>
      <c r="BL14" s="323"/>
      <c r="BM14" s="323"/>
      <c r="BN14" s="323"/>
      <c r="BO14" s="323"/>
      <c r="BP14" s="323"/>
      <c r="BQ14" s="323"/>
      <c r="BR14" s="323"/>
      <c r="BS14" s="323"/>
      <c r="BT14" s="323"/>
      <c r="BU14" s="323"/>
      <c r="BV14" s="323"/>
      <c r="BW14" s="323"/>
      <c r="BX14" s="323"/>
      <c r="BY14" s="323"/>
      <c r="BZ14" s="323"/>
      <c r="CA14" s="323"/>
      <c r="CB14" s="323"/>
      <c r="CC14" s="323"/>
      <c r="CD14" s="323"/>
      <c r="CE14" s="323"/>
      <c r="CF14" s="323"/>
      <c r="CG14" s="323"/>
      <c r="CH14" s="323"/>
      <c r="CI14" s="323"/>
      <c r="CJ14" s="323"/>
      <c r="CK14" s="323"/>
      <c r="CL14" s="323"/>
      <c r="CM14" s="323"/>
      <c r="CN14" s="323"/>
      <c r="CO14" s="323"/>
      <c r="CP14" s="323"/>
      <c r="CQ14" s="323"/>
      <c r="CR14" s="323"/>
      <c r="CS14" s="323"/>
      <c r="CT14" s="323"/>
      <c r="CU14" s="323"/>
      <c r="CV14" s="323"/>
      <c r="CW14" s="323"/>
      <c r="CX14" s="323"/>
      <c r="CY14" s="323"/>
      <c r="CZ14" s="323"/>
      <c r="DA14" s="323"/>
      <c r="DB14" s="323"/>
      <c r="DC14" s="323"/>
      <c r="DD14" s="323"/>
      <c r="DE14" s="323"/>
      <c r="DF14" s="323"/>
      <c r="DG14" s="323"/>
      <c r="DH14" s="323"/>
      <c r="DI14" s="323"/>
      <c r="DJ14" s="323"/>
      <c r="DK14" s="323"/>
      <c r="DL14" s="323"/>
      <c r="DM14" s="323"/>
      <c r="DN14" s="323"/>
      <c r="DO14" s="323"/>
      <c r="DP14" s="323"/>
      <c r="DQ14" s="323"/>
      <c r="DR14" s="323"/>
      <c r="DS14" s="323"/>
      <c r="DT14" s="323"/>
      <c r="DU14" s="323"/>
      <c r="DV14" s="323"/>
      <c r="DW14" s="323"/>
      <c r="DX14" s="323"/>
      <c r="DY14" s="323"/>
      <c r="DZ14" s="323"/>
      <c r="EA14" s="323"/>
      <c r="EB14" s="323"/>
      <c r="EC14" s="323"/>
      <c r="ED14" s="323"/>
      <c r="EE14" s="323"/>
      <c r="EF14" s="323"/>
      <c r="EG14" s="323"/>
      <c r="EH14" s="323"/>
      <c r="EI14" s="323"/>
      <c r="EJ14" s="323"/>
      <c r="EK14" s="323"/>
      <c r="EL14" s="323"/>
      <c r="EM14" s="323"/>
      <c r="EN14" s="323"/>
      <c r="EO14" s="323"/>
      <c r="EP14" s="323"/>
      <c r="EQ14" s="323"/>
      <c r="ER14" s="323"/>
      <c r="ES14" s="323"/>
      <c r="ET14" s="323"/>
      <c r="EU14" s="323"/>
      <c r="EV14" s="323"/>
      <c r="EW14" s="323"/>
      <c r="EX14" s="323"/>
      <c r="EY14" s="323"/>
      <c r="EZ14" s="323"/>
      <c r="FA14" s="323"/>
      <c r="FB14" s="323"/>
      <c r="FC14" s="323"/>
      <c r="FD14" s="323"/>
      <c r="FE14" s="323"/>
      <c r="FF14" s="323"/>
      <c r="FG14" s="323"/>
      <c r="FH14" s="323"/>
      <c r="FI14" s="323"/>
      <c r="FJ14" s="323"/>
      <c r="FK14" s="323"/>
      <c r="FL14" s="323"/>
      <c r="FM14" s="323"/>
      <c r="FN14" s="323"/>
      <c r="FO14" s="323"/>
      <c r="FP14" s="323"/>
      <c r="FQ14" s="323"/>
      <c r="FR14" s="323"/>
      <c r="FS14" s="323"/>
      <c r="FT14" s="323"/>
      <c r="FU14" s="323"/>
      <c r="FV14" s="323"/>
      <c r="FW14" s="323"/>
      <c r="FX14" s="323"/>
      <c r="FY14" s="323"/>
      <c r="FZ14" s="323"/>
      <c r="GA14" s="323"/>
      <c r="GB14" s="323"/>
      <c r="GC14" s="323"/>
      <c r="GD14" s="323"/>
      <c r="GE14" s="323"/>
      <c r="GF14" s="323"/>
      <c r="GG14" s="323"/>
      <c r="GH14" s="323"/>
      <c r="GI14" s="323"/>
      <c r="GJ14" s="323"/>
      <c r="GK14" s="323"/>
      <c r="GL14" s="323"/>
      <c r="GM14" s="323"/>
      <c r="GN14" s="323"/>
      <c r="GO14" s="323"/>
      <c r="GP14" s="323"/>
      <c r="GQ14" s="323"/>
      <c r="GR14" s="323"/>
      <c r="GS14" s="323"/>
      <c r="GT14" s="323"/>
      <c r="GU14" s="323"/>
      <c r="GV14" s="323"/>
      <c r="GW14" s="323"/>
    </row>
    <row r="15" spans="1:205" ht="18" customHeight="1" x14ac:dyDescent="0.35">
      <c r="A15" s="298" t="s">
        <v>959</v>
      </c>
      <c r="B15" s="324" t="s">
        <v>33</v>
      </c>
      <c r="C15" s="273" t="s">
        <v>28</v>
      </c>
      <c r="D15" s="273" t="s">
        <v>29</v>
      </c>
      <c r="E15" s="306" t="str">
        <f>'Supplier Registry'!N10</f>
        <v>Active</v>
      </c>
      <c r="F15" s="306">
        <f>'Supplier Registry'!M10</f>
        <v>1</v>
      </c>
      <c r="G15" s="306">
        <f>'Supplier Registry'!E10</f>
        <v>16200</v>
      </c>
      <c r="H15" s="325">
        <f>'Supplier Registry'!P10</f>
        <v>9</v>
      </c>
      <c r="I15" s="326">
        <f>IFERROR(EDATE(Controls!B5,H15),"")</f>
        <v>46388</v>
      </c>
      <c r="J15" s="327">
        <f>IFERROR(EDATE(I15,-'Supplier Registry'!Q10),"")</f>
        <v>46357</v>
      </c>
      <c r="K15" s="329"/>
      <c r="L15" s="329"/>
      <c r="M15" s="329"/>
      <c r="N15" s="329"/>
      <c r="O15" s="329"/>
      <c r="P15" s="329"/>
      <c r="Q15" s="329"/>
      <c r="R15" s="329"/>
      <c r="S15" s="329"/>
      <c r="T15" s="329"/>
      <c r="U15" s="329"/>
      <c r="V15" s="329"/>
      <c r="W15" s="329">
        <v>0</v>
      </c>
      <c r="X15" s="329">
        <v>0</v>
      </c>
      <c r="Y15" s="329">
        <v>0</v>
      </c>
      <c r="Z15" s="329">
        <v>0</v>
      </c>
      <c r="AA15" s="329">
        <v>0</v>
      </c>
      <c r="AB15" s="329">
        <v>0</v>
      </c>
      <c r="AC15" s="329">
        <v>0</v>
      </c>
      <c r="AD15" s="329">
        <v>0</v>
      </c>
      <c r="AE15" s="329">
        <v>0</v>
      </c>
      <c r="AF15" s="329">
        <v>0</v>
      </c>
      <c r="AG15" s="329">
        <v>0</v>
      </c>
      <c r="AH15" s="329">
        <v>0</v>
      </c>
      <c r="AI15" s="329">
        <v>0</v>
      </c>
      <c r="AJ15" s="329">
        <v>0</v>
      </c>
      <c r="AK15" s="329">
        <v>0</v>
      </c>
      <c r="AL15" s="329">
        <v>0</v>
      </c>
      <c r="AM15" s="329">
        <v>0</v>
      </c>
      <c r="AN15" s="329">
        <v>0</v>
      </c>
      <c r="AO15" s="329">
        <v>0</v>
      </c>
      <c r="AP15" s="329">
        <v>0</v>
      </c>
      <c r="AQ15" s="329">
        <v>0</v>
      </c>
      <c r="AR15" s="329">
        <v>0</v>
      </c>
      <c r="AS15" s="329">
        <v>0</v>
      </c>
      <c r="AT15" s="329">
        <v>0</v>
      </c>
      <c r="AU15" s="329">
        <v>0</v>
      </c>
      <c r="AV15" s="329">
        <v>0</v>
      </c>
      <c r="AW15" s="329">
        <v>0</v>
      </c>
      <c r="AX15" s="329">
        <v>0</v>
      </c>
      <c r="AY15" s="329">
        <v>0</v>
      </c>
      <c r="AZ15" s="329">
        <v>0</v>
      </c>
      <c r="BA15" s="329">
        <v>0</v>
      </c>
      <c r="BB15" s="329">
        <v>0</v>
      </c>
      <c r="BC15" s="329">
        <v>0</v>
      </c>
      <c r="BD15" s="329">
        <v>0</v>
      </c>
      <c r="BE15" s="329">
        <v>0</v>
      </c>
      <c r="BF15" s="329">
        <v>0</v>
      </c>
      <c r="BG15" s="329">
        <v>0</v>
      </c>
      <c r="BH15" s="329">
        <v>0</v>
      </c>
      <c r="BI15" s="329">
        <v>0</v>
      </c>
      <c r="BJ15" s="329">
        <v>0</v>
      </c>
      <c r="BK15" s="329">
        <v>0</v>
      </c>
      <c r="BL15" s="329">
        <v>0</v>
      </c>
      <c r="BM15" s="329">
        <v>0</v>
      </c>
      <c r="BN15" s="329">
        <v>0</v>
      </c>
      <c r="BO15" s="329">
        <v>0</v>
      </c>
      <c r="BP15" s="329">
        <v>0</v>
      </c>
      <c r="BQ15" s="329">
        <v>0</v>
      </c>
      <c r="BR15" s="329">
        <v>0</v>
      </c>
      <c r="BS15" s="329">
        <v>0</v>
      </c>
      <c r="BT15" s="329">
        <v>0</v>
      </c>
      <c r="BU15" s="329">
        <v>0</v>
      </c>
      <c r="BV15" s="329">
        <v>0</v>
      </c>
      <c r="BW15" s="329">
        <v>0</v>
      </c>
      <c r="BX15" s="329">
        <v>0</v>
      </c>
      <c r="BY15" s="329">
        <v>0</v>
      </c>
      <c r="BZ15" s="329">
        <v>0</v>
      </c>
      <c r="CA15" s="329">
        <v>0</v>
      </c>
      <c r="CB15" s="329">
        <v>0</v>
      </c>
      <c r="CC15" s="329">
        <v>0</v>
      </c>
      <c r="CD15" s="329">
        <v>0</v>
      </c>
      <c r="CE15" s="329">
        <v>0</v>
      </c>
      <c r="CF15" s="329">
        <v>0</v>
      </c>
      <c r="CG15" s="329">
        <v>0</v>
      </c>
      <c r="CH15" s="329">
        <v>0</v>
      </c>
      <c r="CI15" s="329">
        <v>0</v>
      </c>
      <c r="CJ15" s="329">
        <v>0</v>
      </c>
      <c r="CK15" s="329">
        <v>0</v>
      </c>
      <c r="CL15" s="329">
        <v>0</v>
      </c>
      <c r="CM15" s="329">
        <v>0</v>
      </c>
      <c r="CN15" s="329">
        <v>0</v>
      </c>
      <c r="CO15" s="329">
        <v>0</v>
      </c>
      <c r="CP15" s="329">
        <v>0</v>
      </c>
      <c r="CQ15" s="329">
        <v>0</v>
      </c>
      <c r="CR15" s="329">
        <v>0</v>
      </c>
      <c r="CS15" s="329">
        <v>0</v>
      </c>
      <c r="CT15" s="329">
        <v>0</v>
      </c>
      <c r="CU15" s="329">
        <v>0</v>
      </c>
      <c r="CV15" s="329">
        <v>0</v>
      </c>
      <c r="CW15" s="329">
        <v>0</v>
      </c>
      <c r="CX15" s="329">
        <v>0</v>
      </c>
      <c r="CY15" s="329">
        <v>0</v>
      </c>
      <c r="CZ15" s="329">
        <v>0</v>
      </c>
      <c r="DA15" s="329">
        <v>0</v>
      </c>
      <c r="DB15" s="329">
        <v>0</v>
      </c>
      <c r="DC15" s="329">
        <v>0</v>
      </c>
      <c r="DD15" s="329">
        <v>0</v>
      </c>
      <c r="DE15" s="329">
        <v>0</v>
      </c>
      <c r="DF15" s="329">
        <v>0</v>
      </c>
      <c r="DG15" s="329">
        <v>0</v>
      </c>
      <c r="DH15" s="329">
        <v>0</v>
      </c>
      <c r="DI15" s="329">
        <v>0</v>
      </c>
      <c r="DJ15" s="329">
        <v>0</v>
      </c>
      <c r="DK15" s="329">
        <v>0</v>
      </c>
      <c r="DL15" s="329">
        <v>0</v>
      </c>
      <c r="DM15" s="329">
        <v>0</v>
      </c>
      <c r="DN15" s="329">
        <v>0</v>
      </c>
      <c r="DO15" s="329">
        <v>0</v>
      </c>
      <c r="DP15" s="329">
        <v>0</v>
      </c>
      <c r="DQ15" s="329">
        <v>0</v>
      </c>
      <c r="DR15" s="329">
        <v>0</v>
      </c>
      <c r="DS15" s="329">
        <v>0</v>
      </c>
      <c r="DT15" s="329">
        <v>0</v>
      </c>
      <c r="DU15" s="329">
        <v>0</v>
      </c>
      <c r="DV15" s="329">
        <v>0</v>
      </c>
      <c r="DW15" s="329">
        <v>0</v>
      </c>
      <c r="DX15" s="329">
        <v>0</v>
      </c>
      <c r="DY15" s="329">
        <v>0</v>
      </c>
      <c r="DZ15" s="329">
        <v>0</v>
      </c>
      <c r="EA15" s="329">
        <v>0</v>
      </c>
      <c r="EB15" s="329">
        <v>0</v>
      </c>
      <c r="EC15" s="329">
        <v>0</v>
      </c>
      <c r="ED15" s="329">
        <v>0</v>
      </c>
      <c r="EE15" s="329">
        <v>0</v>
      </c>
      <c r="EF15" s="329">
        <v>0</v>
      </c>
      <c r="EG15" s="329">
        <v>0</v>
      </c>
      <c r="EH15" s="329">
        <v>0</v>
      </c>
      <c r="EI15" s="329">
        <v>0</v>
      </c>
      <c r="EJ15" s="329">
        <v>0</v>
      </c>
      <c r="EK15" s="329">
        <v>0</v>
      </c>
      <c r="EL15" s="329">
        <v>0</v>
      </c>
      <c r="EM15" s="329">
        <v>0</v>
      </c>
      <c r="EN15" s="329">
        <v>0</v>
      </c>
      <c r="EO15" s="329">
        <v>0</v>
      </c>
      <c r="EP15" s="329">
        <v>0</v>
      </c>
      <c r="EQ15" s="329">
        <v>0</v>
      </c>
      <c r="ER15" s="329">
        <v>0</v>
      </c>
      <c r="ES15" s="329">
        <v>0</v>
      </c>
      <c r="ET15" s="329">
        <v>0</v>
      </c>
      <c r="EU15" s="329">
        <v>0</v>
      </c>
      <c r="EV15" s="329">
        <v>0</v>
      </c>
      <c r="EW15" s="329">
        <v>0</v>
      </c>
      <c r="EX15" s="329">
        <v>0</v>
      </c>
      <c r="EY15" s="329">
        <v>0</v>
      </c>
      <c r="EZ15" s="329">
        <v>0</v>
      </c>
      <c r="FA15" s="329">
        <v>0</v>
      </c>
      <c r="FB15" s="329">
        <v>0</v>
      </c>
      <c r="FC15" s="329">
        <v>0</v>
      </c>
      <c r="FD15" s="329">
        <v>0</v>
      </c>
      <c r="FE15" s="329">
        <v>0</v>
      </c>
      <c r="FF15" s="329">
        <v>0</v>
      </c>
      <c r="FG15" s="329">
        <v>0</v>
      </c>
      <c r="FH15" s="329">
        <v>0</v>
      </c>
      <c r="FI15" s="329">
        <v>0</v>
      </c>
      <c r="FJ15" s="329">
        <v>0</v>
      </c>
      <c r="FK15" s="329">
        <v>0</v>
      </c>
      <c r="FL15" s="329">
        <v>0</v>
      </c>
      <c r="FM15" s="329">
        <v>0</v>
      </c>
      <c r="FN15" s="329">
        <v>0</v>
      </c>
      <c r="FO15" s="329">
        <v>0</v>
      </c>
      <c r="FP15" s="329">
        <v>0</v>
      </c>
      <c r="FQ15" s="329">
        <v>0</v>
      </c>
      <c r="FR15" s="329">
        <v>0</v>
      </c>
      <c r="FS15" s="329">
        <v>0</v>
      </c>
      <c r="FT15" s="329">
        <v>0</v>
      </c>
      <c r="FU15" s="329">
        <v>0</v>
      </c>
      <c r="FV15" s="329">
        <v>0</v>
      </c>
      <c r="FW15" s="329">
        <v>0</v>
      </c>
      <c r="FX15" s="329">
        <v>0</v>
      </c>
      <c r="FY15" s="329">
        <v>0</v>
      </c>
      <c r="FZ15" s="329">
        <v>0</v>
      </c>
      <c r="GA15" s="329">
        <v>0</v>
      </c>
      <c r="GB15" s="329">
        <v>0</v>
      </c>
      <c r="GC15" s="329">
        <v>0</v>
      </c>
      <c r="GD15" s="329">
        <v>0</v>
      </c>
      <c r="GE15" s="329">
        <v>0</v>
      </c>
      <c r="GF15" s="329">
        <v>0</v>
      </c>
      <c r="GG15" s="329">
        <v>0</v>
      </c>
      <c r="GH15" s="329">
        <v>0</v>
      </c>
      <c r="GI15" s="329"/>
      <c r="GJ15" s="329"/>
      <c r="GK15" s="329"/>
      <c r="GL15" s="329"/>
      <c r="GM15" s="329"/>
      <c r="GN15" s="329"/>
      <c r="GO15" s="329"/>
      <c r="GP15" s="329"/>
      <c r="GQ15" s="329"/>
      <c r="GR15" s="329"/>
      <c r="GS15" s="329"/>
      <c r="GT15" s="329"/>
      <c r="GU15" s="329"/>
      <c r="GV15" s="329"/>
      <c r="GW15" s="329"/>
    </row>
    <row r="16" spans="1:205" ht="18" customHeight="1" x14ac:dyDescent="0.35">
      <c r="A16" s="328" t="s">
        <v>959</v>
      </c>
      <c r="B16" s="328" t="s">
        <v>390</v>
      </c>
      <c r="C16" s="330"/>
      <c r="D16" s="330"/>
      <c r="E16" s="330"/>
      <c r="F16" s="330"/>
      <c r="G16" s="330"/>
      <c r="H16" s="331"/>
      <c r="I16" s="331"/>
      <c r="J16" s="331"/>
      <c r="K16" s="332">
        <f>IF($E$15="Active",K15,0)</f>
        <v>0</v>
      </c>
      <c r="L16" s="332">
        <f t="shared" ref="L16:BW16" si="6">IF($E$15="Active",L15,0)</f>
        <v>0</v>
      </c>
      <c r="M16" s="332">
        <f t="shared" si="6"/>
        <v>0</v>
      </c>
      <c r="N16" s="332">
        <f t="shared" si="6"/>
        <v>0</v>
      </c>
      <c r="O16" s="332">
        <f t="shared" si="6"/>
        <v>0</v>
      </c>
      <c r="P16" s="332">
        <f t="shared" si="6"/>
        <v>0</v>
      </c>
      <c r="Q16" s="332">
        <f t="shared" si="6"/>
        <v>0</v>
      </c>
      <c r="R16" s="332">
        <f t="shared" si="6"/>
        <v>0</v>
      </c>
      <c r="S16" s="332">
        <f t="shared" si="6"/>
        <v>0</v>
      </c>
      <c r="T16" s="332">
        <f t="shared" si="6"/>
        <v>0</v>
      </c>
      <c r="U16" s="332">
        <f t="shared" si="6"/>
        <v>0</v>
      </c>
      <c r="V16" s="332">
        <f t="shared" si="6"/>
        <v>0</v>
      </c>
      <c r="W16" s="332">
        <f t="shared" si="6"/>
        <v>0</v>
      </c>
      <c r="X16" s="332">
        <f t="shared" si="6"/>
        <v>0</v>
      </c>
      <c r="Y16" s="332">
        <f t="shared" si="6"/>
        <v>0</v>
      </c>
      <c r="Z16" s="332">
        <f t="shared" si="6"/>
        <v>0</v>
      </c>
      <c r="AA16" s="332">
        <f t="shared" si="6"/>
        <v>0</v>
      </c>
      <c r="AB16" s="332">
        <f t="shared" si="6"/>
        <v>0</v>
      </c>
      <c r="AC16" s="332">
        <f t="shared" si="6"/>
        <v>0</v>
      </c>
      <c r="AD16" s="332">
        <f t="shared" si="6"/>
        <v>0</v>
      </c>
      <c r="AE16" s="332">
        <f t="shared" si="6"/>
        <v>0</v>
      </c>
      <c r="AF16" s="332">
        <f t="shared" si="6"/>
        <v>0</v>
      </c>
      <c r="AG16" s="332">
        <f t="shared" si="6"/>
        <v>0</v>
      </c>
      <c r="AH16" s="332">
        <f t="shared" si="6"/>
        <v>0</v>
      </c>
      <c r="AI16" s="332">
        <f t="shared" si="6"/>
        <v>0</v>
      </c>
      <c r="AJ16" s="332">
        <f t="shared" si="6"/>
        <v>0</v>
      </c>
      <c r="AK16" s="332">
        <f t="shared" si="6"/>
        <v>0</v>
      </c>
      <c r="AL16" s="332">
        <f t="shared" si="6"/>
        <v>0</v>
      </c>
      <c r="AM16" s="332">
        <f t="shared" si="6"/>
        <v>0</v>
      </c>
      <c r="AN16" s="332">
        <f t="shared" si="6"/>
        <v>0</v>
      </c>
      <c r="AO16" s="332">
        <f t="shared" si="6"/>
        <v>0</v>
      </c>
      <c r="AP16" s="332">
        <f t="shared" si="6"/>
        <v>0</v>
      </c>
      <c r="AQ16" s="332">
        <f t="shared" si="6"/>
        <v>0</v>
      </c>
      <c r="AR16" s="332">
        <f t="shared" si="6"/>
        <v>0</v>
      </c>
      <c r="AS16" s="332">
        <f t="shared" si="6"/>
        <v>0</v>
      </c>
      <c r="AT16" s="332">
        <f t="shared" si="6"/>
        <v>0</v>
      </c>
      <c r="AU16" s="332">
        <f t="shared" si="6"/>
        <v>0</v>
      </c>
      <c r="AV16" s="332">
        <f t="shared" si="6"/>
        <v>0</v>
      </c>
      <c r="AW16" s="332">
        <f t="shared" si="6"/>
        <v>0</v>
      </c>
      <c r="AX16" s="332">
        <f t="shared" si="6"/>
        <v>0</v>
      </c>
      <c r="AY16" s="332">
        <f t="shared" si="6"/>
        <v>0</v>
      </c>
      <c r="AZ16" s="332">
        <f t="shared" si="6"/>
        <v>0</v>
      </c>
      <c r="BA16" s="332">
        <f t="shared" si="6"/>
        <v>0</v>
      </c>
      <c r="BB16" s="332">
        <f t="shared" si="6"/>
        <v>0</v>
      </c>
      <c r="BC16" s="332">
        <f t="shared" si="6"/>
        <v>0</v>
      </c>
      <c r="BD16" s="332">
        <f t="shared" si="6"/>
        <v>0</v>
      </c>
      <c r="BE16" s="332">
        <f t="shared" si="6"/>
        <v>0</v>
      </c>
      <c r="BF16" s="332">
        <f t="shared" si="6"/>
        <v>0</v>
      </c>
      <c r="BG16" s="332">
        <f t="shared" si="6"/>
        <v>0</v>
      </c>
      <c r="BH16" s="332">
        <f t="shared" si="6"/>
        <v>0</v>
      </c>
      <c r="BI16" s="332">
        <f t="shared" si="6"/>
        <v>0</v>
      </c>
      <c r="BJ16" s="332">
        <f t="shared" si="6"/>
        <v>0</v>
      </c>
      <c r="BK16" s="332">
        <f t="shared" si="6"/>
        <v>0</v>
      </c>
      <c r="BL16" s="332">
        <f t="shared" si="6"/>
        <v>0</v>
      </c>
      <c r="BM16" s="332">
        <f t="shared" si="6"/>
        <v>0</v>
      </c>
      <c r="BN16" s="332">
        <f t="shared" si="6"/>
        <v>0</v>
      </c>
      <c r="BO16" s="332">
        <f t="shared" si="6"/>
        <v>0</v>
      </c>
      <c r="BP16" s="332">
        <f t="shared" si="6"/>
        <v>0</v>
      </c>
      <c r="BQ16" s="332">
        <f t="shared" si="6"/>
        <v>0</v>
      </c>
      <c r="BR16" s="332">
        <f t="shared" si="6"/>
        <v>0</v>
      </c>
      <c r="BS16" s="332">
        <f t="shared" si="6"/>
        <v>0</v>
      </c>
      <c r="BT16" s="332">
        <f t="shared" si="6"/>
        <v>0</v>
      </c>
      <c r="BU16" s="332">
        <f t="shared" si="6"/>
        <v>0</v>
      </c>
      <c r="BV16" s="332">
        <f t="shared" si="6"/>
        <v>0</v>
      </c>
      <c r="BW16" s="332">
        <f t="shared" si="6"/>
        <v>0</v>
      </c>
      <c r="BX16" s="332">
        <f t="shared" ref="BX16:EI16" si="7">IF($E$15="Active",BX15,0)</f>
        <v>0</v>
      </c>
      <c r="BY16" s="332">
        <f t="shared" si="7"/>
        <v>0</v>
      </c>
      <c r="BZ16" s="332">
        <f t="shared" si="7"/>
        <v>0</v>
      </c>
      <c r="CA16" s="332">
        <f t="shared" si="7"/>
        <v>0</v>
      </c>
      <c r="CB16" s="332">
        <f t="shared" si="7"/>
        <v>0</v>
      </c>
      <c r="CC16" s="332">
        <f t="shared" si="7"/>
        <v>0</v>
      </c>
      <c r="CD16" s="332">
        <f t="shared" si="7"/>
        <v>0</v>
      </c>
      <c r="CE16" s="332">
        <f t="shared" si="7"/>
        <v>0</v>
      </c>
      <c r="CF16" s="332">
        <f t="shared" si="7"/>
        <v>0</v>
      </c>
      <c r="CG16" s="332">
        <f t="shared" si="7"/>
        <v>0</v>
      </c>
      <c r="CH16" s="332">
        <f t="shared" si="7"/>
        <v>0</v>
      </c>
      <c r="CI16" s="332">
        <f t="shared" si="7"/>
        <v>0</v>
      </c>
      <c r="CJ16" s="332">
        <f t="shared" si="7"/>
        <v>0</v>
      </c>
      <c r="CK16" s="332">
        <f t="shared" si="7"/>
        <v>0</v>
      </c>
      <c r="CL16" s="332">
        <f t="shared" si="7"/>
        <v>0</v>
      </c>
      <c r="CM16" s="332">
        <f t="shared" si="7"/>
        <v>0</v>
      </c>
      <c r="CN16" s="332">
        <f t="shared" si="7"/>
        <v>0</v>
      </c>
      <c r="CO16" s="332">
        <f t="shared" si="7"/>
        <v>0</v>
      </c>
      <c r="CP16" s="332">
        <f t="shared" si="7"/>
        <v>0</v>
      </c>
      <c r="CQ16" s="332">
        <f t="shared" si="7"/>
        <v>0</v>
      </c>
      <c r="CR16" s="332">
        <f t="shared" si="7"/>
        <v>0</v>
      </c>
      <c r="CS16" s="332">
        <f t="shared" si="7"/>
        <v>0</v>
      </c>
      <c r="CT16" s="332">
        <f t="shared" si="7"/>
        <v>0</v>
      </c>
      <c r="CU16" s="332">
        <f t="shared" si="7"/>
        <v>0</v>
      </c>
      <c r="CV16" s="332">
        <f t="shared" si="7"/>
        <v>0</v>
      </c>
      <c r="CW16" s="332">
        <f t="shared" si="7"/>
        <v>0</v>
      </c>
      <c r="CX16" s="332">
        <f t="shared" si="7"/>
        <v>0</v>
      </c>
      <c r="CY16" s="332">
        <f t="shared" si="7"/>
        <v>0</v>
      </c>
      <c r="CZ16" s="332">
        <f t="shared" si="7"/>
        <v>0</v>
      </c>
      <c r="DA16" s="332">
        <f t="shared" si="7"/>
        <v>0</v>
      </c>
      <c r="DB16" s="332">
        <f t="shared" si="7"/>
        <v>0</v>
      </c>
      <c r="DC16" s="332">
        <f t="shared" si="7"/>
        <v>0</v>
      </c>
      <c r="DD16" s="332">
        <f t="shared" si="7"/>
        <v>0</v>
      </c>
      <c r="DE16" s="332">
        <f t="shared" si="7"/>
        <v>0</v>
      </c>
      <c r="DF16" s="332">
        <f t="shared" si="7"/>
        <v>0</v>
      </c>
      <c r="DG16" s="332">
        <f t="shared" si="7"/>
        <v>0</v>
      </c>
      <c r="DH16" s="332">
        <f t="shared" si="7"/>
        <v>0</v>
      </c>
      <c r="DI16" s="332">
        <f t="shared" si="7"/>
        <v>0</v>
      </c>
      <c r="DJ16" s="332">
        <f t="shared" si="7"/>
        <v>0</v>
      </c>
      <c r="DK16" s="332">
        <f t="shared" si="7"/>
        <v>0</v>
      </c>
      <c r="DL16" s="332">
        <f t="shared" si="7"/>
        <v>0</v>
      </c>
      <c r="DM16" s="332">
        <f t="shared" si="7"/>
        <v>0</v>
      </c>
      <c r="DN16" s="332">
        <f t="shared" si="7"/>
        <v>0</v>
      </c>
      <c r="DO16" s="332">
        <f t="shared" si="7"/>
        <v>0</v>
      </c>
      <c r="DP16" s="332">
        <f t="shared" si="7"/>
        <v>0</v>
      </c>
      <c r="DQ16" s="332">
        <f t="shared" si="7"/>
        <v>0</v>
      </c>
      <c r="DR16" s="332">
        <f t="shared" si="7"/>
        <v>0</v>
      </c>
      <c r="DS16" s="332">
        <f t="shared" si="7"/>
        <v>0</v>
      </c>
      <c r="DT16" s="332">
        <f t="shared" si="7"/>
        <v>0</v>
      </c>
      <c r="DU16" s="332">
        <f t="shared" si="7"/>
        <v>0</v>
      </c>
      <c r="DV16" s="332">
        <f t="shared" si="7"/>
        <v>0</v>
      </c>
      <c r="DW16" s="332">
        <f t="shared" si="7"/>
        <v>0</v>
      </c>
      <c r="DX16" s="332">
        <f t="shared" si="7"/>
        <v>0</v>
      </c>
      <c r="DY16" s="332">
        <f t="shared" si="7"/>
        <v>0</v>
      </c>
      <c r="DZ16" s="332">
        <f t="shared" si="7"/>
        <v>0</v>
      </c>
      <c r="EA16" s="332">
        <f t="shared" si="7"/>
        <v>0</v>
      </c>
      <c r="EB16" s="332">
        <f t="shared" si="7"/>
        <v>0</v>
      </c>
      <c r="EC16" s="332">
        <f t="shared" si="7"/>
        <v>0</v>
      </c>
      <c r="ED16" s="332">
        <f t="shared" si="7"/>
        <v>0</v>
      </c>
      <c r="EE16" s="332">
        <f t="shared" si="7"/>
        <v>0</v>
      </c>
      <c r="EF16" s="332">
        <f t="shared" si="7"/>
        <v>0</v>
      </c>
      <c r="EG16" s="332">
        <f t="shared" si="7"/>
        <v>0</v>
      </c>
      <c r="EH16" s="332">
        <f t="shared" si="7"/>
        <v>0</v>
      </c>
      <c r="EI16" s="332">
        <f t="shared" si="7"/>
        <v>0</v>
      </c>
      <c r="EJ16" s="332">
        <f t="shared" ref="EJ16:GU16" si="8">IF($E$15="Active",EJ15,0)</f>
        <v>0</v>
      </c>
      <c r="EK16" s="332">
        <f t="shared" si="8"/>
        <v>0</v>
      </c>
      <c r="EL16" s="332">
        <f t="shared" si="8"/>
        <v>0</v>
      </c>
      <c r="EM16" s="332">
        <f t="shared" si="8"/>
        <v>0</v>
      </c>
      <c r="EN16" s="332">
        <f t="shared" si="8"/>
        <v>0</v>
      </c>
      <c r="EO16" s="332">
        <f t="shared" si="8"/>
        <v>0</v>
      </c>
      <c r="EP16" s="332">
        <f t="shared" si="8"/>
        <v>0</v>
      </c>
      <c r="EQ16" s="332">
        <f t="shared" si="8"/>
        <v>0</v>
      </c>
      <c r="ER16" s="332">
        <f t="shared" si="8"/>
        <v>0</v>
      </c>
      <c r="ES16" s="332">
        <f t="shared" si="8"/>
        <v>0</v>
      </c>
      <c r="ET16" s="332">
        <f t="shared" si="8"/>
        <v>0</v>
      </c>
      <c r="EU16" s="332">
        <f t="shared" si="8"/>
        <v>0</v>
      </c>
      <c r="EV16" s="332">
        <f t="shared" si="8"/>
        <v>0</v>
      </c>
      <c r="EW16" s="332">
        <f t="shared" si="8"/>
        <v>0</v>
      </c>
      <c r="EX16" s="332">
        <f t="shared" si="8"/>
        <v>0</v>
      </c>
      <c r="EY16" s="332">
        <f t="shared" si="8"/>
        <v>0</v>
      </c>
      <c r="EZ16" s="332">
        <f t="shared" si="8"/>
        <v>0</v>
      </c>
      <c r="FA16" s="332">
        <f t="shared" si="8"/>
        <v>0</v>
      </c>
      <c r="FB16" s="332">
        <f t="shared" si="8"/>
        <v>0</v>
      </c>
      <c r="FC16" s="332">
        <f t="shared" si="8"/>
        <v>0</v>
      </c>
      <c r="FD16" s="332">
        <f t="shared" si="8"/>
        <v>0</v>
      </c>
      <c r="FE16" s="332">
        <f t="shared" si="8"/>
        <v>0</v>
      </c>
      <c r="FF16" s="332">
        <f t="shared" si="8"/>
        <v>0</v>
      </c>
      <c r="FG16" s="332">
        <f t="shared" si="8"/>
        <v>0</v>
      </c>
      <c r="FH16" s="332">
        <f t="shared" si="8"/>
        <v>0</v>
      </c>
      <c r="FI16" s="332">
        <f t="shared" si="8"/>
        <v>0</v>
      </c>
      <c r="FJ16" s="332">
        <f t="shared" si="8"/>
        <v>0</v>
      </c>
      <c r="FK16" s="332">
        <f t="shared" si="8"/>
        <v>0</v>
      </c>
      <c r="FL16" s="332">
        <f t="shared" si="8"/>
        <v>0</v>
      </c>
      <c r="FM16" s="332">
        <f t="shared" si="8"/>
        <v>0</v>
      </c>
      <c r="FN16" s="332">
        <f t="shared" si="8"/>
        <v>0</v>
      </c>
      <c r="FO16" s="332">
        <f t="shared" si="8"/>
        <v>0</v>
      </c>
      <c r="FP16" s="332">
        <f t="shared" si="8"/>
        <v>0</v>
      </c>
      <c r="FQ16" s="332">
        <f t="shared" si="8"/>
        <v>0</v>
      </c>
      <c r="FR16" s="332">
        <f t="shared" si="8"/>
        <v>0</v>
      </c>
      <c r="FS16" s="332">
        <f t="shared" si="8"/>
        <v>0</v>
      </c>
      <c r="FT16" s="332">
        <f t="shared" si="8"/>
        <v>0</v>
      </c>
      <c r="FU16" s="332">
        <f t="shared" si="8"/>
        <v>0</v>
      </c>
      <c r="FV16" s="332">
        <f t="shared" si="8"/>
        <v>0</v>
      </c>
      <c r="FW16" s="332">
        <f t="shared" si="8"/>
        <v>0</v>
      </c>
      <c r="FX16" s="332">
        <f t="shared" si="8"/>
        <v>0</v>
      </c>
      <c r="FY16" s="332">
        <f t="shared" si="8"/>
        <v>0</v>
      </c>
      <c r="FZ16" s="332">
        <f t="shared" si="8"/>
        <v>0</v>
      </c>
      <c r="GA16" s="332">
        <f t="shared" si="8"/>
        <v>0</v>
      </c>
      <c r="GB16" s="332">
        <f t="shared" si="8"/>
        <v>0</v>
      </c>
      <c r="GC16" s="332">
        <f t="shared" si="8"/>
        <v>0</v>
      </c>
      <c r="GD16" s="332">
        <f t="shared" si="8"/>
        <v>0</v>
      </c>
      <c r="GE16" s="332">
        <f t="shared" si="8"/>
        <v>0</v>
      </c>
      <c r="GF16" s="332">
        <f t="shared" si="8"/>
        <v>0</v>
      </c>
      <c r="GG16" s="332">
        <f t="shared" si="8"/>
        <v>0</v>
      </c>
      <c r="GH16" s="332">
        <f t="shared" si="8"/>
        <v>0</v>
      </c>
      <c r="GI16" s="332">
        <f t="shared" si="8"/>
        <v>0</v>
      </c>
      <c r="GJ16" s="332">
        <f t="shared" si="8"/>
        <v>0</v>
      </c>
      <c r="GK16" s="332">
        <f t="shared" si="8"/>
        <v>0</v>
      </c>
      <c r="GL16" s="332">
        <f t="shared" si="8"/>
        <v>0</v>
      </c>
      <c r="GM16" s="332">
        <f t="shared" si="8"/>
        <v>0</v>
      </c>
      <c r="GN16" s="332">
        <f t="shared" si="8"/>
        <v>0</v>
      </c>
      <c r="GO16" s="332">
        <f t="shared" si="8"/>
        <v>0</v>
      </c>
      <c r="GP16" s="332">
        <f t="shared" si="8"/>
        <v>0</v>
      </c>
      <c r="GQ16" s="332">
        <f t="shared" si="8"/>
        <v>0</v>
      </c>
      <c r="GR16" s="332">
        <f t="shared" si="8"/>
        <v>0</v>
      </c>
      <c r="GS16" s="332">
        <f t="shared" si="8"/>
        <v>0</v>
      </c>
      <c r="GT16" s="332">
        <f t="shared" si="8"/>
        <v>0</v>
      </c>
      <c r="GU16" s="332">
        <f t="shared" si="8"/>
        <v>0</v>
      </c>
      <c r="GV16" s="332">
        <f t="shared" ref="GV16:GW16" si="9">IF($E$15="Active",GV15,0)</f>
        <v>0</v>
      </c>
      <c r="GW16" s="332">
        <f t="shared" si="9"/>
        <v>0</v>
      </c>
    </row>
    <row r="17" spans="1:205" ht="18" customHeight="1" x14ac:dyDescent="0.35">
      <c r="A17" s="314"/>
      <c r="B17" s="314"/>
      <c r="C17" s="315"/>
      <c r="D17" s="315"/>
      <c r="E17" s="315"/>
      <c r="F17" s="315"/>
      <c r="G17" s="315"/>
      <c r="K17" s="316"/>
      <c r="L17" s="316"/>
      <c r="M17" s="316"/>
      <c r="N17" s="316"/>
      <c r="O17" s="316"/>
      <c r="P17" s="316"/>
      <c r="Q17" s="316"/>
      <c r="R17" s="316"/>
      <c r="S17" s="316"/>
      <c r="T17" s="316"/>
      <c r="U17" s="316"/>
      <c r="V17" s="316"/>
      <c r="W17" s="316"/>
      <c r="X17" s="316"/>
      <c r="Y17" s="316"/>
      <c r="Z17" s="316"/>
      <c r="AA17" s="316"/>
      <c r="AB17" s="316"/>
      <c r="AC17" s="316"/>
      <c r="AD17" s="316"/>
      <c r="AE17" s="316"/>
      <c r="AF17" s="316"/>
      <c r="AG17" s="316"/>
      <c r="AH17" s="316"/>
      <c r="AI17" s="316"/>
      <c r="AJ17" s="316"/>
      <c r="AK17" s="316"/>
      <c r="AL17" s="316"/>
      <c r="AM17" s="316"/>
      <c r="AN17" s="316"/>
      <c r="AO17" s="316"/>
      <c r="AP17" s="316"/>
      <c r="AQ17" s="316"/>
      <c r="AR17" s="316"/>
      <c r="AS17" s="316"/>
      <c r="AT17" s="316"/>
      <c r="AU17" s="316"/>
      <c r="AV17" s="316"/>
      <c r="AW17" s="316"/>
      <c r="AX17" s="316"/>
      <c r="AY17" s="316"/>
      <c r="AZ17" s="316"/>
      <c r="BA17" s="316"/>
      <c r="BB17" s="316"/>
      <c r="BC17" s="316"/>
      <c r="BD17" s="316"/>
      <c r="BE17" s="316"/>
      <c r="BF17" s="316"/>
      <c r="BG17" s="316"/>
      <c r="BH17" s="316"/>
      <c r="BI17" s="316"/>
      <c r="BJ17" s="316"/>
      <c r="BK17" s="316"/>
      <c r="BL17" s="316"/>
      <c r="BM17" s="316"/>
      <c r="BN17" s="316"/>
      <c r="BO17" s="316"/>
      <c r="BP17" s="316"/>
      <c r="BQ17" s="316"/>
      <c r="BR17" s="316"/>
      <c r="BS17" s="316"/>
      <c r="BT17" s="316"/>
      <c r="BU17" s="316"/>
      <c r="BV17" s="316"/>
      <c r="BW17" s="316"/>
      <c r="BX17" s="316"/>
      <c r="BY17" s="316"/>
      <c r="BZ17" s="316"/>
      <c r="CA17" s="316"/>
      <c r="CB17" s="316"/>
      <c r="CC17" s="316"/>
      <c r="CD17" s="316"/>
      <c r="CE17" s="316"/>
      <c r="CF17" s="316"/>
      <c r="CG17" s="316"/>
      <c r="CH17" s="316"/>
      <c r="CI17" s="316"/>
      <c r="CJ17" s="316"/>
      <c r="CK17" s="316"/>
      <c r="CL17" s="316"/>
      <c r="CM17" s="316"/>
      <c r="CN17" s="316"/>
      <c r="CO17" s="316"/>
      <c r="CP17" s="316"/>
      <c r="CQ17" s="316"/>
      <c r="CR17" s="316"/>
      <c r="CS17" s="316"/>
      <c r="CT17" s="316"/>
      <c r="CU17" s="316"/>
      <c r="CV17" s="316"/>
      <c r="CW17" s="316"/>
      <c r="CX17" s="316"/>
      <c r="CY17" s="316"/>
      <c r="CZ17" s="316"/>
      <c r="DA17" s="316"/>
      <c r="DB17" s="316"/>
      <c r="DC17" s="316"/>
      <c r="DD17" s="316"/>
      <c r="DE17" s="316"/>
      <c r="DF17" s="316"/>
      <c r="DG17" s="316"/>
      <c r="DH17" s="316"/>
      <c r="DI17" s="316"/>
      <c r="DJ17" s="316"/>
      <c r="DK17" s="316"/>
      <c r="DL17" s="316"/>
      <c r="DM17" s="316"/>
      <c r="DN17" s="316"/>
      <c r="DO17" s="316"/>
      <c r="DP17" s="316"/>
      <c r="DQ17" s="316"/>
      <c r="DR17" s="316"/>
      <c r="DS17" s="316"/>
      <c r="DT17" s="316"/>
      <c r="DU17" s="316"/>
      <c r="DV17" s="316"/>
      <c r="DW17" s="316"/>
      <c r="DX17" s="316"/>
      <c r="DY17" s="316"/>
      <c r="DZ17" s="316"/>
      <c r="EA17" s="316"/>
      <c r="EB17" s="316"/>
      <c r="EC17" s="316"/>
      <c r="ED17" s="316"/>
      <c r="EE17" s="316"/>
      <c r="EF17" s="316"/>
      <c r="EG17" s="316"/>
      <c r="EH17" s="316"/>
      <c r="EI17" s="316"/>
      <c r="EJ17" s="316"/>
      <c r="EK17" s="316"/>
      <c r="EL17" s="316"/>
      <c r="EM17" s="316"/>
      <c r="EN17" s="316"/>
      <c r="EO17" s="316"/>
      <c r="EP17" s="316"/>
      <c r="EQ17" s="316"/>
      <c r="ER17" s="316"/>
      <c r="ES17" s="316"/>
      <c r="ET17" s="316"/>
      <c r="EU17" s="316"/>
      <c r="EV17" s="316"/>
      <c r="EW17" s="316"/>
      <c r="EX17" s="316"/>
      <c r="EY17" s="316"/>
      <c r="EZ17" s="316"/>
      <c r="FA17" s="316"/>
      <c r="FB17" s="316"/>
      <c r="FC17" s="316"/>
      <c r="FD17" s="316"/>
      <c r="FE17" s="316"/>
      <c r="FF17" s="316"/>
      <c r="FG17" s="316"/>
      <c r="FH17" s="316"/>
      <c r="FI17" s="316"/>
      <c r="FJ17" s="316"/>
      <c r="FK17" s="316"/>
      <c r="FL17" s="316"/>
      <c r="FM17" s="316"/>
      <c r="FN17" s="316"/>
      <c r="FO17" s="316"/>
      <c r="FP17" s="316"/>
      <c r="FQ17" s="316"/>
      <c r="FR17" s="316"/>
      <c r="FS17" s="316"/>
      <c r="FT17" s="316"/>
      <c r="FU17" s="316"/>
      <c r="FV17" s="316"/>
      <c r="FW17" s="316"/>
      <c r="FX17" s="316"/>
      <c r="FY17" s="316"/>
      <c r="FZ17" s="316"/>
      <c r="GA17" s="316"/>
      <c r="GB17" s="316"/>
      <c r="GC17" s="316"/>
      <c r="GD17" s="316"/>
      <c r="GE17" s="316"/>
      <c r="GF17" s="316"/>
      <c r="GG17" s="316"/>
      <c r="GH17" s="316"/>
      <c r="GI17" s="316"/>
      <c r="GJ17" s="316"/>
      <c r="GK17" s="316"/>
      <c r="GL17" s="316"/>
      <c r="GM17" s="316"/>
      <c r="GN17" s="316"/>
      <c r="GO17" s="316"/>
      <c r="GP17" s="316"/>
      <c r="GQ17" s="316"/>
      <c r="GR17" s="316"/>
      <c r="GS17" s="316"/>
      <c r="GT17" s="316"/>
      <c r="GU17" s="316"/>
      <c r="GV17" s="316"/>
      <c r="GW17" s="316"/>
    </row>
    <row r="18" spans="1:205" ht="18" customHeight="1" x14ac:dyDescent="0.35">
      <c r="A18" s="317" t="s">
        <v>962</v>
      </c>
      <c r="B18" s="314"/>
      <c r="C18" s="315"/>
      <c r="D18" s="315"/>
      <c r="E18" s="315"/>
      <c r="F18" s="315"/>
      <c r="G18" s="315"/>
      <c r="K18" s="316"/>
      <c r="L18" s="316"/>
      <c r="M18" s="316"/>
      <c r="N18" s="316"/>
      <c r="O18" s="316"/>
      <c r="P18" s="316"/>
      <c r="Q18" s="316"/>
      <c r="R18" s="316"/>
      <c r="S18" s="316"/>
      <c r="T18" s="316"/>
      <c r="U18" s="316"/>
      <c r="V18" s="316"/>
      <c r="W18" s="316"/>
      <c r="X18" s="316"/>
      <c r="Y18" s="316"/>
      <c r="Z18" s="316"/>
      <c r="AA18" s="316"/>
      <c r="AB18" s="316"/>
      <c r="AC18" s="316"/>
      <c r="AD18" s="316"/>
      <c r="AE18" s="316"/>
      <c r="AF18" s="316"/>
      <c r="AG18" s="316"/>
      <c r="AH18" s="316"/>
      <c r="AI18" s="316"/>
      <c r="AJ18" s="316"/>
      <c r="AK18" s="316"/>
      <c r="AL18" s="316"/>
      <c r="AM18" s="316"/>
      <c r="AN18" s="316"/>
      <c r="AO18" s="316"/>
      <c r="AP18" s="316"/>
      <c r="AQ18" s="316"/>
      <c r="AR18" s="316"/>
      <c r="AS18" s="316"/>
      <c r="AT18" s="316"/>
      <c r="AU18" s="316"/>
      <c r="AV18" s="316"/>
      <c r="AW18" s="316"/>
      <c r="AX18" s="316"/>
      <c r="AY18" s="316"/>
      <c r="AZ18" s="316"/>
      <c r="BA18" s="316"/>
      <c r="BB18" s="316"/>
      <c r="BC18" s="316"/>
      <c r="BD18" s="316"/>
      <c r="BE18" s="316"/>
      <c r="BF18" s="316"/>
      <c r="BG18" s="316"/>
      <c r="BH18" s="316"/>
      <c r="BI18" s="316"/>
      <c r="BJ18" s="316"/>
      <c r="BK18" s="316"/>
      <c r="BL18" s="316"/>
      <c r="BM18" s="316"/>
      <c r="BN18" s="316"/>
      <c r="BO18" s="316"/>
      <c r="BP18" s="316"/>
      <c r="BQ18" s="316"/>
      <c r="BR18" s="316"/>
      <c r="BS18" s="316"/>
      <c r="BT18" s="316"/>
      <c r="BU18" s="316"/>
      <c r="BV18" s="316"/>
      <c r="BW18" s="316"/>
      <c r="BX18" s="316"/>
      <c r="BY18" s="316"/>
      <c r="BZ18" s="316"/>
      <c r="CA18" s="316"/>
      <c r="CB18" s="316"/>
      <c r="CC18" s="316"/>
      <c r="CD18" s="316"/>
      <c r="CE18" s="316"/>
      <c r="CF18" s="316"/>
      <c r="CG18" s="316"/>
      <c r="CH18" s="316"/>
      <c r="CI18" s="316"/>
      <c r="CJ18" s="316"/>
      <c r="CK18" s="316"/>
      <c r="CL18" s="316"/>
      <c r="CM18" s="316"/>
      <c r="CN18" s="316"/>
      <c r="CO18" s="316"/>
      <c r="CP18" s="316"/>
      <c r="CQ18" s="316"/>
      <c r="CR18" s="316"/>
      <c r="CS18" s="316"/>
      <c r="CT18" s="316"/>
      <c r="CU18" s="316"/>
      <c r="CV18" s="316"/>
      <c r="CW18" s="316"/>
      <c r="CX18" s="316"/>
      <c r="CY18" s="316"/>
      <c r="CZ18" s="316"/>
      <c r="DA18" s="316"/>
      <c r="DB18" s="316"/>
      <c r="DC18" s="316"/>
      <c r="DD18" s="316"/>
      <c r="DE18" s="316"/>
      <c r="DF18" s="316"/>
      <c r="DG18" s="316"/>
      <c r="DH18" s="316"/>
      <c r="DI18" s="316"/>
      <c r="DJ18" s="316"/>
      <c r="DK18" s="316"/>
      <c r="DL18" s="316"/>
      <c r="DM18" s="316"/>
      <c r="DN18" s="316"/>
      <c r="DO18" s="316"/>
      <c r="DP18" s="316"/>
      <c r="DQ18" s="316"/>
      <c r="DR18" s="316"/>
      <c r="DS18" s="316"/>
      <c r="DT18" s="316"/>
      <c r="DU18" s="316"/>
      <c r="DV18" s="316"/>
      <c r="DW18" s="316"/>
      <c r="DX18" s="316"/>
      <c r="DY18" s="316"/>
      <c r="DZ18" s="316"/>
      <c r="EA18" s="316"/>
      <c r="EB18" s="316"/>
      <c r="EC18" s="316"/>
      <c r="ED18" s="316"/>
      <c r="EE18" s="316"/>
      <c r="EF18" s="316"/>
      <c r="EG18" s="316"/>
      <c r="EH18" s="316"/>
      <c r="EI18" s="316"/>
      <c r="EJ18" s="316"/>
      <c r="EK18" s="316"/>
      <c r="EL18" s="316"/>
      <c r="EM18" s="316"/>
      <c r="EN18" s="316"/>
      <c r="EO18" s="316"/>
      <c r="EP18" s="316"/>
      <c r="EQ18" s="316"/>
      <c r="ER18" s="316"/>
      <c r="ES18" s="316"/>
      <c r="ET18" s="316"/>
      <c r="EU18" s="316"/>
      <c r="EV18" s="316"/>
      <c r="EW18" s="316"/>
      <c r="EX18" s="316"/>
      <c r="EY18" s="316"/>
      <c r="EZ18" s="316"/>
      <c r="FA18" s="316"/>
      <c r="FB18" s="316"/>
      <c r="FC18" s="316"/>
      <c r="FD18" s="316"/>
      <c r="FE18" s="316"/>
      <c r="FF18" s="316"/>
      <c r="FG18" s="316"/>
      <c r="FH18" s="316"/>
      <c r="FI18" s="316"/>
      <c r="FJ18" s="316"/>
      <c r="FK18" s="316"/>
      <c r="FL18" s="316"/>
      <c r="FM18" s="316"/>
      <c r="FN18" s="316"/>
      <c r="FO18" s="316"/>
      <c r="FP18" s="316"/>
      <c r="FQ18" s="316"/>
      <c r="FR18" s="316"/>
      <c r="FS18" s="316"/>
      <c r="FT18" s="316"/>
      <c r="FU18" s="316"/>
      <c r="FV18" s="316"/>
      <c r="FW18" s="316"/>
      <c r="FX18" s="316"/>
      <c r="FY18" s="316"/>
      <c r="FZ18" s="316"/>
      <c r="GA18" s="316"/>
      <c r="GB18" s="316"/>
      <c r="GC18" s="316"/>
      <c r="GD18" s="316"/>
      <c r="GE18" s="316"/>
      <c r="GF18" s="316"/>
      <c r="GG18" s="316"/>
      <c r="GH18" s="316"/>
      <c r="GI18" s="316"/>
      <c r="GJ18" s="316"/>
      <c r="GK18" s="316"/>
      <c r="GL18" s="316"/>
      <c r="GM18" s="316"/>
      <c r="GN18" s="316"/>
      <c r="GO18" s="316"/>
      <c r="GP18" s="316"/>
      <c r="GQ18" s="316"/>
      <c r="GR18" s="316"/>
      <c r="GS18" s="316"/>
      <c r="GT18" s="316"/>
      <c r="GU18" s="316"/>
      <c r="GV18" s="316"/>
      <c r="GW18" s="316"/>
    </row>
    <row r="19" spans="1:205" ht="18" customHeight="1" x14ac:dyDescent="0.35">
      <c r="A19" s="298" t="s">
        <v>960</v>
      </c>
      <c r="B19" s="324" t="s">
        <v>33</v>
      </c>
      <c r="C19" s="273" t="s">
        <v>28</v>
      </c>
      <c r="D19" s="273" t="s">
        <v>29</v>
      </c>
      <c r="E19" s="306" t="str">
        <f>'Supplier Registry'!N11</f>
        <v>Active</v>
      </c>
      <c r="F19" s="306">
        <f>'Supplier Registry'!M11</f>
        <v>1</v>
      </c>
      <c r="G19" s="306">
        <f>'Supplier Registry'!E11</f>
        <v>10000</v>
      </c>
      <c r="H19" s="325">
        <f>'Supplier Registry'!P11</f>
        <v>9</v>
      </c>
      <c r="I19" s="326">
        <f>IFERROR(EDATE(Controls!B5,H19),"")</f>
        <v>46388</v>
      </c>
      <c r="J19" s="327">
        <f>IFERROR(EDATE(I19,-'Supplier Registry'!Q11),"")</f>
        <v>46357</v>
      </c>
      <c r="K19" s="329"/>
      <c r="L19" s="329"/>
      <c r="M19" s="329"/>
      <c r="N19" s="329"/>
      <c r="O19" s="329"/>
      <c r="P19" s="329"/>
      <c r="Q19" s="329"/>
      <c r="R19" s="329"/>
      <c r="S19" s="329"/>
      <c r="T19" s="329"/>
      <c r="U19" s="329"/>
      <c r="V19" s="329"/>
      <c r="W19" s="329">
        <v>0</v>
      </c>
      <c r="X19" s="329">
        <v>0</v>
      </c>
      <c r="Y19" s="329">
        <v>0</v>
      </c>
      <c r="Z19" s="329">
        <v>0</v>
      </c>
      <c r="AA19" s="329">
        <v>0</v>
      </c>
      <c r="AB19" s="329">
        <v>0</v>
      </c>
      <c r="AC19" s="329">
        <v>0</v>
      </c>
      <c r="AD19" s="329">
        <v>0</v>
      </c>
      <c r="AE19" s="329">
        <v>0</v>
      </c>
      <c r="AF19" s="329">
        <v>0</v>
      </c>
      <c r="AG19" s="329">
        <v>0</v>
      </c>
      <c r="AH19" s="329">
        <v>0</v>
      </c>
      <c r="AI19" s="329">
        <v>0</v>
      </c>
      <c r="AJ19" s="329">
        <v>0</v>
      </c>
      <c r="AK19" s="329">
        <v>0</v>
      </c>
      <c r="AL19" s="329">
        <v>0</v>
      </c>
      <c r="AM19" s="329">
        <v>0</v>
      </c>
      <c r="AN19" s="329">
        <v>0</v>
      </c>
      <c r="AO19" s="329">
        <v>0</v>
      </c>
      <c r="AP19" s="329">
        <v>0</v>
      </c>
      <c r="AQ19" s="329">
        <v>0</v>
      </c>
      <c r="AR19" s="329">
        <v>0</v>
      </c>
      <c r="AS19" s="329">
        <v>0</v>
      </c>
      <c r="AT19" s="329">
        <v>0</v>
      </c>
      <c r="AU19" s="329">
        <v>0</v>
      </c>
      <c r="AV19" s="329">
        <v>0</v>
      </c>
      <c r="AW19" s="329">
        <v>0</v>
      </c>
      <c r="AX19" s="329">
        <v>0</v>
      </c>
      <c r="AY19" s="329">
        <v>0</v>
      </c>
      <c r="AZ19" s="329">
        <v>0</v>
      </c>
      <c r="BA19" s="329">
        <v>0</v>
      </c>
      <c r="BB19" s="329">
        <v>0</v>
      </c>
      <c r="BC19" s="329">
        <v>0</v>
      </c>
      <c r="BD19" s="329">
        <v>0</v>
      </c>
      <c r="BE19" s="329">
        <v>0</v>
      </c>
      <c r="BF19" s="329">
        <v>0</v>
      </c>
      <c r="BG19" s="329">
        <v>0</v>
      </c>
      <c r="BH19" s="329">
        <v>0</v>
      </c>
      <c r="BI19" s="329">
        <v>0</v>
      </c>
      <c r="BJ19" s="329">
        <v>0</v>
      </c>
      <c r="BK19" s="329">
        <v>0</v>
      </c>
      <c r="BL19" s="329">
        <v>0</v>
      </c>
      <c r="BM19" s="329">
        <v>0</v>
      </c>
      <c r="BN19" s="329">
        <v>0</v>
      </c>
      <c r="BO19" s="329">
        <v>0</v>
      </c>
      <c r="BP19" s="329">
        <v>0</v>
      </c>
      <c r="BQ19" s="329">
        <v>0</v>
      </c>
      <c r="BR19" s="329">
        <v>0</v>
      </c>
      <c r="BS19" s="329">
        <v>0</v>
      </c>
      <c r="BT19" s="329">
        <v>0</v>
      </c>
      <c r="BU19" s="329">
        <v>0</v>
      </c>
      <c r="BV19" s="329">
        <v>0</v>
      </c>
      <c r="BW19" s="329">
        <v>0</v>
      </c>
      <c r="BX19" s="329">
        <v>0</v>
      </c>
      <c r="BY19" s="329">
        <v>0</v>
      </c>
      <c r="BZ19" s="329">
        <v>0</v>
      </c>
      <c r="CA19" s="329">
        <v>0</v>
      </c>
      <c r="CB19" s="329">
        <v>0</v>
      </c>
      <c r="CC19" s="329">
        <v>0</v>
      </c>
      <c r="CD19" s="329">
        <v>0</v>
      </c>
      <c r="CE19" s="329">
        <v>0</v>
      </c>
      <c r="CF19" s="329">
        <v>0</v>
      </c>
      <c r="CG19" s="329">
        <v>0</v>
      </c>
      <c r="CH19" s="329">
        <v>0</v>
      </c>
      <c r="CI19" s="329">
        <v>0</v>
      </c>
      <c r="CJ19" s="329">
        <v>0</v>
      </c>
      <c r="CK19" s="329">
        <v>0</v>
      </c>
      <c r="CL19" s="329">
        <v>0</v>
      </c>
      <c r="CM19" s="329">
        <v>0</v>
      </c>
      <c r="CN19" s="329">
        <v>0</v>
      </c>
      <c r="CO19" s="329">
        <v>0</v>
      </c>
      <c r="CP19" s="329">
        <v>0</v>
      </c>
      <c r="CQ19" s="329">
        <v>0</v>
      </c>
      <c r="CR19" s="329">
        <v>0</v>
      </c>
      <c r="CS19" s="329">
        <v>0</v>
      </c>
      <c r="CT19" s="329">
        <v>0</v>
      </c>
      <c r="CU19" s="329">
        <v>0</v>
      </c>
      <c r="CV19" s="329">
        <v>0</v>
      </c>
      <c r="CW19" s="329">
        <v>0</v>
      </c>
      <c r="CX19" s="329">
        <v>0</v>
      </c>
      <c r="CY19" s="329">
        <v>0</v>
      </c>
      <c r="CZ19" s="329">
        <v>0</v>
      </c>
      <c r="DA19" s="329">
        <v>0</v>
      </c>
      <c r="DB19" s="329">
        <v>0</v>
      </c>
      <c r="DC19" s="329">
        <v>0</v>
      </c>
      <c r="DD19" s="329">
        <v>0</v>
      </c>
      <c r="DE19" s="329">
        <v>0</v>
      </c>
      <c r="DF19" s="329">
        <v>0</v>
      </c>
      <c r="DG19" s="329">
        <v>0</v>
      </c>
      <c r="DH19" s="329">
        <v>0</v>
      </c>
      <c r="DI19" s="329">
        <v>0</v>
      </c>
      <c r="DJ19" s="329">
        <v>0</v>
      </c>
      <c r="DK19" s="329">
        <v>0</v>
      </c>
      <c r="DL19" s="329">
        <v>0</v>
      </c>
      <c r="DM19" s="329">
        <v>0</v>
      </c>
      <c r="DN19" s="329">
        <v>0</v>
      </c>
      <c r="DO19" s="329">
        <v>0</v>
      </c>
      <c r="DP19" s="329">
        <v>0</v>
      </c>
      <c r="DQ19" s="329">
        <v>0</v>
      </c>
      <c r="DR19" s="329">
        <v>0</v>
      </c>
      <c r="DS19" s="329">
        <v>0</v>
      </c>
      <c r="DT19" s="329">
        <v>0</v>
      </c>
      <c r="DU19" s="329">
        <v>0</v>
      </c>
      <c r="DV19" s="329">
        <v>0</v>
      </c>
      <c r="DW19" s="329">
        <v>0</v>
      </c>
      <c r="DX19" s="329">
        <v>0</v>
      </c>
      <c r="DY19" s="329">
        <v>0</v>
      </c>
      <c r="DZ19" s="329">
        <v>0</v>
      </c>
      <c r="EA19" s="329">
        <v>0</v>
      </c>
      <c r="EB19" s="329">
        <v>0</v>
      </c>
      <c r="EC19" s="329">
        <v>0</v>
      </c>
      <c r="ED19" s="329">
        <v>0</v>
      </c>
      <c r="EE19" s="329">
        <v>0</v>
      </c>
      <c r="EF19" s="329">
        <v>0</v>
      </c>
      <c r="EG19" s="329">
        <v>0</v>
      </c>
      <c r="EH19" s="329">
        <v>0</v>
      </c>
      <c r="EI19" s="329">
        <v>0</v>
      </c>
      <c r="EJ19" s="329">
        <v>0</v>
      </c>
      <c r="EK19" s="329">
        <v>0</v>
      </c>
      <c r="EL19" s="329">
        <v>0</v>
      </c>
      <c r="EM19" s="329">
        <v>0</v>
      </c>
      <c r="EN19" s="329">
        <v>0</v>
      </c>
      <c r="EO19" s="329">
        <v>0</v>
      </c>
      <c r="EP19" s="329">
        <v>0</v>
      </c>
      <c r="EQ19" s="329">
        <v>0</v>
      </c>
      <c r="ER19" s="329">
        <v>0</v>
      </c>
      <c r="ES19" s="329">
        <v>0</v>
      </c>
      <c r="ET19" s="329">
        <v>0</v>
      </c>
      <c r="EU19" s="329">
        <v>0</v>
      </c>
      <c r="EV19" s="329">
        <v>0</v>
      </c>
      <c r="EW19" s="329">
        <v>0</v>
      </c>
      <c r="EX19" s="329">
        <v>0</v>
      </c>
      <c r="EY19" s="329">
        <v>0</v>
      </c>
      <c r="EZ19" s="329">
        <v>0</v>
      </c>
      <c r="FA19" s="329">
        <v>0</v>
      </c>
      <c r="FB19" s="329">
        <v>0</v>
      </c>
      <c r="FC19" s="329">
        <v>0</v>
      </c>
      <c r="FD19" s="329">
        <v>0</v>
      </c>
      <c r="FE19" s="329">
        <v>0</v>
      </c>
      <c r="FF19" s="329">
        <v>0</v>
      </c>
      <c r="FG19" s="329">
        <v>0</v>
      </c>
      <c r="FH19" s="329">
        <v>0</v>
      </c>
      <c r="FI19" s="329">
        <v>0</v>
      </c>
      <c r="FJ19" s="329">
        <v>0</v>
      </c>
      <c r="FK19" s="329">
        <v>0</v>
      </c>
      <c r="FL19" s="329">
        <v>0</v>
      </c>
      <c r="FM19" s="329">
        <v>0</v>
      </c>
      <c r="FN19" s="329">
        <v>0</v>
      </c>
      <c r="FO19" s="329">
        <v>0</v>
      </c>
      <c r="FP19" s="329">
        <v>0</v>
      </c>
      <c r="FQ19" s="329">
        <v>0</v>
      </c>
      <c r="FR19" s="329">
        <v>0</v>
      </c>
      <c r="FS19" s="329">
        <v>0</v>
      </c>
      <c r="FT19" s="329">
        <v>0</v>
      </c>
      <c r="FU19" s="329">
        <v>0</v>
      </c>
      <c r="FV19" s="329">
        <v>0</v>
      </c>
      <c r="FW19" s="329">
        <v>0</v>
      </c>
      <c r="FX19" s="329">
        <v>0</v>
      </c>
      <c r="FY19" s="329">
        <v>0</v>
      </c>
      <c r="FZ19" s="329">
        <v>0</v>
      </c>
      <c r="GA19" s="329">
        <v>0</v>
      </c>
      <c r="GB19" s="329">
        <v>0</v>
      </c>
      <c r="GC19" s="329">
        <v>0</v>
      </c>
      <c r="GD19" s="329">
        <v>0</v>
      </c>
      <c r="GE19" s="329">
        <v>0</v>
      </c>
      <c r="GF19" s="329">
        <v>0</v>
      </c>
      <c r="GG19" s="329">
        <v>0</v>
      </c>
      <c r="GH19" s="329">
        <v>0</v>
      </c>
      <c r="GI19" s="329"/>
      <c r="GJ19" s="329"/>
      <c r="GK19" s="329"/>
      <c r="GL19" s="329"/>
      <c r="GM19" s="329"/>
      <c r="GN19" s="329"/>
      <c r="GO19" s="329"/>
      <c r="GP19" s="329"/>
      <c r="GQ19" s="329"/>
      <c r="GR19" s="329"/>
      <c r="GS19" s="329"/>
      <c r="GT19" s="329"/>
      <c r="GU19" s="329"/>
      <c r="GV19" s="329"/>
      <c r="GW19" s="329"/>
    </row>
    <row r="20" spans="1:205" ht="18" customHeight="1" x14ac:dyDescent="0.35">
      <c r="A20" s="328" t="s">
        <v>960</v>
      </c>
      <c r="B20" s="328" t="s">
        <v>390</v>
      </c>
      <c r="C20" s="333"/>
      <c r="D20" s="333"/>
      <c r="E20" s="333"/>
      <c r="F20" s="333"/>
      <c r="G20" s="333"/>
      <c r="H20" s="334"/>
      <c r="I20" s="334"/>
      <c r="J20" s="334"/>
      <c r="K20" s="335">
        <f>IF($E$19="Active",K19,0)</f>
        <v>0</v>
      </c>
      <c r="L20" s="335">
        <f t="shared" ref="L20:BW20" si="10">IF($E$19="Active",L19,0)</f>
        <v>0</v>
      </c>
      <c r="M20" s="335">
        <f t="shared" si="10"/>
        <v>0</v>
      </c>
      <c r="N20" s="335">
        <f t="shared" si="10"/>
        <v>0</v>
      </c>
      <c r="O20" s="335">
        <f t="shared" si="10"/>
        <v>0</v>
      </c>
      <c r="P20" s="335">
        <f t="shared" si="10"/>
        <v>0</v>
      </c>
      <c r="Q20" s="335">
        <f t="shared" si="10"/>
        <v>0</v>
      </c>
      <c r="R20" s="335">
        <f t="shared" si="10"/>
        <v>0</v>
      </c>
      <c r="S20" s="335">
        <f t="shared" si="10"/>
        <v>0</v>
      </c>
      <c r="T20" s="335">
        <f t="shared" si="10"/>
        <v>0</v>
      </c>
      <c r="U20" s="335">
        <f t="shared" si="10"/>
        <v>0</v>
      </c>
      <c r="V20" s="335">
        <f t="shared" si="10"/>
        <v>0</v>
      </c>
      <c r="W20" s="335">
        <f t="shared" si="10"/>
        <v>0</v>
      </c>
      <c r="X20" s="335">
        <f t="shared" si="10"/>
        <v>0</v>
      </c>
      <c r="Y20" s="335">
        <f t="shared" si="10"/>
        <v>0</v>
      </c>
      <c r="Z20" s="335">
        <f t="shared" si="10"/>
        <v>0</v>
      </c>
      <c r="AA20" s="335">
        <f t="shared" si="10"/>
        <v>0</v>
      </c>
      <c r="AB20" s="335">
        <f t="shared" si="10"/>
        <v>0</v>
      </c>
      <c r="AC20" s="335">
        <f t="shared" si="10"/>
        <v>0</v>
      </c>
      <c r="AD20" s="335">
        <f t="shared" si="10"/>
        <v>0</v>
      </c>
      <c r="AE20" s="335">
        <f t="shared" si="10"/>
        <v>0</v>
      </c>
      <c r="AF20" s="335">
        <f t="shared" si="10"/>
        <v>0</v>
      </c>
      <c r="AG20" s="335">
        <f t="shared" si="10"/>
        <v>0</v>
      </c>
      <c r="AH20" s="335">
        <f t="shared" si="10"/>
        <v>0</v>
      </c>
      <c r="AI20" s="335">
        <f t="shared" si="10"/>
        <v>0</v>
      </c>
      <c r="AJ20" s="335">
        <f t="shared" si="10"/>
        <v>0</v>
      </c>
      <c r="AK20" s="335">
        <f t="shared" si="10"/>
        <v>0</v>
      </c>
      <c r="AL20" s="335">
        <f t="shared" si="10"/>
        <v>0</v>
      </c>
      <c r="AM20" s="335">
        <f t="shared" si="10"/>
        <v>0</v>
      </c>
      <c r="AN20" s="335">
        <f t="shared" si="10"/>
        <v>0</v>
      </c>
      <c r="AO20" s="335">
        <f t="shared" si="10"/>
        <v>0</v>
      </c>
      <c r="AP20" s="335">
        <f t="shared" si="10"/>
        <v>0</v>
      </c>
      <c r="AQ20" s="335">
        <f t="shared" si="10"/>
        <v>0</v>
      </c>
      <c r="AR20" s="335">
        <f t="shared" si="10"/>
        <v>0</v>
      </c>
      <c r="AS20" s="335">
        <f t="shared" si="10"/>
        <v>0</v>
      </c>
      <c r="AT20" s="335">
        <f t="shared" si="10"/>
        <v>0</v>
      </c>
      <c r="AU20" s="335">
        <f t="shared" si="10"/>
        <v>0</v>
      </c>
      <c r="AV20" s="335">
        <f t="shared" si="10"/>
        <v>0</v>
      </c>
      <c r="AW20" s="335">
        <f t="shared" si="10"/>
        <v>0</v>
      </c>
      <c r="AX20" s="335">
        <f t="shared" si="10"/>
        <v>0</v>
      </c>
      <c r="AY20" s="335">
        <f t="shared" si="10"/>
        <v>0</v>
      </c>
      <c r="AZ20" s="335">
        <f t="shared" si="10"/>
        <v>0</v>
      </c>
      <c r="BA20" s="335">
        <f t="shared" si="10"/>
        <v>0</v>
      </c>
      <c r="BB20" s="335">
        <f t="shared" si="10"/>
        <v>0</v>
      </c>
      <c r="BC20" s="335">
        <f t="shared" si="10"/>
        <v>0</v>
      </c>
      <c r="BD20" s="335">
        <f t="shared" si="10"/>
        <v>0</v>
      </c>
      <c r="BE20" s="335">
        <f t="shared" si="10"/>
        <v>0</v>
      </c>
      <c r="BF20" s="335">
        <f t="shared" si="10"/>
        <v>0</v>
      </c>
      <c r="BG20" s="335">
        <f t="shared" si="10"/>
        <v>0</v>
      </c>
      <c r="BH20" s="335">
        <f t="shared" si="10"/>
        <v>0</v>
      </c>
      <c r="BI20" s="335">
        <f t="shared" si="10"/>
        <v>0</v>
      </c>
      <c r="BJ20" s="335">
        <f t="shared" si="10"/>
        <v>0</v>
      </c>
      <c r="BK20" s="335">
        <f t="shared" si="10"/>
        <v>0</v>
      </c>
      <c r="BL20" s="335">
        <f t="shared" si="10"/>
        <v>0</v>
      </c>
      <c r="BM20" s="335">
        <f t="shared" si="10"/>
        <v>0</v>
      </c>
      <c r="BN20" s="335">
        <f t="shared" si="10"/>
        <v>0</v>
      </c>
      <c r="BO20" s="335">
        <f t="shared" si="10"/>
        <v>0</v>
      </c>
      <c r="BP20" s="335">
        <f t="shared" si="10"/>
        <v>0</v>
      </c>
      <c r="BQ20" s="335">
        <f t="shared" si="10"/>
        <v>0</v>
      </c>
      <c r="BR20" s="335">
        <f t="shared" si="10"/>
        <v>0</v>
      </c>
      <c r="BS20" s="335">
        <f t="shared" si="10"/>
        <v>0</v>
      </c>
      <c r="BT20" s="335">
        <f t="shared" si="10"/>
        <v>0</v>
      </c>
      <c r="BU20" s="335">
        <f t="shared" si="10"/>
        <v>0</v>
      </c>
      <c r="BV20" s="335">
        <f t="shared" si="10"/>
        <v>0</v>
      </c>
      <c r="BW20" s="335">
        <f t="shared" si="10"/>
        <v>0</v>
      </c>
      <c r="BX20" s="335">
        <f t="shared" ref="BX20:EI20" si="11">IF($E$19="Active",BX19,0)</f>
        <v>0</v>
      </c>
      <c r="BY20" s="335">
        <f t="shared" si="11"/>
        <v>0</v>
      </c>
      <c r="BZ20" s="335">
        <f t="shared" si="11"/>
        <v>0</v>
      </c>
      <c r="CA20" s="335">
        <f t="shared" si="11"/>
        <v>0</v>
      </c>
      <c r="CB20" s="335">
        <f t="shared" si="11"/>
        <v>0</v>
      </c>
      <c r="CC20" s="335">
        <f t="shared" si="11"/>
        <v>0</v>
      </c>
      <c r="CD20" s="335">
        <f t="shared" si="11"/>
        <v>0</v>
      </c>
      <c r="CE20" s="335">
        <f t="shared" si="11"/>
        <v>0</v>
      </c>
      <c r="CF20" s="335">
        <f t="shared" si="11"/>
        <v>0</v>
      </c>
      <c r="CG20" s="335">
        <f t="shared" si="11"/>
        <v>0</v>
      </c>
      <c r="CH20" s="335">
        <f t="shared" si="11"/>
        <v>0</v>
      </c>
      <c r="CI20" s="335">
        <f t="shared" si="11"/>
        <v>0</v>
      </c>
      <c r="CJ20" s="335">
        <f t="shared" si="11"/>
        <v>0</v>
      </c>
      <c r="CK20" s="335">
        <f t="shared" si="11"/>
        <v>0</v>
      </c>
      <c r="CL20" s="335">
        <f t="shared" si="11"/>
        <v>0</v>
      </c>
      <c r="CM20" s="335">
        <f t="shared" si="11"/>
        <v>0</v>
      </c>
      <c r="CN20" s="335">
        <f t="shared" si="11"/>
        <v>0</v>
      </c>
      <c r="CO20" s="335">
        <f t="shared" si="11"/>
        <v>0</v>
      </c>
      <c r="CP20" s="335">
        <f t="shared" si="11"/>
        <v>0</v>
      </c>
      <c r="CQ20" s="335">
        <f t="shared" si="11"/>
        <v>0</v>
      </c>
      <c r="CR20" s="335">
        <f t="shared" si="11"/>
        <v>0</v>
      </c>
      <c r="CS20" s="335">
        <f t="shared" si="11"/>
        <v>0</v>
      </c>
      <c r="CT20" s="335">
        <f t="shared" si="11"/>
        <v>0</v>
      </c>
      <c r="CU20" s="335">
        <f t="shared" si="11"/>
        <v>0</v>
      </c>
      <c r="CV20" s="335">
        <f t="shared" si="11"/>
        <v>0</v>
      </c>
      <c r="CW20" s="335">
        <f t="shared" si="11"/>
        <v>0</v>
      </c>
      <c r="CX20" s="335">
        <f t="shared" si="11"/>
        <v>0</v>
      </c>
      <c r="CY20" s="335">
        <f t="shared" si="11"/>
        <v>0</v>
      </c>
      <c r="CZ20" s="335">
        <f t="shared" si="11"/>
        <v>0</v>
      </c>
      <c r="DA20" s="335">
        <f t="shared" si="11"/>
        <v>0</v>
      </c>
      <c r="DB20" s="335">
        <f t="shared" si="11"/>
        <v>0</v>
      </c>
      <c r="DC20" s="335">
        <f t="shared" si="11"/>
        <v>0</v>
      </c>
      <c r="DD20" s="335">
        <f t="shared" si="11"/>
        <v>0</v>
      </c>
      <c r="DE20" s="335">
        <f t="shared" si="11"/>
        <v>0</v>
      </c>
      <c r="DF20" s="335">
        <f t="shared" si="11"/>
        <v>0</v>
      </c>
      <c r="DG20" s="335">
        <f t="shared" si="11"/>
        <v>0</v>
      </c>
      <c r="DH20" s="335">
        <f t="shared" si="11"/>
        <v>0</v>
      </c>
      <c r="DI20" s="335">
        <f t="shared" si="11"/>
        <v>0</v>
      </c>
      <c r="DJ20" s="335">
        <f t="shared" si="11"/>
        <v>0</v>
      </c>
      <c r="DK20" s="335">
        <f t="shared" si="11"/>
        <v>0</v>
      </c>
      <c r="DL20" s="335">
        <f t="shared" si="11"/>
        <v>0</v>
      </c>
      <c r="DM20" s="335">
        <f t="shared" si="11"/>
        <v>0</v>
      </c>
      <c r="DN20" s="335">
        <f t="shared" si="11"/>
        <v>0</v>
      </c>
      <c r="DO20" s="335">
        <f t="shared" si="11"/>
        <v>0</v>
      </c>
      <c r="DP20" s="335">
        <f t="shared" si="11"/>
        <v>0</v>
      </c>
      <c r="DQ20" s="335">
        <f t="shared" si="11"/>
        <v>0</v>
      </c>
      <c r="DR20" s="335">
        <f t="shared" si="11"/>
        <v>0</v>
      </c>
      <c r="DS20" s="335">
        <f t="shared" si="11"/>
        <v>0</v>
      </c>
      <c r="DT20" s="335">
        <f t="shared" si="11"/>
        <v>0</v>
      </c>
      <c r="DU20" s="335">
        <f t="shared" si="11"/>
        <v>0</v>
      </c>
      <c r="DV20" s="335">
        <f t="shared" si="11"/>
        <v>0</v>
      </c>
      <c r="DW20" s="335">
        <f t="shared" si="11"/>
        <v>0</v>
      </c>
      <c r="DX20" s="335">
        <f t="shared" si="11"/>
        <v>0</v>
      </c>
      <c r="DY20" s="335">
        <f t="shared" si="11"/>
        <v>0</v>
      </c>
      <c r="DZ20" s="335">
        <f t="shared" si="11"/>
        <v>0</v>
      </c>
      <c r="EA20" s="335">
        <f t="shared" si="11"/>
        <v>0</v>
      </c>
      <c r="EB20" s="335">
        <f t="shared" si="11"/>
        <v>0</v>
      </c>
      <c r="EC20" s="335">
        <f t="shared" si="11"/>
        <v>0</v>
      </c>
      <c r="ED20" s="335">
        <f t="shared" si="11"/>
        <v>0</v>
      </c>
      <c r="EE20" s="335">
        <f t="shared" si="11"/>
        <v>0</v>
      </c>
      <c r="EF20" s="335">
        <f t="shared" si="11"/>
        <v>0</v>
      </c>
      <c r="EG20" s="335">
        <f t="shared" si="11"/>
        <v>0</v>
      </c>
      <c r="EH20" s="335">
        <f t="shared" si="11"/>
        <v>0</v>
      </c>
      <c r="EI20" s="335">
        <f t="shared" si="11"/>
        <v>0</v>
      </c>
      <c r="EJ20" s="335">
        <f t="shared" ref="EJ20:GU20" si="12">IF($E$19="Active",EJ19,0)</f>
        <v>0</v>
      </c>
      <c r="EK20" s="335">
        <f t="shared" si="12"/>
        <v>0</v>
      </c>
      <c r="EL20" s="335">
        <f t="shared" si="12"/>
        <v>0</v>
      </c>
      <c r="EM20" s="335">
        <f t="shared" si="12"/>
        <v>0</v>
      </c>
      <c r="EN20" s="335">
        <f t="shared" si="12"/>
        <v>0</v>
      </c>
      <c r="EO20" s="335">
        <f t="shared" si="12"/>
        <v>0</v>
      </c>
      <c r="EP20" s="335">
        <f t="shared" si="12"/>
        <v>0</v>
      </c>
      <c r="EQ20" s="335">
        <f t="shared" si="12"/>
        <v>0</v>
      </c>
      <c r="ER20" s="335">
        <f t="shared" si="12"/>
        <v>0</v>
      </c>
      <c r="ES20" s="335">
        <f t="shared" si="12"/>
        <v>0</v>
      </c>
      <c r="ET20" s="335">
        <f t="shared" si="12"/>
        <v>0</v>
      </c>
      <c r="EU20" s="335">
        <f t="shared" si="12"/>
        <v>0</v>
      </c>
      <c r="EV20" s="335">
        <f t="shared" si="12"/>
        <v>0</v>
      </c>
      <c r="EW20" s="335">
        <f t="shared" si="12"/>
        <v>0</v>
      </c>
      <c r="EX20" s="335">
        <f t="shared" si="12"/>
        <v>0</v>
      </c>
      <c r="EY20" s="335">
        <f t="shared" si="12"/>
        <v>0</v>
      </c>
      <c r="EZ20" s="335">
        <f t="shared" si="12"/>
        <v>0</v>
      </c>
      <c r="FA20" s="335">
        <f t="shared" si="12"/>
        <v>0</v>
      </c>
      <c r="FB20" s="335">
        <f t="shared" si="12"/>
        <v>0</v>
      </c>
      <c r="FC20" s="335">
        <f t="shared" si="12"/>
        <v>0</v>
      </c>
      <c r="FD20" s="335">
        <f t="shared" si="12"/>
        <v>0</v>
      </c>
      <c r="FE20" s="335">
        <f t="shared" si="12"/>
        <v>0</v>
      </c>
      <c r="FF20" s="335">
        <f t="shared" si="12"/>
        <v>0</v>
      </c>
      <c r="FG20" s="335">
        <f t="shared" si="12"/>
        <v>0</v>
      </c>
      <c r="FH20" s="335">
        <f t="shared" si="12"/>
        <v>0</v>
      </c>
      <c r="FI20" s="335">
        <f t="shared" si="12"/>
        <v>0</v>
      </c>
      <c r="FJ20" s="335">
        <f t="shared" si="12"/>
        <v>0</v>
      </c>
      <c r="FK20" s="335">
        <f t="shared" si="12"/>
        <v>0</v>
      </c>
      <c r="FL20" s="335">
        <f t="shared" si="12"/>
        <v>0</v>
      </c>
      <c r="FM20" s="335">
        <f t="shared" si="12"/>
        <v>0</v>
      </c>
      <c r="FN20" s="335">
        <f t="shared" si="12"/>
        <v>0</v>
      </c>
      <c r="FO20" s="335">
        <f t="shared" si="12"/>
        <v>0</v>
      </c>
      <c r="FP20" s="335">
        <f t="shared" si="12"/>
        <v>0</v>
      </c>
      <c r="FQ20" s="335">
        <f t="shared" si="12"/>
        <v>0</v>
      </c>
      <c r="FR20" s="335">
        <f t="shared" si="12"/>
        <v>0</v>
      </c>
      <c r="FS20" s="335">
        <f t="shared" si="12"/>
        <v>0</v>
      </c>
      <c r="FT20" s="335">
        <f t="shared" si="12"/>
        <v>0</v>
      </c>
      <c r="FU20" s="335">
        <f t="shared" si="12"/>
        <v>0</v>
      </c>
      <c r="FV20" s="335">
        <f t="shared" si="12"/>
        <v>0</v>
      </c>
      <c r="FW20" s="335">
        <f t="shared" si="12"/>
        <v>0</v>
      </c>
      <c r="FX20" s="335">
        <f t="shared" si="12"/>
        <v>0</v>
      </c>
      <c r="FY20" s="335">
        <f t="shared" si="12"/>
        <v>0</v>
      </c>
      <c r="FZ20" s="335">
        <f t="shared" si="12"/>
        <v>0</v>
      </c>
      <c r="GA20" s="335">
        <f t="shared" si="12"/>
        <v>0</v>
      </c>
      <c r="GB20" s="335">
        <f t="shared" si="12"/>
        <v>0</v>
      </c>
      <c r="GC20" s="335">
        <f t="shared" si="12"/>
        <v>0</v>
      </c>
      <c r="GD20" s="335">
        <f t="shared" si="12"/>
        <v>0</v>
      </c>
      <c r="GE20" s="335">
        <f t="shared" si="12"/>
        <v>0</v>
      </c>
      <c r="GF20" s="335">
        <f t="shared" si="12"/>
        <v>0</v>
      </c>
      <c r="GG20" s="335">
        <f t="shared" si="12"/>
        <v>0</v>
      </c>
      <c r="GH20" s="335">
        <f t="shared" si="12"/>
        <v>0</v>
      </c>
      <c r="GI20" s="335">
        <f t="shared" si="12"/>
        <v>0</v>
      </c>
      <c r="GJ20" s="335">
        <f t="shared" si="12"/>
        <v>0</v>
      </c>
      <c r="GK20" s="335">
        <f t="shared" si="12"/>
        <v>0</v>
      </c>
      <c r="GL20" s="335">
        <f t="shared" si="12"/>
        <v>0</v>
      </c>
      <c r="GM20" s="335">
        <f t="shared" si="12"/>
        <v>0</v>
      </c>
      <c r="GN20" s="335">
        <f t="shared" si="12"/>
        <v>0</v>
      </c>
      <c r="GO20" s="335">
        <f t="shared" si="12"/>
        <v>0</v>
      </c>
      <c r="GP20" s="335">
        <f t="shared" si="12"/>
        <v>0</v>
      </c>
      <c r="GQ20" s="335">
        <f t="shared" si="12"/>
        <v>0</v>
      </c>
      <c r="GR20" s="335">
        <f t="shared" si="12"/>
        <v>0</v>
      </c>
      <c r="GS20" s="335">
        <f t="shared" si="12"/>
        <v>0</v>
      </c>
      <c r="GT20" s="335">
        <f t="shared" si="12"/>
        <v>0</v>
      </c>
      <c r="GU20" s="335">
        <f t="shared" si="12"/>
        <v>0</v>
      </c>
      <c r="GV20" s="335">
        <f t="shared" ref="GV20:GW20" si="13">IF($E$19="Active",GV19,0)</f>
        <v>0</v>
      </c>
      <c r="GW20" s="335">
        <f t="shared" si="13"/>
        <v>0</v>
      </c>
    </row>
    <row r="21" spans="1:205" ht="18" customHeight="1" x14ac:dyDescent="0.35">
      <c r="A21" s="314"/>
      <c r="B21" s="314"/>
      <c r="C21" s="315"/>
      <c r="D21" s="315"/>
      <c r="E21" s="315"/>
      <c r="F21" s="315"/>
      <c r="G21" s="315"/>
      <c r="K21" s="316"/>
      <c r="L21" s="316"/>
      <c r="M21" s="316"/>
      <c r="N21" s="316"/>
      <c r="O21" s="316"/>
      <c r="P21" s="316"/>
      <c r="Q21" s="316"/>
      <c r="R21" s="316"/>
      <c r="S21" s="316"/>
      <c r="T21" s="316"/>
      <c r="U21" s="316"/>
      <c r="V21" s="316"/>
      <c r="W21" s="316"/>
      <c r="X21" s="316"/>
      <c r="Y21" s="316"/>
      <c r="Z21" s="316"/>
      <c r="AA21" s="316"/>
      <c r="AB21" s="316"/>
      <c r="AC21" s="316"/>
      <c r="AD21" s="316"/>
      <c r="AE21" s="316"/>
      <c r="AF21" s="316"/>
      <c r="AG21" s="316"/>
      <c r="AH21" s="316"/>
      <c r="AI21" s="316"/>
      <c r="AJ21" s="316"/>
      <c r="AK21" s="316"/>
      <c r="AL21" s="316"/>
      <c r="AM21" s="316"/>
      <c r="AN21" s="316"/>
      <c r="AO21" s="316"/>
      <c r="AP21" s="316"/>
      <c r="AQ21" s="316"/>
      <c r="AR21" s="316"/>
      <c r="AS21" s="316"/>
      <c r="AT21" s="316"/>
      <c r="AU21" s="316"/>
      <c r="AV21" s="316"/>
      <c r="AW21" s="316"/>
      <c r="AX21" s="316"/>
      <c r="AY21" s="316"/>
      <c r="AZ21" s="316"/>
      <c r="BA21" s="316"/>
      <c r="BB21" s="316"/>
      <c r="BC21" s="316"/>
      <c r="BD21" s="316"/>
      <c r="BE21" s="316"/>
      <c r="BF21" s="316"/>
      <c r="BG21" s="316"/>
      <c r="BH21" s="316"/>
      <c r="BI21" s="316"/>
      <c r="BJ21" s="316"/>
      <c r="BK21" s="316"/>
      <c r="BL21" s="316"/>
      <c r="BM21" s="316"/>
      <c r="BN21" s="316"/>
      <c r="BO21" s="316"/>
      <c r="BP21" s="316"/>
      <c r="BQ21" s="316"/>
      <c r="BR21" s="316"/>
      <c r="BS21" s="316"/>
      <c r="BT21" s="316"/>
      <c r="BU21" s="316"/>
      <c r="BV21" s="316"/>
      <c r="BW21" s="316"/>
      <c r="BX21" s="316"/>
      <c r="BY21" s="316"/>
      <c r="BZ21" s="316"/>
      <c r="CA21" s="316"/>
      <c r="CB21" s="316"/>
      <c r="CC21" s="316"/>
      <c r="CD21" s="316"/>
      <c r="CE21" s="316"/>
      <c r="CF21" s="316"/>
      <c r="CG21" s="316"/>
      <c r="CH21" s="316"/>
      <c r="CI21" s="316"/>
      <c r="CJ21" s="316"/>
      <c r="CK21" s="316"/>
      <c r="CL21" s="316"/>
      <c r="CM21" s="316"/>
      <c r="CN21" s="316"/>
      <c r="CO21" s="316"/>
      <c r="CP21" s="316"/>
      <c r="CQ21" s="316"/>
      <c r="CR21" s="316"/>
      <c r="CS21" s="316"/>
      <c r="CT21" s="316"/>
      <c r="CU21" s="316"/>
      <c r="CV21" s="316"/>
      <c r="CW21" s="316"/>
      <c r="CX21" s="316"/>
      <c r="CY21" s="316"/>
      <c r="CZ21" s="316"/>
      <c r="DA21" s="316"/>
      <c r="DB21" s="316"/>
      <c r="DC21" s="316"/>
      <c r="DD21" s="316"/>
      <c r="DE21" s="316"/>
      <c r="DF21" s="316"/>
      <c r="DG21" s="316"/>
      <c r="DH21" s="316"/>
      <c r="DI21" s="316"/>
      <c r="DJ21" s="316"/>
      <c r="DK21" s="316"/>
      <c r="DL21" s="316"/>
      <c r="DM21" s="316"/>
      <c r="DN21" s="316"/>
      <c r="DO21" s="316"/>
      <c r="DP21" s="316"/>
      <c r="DQ21" s="316"/>
      <c r="DR21" s="316"/>
      <c r="DS21" s="316"/>
      <c r="DT21" s="316"/>
      <c r="DU21" s="316"/>
      <c r="DV21" s="316"/>
      <c r="DW21" s="316"/>
      <c r="DX21" s="316"/>
      <c r="DY21" s="316"/>
      <c r="DZ21" s="316"/>
      <c r="EA21" s="316"/>
      <c r="EB21" s="316"/>
      <c r="EC21" s="316"/>
      <c r="ED21" s="316"/>
      <c r="EE21" s="316"/>
      <c r="EF21" s="316"/>
      <c r="EG21" s="316"/>
      <c r="EH21" s="316"/>
      <c r="EI21" s="316"/>
      <c r="EJ21" s="316"/>
      <c r="EK21" s="316"/>
      <c r="EL21" s="316"/>
      <c r="EM21" s="316"/>
      <c r="EN21" s="316"/>
      <c r="EO21" s="316"/>
      <c r="EP21" s="316"/>
      <c r="EQ21" s="316"/>
      <c r="ER21" s="316"/>
      <c r="ES21" s="316"/>
      <c r="ET21" s="316"/>
      <c r="EU21" s="316"/>
      <c r="EV21" s="316"/>
      <c r="EW21" s="316"/>
      <c r="EX21" s="316"/>
      <c r="EY21" s="316"/>
      <c r="EZ21" s="316"/>
      <c r="FA21" s="316"/>
      <c r="FB21" s="316"/>
      <c r="FC21" s="316"/>
      <c r="FD21" s="316"/>
      <c r="FE21" s="316"/>
      <c r="FF21" s="316"/>
      <c r="FG21" s="316"/>
      <c r="FH21" s="316"/>
      <c r="FI21" s="316"/>
      <c r="FJ21" s="316"/>
      <c r="FK21" s="316"/>
      <c r="FL21" s="316"/>
      <c r="FM21" s="316"/>
      <c r="FN21" s="316"/>
      <c r="FO21" s="316"/>
      <c r="FP21" s="316"/>
      <c r="FQ21" s="316"/>
      <c r="FR21" s="316"/>
      <c r="FS21" s="316"/>
      <c r="FT21" s="316"/>
      <c r="FU21" s="316"/>
      <c r="FV21" s="316"/>
      <c r="FW21" s="316"/>
      <c r="FX21" s="316"/>
      <c r="FY21" s="316"/>
      <c r="FZ21" s="316"/>
      <c r="GA21" s="316"/>
      <c r="GB21" s="316"/>
      <c r="GC21" s="316"/>
      <c r="GD21" s="316"/>
      <c r="GE21" s="316"/>
      <c r="GF21" s="316"/>
      <c r="GG21" s="316"/>
      <c r="GH21" s="316"/>
      <c r="GI21" s="316"/>
      <c r="GJ21" s="316"/>
      <c r="GK21" s="316"/>
      <c r="GL21" s="316"/>
      <c r="GM21" s="316"/>
      <c r="GN21" s="316"/>
      <c r="GO21" s="316"/>
      <c r="GP21" s="316"/>
      <c r="GQ21" s="316"/>
      <c r="GR21" s="316"/>
      <c r="GS21" s="316"/>
      <c r="GT21" s="316"/>
      <c r="GU21" s="316"/>
      <c r="GV21" s="316"/>
      <c r="GW21" s="316"/>
    </row>
    <row r="23" spans="1:205" ht="22" customHeight="1" x14ac:dyDescent="0.35">
      <c r="A23" s="392" t="s">
        <v>391</v>
      </c>
      <c r="B23" s="393"/>
      <c r="C23" s="393"/>
      <c r="D23" s="393"/>
      <c r="E23" s="393"/>
      <c r="F23" s="393"/>
      <c r="G23" s="393"/>
      <c r="H23" s="393"/>
      <c r="I23" s="393"/>
      <c r="J23" s="393"/>
      <c r="K23" s="393"/>
      <c r="L23" s="393"/>
      <c r="M23" s="393"/>
      <c r="N23" s="393"/>
      <c r="O23" s="393"/>
      <c r="P23" s="393"/>
      <c r="Q23" s="393"/>
      <c r="R23" s="393"/>
      <c r="S23" s="393"/>
      <c r="T23" s="393"/>
      <c r="U23" s="393"/>
      <c r="V23" s="393"/>
      <c r="W23" s="393"/>
      <c r="X23" s="393"/>
      <c r="Y23" s="393"/>
      <c r="Z23" s="393"/>
      <c r="AA23" s="393"/>
      <c r="AB23" s="393"/>
      <c r="AC23" s="393"/>
      <c r="AD23" s="393"/>
      <c r="AE23" s="393"/>
      <c r="AF23" s="393"/>
      <c r="AG23" s="393"/>
      <c r="AH23" s="393"/>
      <c r="AI23" s="393"/>
      <c r="AJ23" s="393"/>
      <c r="AK23" s="393"/>
      <c r="AL23" s="393"/>
      <c r="AM23" s="393"/>
      <c r="AN23" s="393"/>
      <c r="AO23" s="393"/>
      <c r="AP23" s="393"/>
      <c r="AQ23" s="393"/>
      <c r="AR23" s="393"/>
      <c r="AS23" s="393"/>
      <c r="AT23" s="393"/>
      <c r="AU23" s="393"/>
      <c r="AV23" s="393"/>
      <c r="AW23" s="393"/>
      <c r="AX23" s="393"/>
      <c r="AY23" s="393"/>
      <c r="AZ23" s="393"/>
      <c r="BA23" s="393"/>
      <c r="BB23" s="393"/>
      <c r="BC23" s="393"/>
      <c r="BD23" s="393"/>
      <c r="BE23" s="393"/>
      <c r="BF23" s="393"/>
      <c r="BG23" s="393"/>
      <c r="BH23" s="393"/>
      <c r="BI23" s="393"/>
      <c r="BJ23" s="393"/>
      <c r="BK23" s="393"/>
      <c r="BL23" s="393"/>
      <c r="BM23" s="393"/>
      <c r="BN23" s="393"/>
      <c r="BO23" s="393"/>
      <c r="BP23" s="393"/>
      <c r="BQ23" s="393"/>
      <c r="BR23" s="393"/>
      <c r="BS23" s="393"/>
      <c r="BT23" s="393"/>
      <c r="BU23" s="393"/>
      <c r="BV23" s="393"/>
      <c r="BW23" s="393"/>
      <c r="BX23" s="393"/>
      <c r="BY23" s="393"/>
      <c r="BZ23" s="393"/>
      <c r="CA23" s="393"/>
      <c r="CB23" s="393"/>
      <c r="CC23" s="393"/>
      <c r="CD23" s="393"/>
      <c r="CE23" s="393"/>
      <c r="CF23" s="393"/>
      <c r="CG23" s="393"/>
      <c r="CH23" s="393"/>
      <c r="CI23" s="393"/>
      <c r="CJ23" s="393"/>
      <c r="CK23" s="393"/>
      <c r="CL23" s="393"/>
      <c r="CM23" s="393"/>
      <c r="CN23" s="393"/>
      <c r="CO23" s="393"/>
      <c r="CP23" s="393"/>
      <c r="CQ23" s="393"/>
      <c r="CR23" s="393"/>
      <c r="CS23" s="393"/>
      <c r="CT23" s="393"/>
      <c r="CU23" s="393"/>
      <c r="CV23" s="393"/>
      <c r="CW23" s="393"/>
      <c r="CX23" s="393"/>
      <c r="CY23" s="393"/>
      <c r="CZ23" s="393"/>
      <c r="DA23" s="393"/>
      <c r="DB23" s="393"/>
      <c r="DC23" s="393"/>
      <c r="DD23" s="393"/>
      <c r="DE23" s="393"/>
      <c r="DF23" s="393"/>
      <c r="DG23" s="393"/>
      <c r="DH23" s="393"/>
      <c r="DI23" s="393"/>
      <c r="DJ23" s="393"/>
      <c r="DK23" s="393"/>
      <c r="DL23" s="393"/>
      <c r="DM23" s="393"/>
      <c r="DN23" s="393"/>
      <c r="DO23" s="393"/>
      <c r="DP23" s="393"/>
      <c r="DQ23" s="393"/>
      <c r="DR23" s="393"/>
      <c r="DS23" s="393"/>
      <c r="DT23" s="393"/>
      <c r="DU23" s="393"/>
      <c r="DV23" s="393"/>
      <c r="DW23" s="393"/>
      <c r="DX23" s="393"/>
      <c r="DY23" s="393"/>
      <c r="DZ23" s="393"/>
      <c r="EA23" s="393"/>
      <c r="EB23" s="393"/>
      <c r="EC23" s="393"/>
      <c r="ED23" s="393"/>
      <c r="EE23" s="393"/>
      <c r="EF23" s="393"/>
      <c r="EG23" s="393"/>
      <c r="EH23" s="393"/>
      <c r="EI23" s="393"/>
      <c r="EJ23" s="393"/>
      <c r="EK23" s="393"/>
      <c r="EL23" s="393"/>
      <c r="EM23" s="393"/>
      <c r="EN23" s="393"/>
      <c r="EO23" s="393"/>
      <c r="EP23" s="393"/>
      <c r="EQ23" s="393"/>
      <c r="ER23" s="393"/>
      <c r="ES23" s="393"/>
      <c r="ET23" s="393"/>
      <c r="EU23" s="393"/>
      <c r="EV23" s="393"/>
      <c r="EW23" s="393"/>
      <c r="EX23" s="393"/>
      <c r="EY23" s="393"/>
      <c r="EZ23" s="393"/>
      <c r="FA23" s="393"/>
      <c r="FB23" s="393"/>
      <c r="FC23" s="393"/>
      <c r="FD23" s="393"/>
      <c r="FE23" s="393"/>
      <c r="FF23" s="393"/>
      <c r="FG23" s="393"/>
      <c r="FH23" s="393"/>
      <c r="FI23" s="393"/>
      <c r="FJ23" s="393"/>
      <c r="FK23" s="393"/>
      <c r="FL23" s="393"/>
      <c r="FM23" s="393"/>
      <c r="FN23" s="393"/>
      <c r="FO23" s="393"/>
      <c r="FP23" s="393"/>
      <c r="FQ23" s="393"/>
      <c r="FR23" s="393"/>
      <c r="FS23" s="393"/>
      <c r="FT23" s="393"/>
      <c r="FU23" s="393"/>
      <c r="FV23" s="393"/>
      <c r="FW23" s="393"/>
      <c r="FX23" s="393"/>
      <c r="FY23" s="393"/>
      <c r="FZ23" s="393"/>
      <c r="GA23" s="393"/>
      <c r="GB23" s="393"/>
      <c r="GC23" s="393"/>
      <c r="GD23" s="393"/>
      <c r="GE23" s="393"/>
      <c r="GF23" s="393"/>
      <c r="GG23" s="393"/>
      <c r="GH23" s="393"/>
      <c r="GI23" s="393"/>
      <c r="GJ23" s="393"/>
      <c r="GK23" s="393"/>
      <c r="GL23" s="393"/>
      <c r="GM23" s="393"/>
      <c r="GN23" s="393"/>
      <c r="GO23" s="393"/>
      <c r="GP23" s="393"/>
      <c r="GQ23" s="393"/>
      <c r="GR23" s="393"/>
      <c r="GS23" s="393"/>
    </row>
    <row r="24" spans="1:205" ht="14" customHeight="1" x14ac:dyDescent="0.35">
      <c r="A24" s="10" t="s">
        <v>36</v>
      </c>
      <c r="B24" s="16" t="s">
        <v>37</v>
      </c>
      <c r="C24" s="12" t="s">
        <v>38</v>
      </c>
      <c r="D24" s="12" t="s">
        <v>29</v>
      </c>
      <c r="E24" s="21" t="str">
        <f>'Supplier Registry'!N12</f>
        <v>Active</v>
      </c>
      <c r="F24" s="21">
        <f>'Supplier Registry'!M12</f>
        <v>1</v>
      </c>
      <c r="G24" s="21">
        <f>'Supplier Registry'!E12</f>
        <v>16200</v>
      </c>
      <c r="H24" s="58">
        <f>'Supplier Registry'!P12</f>
        <v>9</v>
      </c>
      <c r="I24" s="74">
        <f>IFERROR(EDATE(Controls!B5,H24),"")</f>
        <v>46388</v>
      </c>
      <c r="J24" s="75">
        <f>IFERROR(EDATE(I24,-'Supplier Registry'!Q12),"")</f>
        <v>46357</v>
      </c>
      <c r="K24" s="29"/>
      <c r="L24" s="29"/>
      <c r="M24" s="29"/>
      <c r="N24" s="29">
        <v>16200</v>
      </c>
      <c r="O24" s="29"/>
      <c r="P24" s="29">
        <v>16200</v>
      </c>
      <c r="Q24" s="29"/>
      <c r="R24" s="29"/>
      <c r="S24" s="29"/>
      <c r="T24" s="29"/>
      <c r="U24" s="29"/>
      <c r="V24" s="29"/>
      <c r="W24" s="29">
        <v>0</v>
      </c>
      <c r="X24" s="29">
        <v>0</v>
      </c>
      <c r="Y24" s="29">
        <v>0</v>
      </c>
      <c r="Z24" s="29">
        <v>0</v>
      </c>
      <c r="AA24" s="29">
        <v>0</v>
      </c>
      <c r="AB24" s="29">
        <v>0</v>
      </c>
      <c r="AC24" s="29">
        <v>0</v>
      </c>
      <c r="AD24" s="29">
        <v>0</v>
      </c>
      <c r="AE24" s="29">
        <v>0</v>
      </c>
      <c r="AF24" s="29">
        <v>0</v>
      </c>
      <c r="AG24" s="29">
        <v>0</v>
      </c>
      <c r="AH24" s="29">
        <v>0</v>
      </c>
      <c r="AI24" s="29">
        <v>0</v>
      </c>
      <c r="AJ24" s="29">
        <v>0</v>
      </c>
      <c r="AK24" s="29">
        <v>0</v>
      </c>
      <c r="AL24" s="29">
        <v>0</v>
      </c>
      <c r="AM24" s="29">
        <v>0</v>
      </c>
      <c r="AN24" s="29">
        <v>0</v>
      </c>
      <c r="AO24" s="29">
        <v>0</v>
      </c>
      <c r="AP24" s="29">
        <v>0</v>
      </c>
      <c r="AQ24" s="29">
        <v>0</v>
      </c>
      <c r="AR24" s="29">
        <v>0</v>
      </c>
      <c r="AS24" s="29">
        <v>0</v>
      </c>
      <c r="AT24" s="29">
        <v>0</v>
      </c>
      <c r="AU24" s="29">
        <v>0</v>
      </c>
      <c r="AV24" s="29">
        <v>0</v>
      </c>
      <c r="AW24" s="29">
        <v>0</v>
      </c>
      <c r="AX24" s="29">
        <v>0</v>
      </c>
      <c r="AY24" s="29">
        <v>0</v>
      </c>
      <c r="AZ24" s="29">
        <v>0</v>
      </c>
      <c r="BA24" s="29">
        <v>0</v>
      </c>
      <c r="BB24" s="29">
        <v>0</v>
      </c>
      <c r="BC24" s="29">
        <v>0</v>
      </c>
      <c r="BD24" s="29">
        <v>0</v>
      </c>
      <c r="BE24" s="29">
        <v>0</v>
      </c>
      <c r="BF24" s="29">
        <v>0</v>
      </c>
      <c r="BG24" s="29">
        <v>0</v>
      </c>
      <c r="BH24" s="29">
        <v>0</v>
      </c>
      <c r="BI24" s="29">
        <v>0</v>
      </c>
      <c r="BJ24" s="29">
        <v>0</v>
      </c>
      <c r="BK24" s="29">
        <v>0</v>
      </c>
      <c r="BL24" s="29">
        <v>0</v>
      </c>
      <c r="BM24" s="29">
        <v>0</v>
      </c>
      <c r="BN24" s="29">
        <v>0</v>
      </c>
      <c r="BO24" s="29">
        <v>0</v>
      </c>
      <c r="BP24" s="29">
        <v>0</v>
      </c>
      <c r="BQ24" s="29">
        <v>0</v>
      </c>
      <c r="BR24" s="29">
        <v>0</v>
      </c>
      <c r="BS24" s="29">
        <v>0</v>
      </c>
      <c r="BT24" s="29">
        <v>0</v>
      </c>
      <c r="BU24" s="29">
        <v>0</v>
      </c>
      <c r="BV24" s="29">
        <v>0</v>
      </c>
      <c r="BW24" s="29">
        <v>0</v>
      </c>
      <c r="BX24" s="29">
        <v>0</v>
      </c>
      <c r="BY24" s="29">
        <v>0</v>
      </c>
      <c r="BZ24" s="29">
        <v>0</v>
      </c>
      <c r="CA24" s="29">
        <v>0</v>
      </c>
      <c r="CB24" s="29">
        <v>0</v>
      </c>
      <c r="CC24" s="29">
        <v>0</v>
      </c>
      <c r="CD24" s="29">
        <v>0</v>
      </c>
      <c r="CE24" s="29">
        <v>0</v>
      </c>
      <c r="CF24" s="29">
        <v>0</v>
      </c>
      <c r="CG24" s="29">
        <v>0</v>
      </c>
      <c r="CH24" s="29">
        <v>0</v>
      </c>
      <c r="CI24" s="29">
        <v>0</v>
      </c>
      <c r="CJ24" s="29">
        <v>0</v>
      </c>
      <c r="CK24" s="29">
        <v>0</v>
      </c>
      <c r="CL24" s="29">
        <v>0</v>
      </c>
      <c r="CM24" s="29">
        <v>0</v>
      </c>
      <c r="CN24" s="29">
        <v>0</v>
      </c>
      <c r="CO24" s="29">
        <v>0</v>
      </c>
      <c r="CP24" s="29">
        <v>0</v>
      </c>
      <c r="CQ24" s="29">
        <v>0</v>
      </c>
      <c r="CR24" s="29">
        <v>0</v>
      </c>
      <c r="CS24" s="29">
        <v>0</v>
      </c>
      <c r="CT24" s="29">
        <v>0</v>
      </c>
      <c r="CU24" s="29">
        <v>0</v>
      </c>
      <c r="CV24" s="29">
        <v>0</v>
      </c>
      <c r="CW24" s="29">
        <v>0</v>
      </c>
      <c r="CX24" s="29">
        <v>0</v>
      </c>
      <c r="CY24" s="29">
        <v>0</v>
      </c>
      <c r="CZ24" s="29">
        <v>0</v>
      </c>
      <c r="DA24" s="29">
        <v>0</v>
      </c>
      <c r="DB24" s="29">
        <v>0</v>
      </c>
      <c r="DC24" s="29">
        <v>0</v>
      </c>
      <c r="DD24" s="29">
        <v>0</v>
      </c>
      <c r="DE24" s="29">
        <v>0</v>
      </c>
      <c r="DF24" s="29">
        <v>0</v>
      </c>
      <c r="DG24" s="29">
        <v>0</v>
      </c>
      <c r="DH24" s="29">
        <v>0</v>
      </c>
      <c r="DI24" s="29">
        <v>0</v>
      </c>
      <c r="DJ24" s="29">
        <v>0</v>
      </c>
      <c r="DK24" s="29">
        <v>0</v>
      </c>
      <c r="DL24" s="29">
        <v>0</v>
      </c>
      <c r="DM24" s="29">
        <v>0</v>
      </c>
      <c r="DN24" s="29">
        <v>0</v>
      </c>
      <c r="DO24" s="29">
        <v>0</v>
      </c>
      <c r="DP24" s="29">
        <v>0</v>
      </c>
      <c r="DQ24" s="29">
        <v>0</v>
      </c>
      <c r="DR24" s="29">
        <v>0</v>
      </c>
      <c r="DS24" s="29">
        <v>0</v>
      </c>
      <c r="DT24" s="29">
        <v>0</v>
      </c>
      <c r="DU24" s="29">
        <v>0</v>
      </c>
      <c r="DV24" s="29">
        <v>0</v>
      </c>
      <c r="DW24" s="29">
        <v>0</v>
      </c>
      <c r="DX24" s="29">
        <v>0</v>
      </c>
      <c r="DY24" s="29">
        <v>0</v>
      </c>
      <c r="DZ24" s="29">
        <v>0</v>
      </c>
      <c r="EA24" s="29">
        <v>0</v>
      </c>
      <c r="EB24" s="29">
        <v>0</v>
      </c>
      <c r="EC24" s="29">
        <v>0</v>
      </c>
      <c r="ED24" s="29">
        <v>0</v>
      </c>
      <c r="EE24" s="29">
        <v>0</v>
      </c>
      <c r="EF24" s="29">
        <v>0</v>
      </c>
      <c r="EG24" s="29">
        <v>0</v>
      </c>
      <c r="EH24" s="29">
        <v>0</v>
      </c>
      <c r="EI24" s="29">
        <v>0</v>
      </c>
      <c r="EJ24" s="29">
        <v>0</v>
      </c>
      <c r="EK24" s="29">
        <v>0</v>
      </c>
      <c r="EL24" s="29">
        <v>0</v>
      </c>
      <c r="EM24" s="29">
        <v>0</v>
      </c>
      <c r="EN24" s="29">
        <v>0</v>
      </c>
      <c r="EO24" s="29">
        <v>0</v>
      </c>
      <c r="EP24" s="29">
        <v>0</v>
      </c>
      <c r="EQ24" s="29">
        <v>0</v>
      </c>
      <c r="ER24" s="29">
        <v>0</v>
      </c>
      <c r="ES24" s="29">
        <v>0</v>
      </c>
      <c r="ET24" s="29">
        <v>0</v>
      </c>
      <c r="EU24" s="29">
        <v>0</v>
      </c>
      <c r="EV24" s="29">
        <v>0</v>
      </c>
      <c r="EW24" s="29">
        <v>0</v>
      </c>
      <c r="EX24" s="29">
        <v>0</v>
      </c>
      <c r="EY24" s="29">
        <v>0</v>
      </c>
      <c r="EZ24" s="29">
        <v>0</v>
      </c>
      <c r="FA24" s="29">
        <v>0</v>
      </c>
      <c r="FB24" s="29">
        <v>0</v>
      </c>
      <c r="FC24" s="29">
        <v>0</v>
      </c>
      <c r="FD24" s="29">
        <v>0</v>
      </c>
      <c r="FE24" s="29">
        <v>0</v>
      </c>
      <c r="FF24" s="29">
        <v>0</v>
      </c>
      <c r="FG24" s="29">
        <v>0</v>
      </c>
      <c r="FH24" s="29">
        <v>0</v>
      </c>
      <c r="FI24" s="29">
        <v>0</v>
      </c>
      <c r="FJ24" s="29">
        <v>0</v>
      </c>
      <c r="FK24" s="29">
        <v>0</v>
      </c>
      <c r="FL24" s="29">
        <v>0</v>
      </c>
      <c r="FM24" s="29">
        <v>0</v>
      </c>
      <c r="FN24" s="29">
        <v>0</v>
      </c>
      <c r="FO24" s="29">
        <v>0</v>
      </c>
      <c r="FP24" s="29">
        <v>0</v>
      </c>
      <c r="FQ24" s="29">
        <v>0</v>
      </c>
      <c r="FR24" s="29">
        <v>0</v>
      </c>
      <c r="FS24" s="29">
        <v>0</v>
      </c>
      <c r="FT24" s="29">
        <v>0</v>
      </c>
      <c r="FU24" s="29">
        <v>0</v>
      </c>
      <c r="FV24" s="29">
        <v>0</v>
      </c>
      <c r="FW24" s="29">
        <v>0</v>
      </c>
      <c r="FX24" s="29">
        <v>0</v>
      </c>
      <c r="FY24" s="29">
        <v>0</v>
      </c>
      <c r="FZ24" s="29">
        <v>0</v>
      </c>
      <c r="GA24" s="29">
        <v>0</v>
      </c>
      <c r="GB24" s="29">
        <v>0</v>
      </c>
      <c r="GC24" s="29">
        <v>0</v>
      </c>
      <c r="GD24" s="29">
        <v>0</v>
      </c>
      <c r="GE24" s="29">
        <v>0</v>
      </c>
      <c r="GF24" s="29">
        <v>0</v>
      </c>
      <c r="GG24" s="29">
        <v>0</v>
      </c>
      <c r="GH24" s="29">
        <v>0</v>
      </c>
      <c r="GI24" s="206">
        <f>SUM(K24:V24)</f>
        <v>32400</v>
      </c>
      <c r="GJ24" s="206">
        <f>SUM(T24:AE24)</f>
        <v>0</v>
      </c>
      <c r="GK24" s="206">
        <f>SUM(AF24:AQ24)</f>
        <v>0</v>
      </c>
      <c r="GL24" s="206">
        <f>SUM(AR24:BC24)</f>
        <v>0</v>
      </c>
      <c r="GM24" s="206">
        <f>SUM(BD24:BO24)</f>
        <v>0</v>
      </c>
      <c r="GN24" s="206">
        <f>SUM(BP24:CA24)</f>
        <v>0</v>
      </c>
      <c r="GO24" s="206">
        <f>SUM(CB24:CM24)</f>
        <v>0</v>
      </c>
      <c r="GP24" s="206">
        <f>SUM(CN24:CY24)</f>
        <v>0</v>
      </c>
      <c r="GQ24" s="206">
        <f>SUM(CZ24:DK24)</f>
        <v>0</v>
      </c>
      <c r="GR24" s="206">
        <f>SUM(DL24:DW24)</f>
        <v>0</v>
      </c>
      <c r="GS24" s="206">
        <f>SUM(DX24:EI24)</f>
        <v>0</v>
      </c>
      <c r="GT24" s="206">
        <f>SUM(EJ24:EU24)</f>
        <v>0</v>
      </c>
      <c r="GU24" s="206">
        <f>SUM(EV24:FG24)</f>
        <v>0</v>
      </c>
      <c r="GV24" s="206">
        <f>SUM(FH24:FS24)</f>
        <v>0</v>
      </c>
      <c r="GW24" s="206">
        <f>SUM(FT24:GE24)</f>
        <v>0</v>
      </c>
    </row>
    <row r="25" spans="1:205" ht="14" customHeight="1" x14ac:dyDescent="0.35">
      <c r="A25" s="2" t="s">
        <v>36</v>
      </c>
      <c r="B25" s="14" t="s">
        <v>40</v>
      </c>
      <c r="C25" s="4" t="s">
        <v>38</v>
      </c>
      <c r="D25" s="4" t="s">
        <v>29</v>
      </c>
      <c r="E25" s="21" t="str">
        <f>'Supplier Registry'!N13</f>
        <v>Active</v>
      </c>
      <c r="F25" s="21">
        <f>'Supplier Registry'!M13</f>
        <v>1</v>
      </c>
      <c r="G25" s="21">
        <f>'Supplier Registry'!E13</f>
        <v>17500</v>
      </c>
      <c r="H25" s="58">
        <f>'Supplier Registry'!P13</f>
        <v>9</v>
      </c>
      <c r="I25" s="74">
        <f>IFERROR(EDATE(Controls!B5,H25),"")</f>
        <v>46388</v>
      </c>
      <c r="J25" s="75">
        <f>IFERROR(EDATE(I25,-'Supplier Registry'!Q13),"")</f>
        <v>46357</v>
      </c>
      <c r="K25" s="29"/>
      <c r="L25" s="29"/>
      <c r="M25" s="29"/>
      <c r="N25" s="29"/>
      <c r="O25" s="29"/>
      <c r="P25" s="29"/>
      <c r="Q25" s="29"/>
      <c r="R25" s="29"/>
      <c r="S25" s="29"/>
      <c r="T25" s="29"/>
      <c r="U25" s="29"/>
      <c r="V25" s="29"/>
      <c r="W25" s="29">
        <v>0</v>
      </c>
      <c r="X25" s="29">
        <v>0</v>
      </c>
      <c r="Y25" s="29">
        <v>0</v>
      </c>
      <c r="Z25" s="29">
        <v>0</v>
      </c>
      <c r="AA25" s="29">
        <v>0</v>
      </c>
      <c r="AB25" s="29">
        <v>0</v>
      </c>
      <c r="AC25" s="29">
        <v>0</v>
      </c>
      <c r="AD25" s="29">
        <v>0</v>
      </c>
      <c r="AE25" s="29">
        <v>0</v>
      </c>
      <c r="AF25" s="29">
        <v>0</v>
      </c>
      <c r="AG25" s="29">
        <v>0</v>
      </c>
      <c r="AH25" s="29">
        <v>0</v>
      </c>
      <c r="AI25" s="29">
        <v>0</v>
      </c>
      <c r="AJ25" s="29">
        <v>0</v>
      </c>
      <c r="AK25" s="29">
        <v>0</v>
      </c>
      <c r="AL25" s="29">
        <v>0</v>
      </c>
      <c r="AM25" s="29">
        <v>0</v>
      </c>
      <c r="AN25" s="29">
        <v>0</v>
      </c>
      <c r="AO25" s="29">
        <v>0</v>
      </c>
      <c r="AP25" s="29">
        <v>0</v>
      </c>
      <c r="AQ25" s="29">
        <v>0</v>
      </c>
      <c r="AR25" s="29">
        <v>0</v>
      </c>
      <c r="AS25" s="29">
        <v>0</v>
      </c>
      <c r="AT25" s="29">
        <v>0</v>
      </c>
      <c r="AU25" s="29">
        <v>0</v>
      </c>
      <c r="AV25" s="29">
        <v>0</v>
      </c>
      <c r="AW25" s="29">
        <v>0</v>
      </c>
      <c r="AX25" s="29">
        <v>0</v>
      </c>
      <c r="AY25" s="29">
        <v>0</v>
      </c>
      <c r="AZ25" s="29">
        <v>0</v>
      </c>
      <c r="BA25" s="29">
        <v>0</v>
      </c>
      <c r="BB25" s="29">
        <v>0</v>
      </c>
      <c r="BC25" s="29">
        <v>0</v>
      </c>
      <c r="BD25" s="29">
        <v>0</v>
      </c>
      <c r="BE25" s="29">
        <v>0</v>
      </c>
      <c r="BF25" s="29">
        <v>0</v>
      </c>
      <c r="BG25" s="29">
        <v>0</v>
      </c>
      <c r="BH25" s="29">
        <v>0</v>
      </c>
      <c r="BI25" s="29">
        <v>0</v>
      </c>
      <c r="BJ25" s="29">
        <v>0</v>
      </c>
      <c r="BK25" s="29">
        <v>0</v>
      </c>
      <c r="BL25" s="29">
        <v>0</v>
      </c>
      <c r="BM25" s="29">
        <v>0</v>
      </c>
      <c r="BN25" s="29">
        <v>0</v>
      </c>
      <c r="BO25" s="29">
        <v>0</v>
      </c>
      <c r="BP25" s="29">
        <v>0</v>
      </c>
      <c r="BQ25" s="29">
        <v>0</v>
      </c>
      <c r="BR25" s="29">
        <v>0</v>
      </c>
      <c r="BS25" s="29">
        <v>0</v>
      </c>
      <c r="BT25" s="29">
        <v>0</v>
      </c>
      <c r="BU25" s="29">
        <v>0</v>
      </c>
      <c r="BV25" s="29">
        <v>0</v>
      </c>
      <c r="BW25" s="29">
        <v>0</v>
      </c>
      <c r="BX25" s="29">
        <v>0</v>
      </c>
      <c r="BY25" s="29">
        <v>0</v>
      </c>
      <c r="BZ25" s="29">
        <v>0</v>
      </c>
      <c r="CA25" s="29">
        <v>0</v>
      </c>
      <c r="CB25" s="29">
        <v>0</v>
      </c>
      <c r="CC25" s="29">
        <v>0</v>
      </c>
      <c r="CD25" s="29">
        <v>0</v>
      </c>
      <c r="CE25" s="29">
        <v>0</v>
      </c>
      <c r="CF25" s="29">
        <v>0</v>
      </c>
      <c r="CG25" s="29">
        <v>0</v>
      </c>
      <c r="CH25" s="29">
        <v>0</v>
      </c>
      <c r="CI25" s="29">
        <v>0</v>
      </c>
      <c r="CJ25" s="29">
        <v>0</v>
      </c>
      <c r="CK25" s="29">
        <v>0</v>
      </c>
      <c r="CL25" s="29">
        <v>0</v>
      </c>
      <c r="CM25" s="29">
        <v>0</v>
      </c>
      <c r="CN25" s="29">
        <v>0</v>
      </c>
      <c r="CO25" s="29">
        <v>0</v>
      </c>
      <c r="CP25" s="29">
        <v>0</v>
      </c>
      <c r="CQ25" s="29">
        <v>0</v>
      </c>
      <c r="CR25" s="29">
        <v>0</v>
      </c>
      <c r="CS25" s="29">
        <v>0</v>
      </c>
      <c r="CT25" s="29">
        <v>0</v>
      </c>
      <c r="CU25" s="29">
        <v>0</v>
      </c>
      <c r="CV25" s="29">
        <v>0</v>
      </c>
      <c r="CW25" s="29">
        <v>0</v>
      </c>
      <c r="CX25" s="29">
        <v>0</v>
      </c>
      <c r="CY25" s="29">
        <v>0</v>
      </c>
      <c r="CZ25" s="29">
        <v>0</v>
      </c>
      <c r="DA25" s="29">
        <v>0</v>
      </c>
      <c r="DB25" s="29">
        <v>0</v>
      </c>
      <c r="DC25" s="29">
        <v>0</v>
      </c>
      <c r="DD25" s="29">
        <v>0</v>
      </c>
      <c r="DE25" s="29">
        <v>0</v>
      </c>
      <c r="DF25" s="29">
        <v>0</v>
      </c>
      <c r="DG25" s="29">
        <v>0</v>
      </c>
      <c r="DH25" s="29">
        <v>0</v>
      </c>
      <c r="DI25" s="29">
        <v>0</v>
      </c>
      <c r="DJ25" s="29">
        <v>0</v>
      </c>
      <c r="DK25" s="29">
        <v>0</v>
      </c>
      <c r="DL25" s="29">
        <v>0</v>
      </c>
      <c r="DM25" s="29">
        <v>0</v>
      </c>
      <c r="DN25" s="29">
        <v>0</v>
      </c>
      <c r="DO25" s="29">
        <v>0</v>
      </c>
      <c r="DP25" s="29">
        <v>0</v>
      </c>
      <c r="DQ25" s="29">
        <v>0</v>
      </c>
      <c r="DR25" s="29">
        <v>0</v>
      </c>
      <c r="DS25" s="29">
        <v>0</v>
      </c>
      <c r="DT25" s="29">
        <v>0</v>
      </c>
      <c r="DU25" s="29">
        <v>0</v>
      </c>
      <c r="DV25" s="29">
        <v>0</v>
      </c>
      <c r="DW25" s="29">
        <v>0</v>
      </c>
      <c r="DX25" s="29">
        <v>0</v>
      </c>
      <c r="DY25" s="29">
        <v>0</v>
      </c>
      <c r="DZ25" s="29">
        <v>0</v>
      </c>
      <c r="EA25" s="29">
        <v>0</v>
      </c>
      <c r="EB25" s="29">
        <v>0</v>
      </c>
      <c r="EC25" s="29">
        <v>0</v>
      </c>
      <c r="ED25" s="29">
        <v>0</v>
      </c>
      <c r="EE25" s="29">
        <v>0</v>
      </c>
      <c r="EF25" s="29">
        <v>0</v>
      </c>
      <c r="EG25" s="29">
        <v>0</v>
      </c>
      <c r="EH25" s="29">
        <v>0</v>
      </c>
      <c r="EI25" s="29">
        <v>0</v>
      </c>
      <c r="EJ25" s="29">
        <v>0</v>
      </c>
      <c r="EK25" s="29">
        <v>0</v>
      </c>
      <c r="EL25" s="29">
        <v>0</v>
      </c>
      <c r="EM25" s="29">
        <v>0</v>
      </c>
      <c r="EN25" s="29">
        <v>0</v>
      </c>
      <c r="EO25" s="29">
        <v>0</v>
      </c>
      <c r="EP25" s="29">
        <v>0</v>
      </c>
      <c r="EQ25" s="29">
        <v>0</v>
      </c>
      <c r="ER25" s="29">
        <v>0</v>
      </c>
      <c r="ES25" s="29">
        <v>0</v>
      </c>
      <c r="ET25" s="29">
        <v>0</v>
      </c>
      <c r="EU25" s="29">
        <v>0</v>
      </c>
      <c r="EV25" s="29">
        <v>0</v>
      </c>
      <c r="EW25" s="29">
        <v>0</v>
      </c>
      <c r="EX25" s="29">
        <v>0</v>
      </c>
      <c r="EY25" s="29">
        <v>0</v>
      </c>
      <c r="EZ25" s="29">
        <v>0</v>
      </c>
      <c r="FA25" s="29">
        <v>0</v>
      </c>
      <c r="FB25" s="29">
        <v>0</v>
      </c>
      <c r="FC25" s="29">
        <v>0</v>
      </c>
      <c r="FD25" s="29">
        <v>0</v>
      </c>
      <c r="FE25" s="29">
        <v>0</v>
      </c>
      <c r="FF25" s="29">
        <v>0</v>
      </c>
      <c r="FG25" s="29">
        <v>0</v>
      </c>
      <c r="FH25" s="29">
        <v>0</v>
      </c>
      <c r="FI25" s="29">
        <v>0</v>
      </c>
      <c r="FJ25" s="29">
        <v>0</v>
      </c>
      <c r="FK25" s="29">
        <v>0</v>
      </c>
      <c r="FL25" s="29">
        <v>0</v>
      </c>
      <c r="FM25" s="29">
        <v>0</v>
      </c>
      <c r="FN25" s="29">
        <v>0</v>
      </c>
      <c r="FO25" s="29">
        <v>0</v>
      </c>
      <c r="FP25" s="29">
        <v>0</v>
      </c>
      <c r="FQ25" s="29">
        <v>0</v>
      </c>
      <c r="FR25" s="29">
        <v>0</v>
      </c>
      <c r="FS25" s="29">
        <v>0</v>
      </c>
      <c r="FT25" s="29">
        <v>0</v>
      </c>
      <c r="FU25" s="29">
        <v>0</v>
      </c>
      <c r="FV25" s="29">
        <v>0</v>
      </c>
      <c r="FW25" s="29">
        <v>0</v>
      </c>
      <c r="FX25" s="29">
        <v>0</v>
      </c>
      <c r="FY25" s="29">
        <v>0</v>
      </c>
      <c r="FZ25" s="29">
        <v>0</v>
      </c>
      <c r="GA25" s="29">
        <v>0</v>
      </c>
      <c r="GB25" s="29">
        <v>0</v>
      </c>
      <c r="GC25" s="29">
        <v>0</v>
      </c>
      <c r="GD25" s="29">
        <v>0</v>
      </c>
      <c r="GE25" s="29">
        <v>0</v>
      </c>
      <c r="GF25" s="29">
        <v>0</v>
      </c>
      <c r="GG25" s="29">
        <v>0</v>
      </c>
      <c r="GH25" s="29">
        <v>0</v>
      </c>
      <c r="GI25" s="206">
        <f>SUM(K25:V25)</f>
        <v>0</v>
      </c>
      <c r="GJ25" s="206">
        <f>SUM(T25:AE25)</f>
        <v>0</v>
      </c>
      <c r="GK25" s="206">
        <f>SUM(AF25:AQ25)</f>
        <v>0</v>
      </c>
      <c r="GL25" s="206">
        <f>SUM(AR25:BC25)</f>
        <v>0</v>
      </c>
      <c r="GM25" s="206">
        <f>SUM(BD25:BO25)</f>
        <v>0</v>
      </c>
      <c r="GN25" s="206">
        <f>SUM(BP25:CA25)</f>
        <v>0</v>
      </c>
      <c r="GO25" s="206">
        <f>SUM(CB25:CM25)</f>
        <v>0</v>
      </c>
      <c r="GP25" s="206">
        <f>SUM(CN25:CY25)</f>
        <v>0</v>
      </c>
      <c r="GQ25" s="206">
        <f>SUM(CZ25:DK25)</f>
        <v>0</v>
      </c>
      <c r="GR25" s="206">
        <f>SUM(DL25:DW25)</f>
        <v>0</v>
      </c>
      <c r="GS25" s="206">
        <f>SUM(DX25:EI25)</f>
        <v>0</v>
      </c>
      <c r="GT25" s="206">
        <f>SUM(EJ25:EU25)</f>
        <v>0</v>
      </c>
      <c r="GU25" s="206">
        <f>SUM(EV25:FG25)</f>
        <v>0</v>
      </c>
      <c r="GV25" s="206">
        <f>SUM(FH25:FS25)</f>
        <v>0</v>
      </c>
      <c r="GW25" s="206">
        <f>SUM(FT25:GE25)</f>
        <v>0</v>
      </c>
    </row>
    <row r="26" spans="1:205" ht="14" customHeight="1" x14ac:dyDescent="0.35">
      <c r="A26" s="10" t="s">
        <v>36</v>
      </c>
      <c r="B26" s="11" t="s">
        <v>41</v>
      </c>
      <c r="C26" s="12" t="s">
        <v>38</v>
      </c>
      <c r="D26" s="12" t="s">
        <v>29</v>
      </c>
      <c r="E26" s="21" t="str">
        <f>'Supplier Registry'!N14</f>
        <v>Active</v>
      </c>
      <c r="F26" s="21">
        <f>'Supplier Registry'!M14</f>
        <v>0</v>
      </c>
      <c r="G26" s="21">
        <f>'Supplier Registry'!E14</f>
        <v>32000</v>
      </c>
      <c r="H26" s="58">
        <f>'Supplier Registry'!P14</f>
        <v>9</v>
      </c>
      <c r="I26" s="74">
        <f>IFERROR(EDATE(Controls!B5,H26),"")</f>
        <v>46388</v>
      </c>
      <c r="J26" s="75">
        <f>IFERROR(EDATE(I26,-'Supplier Registry'!Q14),"")</f>
        <v>46357</v>
      </c>
      <c r="K26" s="29"/>
      <c r="L26" s="29"/>
      <c r="M26" s="29"/>
      <c r="N26" s="29"/>
      <c r="O26" s="29"/>
      <c r="P26" s="29"/>
      <c r="Q26" s="29"/>
      <c r="R26" s="29"/>
      <c r="S26" s="29"/>
      <c r="T26" s="29"/>
      <c r="U26" s="29"/>
      <c r="V26" s="29"/>
      <c r="W26" s="29">
        <v>0</v>
      </c>
      <c r="X26" s="29">
        <v>0</v>
      </c>
      <c r="Y26" s="29">
        <v>0</v>
      </c>
      <c r="Z26" s="29">
        <v>0</v>
      </c>
      <c r="AA26" s="29">
        <v>0</v>
      </c>
      <c r="AB26" s="29">
        <v>0</v>
      </c>
      <c r="AC26" s="29">
        <v>0</v>
      </c>
      <c r="AD26" s="29">
        <v>0</v>
      </c>
      <c r="AE26" s="29">
        <v>0</v>
      </c>
      <c r="AF26" s="29">
        <v>0</v>
      </c>
      <c r="AG26" s="29">
        <v>0</v>
      </c>
      <c r="AH26" s="29">
        <v>0</v>
      </c>
      <c r="AI26" s="29">
        <v>0</v>
      </c>
      <c r="AJ26" s="29">
        <v>0</v>
      </c>
      <c r="AK26" s="29">
        <v>0</v>
      </c>
      <c r="AL26" s="29">
        <v>0</v>
      </c>
      <c r="AM26" s="29">
        <v>0</v>
      </c>
      <c r="AN26" s="29">
        <v>0</v>
      </c>
      <c r="AO26" s="29">
        <v>0</v>
      </c>
      <c r="AP26" s="29">
        <v>85200</v>
      </c>
      <c r="AQ26" s="29">
        <v>0</v>
      </c>
      <c r="AR26" s="29">
        <v>0</v>
      </c>
      <c r="AS26" s="29">
        <v>0</v>
      </c>
      <c r="AT26" s="29">
        <v>0</v>
      </c>
      <c r="AU26" s="29">
        <v>0</v>
      </c>
      <c r="AV26" s="29">
        <v>0</v>
      </c>
      <c r="AW26" s="29">
        <v>0</v>
      </c>
      <c r="AX26" s="29">
        <v>0</v>
      </c>
      <c r="AY26" s="29">
        <v>0</v>
      </c>
      <c r="AZ26" s="29">
        <v>0</v>
      </c>
      <c r="BA26" s="29">
        <v>0</v>
      </c>
      <c r="BB26" s="29">
        <v>0</v>
      </c>
      <c r="BC26" s="29">
        <v>0</v>
      </c>
      <c r="BD26" s="29">
        <v>0</v>
      </c>
      <c r="BE26" s="29">
        <v>0</v>
      </c>
      <c r="BF26" s="29">
        <v>0</v>
      </c>
      <c r="BG26" s="29">
        <v>0</v>
      </c>
      <c r="BH26" s="29">
        <v>0</v>
      </c>
      <c r="BI26" s="29">
        <v>0</v>
      </c>
      <c r="BJ26" s="29">
        <v>0</v>
      </c>
      <c r="BK26" s="29">
        <v>0</v>
      </c>
      <c r="BL26" s="29">
        <v>0</v>
      </c>
      <c r="BM26" s="29">
        <v>0</v>
      </c>
      <c r="BN26" s="29">
        <v>0</v>
      </c>
      <c r="BO26" s="29">
        <v>0</v>
      </c>
      <c r="BP26" s="29">
        <v>0</v>
      </c>
      <c r="BQ26" s="29">
        <v>0</v>
      </c>
      <c r="BR26" s="29">
        <v>0</v>
      </c>
      <c r="BS26" s="29">
        <v>0</v>
      </c>
      <c r="BT26" s="29">
        <v>0</v>
      </c>
      <c r="BU26" s="29">
        <v>0</v>
      </c>
      <c r="BV26" s="29">
        <v>0</v>
      </c>
      <c r="BW26" s="29">
        <v>0</v>
      </c>
      <c r="BX26" s="29">
        <v>0</v>
      </c>
      <c r="BY26" s="29">
        <v>0</v>
      </c>
      <c r="BZ26" s="29">
        <v>0</v>
      </c>
      <c r="CA26" s="29">
        <v>0</v>
      </c>
      <c r="CB26" s="29">
        <v>0</v>
      </c>
      <c r="CC26" s="29">
        <v>0</v>
      </c>
      <c r="CD26" s="29">
        <v>0</v>
      </c>
      <c r="CE26" s="29">
        <v>0</v>
      </c>
      <c r="CF26" s="29">
        <v>0</v>
      </c>
      <c r="CG26" s="29">
        <v>0</v>
      </c>
      <c r="CH26" s="29">
        <v>0</v>
      </c>
      <c r="CI26" s="29">
        <v>0</v>
      </c>
      <c r="CJ26" s="29">
        <v>0</v>
      </c>
      <c r="CK26" s="29">
        <v>0</v>
      </c>
      <c r="CL26" s="29">
        <v>0</v>
      </c>
      <c r="CM26" s="29">
        <v>0</v>
      </c>
      <c r="CN26" s="29">
        <v>0</v>
      </c>
      <c r="CO26" s="29">
        <v>0</v>
      </c>
      <c r="CP26" s="29">
        <v>0</v>
      </c>
      <c r="CQ26" s="29">
        <v>0</v>
      </c>
      <c r="CR26" s="29">
        <v>0</v>
      </c>
      <c r="CS26" s="29">
        <v>0</v>
      </c>
      <c r="CT26" s="29">
        <v>0</v>
      </c>
      <c r="CU26" s="29">
        <v>0</v>
      </c>
      <c r="CV26" s="29">
        <v>0</v>
      </c>
      <c r="CW26" s="29">
        <v>0</v>
      </c>
      <c r="CX26" s="29">
        <v>0</v>
      </c>
      <c r="CY26" s="29">
        <v>0</v>
      </c>
      <c r="CZ26" s="29">
        <v>0</v>
      </c>
      <c r="DA26" s="29">
        <v>0</v>
      </c>
      <c r="DB26" s="29">
        <v>0</v>
      </c>
      <c r="DC26" s="29">
        <v>0</v>
      </c>
      <c r="DD26" s="29">
        <v>0</v>
      </c>
      <c r="DE26" s="29">
        <v>0</v>
      </c>
      <c r="DF26" s="29">
        <v>0</v>
      </c>
      <c r="DG26" s="29">
        <v>0</v>
      </c>
      <c r="DH26" s="29">
        <v>0</v>
      </c>
      <c r="DI26" s="29">
        <v>0</v>
      </c>
      <c r="DJ26" s="29">
        <v>0</v>
      </c>
      <c r="DK26" s="29">
        <v>0</v>
      </c>
      <c r="DL26" s="29">
        <v>0</v>
      </c>
      <c r="DM26" s="29">
        <v>0</v>
      </c>
      <c r="DN26" s="29">
        <v>0</v>
      </c>
      <c r="DO26" s="29">
        <v>0</v>
      </c>
      <c r="DP26" s="29">
        <v>0</v>
      </c>
      <c r="DQ26" s="29">
        <v>0</v>
      </c>
      <c r="DR26" s="29">
        <v>0</v>
      </c>
      <c r="DS26" s="29">
        <v>0</v>
      </c>
      <c r="DT26" s="29">
        <v>0</v>
      </c>
      <c r="DU26" s="29">
        <v>0</v>
      </c>
      <c r="DV26" s="29">
        <v>0</v>
      </c>
      <c r="DW26" s="29">
        <v>0</v>
      </c>
      <c r="DX26" s="29">
        <v>0</v>
      </c>
      <c r="DY26" s="29">
        <v>0</v>
      </c>
      <c r="DZ26" s="29">
        <v>0</v>
      </c>
      <c r="EA26" s="29">
        <v>0</v>
      </c>
      <c r="EB26" s="29">
        <v>0</v>
      </c>
      <c r="EC26" s="29">
        <v>0</v>
      </c>
      <c r="ED26" s="29">
        <v>0</v>
      </c>
      <c r="EE26" s="29">
        <v>0</v>
      </c>
      <c r="EF26" s="29">
        <v>0</v>
      </c>
      <c r="EG26" s="29">
        <v>0</v>
      </c>
      <c r="EH26" s="29">
        <v>0</v>
      </c>
      <c r="EI26" s="29">
        <v>0</v>
      </c>
      <c r="EJ26" s="29">
        <v>0</v>
      </c>
      <c r="EK26" s="29">
        <v>0</v>
      </c>
      <c r="EL26" s="29">
        <v>0</v>
      </c>
      <c r="EM26" s="29">
        <v>0</v>
      </c>
      <c r="EN26" s="29">
        <v>0</v>
      </c>
      <c r="EO26" s="29">
        <v>0</v>
      </c>
      <c r="EP26" s="29">
        <v>0</v>
      </c>
      <c r="EQ26" s="29">
        <v>0</v>
      </c>
      <c r="ER26" s="29">
        <v>0</v>
      </c>
      <c r="ES26" s="29">
        <v>0</v>
      </c>
      <c r="ET26" s="29">
        <v>0</v>
      </c>
      <c r="EU26" s="29">
        <v>0</v>
      </c>
      <c r="EV26" s="29">
        <v>0</v>
      </c>
      <c r="EW26" s="29">
        <v>0</v>
      </c>
      <c r="EX26" s="29">
        <v>0</v>
      </c>
      <c r="EY26" s="29">
        <v>0</v>
      </c>
      <c r="EZ26" s="29">
        <v>0</v>
      </c>
      <c r="FA26" s="29">
        <v>0</v>
      </c>
      <c r="FB26" s="29">
        <v>0</v>
      </c>
      <c r="FC26" s="29">
        <v>0</v>
      </c>
      <c r="FD26" s="29">
        <v>0</v>
      </c>
      <c r="FE26" s="29">
        <v>0</v>
      </c>
      <c r="FF26" s="29">
        <v>0</v>
      </c>
      <c r="FG26" s="29">
        <v>0</v>
      </c>
      <c r="FH26" s="29">
        <v>0</v>
      </c>
      <c r="FI26" s="29">
        <v>0</v>
      </c>
      <c r="FJ26" s="29">
        <v>0</v>
      </c>
      <c r="FK26" s="29">
        <v>0</v>
      </c>
      <c r="FL26" s="29">
        <v>0</v>
      </c>
      <c r="FM26" s="29">
        <v>0</v>
      </c>
      <c r="FN26" s="29">
        <v>0</v>
      </c>
      <c r="FO26" s="29">
        <v>0</v>
      </c>
      <c r="FP26" s="29">
        <v>0</v>
      </c>
      <c r="FQ26" s="29">
        <v>0</v>
      </c>
      <c r="FR26" s="29">
        <v>0</v>
      </c>
      <c r="FS26" s="29">
        <v>0</v>
      </c>
      <c r="FT26" s="29">
        <v>0</v>
      </c>
      <c r="FU26" s="29">
        <v>0</v>
      </c>
      <c r="FV26" s="29">
        <v>0</v>
      </c>
      <c r="FW26" s="29">
        <v>0</v>
      </c>
      <c r="FX26" s="29">
        <v>0</v>
      </c>
      <c r="FY26" s="29">
        <v>0</v>
      </c>
      <c r="FZ26" s="29">
        <v>0</v>
      </c>
      <c r="GA26" s="29">
        <v>0</v>
      </c>
      <c r="GB26" s="29">
        <v>0</v>
      </c>
      <c r="GC26" s="29">
        <v>0</v>
      </c>
      <c r="GD26" s="29">
        <v>0</v>
      </c>
      <c r="GE26" s="29">
        <v>0</v>
      </c>
      <c r="GF26" s="29">
        <v>0</v>
      </c>
      <c r="GG26" s="29">
        <v>0</v>
      </c>
      <c r="GH26" s="29">
        <v>0</v>
      </c>
      <c r="GI26" s="206">
        <f>SUM(K26:V26)</f>
        <v>0</v>
      </c>
      <c r="GJ26" s="206">
        <f>SUM(T26:AE26)</f>
        <v>0</v>
      </c>
      <c r="GK26" s="206">
        <f>SUM(AF26:AQ26)</f>
        <v>85200</v>
      </c>
      <c r="GL26" s="206">
        <f>SUM(AR26:BC26)</f>
        <v>0</v>
      </c>
      <c r="GM26" s="206">
        <f>SUM(BD26:BO26)</f>
        <v>0</v>
      </c>
      <c r="GN26" s="206">
        <f>SUM(BP26:CA26)</f>
        <v>0</v>
      </c>
      <c r="GO26" s="206">
        <f>SUM(CB26:CM26)</f>
        <v>0</v>
      </c>
      <c r="GP26" s="206">
        <f>SUM(CN26:CY26)</f>
        <v>0</v>
      </c>
      <c r="GQ26" s="206">
        <f>SUM(CZ26:DK26)</f>
        <v>0</v>
      </c>
      <c r="GR26" s="206">
        <f>SUM(DL26:DW26)</f>
        <v>0</v>
      </c>
      <c r="GS26" s="206">
        <f>SUM(DX26:EI26)</f>
        <v>0</v>
      </c>
      <c r="GT26" s="206">
        <f>SUM(EJ26:EU26)</f>
        <v>0</v>
      </c>
      <c r="GU26" s="206">
        <f>SUM(EV26:FG26)</f>
        <v>0</v>
      </c>
      <c r="GV26" s="206">
        <f>SUM(FH26:FS26)</f>
        <v>0</v>
      </c>
      <c r="GW26" s="206">
        <f>SUM(FT26:GE26)</f>
        <v>0</v>
      </c>
    </row>
    <row r="27" spans="1:205" ht="18" customHeight="1" x14ac:dyDescent="0.35">
      <c r="A27" s="26" t="s">
        <v>36</v>
      </c>
      <c r="B27" s="26" t="s">
        <v>390</v>
      </c>
      <c r="C27" s="31"/>
      <c r="D27" s="31"/>
      <c r="E27" s="31"/>
      <c r="F27" s="31"/>
      <c r="G27" s="31"/>
      <c r="K27" s="32">
        <f>IF($E24="Active",K24,0)+IF($E25="Active",K25,0)+IF($E26="Active",K26,0)</f>
        <v>0</v>
      </c>
      <c r="L27" s="32">
        <f>IF($E24="Active",L24,0)+IF($E25="Active",L25,0)+IF($E26="Active",L26,0)</f>
        <v>0</v>
      </c>
      <c r="M27" s="32">
        <f t="shared" ref="M27:BX27" si="14">IF($E24="Active",M24,0)+IF($E25="Active",M25,0)+IF($E26="Active",M26,0)</f>
        <v>0</v>
      </c>
      <c r="N27" s="32">
        <f t="shared" si="14"/>
        <v>16200</v>
      </c>
      <c r="O27" s="32">
        <f t="shared" si="14"/>
        <v>0</v>
      </c>
      <c r="P27" s="32">
        <f t="shared" si="14"/>
        <v>16200</v>
      </c>
      <c r="Q27" s="32">
        <f t="shared" si="14"/>
        <v>0</v>
      </c>
      <c r="R27" s="32">
        <f t="shared" si="14"/>
        <v>0</v>
      </c>
      <c r="S27" s="32">
        <f t="shared" si="14"/>
        <v>0</v>
      </c>
      <c r="T27" s="32">
        <f t="shared" si="14"/>
        <v>0</v>
      </c>
      <c r="U27" s="32">
        <f t="shared" si="14"/>
        <v>0</v>
      </c>
      <c r="V27" s="32">
        <f t="shared" si="14"/>
        <v>0</v>
      </c>
      <c r="W27" s="32">
        <f t="shared" si="14"/>
        <v>0</v>
      </c>
      <c r="X27" s="32">
        <f t="shared" si="14"/>
        <v>0</v>
      </c>
      <c r="Y27" s="32">
        <f t="shared" si="14"/>
        <v>0</v>
      </c>
      <c r="Z27" s="32">
        <f t="shared" si="14"/>
        <v>0</v>
      </c>
      <c r="AA27" s="32">
        <f t="shared" si="14"/>
        <v>0</v>
      </c>
      <c r="AB27" s="32">
        <f t="shared" si="14"/>
        <v>0</v>
      </c>
      <c r="AC27" s="32">
        <f t="shared" si="14"/>
        <v>0</v>
      </c>
      <c r="AD27" s="32">
        <f t="shared" si="14"/>
        <v>0</v>
      </c>
      <c r="AE27" s="32">
        <f t="shared" si="14"/>
        <v>0</v>
      </c>
      <c r="AF27" s="32">
        <f t="shared" si="14"/>
        <v>0</v>
      </c>
      <c r="AG27" s="32">
        <f t="shared" si="14"/>
        <v>0</v>
      </c>
      <c r="AH27" s="32">
        <f t="shared" si="14"/>
        <v>0</v>
      </c>
      <c r="AI27" s="32">
        <f t="shared" si="14"/>
        <v>0</v>
      </c>
      <c r="AJ27" s="32">
        <f t="shared" si="14"/>
        <v>0</v>
      </c>
      <c r="AK27" s="32">
        <f t="shared" si="14"/>
        <v>0</v>
      </c>
      <c r="AL27" s="32">
        <f t="shared" si="14"/>
        <v>0</v>
      </c>
      <c r="AM27" s="32">
        <f t="shared" si="14"/>
        <v>0</v>
      </c>
      <c r="AN27" s="32">
        <f t="shared" si="14"/>
        <v>0</v>
      </c>
      <c r="AO27" s="32">
        <f t="shared" si="14"/>
        <v>0</v>
      </c>
      <c r="AP27" s="32">
        <f t="shared" si="14"/>
        <v>85200</v>
      </c>
      <c r="AQ27" s="32">
        <f t="shared" si="14"/>
        <v>0</v>
      </c>
      <c r="AR27" s="32">
        <f t="shared" si="14"/>
        <v>0</v>
      </c>
      <c r="AS27" s="32">
        <f t="shared" si="14"/>
        <v>0</v>
      </c>
      <c r="AT27" s="32">
        <f t="shared" si="14"/>
        <v>0</v>
      </c>
      <c r="AU27" s="32">
        <f t="shared" si="14"/>
        <v>0</v>
      </c>
      <c r="AV27" s="32">
        <f t="shared" si="14"/>
        <v>0</v>
      </c>
      <c r="AW27" s="32">
        <f t="shared" si="14"/>
        <v>0</v>
      </c>
      <c r="AX27" s="32">
        <f t="shared" si="14"/>
        <v>0</v>
      </c>
      <c r="AY27" s="32">
        <f t="shared" si="14"/>
        <v>0</v>
      </c>
      <c r="AZ27" s="32">
        <f t="shared" si="14"/>
        <v>0</v>
      </c>
      <c r="BA27" s="32">
        <f t="shared" si="14"/>
        <v>0</v>
      </c>
      <c r="BB27" s="32">
        <f t="shared" si="14"/>
        <v>0</v>
      </c>
      <c r="BC27" s="32">
        <f t="shared" si="14"/>
        <v>0</v>
      </c>
      <c r="BD27" s="32">
        <f t="shared" si="14"/>
        <v>0</v>
      </c>
      <c r="BE27" s="32">
        <f t="shared" si="14"/>
        <v>0</v>
      </c>
      <c r="BF27" s="32">
        <f t="shared" si="14"/>
        <v>0</v>
      </c>
      <c r="BG27" s="32">
        <f t="shared" si="14"/>
        <v>0</v>
      </c>
      <c r="BH27" s="32">
        <f t="shared" si="14"/>
        <v>0</v>
      </c>
      <c r="BI27" s="32">
        <f t="shared" si="14"/>
        <v>0</v>
      </c>
      <c r="BJ27" s="32">
        <f t="shared" si="14"/>
        <v>0</v>
      </c>
      <c r="BK27" s="32">
        <f t="shared" si="14"/>
        <v>0</v>
      </c>
      <c r="BL27" s="32">
        <f t="shared" si="14"/>
        <v>0</v>
      </c>
      <c r="BM27" s="32">
        <f t="shared" si="14"/>
        <v>0</v>
      </c>
      <c r="BN27" s="32">
        <f t="shared" si="14"/>
        <v>0</v>
      </c>
      <c r="BO27" s="32">
        <f t="shared" si="14"/>
        <v>0</v>
      </c>
      <c r="BP27" s="32">
        <f t="shared" si="14"/>
        <v>0</v>
      </c>
      <c r="BQ27" s="32">
        <f t="shared" si="14"/>
        <v>0</v>
      </c>
      <c r="BR27" s="32">
        <f t="shared" si="14"/>
        <v>0</v>
      </c>
      <c r="BS27" s="32">
        <f t="shared" si="14"/>
        <v>0</v>
      </c>
      <c r="BT27" s="32">
        <f t="shared" si="14"/>
        <v>0</v>
      </c>
      <c r="BU27" s="32">
        <f t="shared" si="14"/>
        <v>0</v>
      </c>
      <c r="BV27" s="32">
        <f t="shared" si="14"/>
        <v>0</v>
      </c>
      <c r="BW27" s="32">
        <f t="shared" si="14"/>
        <v>0</v>
      </c>
      <c r="BX27" s="32">
        <f t="shared" si="14"/>
        <v>0</v>
      </c>
      <c r="BY27" s="32">
        <f t="shared" ref="BY27:EJ27" si="15">IF($E24="Active",BY24,0)+IF($E25="Active",BY25,0)+IF($E26="Active",BY26,0)</f>
        <v>0</v>
      </c>
      <c r="BZ27" s="32">
        <f t="shared" si="15"/>
        <v>0</v>
      </c>
      <c r="CA27" s="32">
        <f t="shared" si="15"/>
        <v>0</v>
      </c>
      <c r="CB27" s="32">
        <f t="shared" si="15"/>
        <v>0</v>
      </c>
      <c r="CC27" s="32">
        <f t="shared" si="15"/>
        <v>0</v>
      </c>
      <c r="CD27" s="32">
        <f t="shared" si="15"/>
        <v>0</v>
      </c>
      <c r="CE27" s="32">
        <f t="shared" si="15"/>
        <v>0</v>
      </c>
      <c r="CF27" s="32">
        <f t="shared" si="15"/>
        <v>0</v>
      </c>
      <c r="CG27" s="32">
        <f t="shared" si="15"/>
        <v>0</v>
      </c>
      <c r="CH27" s="32">
        <f t="shared" si="15"/>
        <v>0</v>
      </c>
      <c r="CI27" s="32">
        <f t="shared" si="15"/>
        <v>0</v>
      </c>
      <c r="CJ27" s="32">
        <f t="shared" si="15"/>
        <v>0</v>
      </c>
      <c r="CK27" s="32">
        <f t="shared" si="15"/>
        <v>0</v>
      </c>
      <c r="CL27" s="32">
        <f t="shared" si="15"/>
        <v>0</v>
      </c>
      <c r="CM27" s="32">
        <f t="shared" si="15"/>
        <v>0</v>
      </c>
      <c r="CN27" s="32">
        <f t="shared" si="15"/>
        <v>0</v>
      </c>
      <c r="CO27" s="32">
        <f t="shared" si="15"/>
        <v>0</v>
      </c>
      <c r="CP27" s="32">
        <f t="shared" si="15"/>
        <v>0</v>
      </c>
      <c r="CQ27" s="32">
        <f t="shared" si="15"/>
        <v>0</v>
      </c>
      <c r="CR27" s="32">
        <f t="shared" si="15"/>
        <v>0</v>
      </c>
      <c r="CS27" s="32">
        <f t="shared" si="15"/>
        <v>0</v>
      </c>
      <c r="CT27" s="32">
        <f t="shared" si="15"/>
        <v>0</v>
      </c>
      <c r="CU27" s="32">
        <f t="shared" si="15"/>
        <v>0</v>
      </c>
      <c r="CV27" s="32">
        <f t="shared" si="15"/>
        <v>0</v>
      </c>
      <c r="CW27" s="32">
        <f t="shared" si="15"/>
        <v>0</v>
      </c>
      <c r="CX27" s="32">
        <f t="shared" si="15"/>
        <v>0</v>
      </c>
      <c r="CY27" s="32">
        <f t="shared" si="15"/>
        <v>0</v>
      </c>
      <c r="CZ27" s="32">
        <f t="shared" si="15"/>
        <v>0</v>
      </c>
      <c r="DA27" s="32">
        <f t="shared" si="15"/>
        <v>0</v>
      </c>
      <c r="DB27" s="32">
        <f t="shared" si="15"/>
        <v>0</v>
      </c>
      <c r="DC27" s="32">
        <f t="shared" si="15"/>
        <v>0</v>
      </c>
      <c r="DD27" s="32">
        <f t="shared" si="15"/>
        <v>0</v>
      </c>
      <c r="DE27" s="32">
        <f t="shared" si="15"/>
        <v>0</v>
      </c>
      <c r="DF27" s="32">
        <f t="shared" si="15"/>
        <v>0</v>
      </c>
      <c r="DG27" s="32">
        <f t="shared" si="15"/>
        <v>0</v>
      </c>
      <c r="DH27" s="32">
        <f t="shared" si="15"/>
        <v>0</v>
      </c>
      <c r="DI27" s="32">
        <f t="shared" si="15"/>
        <v>0</v>
      </c>
      <c r="DJ27" s="32">
        <f t="shared" si="15"/>
        <v>0</v>
      </c>
      <c r="DK27" s="32">
        <f t="shared" si="15"/>
        <v>0</v>
      </c>
      <c r="DL27" s="32">
        <f t="shared" si="15"/>
        <v>0</v>
      </c>
      <c r="DM27" s="32">
        <f t="shared" si="15"/>
        <v>0</v>
      </c>
      <c r="DN27" s="32">
        <f t="shared" si="15"/>
        <v>0</v>
      </c>
      <c r="DO27" s="32">
        <f t="shared" si="15"/>
        <v>0</v>
      </c>
      <c r="DP27" s="32">
        <f t="shared" si="15"/>
        <v>0</v>
      </c>
      <c r="DQ27" s="32">
        <f t="shared" si="15"/>
        <v>0</v>
      </c>
      <c r="DR27" s="32">
        <f t="shared" si="15"/>
        <v>0</v>
      </c>
      <c r="DS27" s="32">
        <f t="shared" si="15"/>
        <v>0</v>
      </c>
      <c r="DT27" s="32">
        <f t="shared" si="15"/>
        <v>0</v>
      </c>
      <c r="DU27" s="32">
        <f t="shared" si="15"/>
        <v>0</v>
      </c>
      <c r="DV27" s="32">
        <f t="shared" si="15"/>
        <v>0</v>
      </c>
      <c r="DW27" s="32">
        <f t="shared" si="15"/>
        <v>0</v>
      </c>
      <c r="DX27" s="32">
        <f t="shared" si="15"/>
        <v>0</v>
      </c>
      <c r="DY27" s="32">
        <f t="shared" si="15"/>
        <v>0</v>
      </c>
      <c r="DZ27" s="32">
        <f t="shared" si="15"/>
        <v>0</v>
      </c>
      <c r="EA27" s="32">
        <f t="shared" si="15"/>
        <v>0</v>
      </c>
      <c r="EB27" s="32">
        <f t="shared" si="15"/>
        <v>0</v>
      </c>
      <c r="EC27" s="32">
        <f t="shared" si="15"/>
        <v>0</v>
      </c>
      <c r="ED27" s="32">
        <f t="shared" si="15"/>
        <v>0</v>
      </c>
      <c r="EE27" s="32">
        <f t="shared" si="15"/>
        <v>0</v>
      </c>
      <c r="EF27" s="32">
        <f t="shared" si="15"/>
        <v>0</v>
      </c>
      <c r="EG27" s="32">
        <f t="shared" si="15"/>
        <v>0</v>
      </c>
      <c r="EH27" s="32">
        <f t="shared" si="15"/>
        <v>0</v>
      </c>
      <c r="EI27" s="32">
        <f t="shared" si="15"/>
        <v>0</v>
      </c>
      <c r="EJ27" s="32">
        <f t="shared" si="15"/>
        <v>0</v>
      </c>
      <c r="EK27" s="32">
        <f t="shared" ref="EK27:GH27" si="16">IF($E24="Active",EK24,0)+IF($E25="Active",EK25,0)+IF($E26="Active",EK26,0)</f>
        <v>0</v>
      </c>
      <c r="EL27" s="32">
        <f t="shared" si="16"/>
        <v>0</v>
      </c>
      <c r="EM27" s="32">
        <f t="shared" si="16"/>
        <v>0</v>
      </c>
      <c r="EN27" s="32">
        <f t="shared" si="16"/>
        <v>0</v>
      </c>
      <c r="EO27" s="32">
        <f t="shared" si="16"/>
        <v>0</v>
      </c>
      <c r="EP27" s="32">
        <f t="shared" si="16"/>
        <v>0</v>
      </c>
      <c r="EQ27" s="32">
        <f t="shared" si="16"/>
        <v>0</v>
      </c>
      <c r="ER27" s="32">
        <f t="shared" si="16"/>
        <v>0</v>
      </c>
      <c r="ES27" s="32">
        <f t="shared" si="16"/>
        <v>0</v>
      </c>
      <c r="ET27" s="32">
        <f t="shared" si="16"/>
        <v>0</v>
      </c>
      <c r="EU27" s="32">
        <f t="shared" si="16"/>
        <v>0</v>
      </c>
      <c r="EV27" s="32">
        <f t="shared" si="16"/>
        <v>0</v>
      </c>
      <c r="EW27" s="32">
        <f t="shared" si="16"/>
        <v>0</v>
      </c>
      <c r="EX27" s="32">
        <f t="shared" si="16"/>
        <v>0</v>
      </c>
      <c r="EY27" s="32">
        <f t="shared" si="16"/>
        <v>0</v>
      </c>
      <c r="EZ27" s="32">
        <f t="shared" si="16"/>
        <v>0</v>
      </c>
      <c r="FA27" s="32">
        <f t="shared" si="16"/>
        <v>0</v>
      </c>
      <c r="FB27" s="32">
        <f t="shared" si="16"/>
        <v>0</v>
      </c>
      <c r="FC27" s="32">
        <f t="shared" si="16"/>
        <v>0</v>
      </c>
      <c r="FD27" s="32">
        <f t="shared" si="16"/>
        <v>0</v>
      </c>
      <c r="FE27" s="32">
        <f t="shared" si="16"/>
        <v>0</v>
      </c>
      <c r="FF27" s="32">
        <f t="shared" si="16"/>
        <v>0</v>
      </c>
      <c r="FG27" s="32">
        <f t="shared" si="16"/>
        <v>0</v>
      </c>
      <c r="FH27" s="32">
        <f t="shared" si="16"/>
        <v>0</v>
      </c>
      <c r="FI27" s="32">
        <f t="shared" si="16"/>
        <v>0</v>
      </c>
      <c r="FJ27" s="32">
        <f t="shared" si="16"/>
        <v>0</v>
      </c>
      <c r="FK27" s="32">
        <f t="shared" si="16"/>
        <v>0</v>
      </c>
      <c r="FL27" s="32">
        <f t="shared" si="16"/>
        <v>0</v>
      </c>
      <c r="FM27" s="32">
        <f t="shared" si="16"/>
        <v>0</v>
      </c>
      <c r="FN27" s="32">
        <f t="shared" si="16"/>
        <v>0</v>
      </c>
      <c r="FO27" s="32">
        <f t="shared" si="16"/>
        <v>0</v>
      </c>
      <c r="FP27" s="32">
        <f t="shared" si="16"/>
        <v>0</v>
      </c>
      <c r="FQ27" s="32">
        <f t="shared" si="16"/>
        <v>0</v>
      </c>
      <c r="FR27" s="32">
        <f t="shared" si="16"/>
        <v>0</v>
      </c>
      <c r="FS27" s="32">
        <f t="shared" si="16"/>
        <v>0</v>
      </c>
      <c r="FT27" s="32">
        <f t="shared" si="16"/>
        <v>0</v>
      </c>
      <c r="FU27" s="32">
        <f t="shared" si="16"/>
        <v>0</v>
      </c>
      <c r="FV27" s="32">
        <f t="shared" si="16"/>
        <v>0</v>
      </c>
      <c r="FW27" s="32">
        <f t="shared" si="16"/>
        <v>0</v>
      </c>
      <c r="FX27" s="32">
        <f t="shared" si="16"/>
        <v>0</v>
      </c>
      <c r="FY27" s="32">
        <f t="shared" si="16"/>
        <v>0</v>
      </c>
      <c r="FZ27" s="32">
        <f t="shared" si="16"/>
        <v>0</v>
      </c>
      <c r="GA27" s="32">
        <f t="shared" si="16"/>
        <v>0</v>
      </c>
      <c r="GB27" s="32">
        <f t="shared" si="16"/>
        <v>0</v>
      </c>
      <c r="GC27" s="32">
        <f t="shared" si="16"/>
        <v>0</v>
      </c>
      <c r="GD27" s="32">
        <f t="shared" si="16"/>
        <v>0</v>
      </c>
      <c r="GE27" s="32">
        <f t="shared" si="16"/>
        <v>0</v>
      </c>
      <c r="GF27" s="32">
        <f t="shared" si="16"/>
        <v>0</v>
      </c>
      <c r="GG27" s="32">
        <f t="shared" si="16"/>
        <v>0</v>
      </c>
      <c r="GH27" s="32">
        <f t="shared" si="16"/>
        <v>0</v>
      </c>
      <c r="GI27" s="32">
        <f>IF(E24="Active",GF24,0)+IF(E25="Active",GF25,0)+IF(E26="Active",GF26,0)</f>
        <v>0</v>
      </c>
      <c r="GJ27" s="32">
        <f>IF(E24="Active",GG24,0)+IF(E25="Active",GG25,0)+IF(E26="Active",GG26,0)</f>
        <v>0</v>
      </c>
      <c r="GK27" s="32">
        <f>IF(E24="Active",GH24,0)+IF(E25="Active",GH25,0)+IF(E26="Active",GH26,0)</f>
        <v>0</v>
      </c>
      <c r="GL27" s="32">
        <f>IF(E24="Active",GI24,0)+IF(E25="Active",GI25,0)+IF(E26="Active",GI26,0)</f>
        <v>32400</v>
      </c>
      <c r="GM27" s="32">
        <f>IF(E24="Active",GJ24,0)+IF(E25="Active",GJ25,0)+IF(E26="Active",GJ26,0)</f>
        <v>0</v>
      </c>
      <c r="GN27" s="32">
        <f>IF(E24="Active",GK24,0)+IF(E25="Active",GK25,0)+IF(E26="Active",GK26,0)</f>
        <v>85200</v>
      </c>
      <c r="GO27" s="32">
        <f>IF(E24="Active",GL24,0)+IF(E25="Active",GL25,0)+IF(E26="Active",GL26,0)</f>
        <v>0</v>
      </c>
      <c r="GP27" s="32">
        <f>IF(E24="Active",GM24,0)+IF(E25="Active",GM25,0)+IF(E26="Active",GM26,0)</f>
        <v>0</v>
      </c>
      <c r="GQ27" s="32">
        <f>IF(E24="Active",GN24,0)+IF(E25="Active",GN25,0)+IF(E26="Active",GN26,0)</f>
        <v>0</v>
      </c>
      <c r="GR27" s="32">
        <f>IF(E24="Active",GO24,0)+IF(E25="Active",GO25,0)+IF(E26="Active",GO26,0)</f>
        <v>0</v>
      </c>
      <c r="GS27" s="32">
        <f>IF(E24="Active",GP24,0)+IF(E25="Active",GP25,0)+IF(E26="Active",GP26,0)</f>
        <v>0</v>
      </c>
      <c r="GT27" s="32">
        <f>IF(E24="Active",GQ24,0)+IF(E25="Active",GQ25,0)+IF(E26="Active",GQ26,0)</f>
        <v>0</v>
      </c>
      <c r="GU27" s="32">
        <f>IF(E24="Active",GR24,0)+IF(E25="Active",GR25,0)+IF(E26="Active",GR26,0)</f>
        <v>0</v>
      </c>
      <c r="GV27" s="32">
        <f>IF(E24="Active",GS24,0)+IF(E25="Active",GS25,0)+IF(E26="Active",GS26,0)</f>
        <v>0</v>
      </c>
      <c r="GW27" s="32">
        <f>IF(E24="Active",GT24,0)+IF(E25="Active",GT25,0)+IF(E26="Active",GT26,0)</f>
        <v>0</v>
      </c>
    </row>
    <row r="29" spans="1:205" ht="22" customHeight="1" x14ac:dyDescent="0.35">
      <c r="A29" s="392" t="s">
        <v>392</v>
      </c>
      <c r="B29" s="393"/>
      <c r="C29" s="393"/>
      <c r="D29" s="393"/>
      <c r="E29" s="393"/>
      <c r="F29" s="393"/>
      <c r="G29" s="393"/>
      <c r="H29" s="393"/>
      <c r="I29" s="393"/>
      <c r="J29" s="393"/>
      <c r="K29" s="393"/>
      <c r="L29" s="393"/>
      <c r="M29" s="393"/>
      <c r="N29" s="393"/>
      <c r="O29" s="393"/>
      <c r="P29" s="393"/>
      <c r="Q29" s="393"/>
      <c r="R29" s="393"/>
      <c r="S29" s="393"/>
      <c r="T29" s="393"/>
      <c r="U29" s="393"/>
      <c r="V29" s="393"/>
      <c r="W29" s="393"/>
      <c r="X29" s="393"/>
      <c r="Y29" s="393"/>
      <c r="Z29" s="393"/>
      <c r="AA29" s="393"/>
      <c r="AB29" s="393"/>
      <c r="AC29" s="393"/>
      <c r="AD29" s="393"/>
      <c r="AE29" s="393"/>
      <c r="AF29" s="393"/>
      <c r="AG29" s="393"/>
      <c r="AH29" s="393"/>
      <c r="AI29" s="393"/>
      <c r="AJ29" s="393"/>
      <c r="AK29" s="393"/>
      <c r="AL29" s="393"/>
      <c r="AM29" s="393"/>
      <c r="AN29" s="393"/>
      <c r="AO29" s="393"/>
      <c r="AP29" s="393"/>
      <c r="AQ29" s="393"/>
      <c r="AR29" s="393"/>
      <c r="AS29" s="393"/>
      <c r="AT29" s="393"/>
      <c r="AU29" s="393"/>
      <c r="AV29" s="393"/>
      <c r="AW29" s="393"/>
      <c r="AX29" s="393"/>
      <c r="AY29" s="393"/>
      <c r="AZ29" s="393"/>
      <c r="BA29" s="393"/>
      <c r="BB29" s="393"/>
      <c r="BC29" s="393"/>
      <c r="BD29" s="393"/>
      <c r="BE29" s="393"/>
      <c r="BF29" s="393"/>
      <c r="BG29" s="393"/>
      <c r="BH29" s="393"/>
      <c r="BI29" s="393"/>
      <c r="BJ29" s="393"/>
      <c r="BK29" s="393"/>
      <c r="BL29" s="393"/>
      <c r="BM29" s="393"/>
      <c r="BN29" s="393"/>
      <c r="BO29" s="393"/>
      <c r="BP29" s="393"/>
      <c r="BQ29" s="393"/>
      <c r="BR29" s="393"/>
      <c r="BS29" s="393"/>
      <c r="BT29" s="393"/>
      <c r="BU29" s="393"/>
      <c r="BV29" s="393"/>
      <c r="BW29" s="393"/>
      <c r="BX29" s="393"/>
      <c r="BY29" s="393"/>
      <c r="BZ29" s="393"/>
      <c r="CA29" s="393"/>
      <c r="CB29" s="393"/>
      <c r="CC29" s="393"/>
      <c r="CD29" s="393"/>
      <c r="CE29" s="393"/>
      <c r="CF29" s="393"/>
      <c r="CG29" s="393"/>
      <c r="CH29" s="393"/>
      <c r="CI29" s="393"/>
      <c r="CJ29" s="393"/>
      <c r="CK29" s="393"/>
      <c r="CL29" s="393"/>
      <c r="CM29" s="393"/>
      <c r="CN29" s="393"/>
      <c r="CO29" s="393"/>
      <c r="CP29" s="393"/>
      <c r="CQ29" s="393"/>
      <c r="CR29" s="393"/>
      <c r="CS29" s="393"/>
      <c r="CT29" s="393"/>
      <c r="CU29" s="393"/>
      <c r="CV29" s="393"/>
      <c r="CW29" s="393"/>
      <c r="CX29" s="393"/>
      <c r="CY29" s="393"/>
      <c r="CZ29" s="393"/>
      <c r="DA29" s="393"/>
      <c r="DB29" s="393"/>
      <c r="DC29" s="393"/>
      <c r="DD29" s="393"/>
      <c r="DE29" s="393"/>
      <c r="DF29" s="393"/>
      <c r="DG29" s="393"/>
      <c r="DH29" s="393"/>
      <c r="DI29" s="393"/>
      <c r="DJ29" s="393"/>
      <c r="DK29" s="393"/>
      <c r="DL29" s="393"/>
      <c r="DM29" s="393"/>
      <c r="DN29" s="393"/>
      <c r="DO29" s="393"/>
      <c r="DP29" s="393"/>
      <c r="DQ29" s="393"/>
      <c r="DR29" s="393"/>
      <c r="DS29" s="393"/>
      <c r="DT29" s="393"/>
      <c r="DU29" s="393"/>
      <c r="DV29" s="393"/>
      <c r="DW29" s="393"/>
      <c r="DX29" s="393"/>
      <c r="DY29" s="393"/>
      <c r="DZ29" s="393"/>
      <c r="EA29" s="393"/>
      <c r="EB29" s="393"/>
      <c r="EC29" s="393"/>
      <c r="ED29" s="393"/>
      <c r="EE29" s="393"/>
      <c r="EF29" s="393"/>
      <c r="EG29" s="393"/>
      <c r="EH29" s="393"/>
      <c r="EI29" s="393"/>
      <c r="EJ29" s="393"/>
      <c r="EK29" s="393"/>
      <c r="EL29" s="393"/>
      <c r="EM29" s="393"/>
      <c r="EN29" s="393"/>
      <c r="EO29" s="393"/>
      <c r="EP29" s="393"/>
      <c r="EQ29" s="393"/>
      <c r="ER29" s="393"/>
      <c r="ES29" s="393"/>
      <c r="ET29" s="393"/>
      <c r="EU29" s="393"/>
      <c r="EV29" s="393"/>
      <c r="EW29" s="393"/>
      <c r="EX29" s="393"/>
      <c r="EY29" s="393"/>
      <c r="EZ29" s="393"/>
      <c r="FA29" s="393"/>
      <c r="FB29" s="393"/>
      <c r="FC29" s="393"/>
      <c r="FD29" s="393"/>
      <c r="FE29" s="393"/>
      <c r="FF29" s="393"/>
      <c r="FG29" s="393"/>
      <c r="FH29" s="393"/>
      <c r="FI29" s="393"/>
      <c r="FJ29" s="393"/>
      <c r="FK29" s="393"/>
      <c r="FL29" s="393"/>
      <c r="FM29" s="393"/>
      <c r="FN29" s="393"/>
      <c r="FO29" s="393"/>
      <c r="FP29" s="393"/>
      <c r="FQ29" s="393"/>
      <c r="FR29" s="393"/>
      <c r="FS29" s="393"/>
      <c r="FT29" s="393"/>
      <c r="FU29" s="393"/>
      <c r="FV29" s="393"/>
      <c r="FW29" s="393"/>
      <c r="FX29" s="393"/>
      <c r="FY29" s="393"/>
      <c r="FZ29" s="393"/>
      <c r="GA29" s="393"/>
      <c r="GB29" s="393"/>
      <c r="GC29" s="393"/>
      <c r="GD29" s="393"/>
      <c r="GE29" s="393"/>
      <c r="GF29" s="393"/>
      <c r="GG29" s="393"/>
      <c r="GH29" s="393"/>
      <c r="GI29" s="393"/>
      <c r="GJ29" s="393"/>
      <c r="GK29" s="393"/>
      <c r="GL29" s="393"/>
      <c r="GM29" s="393"/>
      <c r="GN29" s="393"/>
      <c r="GO29" s="393"/>
      <c r="GP29" s="393"/>
      <c r="GQ29" s="393"/>
      <c r="GR29" s="393"/>
      <c r="GS29" s="393"/>
    </row>
    <row r="30" spans="1:205" ht="14" customHeight="1" x14ac:dyDescent="0.35">
      <c r="A30" s="10" t="s">
        <v>43</v>
      </c>
      <c r="B30" s="16" t="s">
        <v>44</v>
      </c>
      <c r="C30" s="12" t="s">
        <v>38</v>
      </c>
      <c r="D30" s="12" t="s">
        <v>29</v>
      </c>
      <c r="E30" s="21" t="str">
        <f>'Supplier Registry'!N15</f>
        <v>Active</v>
      </c>
      <c r="F30" s="21">
        <f>'Supplier Registry'!M15</f>
        <v>1</v>
      </c>
      <c r="G30" s="21">
        <f>'Supplier Registry'!E15</f>
        <v>10000</v>
      </c>
      <c r="H30" s="58">
        <f>'Supplier Registry'!P15</f>
        <v>9</v>
      </c>
      <c r="I30" s="74">
        <f>IFERROR(EDATE(Controls!B5,H30),"")</f>
        <v>46388</v>
      </c>
      <c r="J30" s="75">
        <f>IFERROR(EDATE(I30,-'Supplier Registry'!Q15),"")</f>
        <v>46357</v>
      </c>
      <c r="K30" s="29"/>
      <c r="L30" s="29"/>
      <c r="M30" s="29"/>
      <c r="N30" s="29">
        <v>20000</v>
      </c>
      <c r="O30" s="29">
        <v>20000</v>
      </c>
      <c r="P30" s="29">
        <v>30000</v>
      </c>
      <c r="Q30" s="29">
        <v>10000</v>
      </c>
      <c r="R30" s="29"/>
      <c r="S30" s="29"/>
      <c r="T30" s="29"/>
      <c r="U30" s="29"/>
      <c r="V30" s="29"/>
      <c r="W30" s="29">
        <v>0</v>
      </c>
      <c r="X30" s="29">
        <v>0</v>
      </c>
      <c r="Y30" s="29">
        <v>0</v>
      </c>
      <c r="Z30" s="29">
        <v>0</v>
      </c>
      <c r="AA30" s="29">
        <v>0</v>
      </c>
      <c r="AB30" s="29">
        <v>0</v>
      </c>
      <c r="AC30" s="29">
        <v>0</v>
      </c>
      <c r="AD30" s="29">
        <v>0</v>
      </c>
      <c r="AE30" s="29">
        <v>0</v>
      </c>
      <c r="AF30" s="29">
        <v>0</v>
      </c>
      <c r="AG30" s="29">
        <v>0</v>
      </c>
      <c r="AH30" s="29">
        <v>0</v>
      </c>
      <c r="AI30" s="29">
        <v>0</v>
      </c>
      <c r="AJ30" s="29">
        <v>0</v>
      </c>
      <c r="AK30" s="29">
        <v>0</v>
      </c>
      <c r="AL30" s="29">
        <v>0</v>
      </c>
      <c r="AM30" s="29">
        <v>0</v>
      </c>
      <c r="AN30" s="29">
        <v>0</v>
      </c>
      <c r="AO30" s="29">
        <v>0</v>
      </c>
      <c r="AP30" s="29">
        <v>0</v>
      </c>
      <c r="AQ30" s="29">
        <v>0</v>
      </c>
      <c r="AR30" s="29">
        <v>0</v>
      </c>
      <c r="AS30" s="29">
        <v>0</v>
      </c>
      <c r="AT30" s="29">
        <v>0</v>
      </c>
      <c r="AU30" s="29">
        <v>0</v>
      </c>
      <c r="AV30" s="29">
        <v>0</v>
      </c>
      <c r="AW30" s="29">
        <v>0</v>
      </c>
      <c r="AX30" s="29">
        <v>0</v>
      </c>
      <c r="AY30" s="29">
        <v>0</v>
      </c>
      <c r="AZ30" s="29">
        <v>0</v>
      </c>
      <c r="BA30" s="29">
        <v>0</v>
      </c>
      <c r="BB30" s="29">
        <v>0</v>
      </c>
      <c r="BC30" s="29">
        <v>0</v>
      </c>
      <c r="BD30" s="29">
        <v>0</v>
      </c>
      <c r="BE30" s="29">
        <v>0</v>
      </c>
      <c r="BF30" s="29">
        <v>0</v>
      </c>
      <c r="BG30" s="29">
        <v>0</v>
      </c>
      <c r="BH30" s="29">
        <v>0</v>
      </c>
      <c r="BI30" s="29">
        <v>0</v>
      </c>
      <c r="BJ30" s="29">
        <v>0</v>
      </c>
      <c r="BK30" s="29">
        <v>0</v>
      </c>
      <c r="BL30" s="29">
        <v>0</v>
      </c>
      <c r="BM30" s="29">
        <v>0</v>
      </c>
      <c r="BN30" s="29">
        <v>0</v>
      </c>
      <c r="BO30" s="29">
        <v>0</v>
      </c>
      <c r="BP30" s="29">
        <v>0</v>
      </c>
      <c r="BQ30" s="29">
        <v>0</v>
      </c>
      <c r="BR30" s="29">
        <v>0</v>
      </c>
      <c r="BS30" s="29">
        <v>0</v>
      </c>
      <c r="BT30" s="29">
        <v>0</v>
      </c>
      <c r="BU30" s="29">
        <v>0</v>
      </c>
      <c r="BV30" s="29">
        <v>0</v>
      </c>
      <c r="BW30" s="29">
        <v>0</v>
      </c>
      <c r="BX30" s="29">
        <v>0</v>
      </c>
      <c r="BY30" s="29">
        <v>0</v>
      </c>
      <c r="BZ30" s="29">
        <v>0</v>
      </c>
      <c r="CA30" s="29">
        <v>0</v>
      </c>
      <c r="CB30" s="29">
        <v>0</v>
      </c>
      <c r="CC30" s="29">
        <v>0</v>
      </c>
      <c r="CD30" s="29">
        <v>0</v>
      </c>
      <c r="CE30" s="29">
        <v>0</v>
      </c>
      <c r="CF30" s="29">
        <v>0</v>
      </c>
      <c r="CG30" s="29">
        <v>0</v>
      </c>
      <c r="CH30" s="29">
        <v>0</v>
      </c>
      <c r="CI30" s="29">
        <v>0</v>
      </c>
      <c r="CJ30" s="29">
        <v>0</v>
      </c>
      <c r="CK30" s="29">
        <v>0</v>
      </c>
      <c r="CL30" s="29">
        <v>0</v>
      </c>
      <c r="CM30" s="29">
        <v>0</v>
      </c>
      <c r="CN30" s="29">
        <v>0</v>
      </c>
      <c r="CO30" s="29">
        <v>0</v>
      </c>
      <c r="CP30" s="29">
        <v>0</v>
      </c>
      <c r="CQ30" s="29">
        <v>0</v>
      </c>
      <c r="CR30" s="29">
        <v>0</v>
      </c>
      <c r="CS30" s="29">
        <v>0</v>
      </c>
      <c r="CT30" s="29">
        <v>0</v>
      </c>
      <c r="CU30" s="29">
        <v>0</v>
      </c>
      <c r="CV30" s="29">
        <v>0</v>
      </c>
      <c r="CW30" s="29">
        <v>0</v>
      </c>
      <c r="CX30" s="29">
        <v>0</v>
      </c>
      <c r="CY30" s="29">
        <v>0</v>
      </c>
      <c r="CZ30" s="29">
        <v>0</v>
      </c>
      <c r="DA30" s="29">
        <v>0</v>
      </c>
      <c r="DB30" s="29">
        <v>0</v>
      </c>
      <c r="DC30" s="29">
        <v>0</v>
      </c>
      <c r="DD30" s="29">
        <v>0</v>
      </c>
      <c r="DE30" s="29">
        <v>0</v>
      </c>
      <c r="DF30" s="29">
        <v>0</v>
      </c>
      <c r="DG30" s="29">
        <v>0</v>
      </c>
      <c r="DH30" s="29">
        <v>0</v>
      </c>
      <c r="DI30" s="29">
        <v>0</v>
      </c>
      <c r="DJ30" s="29">
        <v>0</v>
      </c>
      <c r="DK30" s="29">
        <v>0</v>
      </c>
      <c r="DL30" s="29">
        <v>0</v>
      </c>
      <c r="DM30" s="29">
        <v>0</v>
      </c>
      <c r="DN30" s="29">
        <v>0</v>
      </c>
      <c r="DO30" s="29">
        <v>0</v>
      </c>
      <c r="DP30" s="29">
        <v>0</v>
      </c>
      <c r="DQ30" s="29">
        <v>0</v>
      </c>
      <c r="DR30" s="29">
        <v>0</v>
      </c>
      <c r="DS30" s="29">
        <v>0</v>
      </c>
      <c r="DT30" s="29">
        <v>0</v>
      </c>
      <c r="DU30" s="29">
        <v>0</v>
      </c>
      <c r="DV30" s="29">
        <v>0</v>
      </c>
      <c r="DW30" s="29">
        <v>0</v>
      </c>
      <c r="DX30" s="29">
        <v>0</v>
      </c>
      <c r="DY30" s="29">
        <v>0</v>
      </c>
      <c r="DZ30" s="29">
        <v>0</v>
      </c>
      <c r="EA30" s="29">
        <v>0</v>
      </c>
      <c r="EB30" s="29">
        <v>0</v>
      </c>
      <c r="EC30" s="29">
        <v>0</v>
      </c>
      <c r="ED30" s="29">
        <v>0</v>
      </c>
      <c r="EE30" s="29">
        <v>0</v>
      </c>
      <c r="EF30" s="29">
        <v>0</v>
      </c>
      <c r="EG30" s="29">
        <v>0</v>
      </c>
      <c r="EH30" s="29">
        <v>0</v>
      </c>
      <c r="EI30" s="29">
        <v>0</v>
      </c>
      <c r="EJ30" s="29">
        <v>0</v>
      </c>
      <c r="EK30" s="29">
        <v>0</v>
      </c>
      <c r="EL30" s="29">
        <v>0</v>
      </c>
      <c r="EM30" s="29">
        <v>0</v>
      </c>
      <c r="EN30" s="29">
        <v>0</v>
      </c>
      <c r="EO30" s="29">
        <v>0</v>
      </c>
      <c r="EP30" s="29">
        <v>0</v>
      </c>
      <c r="EQ30" s="29">
        <v>0</v>
      </c>
      <c r="ER30" s="29">
        <v>0</v>
      </c>
      <c r="ES30" s="29">
        <v>0</v>
      </c>
      <c r="ET30" s="29">
        <v>0</v>
      </c>
      <c r="EU30" s="29">
        <v>0</v>
      </c>
      <c r="EV30" s="29">
        <v>0</v>
      </c>
      <c r="EW30" s="29">
        <v>0</v>
      </c>
      <c r="EX30" s="29">
        <v>0</v>
      </c>
      <c r="EY30" s="29">
        <v>0</v>
      </c>
      <c r="EZ30" s="29">
        <v>0</v>
      </c>
      <c r="FA30" s="29">
        <v>0</v>
      </c>
      <c r="FB30" s="29">
        <v>0</v>
      </c>
      <c r="FC30" s="29">
        <v>0</v>
      </c>
      <c r="FD30" s="29">
        <v>0</v>
      </c>
      <c r="FE30" s="29">
        <v>0</v>
      </c>
      <c r="FF30" s="29">
        <v>0</v>
      </c>
      <c r="FG30" s="29">
        <v>0</v>
      </c>
      <c r="FH30" s="29">
        <v>0</v>
      </c>
      <c r="FI30" s="29">
        <v>0</v>
      </c>
      <c r="FJ30" s="29">
        <v>0</v>
      </c>
      <c r="FK30" s="29">
        <v>0</v>
      </c>
      <c r="FL30" s="29">
        <v>0</v>
      </c>
      <c r="FM30" s="29">
        <v>0</v>
      </c>
      <c r="FN30" s="29">
        <v>0</v>
      </c>
      <c r="FO30" s="29">
        <v>0</v>
      </c>
      <c r="FP30" s="29">
        <v>0</v>
      </c>
      <c r="FQ30" s="29">
        <v>0</v>
      </c>
      <c r="FR30" s="29">
        <v>0</v>
      </c>
      <c r="FS30" s="29">
        <v>0</v>
      </c>
      <c r="FT30" s="29">
        <v>0</v>
      </c>
      <c r="FU30" s="29">
        <v>0</v>
      </c>
      <c r="FV30" s="29">
        <v>0</v>
      </c>
      <c r="FW30" s="29">
        <v>0</v>
      </c>
      <c r="FX30" s="29">
        <v>0</v>
      </c>
      <c r="FY30" s="29">
        <v>0</v>
      </c>
      <c r="FZ30" s="29">
        <v>0</v>
      </c>
      <c r="GA30" s="29">
        <v>0</v>
      </c>
      <c r="GB30" s="29">
        <v>0</v>
      </c>
      <c r="GC30" s="29">
        <v>0</v>
      </c>
      <c r="GD30" s="29">
        <v>0</v>
      </c>
      <c r="GE30" s="29">
        <v>0</v>
      </c>
      <c r="GF30" s="29">
        <v>0</v>
      </c>
      <c r="GG30" s="29">
        <v>0</v>
      </c>
      <c r="GH30" s="29">
        <v>0</v>
      </c>
      <c r="GI30" s="206">
        <f>SUM(K30:V30)</f>
        <v>80000</v>
      </c>
      <c r="GJ30" s="206">
        <f>SUM(T30:AE30)</f>
        <v>0</v>
      </c>
      <c r="GK30" s="206">
        <f>SUM(AF30:AQ30)</f>
        <v>0</v>
      </c>
      <c r="GL30" s="206">
        <f>SUM(AR30:BC30)</f>
        <v>0</v>
      </c>
      <c r="GM30" s="206">
        <f>SUM(BD30:BO30)</f>
        <v>0</v>
      </c>
      <c r="GN30" s="206">
        <f>SUM(BP30:CA30)</f>
        <v>0</v>
      </c>
      <c r="GO30" s="206">
        <f>SUM(CB30:CM30)</f>
        <v>0</v>
      </c>
      <c r="GP30" s="206">
        <f>SUM(CN30:CY30)</f>
        <v>0</v>
      </c>
      <c r="GQ30" s="206">
        <f>SUM(CZ30:DK30)</f>
        <v>0</v>
      </c>
      <c r="GR30" s="206">
        <f>SUM(DL30:DW30)</f>
        <v>0</v>
      </c>
      <c r="GS30" s="206">
        <f>SUM(DX30:EI30)</f>
        <v>0</v>
      </c>
      <c r="GT30" s="206">
        <f>SUM(EJ30:EU30)</f>
        <v>0</v>
      </c>
      <c r="GU30" s="206">
        <f>SUM(EV30:FG30)</f>
        <v>0</v>
      </c>
      <c r="GV30" s="206">
        <f>SUM(FH30:FS30)</f>
        <v>0</v>
      </c>
      <c r="GW30" s="206">
        <f>SUM(FT30:GE30)</f>
        <v>0</v>
      </c>
    </row>
    <row r="31" spans="1:205" ht="14" customHeight="1" x14ac:dyDescent="0.35">
      <c r="A31" s="2" t="s">
        <v>43</v>
      </c>
      <c r="B31" s="3" t="s">
        <v>41</v>
      </c>
      <c r="C31" s="4" t="s">
        <v>38</v>
      </c>
      <c r="D31" s="4" t="s">
        <v>29</v>
      </c>
      <c r="E31" s="21" t="str">
        <f>'Supplier Registry'!N16</f>
        <v>Active</v>
      </c>
      <c r="F31" s="21">
        <f>'Supplier Registry'!M16</f>
        <v>0</v>
      </c>
      <c r="G31" s="21">
        <f>'Supplier Registry'!E16</f>
        <v>32000</v>
      </c>
      <c r="H31" s="58">
        <f>'Supplier Registry'!P16</f>
        <v>9</v>
      </c>
      <c r="I31" s="74">
        <f>IFERROR(EDATE(Controls!B5,H31),"")</f>
        <v>46388</v>
      </c>
      <c r="J31" s="75">
        <f>IFERROR(EDATE(I31,-'Supplier Registry'!Q16),"")</f>
        <v>46357</v>
      </c>
      <c r="K31" s="29"/>
      <c r="L31" s="29"/>
      <c r="M31" s="29"/>
      <c r="N31" s="29"/>
      <c r="O31" s="29"/>
      <c r="P31" s="29"/>
      <c r="Q31" s="29"/>
      <c r="R31" s="29"/>
      <c r="S31" s="29"/>
      <c r="T31" s="29"/>
      <c r="U31" s="29"/>
      <c r="V31" s="29"/>
      <c r="W31" s="29">
        <v>0</v>
      </c>
      <c r="X31" s="29">
        <v>0</v>
      </c>
      <c r="Y31" s="29">
        <v>0</v>
      </c>
      <c r="Z31" s="29">
        <v>0</v>
      </c>
      <c r="AA31" s="29">
        <v>0</v>
      </c>
      <c r="AB31" s="29">
        <v>0</v>
      </c>
      <c r="AC31" s="29">
        <v>0</v>
      </c>
      <c r="AD31" s="29">
        <v>0</v>
      </c>
      <c r="AE31" s="29">
        <v>0</v>
      </c>
      <c r="AF31" s="29">
        <v>0</v>
      </c>
      <c r="AG31" s="29">
        <v>0</v>
      </c>
      <c r="AH31" s="29">
        <v>0</v>
      </c>
      <c r="AI31" s="29">
        <v>0</v>
      </c>
      <c r="AJ31" s="29">
        <v>0</v>
      </c>
      <c r="AK31" s="29">
        <v>0</v>
      </c>
      <c r="AL31" s="29">
        <v>0</v>
      </c>
      <c r="AM31" s="29">
        <v>0</v>
      </c>
      <c r="AN31" s="29">
        <v>0</v>
      </c>
      <c r="AO31" s="29">
        <v>0</v>
      </c>
      <c r="AP31" s="29">
        <v>109500</v>
      </c>
      <c r="AQ31" s="29">
        <v>0</v>
      </c>
      <c r="AR31" s="29">
        <v>0</v>
      </c>
      <c r="AS31" s="29">
        <v>0</v>
      </c>
      <c r="AT31" s="29">
        <v>0</v>
      </c>
      <c r="AU31" s="29">
        <v>0</v>
      </c>
      <c r="AV31" s="29">
        <v>0</v>
      </c>
      <c r="AW31" s="29">
        <v>0</v>
      </c>
      <c r="AX31" s="29">
        <v>0</v>
      </c>
      <c r="AY31" s="29">
        <v>0</v>
      </c>
      <c r="AZ31" s="29">
        <v>0</v>
      </c>
      <c r="BA31" s="29">
        <v>0</v>
      </c>
      <c r="BB31" s="29">
        <v>0</v>
      </c>
      <c r="BC31" s="29">
        <v>0</v>
      </c>
      <c r="BD31" s="29">
        <v>0</v>
      </c>
      <c r="BE31" s="29">
        <v>0</v>
      </c>
      <c r="BF31" s="29">
        <v>0</v>
      </c>
      <c r="BG31" s="29">
        <v>0</v>
      </c>
      <c r="BH31" s="29">
        <v>0</v>
      </c>
      <c r="BI31" s="29">
        <v>0</v>
      </c>
      <c r="BJ31" s="29">
        <v>0</v>
      </c>
      <c r="BK31" s="29">
        <v>0</v>
      </c>
      <c r="BL31" s="29">
        <v>0</v>
      </c>
      <c r="BM31" s="29">
        <v>0</v>
      </c>
      <c r="BN31" s="29">
        <v>0</v>
      </c>
      <c r="BO31" s="29">
        <v>0</v>
      </c>
      <c r="BP31" s="29">
        <v>0</v>
      </c>
      <c r="BQ31" s="29">
        <v>0</v>
      </c>
      <c r="BR31" s="29">
        <v>0</v>
      </c>
      <c r="BS31" s="29">
        <v>0</v>
      </c>
      <c r="BT31" s="29">
        <v>0</v>
      </c>
      <c r="BU31" s="29">
        <v>0</v>
      </c>
      <c r="BV31" s="29">
        <v>0</v>
      </c>
      <c r="BW31" s="29">
        <v>0</v>
      </c>
      <c r="BX31" s="29">
        <v>0</v>
      </c>
      <c r="BY31" s="29">
        <v>0</v>
      </c>
      <c r="BZ31" s="29">
        <v>0</v>
      </c>
      <c r="CA31" s="29">
        <v>0</v>
      </c>
      <c r="CB31" s="29">
        <v>0</v>
      </c>
      <c r="CC31" s="29">
        <v>0</v>
      </c>
      <c r="CD31" s="29">
        <v>0</v>
      </c>
      <c r="CE31" s="29">
        <v>0</v>
      </c>
      <c r="CF31" s="29">
        <v>0</v>
      </c>
      <c r="CG31" s="29">
        <v>0</v>
      </c>
      <c r="CH31" s="29">
        <v>0</v>
      </c>
      <c r="CI31" s="29">
        <v>0</v>
      </c>
      <c r="CJ31" s="29">
        <v>0</v>
      </c>
      <c r="CK31" s="29">
        <v>0</v>
      </c>
      <c r="CL31" s="29">
        <v>0</v>
      </c>
      <c r="CM31" s="29">
        <v>0</v>
      </c>
      <c r="CN31" s="29">
        <v>0</v>
      </c>
      <c r="CO31" s="29">
        <v>0</v>
      </c>
      <c r="CP31" s="29">
        <v>0</v>
      </c>
      <c r="CQ31" s="29">
        <v>0</v>
      </c>
      <c r="CR31" s="29">
        <v>0</v>
      </c>
      <c r="CS31" s="29">
        <v>0</v>
      </c>
      <c r="CT31" s="29">
        <v>0</v>
      </c>
      <c r="CU31" s="29">
        <v>0</v>
      </c>
      <c r="CV31" s="29">
        <v>0</v>
      </c>
      <c r="CW31" s="29">
        <v>0</v>
      </c>
      <c r="CX31" s="29">
        <v>0</v>
      </c>
      <c r="CY31" s="29">
        <v>0</v>
      </c>
      <c r="CZ31" s="29">
        <v>0</v>
      </c>
      <c r="DA31" s="29">
        <v>0</v>
      </c>
      <c r="DB31" s="29">
        <v>0</v>
      </c>
      <c r="DC31" s="29">
        <v>0</v>
      </c>
      <c r="DD31" s="29">
        <v>0</v>
      </c>
      <c r="DE31" s="29">
        <v>0</v>
      </c>
      <c r="DF31" s="29">
        <v>0</v>
      </c>
      <c r="DG31" s="29">
        <v>0</v>
      </c>
      <c r="DH31" s="29">
        <v>0</v>
      </c>
      <c r="DI31" s="29">
        <v>0</v>
      </c>
      <c r="DJ31" s="29">
        <v>0</v>
      </c>
      <c r="DK31" s="29">
        <v>0</v>
      </c>
      <c r="DL31" s="29">
        <v>0</v>
      </c>
      <c r="DM31" s="29">
        <v>0</v>
      </c>
      <c r="DN31" s="29">
        <v>0</v>
      </c>
      <c r="DO31" s="29">
        <v>0</v>
      </c>
      <c r="DP31" s="29">
        <v>0</v>
      </c>
      <c r="DQ31" s="29">
        <v>0</v>
      </c>
      <c r="DR31" s="29">
        <v>0</v>
      </c>
      <c r="DS31" s="29">
        <v>0</v>
      </c>
      <c r="DT31" s="29">
        <v>0</v>
      </c>
      <c r="DU31" s="29">
        <v>0</v>
      </c>
      <c r="DV31" s="29">
        <v>0</v>
      </c>
      <c r="DW31" s="29">
        <v>0</v>
      </c>
      <c r="DX31" s="29">
        <v>0</v>
      </c>
      <c r="DY31" s="29">
        <v>0</v>
      </c>
      <c r="DZ31" s="29">
        <v>0</v>
      </c>
      <c r="EA31" s="29">
        <v>0</v>
      </c>
      <c r="EB31" s="29">
        <v>0</v>
      </c>
      <c r="EC31" s="29">
        <v>0</v>
      </c>
      <c r="ED31" s="29">
        <v>0</v>
      </c>
      <c r="EE31" s="29">
        <v>0</v>
      </c>
      <c r="EF31" s="29">
        <v>0</v>
      </c>
      <c r="EG31" s="29">
        <v>0</v>
      </c>
      <c r="EH31" s="29">
        <v>0</v>
      </c>
      <c r="EI31" s="29">
        <v>0</v>
      </c>
      <c r="EJ31" s="29">
        <v>0</v>
      </c>
      <c r="EK31" s="29">
        <v>0</v>
      </c>
      <c r="EL31" s="29">
        <v>0</v>
      </c>
      <c r="EM31" s="29">
        <v>0</v>
      </c>
      <c r="EN31" s="29">
        <v>0</v>
      </c>
      <c r="EO31" s="29">
        <v>0</v>
      </c>
      <c r="EP31" s="29">
        <v>0</v>
      </c>
      <c r="EQ31" s="29">
        <v>0</v>
      </c>
      <c r="ER31" s="29">
        <v>0</v>
      </c>
      <c r="ES31" s="29">
        <v>0</v>
      </c>
      <c r="ET31" s="29">
        <v>0</v>
      </c>
      <c r="EU31" s="29">
        <v>0</v>
      </c>
      <c r="EV31" s="29">
        <v>0</v>
      </c>
      <c r="EW31" s="29">
        <v>0</v>
      </c>
      <c r="EX31" s="29">
        <v>0</v>
      </c>
      <c r="EY31" s="29">
        <v>0</v>
      </c>
      <c r="EZ31" s="29">
        <v>0</v>
      </c>
      <c r="FA31" s="29">
        <v>0</v>
      </c>
      <c r="FB31" s="29">
        <v>0</v>
      </c>
      <c r="FC31" s="29">
        <v>0</v>
      </c>
      <c r="FD31" s="29">
        <v>0</v>
      </c>
      <c r="FE31" s="29">
        <v>0</v>
      </c>
      <c r="FF31" s="29">
        <v>0</v>
      </c>
      <c r="FG31" s="29">
        <v>0</v>
      </c>
      <c r="FH31" s="29">
        <v>0</v>
      </c>
      <c r="FI31" s="29">
        <v>0</v>
      </c>
      <c r="FJ31" s="29">
        <v>0</v>
      </c>
      <c r="FK31" s="29">
        <v>0</v>
      </c>
      <c r="FL31" s="29">
        <v>0</v>
      </c>
      <c r="FM31" s="29">
        <v>0</v>
      </c>
      <c r="FN31" s="29">
        <v>0</v>
      </c>
      <c r="FO31" s="29">
        <v>0</v>
      </c>
      <c r="FP31" s="29">
        <v>0</v>
      </c>
      <c r="FQ31" s="29">
        <v>0</v>
      </c>
      <c r="FR31" s="29">
        <v>0</v>
      </c>
      <c r="FS31" s="29">
        <v>0</v>
      </c>
      <c r="FT31" s="29">
        <v>0</v>
      </c>
      <c r="FU31" s="29">
        <v>0</v>
      </c>
      <c r="FV31" s="29">
        <v>0</v>
      </c>
      <c r="FW31" s="29">
        <v>0</v>
      </c>
      <c r="FX31" s="29">
        <v>0</v>
      </c>
      <c r="FY31" s="29">
        <v>0</v>
      </c>
      <c r="FZ31" s="29">
        <v>0</v>
      </c>
      <c r="GA31" s="29">
        <v>0</v>
      </c>
      <c r="GB31" s="29">
        <v>0</v>
      </c>
      <c r="GC31" s="29">
        <v>0</v>
      </c>
      <c r="GD31" s="29">
        <v>0</v>
      </c>
      <c r="GE31" s="29">
        <v>0</v>
      </c>
      <c r="GF31" s="29">
        <v>0</v>
      </c>
      <c r="GG31" s="29">
        <v>0</v>
      </c>
      <c r="GH31" s="29">
        <v>0</v>
      </c>
      <c r="GI31" s="206">
        <f>SUM(K31:V31)</f>
        <v>0</v>
      </c>
      <c r="GJ31" s="206">
        <f>SUM(T31:AE31)</f>
        <v>0</v>
      </c>
      <c r="GK31" s="206">
        <f>SUM(AF31:AQ31)</f>
        <v>109500</v>
      </c>
      <c r="GL31" s="206">
        <f>SUM(AR31:BC31)</f>
        <v>0</v>
      </c>
      <c r="GM31" s="206">
        <f>SUM(BD31:BO31)</f>
        <v>0</v>
      </c>
      <c r="GN31" s="206">
        <f>SUM(BP31:CA31)</f>
        <v>0</v>
      </c>
      <c r="GO31" s="206">
        <f>SUM(CB31:CM31)</f>
        <v>0</v>
      </c>
      <c r="GP31" s="206">
        <f>SUM(CN31:CY31)</f>
        <v>0</v>
      </c>
      <c r="GQ31" s="206">
        <f>SUM(CZ31:DK31)</f>
        <v>0</v>
      </c>
      <c r="GR31" s="206">
        <f>SUM(DL31:DW31)</f>
        <v>0</v>
      </c>
      <c r="GS31" s="206">
        <f>SUM(DX31:EI31)</f>
        <v>0</v>
      </c>
      <c r="GT31" s="206">
        <f>SUM(EJ31:EU31)</f>
        <v>0</v>
      </c>
      <c r="GU31" s="206">
        <f>SUM(EV31:FG31)</f>
        <v>0</v>
      </c>
      <c r="GV31" s="206">
        <f>SUM(FH31:FS31)</f>
        <v>0</v>
      </c>
      <c r="GW31" s="206">
        <f>SUM(FT31:GE31)</f>
        <v>0</v>
      </c>
    </row>
    <row r="32" spans="1:205" ht="18" customHeight="1" x14ac:dyDescent="0.35">
      <c r="A32" s="26" t="s">
        <v>43</v>
      </c>
      <c r="B32" s="26" t="s">
        <v>390</v>
      </c>
      <c r="C32" s="31"/>
      <c r="D32" s="31"/>
      <c r="E32" s="31"/>
      <c r="F32" s="31"/>
      <c r="G32" s="31"/>
      <c r="K32" s="32">
        <f>IF($E30="Active",K30,0)+IF($E31="Active",K31,0)</f>
        <v>0</v>
      </c>
      <c r="L32" s="32">
        <f>IF($E30="Active",L30,0)+IF($E31="Active",L31,0)</f>
        <v>0</v>
      </c>
      <c r="M32" s="32">
        <f>IF($E30="Active",M$30,0)+IF($E31="Active",M$31,0)</f>
        <v>0</v>
      </c>
      <c r="N32" s="32">
        <f t="shared" ref="N32:Y32" si="17">IF($E30="Active",N$30,0)+IF($E31="Active",N$31,0)</f>
        <v>20000</v>
      </c>
      <c r="O32" s="32">
        <f t="shared" si="17"/>
        <v>20000</v>
      </c>
      <c r="P32" s="32">
        <f t="shared" si="17"/>
        <v>30000</v>
      </c>
      <c r="Q32" s="32">
        <f t="shared" si="17"/>
        <v>10000</v>
      </c>
      <c r="R32" s="32">
        <f t="shared" si="17"/>
        <v>0</v>
      </c>
      <c r="S32" s="32">
        <f t="shared" si="17"/>
        <v>0</v>
      </c>
      <c r="T32" s="32">
        <f t="shared" si="17"/>
        <v>0</v>
      </c>
      <c r="U32" s="32">
        <f t="shared" si="17"/>
        <v>0</v>
      </c>
      <c r="V32" s="32">
        <f t="shared" si="17"/>
        <v>0</v>
      </c>
      <c r="W32" s="32">
        <f t="shared" si="17"/>
        <v>0</v>
      </c>
      <c r="X32" s="32">
        <f t="shared" si="17"/>
        <v>0</v>
      </c>
      <c r="Y32" s="32">
        <f t="shared" si="17"/>
        <v>0</v>
      </c>
      <c r="Z32" s="32">
        <f>IF($E30="Active",Z$30,0)+IF($E31="Active",Z$31,0)</f>
        <v>0</v>
      </c>
      <c r="AA32" s="32">
        <f t="shared" ref="AA32:CL32" si="18">IF($E30="Active",AA$30,0)+IF($E31="Active",AA$31,0)</f>
        <v>0</v>
      </c>
      <c r="AB32" s="32">
        <f t="shared" si="18"/>
        <v>0</v>
      </c>
      <c r="AC32" s="32">
        <f t="shared" si="18"/>
        <v>0</v>
      </c>
      <c r="AD32" s="32">
        <f t="shared" si="18"/>
        <v>0</v>
      </c>
      <c r="AE32" s="32">
        <f t="shared" si="18"/>
        <v>0</v>
      </c>
      <c r="AF32" s="32">
        <f t="shared" si="18"/>
        <v>0</v>
      </c>
      <c r="AG32" s="32">
        <f t="shared" si="18"/>
        <v>0</v>
      </c>
      <c r="AH32" s="32">
        <f t="shared" si="18"/>
        <v>0</v>
      </c>
      <c r="AI32" s="32">
        <f t="shared" si="18"/>
        <v>0</v>
      </c>
      <c r="AJ32" s="32">
        <f t="shared" si="18"/>
        <v>0</v>
      </c>
      <c r="AK32" s="32">
        <f t="shared" si="18"/>
        <v>0</v>
      </c>
      <c r="AL32" s="32">
        <f t="shared" si="18"/>
        <v>0</v>
      </c>
      <c r="AM32" s="32">
        <f t="shared" si="18"/>
        <v>0</v>
      </c>
      <c r="AN32" s="32">
        <f t="shared" si="18"/>
        <v>0</v>
      </c>
      <c r="AO32" s="32">
        <f t="shared" si="18"/>
        <v>0</v>
      </c>
      <c r="AP32" s="32">
        <f t="shared" si="18"/>
        <v>109500</v>
      </c>
      <c r="AQ32" s="32">
        <f t="shared" si="18"/>
        <v>0</v>
      </c>
      <c r="AR32" s="32">
        <f t="shared" si="18"/>
        <v>0</v>
      </c>
      <c r="AS32" s="32">
        <f t="shared" si="18"/>
        <v>0</v>
      </c>
      <c r="AT32" s="32">
        <f t="shared" si="18"/>
        <v>0</v>
      </c>
      <c r="AU32" s="32">
        <f t="shared" si="18"/>
        <v>0</v>
      </c>
      <c r="AV32" s="32">
        <f t="shared" si="18"/>
        <v>0</v>
      </c>
      <c r="AW32" s="32">
        <f t="shared" si="18"/>
        <v>0</v>
      </c>
      <c r="AX32" s="32">
        <f t="shared" si="18"/>
        <v>0</v>
      </c>
      <c r="AY32" s="32">
        <f t="shared" si="18"/>
        <v>0</v>
      </c>
      <c r="AZ32" s="32">
        <f t="shared" si="18"/>
        <v>0</v>
      </c>
      <c r="BA32" s="32">
        <f t="shared" si="18"/>
        <v>0</v>
      </c>
      <c r="BB32" s="32">
        <f t="shared" si="18"/>
        <v>0</v>
      </c>
      <c r="BC32" s="32">
        <f t="shared" si="18"/>
        <v>0</v>
      </c>
      <c r="BD32" s="32">
        <f t="shared" si="18"/>
        <v>0</v>
      </c>
      <c r="BE32" s="32">
        <f t="shared" si="18"/>
        <v>0</v>
      </c>
      <c r="BF32" s="32">
        <f t="shared" si="18"/>
        <v>0</v>
      </c>
      <c r="BG32" s="32">
        <f t="shared" si="18"/>
        <v>0</v>
      </c>
      <c r="BH32" s="32">
        <f t="shared" si="18"/>
        <v>0</v>
      </c>
      <c r="BI32" s="32">
        <f t="shared" si="18"/>
        <v>0</v>
      </c>
      <c r="BJ32" s="32">
        <f t="shared" si="18"/>
        <v>0</v>
      </c>
      <c r="BK32" s="32">
        <f t="shared" si="18"/>
        <v>0</v>
      </c>
      <c r="BL32" s="32">
        <f t="shared" si="18"/>
        <v>0</v>
      </c>
      <c r="BM32" s="32">
        <f t="shared" si="18"/>
        <v>0</v>
      </c>
      <c r="BN32" s="32">
        <f t="shared" si="18"/>
        <v>0</v>
      </c>
      <c r="BO32" s="32">
        <f t="shared" si="18"/>
        <v>0</v>
      </c>
      <c r="BP32" s="32">
        <f t="shared" si="18"/>
        <v>0</v>
      </c>
      <c r="BQ32" s="32">
        <f t="shared" si="18"/>
        <v>0</v>
      </c>
      <c r="BR32" s="32">
        <f t="shared" si="18"/>
        <v>0</v>
      </c>
      <c r="BS32" s="32">
        <f t="shared" si="18"/>
        <v>0</v>
      </c>
      <c r="BT32" s="32">
        <f t="shared" si="18"/>
        <v>0</v>
      </c>
      <c r="BU32" s="32">
        <f t="shared" si="18"/>
        <v>0</v>
      </c>
      <c r="BV32" s="32">
        <f t="shared" si="18"/>
        <v>0</v>
      </c>
      <c r="BW32" s="32">
        <f t="shared" si="18"/>
        <v>0</v>
      </c>
      <c r="BX32" s="32">
        <f t="shared" si="18"/>
        <v>0</v>
      </c>
      <c r="BY32" s="32">
        <f t="shared" si="18"/>
        <v>0</v>
      </c>
      <c r="BZ32" s="32">
        <f t="shared" si="18"/>
        <v>0</v>
      </c>
      <c r="CA32" s="32">
        <f t="shared" si="18"/>
        <v>0</v>
      </c>
      <c r="CB32" s="32">
        <f t="shared" si="18"/>
        <v>0</v>
      </c>
      <c r="CC32" s="32">
        <f t="shared" si="18"/>
        <v>0</v>
      </c>
      <c r="CD32" s="32">
        <f t="shared" si="18"/>
        <v>0</v>
      </c>
      <c r="CE32" s="32">
        <f t="shared" si="18"/>
        <v>0</v>
      </c>
      <c r="CF32" s="32">
        <f t="shared" si="18"/>
        <v>0</v>
      </c>
      <c r="CG32" s="32">
        <f t="shared" si="18"/>
        <v>0</v>
      </c>
      <c r="CH32" s="32">
        <f t="shared" si="18"/>
        <v>0</v>
      </c>
      <c r="CI32" s="32">
        <f t="shared" si="18"/>
        <v>0</v>
      </c>
      <c r="CJ32" s="32">
        <f t="shared" si="18"/>
        <v>0</v>
      </c>
      <c r="CK32" s="32">
        <f t="shared" si="18"/>
        <v>0</v>
      </c>
      <c r="CL32" s="32">
        <f t="shared" si="18"/>
        <v>0</v>
      </c>
      <c r="CM32" s="32">
        <f t="shared" ref="CM32:EX32" si="19">IF($E30="Active",CM$30,0)+IF($E31="Active",CM$31,0)</f>
        <v>0</v>
      </c>
      <c r="CN32" s="32">
        <f t="shared" si="19"/>
        <v>0</v>
      </c>
      <c r="CO32" s="32">
        <f t="shared" si="19"/>
        <v>0</v>
      </c>
      <c r="CP32" s="32">
        <f t="shared" si="19"/>
        <v>0</v>
      </c>
      <c r="CQ32" s="32">
        <f t="shared" si="19"/>
        <v>0</v>
      </c>
      <c r="CR32" s="32">
        <f t="shared" si="19"/>
        <v>0</v>
      </c>
      <c r="CS32" s="32">
        <f t="shared" si="19"/>
        <v>0</v>
      </c>
      <c r="CT32" s="32">
        <f t="shared" si="19"/>
        <v>0</v>
      </c>
      <c r="CU32" s="32">
        <f t="shared" si="19"/>
        <v>0</v>
      </c>
      <c r="CV32" s="32">
        <f t="shared" si="19"/>
        <v>0</v>
      </c>
      <c r="CW32" s="32">
        <f t="shared" si="19"/>
        <v>0</v>
      </c>
      <c r="CX32" s="32">
        <f t="shared" si="19"/>
        <v>0</v>
      </c>
      <c r="CY32" s="32">
        <f t="shared" si="19"/>
        <v>0</v>
      </c>
      <c r="CZ32" s="32">
        <f t="shared" si="19"/>
        <v>0</v>
      </c>
      <c r="DA32" s="32">
        <f t="shared" si="19"/>
        <v>0</v>
      </c>
      <c r="DB32" s="32">
        <f t="shared" si="19"/>
        <v>0</v>
      </c>
      <c r="DC32" s="32">
        <f t="shared" si="19"/>
        <v>0</v>
      </c>
      <c r="DD32" s="32">
        <f t="shared" si="19"/>
        <v>0</v>
      </c>
      <c r="DE32" s="32">
        <f t="shared" si="19"/>
        <v>0</v>
      </c>
      <c r="DF32" s="32">
        <f t="shared" si="19"/>
        <v>0</v>
      </c>
      <c r="DG32" s="32">
        <f t="shared" si="19"/>
        <v>0</v>
      </c>
      <c r="DH32" s="32">
        <f t="shared" si="19"/>
        <v>0</v>
      </c>
      <c r="DI32" s="32">
        <f t="shared" si="19"/>
        <v>0</v>
      </c>
      <c r="DJ32" s="32">
        <f t="shared" si="19"/>
        <v>0</v>
      </c>
      <c r="DK32" s="32">
        <f t="shared" si="19"/>
        <v>0</v>
      </c>
      <c r="DL32" s="32">
        <f t="shared" si="19"/>
        <v>0</v>
      </c>
      <c r="DM32" s="32">
        <f t="shared" si="19"/>
        <v>0</v>
      </c>
      <c r="DN32" s="32">
        <f t="shared" si="19"/>
        <v>0</v>
      </c>
      <c r="DO32" s="32">
        <f t="shared" si="19"/>
        <v>0</v>
      </c>
      <c r="DP32" s="32">
        <f t="shared" si="19"/>
        <v>0</v>
      </c>
      <c r="DQ32" s="32">
        <f t="shared" si="19"/>
        <v>0</v>
      </c>
      <c r="DR32" s="32">
        <f t="shared" si="19"/>
        <v>0</v>
      </c>
      <c r="DS32" s="32">
        <f t="shared" si="19"/>
        <v>0</v>
      </c>
      <c r="DT32" s="32">
        <f t="shared" si="19"/>
        <v>0</v>
      </c>
      <c r="DU32" s="32">
        <f t="shared" si="19"/>
        <v>0</v>
      </c>
      <c r="DV32" s="32">
        <f t="shared" si="19"/>
        <v>0</v>
      </c>
      <c r="DW32" s="32">
        <f t="shared" si="19"/>
        <v>0</v>
      </c>
      <c r="DX32" s="32">
        <f t="shared" si="19"/>
        <v>0</v>
      </c>
      <c r="DY32" s="32">
        <f t="shared" si="19"/>
        <v>0</v>
      </c>
      <c r="DZ32" s="32">
        <f t="shared" si="19"/>
        <v>0</v>
      </c>
      <c r="EA32" s="32">
        <f t="shared" si="19"/>
        <v>0</v>
      </c>
      <c r="EB32" s="32">
        <f t="shared" si="19"/>
        <v>0</v>
      </c>
      <c r="EC32" s="32">
        <f t="shared" si="19"/>
        <v>0</v>
      </c>
      <c r="ED32" s="32">
        <f t="shared" si="19"/>
        <v>0</v>
      </c>
      <c r="EE32" s="32">
        <f t="shared" si="19"/>
        <v>0</v>
      </c>
      <c r="EF32" s="32">
        <f t="shared" si="19"/>
        <v>0</v>
      </c>
      <c r="EG32" s="32">
        <f t="shared" si="19"/>
        <v>0</v>
      </c>
      <c r="EH32" s="32">
        <f t="shared" si="19"/>
        <v>0</v>
      </c>
      <c r="EI32" s="32">
        <f t="shared" si="19"/>
        <v>0</v>
      </c>
      <c r="EJ32" s="32">
        <f t="shared" si="19"/>
        <v>0</v>
      </c>
      <c r="EK32" s="32">
        <f t="shared" si="19"/>
        <v>0</v>
      </c>
      <c r="EL32" s="32">
        <f t="shared" si="19"/>
        <v>0</v>
      </c>
      <c r="EM32" s="32">
        <f t="shared" si="19"/>
        <v>0</v>
      </c>
      <c r="EN32" s="32">
        <f t="shared" si="19"/>
        <v>0</v>
      </c>
      <c r="EO32" s="32">
        <f t="shared" si="19"/>
        <v>0</v>
      </c>
      <c r="EP32" s="32">
        <f t="shared" si="19"/>
        <v>0</v>
      </c>
      <c r="EQ32" s="32">
        <f t="shared" si="19"/>
        <v>0</v>
      </c>
      <c r="ER32" s="32">
        <f t="shared" si="19"/>
        <v>0</v>
      </c>
      <c r="ES32" s="32">
        <f t="shared" si="19"/>
        <v>0</v>
      </c>
      <c r="ET32" s="32">
        <f t="shared" si="19"/>
        <v>0</v>
      </c>
      <c r="EU32" s="32">
        <f t="shared" si="19"/>
        <v>0</v>
      </c>
      <c r="EV32" s="32">
        <f t="shared" si="19"/>
        <v>0</v>
      </c>
      <c r="EW32" s="32">
        <f t="shared" si="19"/>
        <v>0</v>
      </c>
      <c r="EX32" s="32">
        <f t="shared" si="19"/>
        <v>0</v>
      </c>
      <c r="EY32" s="32">
        <f t="shared" ref="EY32:GW32" si="20">IF($E30="Active",EY$30,0)+IF($E31="Active",EY$31,0)</f>
        <v>0</v>
      </c>
      <c r="EZ32" s="32">
        <f t="shared" si="20"/>
        <v>0</v>
      </c>
      <c r="FA32" s="32">
        <f t="shared" si="20"/>
        <v>0</v>
      </c>
      <c r="FB32" s="32">
        <f t="shared" si="20"/>
        <v>0</v>
      </c>
      <c r="FC32" s="32">
        <f t="shared" si="20"/>
        <v>0</v>
      </c>
      <c r="FD32" s="32">
        <f t="shared" si="20"/>
        <v>0</v>
      </c>
      <c r="FE32" s="32">
        <f t="shared" si="20"/>
        <v>0</v>
      </c>
      <c r="FF32" s="32">
        <f t="shared" si="20"/>
        <v>0</v>
      </c>
      <c r="FG32" s="32">
        <f t="shared" si="20"/>
        <v>0</v>
      </c>
      <c r="FH32" s="32">
        <f t="shared" si="20"/>
        <v>0</v>
      </c>
      <c r="FI32" s="32">
        <f t="shared" si="20"/>
        <v>0</v>
      </c>
      <c r="FJ32" s="32">
        <f t="shared" si="20"/>
        <v>0</v>
      </c>
      <c r="FK32" s="32">
        <f t="shared" si="20"/>
        <v>0</v>
      </c>
      <c r="FL32" s="32">
        <f t="shared" si="20"/>
        <v>0</v>
      </c>
      <c r="FM32" s="32">
        <f t="shared" si="20"/>
        <v>0</v>
      </c>
      <c r="FN32" s="32">
        <f t="shared" si="20"/>
        <v>0</v>
      </c>
      <c r="FO32" s="32">
        <f t="shared" si="20"/>
        <v>0</v>
      </c>
      <c r="FP32" s="32">
        <f t="shared" si="20"/>
        <v>0</v>
      </c>
      <c r="FQ32" s="32">
        <f t="shared" si="20"/>
        <v>0</v>
      </c>
      <c r="FR32" s="32">
        <f t="shared" si="20"/>
        <v>0</v>
      </c>
      <c r="FS32" s="32">
        <f t="shared" si="20"/>
        <v>0</v>
      </c>
      <c r="FT32" s="32">
        <f t="shared" si="20"/>
        <v>0</v>
      </c>
      <c r="FU32" s="32">
        <f t="shared" si="20"/>
        <v>0</v>
      </c>
      <c r="FV32" s="32">
        <f t="shared" si="20"/>
        <v>0</v>
      </c>
      <c r="FW32" s="32">
        <f t="shared" si="20"/>
        <v>0</v>
      </c>
      <c r="FX32" s="32">
        <f t="shared" si="20"/>
        <v>0</v>
      </c>
      <c r="FY32" s="32">
        <f t="shared" si="20"/>
        <v>0</v>
      </c>
      <c r="FZ32" s="32">
        <f t="shared" si="20"/>
        <v>0</v>
      </c>
      <c r="GA32" s="32">
        <f t="shared" si="20"/>
        <v>0</v>
      </c>
      <c r="GB32" s="32">
        <f t="shared" si="20"/>
        <v>0</v>
      </c>
      <c r="GC32" s="32">
        <f t="shared" si="20"/>
        <v>0</v>
      </c>
      <c r="GD32" s="32">
        <f t="shared" si="20"/>
        <v>0</v>
      </c>
      <c r="GE32" s="32">
        <f t="shared" si="20"/>
        <v>0</v>
      </c>
      <c r="GF32" s="32">
        <f t="shared" si="20"/>
        <v>0</v>
      </c>
      <c r="GG32" s="32">
        <f t="shared" si="20"/>
        <v>0</v>
      </c>
      <c r="GH32" s="32">
        <f t="shared" si="20"/>
        <v>0</v>
      </c>
      <c r="GI32" s="32">
        <f t="shared" si="20"/>
        <v>80000</v>
      </c>
      <c r="GJ32" s="32">
        <f t="shared" si="20"/>
        <v>0</v>
      </c>
      <c r="GK32" s="32">
        <f t="shared" si="20"/>
        <v>109500</v>
      </c>
      <c r="GL32" s="32">
        <f t="shared" si="20"/>
        <v>0</v>
      </c>
      <c r="GM32" s="32">
        <f t="shared" si="20"/>
        <v>0</v>
      </c>
      <c r="GN32" s="32">
        <f t="shared" si="20"/>
        <v>0</v>
      </c>
      <c r="GO32" s="32">
        <f t="shared" si="20"/>
        <v>0</v>
      </c>
      <c r="GP32" s="32">
        <f t="shared" si="20"/>
        <v>0</v>
      </c>
      <c r="GQ32" s="32">
        <f t="shared" si="20"/>
        <v>0</v>
      </c>
      <c r="GR32" s="32">
        <f t="shared" si="20"/>
        <v>0</v>
      </c>
      <c r="GS32" s="32">
        <f t="shared" si="20"/>
        <v>0</v>
      </c>
      <c r="GT32" s="32">
        <f t="shared" si="20"/>
        <v>0</v>
      </c>
      <c r="GU32" s="32">
        <f t="shared" si="20"/>
        <v>0</v>
      </c>
      <c r="GV32" s="32">
        <f t="shared" si="20"/>
        <v>0</v>
      </c>
      <c r="GW32" s="32">
        <f t="shared" si="20"/>
        <v>0</v>
      </c>
    </row>
    <row r="34" spans="1:205" ht="22" customHeight="1" x14ac:dyDescent="0.35">
      <c r="A34" s="392" t="s">
        <v>393</v>
      </c>
      <c r="B34" s="393"/>
      <c r="C34" s="393"/>
      <c r="D34" s="393"/>
      <c r="E34" s="393"/>
      <c r="F34" s="393"/>
      <c r="G34" s="393"/>
      <c r="H34" s="393"/>
      <c r="I34" s="393"/>
      <c r="J34" s="393"/>
      <c r="K34" s="393"/>
      <c r="L34" s="393"/>
      <c r="M34" s="393"/>
      <c r="N34" s="393"/>
      <c r="O34" s="393"/>
      <c r="P34" s="393"/>
      <c r="Q34" s="393"/>
      <c r="R34" s="393"/>
      <c r="S34" s="393"/>
      <c r="T34" s="393"/>
      <c r="U34" s="393"/>
      <c r="V34" s="393"/>
      <c r="W34" s="393"/>
      <c r="X34" s="393"/>
      <c r="Y34" s="393"/>
      <c r="Z34" s="393"/>
      <c r="AA34" s="393"/>
      <c r="AB34" s="393"/>
      <c r="AC34" s="393"/>
      <c r="AD34" s="393"/>
      <c r="AE34" s="393"/>
      <c r="AF34" s="393"/>
      <c r="AG34" s="393"/>
      <c r="AH34" s="393"/>
      <c r="AI34" s="393"/>
      <c r="AJ34" s="393"/>
      <c r="AK34" s="393"/>
      <c r="AL34" s="393"/>
      <c r="AM34" s="393"/>
      <c r="AN34" s="393"/>
      <c r="AO34" s="393"/>
      <c r="AP34" s="393"/>
      <c r="AQ34" s="393"/>
      <c r="AR34" s="393"/>
      <c r="AS34" s="393"/>
      <c r="AT34" s="393"/>
      <c r="AU34" s="393"/>
      <c r="AV34" s="393"/>
      <c r="AW34" s="393"/>
      <c r="AX34" s="393"/>
      <c r="AY34" s="393"/>
      <c r="AZ34" s="393"/>
      <c r="BA34" s="393"/>
      <c r="BB34" s="393"/>
      <c r="BC34" s="393"/>
      <c r="BD34" s="393"/>
      <c r="BE34" s="393"/>
      <c r="BF34" s="393"/>
      <c r="BG34" s="393"/>
      <c r="BH34" s="393"/>
      <c r="BI34" s="393"/>
      <c r="BJ34" s="393"/>
      <c r="BK34" s="393"/>
      <c r="BL34" s="393"/>
      <c r="BM34" s="393"/>
      <c r="BN34" s="393"/>
      <c r="BO34" s="393"/>
      <c r="BP34" s="393"/>
      <c r="BQ34" s="393"/>
      <c r="BR34" s="393"/>
      <c r="BS34" s="393"/>
      <c r="BT34" s="393"/>
      <c r="BU34" s="393"/>
      <c r="BV34" s="393"/>
      <c r="BW34" s="393"/>
      <c r="BX34" s="393"/>
      <c r="BY34" s="393"/>
      <c r="BZ34" s="393"/>
      <c r="CA34" s="393"/>
      <c r="CB34" s="393"/>
      <c r="CC34" s="393"/>
      <c r="CD34" s="393"/>
      <c r="CE34" s="393"/>
      <c r="CF34" s="393"/>
      <c r="CG34" s="393"/>
      <c r="CH34" s="393"/>
      <c r="CI34" s="393"/>
      <c r="CJ34" s="393"/>
      <c r="CK34" s="393"/>
      <c r="CL34" s="393"/>
      <c r="CM34" s="393"/>
      <c r="CN34" s="393"/>
      <c r="CO34" s="393"/>
      <c r="CP34" s="393"/>
      <c r="CQ34" s="393"/>
      <c r="CR34" s="393"/>
      <c r="CS34" s="393"/>
      <c r="CT34" s="393"/>
      <c r="CU34" s="393"/>
      <c r="CV34" s="393"/>
      <c r="CW34" s="393"/>
      <c r="CX34" s="393"/>
      <c r="CY34" s="393"/>
      <c r="CZ34" s="393"/>
      <c r="DA34" s="393"/>
      <c r="DB34" s="393"/>
      <c r="DC34" s="393"/>
      <c r="DD34" s="393"/>
      <c r="DE34" s="393"/>
      <c r="DF34" s="393"/>
      <c r="DG34" s="393"/>
      <c r="DH34" s="393"/>
      <c r="DI34" s="393"/>
      <c r="DJ34" s="393"/>
      <c r="DK34" s="393"/>
      <c r="DL34" s="393"/>
      <c r="DM34" s="393"/>
      <c r="DN34" s="393"/>
      <c r="DO34" s="393"/>
      <c r="DP34" s="393"/>
      <c r="DQ34" s="393"/>
      <c r="DR34" s="393"/>
      <c r="DS34" s="393"/>
      <c r="DT34" s="393"/>
      <c r="DU34" s="393"/>
      <c r="DV34" s="393"/>
      <c r="DW34" s="393"/>
      <c r="DX34" s="393"/>
      <c r="DY34" s="393"/>
      <c r="DZ34" s="393"/>
      <c r="EA34" s="393"/>
      <c r="EB34" s="393"/>
      <c r="EC34" s="393"/>
      <c r="ED34" s="393"/>
      <c r="EE34" s="393"/>
      <c r="EF34" s="393"/>
      <c r="EG34" s="393"/>
      <c r="EH34" s="393"/>
      <c r="EI34" s="393"/>
      <c r="EJ34" s="393"/>
      <c r="EK34" s="393"/>
      <c r="EL34" s="393"/>
      <c r="EM34" s="393"/>
      <c r="EN34" s="393"/>
      <c r="EO34" s="393"/>
      <c r="EP34" s="393"/>
      <c r="EQ34" s="393"/>
      <c r="ER34" s="393"/>
      <c r="ES34" s="393"/>
      <c r="ET34" s="393"/>
      <c r="EU34" s="393"/>
      <c r="EV34" s="393"/>
      <c r="EW34" s="393"/>
      <c r="EX34" s="393"/>
      <c r="EY34" s="393"/>
      <c r="EZ34" s="393"/>
      <c r="FA34" s="393"/>
      <c r="FB34" s="393"/>
      <c r="FC34" s="393"/>
      <c r="FD34" s="393"/>
      <c r="FE34" s="393"/>
      <c r="FF34" s="393"/>
      <c r="FG34" s="393"/>
      <c r="FH34" s="393"/>
      <c r="FI34" s="393"/>
      <c r="FJ34" s="393"/>
      <c r="FK34" s="393"/>
      <c r="FL34" s="393"/>
      <c r="FM34" s="393"/>
      <c r="FN34" s="393"/>
      <c r="FO34" s="393"/>
      <c r="FP34" s="393"/>
      <c r="FQ34" s="393"/>
      <c r="FR34" s="393"/>
      <c r="FS34" s="393"/>
      <c r="FT34" s="393"/>
      <c r="FU34" s="393"/>
      <c r="FV34" s="393"/>
      <c r="FW34" s="393"/>
      <c r="FX34" s="393"/>
      <c r="FY34" s="393"/>
      <c r="FZ34" s="393"/>
      <c r="GA34" s="393"/>
      <c r="GB34" s="393"/>
      <c r="GC34" s="393"/>
      <c r="GD34" s="393"/>
      <c r="GE34" s="393"/>
      <c r="GF34" s="393"/>
      <c r="GG34" s="393"/>
      <c r="GH34" s="393"/>
      <c r="GI34" s="393"/>
      <c r="GJ34" s="393"/>
      <c r="GK34" s="393"/>
      <c r="GL34" s="393"/>
      <c r="GM34" s="393"/>
      <c r="GN34" s="393"/>
      <c r="GO34" s="393"/>
      <c r="GP34" s="393"/>
      <c r="GQ34" s="393"/>
      <c r="GR34" s="393"/>
      <c r="GS34" s="393"/>
    </row>
    <row r="35" spans="1:205" ht="14" customHeight="1" x14ac:dyDescent="0.35">
      <c r="A35" s="2" t="s">
        <v>45</v>
      </c>
      <c r="B35" s="14" t="s">
        <v>46</v>
      </c>
      <c r="C35" s="4" t="s">
        <v>47</v>
      </c>
      <c r="D35" s="4" t="s">
        <v>48</v>
      </c>
      <c r="E35" s="21" t="str">
        <f>'Supplier Registry'!N17</f>
        <v>Active</v>
      </c>
      <c r="F35" s="21">
        <f>'Supplier Registry'!M17</f>
        <v>1</v>
      </c>
      <c r="G35" s="21">
        <f>'Supplier Registry'!E17</f>
        <v>4.3</v>
      </c>
      <c r="H35" s="58">
        <f>'Supplier Registry'!P17</f>
        <v>18</v>
      </c>
      <c r="I35" s="74">
        <f>IFERROR(EDATE(Controls!B5,H35),"")</f>
        <v>46661</v>
      </c>
      <c r="J35" s="75">
        <f>IFERROR(EDATE(I35,-'Supplier Registry'!Q17),"")</f>
        <v>46631</v>
      </c>
      <c r="K35" s="29"/>
      <c r="L35" s="29"/>
      <c r="M35" s="29"/>
      <c r="N35" s="29"/>
      <c r="O35" s="29">
        <v>8.6</v>
      </c>
      <c r="P35" s="29">
        <v>12.9</v>
      </c>
      <c r="Q35" s="29">
        <v>4.3</v>
      </c>
      <c r="R35" s="29"/>
      <c r="S35" s="29"/>
      <c r="T35" s="29"/>
      <c r="U35" s="29"/>
      <c r="V35" s="29"/>
      <c r="W35" s="29"/>
      <c r="X35" s="29"/>
      <c r="Y35" s="29"/>
      <c r="Z35" s="29">
        <v>8.6</v>
      </c>
      <c r="AA35" s="29">
        <v>8.6</v>
      </c>
      <c r="AB35" s="29">
        <v>8.6</v>
      </c>
      <c r="AC35" s="29">
        <v>8.6</v>
      </c>
      <c r="AD35" s="29"/>
      <c r="AE35" s="29"/>
      <c r="AF35" s="29">
        <v>0</v>
      </c>
      <c r="AG35" s="29">
        <v>0</v>
      </c>
      <c r="AH35" s="29">
        <v>0</v>
      </c>
      <c r="AI35" s="29">
        <v>0</v>
      </c>
      <c r="AJ35" s="29">
        <v>0</v>
      </c>
      <c r="AK35" s="29">
        <v>0</v>
      </c>
      <c r="AL35" s="29">
        <v>0</v>
      </c>
      <c r="AM35" s="29">
        <v>0</v>
      </c>
      <c r="AN35" s="29">
        <v>0</v>
      </c>
      <c r="AO35" s="29">
        <v>0</v>
      </c>
      <c r="AP35" s="29">
        <v>0</v>
      </c>
      <c r="AQ35" s="29">
        <v>0</v>
      </c>
      <c r="AR35" s="29">
        <v>0</v>
      </c>
      <c r="AS35" s="29">
        <v>0</v>
      </c>
      <c r="AT35" s="29">
        <v>0</v>
      </c>
      <c r="AU35" s="29">
        <v>0</v>
      </c>
      <c r="AV35" s="29">
        <v>0</v>
      </c>
      <c r="AW35" s="29">
        <v>0</v>
      </c>
      <c r="AX35" s="29">
        <v>0</v>
      </c>
      <c r="AY35" s="29">
        <v>0</v>
      </c>
      <c r="AZ35" s="29">
        <v>0</v>
      </c>
      <c r="BA35" s="29">
        <v>0</v>
      </c>
      <c r="BB35" s="29">
        <v>0</v>
      </c>
      <c r="BC35" s="29">
        <v>0</v>
      </c>
      <c r="BD35" s="29">
        <v>0</v>
      </c>
      <c r="BE35" s="29">
        <v>0</v>
      </c>
      <c r="BF35" s="29">
        <v>0</v>
      </c>
      <c r="BG35" s="29">
        <v>0</v>
      </c>
      <c r="BH35" s="29">
        <v>0</v>
      </c>
      <c r="BI35" s="29">
        <v>0</v>
      </c>
      <c r="BJ35" s="29">
        <v>0</v>
      </c>
      <c r="BK35" s="29">
        <v>0</v>
      </c>
      <c r="BL35" s="29">
        <v>0</v>
      </c>
      <c r="BM35" s="29">
        <v>0</v>
      </c>
      <c r="BN35" s="29">
        <v>0</v>
      </c>
      <c r="BO35" s="29">
        <v>0</v>
      </c>
      <c r="BP35" s="29">
        <v>0</v>
      </c>
      <c r="BQ35" s="29">
        <v>0</v>
      </c>
      <c r="BR35" s="29">
        <v>0</v>
      </c>
      <c r="BS35" s="29">
        <v>0</v>
      </c>
      <c r="BT35" s="29">
        <v>0</v>
      </c>
      <c r="BU35" s="29">
        <v>0</v>
      </c>
      <c r="BV35" s="29">
        <v>0</v>
      </c>
      <c r="BW35" s="29">
        <v>0</v>
      </c>
      <c r="BX35" s="29">
        <v>0</v>
      </c>
      <c r="BY35" s="29">
        <v>0</v>
      </c>
      <c r="BZ35" s="29">
        <v>0</v>
      </c>
      <c r="CA35" s="29">
        <v>0</v>
      </c>
      <c r="CB35" s="29">
        <v>0</v>
      </c>
      <c r="CC35" s="29">
        <v>0</v>
      </c>
      <c r="CD35" s="29">
        <v>0</v>
      </c>
      <c r="CE35" s="29">
        <v>0</v>
      </c>
      <c r="CF35" s="29">
        <v>0</v>
      </c>
      <c r="CG35" s="29">
        <v>0</v>
      </c>
      <c r="CH35" s="29">
        <v>0</v>
      </c>
      <c r="CI35" s="29">
        <v>0</v>
      </c>
      <c r="CJ35" s="29">
        <v>0</v>
      </c>
      <c r="CK35" s="29">
        <v>0</v>
      </c>
      <c r="CL35" s="29">
        <v>0</v>
      </c>
      <c r="CM35" s="29">
        <v>0</v>
      </c>
      <c r="CN35" s="29">
        <v>0</v>
      </c>
      <c r="CO35" s="29">
        <v>0</v>
      </c>
      <c r="CP35" s="29">
        <v>0</v>
      </c>
      <c r="CQ35" s="29">
        <v>0</v>
      </c>
      <c r="CR35" s="29">
        <v>0</v>
      </c>
      <c r="CS35" s="29">
        <v>0</v>
      </c>
      <c r="CT35" s="29">
        <v>0</v>
      </c>
      <c r="CU35" s="29">
        <v>0</v>
      </c>
      <c r="CV35" s="29">
        <v>0</v>
      </c>
      <c r="CW35" s="29">
        <v>0</v>
      </c>
      <c r="CX35" s="29">
        <v>0</v>
      </c>
      <c r="CY35" s="29">
        <v>0</v>
      </c>
      <c r="CZ35" s="29">
        <v>0</v>
      </c>
      <c r="DA35" s="29">
        <v>0</v>
      </c>
      <c r="DB35" s="29">
        <v>0</v>
      </c>
      <c r="DC35" s="29">
        <v>0</v>
      </c>
      <c r="DD35" s="29">
        <v>0</v>
      </c>
      <c r="DE35" s="29">
        <v>0</v>
      </c>
      <c r="DF35" s="29">
        <v>0</v>
      </c>
      <c r="DG35" s="29">
        <v>0</v>
      </c>
      <c r="DH35" s="29">
        <v>0</v>
      </c>
      <c r="DI35" s="29">
        <v>0</v>
      </c>
      <c r="DJ35" s="29">
        <v>0</v>
      </c>
      <c r="DK35" s="29">
        <v>0</v>
      </c>
      <c r="DL35" s="29">
        <v>0</v>
      </c>
      <c r="DM35" s="29">
        <v>0</v>
      </c>
      <c r="DN35" s="29">
        <v>0</v>
      </c>
      <c r="DO35" s="29">
        <v>0</v>
      </c>
      <c r="DP35" s="29">
        <v>0</v>
      </c>
      <c r="DQ35" s="29">
        <v>0</v>
      </c>
      <c r="DR35" s="29">
        <v>0</v>
      </c>
      <c r="DS35" s="29">
        <v>0</v>
      </c>
      <c r="DT35" s="29">
        <v>0</v>
      </c>
      <c r="DU35" s="29">
        <v>0</v>
      </c>
      <c r="DV35" s="29">
        <v>0</v>
      </c>
      <c r="DW35" s="29">
        <v>0</v>
      </c>
      <c r="DX35" s="29">
        <v>0</v>
      </c>
      <c r="DY35" s="29">
        <v>0</v>
      </c>
      <c r="DZ35" s="29">
        <v>0</v>
      </c>
      <c r="EA35" s="29">
        <v>0</v>
      </c>
      <c r="EB35" s="29">
        <v>0</v>
      </c>
      <c r="EC35" s="29">
        <v>0</v>
      </c>
      <c r="ED35" s="29">
        <v>0</v>
      </c>
      <c r="EE35" s="29">
        <v>0</v>
      </c>
      <c r="EF35" s="29">
        <v>0</v>
      </c>
      <c r="EG35" s="29">
        <v>0</v>
      </c>
      <c r="EH35" s="29">
        <v>0</v>
      </c>
      <c r="EI35" s="29">
        <v>0</v>
      </c>
      <c r="EJ35" s="29">
        <v>0</v>
      </c>
      <c r="EK35" s="29">
        <v>0</v>
      </c>
      <c r="EL35" s="29">
        <v>0</v>
      </c>
      <c r="EM35" s="29">
        <v>0</v>
      </c>
      <c r="EN35" s="29">
        <v>0</v>
      </c>
      <c r="EO35" s="29">
        <v>0</v>
      </c>
      <c r="EP35" s="29">
        <v>0</v>
      </c>
      <c r="EQ35" s="29">
        <v>0</v>
      </c>
      <c r="ER35" s="29">
        <v>0</v>
      </c>
      <c r="ES35" s="29">
        <v>0</v>
      </c>
      <c r="ET35" s="29">
        <v>0</v>
      </c>
      <c r="EU35" s="29">
        <v>0</v>
      </c>
      <c r="EV35" s="29">
        <v>0</v>
      </c>
      <c r="EW35" s="29">
        <v>0</v>
      </c>
      <c r="EX35" s="29">
        <v>0</v>
      </c>
      <c r="EY35" s="29">
        <v>0</v>
      </c>
      <c r="EZ35" s="29">
        <v>0</v>
      </c>
      <c r="FA35" s="29">
        <v>0</v>
      </c>
      <c r="FB35" s="29">
        <v>0</v>
      </c>
      <c r="FC35" s="29">
        <v>0</v>
      </c>
      <c r="FD35" s="29">
        <v>0</v>
      </c>
      <c r="FE35" s="29">
        <v>0</v>
      </c>
      <c r="FF35" s="29">
        <v>0</v>
      </c>
      <c r="FG35" s="29">
        <v>0</v>
      </c>
      <c r="FH35" s="29">
        <v>0</v>
      </c>
      <c r="FI35" s="29">
        <v>0</v>
      </c>
      <c r="FJ35" s="29">
        <v>0</v>
      </c>
      <c r="FK35" s="29">
        <v>0</v>
      </c>
      <c r="FL35" s="29">
        <v>0</v>
      </c>
      <c r="FM35" s="29">
        <v>0</v>
      </c>
      <c r="FN35" s="29">
        <v>0</v>
      </c>
      <c r="FO35" s="29">
        <v>0</v>
      </c>
      <c r="FP35" s="29">
        <v>0</v>
      </c>
      <c r="FQ35" s="29">
        <v>0</v>
      </c>
      <c r="FR35" s="29">
        <v>0</v>
      </c>
      <c r="FS35" s="29">
        <v>0</v>
      </c>
      <c r="FT35" s="29">
        <v>0</v>
      </c>
      <c r="FU35" s="29">
        <v>0</v>
      </c>
      <c r="FV35" s="29">
        <v>0</v>
      </c>
      <c r="FW35" s="29">
        <v>0</v>
      </c>
      <c r="FX35" s="29">
        <v>0</v>
      </c>
      <c r="FY35" s="29">
        <v>0</v>
      </c>
      <c r="FZ35" s="29">
        <v>0</v>
      </c>
      <c r="GA35" s="29">
        <v>0</v>
      </c>
      <c r="GB35" s="29">
        <v>0</v>
      </c>
      <c r="GC35" s="29">
        <v>0</v>
      </c>
      <c r="GD35" s="29">
        <v>0</v>
      </c>
      <c r="GE35" s="29">
        <v>0</v>
      </c>
      <c r="GF35" s="29">
        <v>0</v>
      </c>
      <c r="GG35" s="29">
        <v>0</v>
      </c>
      <c r="GH35" s="29">
        <v>0</v>
      </c>
      <c r="GI35" s="206">
        <f>SUM(K35:V35)</f>
        <v>25.8</v>
      </c>
      <c r="GJ35" s="206">
        <f>SUM(T35:AE35)</f>
        <v>34.4</v>
      </c>
      <c r="GK35" s="206">
        <f>SUM(AF35:AQ35)</f>
        <v>0</v>
      </c>
      <c r="GL35" s="206">
        <f>SUM(AR35:BC35)</f>
        <v>0</v>
      </c>
      <c r="GM35" s="206">
        <f>SUM(BD35:BO35)</f>
        <v>0</v>
      </c>
      <c r="GN35" s="206">
        <f>SUM(BP35:CA35)</f>
        <v>0</v>
      </c>
      <c r="GO35" s="206">
        <f>SUM(CB35:CM35)</f>
        <v>0</v>
      </c>
      <c r="GP35" s="206">
        <f>SUM(CN35:CY35)</f>
        <v>0</v>
      </c>
      <c r="GQ35" s="206">
        <f>SUM(CZ35:DK35)</f>
        <v>0</v>
      </c>
      <c r="GR35" s="206">
        <f>SUM(DL35:DW35)</f>
        <v>0</v>
      </c>
      <c r="GS35" s="206">
        <f>SUM(DX35:EI35)</f>
        <v>0</v>
      </c>
      <c r="GT35" s="206">
        <f>SUM(EJ35:EU35)</f>
        <v>0</v>
      </c>
      <c r="GU35" s="206">
        <f>SUM(EV35:FG35)</f>
        <v>0</v>
      </c>
      <c r="GV35" s="206">
        <f>SUM(FH35:FS35)</f>
        <v>0</v>
      </c>
      <c r="GW35" s="206">
        <f>SUM(FT35:GE35)</f>
        <v>0</v>
      </c>
    </row>
    <row r="36" spans="1:205" ht="14" customHeight="1" x14ac:dyDescent="0.35">
      <c r="A36" s="10" t="s">
        <v>45</v>
      </c>
      <c r="B36" s="11" t="s">
        <v>49</v>
      </c>
      <c r="C36" s="12" t="s">
        <v>47</v>
      </c>
      <c r="D36" s="12" t="s">
        <v>48</v>
      </c>
      <c r="E36" s="21" t="str">
        <f>'Supplier Registry'!N18</f>
        <v>Inactive</v>
      </c>
      <c r="F36" s="21">
        <f>'Supplier Registry'!M18</f>
        <v>0</v>
      </c>
      <c r="G36" s="21">
        <f>'Supplier Registry'!E18</f>
        <v>4.3</v>
      </c>
      <c r="H36" s="58">
        <f>'Supplier Registry'!P18</f>
        <v>18</v>
      </c>
      <c r="I36" s="74">
        <f>IFERROR(EDATE(Controls!B5,H36),"")</f>
        <v>46661</v>
      </c>
      <c r="J36" s="75">
        <f>IFERROR(EDATE(I36,-'Supplier Registry'!Q18),"")</f>
        <v>46631</v>
      </c>
      <c r="K36" s="29"/>
      <c r="L36" s="29"/>
      <c r="M36" s="29"/>
      <c r="N36" s="29"/>
      <c r="O36" s="29"/>
      <c r="P36" s="29"/>
      <c r="Q36" s="29"/>
      <c r="R36" s="29"/>
      <c r="S36" s="29"/>
      <c r="T36" s="29"/>
      <c r="U36" s="29"/>
      <c r="V36" s="29"/>
      <c r="W36" s="29"/>
      <c r="X36" s="29"/>
      <c r="Y36" s="29"/>
      <c r="Z36" s="29"/>
      <c r="AA36" s="29"/>
      <c r="AB36" s="29"/>
      <c r="AC36" s="29"/>
      <c r="AD36" s="29"/>
      <c r="AE36" s="29"/>
      <c r="AF36" s="29">
        <v>0</v>
      </c>
      <c r="AG36" s="29">
        <v>0</v>
      </c>
      <c r="AH36" s="29">
        <v>0</v>
      </c>
      <c r="AI36" s="29">
        <v>0</v>
      </c>
      <c r="AJ36" s="29">
        <v>0</v>
      </c>
      <c r="AK36" s="29">
        <v>0</v>
      </c>
      <c r="AL36" s="29">
        <v>0</v>
      </c>
      <c r="AM36" s="29">
        <v>0</v>
      </c>
      <c r="AN36" s="29">
        <v>0</v>
      </c>
      <c r="AO36" s="29">
        <v>0</v>
      </c>
      <c r="AP36" s="29">
        <v>0</v>
      </c>
      <c r="AQ36" s="29">
        <v>0</v>
      </c>
      <c r="AR36" s="29">
        <v>0</v>
      </c>
      <c r="AS36" s="29">
        <v>0</v>
      </c>
      <c r="AT36" s="29">
        <v>0</v>
      </c>
      <c r="AU36" s="29">
        <v>0</v>
      </c>
      <c r="AV36" s="29">
        <v>0</v>
      </c>
      <c r="AW36" s="29">
        <v>0</v>
      </c>
      <c r="AX36" s="29">
        <v>0</v>
      </c>
      <c r="AY36" s="29">
        <v>0</v>
      </c>
      <c r="AZ36" s="29">
        <v>0</v>
      </c>
      <c r="BA36" s="29">
        <v>0</v>
      </c>
      <c r="BB36" s="29">
        <v>0</v>
      </c>
      <c r="BC36" s="29">
        <v>0</v>
      </c>
      <c r="BD36" s="29">
        <v>0</v>
      </c>
      <c r="BE36" s="29">
        <v>0</v>
      </c>
      <c r="BF36" s="29">
        <v>0</v>
      </c>
      <c r="BG36" s="29">
        <v>0</v>
      </c>
      <c r="BH36" s="29">
        <v>0</v>
      </c>
      <c r="BI36" s="29">
        <v>0</v>
      </c>
      <c r="BJ36" s="29">
        <v>0</v>
      </c>
      <c r="BK36" s="29">
        <v>0</v>
      </c>
      <c r="BL36" s="29">
        <v>0</v>
      </c>
      <c r="BM36" s="29">
        <v>0</v>
      </c>
      <c r="BN36" s="29">
        <v>0</v>
      </c>
      <c r="BO36" s="29">
        <v>0</v>
      </c>
      <c r="BP36" s="29">
        <v>0</v>
      </c>
      <c r="BQ36" s="29">
        <v>0</v>
      </c>
      <c r="BR36" s="29">
        <v>0</v>
      </c>
      <c r="BS36" s="29">
        <v>0</v>
      </c>
      <c r="BT36" s="29">
        <v>0</v>
      </c>
      <c r="BU36" s="29">
        <v>0</v>
      </c>
      <c r="BV36" s="29">
        <v>0</v>
      </c>
      <c r="BW36" s="29">
        <v>0</v>
      </c>
      <c r="BX36" s="29">
        <v>0</v>
      </c>
      <c r="BY36" s="29">
        <v>0</v>
      </c>
      <c r="BZ36" s="29">
        <v>0</v>
      </c>
      <c r="CA36" s="29">
        <v>0</v>
      </c>
      <c r="CB36" s="29">
        <v>0</v>
      </c>
      <c r="CC36" s="29">
        <v>0</v>
      </c>
      <c r="CD36" s="29">
        <v>0</v>
      </c>
      <c r="CE36" s="29">
        <v>0</v>
      </c>
      <c r="CF36" s="29">
        <v>0</v>
      </c>
      <c r="CG36" s="29">
        <v>0</v>
      </c>
      <c r="CH36" s="29">
        <v>0</v>
      </c>
      <c r="CI36" s="29">
        <v>0</v>
      </c>
      <c r="CJ36" s="29">
        <v>0</v>
      </c>
      <c r="CK36" s="29">
        <v>0</v>
      </c>
      <c r="CL36" s="29">
        <v>0</v>
      </c>
      <c r="CM36" s="29">
        <v>0</v>
      </c>
      <c r="CN36" s="29">
        <v>0</v>
      </c>
      <c r="CO36" s="29">
        <v>0</v>
      </c>
      <c r="CP36" s="29">
        <v>0</v>
      </c>
      <c r="CQ36" s="29">
        <v>0</v>
      </c>
      <c r="CR36" s="29">
        <v>0</v>
      </c>
      <c r="CS36" s="29">
        <v>0</v>
      </c>
      <c r="CT36" s="29">
        <v>0</v>
      </c>
      <c r="CU36" s="29">
        <v>0</v>
      </c>
      <c r="CV36" s="29">
        <v>0</v>
      </c>
      <c r="CW36" s="29">
        <v>0</v>
      </c>
      <c r="CX36" s="29">
        <v>0</v>
      </c>
      <c r="CY36" s="29">
        <v>0</v>
      </c>
      <c r="CZ36" s="29">
        <v>0</v>
      </c>
      <c r="DA36" s="29">
        <v>0</v>
      </c>
      <c r="DB36" s="29">
        <v>0</v>
      </c>
      <c r="DC36" s="29">
        <v>0</v>
      </c>
      <c r="DD36" s="29">
        <v>0</v>
      </c>
      <c r="DE36" s="29">
        <v>0</v>
      </c>
      <c r="DF36" s="29">
        <v>0</v>
      </c>
      <c r="DG36" s="29">
        <v>0</v>
      </c>
      <c r="DH36" s="29">
        <v>0</v>
      </c>
      <c r="DI36" s="29">
        <v>0</v>
      </c>
      <c r="DJ36" s="29">
        <v>0</v>
      </c>
      <c r="DK36" s="29">
        <v>0</v>
      </c>
      <c r="DL36" s="29">
        <v>0</v>
      </c>
      <c r="DM36" s="29">
        <v>0</v>
      </c>
      <c r="DN36" s="29">
        <v>0</v>
      </c>
      <c r="DO36" s="29">
        <v>0</v>
      </c>
      <c r="DP36" s="29">
        <v>0</v>
      </c>
      <c r="DQ36" s="29">
        <v>0</v>
      </c>
      <c r="DR36" s="29">
        <v>0</v>
      </c>
      <c r="DS36" s="29">
        <v>0</v>
      </c>
      <c r="DT36" s="29">
        <v>0</v>
      </c>
      <c r="DU36" s="29">
        <v>0</v>
      </c>
      <c r="DV36" s="29">
        <v>0</v>
      </c>
      <c r="DW36" s="29">
        <v>0</v>
      </c>
      <c r="DX36" s="29">
        <v>0</v>
      </c>
      <c r="DY36" s="29">
        <v>0</v>
      </c>
      <c r="DZ36" s="29">
        <v>0</v>
      </c>
      <c r="EA36" s="29">
        <v>0</v>
      </c>
      <c r="EB36" s="29">
        <v>0</v>
      </c>
      <c r="EC36" s="29">
        <v>0</v>
      </c>
      <c r="ED36" s="29">
        <v>0</v>
      </c>
      <c r="EE36" s="29">
        <v>0</v>
      </c>
      <c r="EF36" s="29">
        <v>0</v>
      </c>
      <c r="EG36" s="29">
        <v>0</v>
      </c>
      <c r="EH36" s="29">
        <v>0</v>
      </c>
      <c r="EI36" s="29">
        <v>0</v>
      </c>
      <c r="EJ36" s="29">
        <v>0</v>
      </c>
      <c r="EK36" s="29">
        <v>0</v>
      </c>
      <c r="EL36" s="29">
        <v>0</v>
      </c>
      <c r="EM36" s="29">
        <v>0</v>
      </c>
      <c r="EN36" s="29">
        <v>0</v>
      </c>
      <c r="EO36" s="29">
        <v>0</v>
      </c>
      <c r="EP36" s="29">
        <v>0</v>
      </c>
      <c r="EQ36" s="29">
        <v>0</v>
      </c>
      <c r="ER36" s="29">
        <v>0</v>
      </c>
      <c r="ES36" s="29">
        <v>0</v>
      </c>
      <c r="ET36" s="29">
        <v>0</v>
      </c>
      <c r="EU36" s="29">
        <v>0</v>
      </c>
      <c r="EV36" s="29">
        <v>0</v>
      </c>
      <c r="EW36" s="29">
        <v>0</v>
      </c>
      <c r="EX36" s="29">
        <v>0</v>
      </c>
      <c r="EY36" s="29">
        <v>0</v>
      </c>
      <c r="EZ36" s="29">
        <v>0</v>
      </c>
      <c r="FA36" s="29">
        <v>0</v>
      </c>
      <c r="FB36" s="29">
        <v>0</v>
      </c>
      <c r="FC36" s="29">
        <v>0</v>
      </c>
      <c r="FD36" s="29">
        <v>0</v>
      </c>
      <c r="FE36" s="29">
        <v>0</v>
      </c>
      <c r="FF36" s="29">
        <v>0</v>
      </c>
      <c r="FG36" s="29">
        <v>0</v>
      </c>
      <c r="FH36" s="29">
        <v>0</v>
      </c>
      <c r="FI36" s="29">
        <v>0</v>
      </c>
      <c r="FJ36" s="29">
        <v>0</v>
      </c>
      <c r="FK36" s="29">
        <v>0</v>
      </c>
      <c r="FL36" s="29">
        <v>0</v>
      </c>
      <c r="FM36" s="29">
        <v>0</v>
      </c>
      <c r="FN36" s="29">
        <v>0</v>
      </c>
      <c r="FO36" s="29">
        <v>0</v>
      </c>
      <c r="FP36" s="29">
        <v>0</v>
      </c>
      <c r="FQ36" s="29">
        <v>0</v>
      </c>
      <c r="FR36" s="29">
        <v>0</v>
      </c>
      <c r="FS36" s="29">
        <v>0</v>
      </c>
      <c r="FT36" s="29">
        <v>0</v>
      </c>
      <c r="FU36" s="29">
        <v>0</v>
      </c>
      <c r="FV36" s="29">
        <v>0</v>
      </c>
      <c r="FW36" s="29">
        <v>0</v>
      </c>
      <c r="FX36" s="29">
        <v>0</v>
      </c>
      <c r="FY36" s="29">
        <v>0</v>
      </c>
      <c r="FZ36" s="29">
        <v>0</v>
      </c>
      <c r="GA36" s="29">
        <v>0</v>
      </c>
      <c r="GB36" s="29">
        <v>0</v>
      </c>
      <c r="GC36" s="29">
        <v>0</v>
      </c>
      <c r="GD36" s="29">
        <v>0</v>
      </c>
      <c r="GE36" s="29">
        <v>0</v>
      </c>
      <c r="GF36" s="29">
        <v>0</v>
      </c>
      <c r="GG36" s="29">
        <v>0</v>
      </c>
      <c r="GH36" s="29">
        <v>0</v>
      </c>
      <c r="GI36" s="206">
        <f>SUM(K36:V36)</f>
        <v>0</v>
      </c>
      <c r="GJ36" s="206">
        <f>SUM(T36:AE36)</f>
        <v>0</v>
      </c>
      <c r="GK36" s="206">
        <f>SUM(AF36:AQ36)</f>
        <v>0</v>
      </c>
      <c r="GL36" s="206">
        <f>SUM(AR36:BC36)</f>
        <v>0</v>
      </c>
      <c r="GM36" s="206">
        <f>SUM(BD36:BO36)</f>
        <v>0</v>
      </c>
      <c r="GN36" s="206">
        <f>SUM(BP36:CA36)</f>
        <v>0</v>
      </c>
      <c r="GO36" s="206">
        <f>SUM(CB36:CM36)</f>
        <v>0</v>
      </c>
      <c r="GP36" s="206">
        <f>SUM(CN36:CY36)</f>
        <v>0</v>
      </c>
      <c r="GQ36" s="206">
        <f>SUM(CZ36:DK36)</f>
        <v>0</v>
      </c>
      <c r="GR36" s="206">
        <f>SUM(DL36:DW36)</f>
        <v>0</v>
      </c>
      <c r="GS36" s="206">
        <f>SUM(DX36:EI36)</f>
        <v>0</v>
      </c>
      <c r="GT36" s="206">
        <f>SUM(EJ36:EU36)</f>
        <v>0</v>
      </c>
      <c r="GU36" s="206">
        <f>SUM(EV36:FG36)</f>
        <v>0</v>
      </c>
      <c r="GV36" s="206">
        <f>SUM(FH36:FS36)</f>
        <v>0</v>
      </c>
      <c r="GW36" s="206">
        <f>SUM(FT36:GE36)</f>
        <v>0</v>
      </c>
    </row>
    <row r="37" spans="1:205" ht="18" customHeight="1" x14ac:dyDescent="0.35">
      <c r="A37" s="26" t="s">
        <v>45</v>
      </c>
      <c r="B37" s="26" t="s">
        <v>390</v>
      </c>
      <c r="C37" s="31"/>
      <c r="D37" s="31"/>
      <c r="E37" s="31"/>
      <c r="F37" s="31"/>
      <c r="G37" s="31"/>
      <c r="K37" s="32">
        <f>IF($E35="Active",K35,0)+IF($E36="Active",K36,0)</f>
        <v>0</v>
      </c>
      <c r="L37" s="32">
        <f>IF($E35="Active",L35,0)+IF($E36="Active",L36,0)</f>
        <v>0</v>
      </c>
      <c r="M37" s="32">
        <f t="shared" ref="M37:BX37" si="21">IF($E35="Active",M35,0)+IF($E36="Active",M36,0)</f>
        <v>0</v>
      </c>
      <c r="N37" s="32">
        <f t="shared" si="21"/>
        <v>0</v>
      </c>
      <c r="O37" s="32">
        <f t="shared" si="21"/>
        <v>8.6</v>
      </c>
      <c r="P37" s="32">
        <f t="shared" si="21"/>
        <v>12.9</v>
      </c>
      <c r="Q37" s="32">
        <f t="shared" si="21"/>
        <v>4.3</v>
      </c>
      <c r="R37" s="32">
        <f t="shared" si="21"/>
        <v>0</v>
      </c>
      <c r="S37" s="32">
        <f t="shared" si="21"/>
        <v>0</v>
      </c>
      <c r="T37" s="32">
        <f t="shared" si="21"/>
        <v>0</v>
      </c>
      <c r="U37" s="32">
        <f t="shared" si="21"/>
        <v>0</v>
      </c>
      <c r="V37" s="32">
        <f t="shared" si="21"/>
        <v>0</v>
      </c>
      <c r="W37" s="32">
        <f t="shared" si="21"/>
        <v>0</v>
      </c>
      <c r="X37" s="32">
        <f t="shared" si="21"/>
        <v>0</v>
      </c>
      <c r="Y37" s="32">
        <f t="shared" si="21"/>
        <v>0</v>
      </c>
      <c r="Z37" s="32">
        <f t="shared" si="21"/>
        <v>8.6</v>
      </c>
      <c r="AA37" s="32">
        <f t="shared" si="21"/>
        <v>8.6</v>
      </c>
      <c r="AB37" s="32">
        <f t="shared" si="21"/>
        <v>8.6</v>
      </c>
      <c r="AC37" s="32">
        <f t="shared" si="21"/>
        <v>8.6</v>
      </c>
      <c r="AD37" s="32">
        <f t="shared" si="21"/>
        <v>0</v>
      </c>
      <c r="AE37" s="32">
        <f t="shared" si="21"/>
        <v>0</v>
      </c>
      <c r="AF37" s="32">
        <f t="shared" si="21"/>
        <v>0</v>
      </c>
      <c r="AG37" s="32">
        <f t="shared" si="21"/>
        <v>0</v>
      </c>
      <c r="AH37" s="32">
        <f t="shared" si="21"/>
        <v>0</v>
      </c>
      <c r="AI37" s="32">
        <f t="shared" si="21"/>
        <v>0</v>
      </c>
      <c r="AJ37" s="32">
        <f t="shared" si="21"/>
        <v>0</v>
      </c>
      <c r="AK37" s="32">
        <f t="shared" si="21"/>
        <v>0</v>
      </c>
      <c r="AL37" s="32">
        <f t="shared" si="21"/>
        <v>0</v>
      </c>
      <c r="AM37" s="32">
        <f t="shared" si="21"/>
        <v>0</v>
      </c>
      <c r="AN37" s="32">
        <f t="shared" si="21"/>
        <v>0</v>
      </c>
      <c r="AO37" s="32">
        <f t="shared" si="21"/>
        <v>0</v>
      </c>
      <c r="AP37" s="32">
        <f t="shared" si="21"/>
        <v>0</v>
      </c>
      <c r="AQ37" s="32">
        <f t="shared" si="21"/>
        <v>0</v>
      </c>
      <c r="AR37" s="32">
        <f t="shared" si="21"/>
        <v>0</v>
      </c>
      <c r="AS37" s="32">
        <f t="shared" si="21"/>
        <v>0</v>
      </c>
      <c r="AT37" s="32">
        <f t="shared" si="21"/>
        <v>0</v>
      </c>
      <c r="AU37" s="32">
        <f t="shared" si="21"/>
        <v>0</v>
      </c>
      <c r="AV37" s="32">
        <f t="shared" si="21"/>
        <v>0</v>
      </c>
      <c r="AW37" s="32">
        <f t="shared" si="21"/>
        <v>0</v>
      </c>
      <c r="AX37" s="32">
        <f t="shared" si="21"/>
        <v>0</v>
      </c>
      <c r="AY37" s="32">
        <f t="shared" si="21"/>
        <v>0</v>
      </c>
      <c r="AZ37" s="32">
        <f t="shared" si="21"/>
        <v>0</v>
      </c>
      <c r="BA37" s="32">
        <f t="shared" si="21"/>
        <v>0</v>
      </c>
      <c r="BB37" s="32">
        <f t="shared" si="21"/>
        <v>0</v>
      </c>
      <c r="BC37" s="32">
        <f t="shared" si="21"/>
        <v>0</v>
      </c>
      <c r="BD37" s="32">
        <f t="shared" si="21"/>
        <v>0</v>
      </c>
      <c r="BE37" s="32">
        <f t="shared" si="21"/>
        <v>0</v>
      </c>
      <c r="BF37" s="32">
        <f t="shared" si="21"/>
        <v>0</v>
      </c>
      <c r="BG37" s="32">
        <f t="shared" si="21"/>
        <v>0</v>
      </c>
      <c r="BH37" s="32">
        <f t="shared" si="21"/>
        <v>0</v>
      </c>
      <c r="BI37" s="32">
        <f t="shared" si="21"/>
        <v>0</v>
      </c>
      <c r="BJ37" s="32">
        <f t="shared" si="21"/>
        <v>0</v>
      </c>
      <c r="BK37" s="32">
        <f t="shared" si="21"/>
        <v>0</v>
      </c>
      <c r="BL37" s="32">
        <f t="shared" si="21"/>
        <v>0</v>
      </c>
      <c r="BM37" s="32">
        <f t="shared" si="21"/>
        <v>0</v>
      </c>
      <c r="BN37" s="32">
        <f t="shared" si="21"/>
        <v>0</v>
      </c>
      <c r="BO37" s="32">
        <f t="shared" si="21"/>
        <v>0</v>
      </c>
      <c r="BP37" s="32">
        <f t="shared" si="21"/>
        <v>0</v>
      </c>
      <c r="BQ37" s="32">
        <f t="shared" si="21"/>
        <v>0</v>
      </c>
      <c r="BR37" s="32">
        <f t="shared" si="21"/>
        <v>0</v>
      </c>
      <c r="BS37" s="32">
        <f t="shared" si="21"/>
        <v>0</v>
      </c>
      <c r="BT37" s="32">
        <f t="shared" si="21"/>
        <v>0</v>
      </c>
      <c r="BU37" s="32">
        <f t="shared" si="21"/>
        <v>0</v>
      </c>
      <c r="BV37" s="32">
        <f t="shared" si="21"/>
        <v>0</v>
      </c>
      <c r="BW37" s="32">
        <f t="shared" si="21"/>
        <v>0</v>
      </c>
      <c r="BX37" s="32">
        <f t="shared" si="21"/>
        <v>0</v>
      </c>
      <c r="BY37" s="32">
        <f t="shared" ref="BY37:EJ37" si="22">IF($E35="Active",BY35,0)+IF($E36="Active",BY36,0)</f>
        <v>0</v>
      </c>
      <c r="BZ37" s="32">
        <f t="shared" si="22"/>
        <v>0</v>
      </c>
      <c r="CA37" s="32">
        <f t="shared" si="22"/>
        <v>0</v>
      </c>
      <c r="CB37" s="32">
        <f t="shared" si="22"/>
        <v>0</v>
      </c>
      <c r="CC37" s="32">
        <f t="shared" si="22"/>
        <v>0</v>
      </c>
      <c r="CD37" s="32">
        <f t="shared" si="22"/>
        <v>0</v>
      </c>
      <c r="CE37" s="32">
        <f t="shared" si="22"/>
        <v>0</v>
      </c>
      <c r="CF37" s="32">
        <f t="shared" si="22"/>
        <v>0</v>
      </c>
      <c r="CG37" s="32">
        <f t="shared" si="22"/>
        <v>0</v>
      </c>
      <c r="CH37" s="32">
        <f t="shared" si="22"/>
        <v>0</v>
      </c>
      <c r="CI37" s="32">
        <f t="shared" si="22"/>
        <v>0</v>
      </c>
      <c r="CJ37" s="32">
        <f t="shared" si="22"/>
        <v>0</v>
      </c>
      <c r="CK37" s="32">
        <f t="shared" si="22"/>
        <v>0</v>
      </c>
      <c r="CL37" s="32">
        <f t="shared" si="22"/>
        <v>0</v>
      </c>
      <c r="CM37" s="32">
        <f t="shared" si="22"/>
        <v>0</v>
      </c>
      <c r="CN37" s="32">
        <f t="shared" si="22"/>
        <v>0</v>
      </c>
      <c r="CO37" s="32">
        <f t="shared" si="22"/>
        <v>0</v>
      </c>
      <c r="CP37" s="32">
        <f t="shared" si="22"/>
        <v>0</v>
      </c>
      <c r="CQ37" s="32">
        <f t="shared" si="22"/>
        <v>0</v>
      </c>
      <c r="CR37" s="32">
        <f t="shared" si="22"/>
        <v>0</v>
      </c>
      <c r="CS37" s="32">
        <f t="shared" si="22"/>
        <v>0</v>
      </c>
      <c r="CT37" s="32">
        <f t="shared" si="22"/>
        <v>0</v>
      </c>
      <c r="CU37" s="32">
        <f t="shared" si="22"/>
        <v>0</v>
      </c>
      <c r="CV37" s="32">
        <f t="shared" si="22"/>
        <v>0</v>
      </c>
      <c r="CW37" s="32">
        <f t="shared" si="22"/>
        <v>0</v>
      </c>
      <c r="CX37" s="32">
        <f t="shared" si="22"/>
        <v>0</v>
      </c>
      <c r="CY37" s="32">
        <f t="shared" si="22"/>
        <v>0</v>
      </c>
      <c r="CZ37" s="32">
        <f t="shared" si="22"/>
        <v>0</v>
      </c>
      <c r="DA37" s="32">
        <f t="shared" si="22"/>
        <v>0</v>
      </c>
      <c r="DB37" s="32">
        <f t="shared" si="22"/>
        <v>0</v>
      </c>
      <c r="DC37" s="32">
        <f t="shared" si="22"/>
        <v>0</v>
      </c>
      <c r="DD37" s="32">
        <f t="shared" si="22"/>
        <v>0</v>
      </c>
      <c r="DE37" s="32">
        <f t="shared" si="22"/>
        <v>0</v>
      </c>
      <c r="DF37" s="32">
        <f t="shared" si="22"/>
        <v>0</v>
      </c>
      <c r="DG37" s="32">
        <f t="shared" si="22"/>
        <v>0</v>
      </c>
      <c r="DH37" s="32">
        <f t="shared" si="22"/>
        <v>0</v>
      </c>
      <c r="DI37" s="32">
        <f t="shared" si="22"/>
        <v>0</v>
      </c>
      <c r="DJ37" s="32">
        <f t="shared" si="22"/>
        <v>0</v>
      </c>
      <c r="DK37" s="32">
        <f t="shared" si="22"/>
        <v>0</v>
      </c>
      <c r="DL37" s="32">
        <f t="shared" si="22"/>
        <v>0</v>
      </c>
      <c r="DM37" s="32">
        <f t="shared" si="22"/>
        <v>0</v>
      </c>
      <c r="DN37" s="32">
        <f t="shared" si="22"/>
        <v>0</v>
      </c>
      <c r="DO37" s="32">
        <f t="shared" si="22"/>
        <v>0</v>
      </c>
      <c r="DP37" s="32">
        <f t="shared" si="22"/>
        <v>0</v>
      </c>
      <c r="DQ37" s="32">
        <f t="shared" si="22"/>
        <v>0</v>
      </c>
      <c r="DR37" s="32">
        <f t="shared" si="22"/>
        <v>0</v>
      </c>
      <c r="DS37" s="32">
        <f t="shared" si="22"/>
        <v>0</v>
      </c>
      <c r="DT37" s="32">
        <f t="shared" si="22"/>
        <v>0</v>
      </c>
      <c r="DU37" s="32">
        <f t="shared" si="22"/>
        <v>0</v>
      </c>
      <c r="DV37" s="32">
        <f t="shared" si="22"/>
        <v>0</v>
      </c>
      <c r="DW37" s="32">
        <f t="shared" si="22"/>
        <v>0</v>
      </c>
      <c r="DX37" s="32">
        <f t="shared" si="22"/>
        <v>0</v>
      </c>
      <c r="DY37" s="32">
        <f t="shared" si="22"/>
        <v>0</v>
      </c>
      <c r="DZ37" s="32">
        <f t="shared" si="22"/>
        <v>0</v>
      </c>
      <c r="EA37" s="32">
        <f t="shared" si="22"/>
        <v>0</v>
      </c>
      <c r="EB37" s="32">
        <f t="shared" si="22"/>
        <v>0</v>
      </c>
      <c r="EC37" s="32">
        <f t="shared" si="22"/>
        <v>0</v>
      </c>
      <c r="ED37" s="32">
        <f t="shared" si="22"/>
        <v>0</v>
      </c>
      <c r="EE37" s="32">
        <f t="shared" si="22"/>
        <v>0</v>
      </c>
      <c r="EF37" s="32">
        <f t="shared" si="22"/>
        <v>0</v>
      </c>
      <c r="EG37" s="32">
        <f t="shared" si="22"/>
        <v>0</v>
      </c>
      <c r="EH37" s="32">
        <f t="shared" si="22"/>
        <v>0</v>
      </c>
      <c r="EI37" s="32">
        <f t="shared" si="22"/>
        <v>0</v>
      </c>
      <c r="EJ37" s="32">
        <f t="shared" si="22"/>
        <v>0</v>
      </c>
      <c r="EK37" s="32">
        <f t="shared" ref="EK37:GH37" si="23">IF($E35="Active",EK35,0)+IF($E36="Active",EK36,0)</f>
        <v>0</v>
      </c>
      <c r="EL37" s="32">
        <f t="shared" si="23"/>
        <v>0</v>
      </c>
      <c r="EM37" s="32">
        <f t="shared" si="23"/>
        <v>0</v>
      </c>
      <c r="EN37" s="32">
        <f t="shared" si="23"/>
        <v>0</v>
      </c>
      <c r="EO37" s="32">
        <f t="shared" si="23"/>
        <v>0</v>
      </c>
      <c r="EP37" s="32">
        <f t="shared" si="23"/>
        <v>0</v>
      </c>
      <c r="EQ37" s="32">
        <f t="shared" si="23"/>
        <v>0</v>
      </c>
      <c r="ER37" s="32">
        <f t="shared" si="23"/>
        <v>0</v>
      </c>
      <c r="ES37" s="32">
        <f t="shared" si="23"/>
        <v>0</v>
      </c>
      <c r="ET37" s="32">
        <f t="shared" si="23"/>
        <v>0</v>
      </c>
      <c r="EU37" s="32">
        <f t="shared" si="23"/>
        <v>0</v>
      </c>
      <c r="EV37" s="32">
        <f t="shared" si="23"/>
        <v>0</v>
      </c>
      <c r="EW37" s="32">
        <f t="shared" si="23"/>
        <v>0</v>
      </c>
      <c r="EX37" s="32">
        <f t="shared" si="23"/>
        <v>0</v>
      </c>
      <c r="EY37" s="32">
        <f t="shared" si="23"/>
        <v>0</v>
      </c>
      <c r="EZ37" s="32">
        <f t="shared" si="23"/>
        <v>0</v>
      </c>
      <c r="FA37" s="32">
        <f t="shared" si="23"/>
        <v>0</v>
      </c>
      <c r="FB37" s="32">
        <f t="shared" si="23"/>
        <v>0</v>
      </c>
      <c r="FC37" s="32">
        <f t="shared" si="23"/>
        <v>0</v>
      </c>
      <c r="FD37" s="32">
        <f t="shared" si="23"/>
        <v>0</v>
      </c>
      <c r="FE37" s="32">
        <f t="shared" si="23"/>
        <v>0</v>
      </c>
      <c r="FF37" s="32">
        <f t="shared" si="23"/>
        <v>0</v>
      </c>
      <c r="FG37" s="32">
        <f t="shared" si="23"/>
        <v>0</v>
      </c>
      <c r="FH37" s="32">
        <f t="shared" si="23"/>
        <v>0</v>
      </c>
      <c r="FI37" s="32">
        <f t="shared" si="23"/>
        <v>0</v>
      </c>
      <c r="FJ37" s="32">
        <f t="shared" si="23"/>
        <v>0</v>
      </c>
      <c r="FK37" s="32">
        <f t="shared" si="23"/>
        <v>0</v>
      </c>
      <c r="FL37" s="32">
        <f t="shared" si="23"/>
        <v>0</v>
      </c>
      <c r="FM37" s="32">
        <f t="shared" si="23"/>
        <v>0</v>
      </c>
      <c r="FN37" s="32">
        <f t="shared" si="23"/>
        <v>0</v>
      </c>
      <c r="FO37" s="32">
        <f t="shared" si="23"/>
        <v>0</v>
      </c>
      <c r="FP37" s="32">
        <f t="shared" si="23"/>
        <v>0</v>
      </c>
      <c r="FQ37" s="32">
        <f t="shared" si="23"/>
        <v>0</v>
      </c>
      <c r="FR37" s="32">
        <f t="shared" si="23"/>
        <v>0</v>
      </c>
      <c r="FS37" s="32">
        <f t="shared" si="23"/>
        <v>0</v>
      </c>
      <c r="FT37" s="32">
        <f t="shared" si="23"/>
        <v>0</v>
      </c>
      <c r="FU37" s="32">
        <f t="shared" si="23"/>
        <v>0</v>
      </c>
      <c r="FV37" s="32">
        <f t="shared" si="23"/>
        <v>0</v>
      </c>
      <c r="FW37" s="32">
        <f t="shared" si="23"/>
        <v>0</v>
      </c>
      <c r="FX37" s="32">
        <f t="shared" si="23"/>
        <v>0</v>
      </c>
      <c r="FY37" s="32">
        <f t="shared" si="23"/>
        <v>0</v>
      </c>
      <c r="FZ37" s="32">
        <f t="shared" si="23"/>
        <v>0</v>
      </c>
      <c r="GA37" s="32">
        <f t="shared" si="23"/>
        <v>0</v>
      </c>
      <c r="GB37" s="32">
        <f t="shared" si="23"/>
        <v>0</v>
      </c>
      <c r="GC37" s="32">
        <f t="shared" si="23"/>
        <v>0</v>
      </c>
      <c r="GD37" s="32">
        <f t="shared" si="23"/>
        <v>0</v>
      </c>
      <c r="GE37" s="32">
        <f t="shared" si="23"/>
        <v>0</v>
      </c>
      <c r="GF37" s="32">
        <f t="shared" si="23"/>
        <v>0</v>
      </c>
      <c r="GG37" s="32">
        <f t="shared" si="23"/>
        <v>0</v>
      </c>
      <c r="GH37" s="32">
        <f t="shared" si="23"/>
        <v>0</v>
      </c>
      <c r="GI37" s="32">
        <f>IF(E35="Active",GF35,0)+IF(E36="Active",GF36,0)</f>
        <v>0</v>
      </c>
      <c r="GJ37" s="32">
        <f>IF(E35="Active",GG35,0)+IF(E36="Active",GG36,0)</f>
        <v>0</v>
      </c>
      <c r="GK37" s="32">
        <f>IF(E35="Active",GH35,0)+IF(E36="Active",GH36,0)</f>
        <v>0</v>
      </c>
      <c r="GL37" s="32">
        <f>IF(E35="Active",GI35,0)+IF(E36="Active",GI36,0)</f>
        <v>25.8</v>
      </c>
      <c r="GM37" s="32">
        <f>IF(E35="Active",GJ35,0)+IF(E36="Active",GJ36,0)</f>
        <v>34.4</v>
      </c>
      <c r="GN37" s="32">
        <f>IF(E35="Active",GK35,0)+IF(E36="Active",GK36,0)</f>
        <v>0</v>
      </c>
      <c r="GO37" s="32">
        <f>IF(E35="Active",GL35,0)+IF(E36="Active",GL36,0)</f>
        <v>0</v>
      </c>
      <c r="GP37" s="32">
        <f>IF(E35="Active",GM35,0)+IF(E36="Active",GM36,0)</f>
        <v>0</v>
      </c>
      <c r="GQ37" s="32">
        <f>IF(E35="Active",GN35,0)+IF(E36="Active",GN36,0)</f>
        <v>0</v>
      </c>
      <c r="GR37" s="32">
        <f>IF(E35="Active",GO35,0)+IF(E36="Active",GO36,0)</f>
        <v>0</v>
      </c>
      <c r="GS37" s="32">
        <f>IF(E35="Active",GP35,0)+IF(E36="Active",GP36,0)</f>
        <v>0</v>
      </c>
      <c r="GT37" s="32">
        <f>IF(E35="Active",GQ35,0)+IF(E36="Active",GQ36,0)</f>
        <v>0</v>
      </c>
      <c r="GU37" s="32">
        <f>IF(E35="Active",GR35,0)+IF(E36="Active",GR36,0)</f>
        <v>0</v>
      </c>
      <c r="GV37" s="32">
        <f>IF(E35="Active",GS35,0)+IF(E36="Active",GS36,0)</f>
        <v>0</v>
      </c>
      <c r="GW37" s="32">
        <f>IF(E35="Active",GT35,0)+IF(E36="Active",GT36,0)</f>
        <v>0</v>
      </c>
    </row>
    <row r="39" spans="1:205" ht="22" customHeight="1" x14ac:dyDescent="0.35">
      <c r="A39" s="392" t="s">
        <v>394</v>
      </c>
      <c r="B39" s="393"/>
      <c r="C39" s="393"/>
      <c r="D39" s="393"/>
      <c r="E39" s="393"/>
      <c r="F39" s="393"/>
      <c r="G39" s="393"/>
      <c r="H39" s="393"/>
      <c r="I39" s="393"/>
      <c r="J39" s="393"/>
      <c r="K39" s="393"/>
      <c r="L39" s="393"/>
      <c r="M39" s="393"/>
      <c r="N39" s="393"/>
      <c r="O39" s="393"/>
      <c r="P39" s="393"/>
      <c r="Q39" s="393"/>
      <c r="R39" s="393"/>
      <c r="S39" s="393"/>
      <c r="T39" s="393"/>
      <c r="U39" s="393"/>
      <c r="V39" s="393"/>
      <c r="W39" s="393"/>
      <c r="X39" s="393"/>
      <c r="Y39" s="393"/>
      <c r="Z39" s="393"/>
      <c r="AA39" s="393"/>
      <c r="AB39" s="393"/>
      <c r="AC39" s="393"/>
      <c r="AD39" s="393"/>
      <c r="AE39" s="393"/>
      <c r="AF39" s="393"/>
      <c r="AG39" s="393"/>
      <c r="AH39" s="393"/>
      <c r="AI39" s="393"/>
      <c r="AJ39" s="393"/>
      <c r="AK39" s="393"/>
      <c r="AL39" s="393"/>
      <c r="AM39" s="393"/>
      <c r="AN39" s="393"/>
      <c r="AO39" s="393"/>
      <c r="AP39" s="393"/>
      <c r="AQ39" s="393"/>
      <c r="AR39" s="393"/>
      <c r="AS39" s="393"/>
      <c r="AT39" s="393"/>
      <c r="AU39" s="393"/>
      <c r="AV39" s="393"/>
      <c r="AW39" s="393"/>
      <c r="AX39" s="393"/>
      <c r="AY39" s="393"/>
      <c r="AZ39" s="393"/>
      <c r="BA39" s="393"/>
      <c r="BB39" s="393"/>
      <c r="BC39" s="393"/>
      <c r="BD39" s="393"/>
      <c r="BE39" s="393"/>
      <c r="BF39" s="393"/>
      <c r="BG39" s="393"/>
      <c r="BH39" s="393"/>
      <c r="BI39" s="393"/>
      <c r="BJ39" s="393"/>
      <c r="BK39" s="393"/>
      <c r="BL39" s="393"/>
      <c r="BM39" s="393"/>
      <c r="BN39" s="393"/>
      <c r="BO39" s="393"/>
      <c r="BP39" s="393"/>
      <c r="BQ39" s="393"/>
      <c r="BR39" s="393"/>
      <c r="BS39" s="393"/>
      <c r="BT39" s="393"/>
      <c r="BU39" s="393"/>
      <c r="BV39" s="393"/>
      <c r="BW39" s="393"/>
      <c r="BX39" s="393"/>
      <c r="BY39" s="393"/>
      <c r="BZ39" s="393"/>
      <c r="CA39" s="393"/>
      <c r="CB39" s="393"/>
      <c r="CC39" s="393"/>
      <c r="CD39" s="393"/>
      <c r="CE39" s="393"/>
      <c r="CF39" s="393"/>
      <c r="CG39" s="393"/>
      <c r="CH39" s="393"/>
      <c r="CI39" s="393"/>
      <c r="CJ39" s="393"/>
      <c r="CK39" s="393"/>
      <c r="CL39" s="393"/>
      <c r="CM39" s="393"/>
      <c r="CN39" s="393"/>
      <c r="CO39" s="393"/>
      <c r="CP39" s="393"/>
      <c r="CQ39" s="393"/>
      <c r="CR39" s="393"/>
      <c r="CS39" s="393"/>
      <c r="CT39" s="393"/>
      <c r="CU39" s="393"/>
      <c r="CV39" s="393"/>
      <c r="CW39" s="393"/>
      <c r="CX39" s="393"/>
      <c r="CY39" s="393"/>
      <c r="CZ39" s="393"/>
      <c r="DA39" s="393"/>
      <c r="DB39" s="393"/>
      <c r="DC39" s="393"/>
      <c r="DD39" s="393"/>
      <c r="DE39" s="393"/>
      <c r="DF39" s="393"/>
      <c r="DG39" s="393"/>
      <c r="DH39" s="393"/>
      <c r="DI39" s="393"/>
      <c r="DJ39" s="393"/>
      <c r="DK39" s="393"/>
      <c r="DL39" s="393"/>
      <c r="DM39" s="393"/>
      <c r="DN39" s="393"/>
      <c r="DO39" s="393"/>
      <c r="DP39" s="393"/>
      <c r="DQ39" s="393"/>
      <c r="DR39" s="393"/>
      <c r="DS39" s="393"/>
      <c r="DT39" s="393"/>
      <c r="DU39" s="393"/>
      <c r="DV39" s="393"/>
      <c r="DW39" s="393"/>
      <c r="DX39" s="393"/>
      <c r="DY39" s="393"/>
      <c r="DZ39" s="393"/>
      <c r="EA39" s="393"/>
      <c r="EB39" s="393"/>
      <c r="EC39" s="393"/>
      <c r="ED39" s="393"/>
      <c r="EE39" s="393"/>
      <c r="EF39" s="393"/>
      <c r="EG39" s="393"/>
      <c r="EH39" s="393"/>
      <c r="EI39" s="393"/>
      <c r="EJ39" s="393"/>
      <c r="EK39" s="393"/>
      <c r="EL39" s="393"/>
      <c r="EM39" s="393"/>
      <c r="EN39" s="393"/>
      <c r="EO39" s="393"/>
      <c r="EP39" s="393"/>
      <c r="EQ39" s="393"/>
      <c r="ER39" s="393"/>
      <c r="ES39" s="393"/>
      <c r="ET39" s="393"/>
      <c r="EU39" s="393"/>
      <c r="EV39" s="393"/>
      <c r="EW39" s="393"/>
      <c r="EX39" s="393"/>
      <c r="EY39" s="393"/>
      <c r="EZ39" s="393"/>
      <c r="FA39" s="393"/>
      <c r="FB39" s="393"/>
      <c r="FC39" s="393"/>
      <c r="FD39" s="393"/>
      <c r="FE39" s="393"/>
      <c r="FF39" s="393"/>
      <c r="FG39" s="393"/>
      <c r="FH39" s="393"/>
      <c r="FI39" s="393"/>
      <c r="FJ39" s="393"/>
      <c r="FK39" s="393"/>
      <c r="FL39" s="393"/>
      <c r="FM39" s="393"/>
      <c r="FN39" s="393"/>
      <c r="FO39" s="393"/>
      <c r="FP39" s="393"/>
      <c r="FQ39" s="393"/>
      <c r="FR39" s="393"/>
      <c r="FS39" s="393"/>
      <c r="FT39" s="393"/>
      <c r="FU39" s="393"/>
      <c r="FV39" s="393"/>
      <c r="FW39" s="393"/>
      <c r="FX39" s="393"/>
      <c r="FY39" s="393"/>
      <c r="FZ39" s="393"/>
      <c r="GA39" s="393"/>
      <c r="GB39" s="393"/>
      <c r="GC39" s="393"/>
      <c r="GD39" s="393"/>
      <c r="GE39" s="393"/>
      <c r="GF39" s="393"/>
      <c r="GG39" s="393"/>
      <c r="GH39" s="393"/>
      <c r="GI39" s="393"/>
      <c r="GJ39" s="393"/>
      <c r="GK39" s="393"/>
      <c r="GL39" s="393"/>
      <c r="GM39" s="393"/>
      <c r="GN39" s="393"/>
      <c r="GO39" s="393"/>
      <c r="GP39" s="393"/>
      <c r="GQ39" s="393"/>
      <c r="GR39" s="393"/>
      <c r="GS39" s="393"/>
    </row>
    <row r="40" spans="1:205" ht="14" customHeight="1" x14ac:dyDescent="0.35">
      <c r="A40" s="10" t="s">
        <v>50</v>
      </c>
      <c r="B40" s="16" t="s">
        <v>51</v>
      </c>
      <c r="C40" s="12" t="s">
        <v>52</v>
      </c>
      <c r="D40" s="12" t="s">
        <v>48</v>
      </c>
      <c r="E40" s="21" t="str">
        <f>'Supplier Registry'!N19</f>
        <v>Active</v>
      </c>
      <c r="F40" s="21">
        <f>'Supplier Registry'!M19</f>
        <v>1</v>
      </c>
      <c r="G40" s="21">
        <f>'Supplier Registry'!E19</f>
        <v>5</v>
      </c>
      <c r="H40" s="58">
        <f>'Supplier Registry'!P19</f>
        <v>12</v>
      </c>
      <c r="I40" s="74">
        <f>IFERROR(EDATE(Controls!B5,H40),"")</f>
        <v>46478</v>
      </c>
      <c r="J40" s="75">
        <f>IFERROR(EDATE(I40,-'Supplier Registry'!Q19),"")</f>
        <v>46447</v>
      </c>
      <c r="K40" s="29"/>
      <c r="L40" s="29"/>
      <c r="M40" s="29"/>
      <c r="N40" s="29"/>
      <c r="O40" s="29"/>
      <c r="P40" s="29"/>
      <c r="Q40" s="29"/>
      <c r="R40" s="29"/>
      <c r="S40" s="29"/>
      <c r="T40" s="29"/>
      <c r="U40" s="29"/>
      <c r="V40" s="29">
        <v>100</v>
      </c>
      <c r="W40" s="29"/>
      <c r="X40" s="29"/>
      <c r="Y40" s="29">
        <v>75</v>
      </c>
      <c r="Z40" s="29">
        <v>0</v>
      </c>
      <c r="AA40" s="29">
        <v>0</v>
      </c>
      <c r="AB40" s="29">
        <v>0</v>
      </c>
      <c r="AC40" s="29">
        <v>0</v>
      </c>
      <c r="AD40" s="29">
        <v>0</v>
      </c>
      <c r="AE40" s="29">
        <v>0</v>
      </c>
      <c r="AF40" s="29">
        <v>0</v>
      </c>
      <c r="AG40" s="29">
        <v>0</v>
      </c>
      <c r="AH40" s="29">
        <v>0</v>
      </c>
      <c r="AI40" s="29">
        <v>0</v>
      </c>
      <c r="AJ40" s="29">
        <v>0</v>
      </c>
      <c r="AK40" s="29">
        <v>0</v>
      </c>
      <c r="AL40" s="29">
        <v>0</v>
      </c>
      <c r="AM40" s="29">
        <v>0</v>
      </c>
      <c r="AN40" s="29">
        <v>0</v>
      </c>
      <c r="AO40" s="29">
        <v>0</v>
      </c>
      <c r="AP40" s="29">
        <v>0</v>
      </c>
      <c r="AQ40" s="29">
        <v>0</v>
      </c>
      <c r="AR40" s="29">
        <v>0</v>
      </c>
      <c r="AS40" s="29">
        <v>0</v>
      </c>
      <c r="AT40" s="29">
        <v>0</v>
      </c>
      <c r="AU40" s="29">
        <v>0</v>
      </c>
      <c r="AV40" s="29">
        <v>0</v>
      </c>
      <c r="AW40" s="29">
        <v>0</v>
      </c>
      <c r="AX40" s="29">
        <v>0</v>
      </c>
      <c r="AY40" s="29">
        <v>0</v>
      </c>
      <c r="AZ40" s="29">
        <v>0</v>
      </c>
      <c r="BA40" s="29">
        <v>0</v>
      </c>
      <c r="BB40" s="29">
        <v>0</v>
      </c>
      <c r="BC40" s="29">
        <v>0</v>
      </c>
      <c r="BD40" s="29">
        <v>0</v>
      </c>
      <c r="BE40" s="29">
        <v>0</v>
      </c>
      <c r="BF40" s="29">
        <v>0</v>
      </c>
      <c r="BG40" s="29">
        <v>0</v>
      </c>
      <c r="BH40" s="29">
        <v>0</v>
      </c>
      <c r="BI40" s="29">
        <v>0</v>
      </c>
      <c r="BJ40" s="29">
        <v>0</v>
      </c>
      <c r="BK40" s="29">
        <v>0</v>
      </c>
      <c r="BL40" s="29">
        <v>0</v>
      </c>
      <c r="BM40" s="29">
        <v>0</v>
      </c>
      <c r="BN40" s="29">
        <v>0</v>
      </c>
      <c r="BO40" s="29">
        <v>0</v>
      </c>
      <c r="BP40" s="29">
        <v>0</v>
      </c>
      <c r="BQ40" s="29">
        <v>0</v>
      </c>
      <c r="BR40" s="29">
        <v>0</v>
      </c>
      <c r="BS40" s="29">
        <v>0</v>
      </c>
      <c r="BT40" s="29">
        <v>0</v>
      </c>
      <c r="BU40" s="29">
        <v>0</v>
      </c>
      <c r="BV40" s="29">
        <v>0</v>
      </c>
      <c r="BW40" s="29">
        <v>0</v>
      </c>
      <c r="BX40" s="29">
        <v>0</v>
      </c>
      <c r="BY40" s="29">
        <v>0</v>
      </c>
      <c r="BZ40" s="29">
        <v>0</v>
      </c>
      <c r="CA40" s="29">
        <v>0</v>
      </c>
      <c r="CB40" s="29">
        <v>0</v>
      </c>
      <c r="CC40" s="29">
        <v>0</v>
      </c>
      <c r="CD40" s="29">
        <v>0</v>
      </c>
      <c r="CE40" s="29">
        <v>0</v>
      </c>
      <c r="CF40" s="29">
        <v>0</v>
      </c>
      <c r="CG40" s="29">
        <v>0</v>
      </c>
      <c r="CH40" s="29">
        <v>0</v>
      </c>
      <c r="CI40" s="29">
        <v>0</v>
      </c>
      <c r="CJ40" s="29">
        <v>0</v>
      </c>
      <c r="CK40" s="29">
        <v>0</v>
      </c>
      <c r="CL40" s="29">
        <v>0</v>
      </c>
      <c r="CM40" s="29">
        <v>0</v>
      </c>
      <c r="CN40" s="29">
        <v>0</v>
      </c>
      <c r="CO40" s="29">
        <v>0</v>
      </c>
      <c r="CP40" s="29">
        <v>0</v>
      </c>
      <c r="CQ40" s="29">
        <v>0</v>
      </c>
      <c r="CR40" s="29">
        <v>0</v>
      </c>
      <c r="CS40" s="29">
        <v>0</v>
      </c>
      <c r="CT40" s="29">
        <v>0</v>
      </c>
      <c r="CU40" s="29">
        <v>0</v>
      </c>
      <c r="CV40" s="29">
        <v>0</v>
      </c>
      <c r="CW40" s="29">
        <v>0</v>
      </c>
      <c r="CX40" s="29">
        <v>0</v>
      </c>
      <c r="CY40" s="29">
        <v>0</v>
      </c>
      <c r="CZ40" s="29">
        <v>0</v>
      </c>
      <c r="DA40" s="29">
        <v>0</v>
      </c>
      <c r="DB40" s="29">
        <v>0</v>
      </c>
      <c r="DC40" s="29">
        <v>0</v>
      </c>
      <c r="DD40" s="29">
        <v>0</v>
      </c>
      <c r="DE40" s="29">
        <v>0</v>
      </c>
      <c r="DF40" s="29">
        <v>0</v>
      </c>
      <c r="DG40" s="29">
        <v>0</v>
      </c>
      <c r="DH40" s="29">
        <v>0</v>
      </c>
      <c r="DI40" s="29">
        <v>0</v>
      </c>
      <c r="DJ40" s="29">
        <v>0</v>
      </c>
      <c r="DK40" s="29">
        <v>0</v>
      </c>
      <c r="DL40" s="29">
        <v>0</v>
      </c>
      <c r="DM40" s="29">
        <v>0</v>
      </c>
      <c r="DN40" s="29">
        <v>0</v>
      </c>
      <c r="DO40" s="29">
        <v>0</v>
      </c>
      <c r="DP40" s="29">
        <v>0</v>
      </c>
      <c r="DQ40" s="29">
        <v>0</v>
      </c>
      <c r="DR40" s="29">
        <v>0</v>
      </c>
      <c r="DS40" s="29">
        <v>0</v>
      </c>
      <c r="DT40" s="29">
        <v>0</v>
      </c>
      <c r="DU40" s="29">
        <v>0</v>
      </c>
      <c r="DV40" s="29">
        <v>0</v>
      </c>
      <c r="DW40" s="29">
        <v>0</v>
      </c>
      <c r="DX40" s="29">
        <v>0</v>
      </c>
      <c r="DY40" s="29">
        <v>0</v>
      </c>
      <c r="DZ40" s="29">
        <v>0</v>
      </c>
      <c r="EA40" s="29">
        <v>0</v>
      </c>
      <c r="EB40" s="29">
        <v>0</v>
      </c>
      <c r="EC40" s="29">
        <v>0</v>
      </c>
      <c r="ED40" s="29">
        <v>0</v>
      </c>
      <c r="EE40" s="29">
        <v>0</v>
      </c>
      <c r="EF40" s="29">
        <v>0</v>
      </c>
      <c r="EG40" s="29">
        <v>0</v>
      </c>
      <c r="EH40" s="29">
        <v>0</v>
      </c>
      <c r="EI40" s="29">
        <v>0</v>
      </c>
      <c r="EJ40" s="29">
        <v>0</v>
      </c>
      <c r="EK40" s="29">
        <v>0</v>
      </c>
      <c r="EL40" s="29">
        <v>0</v>
      </c>
      <c r="EM40" s="29">
        <v>0</v>
      </c>
      <c r="EN40" s="29">
        <v>0</v>
      </c>
      <c r="EO40" s="29">
        <v>0</v>
      </c>
      <c r="EP40" s="29">
        <v>0</v>
      </c>
      <c r="EQ40" s="29">
        <v>0</v>
      </c>
      <c r="ER40" s="29">
        <v>0</v>
      </c>
      <c r="ES40" s="29">
        <v>0</v>
      </c>
      <c r="ET40" s="29">
        <v>0</v>
      </c>
      <c r="EU40" s="29">
        <v>0</v>
      </c>
      <c r="EV40" s="29">
        <v>0</v>
      </c>
      <c r="EW40" s="29">
        <v>0</v>
      </c>
      <c r="EX40" s="29">
        <v>0</v>
      </c>
      <c r="EY40" s="29">
        <v>0</v>
      </c>
      <c r="EZ40" s="29">
        <v>0</v>
      </c>
      <c r="FA40" s="29">
        <v>0</v>
      </c>
      <c r="FB40" s="29">
        <v>0</v>
      </c>
      <c r="FC40" s="29">
        <v>0</v>
      </c>
      <c r="FD40" s="29">
        <v>0</v>
      </c>
      <c r="FE40" s="29">
        <v>0</v>
      </c>
      <c r="FF40" s="29">
        <v>0</v>
      </c>
      <c r="FG40" s="29">
        <v>0</v>
      </c>
      <c r="FH40" s="29">
        <v>0</v>
      </c>
      <c r="FI40" s="29">
        <v>0</v>
      </c>
      <c r="FJ40" s="29">
        <v>0</v>
      </c>
      <c r="FK40" s="29">
        <v>0</v>
      </c>
      <c r="FL40" s="29">
        <v>0</v>
      </c>
      <c r="FM40" s="29">
        <v>0</v>
      </c>
      <c r="FN40" s="29">
        <v>0</v>
      </c>
      <c r="FO40" s="29">
        <v>0</v>
      </c>
      <c r="FP40" s="29">
        <v>0</v>
      </c>
      <c r="FQ40" s="29">
        <v>0</v>
      </c>
      <c r="FR40" s="29">
        <v>0</v>
      </c>
      <c r="FS40" s="29">
        <v>0</v>
      </c>
      <c r="FT40" s="29">
        <v>0</v>
      </c>
      <c r="FU40" s="29">
        <v>0</v>
      </c>
      <c r="FV40" s="29">
        <v>0</v>
      </c>
      <c r="FW40" s="29">
        <v>0</v>
      </c>
      <c r="FX40" s="29">
        <v>0</v>
      </c>
      <c r="FY40" s="29">
        <v>0</v>
      </c>
      <c r="FZ40" s="29">
        <v>0</v>
      </c>
      <c r="GA40" s="29">
        <v>0</v>
      </c>
      <c r="GB40" s="29">
        <v>0</v>
      </c>
      <c r="GC40" s="29">
        <v>0</v>
      </c>
      <c r="GD40" s="29">
        <v>0</v>
      </c>
      <c r="GE40" s="29">
        <v>0</v>
      </c>
      <c r="GF40" s="29">
        <v>0</v>
      </c>
      <c r="GG40" s="29">
        <v>0</v>
      </c>
      <c r="GH40" s="29">
        <v>0</v>
      </c>
      <c r="GI40" s="206">
        <f>SUM(K40:V40)</f>
        <v>100</v>
      </c>
      <c r="GJ40" s="206">
        <f>SUM(T40:AE40)</f>
        <v>175</v>
      </c>
      <c r="GK40" s="206">
        <f>SUM(AF40:AQ40)</f>
        <v>0</v>
      </c>
      <c r="GL40" s="206">
        <f>SUM(AR40:BC40)</f>
        <v>0</v>
      </c>
      <c r="GM40" s="206">
        <f>SUM(BD40:BO40)</f>
        <v>0</v>
      </c>
      <c r="GN40" s="206">
        <f>SUM(BP40:CA40)</f>
        <v>0</v>
      </c>
      <c r="GO40" s="206">
        <f>SUM(CB40:CM40)</f>
        <v>0</v>
      </c>
      <c r="GP40" s="206">
        <f>SUM(CN40:CY40)</f>
        <v>0</v>
      </c>
      <c r="GQ40" s="206">
        <f>SUM(CZ40:DK40)</f>
        <v>0</v>
      </c>
      <c r="GR40" s="206">
        <f>SUM(DL40:DW40)</f>
        <v>0</v>
      </c>
      <c r="GS40" s="206">
        <f>SUM(DX40:EI40)</f>
        <v>0</v>
      </c>
      <c r="GT40" s="206">
        <f>SUM(EJ40:EU40)</f>
        <v>0</v>
      </c>
      <c r="GU40" s="206">
        <f>SUM(EV40:FG40)</f>
        <v>0</v>
      </c>
      <c r="GV40" s="206">
        <f>SUM(FH40:FS40)</f>
        <v>0</v>
      </c>
      <c r="GW40" s="206">
        <f>SUM(FT40:GE40)</f>
        <v>0</v>
      </c>
    </row>
    <row r="41" spans="1:205" ht="14" customHeight="1" x14ac:dyDescent="0.35">
      <c r="A41" s="2" t="s">
        <v>50</v>
      </c>
      <c r="B41" s="3" t="s">
        <v>53</v>
      </c>
      <c r="C41" s="4" t="s">
        <v>52</v>
      </c>
      <c r="D41" s="4" t="s">
        <v>48</v>
      </c>
      <c r="E41" s="21" t="str">
        <f>'Supplier Registry'!N20</f>
        <v>Inactive</v>
      </c>
      <c r="F41" s="21">
        <f>'Supplier Registry'!M20</f>
        <v>0</v>
      </c>
      <c r="G41" s="21">
        <f>'Supplier Registry'!E20</f>
        <v>5</v>
      </c>
      <c r="H41" s="58">
        <f>'Supplier Registry'!P20</f>
        <v>12</v>
      </c>
      <c r="I41" s="74">
        <f>IFERROR(EDATE(Controls!B5,H41),"")</f>
        <v>46478</v>
      </c>
      <c r="J41" s="75">
        <f>IFERROR(EDATE(I41,-'Supplier Registry'!Q20),"")</f>
        <v>46447</v>
      </c>
      <c r="K41" s="29"/>
      <c r="L41" s="29"/>
      <c r="M41" s="29"/>
      <c r="N41" s="29"/>
      <c r="O41" s="29"/>
      <c r="P41" s="29"/>
      <c r="Q41" s="29"/>
      <c r="R41" s="29"/>
      <c r="S41" s="29"/>
      <c r="T41" s="29"/>
      <c r="U41" s="29"/>
      <c r="V41" s="29"/>
      <c r="W41" s="29"/>
      <c r="X41" s="29"/>
      <c r="Y41" s="29"/>
      <c r="Z41" s="29">
        <v>0</v>
      </c>
      <c r="AA41" s="29">
        <v>0</v>
      </c>
      <c r="AB41" s="29">
        <v>0</v>
      </c>
      <c r="AC41" s="29">
        <v>0</v>
      </c>
      <c r="AD41" s="29">
        <v>0</v>
      </c>
      <c r="AE41" s="29">
        <v>0</v>
      </c>
      <c r="AF41" s="29">
        <v>0</v>
      </c>
      <c r="AG41" s="29">
        <v>0</v>
      </c>
      <c r="AH41" s="29">
        <v>0</v>
      </c>
      <c r="AI41" s="29">
        <v>0</v>
      </c>
      <c r="AJ41" s="29">
        <v>0</v>
      </c>
      <c r="AK41" s="29">
        <v>0</v>
      </c>
      <c r="AL41" s="29">
        <v>0</v>
      </c>
      <c r="AM41" s="29">
        <v>0</v>
      </c>
      <c r="AN41" s="29">
        <v>0</v>
      </c>
      <c r="AO41" s="29">
        <v>0</v>
      </c>
      <c r="AP41" s="29">
        <v>0</v>
      </c>
      <c r="AQ41" s="29">
        <v>0</v>
      </c>
      <c r="AR41" s="29">
        <v>0</v>
      </c>
      <c r="AS41" s="29">
        <v>0</v>
      </c>
      <c r="AT41" s="29">
        <v>0</v>
      </c>
      <c r="AU41" s="29">
        <v>0</v>
      </c>
      <c r="AV41" s="29">
        <v>0</v>
      </c>
      <c r="AW41" s="29">
        <v>0</v>
      </c>
      <c r="AX41" s="29">
        <v>0</v>
      </c>
      <c r="AY41" s="29">
        <v>0</v>
      </c>
      <c r="AZ41" s="29">
        <v>0</v>
      </c>
      <c r="BA41" s="29">
        <v>0</v>
      </c>
      <c r="BB41" s="29">
        <v>0</v>
      </c>
      <c r="BC41" s="29">
        <v>0</v>
      </c>
      <c r="BD41" s="29">
        <v>0</v>
      </c>
      <c r="BE41" s="29">
        <v>0</v>
      </c>
      <c r="BF41" s="29">
        <v>0</v>
      </c>
      <c r="BG41" s="29">
        <v>0</v>
      </c>
      <c r="BH41" s="29">
        <v>0</v>
      </c>
      <c r="BI41" s="29">
        <v>0</v>
      </c>
      <c r="BJ41" s="29">
        <v>0</v>
      </c>
      <c r="BK41" s="29">
        <v>0</v>
      </c>
      <c r="BL41" s="29">
        <v>0</v>
      </c>
      <c r="BM41" s="29">
        <v>0</v>
      </c>
      <c r="BN41" s="29">
        <v>0</v>
      </c>
      <c r="BO41" s="29">
        <v>0</v>
      </c>
      <c r="BP41" s="29">
        <v>0</v>
      </c>
      <c r="BQ41" s="29">
        <v>0</v>
      </c>
      <c r="BR41" s="29">
        <v>0</v>
      </c>
      <c r="BS41" s="29">
        <v>0</v>
      </c>
      <c r="BT41" s="29">
        <v>0</v>
      </c>
      <c r="BU41" s="29">
        <v>0</v>
      </c>
      <c r="BV41" s="29">
        <v>0</v>
      </c>
      <c r="BW41" s="29">
        <v>0</v>
      </c>
      <c r="BX41" s="29">
        <v>0</v>
      </c>
      <c r="BY41" s="29">
        <v>0</v>
      </c>
      <c r="BZ41" s="29">
        <v>0</v>
      </c>
      <c r="CA41" s="29">
        <v>0</v>
      </c>
      <c r="CB41" s="29">
        <v>0</v>
      </c>
      <c r="CC41" s="29">
        <v>0</v>
      </c>
      <c r="CD41" s="29">
        <v>0</v>
      </c>
      <c r="CE41" s="29">
        <v>0</v>
      </c>
      <c r="CF41" s="29">
        <v>0</v>
      </c>
      <c r="CG41" s="29">
        <v>0</v>
      </c>
      <c r="CH41" s="29">
        <v>0</v>
      </c>
      <c r="CI41" s="29">
        <v>0</v>
      </c>
      <c r="CJ41" s="29">
        <v>0</v>
      </c>
      <c r="CK41" s="29">
        <v>0</v>
      </c>
      <c r="CL41" s="29">
        <v>0</v>
      </c>
      <c r="CM41" s="29">
        <v>0</v>
      </c>
      <c r="CN41" s="29">
        <v>0</v>
      </c>
      <c r="CO41" s="29">
        <v>0</v>
      </c>
      <c r="CP41" s="29">
        <v>0</v>
      </c>
      <c r="CQ41" s="29">
        <v>0</v>
      </c>
      <c r="CR41" s="29">
        <v>0</v>
      </c>
      <c r="CS41" s="29">
        <v>0</v>
      </c>
      <c r="CT41" s="29">
        <v>0</v>
      </c>
      <c r="CU41" s="29">
        <v>0</v>
      </c>
      <c r="CV41" s="29">
        <v>0</v>
      </c>
      <c r="CW41" s="29">
        <v>0</v>
      </c>
      <c r="CX41" s="29">
        <v>0</v>
      </c>
      <c r="CY41" s="29">
        <v>0</v>
      </c>
      <c r="CZ41" s="29">
        <v>0</v>
      </c>
      <c r="DA41" s="29">
        <v>0</v>
      </c>
      <c r="DB41" s="29">
        <v>0</v>
      </c>
      <c r="DC41" s="29">
        <v>0</v>
      </c>
      <c r="DD41" s="29">
        <v>0</v>
      </c>
      <c r="DE41" s="29">
        <v>0</v>
      </c>
      <c r="DF41" s="29">
        <v>0</v>
      </c>
      <c r="DG41" s="29">
        <v>0</v>
      </c>
      <c r="DH41" s="29">
        <v>0</v>
      </c>
      <c r="DI41" s="29">
        <v>0</v>
      </c>
      <c r="DJ41" s="29">
        <v>0</v>
      </c>
      <c r="DK41" s="29">
        <v>0</v>
      </c>
      <c r="DL41" s="29">
        <v>0</v>
      </c>
      <c r="DM41" s="29">
        <v>0</v>
      </c>
      <c r="DN41" s="29">
        <v>0</v>
      </c>
      <c r="DO41" s="29">
        <v>0</v>
      </c>
      <c r="DP41" s="29">
        <v>0</v>
      </c>
      <c r="DQ41" s="29">
        <v>0</v>
      </c>
      <c r="DR41" s="29">
        <v>0</v>
      </c>
      <c r="DS41" s="29">
        <v>0</v>
      </c>
      <c r="DT41" s="29">
        <v>0</v>
      </c>
      <c r="DU41" s="29">
        <v>0</v>
      </c>
      <c r="DV41" s="29">
        <v>0</v>
      </c>
      <c r="DW41" s="29">
        <v>0</v>
      </c>
      <c r="DX41" s="29">
        <v>0</v>
      </c>
      <c r="DY41" s="29">
        <v>0</v>
      </c>
      <c r="DZ41" s="29">
        <v>0</v>
      </c>
      <c r="EA41" s="29">
        <v>0</v>
      </c>
      <c r="EB41" s="29">
        <v>0</v>
      </c>
      <c r="EC41" s="29">
        <v>0</v>
      </c>
      <c r="ED41" s="29">
        <v>0</v>
      </c>
      <c r="EE41" s="29">
        <v>0</v>
      </c>
      <c r="EF41" s="29">
        <v>0</v>
      </c>
      <c r="EG41" s="29">
        <v>0</v>
      </c>
      <c r="EH41" s="29">
        <v>0</v>
      </c>
      <c r="EI41" s="29">
        <v>0</v>
      </c>
      <c r="EJ41" s="29">
        <v>0</v>
      </c>
      <c r="EK41" s="29">
        <v>0</v>
      </c>
      <c r="EL41" s="29">
        <v>0</v>
      </c>
      <c r="EM41" s="29">
        <v>0</v>
      </c>
      <c r="EN41" s="29">
        <v>0</v>
      </c>
      <c r="EO41" s="29">
        <v>0</v>
      </c>
      <c r="EP41" s="29">
        <v>0</v>
      </c>
      <c r="EQ41" s="29">
        <v>0</v>
      </c>
      <c r="ER41" s="29">
        <v>0</v>
      </c>
      <c r="ES41" s="29">
        <v>0</v>
      </c>
      <c r="ET41" s="29">
        <v>0</v>
      </c>
      <c r="EU41" s="29">
        <v>0</v>
      </c>
      <c r="EV41" s="29">
        <v>0</v>
      </c>
      <c r="EW41" s="29">
        <v>0</v>
      </c>
      <c r="EX41" s="29">
        <v>0</v>
      </c>
      <c r="EY41" s="29">
        <v>0</v>
      </c>
      <c r="EZ41" s="29">
        <v>0</v>
      </c>
      <c r="FA41" s="29">
        <v>0</v>
      </c>
      <c r="FB41" s="29">
        <v>0</v>
      </c>
      <c r="FC41" s="29">
        <v>0</v>
      </c>
      <c r="FD41" s="29">
        <v>0</v>
      </c>
      <c r="FE41" s="29">
        <v>0</v>
      </c>
      <c r="FF41" s="29">
        <v>0</v>
      </c>
      <c r="FG41" s="29">
        <v>0</v>
      </c>
      <c r="FH41" s="29">
        <v>0</v>
      </c>
      <c r="FI41" s="29">
        <v>0</v>
      </c>
      <c r="FJ41" s="29">
        <v>0</v>
      </c>
      <c r="FK41" s="29">
        <v>0</v>
      </c>
      <c r="FL41" s="29">
        <v>0</v>
      </c>
      <c r="FM41" s="29">
        <v>0</v>
      </c>
      <c r="FN41" s="29">
        <v>0</v>
      </c>
      <c r="FO41" s="29">
        <v>0</v>
      </c>
      <c r="FP41" s="29">
        <v>0</v>
      </c>
      <c r="FQ41" s="29">
        <v>0</v>
      </c>
      <c r="FR41" s="29">
        <v>0</v>
      </c>
      <c r="FS41" s="29">
        <v>0</v>
      </c>
      <c r="FT41" s="29">
        <v>0</v>
      </c>
      <c r="FU41" s="29">
        <v>0</v>
      </c>
      <c r="FV41" s="29">
        <v>0</v>
      </c>
      <c r="FW41" s="29">
        <v>0</v>
      </c>
      <c r="FX41" s="29">
        <v>0</v>
      </c>
      <c r="FY41" s="29">
        <v>0</v>
      </c>
      <c r="FZ41" s="29">
        <v>0</v>
      </c>
      <c r="GA41" s="29">
        <v>0</v>
      </c>
      <c r="GB41" s="29">
        <v>0</v>
      </c>
      <c r="GC41" s="29">
        <v>0</v>
      </c>
      <c r="GD41" s="29">
        <v>0</v>
      </c>
      <c r="GE41" s="29">
        <v>0</v>
      </c>
      <c r="GF41" s="29">
        <v>0</v>
      </c>
      <c r="GG41" s="29">
        <v>0</v>
      </c>
      <c r="GH41" s="29">
        <v>0</v>
      </c>
      <c r="GI41" s="206">
        <f>SUM(K41:V41)</f>
        <v>0</v>
      </c>
      <c r="GJ41" s="206">
        <f>SUM(T41:AE41)</f>
        <v>0</v>
      </c>
      <c r="GK41" s="206">
        <f>SUM(AF41:AQ41)</f>
        <v>0</v>
      </c>
      <c r="GL41" s="206">
        <f>SUM(AR41:BC41)</f>
        <v>0</v>
      </c>
      <c r="GM41" s="206">
        <f>SUM(BD41:BO41)</f>
        <v>0</v>
      </c>
      <c r="GN41" s="206">
        <f>SUM(BP41:CA41)</f>
        <v>0</v>
      </c>
      <c r="GO41" s="206">
        <f>SUM(CB41:CM41)</f>
        <v>0</v>
      </c>
      <c r="GP41" s="206">
        <f>SUM(CN41:CY41)</f>
        <v>0</v>
      </c>
      <c r="GQ41" s="206">
        <f>SUM(CZ41:DK41)</f>
        <v>0</v>
      </c>
      <c r="GR41" s="206">
        <f>SUM(DL41:DW41)</f>
        <v>0</v>
      </c>
      <c r="GS41" s="206">
        <f>SUM(DX41:EI41)</f>
        <v>0</v>
      </c>
      <c r="GT41" s="206">
        <f>SUM(EJ41:EU41)</f>
        <v>0</v>
      </c>
      <c r="GU41" s="206">
        <f>SUM(EV41:FG41)</f>
        <v>0</v>
      </c>
      <c r="GV41" s="206">
        <f>SUM(FH41:FS41)</f>
        <v>0</v>
      </c>
      <c r="GW41" s="206">
        <f>SUM(FT41:GE41)</f>
        <v>0</v>
      </c>
    </row>
    <row r="42" spans="1:205" ht="18" customHeight="1" x14ac:dyDescent="0.35">
      <c r="A42" s="26" t="s">
        <v>50</v>
      </c>
      <c r="B42" s="26" t="s">
        <v>390</v>
      </c>
      <c r="C42" s="31"/>
      <c r="D42" s="31"/>
      <c r="E42" s="31"/>
      <c r="F42" s="31"/>
      <c r="G42" s="31"/>
      <c r="K42" s="32">
        <f>IF($E40="Active",K40,0)+IF($E41="Active",K41,0)</f>
        <v>0</v>
      </c>
      <c r="L42" s="32">
        <f>IF($E40="Active",L40,0)+IF($E41="Active",L41,0)</f>
        <v>0</v>
      </c>
      <c r="M42" s="32">
        <f t="shared" ref="M42" si="24">IF($E40="Active",M40,0)+IF($E41="Active",M41,0)</f>
        <v>0</v>
      </c>
      <c r="N42" s="32">
        <f t="shared" ref="N42" si="25">IF($E40="Active",N40,0)+IF($E41="Active",N41,0)</f>
        <v>0</v>
      </c>
      <c r="O42" s="32">
        <f t="shared" ref="O42" si="26">IF($E40="Active",O40,0)+IF($E41="Active",O41,0)</f>
        <v>0</v>
      </c>
      <c r="P42" s="32">
        <f t="shared" ref="P42" si="27">IF($E40="Active",P40,0)+IF($E41="Active",P41,0)</f>
        <v>0</v>
      </c>
      <c r="Q42" s="32">
        <f t="shared" ref="Q42" si="28">IF($E40="Active",Q40,0)+IF($E41="Active",Q41,0)</f>
        <v>0</v>
      </c>
      <c r="R42" s="32">
        <f t="shared" ref="R42" si="29">IF($E40="Active",R40,0)+IF($E41="Active",R41,0)</f>
        <v>0</v>
      </c>
      <c r="S42" s="32">
        <f t="shared" ref="S42" si="30">IF($E40="Active",S40,0)+IF($E41="Active",S41,0)</f>
        <v>0</v>
      </c>
      <c r="T42" s="32">
        <f t="shared" ref="T42" si="31">IF($E40="Active",T40,0)+IF($E41="Active",T41,0)</f>
        <v>0</v>
      </c>
      <c r="U42" s="32">
        <f t="shared" ref="U42" si="32">IF($E40="Active",U40,0)+IF($E41="Active",U41,0)</f>
        <v>0</v>
      </c>
      <c r="V42" s="32">
        <f t="shared" ref="V42" si="33">IF($E40="Active",V40,0)+IF($E41="Active",V41,0)</f>
        <v>100</v>
      </c>
      <c r="W42" s="32">
        <f t="shared" ref="W42" si="34">IF($E40="Active",W40,0)+IF($E41="Active",W41,0)</f>
        <v>0</v>
      </c>
      <c r="X42" s="32">
        <f t="shared" ref="X42" si="35">IF($E40="Active",X40,0)+IF($E41="Active",X41,0)</f>
        <v>0</v>
      </c>
      <c r="Y42" s="32">
        <f t="shared" ref="Y42" si="36">IF($E40="Active",Y40,0)+IF($E41="Active",Y41,0)</f>
        <v>75</v>
      </c>
      <c r="Z42" s="32">
        <f t="shared" ref="Z42" si="37">IF($E40="Active",Z40,0)+IF($E41="Active",Z41,0)</f>
        <v>0</v>
      </c>
      <c r="AA42" s="32">
        <f t="shared" ref="AA42" si="38">IF($E40="Active",AA40,0)+IF($E41="Active",AA41,0)</f>
        <v>0</v>
      </c>
      <c r="AB42" s="32">
        <f t="shared" ref="AB42" si="39">IF($E40="Active",AB40,0)+IF($E41="Active",AB41,0)</f>
        <v>0</v>
      </c>
      <c r="AC42" s="32">
        <f t="shared" ref="AC42" si="40">IF($E40="Active",AC40,0)+IF($E41="Active",AC41,0)</f>
        <v>0</v>
      </c>
      <c r="AD42" s="32">
        <f t="shared" ref="AD42" si="41">IF($E40="Active",AD40,0)+IF($E41="Active",AD41,0)</f>
        <v>0</v>
      </c>
      <c r="AE42" s="32">
        <f t="shared" ref="AE42" si="42">IF($E40="Active",AE40,0)+IF($E41="Active",AE41,0)</f>
        <v>0</v>
      </c>
      <c r="AF42" s="32">
        <f t="shared" ref="AF42" si="43">IF($E40="Active",AF40,0)+IF($E41="Active",AF41,0)</f>
        <v>0</v>
      </c>
      <c r="AG42" s="32">
        <f t="shared" ref="AG42" si="44">IF($E40="Active",AG40,0)+IF($E41="Active",AG41,0)</f>
        <v>0</v>
      </c>
      <c r="AH42" s="32">
        <f t="shared" ref="AH42" si="45">IF($E40="Active",AH40,0)+IF($E41="Active",AH41,0)</f>
        <v>0</v>
      </c>
      <c r="AI42" s="32">
        <f t="shared" ref="AI42" si="46">IF($E40="Active",AI40,0)+IF($E41="Active",AI41,0)</f>
        <v>0</v>
      </c>
      <c r="AJ42" s="32">
        <f t="shared" ref="AJ42" si="47">IF($E40="Active",AJ40,0)+IF($E41="Active",AJ41,0)</f>
        <v>0</v>
      </c>
      <c r="AK42" s="32">
        <f t="shared" ref="AK42" si="48">IF($E40="Active",AK40,0)+IF($E41="Active",AK41,0)</f>
        <v>0</v>
      </c>
      <c r="AL42" s="32">
        <f t="shared" ref="AL42" si="49">IF($E40="Active",AL40,0)+IF($E41="Active",AL41,0)</f>
        <v>0</v>
      </c>
      <c r="AM42" s="32">
        <f t="shared" ref="AM42" si="50">IF($E40="Active",AM40,0)+IF($E41="Active",AM41,0)</f>
        <v>0</v>
      </c>
      <c r="AN42" s="32">
        <f t="shared" ref="AN42" si="51">IF($E40="Active",AN40,0)+IF($E41="Active",AN41,0)</f>
        <v>0</v>
      </c>
      <c r="AO42" s="32">
        <f t="shared" ref="AO42" si="52">IF($E40="Active",AO40,0)+IF($E41="Active",AO41,0)</f>
        <v>0</v>
      </c>
      <c r="AP42" s="32">
        <f t="shared" ref="AP42" si="53">IF($E40="Active",AP40,0)+IF($E41="Active",AP41,0)</f>
        <v>0</v>
      </c>
      <c r="AQ42" s="32">
        <f t="shared" ref="AQ42" si="54">IF($E40="Active",AQ40,0)+IF($E41="Active",AQ41,0)</f>
        <v>0</v>
      </c>
      <c r="AR42" s="32">
        <f t="shared" ref="AR42" si="55">IF($E40="Active",AR40,0)+IF($E41="Active",AR41,0)</f>
        <v>0</v>
      </c>
      <c r="AS42" s="32">
        <f t="shared" ref="AS42" si="56">IF($E40="Active",AS40,0)+IF($E41="Active",AS41,0)</f>
        <v>0</v>
      </c>
      <c r="AT42" s="32">
        <f t="shared" ref="AT42" si="57">IF($E40="Active",AT40,0)+IF($E41="Active",AT41,0)</f>
        <v>0</v>
      </c>
      <c r="AU42" s="32">
        <f t="shared" ref="AU42" si="58">IF($E40="Active",AU40,0)+IF($E41="Active",AU41,0)</f>
        <v>0</v>
      </c>
      <c r="AV42" s="32">
        <f t="shared" ref="AV42" si="59">IF($E40="Active",AV40,0)+IF($E41="Active",AV41,0)</f>
        <v>0</v>
      </c>
      <c r="AW42" s="32">
        <f t="shared" ref="AW42" si="60">IF($E40="Active",AW40,0)+IF($E41="Active",AW41,0)</f>
        <v>0</v>
      </c>
      <c r="AX42" s="32">
        <f t="shared" ref="AX42" si="61">IF($E40="Active",AX40,0)+IF($E41="Active",AX41,0)</f>
        <v>0</v>
      </c>
      <c r="AY42" s="32">
        <f t="shared" ref="AY42" si="62">IF($E40="Active",AY40,0)+IF($E41="Active",AY41,0)</f>
        <v>0</v>
      </c>
      <c r="AZ42" s="32">
        <f t="shared" ref="AZ42" si="63">IF($E40="Active",AZ40,0)+IF($E41="Active",AZ41,0)</f>
        <v>0</v>
      </c>
      <c r="BA42" s="32">
        <f t="shared" ref="BA42" si="64">IF($E40="Active",BA40,0)+IF($E41="Active",BA41,0)</f>
        <v>0</v>
      </c>
      <c r="BB42" s="32">
        <f t="shared" ref="BB42" si="65">IF($E40="Active",BB40,0)+IF($E41="Active",BB41,0)</f>
        <v>0</v>
      </c>
      <c r="BC42" s="32">
        <f t="shared" ref="BC42" si="66">IF($E40="Active",BC40,0)+IF($E41="Active",BC41,0)</f>
        <v>0</v>
      </c>
      <c r="BD42" s="32">
        <f t="shared" ref="BD42" si="67">IF($E40="Active",BD40,0)+IF($E41="Active",BD41,0)</f>
        <v>0</v>
      </c>
      <c r="BE42" s="32">
        <f t="shared" ref="BE42" si="68">IF($E40="Active",BE40,0)+IF($E41="Active",BE41,0)</f>
        <v>0</v>
      </c>
      <c r="BF42" s="32">
        <f t="shared" ref="BF42" si="69">IF($E40="Active",BF40,0)+IF($E41="Active",BF41,0)</f>
        <v>0</v>
      </c>
      <c r="BG42" s="32">
        <f t="shared" ref="BG42" si="70">IF($E40="Active",BG40,0)+IF($E41="Active",BG41,0)</f>
        <v>0</v>
      </c>
      <c r="BH42" s="32">
        <f t="shared" ref="BH42" si="71">IF($E40="Active",BH40,0)+IF($E41="Active",BH41,0)</f>
        <v>0</v>
      </c>
      <c r="BI42" s="32">
        <f t="shared" ref="BI42" si="72">IF($E40="Active",BI40,0)+IF($E41="Active",BI41,0)</f>
        <v>0</v>
      </c>
      <c r="BJ42" s="32">
        <f t="shared" ref="BJ42" si="73">IF($E40="Active",BJ40,0)+IF($E41="Active",BJ41,0)</f>
        <v>0</v>
      </c>
      <c r="BK42" s="32">
        <f t="shared" ref="BK42" si="74">IF($E40="Active",BK40,0)+IF($E41="Active",BK41,0)</f>
        <v>0</v>
      </c>
      <c r="BL42" s="32">
        <f t="shared" ref="BL42" si="75">IF($E40="Active",BL40,0)+IF($E41="Active",BL41,0)</f>
        <v>0</v>
      </c>
      <c r="BM42" s="32">
        <f t="shared" ref="BM42" si="76">IF($E40="Active",BM40,0)+IF($E41="Active",BM41,0)</f>
        <v>0</v>
      </c>
      <c r="BN42" s="32">
        <f t="shared" ref="BN42" si="77">IF($E40="Active",BN40,0)+IF($E41="Active",BN41,0)</f>
        <v>0</v>
      </c>
      <c r="BO42" s="32">
        <f t="shared" ref="BO42" si="78">IF($E40="Active",BO40,0)+IF($E41="Active",BO41,0)</f>
        <v>0</v>
      </c>
      <c r="BP42" s="32">
        <f t="shared" ref="BP42" si="79">IF($E40="Active",BP40,0)+IF($E41="Active",BP41,0)</f>
        <v>0</v>
      </c>
      <c r="BQ42" s="32">
        <f t="shared" ref="BQ42" si="80">IF($E40="Active",BQ40,0)+IF($E41="Active",BQ41,0)</f>
        <v>0</v>
      </c>
      <c r="BR42" s="32">
        <f t="shared" ref="BR42" si="81">IF($E40="Active",BR40,0)+IF($E41="Active",BR41,0)</f>
        <v>0</v>
      </c>
      <c r="BS42" s="32">
        <f t="shared" ref="BS42" si="82">IF($E40="Active",BS40,0)+IF($E41="Active",BS41,0)</f>
        <v>0</v>
      </c>
      <c r="BT42" s="32">
        <f t="shared" ref="BT42" si="83">IF($E40="Active",BT40,0)+IF($E41="Active",BT41,0)</f>
        <v>0</v>
      </c>
      <c r="BU42" s="32">
        <f t="shared" ref="BU42" si="84">IF($E40="Active",BU40,0)+IF($E41="Active",BU41,0)</f>
        <v>0</v>
      </c>
      <c r="BV42" s="32">
        <f t="shared" ref="BV42" si="85">IF($E40="Active",BV40,0)+IF($E41="Active",BV41,0)</f>
        <v>0</v>
      </c>
      <c r="BW42" s="32">
        <f t="shared" ref="BW42" si="86">IF($E40="Active",BW40,0)+IF($E41="Active",BW41,0)</f>
        <v>0</v>
      </c>
      <c r="BX42" s="32">
        <f t="shared" ref="BX42" si="87">IF($E40="Active",BX40,0)+IF($E41="Active",BX41,0)</f>
        <v>0</v>
      </c>
      <c r="BY42" s="32">
        <f t="shared" ref="BY42" si="88">IF($E40="Active",BY40,0)+IF($E41="Active",BY41,0)</f>
        <v>0</v>
      </c>
      <c r="BZ42" s="32">
        <f t="shared" ref="BZ42" si="89">IF($E40="Active",BZ40,0)+IF($E41="Active",BZ41,0)</f>
        <v>0</v>
      </c>
      <c r="CA42" s="32">
        <f t="shared" ref="CA42" si="90">IF($E40="Active",CA40,0)+IF($E41="Active",CA41,0)</f>
        <v>0</v>
      </c>
      <c r="CB42" s="32">
        <f t="shared" ref="CB42" si="91">IF($E40="Active",CB40,0)+IF($E41="Active",CB41,0)</f>
        <v>0</v>
      </c>
      <c r="CC42" s="32">
        <f t="shared" ref="CC42" si="92">IF($E40="Active",CC40,0)+IF($E41="Active",CC41,0)</f>
        <v>0</v>
      </c>
      <c r="CD42" s="32">
        <f t="shared" ref="CD42" si="93">IF($E40="Active",CD40,0)+IF($E41="Active",CD41,0)</f>
        <v>0</v>
      </c>
      <c r="CE42" s="32">
        <f t="shared" ref="CE42" si="94">IF($E40="Active",CE40,0)+IF($E41="Active",CE41,0)</f>
        <v>0</v>
      </c>
      <c r="CF42" s="32">
        <f t="shared" ref="CF42" si="95">IF($E40="Active",CF40,0)+IF($E41="Active",CF41,0)</f>
        <v>0</v>
      </c>
      <c r="CG42" s="32">
        <f t="shared" ref="CG42" si="96">IF($E40="Active",CG40,0)+IF($E41="Active",CG41,0)</f>
        <v>0</v>
      </c>
      <c r="CH42" s="32">
        <f t="shared" ref="CH42" si="97">IF($E40="Active",CH40,0)+IF($E41="Active",CH41,0)</f>
        <v>0</v>
      </c>
      <c r="CI42" s="32">
        <f t="shared" ref="CI42" si="98">IF($E40="Active",CI40,0)+IF($E41="Active",CI41,0)</f>
        <v>0</v>
      </c>
      <c r="CJ42" s="32">
        <f t="shared" ref="CJ42" si="99">IF($E40="Active",CJ40,0)+IF($E41="Active",CJ41,0)</f>
        <v>0</v>
      </c>
      <c r="CK42" s="32">
        <f t="shared" ref="CK42" si="100">IF($E40="Active",CK40,0)+IF($E41="Active",CK41,0)</f>
        <v>0</v>
      </c>
      <c r="CL42" s="32">
        <f t="shared" ref="CL42" si="101">IF($E40="Active",CL40,0)+IF($E41="Active",CL41,0)</f>
        <v>0</v>
      </c>
      <c r="CM42" s="32">
        <f t="shared" ref="CM42" si="102">IF($E40="Active",CM40,0)+IF($E41="Active",CM41,0)</f>
        <v>0</v>
      </c>
      <c r="CN42" s="32">
        <f t="shared" ref="CN42" si="103">IF($E40="Active",CN40,0)+IF($E41="Active",CN41,0)</f>
        <v>0</v>
      </c>
      <c r="CO42" s="32">
        <f t="shared" ref="CO42" si="104">IF($E40="Active",CO40,0)+IF($E41="Active",CO41,0)</f>
        <v>0</v>
      </c>
      <c r="CP42" s="32">
        <f t="shared" ref="CP42" si="105">IF($E40="Active",CP40,0)+IF($E41="Active",CP41,0)</f>
        <v>0</v>
      </c>
      <c r="CQ42" s="32">
        <f t="shared" ref="CQ42" si="106">IF($E40="Active",CQ40,0)+IF($E41="Active",CQ41,0)</f>
        <v>0</v>
      </c>
      <c r="CR42" s="32">
        <f t="shared" ref="CR42" si="107">IF($E40="Active",CR40,0)+IF($E41="Active",CR41,0)</f>
        <v>0</v>
      </c>
      <c r="CS42" s="32">
        <f t="shared" ref="CS42" si="108">IF($E40="Active",CS40,0)+IF($E41="Active",CS41,0)</f>
        <v>0</v>
      </c>
      <c r="CT42" s="32">
        <f t="shared" ref="CT42" si="109">IF($E40="Active",CT40,0)+IF($E41="Active",CT41,0)</f>
        <v>0</v>
      </c>
      <c r="CU42" s="32">
        <f t="shared" ref="CU42" si="110">IF($E40="Active",CU40,0)+IF($E41="Active",CU41,0)</f>
        <v>0</v>
      </c>
      <c r="CV42" s="32">
        <f t="shared" ref="CV42" si="111">IF($E40="Active",CV40,0)+IF($E41="Active",CV41,0)</f>
        <v>0</v>
      </c>
      <c r="CW42" s="32">
        <f t="shared" ref="CW42" si="112">IF($E40="Active",CW40,0)+IF($E41="Active",CW41,0)</f>
        <v>0</v>
      </c>
      <c r="CX42" s="32">
        <f t="shared" ref="CX42" si="113">IF($E40="Active",CX40,0)+IF($E41="Active",CX41,0)</f>
        <v>0</v>
      </c>
      <c r="CY42" s="32">
        <f t="shared" ref="CY42" si="114">IF($E40="Active",CY40,0)+IF($E41="Active",CY41,0)</f>
        <v>0</v>
      </c>
      <c r="CZ42" s="32">
        <f t="shared" ref="CZ42" si="115">IF($E40="Active",CZ40,0)+IF($E41="Active",CZ41,0)</f>
        <v>0</v>
      </c>
      <c r="DA42" s="32">
        <f t="shared" ref="DA42" si="116">IF($E40="Active",DA40,0)+IF($E41="Active",DA41,0)</f>
        <v>0</v>
      </c>
      <c r="DB42" s="32">
        <f t="shared" ref="DB42" si="117">IF($E40="Active",DB40,0)+IF($E41="Active",DB41,0)</f>
        <v>0</v>
      </c>
      <c r="DC42" s="32">
        <f t="shared" ref="DC42" si="118">IF($E40="Active",DC40,0)+IF($E41="Active",DC41,0)</f>
        <v>0</v>
      </c>
      <c r="DD42" s="32">
        <f t="shared" ref="DD42" si="119">IF($E40="Active",DD40,0)+IF($E41="Active",DD41,0)</f>
        <v>0</v>
      </c>
      <c r="DE42" s="32">
        <f t="shared" ref="DE42" si="120">IF($E40="Active",DE40,0)+IF($E41="Active",DE41,0)</f>
        <v>0</v>
      </c>
      <c r="DF42" s="32">
        <f t="shared" ref="DF42" si="121">IF($E40="Active",DF40,0)+IF($E41="Active",DF41,0)</f>
        <v>0</v>
      </c>
      <c r="DG42" s="32">
        <f t="shared" ref="DG42" si="122">IF($E40="Active",DG40,0)+IF($E41="Active",DG41,0)</f>
        <v>0</v>
      </c>
      <c r="DH42" s="32">
        <f t="shared" ref="DH42" si="123">IF($E40="Active",DH40,0)+IF($E41="Active",DH41,0)</f>
        <v>0</v>
      </c>
      <c r="DI42" s="32">
        <f t="shared" ref="DI42" si="124">IF($E40="Active",DI40,0)+IF($E41="Active",DI41,0)</f>
        <v>0</v>
      </c>
      <c r="DJ42" s="32">
        <f t="shared" ref="DJ42" si="125">IF($E40="Active",DJ40,0)+IF($E41="Active",DJ41,0)</f>
        <v>0</v>
      </c>
      <c r="DK42" s="32">
        <f t="shared" ref="DK42" si="126">IF($E40="Active",DK40,0)+IF($E41="Active",DK41,0)</f>
        <v>0</v>
      </c>
      <c r="DL42" s="32">
        <f t="shared" ref="DL42" si="127">IF($E40="Active",DL40,0)+IF($E41="Active",DL41,0)</f>
        <v>0</v>
      </c>
      <c r="DM42" s="32">
        <f t="shared" ref="DM42" si="128">IF($E40="Active",DM40,0)+IF($E41="Active",DM41,0)</f>
        <v>0</v>
      </c>
      <c r="DN42" s="32">
        <f t="shared" ref="DN42" si="129">IF($E40="Active",DN40,0)+IF($E41="Active",DN41,0)</f>
        <v>0</v>
      </c>
      <c r="DO42" s="32">
        <f t="shared" ref="DO42" si="130">IF($E40="Active",DO40,0)+IF($E41="Active",DO41,0)</f>
        <v>0</v>
      </c>
      <c r="DP42" s="32">
        <f t="shared" ref="DP42" si="131">IF($E40="Active",DP40,0)+IF($E41="Active",DP41,0)</f>
        <v>0</v>
      </c>
      <c r="DQ42" s="32">
        <f t="shared" ref="DQ42" si="132">IF($E40="Active",DQ40,0)+IF($E41="Active",DQ41,0)</f>
        <v>0</v>
      </c>
      <c r="DR42" s="32">
        <f t="shared" ref="DR42" si="133">IF($E40="Active",DR40,0)+IF($E41="Active",DR41,0)</f>
        <v>0</v>
      </c>
      <c r="DS42" s="32">
        <f t="shared" ref="DS42" si="134">IF($E40="Active",DS40,0)+IF($E41="Active",DS41,0)</f>
        <v>0</v>
      </c>
      <c r="DT42" s="32">
        <f t="shared" ref="DT42" si="135">IF($E40="Active",DT40,0)+IF($E41="Active",DT41,0)</f>
        <v>0</v>
      </c>
      <c r="DU42" s="32">
        <f t="shared" ref="DU42" si="136">IF($E40="Active",DU40,0)+IF($E41="Active",DU41,0)</f>
        <v>0</v>
      </c>
      <c r="DV42" s="32">
        <f t="shared" ref="DV42" si="137">IF($E40="Active",DV40,0)+IF($E41="Active",DV41,0)</f>
        <v>0</v>
      </c>
      <c r="DW42" s="32">
        <f t="shared" ref="DW42" si="138">IF($E40="Active",DW40,0)+IF($E41="Active",DW41,0)</f>
        <v>0</v>
      </c>
      <c r="DX42" s="32">
        <f t="shared" ref="DX42" si="139">IF($E40="Active",DX40,0)+IF($E41="Active",DX41,0)</f>
        <v>0</v>
      </c>
      <c r="DY42" s="32">
        <f t="shared" ref="DY42" si="140">IF($E40="Active",DY40,0)+IF($E41="Active",DY41,0)</f>
        <v>0</v>
      </c>
      <c r="DZ42" s="32">
        <f t="shared" ref="DZ42" si="141">IF($E40="Active",DZ40,0)+IF($E41="Active",DZ41,0)</f>
        <v>0</v>
      </c>
      <c r="EA42" s="32">
        <f t="shared" ref="EA42" si="142">IF($E40="Active",EA40,0)+IF($E41="Active",EA41,0)</f>
        <v>0</v>
      </c>
      <c r="EB42" s="32">
        <f t="shared" ref="EB42" si="143">IF($E40="Active",EB40,0)+IF($E41="Active",EB41,0)</f>
        <v>0</v>
      </c>
      <c r="EC42" s="32">
        <f t="shared" ref="EC42" si="144">IF($E40="Active",EC40,0)+IF($E41="Active",EC41,0)</f>
        <v>0</v>
      </c>
      <c r="ED42" s="32">
        <f t="shared" ref="ED42" si="145">IF($E40="Active",ED40,0)+IF($E41="Active",ED41,0)</f>
        <v>0</v>
      </c>
      <c r="EE42" s="32">
        <f t="shared" ref="EE42" si="146">IF($E40="Active",EE40,0)+IF($E41="Active",EE41,0)</f>
        <v>0</v>
      </c>
      <c r="EF42" s="32">
        <f t="shared" ref="EF42" si="147">IF($E40="Active",EF40,0)+IF($E41="Active",EF41,0)</f>
        <v>0</v>
      </c>
      <c r="EG42" s="32">
        <f t="shared" ref="EG42" si="148">IF($E40="Active",EG40,0)+IF($E41="Active",EG41,0)</f>
        <v>0</v>
      </c>
      <c r="EH42" s="32">
        <f t="shared" ref="EH42" si="149">IF($E40="Active",EH40,0)+IF($E41="Active",EH41,0)</f>
        <v>0</v>
      </c>
      <c r="EI42" s="32">
        <f t="shared" ref="EI42" si="150">IF($E40="Active",EI40,0)+IF($E41="Active",EI41,0)</f>
        <v>0</v>
      </c>
      <c r="EJ42" s="32">
        <f t="shared" ref="EJ42" si="151">IF($E40="Active",EJ40,0)+IF($E41="Active",EJ41,0)</f>
        <v>0</v>
      </c>
      <c r="EK42" s="32">
        <f t="shared" ref="EK42" si="152">IF($E40="Active",EK40,0)+IF($E41="Active",EK41,0)</f>
        <v>0</v>
      </c>
      <c r="EL42" s="32">
        <f t="shared" ref="EL42" si="153">IF($E40="Active",EL40,0)+IF($E41="Active",EL41,0)</f>
        <v>0</v>
      </c>
      <c r="EM42" s="32">
        <f t="shared" ref="EM42" si="154">IF($E40="Active",EM40,0)+IF($E41="Active",EM41,0)</f>
        <v>0</v>
      </c>
      <c r="EN42" s="32">
        <f t="shared" ref="EN42" si="155">IF($E40="Active",EN40,0)+IF($E41="Active",EN41,0)</f>
        <v>0</v>
      </c>
      <c r="EO42" s="32">
        <f t="shared" ref="EO42" si="156">IF($E40="Active",EO40,0)+IF($E41="Active",EO41,0)</f>
        <v>0</v>
      </c>
      <c r="EP42" s="32">
        <f t="shared" ref="EP42" si="157">IF($E40="Active",EP40,0)+IF($E41="Active",EP41,0)</f>
        <v>0</v>
      </c>
      <c r="EQ42" s="32">
        <f t="shared" ref="EQ42" si="158">IF($E40="Active",EQ40,0)+IF($E41="Active",EQ41,0)</f>
        <v>0</v>
      </c>
      <c r="ER42" s="32">
        <f t="shared" ref="ER42" si="159">IF($E40="Active",ER40,0)+IF($E41="Active",ER41,0)</f>
        <v>0</v>
      </c>
      <c r="ES42" s="32">
        <f t="shared" ref="ES42" si="160">IF($E40="Active",ES40,0)+IF($E41="Active",ES41,0)</f>
        <v>0</v>
      </c>
      <c r="ET42" s="32">
        <f t="shared" ref="ET42" si="161">IF($E40="Active",ET40,0)+IF($E41="Active",ET41,0)</f>
        <v>0</v>
      </c>
      <c r="EU42" s="32">
        <f t="shared" ref="EU42" si="162">IF($E40="Active",EU40,0)+IF($E41="Active",EU41,0)</f>
        <v>0</v>
      </c>
      <c r="EV42" s="32">
        <f t="shared" ref="EV42" si="163">IF($E40="Active",EV40,0)+IF($E41="Active",EV41,0)</f>
        <v>0</v>
      </c>
      <c r="EW42" s="32">
        <f t="shared" ref="EW42" si="164">IF($E40="Active",EW40,0)+IF($E41="Active",EW41,0)</f>
        <v>0</v>
      </c>
      <c r="EX42" s="32">
        <f t="shared" ref="EX42" si="165">IF($E40="Active",EX40,0)+IF($E41="Active",EX41,0)</f>
        <v>0</v>
      </c>
      <c r="EY42" s="32">
        <f t="shared" ref="EY42" si="166">IF($E40="Active",EY40,0)+IF($E41="Active",EY41,0)</f>
        <v>0</v>
      </c>
      <c r="EZ42" s="32">
        <f t="shared" ref="EZ42" si="167">IF($E40="Active",EZ40,0)+IF($E41="Active",EZ41,0)</f>
        <v>0</v>
      </c>
      <c r="FA42" s="32">
        <f t="shared" ref="FA42" si="168">IF($E40="Active",FA40,0)+IF($E41="Active",FA41,0)</f>
        <v>0</v>
      </c>
      <c r="FB42" s="32">
        <f t="shared" ref="FB42" si="169">IF($E40="Active",FB40,0)+IF($E41="Active",FB41,0)</f>
        <v>0</v>
      </c>
      <c r="FC42" s="32">
        <f t="shared" ref="FC42" si="170">IF($E40="Active",FC40,0)+IF($E41="Active",FC41,0)</f>
        <v>0</v>
      </c>
      <c r="FD42" s="32">
        <f t="shared" ref="FD42" si="171">IF($E40="Active",FD40,0)+IF($E41="Active",FD41,0)</f>
        <v>0</v>
      </c>
      <c r="FE42" s="32">
        <f t="shared" ref="FE42" si="172">IF($E40="Active",FE40,0)+IF($E41="Active",FE41,0)</f>
        <v>0</v>
      </c>
      <c r="FF42" s="32">
        <f t="shared" ref="FF42" si="173">IF($E40="Active",FF40,0)+IF($E41="Active",FF41,0)</f>
        <v>0</v>
      </c>
      <c r="FG42" s="32">
        <f t="shared" ref="FG42" si="174">IF($E40="Active",FG40,0)+IF($E41="Active",FG41,0)</f>
        <v>0</v>
      </c>
      <c r="FH42" s="32">
        <f t="shared" ref="FH42" si="175">IF($E40="Active",FH40,0)+IF($E41="Active",FH41,0)</f>
        <v>0</v>
      </c>
      <c r="FI42" s="32">
        <f t="shared" ref="FI42" si="176">IF($E40="Active",FI40,0)+IF($E41="Active",FI41,0)</f>
        <v>0</v>
      </c>
      <c r="FJ42" s="32">
        <f t="shared" ref="FJ42" si="177">IF($E40="Active",FJ40,0)+IF($E41="Active",FJ41,0)</f>
        <v>0</v>
      </c>
      <c r="FK42" s="32">
        <f t="shared" ref="FK42" si="178">IF($E40="Active",FK40,0)+IF($E41="Active",FK41,0)</f>
        <v>0</v>
      </c>
      <c r="FL42" s="32">
        <f t="shared" ref="FL42" si="179">IF($E40="Active",FL40,0)+IF($E41="Active",FL41,0)</f>
        <v>0</v>
      </c>
      <c r="FM42" s="32">
        <f t="shared" ref="FM42" si="180">IF($E40="Active",FM40,0)+IF($E41="Active",FM41,0)</f>
        <v>0</v>
      </c>
      <c r="FN42" s="32">
        <f t="shared" ref="FN42" si="181">IF($E40="Active",FN40,0)+IF($E41="Active",FN41,0)</f>
        <v>0</v>
      </c>
      <c r="FO42" s="32">
        <f t="shared" ref="FO42" si="182">IF($E40="Active",FO40,0)+IF($E41="Active",FO41,0)</f>
        <v>0</v>
      </c>
      <c r="FP42" s="32">
        <f t="shared" ref="FP42" si="183">IF($E40="Active",FP40,0)+IF($E41="Active",FP41,0)</f>
        <v>0</v>
      </c>
      <c r="FQ42" s="32">
        <f t="shared" ref="FQ42" si="184">IF($E40="Active",FQ40,0)+IF($E41="Active",FQ41,0)</f>
        <v>0</v>
      </c>
      <c r="FR42" s="32">
        <f t="shared" ref="FR42" si="185">IF($E40="Active",FR40,0)+IF($E41="Active",FR41,0)</f>
        <v>0</v>
      </c>
      <c r="FS42" s="32">
        <f t="shared" ref="FS42" si="186">IF($E40="Active",FS40,0)+IF($E41="Active",FS41,0)</f>
        <v>0</v>
      </c>
      <c r="FT42" s="32">
        <f t="shared" ref="FT42" si="187">IF($E40="Active",FT40,0)+IF($E41="Active",FT41,0)</f>
        <v>0</v>
      </c>
      <c r="FU42" s="32">
        <f t="shared" ref="FU42" si="188">IF($E40="Active",FU40,0)+IF($E41="Active",FU41,0)</f>
        <v>0</v>
      </c>
      <c r="FV42" s="32">
        <f t="shared" ref="FV42" si="189">IF($E40="Active",FV40,0)+IF($E41="Active",FV41,0)</f>
        <v>0</v>
      </c>
      <c r="FW42" s="32">
        <f t="shared" ref="FW42" si="190">IF($E40="Active",FW40,0)+IF($E41="Active",FW41,0)</f>
        <v>0</v>
      </c>
      <c r="FX42" s="32">
        <f t="shared" ref="FX42" si="191">IF($E40="Active",FX40,0)+IF($E41="Active",FX41,0)</f>
        <v>0</v>
      </c>
      <c r="FY42" s="32">
        <f t="shared" ref="FY42" si="192">IF($E40="Active",FY40,0)+IF($E41="Active",FY41,0)</f>
        <v>0</v>
      </c>
      <c r="FZ42" s="32">
        <f t="shared" ref="FZ42" si="193">IF($E40="Active",FZ40,0)+IF($E41="Active",FZ41,0)</f>
        <v>0</v>
      </c>
      <c r="GA42" s="32">
        <f t="shared" ref="GA42" si="194">IF($E40="Active",GA40,0)+IF($E41="Active",GA41,0)</f>
        <v>0</v>
      </c>
      <c r="GB42" s="32">
        <f t="shared" ref="GB42" si="195">IF($E40="Active",GB40,0)+IF($E41="Active",GB41,0)</f>
        <v>0</v>
      </c>
      <c r="GC42" s="32">
        <f t="shared" ref="GC42" si="196">IF($E40="Active",GC40,0)+IF($E41="Active",GC41,0)</f>
        <v>0</v>
      </c>
      <c r="GD42" s="32">
        <f t="shared" ref="GD42" si="197">IF($E40="Active",GD40,0)+IF($E41="Active",GD41,0)</f>
        <v>0</v>
      </c>
      <c r="GE42" s="32">
        <f t="shared" ref="GE42" si="198">IF($E40="Active",GE40,0)+IF($E41="Active",GE41,0)</f>
        <v>0</v>
      </c>
      <c r="GF42" s="32">
        <f t="shared" ref="GF42" si="199">IF($E40="Active",GF40,0)+IF($E41="Active",GF41,0)</f>
        <v>0</v>
      </c>
      <c r="GG42" s="32">
        <f t="shared" ref="GG42" si="200">IF($E40="Active",GG40,0)+IF($E41="Active",GG41,0)</f>
        <v>0</v>
      </c>
      <c r="GH42" s="32">
        <f t="shared" ref="GH42" si="201">IF($E40="Active",GH40,0)+IF($E41="Active",GH41,0)</f>
        <v>0</v>
      </c>
      <c r="GI42" s="32">
        <f>IF(E40="Active",GF40,0)+IF(E41="Active",GF41,0)</f>
        <v>0</v>
      </c>
      <c r="GJ42" s="32">
        <f>IF(E40="Active",GG40,0)+IF(E41="Active",GG41,0)</f>
        <v>0</v>
      </c>
      <c r="GK42" s="32">
        <f>IF(E40="Active",GH40,0)+IF(E41="Active",GH41,0)</f>
        <v>0</v>
      </c>
      <c r="GL42" s="32">
        <f>IF(E40="Active",GI40,0)+IF(E41="Active",GI41,0)</f>
        <v>100</v>
      </c>
      <c r="GM42" s="32">
        <f>IF(E40="Active",GJ40,0)+IF(E41="Active",GJ41,0)</f>
        <v>175</v>
      </c>
      <c r="GN42" s="32">
        <f>IF(E40="Active",GK40,0)+IF(E41="Active",GK41,0)</f>
        <v>0</v>
      </c>
      <c r="GO42" s="32">
        <f>IF(E40="Active",GL40,0)+IF(E41="Active",GL41,0)</f>
        <v>0</v>
      </c>
      <c r="GP42" s="32">
        <f>IF(E40="Active",GM40,0)+IF(E41="Active",GM41,0)</f>
        <v>0</v>
      </c>
      <c r="GQ42" s="32">
        <f>IF(E40="Active",GN40,0)+IF(E41="Active",GN41,0)</f>
        <v>0</v>
      </c>
      <c r="GR42" s="32">
        <f>IF(E40="Active",GO40,0)+IF(E41="Active",GO41,0)</f>
        <v>0</v>
      </c>
      <c r="GS42" s="32">
        <f>IF(E40="Active",GP40,0)+IF(E41="Active",GP41,0)</f>
        <v>0</v>
      </c>
      <c r="GT42" s="32">
        <f>IF(E40="Active",GQ40,0)+IF(E41="Active",GQ41,0)</f>
        <v>0</v>
      </c>
      <c r="GU42" s="32">
        <f>IF(E40="Active",GR40,0)+IF(E41="Active",GR41,0)</f>
        <v>0</v>
      </c>
      <c r="GV42" s="32">
        <f>IF(E40="Active",GS40,0)+IF(E41="Active",GS41,0)</f>
        <v>0</v>
      </c>
      <c r="GW42" s="32">
        <f>IF(E40="Active",GT40,0)+IF(E41="Active",GT41,0)</f>
        <v>0</v>
      </c>
    </row>
    <row r="44" spans="1:205" ht="22" customHeight="1" x14ac:dyDescent="0.35">
      <c r="A44" s="392" t="s">
        <v>395</v>
      </c>
      <c r="B44" s="393"/>
      <c r="C44" s="393"/>
      <c r="D44" s="393"/>
      <c r="E44" s="393"/>
      <c r="F44" s="393"/>
      <c r="G44" s="393"/>
      <c r="H44" s="393"/>
      <c r="I44" s="393"/>
      <c r="J44" s="393"/>
      <c r="K44" s="393"/>
      <c r="L44" s="393"/>
      <c r="M44" s="393"/>
      <c r="N44" s="393"/>
      <c r="O44" s="393"/>
      <c r="P44" s="393"/>
      <c r="Q44" s="393"/>
      <c r="R44" s="393"/>
      <c r="S44" s="393"/>
      <c r="T44" s="393"/>
      <c r="U44" s="393"/>
      <c r="V44" s="393"/>
      <c r="W44" s="393"/>
      <c r="X44" s="393"/>
      <c r="Y44" s="393"/>
      <c r="Z44" s="393"/>
      <c r="AA44" s="393"/>
      <c r="AB44" s="393"/>
      <c r="AC44" s="393"/>
      <c r="AD44" s="393"/>
      <c r="AE44" s="393"/>
      <c r="AF44" s="393"/>
      <c r="AG44" s="393"/>
      <c r="AH44" s="393"/>
      <c r="AI44" s="393"/>
      <c r="AJ44" s="393"/>
      <c r="AK44" s="393"/>
      <c r="AL44" s="393"/>
      <c r="AM44" s="393"/>
      <c r="AN44" s="393"/>
      <c r="AO44" s="393"/>
      <c r="AP44" s="393"/>
      <c r="AQ44" s="393"/>
      <c r="AR44" s="393"/>
      <c r="AS44" s="393"/>
      <c r="AT44" s="393"/>
      <c r="AU44" s="393"/>
      <c r="AV44" s="393"/>
      <c r="AW44" s="393"/>
      <c r="AX44" s="393"/>
      <c r="AY44" s="393"/>
      <c r="AZ44" s="393"/>
      <c r="BA44" s="393"/>
      <c r="BB44" s="393"/>
      <c r="BC44" s="393"/>
      <c r="BD44" s="393"/>
      <c r="BE44" s="393"/>
      <c r="BF44" s="393"/>
      <c r="BG44" s="393"/>
      <c r="BH44" s="393"/>
      <c r="BI44" s="393"/>
      <c r="BJ44" s="393"/>
      <c r="BK44" s="393"/>
      <c r="BL44" s="393"/>
      <c r="BM44" s="393"/>
      <c r="BN44" s="393"/>
      <c r="BO44" s="393"/>
      <c r="BP44" s="393"/>
      <c r="BQ44" s="393"/>
      <c r="BR44" s="393"/>
      <c r="BS44" s="393"/>
      <c r="BT44" s="393"/>
      <c r="BU44" s="393"/>
      <c r="BV44" s="393"/>
      <c r="BW44" s="393"/>
      <c r="BX44" s="393"/>
      <c r="BY44" s="393"/>
      <c r="BZ44" s="393"/>
      <c r="CA44" s="393"/>
      <c r="CB44" s="393"/>
      <c r="CC44" s="393"/>
      <c r="CD44" s="393"/>
      <c r="CE44" s="393"/>
      <c r="CF44" s="393"/>
      <c r="CG44" s="393"/>
      <c r="CH44" s="393"/>
      <c r="CI44" s="393"/>
      <c r="CJ44" s="393"/>
      <c r="CK44" s="393"/>
      <c r="CL44" s="393"/>
      <c r="CM44" s="393"/>
      <c r="CN44" s="393"/>
      <c r="CO44" s="393"/>
      <c r="CP44" s="393"/>
      <c r="CQ44" s="393"/>
      <c r="CR44" s="393"/>
      <c r="CS44" s="393"/>
      <c r="CT44" s="393"/>
      <c r="CU44" s="393"/>
      <c r="CV44" s="393"/>
      <c r="CW44" s="393"/>
      <c r="CX44" s="393"/>
      <c r="CY44" s="393"/>
      <c r="CZ44" s="393"/>
      <c r="DA44" s="393"/>
      <c r="DB44" s="393"/>
      <c r="DC44" s="393"/>
      <c r="DD44" s="393"/>
      <c r="DE44" s="393"/>
      <c r="DF44" s="393"/>
      <c r="DG44" s="393"/>
      <c r="DH44" s="393"/>
      <c r="DI44" s="393"/>
      <c r="DJ44" s="393"/>
      <c r="DK44" s="393"/>
      <c r="DL44" s="393"/>
      <c r="DM44" s="393"/>
      <c r="DN44" s="393"/>
      <c r="DO44" s="393"/>
      <c r="DP44" s="393"/>
      <c r="DQ44" s="393"/>
      <c r="DR44" s="393"/>
      <c r="DS44" s="393"/>
      <c r="DT44" s="393"/>
      <c r="DU44" s="393"/>
      <c r="DV44" s="393"/>
      <c r="DW44" s="393"/>
      <c r="DX44" s="393"/>
      <c r="DY44" s="393"/>
      <c r="DZ44" s="393"/>
      <c r="EA44" s="393"/>
      <c r="EB44" s="393"/>
      <c r="EC44" s="393"/>
      <c r="ED44" s="393"/>
      <c r="EE44" s="393"/>
      <c r="EF44" s="393"/>
      <c r="EG44" s="393"/>
      <c r="EH44" s="393"/>
      <c r="EI44" s="393"/>
      <c r="EJ44" s="393"/>
      <c r="EK44" s="393"/>
      <c r="EL44" s="393"/>
      <c r="EM44" s="393"/>
      <c r="EN44" s="393"/>
      <c r="EO44" s="393"/>
      <c r="EP44" s="393"/>
      <c r="EQ44" s="393"/>
      <c r="ER44" s="393"/>
      <c r="ES44" s="393"/>
      <c r="ET44" s="393"/>
      <c r="EU44" s="393"/>
      <c r="EV44" s="393"/>
      <c r="EW44" s="393"/>
      <c r="EX44" s="393"/>
      <c r="EY44" s="393"/>
      <c r="EZ44" s="393"/>
      <c r="FA44" s="393"/>
      <c r="FB44" s="393"/>
      <c r="FC44" s="393"/>
      <c r="FD44" s="393"/>
      <c r="FE44" s="393"/>
      <c r="FF44" s="393"/>
      <c r="FG44" s="393"/>
      <c r="FH44" s="393"/>
      <c r="FI44" s="393"/>
      <c r="FJ44" s="393"/>
      <c r="FK44" s="393"/>
      <c r="FL44" s="393"/>
      <c r="FM44" s="393"/>
      <c r="FN44" s="393"/>
      <c r="FO44" s="393"/>
      <c r="FP44" s="393"/>
      <c r="FQ44" s="393"/>
      <c r="FR44" s="393"/>
      <c r="FS44" s="393"/>
      <c r="FT44" s="393"/>
      <c r="FU44" s="393"/>
      <c r="FV44" s="393"/>
      <c r="FW44" s="393"/>
      <c r="FX44" s="393"/>
      <c r="FY44" s="393"/>
      <c r="FZ44" s="393"/>
      <c r="GA44" s="393"/>
      <c r="GB44" s="393"/>
      <c r="GC44" s="393"/>
      <c r="GD44" s="393"/>
      <c r="GE44" s="393"/>
      <c r="GF44" s="393"/>
      <c r="GG44" s="393"/>
      <c r="GH44" s="393"/>
      <c r="GI44" s="393"/>
      <c r="GJ44" s="393"/>
      <c r="GK44" s="393"/>
      <c r="GL44" s="393"/>
      <c r="GM44" s="393"/>
      <c r="GN44" s="393"/>
      <c r="GO44" s="393"/>
      <c r="GP44" s="393"/>
      <c r="GQ44" s="393"/>
      <c r="GR44" s="393"/>
      <c r="GS44" s="393"/>
    </row>
    <row r="45" spans="1:205" ht="14" customHeight="1" x14ac:dyDescent="0.35">
      <c r="A45" s="2" t="s">
        <v>54</v>
      </c>
      <c r="B45" s="14" t="s">
        <v>55</v>
      </c>
      <c r="C45" s="4" t="s">
        <v>52</v>
      </c>
      <c r="D45" s="4" t="s">
        <v>48</v>
      </c>
      <c r="E45" s="21" t="str">
        <f>'Supplier Registry'!N21</f>
        <v>Active</v>
      </c>
      <c r="F45" s="21">
        <f>'Supplier Registry'!M21</f>
        <v>1</v>
      </c>
      <c r="G45" s="21">
        <f>'Supplier Registry'!E21</f>
        <v>165</v>
      </c>
      <c r="H45" s="58">
        <f>'Supplier Registry'!P21</f>
        <v>12</v>
      </c>
      <c r="I45" s="74">
        <f>IFERROR(EDATE(Controls!B5,H45),"")</f>
        <v>46478</v>
      </c>
      <c r="J45" s="75">
        <f>IFERROR(EDATE(I45,-'Supplier Registry'!Q21),"")</f>
        <v>46447</v>
      </c>
      <c r="K45" s="29"/>
      <c r="L45" s="29"/>
      <c r="M45" s="29"/>
      <c r="N45" s="29"/>
      <c r="O45" s="29"/>
      <c r="P45" s="29"/>
      <c r="Q45" s="29"/>
      <c r="R45" s="29"/>
      <c r="S45" s="29"/>
      <c r="T45" s="29"/>
      <c r="U45" s="29"/>
      <c r="V45" s="29"/>
      <c r="W45" s="29">
        <v>165</v>
      </c>
      <c r="X45" s="29"/>
      <c r="Y45" s="29"/>
      <c r="Z45" s="29">
        <v>0</v>
      </c>
      <c r="AA45" s="29">
        <v>0</v>
      </c>
      <c r="AB45" s="29">
        <v>0</v>
      </c>
      <c r="AC45" s="29">
        <v>0</v>
      </c>
      <c r="AD45" s="29">
        <v>0</v>
      </c>
      <c r="AE45" s="29">
        <v>0</v>
      </c>
      <c r="AF45" s="29">
        <v>0</v>
      </c>
      <c r="AG45" s="29">
        <v>0</v>
      </c>
      <c r="AH45" s="29">
        <v>0</v>
      </c>
      <c r="AI45" s="29">
        <v>0</v>
      </c>
      <c r="AJ45" s="29">
        <v>0</v>
      </c>
      <c r="AK45" s="29">
        <v>0</v>
      </c>
      <c r="AL45" s="29">
        <v>0</v>
      </c>
      <c r="AM45" s="29">
        <v>0</v>
      </c>
      <c r="AN45" s="29">
        <v>0</v>
      </c>
      <c r="AO45" s="29">
        <v>0</v>
      </c>
      <c r="AP45" s="29">
        <v>0</v>
      </c>
      <c r="AQ45" s="29">
        <v>0</v>
      </c>
      <c r="AR45" s="29">
        <v>0</v>
      </c>
      <c r="AS45" s="29">
        <v>0</v>
      </c>
      <c r="AT45" s="29">
        <v>0</v>
      </c>
      <c r="AU45" s="29">
        <v>0</v>
      </c>
      <c r="AV45" s="29">
        <v>0</v>
      </c>
      <c r="AW45" s="29">
        <v>0</v>
      </c>
      <c r="AX45" s="29">
        <v>0</v>
      </c>
      <c r="AY45" s="29">
        <v>0</v>
      </c>
      <c r="AZ45" s="29">
        <v>0</v>
      </c>
      <c r="BA45" s="29">
        <v>0</v>
      </c>
      <c r="BB45" s="29">
        <v>0</v>
      </c>
      <c r="BC45" s="29">
        <v>0</v>
      </c>
      <c r="BD45" s="29">
        <v>0</v>
      </c>
      <c r="BE45" s="29">
        <v>0</v>
      </c>
      <c r="BF45" s="29">
        <v>0</v>
      </c>
      <c r="BG45" s="29">
        <v>0</v>
      </c>
      <c r="BH45" s="29">
        <v>0</v>
      </c>
      <c r="BI45" s="29">
        <v>0</v>
      </c>
      <c r="BJ45" s="29">
        <v>0</v>
      </c>
      <c r="BK45" s="29">
        <v>0</v>
      </c>
      <c r="BL45" s="29">
        <v>0</v>
      </c>
      <c r="BM45" s="29">
        <v>0</v>
      </c>
      <c r="BN45" s="29">
        <v>0</v>
      </c>
      <c r="BO45" s="29">
        <v>0</v>
      </c>
      <c r="BP45" s="29">
        <v>0</v>
      </c>
      <c r="BQ45" s="29">
        <v>0</v>
      </c>
      <c r="BR45" s="29">
        <v>0</v>
      </c>
      <c r="BS45" s="29">
        <v>0</v>
      </c>
      <c r="BT45" s="29">
        <v>0</v>
      </c>
      <c r="BU45" s="29">
        <v>0</v>
      </c>
      <c r="BV45" s="29">
        <v>0</v>
      </c>
      <c r="BW45" s="29">
        <v>0</v>
      </c>
      <c r="BX45" s="29">
        <v>0</v>
      </c>
      <c r="BY45" s="29">
        <v>0</v>
      </c>
      <c r="BZ45" s="29">
        <v>0</v>
      </c>
      <c r="CA45" s="29">
        <v>0</v>
      </c>
      <c r="CB45" s="29">
        <v>0</v>
      </c>
      <c r="CC45" s="29">
        <v>0</v>
      </c>
      <c r="CD45" s="29">
        <v>0</v>
      </c>
      <c r="CE45" s="29">
        <v>0</v>
      </c>
      <c r="CF45" s="29">
        <v>0</v>
      </c>
      <c r="CG45" s="29">
        <v>0</v>
      </c>
      <c r="CH45" s="29">
        <v>0</v>
      </c>
      <c r="CI45" s="29">
        <v>0</v>
      </c>
      <c r="CJ45" s="29">
        <v>0</v>
      </c>
      <c r="CK45" s="29">
        <v>0</v>
      </c>
      <c r="CL45" s="29">
        <v>0</v>
      </c>
      <c r="CM45" s="29">
        <v>0</v>
      </c>
      <c r="CN45" s="29">
        <v>0</v>
      </c>
      <c r="CO45" s="29">
        <v>0</v>
      </c>
      <c r="CP45" s="29">
        <v>0</v>
      </c>
      <c r="CQ45" s="29">
        <v>0</v>
      </c>
      <c r="CR45" s="29">
        <v>0</v>
      </c>
      <c r="CS45" s="29">
        <v>0</v>
      </c>
      <c r="CT45" s="29">
        <v>0</v>
      </c>
      <c r="CU45" s="29">
        <v>0</v>
      </c>
      <c r="CV45" s="29">
        <v>0</v>
      </c>
      <c r="CW45" s="29">
        <v>0</v>
      </c>
      <c r="CX45" s="29">
        <v>0</v>
      </c>
      <c r="CY45" s="29">
        <v>0</v>
      </c>
      <c r="CZ45" s="29">
        <v>0</v>
      </c>
      <c r="DA45" s="29">
        <v>0</v>
      </c>
      <c r="DB45" s="29">
        <v>0</v>
      </c>
      <c r="DC45" s="29">
        <v>0</v>
      </c>
      <c r="DD45" s="29">
        <v>0</v>
      </c>
      <c r="DE45" s="29">
        <v>0</v>
      </c>
      <c r="DF45" s="29">
        <v>0</v>
      </c>
      <c r="DG45" s="29">
        <v>0</v>
      </c>
      <c r="DH45" s="29">
        <v>0</v>
      </c>
      <c r="DI45" s="29">
        <v>0</v>
      </c>
      <c r="DJ45" s="29">
        <v>0</v>
      </c>
      <c r="DK45" s="29">
        <v>0</v>
      </c>
      <c r="DL45" s="29">
        <v>0</v>
      </c>
      <c r="DM45" s="29">
        <v>0</v>
      </c>
      <c r="DN45" s="29">
        <v>0</v>
      </c>
      <c r="DO45" s="29">
        <v>0</v>
      </c>
      <c r="DP45" s="29">
        <v>0</v>
      </c>
      <c r="DQ45" s="29">
        <v>0</v>
      </c>
      <c r="DR45" s="29">
        <v>0</v>
      </c>
      <c r="DS45" s="29">
        <v>0</v>
      </c>
      <c r="DT45" s="29">
        <v>0</v>
      </c>
      <c r="DU45" s="29">
        <v>0</v>
      </c>
      <c r="DV45" s="29">
        <v>0</v>
      </c>
      <c r="DW45" s="29">
        <v>0</v>
      </c>
      <c r="DX45" s="29">
        <v>0</v>
      </c>
      <c r="DY45" s="29">
        <v>0</v>
      </c>
      <c r="DZ45" s="29">
        <v>0</v>
      </c>
      <c r="EA45" s="29">
        <v>0</v>
      </c>
      <c r="EB45" s="29">
        <v>0</v>
      </c>
      <c r="EC45" s="29">
        <v>0</v>
      </c>
      <c r="ED45" s="29">
        <v>0</v>
      </c>
      <c r="EE45" s="29">
        <v>0</v>
      </c>
      <c r="EF45" s="29">
        <v>0</v>
      </c>
      <c r="EG45" s="29">
        <v>0</v>
      </c>
      <c r="EH45" s="29">
        <v>0</v>
      </c>
      <c r="EI45" s="29">
        <v>0</v>
      </c>
      <c r="EJ45" s="29">
        <v>0</v>
      </c>
      <c r="EK45" s="29">
        <v>0</v>
      </c>
      <c r="EL45" s="29">
        <v>0</v>
      </c>
      <c r="EM45" s="29">
        <v>0</v>
      </c>
      <c r="EN45" s="29">
        <v>0</v>
      </c>
      <c r="EO45" s="29">
        <v>0</v>
      </c>
      <c r="EP45" s="29">
        <v>0</v>
      </c>
      <c r="EQ45" s="29">
        <v>0</v>
      </c>
      <c r="ER45" s="29">
        <v>0</v>
      </c>
      <c r="ES45" s="29">
        <v>0</v>
      </c>
      <c r="ET45" s="29">
        <v>0</v>
      </c>
      <c r="EU45" s="29">
        <v>0</v>
      </c>
      <c r="EV45" s="29">
        <v>0</v>
      </c>
      <c r="EW45" s="29">
        <v>0</v>
      </c>
      <c r="EX45" s="29">
        <v>0</v>
      </c>
      <c r="EY45" s="29">
        <v>0</v>
      </c>
      <c r="EZ45" s="29">
        <v>0</v>
      </c>
      <c r="FA45" s="29">
        <v>0</v>
      </c>
      <c r="FB45" s="29">
        <v>0</v>
      </c>
      <c r="FC45" s="29">
        <v>0</v>
      </c>
      <c r="FD45" s="29">
        <v>0</v>
      </c>
      <c r="FE45" s="29">
        <v>0</v>
      </c>
      <c r="FF45" s="29">
        <v>0</v>
      </c>
      <c r="FG45" s="29">
        <v>0</v>
      </c>
      <c r="FH45" s="29">
        <v>0</v>
      </c>
      <c r="FI45" s="29">
        <v>0</v>
      </c>
      <c r="FJ45" s="29">
        <v>0</v>
      </c>
      <c r="FK45" s="29">
        <v>0</v>
      </c>
      <c r="FL45" s="29">
        <v>0</v>
      </c>
      <c r="FM45" s="29">
        <v>0</v>
      </c>
      <c r="FN45" s="29">
        <v>0</v>
      </c>
      <c r="FO45" s="29">
        <v>0</v>
      </c>
      <c r="FP45" s="29">
        <v>0</v>
      </c>
      <c r="FQ45" s="29">
        <v>0</v>
      </c>
      <c r="FR45" s="29">
        <v>0</v>
      </c>
      <c r="FS45" s="29">
        <v>0</v>
      </c>
      <c r="FT45" s="29">
        <v>0</v>
      </c>
      <c r="FU45" s="29">
        <v>0</v>
      </c>
      <c r="FV45" s="29">
        <v>0</v>
      </c>
      <c r="FW45" s="29">
        <v>0</v>
      </c>
      <c r="FX45" s="29">
        <v>0</v>
      </c>
      <c r="FY45" s="29">
        <v>0</v>
      </c>
      <c r="FZ45" s="29">
        <v>0</v>
      </c>
      <c r="GA45" s="29">
        <v>0</v>
      </c>
      <c r="GB45" s="29">
        <v>0</v>
      </c>
      <c r="GC45" s="29">
        <v>0</v>
      </c>
      <c r="GD45" s="29">
        <v>0</v>
      </c>
      <c r="GE45" s="29">
        <v>0</v>
      </c>
      <c r="GF45" s="29">
        <v>0</v>
      </c>
      <c r="GG45" s="29">
        <v>0</v>
      </c>
      <c r="GH45" s="29">
        <v>0</v>
      </c>
      <c r="GI45" s="206">
        <f>SUM(K45:V45)</f>
        <v>0</v>
      </c>
      <c r="GJ45" s="206">
        <f>SUM(T45:AE45)</f>
        <v>165</v>
      </c>
      <c r="GK45" s="206">
        <f>SUM(AF45:AQ45)</f>
        <v>0</v>
      </c>
      <c r="GL45" s="206">
        <f>SUM(AR45:BC45)</f>
        <v>0</v>
      </c>
      <c r="GM45" s="206">
        <f>SUM(BD45:BO45)</f>
        <v>0</v>
      </c>
      <c r="GN45" s="206">
        <f>SUM(BP45:CA45)</f>
        <v>0</v>
      </c>
      <c r="GO45" s="206">
        <f>SUM(CB45:CM45)</f>
        <v>0</v>
      </c>
      <c r="GP45" s="206">
        <f>SUM(CN45:CY45)</f>
        <v>0</v>
      </c>
      <c r="GQ45" s="206">
        <f>SUM(CZ45:DK45)</f>
        <v>0</v>
      </c>
      <c r="GR45" s="206">
        <f>SUM(DL45:DW45)</f>
        <v>0</v>
      </c>
      <c r="GS45" s="206">
        <f>SUM(DX45:EI45)</f>
        <v>0</v>
      </c>
      <c r="GT45" s="206">
        <f>SUM(EJ45:EU45)</f>
        <v>0</v>
      </c>
      <c r="GU45" s="206">
        <f>SUM(EV45:FG45)</f>
        <v>0</v>
      </c>
      <c r="GV45" s="206">
        <f>SUM(FH45:FS45)</f>
        <v>0</v>
      </c>
      <c r="GW45" s="206">
        <f>SUM(FT45:GE45)</f>
        <v>0</v>
      </c>
    </row>
    <row r="46" spans="1:205" ht="14" customHeight="1" x14ac:dyDescent="0.35">
      <c r="A46" s="10" t="s">
        <v>54</v>
      </c>
      <c r="B46" s="11" t="s">
        <v>53</v>
      </c>
      <c r="C46" s="12" t="s">
        <v>52</v>
      </c>
      <c r="D46" s="12" t="s">
        <v>48</v>
      </c>
      <c r="E46" s="21" t="str">
        <f>'Supplier Registry'!N22</f>
        <v>Inactive</v>
      </c>
      <c r="F46" s="21">
        <f>'Supplier Registry'!M22</f>
        <v>0</v>
      </c>
      <c r="G46" s="21">
        <f>'Supplier Registry'!E22</f>
        <v>100</v>
      </c>
      <c r="H46" s="58">
        <f>'Supplier Registry'!P22</f>
        <v>12</v>
      </c>
      <c r="I46" s="74">
        <f>IFERROR(EDATE(Controls!B5,H46),"")</f>
        <v>46478</v>
      </c>
      <c r="J46" s="75">
        <f>IFERROR(EDATE(I46,-'Supplier Registry'!Q22),"")</f>
        <v>46447</v>
      </c>
      <c r="K46" s="29"/>
      <c r="L46" s="29"/>
      <c r="M46" s="29"/>
      <c r="N46" s="29"/>
      <c r="O46" s="29"/>
      <c r="P46" s="29"/>
      <c r="Q46" s="29"/>
      <c r="R46" s="29"/>
      <c r="S46" s="29"/>
      <c r="T46" s="29"/>
      <c r="U46" s="29"/>
      <c r="V46" s="29"/>
      <c r="W46" s="29"/>
      <c r="X46" s="29"/>
      <c r="Y46" s="29"/>
      <c r="Z46" s="29">
        <v>0</v>
      </c>
      <c r="AA46" s="29">
        <v>0</v>
      </c>
      <c r="AB46" s="29">
        <v>0</v>
      </c>
      <c r="AC46" s="29">
        <v>0</v>
      </c>
      <c r="AD46" s="29">
        <v>0</v>
      </c>
      <c r="AE46" s="29">
        <v>0</v>
      </c>
      <c r="AF46" s="29">
        <v>0</v>
      </c>
      <c r="AG46" s="29">
        <v>0</v>
      </c>
      <c r="AH46" s="29">
        <v>0</v>
      </c>
      <c r="AI46" s="29">
        <v>0</v>
      </c>
      <c r="AJ46" s="29">
        <v>0</v>
      </c>
      <c r="AK46" s="29">
        <v>0</v>
      </c>
      <c r="AL46" s="29">
        <v>0</v>
      </c>
      <c r="AM46" s="29">
        <v>0</v>
      </c>
      <c r="AN46" s="29">
        <v>0</v>
      </c>
      <c r="AO46" s="29">
        <v>0</v>
      </c>
      <c r="AP46" s="29">
        <v>0</v>
      </c>
      <c r="AQ46" s="29">
        <v>0</v>
      </c>
      <c r="AR46" s="29">
        <v>0</v>
      </c>
      <c r="AS46" s="29">
        <v>0</v>
      </c>
      <c r="AT46" s="29">
        <v>0</v>
      </c>
      <c r="AU46" s="29">
        <v>0</v>
      </c>
      <c r="AV46" s="29">
        <v>0</v>
      </c>
      <c r="AW46" s="29">
        <v>0</v>
      </c>
      <c r="AX46" s="29">
        <v>0</v>
      </c>
      <c r="AY46" s="29">
        <v>0</v>
      </c>
      <c r="AZ46" s="29">
        <v>0</v>
      </c>
      <c r="BA46" s="29">
        <v>0</v>
      </c>
      <c r="BB46" s="29">
        <v>0</v>
      </c>
      <c r="BC46" s="29">
        <v>0</v>
      </c>
      <c r="BD46" s="29">
        <v>0</v>
      </c>
      <c r="BE46" s="29">
        <v>0</v>
      </c>
      <c r="BF46" s="29">
        <v>0</v>
      </c>
      <c r="BG46" s="29">
        <v>0</v>
      </c>
      <c r="BH46" s="29">
        <v>0</v>
      </c>
      <c r="BI46" s="29">
        <v>0</v>
      </c>
      <c r="BJ46" s="29">
        <v>0</v>
      </c>
      <c r="BK46" s="29">
        <v>0</v>
      </c>
      <c r="BL46" s="29">
        <v>0</v>
      </c>
      <c r="BM46" s="29">
        <v>0</v>
      </c>
      <c r="BN46" s="29">
        <v>0</v>
      </c>
      <c r="BO46" s="29">
        <v>0</v>
      </c>
      <c r="BP46" s="29">
        <v>0</v>
      </c>
      <c r="BQ46" s="29">
        <v>0</v>
      </c>
      <c r="BR46" s="29">
        <v>0</v>
      </c>
      <c r="BS46" s="29">
        <v>0</v>
      </c>
      <c r="BT46" s="29">
        <v>0</v>
      </c>
      <c r="BU46" s="29">
        <v>0</v>
      </c>
      <c r="BV46" s="29">
        <v>0</v>
      </c>
      <c r="BW46" s="29">
        <v>0</v>
      </c>
      <c r="BX46" s="29">
        <v>0</v>
      </c>
      <c r="BY46" s="29">
        <v>0</v>
      </c>
      <c r="BZ46" s="29">
        <v>0</v>
      </c>
      <c r="CA46" s="29">
        <v>0</v>
      </c>
      <c r="CB46" s="29">
        <v>0</v>
      </c>
      <c r="CC46" s="29">
        <v>0</v>
      </c>
      <c r="CD46" s="29">
        <v>0</v>
      </c>
      <c r="CE46" s="29">
        <v>0</v>
      </c>
      <c r="CF46" s="29">
        <v>0</v>
      </c>
      <c r="CG46" s="29">
        <v>0</v>
      </c>
      <c r="CH46" s="29">
        <v>0</v>
      </c>
      <c r="CI46" s="29">
        <v>0</v>
      </c>
      <c r="CJ46" s="29">
        <v>0</v>
      </c>
      <c r="CK46" s="29">
        <v>0</v>
      </c>
      <c r="CL46" s="29">
        <v>0</v>
      </c>
      <c r="CM46" s="29">
        <v>0</v>
      </c>
      <c r="CN46" s="29">
        <v>0</v>
      </c>
      <c r="CO46" s="29">
        <v>0</v>
      </c>
      <c r="CP46" s="29">
        <v>0</v>
      </c>
      <c r="CQ46" s="29">
        <v>0</v>
      </c>
      <c r="CR46" s="29">
        <v>0</v>
      </c>
      <c r="CS46" s="29">
        <v>0</v>
      </c>
      <c r="CT46" s="29">
        <v>0</v>
      </c>
      <c r="CU46" s="29">
        <v>0</v>
      </c>
      <c r="CV46" s="29">
        <v>0</v>
      </c>
      <c r="CW46" s="29">
        <v>0</v>
      </c>
      <c r="CX46" s="29">
        <v>0</v>
      </c>
      <c r="CY46" s="29">
        <v>0</v>
      </c>
      <c r="CZ46" s="29">
        <v>0</v>
      </c>
      <c r="DA46" s="29">
        <v>0</v>
      </c>
      <c r="DB46" s="29">
        <v>0</v>
      </c>
      <c r="DC46" s="29">
        <v>0</v>
      </c>
      <c r="DD46" s="29">
        <v>0</v>
      </c>
      <c r="DE46" s="29">
        <v>0</v>
      </c>
      <c r="DF46" s="29">
        <v>0</v>
      </c>
      <c r="DG46" s="29">
        <v>0</v>
      </c>
      <c r="DH46" s="29">
        <v>0</v>
      </c>
      <c r="DI46" s="29">
        <v>0</v>
      </c>
      <c r="DJ46" s="29">
        <v>0</v>
      </c>
      <c r="DK46" s="29">
        <v>0</v>
      </c>
      <c r="DL46" s="29">
        <v>0</v>
      </c>
      <c r="DM46" s="29">
        <v>0</v>
      </c>
      <c r="DN46" s="29">
        <v>0</v>
      </c>
      <c r="DO46" s="29">
        <v>0</v>
      </c>
      <c r="DP46" s="29">
        <v>0</v>
      </c>
      <c r="DQ46" s="29">
        <v>0</v>
      </c>
      <c r="DR46" s="29">
        <v>0</v>
      </c>
      <c r="DS46" s="29">
        <v>0</v>
      </c>
      <c r="DT46" s="29">
        <v>0</v>
      </c>
      <c r="DU46" s="29">
        <v>0</v>
      </c>
      <c r="DV46" s="29">
        <v>0</v>
      </c>
      <c r="DW46" s="29">
        <v>0</v>
      </c>
      <c r="DX46" s="29">
        <v>0</v>
      </c>
      <c r="DY46" s="29">
        <v>0</v>
      </c>
      <c r="DZ46" s="29">
        <v>0</v>
      </c>
      <c r="EA46" s="29">
        <v>0</v>
      </c>
      <c r="EB46" s="29">
        <v>0</v>
      </c>
      <c r="EC46" s="29">
        <v>0</v>
      </c>
      <c r="ED46" s="29">
        <v>0</v>
      </c>
      <c r="EE46" s="29">
        <v>0</v>
      </c>
      <c r="EF46" s="29">
        <v>0</v>
      </c>
      <c r="EG46" s="29">
        <v>0</v>
      </c>
      <c r="EH46" s="29">
        <v>0</v>
      </c>
      <c r="EI46" s="29">
        <v>0</v>
      </c>
      <c r="EJ46" s="29">
        <v>0</v>
      </c>
      <c r="EK46" s="29">
        <v>0</v>
      </c>
      <c r="EL46" s="29">
        <v>0</v>
      </c>
      <c r="EM46" s="29">
        <v>0</v>
      </c>
      <c r="EN46" s="29">
        <v>0</v>
      </c>
      <c r="EO46" s="29">
        <v>0</v>
      </c>
      <c r="EP46" s="29">
        <v>0</v>
      </c>
      <c r="EQ46" s="29">
        <v>0</v>
      </c>
      <c r="ER46" s="29">
        <v>0</v>
      </c>
      <c r="ES46" s="29">
        <v>0</v>
      </c>
      <c r="ET46" s="29">
        <v>0</v>
      </c>
      <c r="EU46" s="29">
        <v>0</v>
      </c>
      <c r="EV46" s="29">
        <v>0</v>
      </c>
      <c r="EW46" s="29">
        <v>0</v>
      </c>
      <c r="EX46" s="29">
        <v>0</v>
      </c>
      <c r="EY46" s="29">
        <v>0</v>
      </c>
      <c r="EZ46" s="29">
        <v>0</v>
      </c>
      <c r="FA46" s="29">
        <v>0</v>
      </c>
      <c r="FB46" s="29">
        <v>0</v>
      </c>
      <c r="FC46" s="29">
        <v>0</v>
      </c>
      <c r="FD46" s="29">
        <v>0</v>
      </c>
      <c r="FE46" s="29">
        <v>0</v>
      </c>
      <c r="FF46" s="29">
        <v>0</v>
      </c>
      <c r="FG46" s="29">
        <v>0</v>
      </c>
      <c r="FH46" s="29">
        <v>0</v>
      </c>
      <c r="FI46" s="29">
        <v>0</v>
      </c>
      <c r="FJ46" s="29">
        <v>0</v>
      </c>
      <c r="FK46" s="29">
        <v>0</v>
      </c>
      <c r="FL46" s="29">
        <v>0</v>
      </c>
      <c r="FM46" s="29">
        <v>0</v>
      </c>
      <c r="FN46" s="29">
        <v>0</v>
      </c>
      <c r="FO46" s="29">
        <v>0</v>
      </c>
      <c r="FP46" s="29">
        <v>0</v>
      </c>
      <c r="FQ46" s="29">
        <v>0</v>
      </c>
      <c r="FR46" s="29">
        <v>0</v>
      </c>
      <c r="FS46" s="29">
        <v>0</v>
      </c>
      <c r="FT46" s="29">
        <v>0</v>
      </c>
      <c r="FU46" s="29">
        <v>0</v>
      </c>
      <c r="FV46" s="29">
        <v>0</v>
      </c>
      <c r="FW46" s="29">
        <v>0</v>
      </c>
      <c r="FX46" s="29">
        <v>0</v>
      </c>
      <c r="FY46" s="29">
        <v>0</v>
      </c>
      <c r="FZ46" s="29">
        <v>0</v>
      </c>
      <c r="GA46" s="29">
        <v>0</v>
      </c>
      <c r="GB46" s="29">
        <v>0</v>
      </c>
      <c r="GC46" s="29">
        <v>0</v>
      </c>
      <c r="GD46" s="29">
        <v>0</v>
      </c>
      <c r="GE46" s="29">
        <v>0</v>
      </c>
      <c r="GF46" s="29">
        <v>0</v>
      </c>
      <c r="GG46" s="29">
        <v>0</v>
      </c>
      <c r="GH46" s="29">
        <v>0</v>
      </c>
      <c r="GI46" s="206">
        <f>SUM(K46:V46)</f>
        <v>0</v>
      </c>
      <c r="GJ46" s="206">
        <f>SUM(T46:AE46)</f>
        <v>0</v>
      </c>
      <c r="GK46" s="206">
        <f>SUM(AF46:AQ46)</f>
        <v>0</v>
      </c>
      <c r="GL46" s="206">
        <f>SUM(AR46:BC46)</f>
        <v>0</v>
      </c>
      <c r="GM46" s="206">
        <f>SUM(BD46:BO46)</f>
        <v>0</v>
      </c>
      <c r="GN46" s="206">
        <f>SUM(BP46:CA46)</f>
        <v>0</v>
      </c>
      <c r="GO46" s="206">
        <f>SUM(CB46:CM46)</f>
        <v>0</v>
      </c>
      <c r="GP46" s="206">
        <f>SUM(CN46:CY46)</f>
        <v>0</v>
      </c>
      <c r="GQ46" s="206">
        <f>SUM(CZ46:DK46)</f>
        <v>0</v>
      </c>
      <c r="GR46" s="206">
        <f>SUM(DL46:DW46)</f>
        <v>0</v>
      </c>
      <c r="GS46" s="206">
        <f>SUM(DX46:EI46)</f>
        <v>0</v>
      </c>
      <c r="GT46" s="206">
        <f>SUM(EJ46:EU46)</f>
        <v>0</v>
      </c>
      <c r="GU46" s="206">
        <f>SUM(EV46:FG46)</f>
        <v>0</v>
      </c>
      <c r="GV46" s="206">
        <f>SUM(FH46:FS46)</f>
        <v>0</v>
      </c>
      <c r="GW46" s="206">
        <f>SUM(FT46:GE46)</f>
        <v>0</v>
      </c>
    </row>
    <row r="47" spans="1:205" ht="18" customHeight="1" x14ac:dyDescent="0.35">
      <c r="A47" s="26" t="s">
        <v>54</v>
      </c>
      <c r="B47" s="26" t="s">
        <v>390</v>
      </c>
      <c r="C47" s="31"/>
      <c r="D47" s="31"/>
      <c r="E47" s="31"/>
      <c r="F47" s="31"/>
      <c r="G47" s="31"/>
      <c r="K47" s="32">
        <f>IF($E45="Active",K45,0)+IF($E46="Active",K46,0)</f>
        <v>0</v>
      </c>
      <c r="L47" s="32">
        <f>IF($E45="Active",L45,0)+IF($E46="Active",L46,0)</f>
        <v>0</v>
      </c>
      <c r="M47" s="32">
        <f t="shared" ref="M47" si="202">IF($E45="Active",M45,0)+IF($E46="Active",M46,0)</f>
        <v>0</v>
      </c>
      <c r="N47" s="32">
        <f t="shared" ref="N47" si="203">IF($E45="Active",N45,0)+IF($E46="Active",N46,0)</f>
        <v>0</v>
      </c>
      <c r="O47" s="32">
        <f t="shared" ref="O47" si="204">IF($E45="Active",O45,0)+IF($E46="Active",O46,0)</f>
        <v>0</v>
      </c>
      <c r="P47" s="32">
        <f t="shared" ref="P47" si="205">IF($E45="Active",P45,0)+IF($E46="Active",P46,0)</f>
        <v>0</v>
      </c>
      <c r="Q47" s="32">
        <f t="shared" ref="Q47" si="206">IF($E45="Active",Q45,0)+IF($E46="Active",Q46,0)</f>
        <v>0</v>
      </c>
      <c r="R47" s="32">
        <f t="shared" ref="R47" si="207">IF($E45="Active",R45,0)+IF($E46="Active",R46,0)</f>
        <v>0</v>
      </c>
      <c r="S47" s="32">
        <f t="shared" ref="S47" si="208">IF($E45="Active",S45,0)+IF($E46="Active",S46,0)</f>
        <v>0</v>
      </c>
      <c r="T47" s="32">
        <f t="shared" ref="T47" si="209">IF($E45="Active",T45,0)+IF($E46="Active",T46,0)</f>
        <v>0</v>
      </c>
      <c r="U47" s="32">
        <f t="shared" ref="U47" si="210">IF($E45="Active",U45,0)+IF($E46="Active",U46,0)</f>
        <v>0</v>
      </c>
      <c r="V47" s="32">
        <f t="shared" ref="V47" si="211">IF($E45="Active",V45,0)+IF($E46="Active",V46,0)</f>
        <v>0</v>
      </c>
      <c r="W47" s="32">
        <f t="shared" ref="W47" si="212">IF($E45="Active",W45,0)+IF($E46="Active",W46,0)</f>
        <v>165</v>
      </c>
      <c r="X47" s="32">
        <f t="shared" ref="X47" si="213">IF($E45="Active",X45,0)+IF($E46="Active",X46,0)</f>
        <v>0</v>
      </c>
      <c r="Y47" s="32">
        <f t="shared" ref="Y47" si="214">IF($E45="Active",Y45,0)+IF($E46="Active",Y46,0)</f>
        <v>0</v>
      </c>
      <c r="Z47" s="32">
        <f t="shared" ref="Z47" si="215">IF($E45="Active",Z45,0)+IF($E46="Active",Z46,0)</f>
        <v>0</v>
      </c>
      <c r="AA47" s="32">
        <f t="shared" ref="AA47" si="216">IF($E45="Active",AA45,0)+IF($E46="Active",AA46,0)</f>
        <v>0</v>
      </c>
      <c r="AB47" s="32">
        <f t="shared" ref="AB47" si="217">IF($E45="Active",AB45,0)+IF($E46="Active",AB46,0)</f>
        <v>0</v>
      </c>
      <c r="AC47" s="32">
        <f t="shared" ref="AC47" si="218">IF($E45="Active",AC45,0)+IF($E46="Active",AC46,0)</f>
        <v>0</v>
      </c>
      <c r="AD47" s="32">
        <f t="shared" ref="AD47" si="219">IF($E45="Active",AD45,0)+IF($E46="Active",AD46,0)</f>
        <v>0</v>
      </c>
      <c r="AE47" s="32">
        <f t="shared" ref="AE47" si="220">IF($E45="Active",AE45,0)+IF($E46="Active",AE46,0)</f>
        <v>0</v>
      </c>
      <c r="AF47" s="32">
        <f t="shared" ref="AF47" si="221">IF($E45="Active",AF45,0)+IF($E46="Active",AF46,0)</f>
        <v>0</v>
      </c>
      <c r="AG47" s="32">
        <f t="shared" ref="AG47" si="222">IF($E45="Active",AG45,0)+IF($E46="Active",AG46,0)</f>
        <v>0</v>
      </c>
      <c r="AH47" s="32">
        <f t="shared" ref="AH47" si="223">IF($E45="Active",AH45,0)+IF($E46="Active",AH46,0)</f>
        <v>0</v>
      </c>
      <c r="AI47" s="32">
        <f t="shared" ref="AI47" si="224">IF($E45="Active",AI45,0)+IF($E46="Active",AI46,0)</f>
        <v>0</v>
      </c>
      <c r="AJ47" s="32">
        <f t="shared" ref="AJ47" si="225">IF($E45="Active",AJ45,0)+IF($E46="Active",AJ46,0)</f>
        <v>0</v>
      </c>
      <c r="AK47" s="32">
        <f t="shared" ref="AK47" si="226">IF($E45="Active",AK45,0)+IF($E46="Active",AK46,0)</f>
        <v>0</v>
      </c>
      <c r="AL47" s="32">
        <f t="shared" ref="AL47" si="227">IF($E45="Active",AL45,0)+IF($E46="Active",AL46,0)</f>
        <v>0</v>
      </c>
      <c r="AM47" s="32">
        <f t="shared" ref="AM47" si="228">IF($E45="Active",AM45,0)+IF($E46="Active",AM46,0)</f>
        <v>0</v>
      </c>
      <c r="AN47" s="32">
        <f t="shared" ref="AN47" si="229">IF($E45="Active",AN45,0)+IF($E46="Active",AN46,0)</f>
        <v>0</v>
      </c>
      <c r="AO47" s="32">
        <f t="shared" ref="AO47" si="230">IF($E45="Active",AO45,0)+IF($E46="Active",AO46,0)</f>
        <v>0</v>
      </c>
      <c r="AP47" s="32">
        <f t="shared" ref="AP47" si="231">IF($E45="Active",AP45,0)+IF($E46="Active",AP46,0)</f>
        <v>0</v>
      </c>
      <c r="AQ47" s="32">
        <f t="shared" ref="AQ47" si="232">IF($E45="Active",AQ45,0)+IF($E46="Active",AQ46,0)</f>
        <v>0</v>
      </c>
      <c r="AR47" s="32">
        <f t="shared" ref="AR47" si="233">IF($E45="Active",AR45,0)+IF($E46="Active",AR46,0)</f>
        <v>0</v>
      </c>
      <c r="AS47" s="32">
        <f t="shared" ref="AS47" si="234">IF($E45="Active",AS45,0)+IF($E46="Active",AS46,0)</f>
        <v>0</v>
      </c>
      <c r="AT47" s="32">
        <f t="shared" ref="AT47" si="235">IF($E45="Active",AT45,0)+IF($E46="Active",AT46,0)</f>
        <v>0</v>
      </c>
      <c r="AU47" s="32">
        <f t="shared" ref="AU47" si="236">IF($E45="Active",AU45,0)+IF($E46="Active",AU46,0)</f>
        <v>0</v>
      </c>
      <c r="AV47" s="32">
        <f t="shared" ref="AV47" si="237">IF($E45="Active",AV45,0)+IF($E46="Active",AV46,0)</f>
        <v>0</v>
      </c>
      <c r="AW47" s="32">
        <f t="shared" ref="AW47" si="238">IF($E45="Active",AW45,0)+IF($E46="Active",AW46,0)</f>
        <v>0</v>
      </c>
      <c r="AX47" s="32">
        <f t="shared" ref="AX47" si="239">IF($E45="Active",AX45,0)+IF($E46="Active",AX46,0)</f>
        <v>0</v>
      </c>
      <c r="AY47" s="32">
        <f t="shared" ref="AY47" si="240">IF($E45="Active",AY45,0)+IF($E46="Active",AY46,0)</f>
        <v>0</v>
      </c>
      <c r="AZ47" s="32">
        <f t="shared" ref="AZ47" si="241">IF($E45="Active",AZ45,0)+IF($E46="Active",AZ46,0)</f>
        <v>0</v>
      </c>
      <c r="BA47" s="32">
        <f t="shared" ref="BA47" si="242">IF($E45="Active",BA45,0)+IF($E46="Active",BA46,0)</f>
        <v>0</v>
      </c>
      <c r="BB47" s="32">
        <f t="shared" ref="BB47" si="243">IF($E45="Active",BB45,0)+IF($E46="Active",BB46,0)</f>
        <v>0</v>
      </c>
      <c r="BC47" s="32">
        <f t="shared" ref="BC47" si="244">IF($E45="Active",BC45,0)+IF($E46="Active",BC46,0)</f>
        <v>0</v>
      </c>
      <c r="BD47" s="32">
        <f t="shared" ref="BD47" si="245">IF($E45="Active",BD45,0)+IF($E46="Active",BD46,0)</f>
        <v>0</v>
      </c>
      <c r="BE47" s="32">
        <f t="shared" ref="BE47" si="246">IF($E45="Active",BE45,0)+IF($E46="Active",BE46,0)</f>
        <v>0</v>
      </c>
      <c r="BF47" s="32">
        <f t="shared" ref="BF47" si="247">IF($E45="Active",BF45,0)+IF($E46="Active",BF46,0)</f>
        <v>0</v>
      </c>
      <c r="BG47" s="32">
        <f t="shared" ref="BG47" si="248">IF($E45="Active",BG45,0)+IF($E46="Active",BG46,0)</f>
        <v>0</v>
      </c>
      <c r="BH47" s="32">
        <f t="shared" ref="BH47" si="249">IF($E45="Active",BH45,0)+IF($E46="Active",BH46,0)</f>
        <v>0</v>
      </c>
      <c r="BI47" s="32">
        <f t="shared" ref="BI47" si="250">IF($E45="Active",BI45,0)+IF($E46="Active",BI46,0)</f>
        <v>0</v>
      </c>
      <c r="BJ47" s="32">
        <f t="shared" ref="BJ47" si="251">IF($E45="Active",BJ45,0)+IF($E46="Active",BJ46,0)</f>
        <v>0</v>
      </c>
      <c r="BK47" s="32">
        <f t="shared" ref="BK47" si="252">IF($E45="Active",BK45,0)+IF($E46="Active",BK46,0)</f>
        <v>0</v>
      </c>
      <c r="BL47" s="32">
        <f t="shared" ref="BL47" si="253">IF($E45="Active",BL45,0)+IF($E46="Active",BL46,0)</f>
        <v>0</v>
      </c>
      <c r="BM47" s="32">
        <f t="shared" ref="BM47" si="254">IF($E45="Active",BM45,0)+IF($E46="Active",BM46,0)</f>
        <v>0</v>
      </c>
      <c r="BN47" s="32">
        <f t="shared" ref="BN47" si="255">IF($E45="Active",BN45,0)+IF($E46="Active",BN46,0)</f>
        <v>0</v>
      </c>
      <c r="BO47" s="32">
        <f t="shared" ref="BO47" si="256">IF($E45="Active",BO45,0)+IF($E46="Active",BO46,0)</f>
        <v>0</v>
      </c>
      <c r="BP47" s="32">
        <f t="shared" ref="BP47" si="257">IF($E45="Active",BP45,0)+IF($E46="Active",BP46,0)</f>
        <v>0</v>
      </c>
      <c r="BQ47" s="32">
        <f t="shared" ref="BQ47" si="258">IF($E45="Active",BQ45,0)+IF($E46="Active",BQ46,0)</f>
        <v>0</v>
      </c>
      <c r="BR47" s="32">
        <f t="shared" ref="BR47" si="259">IF($E45="Active",BR45,0)+IF($E46="Active",BR46,0)</f>
        <v>0</v>
      </c>
      <c r="BS47" s="32">
        <f t="shared" ref="BS47" si="260">IF($E45="Active",BS45,0)+IF($E46="Active",BS46,0)</f>
        <v>0</v>
      </c>
      <c r="BT47" s="32">
        <f t="shared" ref="BT47" si="261">IF($E45="Active",BT45,0)+IF($E46="Active",BT46,0)</f>
        <v>0</v>
      </c>
      <c r="BU47" s="32">
        <f t="shared" ref="BU47" si="262">IF($E45="Active",BU45,0)+IF($E46="Active",BU46,0)</f>
        <v>0</v>
      </c>
      <c r="BV47" s="32">
        <f t="shared" ref="BV47" si="263">IF($E45="Active",BV45,0)+IF($E46="Active",BV46,0)</f>
        <v>0</v>
      </c>
      <c r="BW47" s="32">
        <f t="shared" ref="BW47" si="264">IF($E45="Active",BW45,0)+IF($E46="Active",BW46,0)</f>
        <v>0</v>
      </c>
      <c r="BX47" s="32">
        <f t="shared" ref="BX47" si="265">IF($E45="Active",BX45,0)+IF($E46="Active",BX46,0)</f>
        <v>0</v>
      </c>
      <c r="BY47" s="32">
        <f t="shared" ref="BY47" si="266">IF($E45="Active",BY45,0)+IF($E46="Active",BY46,0)</f>
        <v>0</v>
      </c>
      <c r="BZ47" s="32">
        <f t="shared" ref="BZ47" si="267">IF($E45="Active",BZ45,0)+IF($E46="Active",BZ46,0)</f>
        <v>0</v>
      </c>
      <c r="CA47" s="32">
        <f t="shared" ref="CA47" si="268">IF($E45="Active",CA45,0)+IF($E46="Active",CA46,0)</f>
        <v>0</v>
      </c>
      <c r="CB47" s="32">
        <f t="shared" ref="CB47" si="269">IF($E45="Active",CB45,0)+IF($E46="Active",CB46,0)</f>
        <v>0</v>
      </c>
      <c r="CC47" s="32">
        <f t="shared" ref="CC47" si="270">IF($E45="Active",CC45,0)+IF($E46="Active",CC46,0)</f>
        <v>0</v>
      </c>
      <c r="CD47" s="32">
        <f t="shared" ref="CD47" si="271">IF($E45="Active",CD45,0)+IF($E46="Active",CD46,0)</f>
        <v>0</v>
      </c>
      <c r="CE47" s="32">
        <f t="shared" ref="CE47" si="272">IF($E45="Active",CE45,0)+IF($E46="Active",CE46,0)</f>
        <v>0</v>
      </c>
      <c r="CF47" s="32">
        <f t="shared" ref="CF47" si="273">IF($E45="Active",CF45,0)+IF($E46="Active",CF46,0)</f>
        <v>0</v>
      </c>
      <c r="CG47" s="32">
        <f t="shared" ref="CG47" si="274">IF($E45="Active",CG45,0)+IF($E46="Active",CG46,0)</f>
        <v>0</v>
      </c>
      <c r="CH47" s="32">
        <f t="shared" ref="CH47" si="275">IF($E45="Active",CH45,0)+IF($E46="Active",CH46,0)</f>
        <v>0</v>
      </c>
      <c r="CI47" s="32">
        <f t="shared" ref="CI47" si="276">IF($E45="Active",CI45,0)+IF($E46="Active",CI46,0)</f>
        <v>0</v>
      </c>
      <c r="CJ47" s="32">
        <f t="shared" ref="CJ47" si="277">IF($E45="Active",CJ45,0)+IF($E46="Active",CJ46,0)</f>
        <v>0</v>
      </c>
      <c r="CK47" s="32">
        <f t="shared" ref="CK47" si="278">IF($E45="Active",CK45,0)+IF($E46="Active",CK46,0)</f>
        <v>0</v>
      </c>
      <c r="CL47" s="32">
        <f t="shared" ref="CL47" si="279">IF($E45="Active",CL45,0)+IF($E46="Active",CL46,0)</f>
        <v>0</v>
      </c>
      <c r="CM47" s="32">
        <f t="shared" ref="CM47" si="280">IF($E45="Active",CM45,0)+IF($E46="Active",CM46,0)</f>
        <v>0</v>
      </c>
      <c r="CN47" s="32">
        <f t="shared" ref="CN47" si="281">IF($E45="Active",CN45,0)+IF($E46="Active",CN46,0)</f>
        <v>0</v>
      </c>
      <c r="CO47" s="32">
        <f t="shared" ref="CO47" si="282">IF($E45="Active",CO45,0)+IF($E46="Active",CO46,0)</f>
        <v>0</v>
      </c>
      <c r="CP47" s="32">
        <f t="shared" ref="CP47" si="283">IF($E45="Active",CP45,0)+IF($E46="Active",CP46,0)</f>
        <v>0</v>
      </c>
      <c r="CQ47" s="32">
        <f t="shared" ref="CQ47" si="284">IF($E45="Active",CQ45,0)+IF($E46="Active",CQ46,0)</f>
        <v>0</v>
      </c>
      <c r="CR47" s="32">
        <f t="shared" ref="CR47" si="285">IF($E45="Active",CR45,0)+IF($E46="Active",CR46,0)</f>
        <v>0</v>
      </c>
      <c r="CS47" s="32">
        <f t="shared" ref="CS47" si="286">IF($E45="Active",CS45,0)+IF($E46="Active",CS46,0)</f>
        <v>0</v>
      </c>
      <c r="CT47" s="32">
        <f t="shared" ref="CT47" si="287">IF($E45="Active",CT45,0)+IF($E46="Active",CT46,0)</f>
        <v>0</v>
      </c>
      <c r="CU47" s="32">
        <f t="shared" ref="CU47" si="288">IF($E45="Active",CU45,0)+IF($E46="Active",CU46,0)</f>
        <v>0</v>
      </c>
      <c r="CV47" s="32">
        <f t="shared" ref="CV47" si="289">IF($E45="Active",CV45,0)+IF($E46="Active",CV46,0)</f>
        <v>0</v>
      </c>
      <c r="CW47" s="32">
        <f t="shared" ref="CW47" si="290">IF($E45="Active",CW45,0)+IF($E46="Active",CW46,0)</f>
        <v>0</v>
      </c>
      <c r="CX47" s="32">
        <f t="shared" ref="CX47" si="291">IF($E45="Active",CX45,0)+IF($E46="Active",CX46,0)</f>
        <v>0</v>
      </c>
      <c r="CY47" s="32">
        <f t="shared" ref="CY47" si="292">IF($E45="Active",CY45,0)+IF($E46="Active",CY46,0)</f>
        <v>0</v>
      </c>
      <c r="CZ47" s="32">
        <f t="shared" ref="CZ47" si="293">IF($E45="Active",CZ45,0)+IF($E46="Active",CZ46,0)</f>
        <v>0</v>
      </c>
      <c r="DA47" s="32">
        <f t="shared" ref="DA47" si="294">IF($E45="Active",DA45,0)+IF($E46="Active",DA46,0)</f>
        <v>0</v>
      </c>
      <c r="DB47" s="32">
        <f t="shared" ref="DB47" si="295">IF($E45="Active",DB45,0)+IF($E46="Active",DB46,0)</f>
        <v>0</v>
      </c>
      <c r="DC47" s="32">
        <f t="shared" ref="DC47" si="296">IF($E45="Active",DC45,0)+IF($E46="Active",DC46,0)</f>
        <v>0</v>
      </c>
      <c r="DD47" s="32">
        <f t="shared" ref="DD47" si="297">IF($E45="Active",DD45,0)+IF($E46="Active",DD46,0)</f>
        <v>0</v>
      </c>
      <c r="DE47" s="32">
        <f t="shared" ref="DE47" si="298">IF($E45="Active",DE45,0)+IF($E46="Active",DE46,0)</f>
        <v>0</v>
      </c>
      <c r="DF47" s="32">
        <f t="shared" ref="DF47" si="299">IF($E45="Active",DF45,0)+IF($E46="Active",DF46,0)</f>
        <v>0</v>
      </c>
      <c r="DG47" s="32">
        <f t="shared" ref="DG47" si="300">IF($E45="Active",DG45,0)+IF($E46="Active",DG46,0)</f>
        <v>0</v>
      </c>
      <c r="DH47" s="32">
        <f t="shared" ref="DH47" si="301">IF($E45="Active",DH45,0)+IF($E46="Active",DH46,0)</f>
        <v>0</v>
      </c>
      <c r="DI47" s="32">
        <f t="shared" ref="DI47" si="302">IF($E45="Active",DI45,0)+IF($E46="Active",DI46,0)</f>
        <v>0</v>
      </c>
      <c r="DJ47" s="32">
        <f t="shared" ref="DJ47" si="303">IF($E45="Active",DJ45,0)+IF($E46="Active",DJ46,0)</f>
        <v>0</v>
      </c>
      <c r="DK47" s="32">
        <f t="shared" ref="DK47" si="304">IF($E45="Active",DK45,0)+IF($E46="Active",DK46,0)</f>
        <v>0</v>
      </c>
      <c r="DL47" s="32">
        <f t="shared" ref="DL47" si="305">IF($E45="Active",DL45,0)+IF($E46="Active",DL46,0)</f>
        <v>0</v>
      </c>
      <c r="DM47" s="32">
        <f t="shared" ref="DM47" si="306">IF($E45="Active",DM45,0)+IF($E46="Active",DM46,0)</f>
        <v>0</v>
      </c>
      <c r="DN47" s="32">
        <f t="shared" ref="DN47" si="307">IF($E45="Active",DN45,0)+IF($E46="Active",DN46,0)</f>
        <v>0</v>
      </c>
      <c r="DO47" s="32">
        <f t="shared" ref="DO47" si="308">IF($E45="Active",DO45,0)+IF($E46="Active",DO46,0)</f>
        <v>0</v>
      </c>
      <c r="DP47" s="32">
        <f t="shared" ref="DP47" si="309">IF($E45="Active",DP45,0)+IF($E46="Active",DP46,0)</f>
        <v>0</v>
      </c>
      <c r="DQ47" s="32">
        <f t="shared" ref="DQ47" si="310">IF($E45="Active",DQ45,0)+IF($E46="Active",DQ46,0)</f>
        <v>0</v>
      </c>
      <c r="DR47" s="32">
        <f t="shared" ref="DR47" si="311">IF($E45="Active",DR45,0)+IF($E46="Active",DR46,0)</f>
        <v>0</v>
      </c>
      <c r="DS47" s="32">
        <f t="shared" ref="DS47" si="312">IF($E45="Active",DS45,0)+IF($E46="Active",DS46,0)</f>
        <v>0</v>
      </c>
      <c r="DT47" s="32">
        <f t="shared" ref="DT47" si="313">IF($E45="Active",DT45,0)+IF($E46="Active",DT46,0)</f>
        <v>0</v>
      </c>
      <c r="DU47" s="32">
        <f t="shared" ref="DU47" si="314">IF($E45="Active",DU45,0)+IF($E46="Active",DU46,0)</f>
        <v>0</v>
      </c>
      <c r="DV47" s="32">
        <f t="shared" ref="DV47" si="315">IF($E45="Active",DV45,0)+IF($E46="Active",DV46,0)</f>
        <v>0</v>
      </c>
      <c r="DW47" s="32">
        <f t="shared" ref="DW47" si="316">IF($E45="Active",DW45,0)+IF($E46="Active",DW46,0)</f>
        <v>0</v>
      </c>
      <c r="DX47" s="32">
        <f t="shared" ref="DX47" si="317">IF($E45="Active",DX45,0)+IF($E46="Active",DX46,0)</f>
        <v>0</v>
      </c>
      <c r="DY47" s="32">
        <f t="shared" ref="DY47" si="318">IF($E45="Active",DY45,0)+IF($E46="Active",DY46,0)</f>
        <v>0</v>
      </c>
      <c r="DZ47" s="32">
        <f t="shared" ref="DZ47" si="319">IF($E45="Active",DZ45,0)+IF($E46="Active",DZ46,0)</f>
        <v>0</v>
      </c>
      <c r="EA47" s="32">
        <f t="shared" ref="EA47" si="320">IF($E45="Active",EA45,0)+IF($E46="Active",EA46,0)</f>
        <v>0</v>
      </c>
      <c r="EB47" s="32">
        <f t="shared" ref="EB47" si="321">IF($E45="Active",EB45,0)+IF($E46="Active",EB46,0)</f>
        <v>0</v>
      </c>
      <c r="EC47" s="32">
        <f t="shared" ref="EC47" si="322">IF($E45="Active",EC45,0)+IF($E46="Active",EC46,0)</f>
        <v>0</v>
      </c>
      <c r="ED47" s="32">
        <f t="shared" ref="ED47" si="323">IF($E45="Active",ED45,0)+IF($E46="Active",ED46,0)</f>
        <v>0</v>
      </c>
      <c r="EE47" s="32">
        <f t="shared" ref="EE47" si="324">IF($E45="Active",EE45,0)+IF($E46="Active",EE46,0)</f>
        <v>0</v>
      </c>
      <c r="EF47" s="32">
        <f t="shared" ref="EF47" si="325">IF($E45="Active",EF45,0)+IF($E46="Active",EF46,0)</f>
        <v>0</v>
      </c>
      <c r="EG47" s="32">
        <f t="shared" ref="EG47" si="326">IF($E45="Active",EG45,0)+IF($E46="Active",EG46,0)</f>
        <v>0</v>
      </c>
      <c r="EH47" s="32">
        <f t="shared" ref="EH47" si="327">IF($E45="Active",EH45,0)+IF($E46="Active",EH46,0)</f>
        <v>0</v>
      </c>
      <c r="EI47" s="32">
        <f t="shared" ref="EI47" si="328">IF($E45="Active",EI45,0)+IF($E46="Active",EI46,0)</f>
        <v>0</v>
      </c>
      <c r="EJ47" s="32">
        <f t="shared" ref="EJ47" si="329">IF($E45="Active",EJ45,0)+IF($E46="Active",EJ46,0)</f>
        <v>0</v>
      </c>
      <c r="EK47" s="32">
        <f t="shared" ref="EK47" si="330">IF($E45="Active",EK45,0)+IF($E46="Active",EK46,0)</f>
        <v>0</v>
      </c>
      <c r="EL47" s="32">
        <f t="shared" ref="EL47" si="331">IF($E45="Active",EL45,0)+IF($E46="Active",EL46,0)</f>
        <v>0</v>
      </c>
      <c r="EM47" s="32">
        <f t="shared" ref="EM47" si="332">IF($E45="Active",EM45,0)+IF($E46="Active",EM46,0)</f>
        <v>0</v>
      </c>
      <c r="EN47" s="32">
        <f t="shared" ref="EN47" si="333">IF($E45="Active",EN45,0)+IF($E46="Active",EN46,0)</f>
        <v>0</v>
      </c>
      <c r="EO47" s="32">
        <f t="shared" ref="EO47" si="334">IF($E45="Active",EO45,0)+IF($E46="Active",EO46,0)</f>
        <v>0</v>
      </c>
      <c r="EP47" s="32">
        <f t="shared" ref="EP47" si="335">IF($E45="Active",EP45,0)+IF($E46="Active",EP46,0)</f>
        <v>0</v>
      </c>
      <c r="EQ47" s="32">
        <f t="shared" ref="EQ47" si="336">IF($E45="Active",EQ45,0)+IF($E46="Active",EQ46,0)</f>
        <v>0</v>
      </c>
      <c r="ER47" s="32">
        <f t="shared" ref="ER47" si="337">IF($E45="Active",ER45,0)+IF($E46="Active",ER46,0)</f>
        <v>0</v>
      </c>
      <c r="ES47" s="32">
        <f t="shared" ref="ES47" si="338">IF($E45="Active",ES45,0)+IF($E46="Active",ES46,0)</f>
        <v>0</v>
      </c>
      <c r="ET47" s="32">
        <f t="shared" ref="ET47" si="339">IF($E45="Active",ET45,0)+IF($E46="Active",ET46,0)</f>
        <v>0</v>
      </c>
      <c r="EU47" s="32">
        <f t="shared" ref="EU47" si="340">IF($E45="Active",EU45,0)+IF($E46="Active",EU46,0)</f>
        <v>0</v>
      </c>
      <c r="EV47" s="32">
        <f t="shared" ref="EV47" si="341">IF($E45="Active",EV45,0)+IF($E46="Active",EV46,0)</f>
        <v>0</v>
      </c>
      <c r="EW47" s="32">
        <f t="shared" ref="EW47" si="342">IF($E45="Active",EW45,0)+IF($E46="Active",EW46,0)</f>
        <v>0</v>
      </c>
      <c r="EX47" s="32">
        <f t="shared" ref="EX47" si="343">IF($E45="Active",EX45,0)+IF($E46="Active",EX46,0)</f>
        <v>0</v>
      </c>
      <c r="EY47" s="32">
        <f t="shared" ref="EY47" si="344">IF($E45="Active",EY45,0)+IF($E46="Active",EY46,0)</f>
        <v>0</v>
      </c>
      <c r="EZ47" s="32">
        <f t="shared" ref="EZ47" si="345">IF($E45="Active",EZ45,0)+IF($E46="Active",EZ46,0)</f>
        <v>0</v>
      </c>
      <c r="FA47" s="32">
        <f t="shared" ref="FA47" si="346">IF($E45="Active",FA45,0)+IF($E46="Active",FA46,0)</f>
        <v>0</v>
      </c>
      <c r="FB47" s="32">
        <f t="shared" ref="FB47" si="347">IF($E45="Active",FB45,0)+IF($E46="Active",FB46,0)</f>
        <v>0</v>
      </c>
      <c r="FC47" s="32">
        <f t="shared" ref="FC47" si="348">IF($E45="Active",FC45,0)+IF($E46="Active",FC46,0)</f>
        <v>0</v>
      </c>
      <c r="FD47" s="32">
        <f t="shared" ref="FD47" si="349">IF($E45="Active",FD45,0)+IF($E46="Active",FD46,0)</f>
        <v>0</v>
      </c>
      <c r="FE47" s="32">
        <f t="shared" ref="FE47" si="350">IF($E45="Active",FE45,0)+IF($E46="Active",FE46,0)</f>
        <v>0</v>
      </c>
      <c r="FF47" s="32">
        <f t="shared" ref="FF47" si="351">IF($E45="Active",FF45,0)+IF($E46="Active",FF46,0)</f>
        <v>0</v>
      </c>
      <c r="FG47" s="32">
        <f t="shared" ref="FG47" si="352">IF($E45="Active",FG45,0)+IF($E46="Active",FG46,0)</f>
        <v>0</v>
      </c>
      <c r="FH47" s="32">
        <f t="shared" ref="FH47" si="353">IF($E45="Active",FH45,0)+IF($E46="Active",FH46,0)</f>
        <v>0</v>
      </c>
      <c r="FI47" s="32">
        <f t="shared" ref="FI47" si="354">IF($E45="Active",FI45,0)+IF($E46="Active",FI46,0)</f>
        <v>0</v>
      </c>
      <c r="FJ47" s="32">
        <f t="shared" ref="FJ47" si="355">IF($E45="Active",FJ45,0)+IF($E46="Active",FJ46,0)</f>
        <v>0</v>
      </c>
      <c r="FK47" s="32">
        <f t="shared" ref="FK47" si="356">IF($E45="Active",FK45,0)+IF($E46="Active",FK46,0)</f>
        <v>0</v>
      </c>
      <c r="FL47" s="32">
        <f t="shared" ref="FL47" si="357">IF($E45="Active",FL45,0)+IF($E46="Active",FL46,0)</f>
        <v>0</v>
      </c>
      <c r="FM47" s="32">
        <f t="shared" ref="FM47" si="358">IF($E45="Active",FM45,0)+IF($E46="Active",FM46,0)</f>
        <v>0</v>
      </c>
      <c r="FN47" s="32">
        <f t="shared" ref="FN47" si="359">IF($E45="Active",FN45,0)+IF($E46="Active",FN46,0)</f>
        <v>0</v>
      </c>
      <c r="FO47" s="32">
        <f t="shared" ref="FO47" si="360">IF($E45="Active",FO45,0)+IF($E46="Active",FO46,0)</f>
        <v>0</v>
      </c>
      <c r="FP47" s="32">
        <f t="shared" ref="FP47" si="361">IF($E45="Active",FP45,0)+IF($E46="Active",FP46,0)</f>
        <v>0</v>
      </c>
      <c r="FQ47" s="32">
        <f t="shared" ref="FQ47" si="362">IF($E45="Active",FQ45,0)+IF($E46="Active",FQ46,0)</f>
        <v>0</v>
      </c>
      <c r="FR47" s="32">
        <f t="shared" ref="FR47" si="363">IF($E45="Active",FR45,0)+IF($E46="Active",FR46,0)</f>
        <v>0</v>
      </c>
      <c r="FS47" s="32">
        <f t="shared" ref="FS47" si="364">IF($E45="Active",FS45,0)+IF($E46="Active",FS46,0)</f>
        <v>0</v>
      </c>
      <c r="FT47" s="32">
        <f t="shared" ref="FT47" si="365">IF($E45="Active",FT45,0)+IF($E46="Active",FT46,0)</f>
        <v>0</v>
      </c>
      <c r="FU47" s="32">
        <f t="shared" ref="FU47" si="366">IF($E45="Active",FU45,0)+IF($E46="Active",FU46,0)</f>
        <v>0</v>
      </c>
      <c r="FV47" s="32">
        <f t="shared" ref="FV47" si="367">IF($E45="Active",FV45,0)+IF($E46="Active",FV46,0)</f>
        <v>0</v>
      </c>
      <c r="FW47" s="32">
        <f t="shared" ref="FW47" si="368">IF($E45="Active",FW45,0)+IF($E46="Active",FW46,0)</f>
        <v>0</v>
      </c>
      <c r="FX47" s="32">
        <f t="shared" ref="FX47" si="369">IF($E45="Active",FX45,0)+IF($E46="Active",FX46,0)</f>
        <v>0</v>
      </c>
      <c r="FY47" s="32">
        <f t="shared" ref="FY47" si="370">IF($E45="Active",FY45,0)+IF($E46="Active",FY46,0)</f>
        <v>0</v>
      </c>
      <c r="FZ47" s="32">
        <f t="shared" ref="FZ47" si="371">IF($E45="Active",FZ45,0)+IF($E46="Active",FZ46,0)</f>
        <v>0</v>
      </c>
      <c r="GA47" s="32">
        <f t="shared" ref="GA47" si="372">IF($E45="Active",GA45,0)+IF($E46="Active",GA46,0)</f>
        <v>0</v>
      </c>
      <c r="GB47" s="32">
        <f t="shared" ref="GB47" si="373">IF($E45="Active",GB45,0)+IF($E46="Active",GB46,0)</f>
        <v>0</v>
      </c>
      <c r="GC47" s="32">
        <f t="shared" ref="GC47" si="374">IF($E45="Active",GC45,0)+IF($E46="Active",GC46,0)</f>
        <v>0</v>
      </c>
      <c r="GD47" s="32">
        <f t="shared" ref="GD47" si="375">IF($E45="Active",GD45,0)+IF($E46="Active",GD46,0)</f>
        <v>0</v>
      </c>
      <c r="GE47" s="32">
        <f t="shared" ref="GE47" si="376">IF($E45="Active",GE45,0)+IF($E46="Active",GE46,0)</f>
        <v>0</v>
      </c>
      <c r="GF47" s="32">
        <f t="shared" ref="GF47" si="377">IF($E45="Active",GF45,0)+IF($E46="Active",GF46,0)</f>
        <v>0</v>
      </c>
      <c r="GG47" s="32">
        <f t="shared" ref="GG47" si="378">IF($E45="Active",GG45,0)+IF($E46="Active",GG46,0)</f>
        <v>0</v>
      </c>
      <c r="GH47" s="32">
        <f t="shared" ref="GH47" si="379">IF($E45="Active",GH45,0)+IF($E46="Active",GH46,0)</f>
        <v>0</v>
      </c>
      <c r="GI47" s="32">
        <f>IF(E45="Active",GF45,0)+IF(E46="Active",GF46,0)</f>
        <v>0</v>
      </c>
      <c r="GJ47" s="32">
        <f>IF(E45="Active",GG45,0)+IF(E46="Active",GG46,0)</f>
        <v>0</v>
      </c>
      <c r="GK47" s="32">
        <f>IF(E45="Active",GH45,0)+IF(E46="Active",GH46,0)</f>
        <v>0</v>
      </c>
      <c r="GL47" s="32">
        <f>IF(E45="Active",GI45,0)+IF(E46="Active",GI46,0)</f>
        <v>0</v>
      </c>
      <c r="GM47" s="32">
        <f>IF(E45="Active",GJ45,0)+IF(E46="Active",GJ46,0)</f>
        <v>165</v>
      </c>
      <c r="GN47" s="32">
        <f>IF(E45="Active",GK45,0)+IF(E46="Active",GK46,0)</f>
        <v>0</v>
      </c>
      <c r="GO47" s="32">
        <f>IF(E45="Active",GL45,0)+IF(E46="Active",GL46,0)</f>
        <v>0</v>
      </c>
      <c r="GP47" s="32">
        <f>IF(E45="Active",GM45,0)+IF(E46="Active",GM46,0)</f>
        <v>0</v>
      </c>
      <c r="GQ47" s="32">
        <f>IF(E45="Active",GN45,0)+IF(E46="Active",GN46,0)</f>
        <v>0</v>
      </c>
      <c r="GR47" s="32">
        <f>IF(E45="Active",GO45,0)+IF(E46="Active",GO46,0)</f>
        <v>0</v>
      </c>
      <c r="GS47" s="32">
        <f>IF(E45="Active",GP45,0)+IF(E46="Active",GP46,0)</f>
        <v>0</v>
      </c>
      <c r="GT47" s="32">
        <f>IF(E45="Active",GQ45,0)+IF(E46="Active",GQ46,0)</f>
        <v>0</v>
      </c>
      <c r="GU47" s="32">
        <f>IF(E45="Active",GR45,0)+IF(E46="Active",GR46,0)</f>
        <v>0</v>
      </c>
      <c r="GV47" s="32">
        <f>IF(E45="Active",GS45,0)+IF(E46="Active",GS46,0)</f>
        <v>0</v>
      </c>
      <c r="GW47" s="32">
        <f>IF(E45="Active",GT45,0)+IF(E46="Active",GT46,0)</f>
        <v>0</v>
      </c>
    </row>
    <row r="49" spans="1:205" ht="22" customHeight="1" x14ac:dyDescent="0.35">
      <c r="A49" s="392" t="s">
        <v>396</v>
      </c>
      <c r="B49" s="393"/>
      <c r="C49" s="393"/>
      <c r="D49" s="393"/>
      <c r="E49" s="393"/>
      <c r="F49" s="393"/>
      <c r="G49" s="393"/>
      <c r="H49" s="393"/>
      <c r="I49" s="393"/>
      <c r="J49" s="393"/>
      <c r="K49" s="393"/>
      <c r="L49" s="393"/>
      <c r="M49" s="393"/>
      <c r="N49" s="393"/>
      <c r="O49" s="393"/>
      <c r="P49" s="393"/>
      <c r="Q49" s="393"/>
      <c r="R49" s="393"/>
      <c r="S49" s="393"/>
      <c r="T49" s="393"/>
      <c r="U49" s="393"/>
      <c r="V49" s="393"/>
      <c r="W49" s="393"/>
      <c r="X49" s="393"/>
      <c r="Y49" s="393"/>
      <c r="Z49" s="393"/>
      <c r="AA49" s="393"/>
      <c r="AB49" s="393"/>
      <c r="AC49" s="393"/>
      <c r="AD49" s="393"/>
      <c r="AE49" s="393"/>
      <c r="AF49" s="393"/>
      <c r="AG49" s="393"/>
      <c r="AH49" s="393"/>
      <c r="AI49" s="393"/>
      <c r="AJ49" s="393"/>
      <c r="AK49" s="393"/>
      <c r="AL49" s="393"/>
      <c r="AM49" s="393"/>
      <c r="AN49" s="393"/>
      <c r="AO49" s="393"/>
      <c r="AP49" s="393"/>
      <c r="AQ49" s="393"/>
      <c r="AR49" s="393"/>
      <c r="AS49" s="393"/>
      <c r="AT49" s="393"/>
      <c r="AU49" s="393"/>
      <c r="AV49" s="393"/>
      <c r="AW49" s="393"/>
      <c r="AX49" s="393"/>
      <c r="AY49" s="393"/>
      <c r="AZ49" s="393"/>
      <c r="BA49" s="393"/>
      <c r="BB49" s="393"/>
      <c r="BC49" s="393"/>
      <c r="BD49" s="393"/>
      <c r="BE49" s="393"/>
      <c r="BF49" s="393"/>
      <c r="BG49" s="393"/>
      <c r="BH49" s="393"/>
      <c r="BI49" s="393"/>
      <c r="BJ49" s="393"/>
      <c r="BK49" s="393"/>
      <c r="BL49" s="393"/>
      <c r="BM49" s="393"/>
      <c r="BN49" s="393"/>
      <c r="BO49" s="393"/>
      <c r="BP49" s="393"/>
      <c r="BQ49" s="393"/>
      <c r="BR49" s="393"/>
      <c r="BS49" s="393"/>
      <c r="BT49" s="393"/>
      <c r="BU49" s="393"/>
      <c r="BV49" s="393"/>
      <c r="BW49" s="393"/>
      <c r="BX49" s="393"/>
      <c r="BY49" s="393"/>
      <c r="BZ49" s="393"/>
      <c r="CA49" s="393"/>
      <c r="CB49" s="393"/>
      <c r="CC49" s="393"/>
      <c r="CD49" s="393"/>
      <c r="CE49" s="393"/>
      <c r="CF49" s="393"/>
      <c r="CG49" s="393"/>
      <c r="CH49" s="393"/>
      <c r="CI49" s="393"/>
      <c r="CJ49" s="393"/>
      <c r="CK49" s="393"/>
      <c r="CL49" s="393"/>
      <c r="CM49" s="393"/>
      <c r="CN49" s="393"/>
      <c r="CO49" s="393"/>
      <c r="CP49" s="393"/>
      <c r="CQ49" s="393"/>
      <c r="CR49" s="393"/>
      <c r="CS49" s="393"/>
      <c r="CT49" s="393"/>
      <c r="CU49" s="393"/>
      <c r="CV49" s="393"/>
      <c r="CW49" s="393"/>
      <c r="CX49" s="393"/>
      <c r="CY49" s="393"/>
      <c r="CZ49" s="393"/>
      <c r="DA49" s="393"/>
      <c r="DB49" s="393"/>
      <c r="DC49" s="393"/>
      <c r="DD49" s="393"/>
      <c r="DE49" s="393"/>
      <c r="DF49" s="393"/>
      <c r="DG49" s="393"/>
      <c r="DH49" s="393"/>
      <c r="DI49" s="393"/>
      <c r="DJ49" s="393"/>
      <c r="DK49" s="393"/>
      <c r="DL49" s="393"/>
      <c r="DM49" s="393"/>
      <c r="DN49" s="393"/>
      <c r="DO49" s="393"/>
      <c r="DP49" s="393"/>
      <c r="DQ49" s="393"/>
      <c r="DR49" s="393"/>
      <c r="DS49" s="393"/>
      <c r="DT49" s="393"/>
      <c r="DU49" s="393"/>
      <c r="DV49" s="393"/>
      <c r="DW49" s="393"/>
      <c r="DX49" s="393"/>
      <c r="DY49" s="393"/>
      <c r="DZ49" s="393"/>
      <c r="EA49" s="393"/>
      <c r="EB49" s="393"/>
      <c r="EC49" s="393"/>
      <c r="ED49" s="393"/>
      <c r="EE49" s="393"/>
      <c r="EF49" s="393"/>
      <c r="EG49" s="393"/>
      <c r="EH49" s="393"/>
      <c r="EI49" s="393"/>
      <c r="EJ49" s="393"/>
      <c r="EK49" s="393"/>
      <c r="EL49" s="393"/>
      <c r="EM49" s="393"/>
      <c r="EN49" s="393"/>
      <c r="EO49" s="393"/>
      <c r="EP49" s="393"/>
      <c r="EQ49" s="393"/>
      <c r="ER49" s="393"/>
      <c r="ES49" s="393"/>
      <c r="ET49" s="393"/>
      <c r="EU49" s="393"/>
      <c r="EV49" s="393"/>
      <c r="EW49" s="393"/>
      <c r="EX49" s="393"/>
      <c r="EY49" s="393"/>
      <c r="EZ49" s="393"/>
      <c r="FA49" s="393"/>
      <c r="FB49" s="393"/>
      <c r="FC49" s="393"/>
      <c r="FD49" s="393"/>
      <c r="FE49" s="393"/>
      <c r="FF49" s="393"/>
      <c r="FG49" s="393"/>
      <c r="FH49" s="393"/>
      <c r="FI49" s="393"/>
      <c r="FJ49" s="393"/>
      <c r="FK49" s="393"/>
      <c r="FL49" s="393"/>
      <c r="FM49" s="393"/>
      <c r="FN49" s="393"/>
      <c r="FO49" s="393"/>
      <c r="FP49" s="393"/>
      <c r="FQ49" s="393"/>
      <c r="FR49" s="393"/>
      <c r="FS49" s="393"/>
      <c r="FT49" s="393"/>
      <c r="FU49" s="393"/>
      <c r="FV49" s="393"/>
      <c r="FW49" s="393"/>
      <c r="FX49" s="393"/>
      <c r="FY49" s="393"/>
      <c r="FZ49" s="393"/>
      <c r="GA49" s="393"/>
      <c r="GB49" s="393"/>
      <c r="GC49" s="393"/>
      <c r="GD49" s="393"/>
      <c r="GE49" s="393"/>
      <c r="GF49" s="393"/>
      <c r="GG49" s="393"/>
      <c r="GH49" s="393"/>
      <c r="GI49" s="393"/>
      <c r="GJ49" s="393"/>
      <c r="GK49" s="393"/>
      <c r="GL49" s="393"/>
      <c r="GM49" s="393"/>
      <c r="GN49" s="393"/>
      <c r="GO49" s="393"/>
      <c r="GP49" s="393"/>
      <c r="GQ49" s="393"/>
      <c r="GR49" s="393"/>
      <c r="GS49" s="393"/>
    </row>
    <row r="50" spans="1:205" ht="14" customHeight="1" x14ac:dyDescent="0.35">
      <c r="A50" s="10" t="s">
        <v>56</v>
      </c>
      <c r="B50" s="16" t="s">
        <v>55</v>
      </c>
      <c r="C50" s="12" t="s">
        <v>52</v>
      </c>
      <c r="D50" s="12" t="s">
        <v>48</v>
      </c>
      <c r="E50" s="21" t="str">
        <f>'Supplier Registry'!N23</f>
        <v>Active</v>
      </c>
      <c r="F50" s="21">
        <f>'Supplier Registry'!M23</f>
        <v>1</v>
      </c>
      <c r="G50" s="21">
        <f>'Supplier Registry'!E23</f>
        <v>40</v>
      </c>
      <c r="H50" s="58">
        <f>'Supplier Registry'!P23</f>
        <v>12</v>
      </c>
      <c r="I50" s="74">
        <f>IFERROR(EDATE(Controls!B5,H50),"")</f>
        <v>46478</v>
      </c>
      <c r="J50" s="75">
        <f>IFERROR(EDATE(I50,-'Supplier Registry'!Q23),"")</f>
        <v>46447</v>
      </c>
      <c r="K50" s="29"/>
      <c r="L50" s="29"/>
      <c r="M50" s="29"/>
      <c r="N50" s="29"/>
      <c r="O50" s="29"/>
      <c r="P50" s="29"/>
      <c r="Q50" s="29"/>
      <c r="R50" s="29"/>
      <c r="S50" s="29"/>
      <c r="T50" s="29"/>
      <c r="U50" s="29"/>
      <c r="V50" s="29"/>
      <c r="W50" s="29">
        <v>40</v>
      </c>
      <c r="X50" s="29"/>
      <c r="Y50" s="29"/>
      <c r="Z50" s="29">
        <v>0</v>
      </c>
      <c r="AA50" s="29">
        <v>0</v>
      </c>
      <c r="AB50" s="29">
        <v>0</v>
      </c>
      <c r="AC50" s="29">
        <v>0</v>
      </c>
      <c r="AD50" s="29">
        <v>0</v>
      </c>
      <c r="AE50" s="29">
        <v>0</v>
      </c>
      <c r="AF50" s="29">
        <v>0</v>
      </c>
      <c r="AG50" s="29">
        <v>0</v>
      </c>
      <c r="AH50" s="29">
        <v>0</v>
      </c>
      <c r="AI50" s="29">
        <v>0</v>
      </c>
      <c r="AJ50" s="29">
        <v>0</v>
      </c>
      <c r="AK50" s="29">
        <v>0</v>
      </c>
      <c r="AL50" s="29">
        <v>0</v>
      </c>
      <c r="AM50" s="29">
        <v>0</v>
      </c>
      <c r="AN50" s="29">
        <v>0</v>
      </c>
      <c r="AO50" s="29">
        <v>0</v>
      </c>
      <c r="AP50" s="29">
        <v>0</v>
      </c>
      <c r="AQ50" s="29">
        <v>0</v>
      </c>
      <c r="AR50" s="29">
        <v>0</v>
      </c>
      <c r="AS50" s="29">
        <v>0</v>
      </c>
      <c r="AT50" s="29">
        <v>0</v>
      </c>
      <c r="AU50" s="29">
        <v>0</v>
      </c>
      <c r="AV50" s="29">
        <v>0</v>
      </c>
      <c r="AW50" s="29">
        <v>0</v>
      </c>
      <c r="AX50" s="29">
        <v>0</v>
      </c>
      <c r="AY50" s="29">
        <v>0</v>
      </c>
      <c r="AZ50" s="29">
        <v>0</v>
      </c>
      <c r="BA50" s="29">
        <v>0</v>
      </c>
      <c r="BB50" s="29">
        <v>0</v>
      </c>
      <c r="BC50" s="29">
        <v>0</v>
      </c>
      <c r="BD50" s="29">
        <v>0</v>
      </c>
      <c r="BE50" s="29">
        <v>0</v>
      </c>
      <c r="BF50" s="29">
        <v>0</v>
      </c>
      <c r="BG50" s="29">
        <v>0</v>
      </c>
      <c r="BH50" s="29">
        <v>0</v>
      </c>
      <c r="BI50" s="29">
        <v>0</v>
      </c>
      <c r="BJ50" s="29">
        <v>0</v>
      </c>
      <c r="BK50" s="29">
        <v>0</v>
      </c>
      <c r="BL50" s="29">
        <v>0</v>
      </c>
      <c r="BM50" s="29">
        <v>0</v>
      </c>
      <c r="BN50" s="29">
        <v>0</v>
      </c>
      <c r="BO50" s="29">
        <v>0</v>
      </c>
      <c r="BP50" s="29">
        <v>0</v>
      </c>
      <c r="BQ50" s="29">
        <v>0</v>
      </c>
      <c r="BR50" s="29">
        <v>0</v>
      </c>
      <c r="BS50" s="29">
        <v>0</v>
      </c>
      <c r="BT50" s="29">
        <v>0</v>
      </c>
      <c r="BU50" s="29">
        <v>0</v>
      </c>
      <c r="BV50" s="29">
        <v>0</v>
      </c>
      <c r="BW50" s="29">
        <v>0</v>
      </c>
      <c r="BX50" s="29">
        <v>0</v>
      </c>
      <c r="BY50" s="29">
        <v>0</v>
      </c>
      <c r="BZ50" s="29">
        <v>0</v>
      </c>
      <c r="CA50" s="29">
        <v>0</v>
      </c>
      <c r="CB50" s="29">
        <v>0</v>
      </c>
      <c r="CC50" s="29">
        <v>0</v>
      </c>
      <c r="CD50" s="29">
        <v>0</v>
      </c>
      <c r="CE50" s="29">
        <v>0</v>
      </c>
      <c r="CF50" s="29">
        <v>0</v>
      </c>
      <c r="CG50" s="29">
        <v>0</v>
      </c>
      <c r="CH50" s="29">
        <v>0</v>
      </c>
      <c r="CI50" s="29">
        <v>0</v>
      </c>
      <c r="CJ50" s="29">
        <v>0</v>
      </c>
      <c r="CK50" s="29">
        <v>0</v>
      </c>
      <c r="CL50" s="29">
        <v>0</v>
      </c>
      <c r="CM50" s="29">
        <v>0</v>
      </c>
      <c r="CN50" s="29">
        <v>0</v>
      </c>
      <c r="CO50" s="29">
        <v>0</v>
      </c>
      <c r="CP50" s="29">
        <v>0</v>
      </c>
      <c r="CQ50" s="29">
        <v>0</v>
      </c>
      <c r="CR50" s="29">
        <v>0</v>
      </c>
      <c r="CS50" s="29">
        <v>0</v>
      </c>
      <c r="CT50" s="29">
        <v>0</v>
      </c>
      <c r="CU50" s="29">
        <v>0</v>
      </c>
      <c r="CV50" s="29">
        <v>0</v>
      </c>
      <c r="CW50" s="29">
        <v>0</v>
      </c>
      <c r="CX50" s="29">
        <v>0</v>
      </c>
      <c r="CY50" s="29">
        <v>0</v>
      </c>
      <c r="CZ50" s="29">
        <v>0</v>
      </c>
      <c r="DA50" s="29">
        <v>0</v>
      </c>
      <c r="DB50" s="29">
        <v>0</v>
      </c>
      <c r="DC50" s="29">
        <v>0</v>
      </c>
      <c r="DD50" s="29">
        <v>0</v>
      </c>
      <c r="DE50" s="29">
        <v>0</v>
      </c>
      <c r="DF50" s="29">
        <v>0</v>
      </c>
      <c r="DG50" s="29">
        <v>0</v>
      </c>
      <c r="DH50" s="29">
        <v>0</v>
      </c>
      <c r="DI50" s="29">
        <v>0</v>
      </c>
      <c r="DJ50" s="29">
        <v>0</v>
      </c>
      <c r="DK50" s="29">
        <v>0</v>
      </c>
      <c r="DL50" s="29">
        <v>0</v>
      </c>
      <c r="DM50" s="29">
        <v>0</v>
      </c>
      <c r="DN50" s="29">
        <v>0</v>
      </c>
      <c r="DO50" s="29">
        <v>0</v>
      </c>
      <c r="DP50" s="29">
        <v>0</v>
      </c>
      <c r="DQ50" s="29">
        <v>0</v>
      </c>
      <c r="DR50" s="29">
        <v>0</v>
      </c>
      <c r="DS50" s="29">
        <v>0</v>
      </c>
      <c r="DT50" s="29">
        <v>0</v>
      </c>
      <c r="DU50" s="29">
        <v>0</v>
      </c>
      <c r="DV50" s="29">
        <v>0</v>
      </c>
      <c r="DW50" s="29">
        <v>0</v>
      </c>
      <c r="DX50" s="29">
        <v>0</v>
      </c>
      <c r="DY50" s="29">
        <v>0</v>
      </c>
      <c r="DZ50" s="29">
        <v>0</v>
      </c>
      <c r="EA50" s="29">
        <v>0</v>
      </c>
      <c r="EB50" s="29">
        <v>0</v>
      </c>
      <c r="EC50" s="29">
        <v>0</v>
      </c>
      <c r="ED50" s="29">
        <v>0</v>
      </c>
      <c r="EE50" s="29">
        <v>0</v>
      </c>
      <c r="EF50" s="29">
        <v>0</v>
      </c>
      <c r="EG50" s="29">
        <v>0</v>
      </c>
      <c r="EH50" s="29">
        <v>0</v>
      </c>
      <c r="EI50" s="29">
        <v>0</v>
      </c>
      <c r="EJ50" s="29">
        <v>0</v>
      </c>
      <c r="EK50" s="29">
        <v>0</v>
      </c>
      <c r="EL50" s="29">
        <v>0</v>
      </c>
      <c r="EM50" s="29">
        <v>0</v>
      </c>
      <c r="EN50" s="29">
        <v>0</v>
      </c>
      <c r="EO50" s="29">
        <v>0</v>
      </c>
      <c r="EP50" s="29">
        <v>0</v>
      </c>
      <c r="EQ50" s="29">
        <v>0</v>
      </c>
      <c r="ER50" s="29">
        <v>0</v>
      </c>
      <c r="ES50" s="29">
        <v>0</v>
      </c>
      <c r="ET50" s="29">
        <v>0</v>
      </c>
      <c r="EU50" s="29">
        <v>0</v>
      </c>
      <c r="EV50" s="29">
        <v>0</v>
      </c>
      <c r="EW50" s="29">
        <v>0</v>
      </c>
      <c r="EX50" s="29">
        <v>0</v>
      </c>
      <c r="EY50" s="29">
        <v>0</v>
      </c>
      <c r="EZ50" s="29">
        <v>0</v>
      </c>
      <c r="FA50" s="29">
        <v>0</v>
      </c>
      <c r="FB50" s="29">
        <v>0</v>
      </c>
      <c r="FC50" s="29">
        <v>0</v>
      </c>
      <c r="FD50" s="29">
        <v>0</v>
      </c>
      <c r="FE50" s="29">
        <v>0</v>
      </c>
      <c r="FF50" s="29">
        <v>0</v>
      </c>
      <c r="FG50" s="29">
        <v>0</v>
      </c>
      <c r="FH50" s="29">
        <v>0</v>
      </c>
      <c r="FI50" s="29">
        <v>0</v>
      </c>
      <c r="FJ50" s="29">
        <v>0</v>
      </c>
      <c r="FK50" s="29">
        <v>0</v>
      </c>
      <c r="FL50" s="29">
        <v>0</v>
      </c>
      <c r="FM50" s="29">
        <v>0</v>
      </c>
      <c r="FN50" s="29">
        <v>0</v>
      </c>
      <c r="FO50" s="29">
        <v>0</v>
      </c>
      <c r="FP50" s="29">
        <v>0</v>
      </c>
      <c r="FQ50" s="29">
        <v>0</v>
      </c>
      <c r="FR50" s="29">
        <v>0</v>
      </c>
      <c r="FS50" s="29">
        <v>0</v>
      </c>
      <c r="FT50" s="29">
        <v>0</v>
      </c>
      <c r="FU50" s="29">
        <v>0</v>
      </c>
      <c r="FV50" s="29">
        <v>0</v>
      </c>
      <c r="FW50" s="29">
        <v>0</v>
      </c>
      <c r="FX50" s="29">
        <v>0</v>
      </c>
      <c r="FY50" s="29">
        <v>0</v>
      </c>
      <c r="FZ50" s="29">
        <v>0</v>
      </c>
      <c r="GA50" s="29">
        <v>0</v>
      </c>
      <c r="GB50" s="29">
        <v>0</v>
      </c>
      <c r="GC50" s="29">
        <v>0</v>
      </c>
      <c r="GD50" s="29">
        <v>0</v>
      </c>
      <c r="GE50" s="29">
        <v>0</v>
      </c>
      <c r="GF50" s="29">
        <v>0</v>
      </c>
      <c r="GG50" s="29">
        <v>0</v>
      </c>
      <c r="GH50" s="29">
        <v>0</v>
      </c>
      <c r="GI50" s="206">
        <f>SUM(K50:V50)</f>
        <v>0</v>
      </c>
      <c r="GJ50" s="206">
        <f>SUM(T50:AE50)</f>
        <v>40</v>
      </c>
      <c r="GK50" s="206">
        <f>SUM(AF50:AQ50)</f>
        <v>0</v>
      </c>
      <c r="GL50" s="206">
        <f>SUM(AR50:BC50)</f>
        <v>0</v>
      </c>
      <c r="GM50" s="206">
        <f>SUM(BD50:BO50)</f>
        <v>0</v>
      </c>
      <c r="GN50" s="206">
        <f>SUM(BP50:CA50)</f>
        <v>0</v>
      </c>
      <c r="GO50" s="206">
        <f>SUM(CB50:CM50)</f>
        <v>0</v>
      </c>
      <c r="GP50" s="206">
        <f>SUM(CN50:CY50)</f>
        <v>0</v>
      </c>
      <c r="GQ50" s="206">
        <f>SUM(CZ50:DK50)</f>
        <v>0</v>
      </c>
      <c r="GR50" s="206">
        <f>SUM(DL50:DW50)</f>
        <v>0</v>
      </c>
      <c r="GS50" s="206">
        <f>SUM(DX50:EI50)</f>
        <v>0</v>
      </c>
      <c r="GT50" s="206">
        <f>SUM(EJ50:EU50)</f>
        <v>0</v>
      </c>
      <c r="GU50" s="206">
        <f>SUM(EV50:FG50)</f>
        <v>0</v>
      </c>
      <c r="GV50" s="206">
        <f>SUM(FH50:FS50)</f>
        <v>0</v>
      </c>
      <c r="GW50" s="206">
        <f>SUM(FT50:GE50)</f>
        <v>0</v>
      </c>
    </row>
    <row r="51" spans="1:205" ht="14" customHeight="1" x14ac:dyDescent="0.35">
      <c r="A51" s="2" t="s">
        <v>56</v>
      </c>
      <c r="B51" s="3" t="s">
        <v>53</v>
      </c>
      <c r="C51" s="4" t="s">
        <v>52</v>
      </c>
      <c r="D51" s="4" t="s">
        <v>48</v>
      </c>
      <c r="E51" s="21" t="str">
        <f>'Supplier Registry'!N24</f>
        <v>Inactive</v>
      </c>
      <c r="F51" s="21">
        <f>'Supplier Registry'!M24</f>
        <v>0</v>
      </c>
      <c r="G51" s="21">
        <f>'Supplier Registry'!E24</f>
        <v>50</v>
      </c>
      <c r="H51" s="58">
        <f>'Supplier Registry'!P24</f>
        <v>12</v>
      </c>
      <c r="I51" s="74">
        <f>IFERROR(EDATE(Controls!B5,H51),"")</f>
        <v>46478</v>
      </c>
      <c r="J51" s="75">
        <f>IFERROR(EDATE(I51,-'Supplier Registry'!Q24),"")</f>
        <v>46447</v>
      </c>
      <c r="K51" s="29"/>
      <c r="L51" s="29"/>
      <c r="M51" s="29"/>
      <c r="N51" s="29"/>
      <c r="O51" s="29"/>
      <c r="P51" s="29"/>
      <c r="Q51" s="29"/>
      <c r="R51" s="29"/>
      <c r="S51" s="29"/>
      <c r="T51" s="29"/>
      <c r="U51" s="29"/>
      <c r="V51" s="29"/>
      <c r="W51" s="29"/>
      <c r="X51" s="29"/>
      <c r="Y51" s="29"/>
      <c r="Z51" s="29">
        <v>0</v>
      </c>
      <c r="AA51" s="29">
        <v>0</v>
      </c>
      <c r="AB51" s="29">
        <v>0</v>
      </c>
      <c r="AC51" s="29">
        <v>0</v>
      </c>
      <c r="AD51" s="29">
        <v>0</v>
      </c>
      <c r="AE51" s="29">
        <v>0</v>
      </c>
      <c r="AF51" s="29">
        <v>0</v>
      </c>
      <c r="AG51" s="29">
        <v>0</v>
      </c>
      <c r="AH51" s="29">
        <v>0</v>
      </c>
      <c r="AI51" s="29">
        <v>0</v>
      </c>
      <c r="AJ51" s="29">
        <v>0</v>
      </c>
      <c r="AK51" s="29">
        <v>0</v>
      </c>
      <c r="AL51" s="29">
        <v>0</v>
      </c>
      <c r="AM51" s="29">
        <v>0</v>
      </c>
      <c r="AN51" s="29">
        <v>0</v>
      </c>
      <c r="AO51" s="29">
        <v>0</v>
      </c>
      <c r="AP51" s="29">
        <v>0</v>
      </c>
      <c r="AQ51" s="29">
        <v>0</v>
      </c>
      <c r="AR51" s="29">
        <v>0</v>
      </c>
      <c r="AS51" s="29">
        <v>0</v>
      </c>
      <c r="AT51" s="29">
        <v>0</v>
      </c>
      <c r="AU51" s="29">
        <v>0</v>
      </c>
      <c r="AV51" s="29">
        <v>0</v>
      </c>
      <c r="AW51" s="29">
        <v>0</v>
      </c>
      <c r="AX51" s="29">
        <v>0</v>
      </c>
      <c r="AY51" s="29">
        <v>0</v>
      </c>
      <c r="AZ51" s="29">
        <v>0</v>
      </c>
      <c r="BA51" s="29">
        <v>0</v>
      </c>
      <c r="BB51" s="29">
        <v>0</v>
      </c>
      <c r="BC51" s="29">
        <v>0</v>
      </c>
      <c r="BD51" s="29">
        <v>0</v>
      </c>
      <c r="BE51" s="29">
        <v>0</v>
      </c>
      <c r="BF51" s="29">
        <v>0</v>
      </c>
      <c r="BG51" s="29">
        <v>0</v>
      </c>
      <c r="BH51" s="29">
        <v>0</v>
      </c>
      <c r="BI51" s="29">
        <v>0</v>
      </c>
      <c r="BJ51" s="29">
        <v>0</v>
      </c>
      <c r="BK51" s="29">
        <v>0</v>
      </c>
      <c r="BL51" s="29">
        <v>0</v>
      </c>
      <c r="BM51" s="29">
        <v>0</v>
      </c>
      <c r="BN51" s="29">
        <v>0</v>
      </c>
      <c r="BO51" s="29">
        <v>0</v>
      </c>
      <c r="BP51" s="29">
        <v>0</v>
      </c>
      <c r="BQ51" s="29">
        <v>0</v>
      </c>
      <c r="BR51" s="29">
        <v>0</v>
      </c>
      <c r="BS51" s="29">
        <v>0</v>
      </c>
      <c r="BT51" s="29">
        <v>0</v>
      </c>
      <c r="BU51" s="29">
        <v>0</v>
      </c>
      <c r="BV51" s="29">
        <v>0</v>
      </c>
      <c r="BW51" s="29">
        <v>0</v>
      </c>
      <c r="BX51" s="29">
        <v>0</v>
      </c>
      <c r="BY51" s="29">
        <v>0</v>
      </c>
      <c r="BZ51" s="29">
        <v>0</v>
      </c>
      <c r="CA51" s="29">
        <v>0</v>
      </c>
      <c r="CB51" s="29">
        <v>0</v>
      </c>
      <c r="CC51" s="29">
        <v>0</v>
      </c>
      <c r="CD51" s="29">
        <v>0</v>
      </c>
      <c r="CE51" s="29">
        <v>0</v>
      </c>
      <c r="CF51" s="29">
        <v>0</v>
      </c>
      <c r="CG51" s="29">
        <v>0</v>
      </c>
      <c r="CH51" s="29">
        <v>0</v>
      </c>
      <c r="CI51" s="29">
        <v>0</v>
      </c>
      <c r="CJ51" s="29">
        <v>0</v>
      </c>
      <c r="CK51" s="29">
        <v>0</v>
      </c>
      <c r="CL51" s="29">
        <v>0</v>
      </c>
      <c r="CM51" s="29">
        <v>0</v>
      </c>
      <c r="CN51" s="29">
        <v>0</v>
      </c>
      <c r="CO51" s="29">
        <v>0</v>
      </c>
      <c r="CP51" s="29">
        <v>0</v>
      </c>
      <c r="CQ51" s="29">
        <v>0</v>
      </c>
      <c r="CR51" s="29">
        <v>0</v>
      </c>
      <c r="CS51" s="29">
        <v>0</v>
      </c>
      <c r="CT51" s="29">
        <v>0</v>
      </c>
      <c r="CU51" s="29">
        <v>0</v>
      </c>
      <c r="CV51" s="29">
        <v>0</v>
      </c>
      <c r="CW51" s="29">
        <v>0</v>
      </c>
      <c r="CX51" s="29">
        <v>0</v>
      </c>
      <c r="CY51" s="29">
        <v>0</v>
      </c>
      <c r="CZ51" s="29">
        <v>0</v>
      </c>
      <c r="DA51" s="29">
        <v>0</v>
      </c>
      <c r="DB51" s="29">
        <v>0</v>
      </c>
      <c r="DC51" s="29">
        <v>0</v>
      </c>
      <c r="DD51" s="29">
        <v>0</v>
      </c>
      <c r="DE51" s="29">
        <v>0</v>
      </c>
      <c r="DF51" s="29">
        <v>0</v>
      </c>
      <c r="DG51" s="29">
        <v>0</v>
      </c>
      <c r="DH51" s="29">
        <v>0</v>
      </c>
      <c r="DI51" s="29">
        <v>0</v>
      </c>
      <c r="DJ51" s="29">
        <v>0</v>
      </c>
      <c r="DK51" s="29">
        <v>0</v>
      </c>
      <c r="DL51" s="29">
        <v>0</v>
      </c>
      <c r="DM51" s="29">
        <v>0</v>
      </c>
      <c r="DN51" s="29">
        <v>0</v>
      </c>
      <c r="DO51" s="29">
        <v>0</v>
      </c>
      <c r="DP51" s="29">
        <v>0</v>
      </c>
      <c r="DQ51" s="29">
        <v>0</v>
      </c>
      <c r="DR51" s="29">
        <v>0</v>
      </c>
      <c r="DS51" s="29">
        <v>0</v>
      </c>
      <c r="DT51" s="29">
        <v>0</v>
      </c>
      <c r="DU51" s="29">
        <v>0</v>
      </c>
      <c r="DV51" s="29">
        <v>0</v>
      </c>
      <c r="DW51" s="29">
        <v>0</v>
      </c>
      <c r="DX51" s="29">
        <v>0</v>
      </c>
      <c r="DY51" s="29">
        <v>0</v>
      </c>
      <c r="DZ51" s="29">
        <v>0</v>
      </c>
      <c r="EA51" s="29">
        <v>0</v>
      </c>
      <c r="EB51" s="29">
        <v>0</v>
      </c>
      <c r="EC51" s="29">
        <v>0</v>
      </c>
      <c r="ED51" s="29">
        <v>0</v>
      </c>
      <c r="EE51" s="29">
        <v>0</v>
      </c>
      <c r="EF51" s="29">
        <v>0</v>
      </c>
      <c r="EG51" s="29">
        <v>0</v>
      </c>
      <c r="EH51" s="29">
        <v>0</v>
      </c>
      <c r="EI51" s="29">
        <v>0</v>
      </c>
      <c r="EJ51" s="29">
        <v>0</v>
      </c>
      <c r="EK51" s="29">
        <v>0</v>
      </c>
      <c r="EL51" s="29">
        <v>0</v>
      </c>
      <c r="EM51" s="29">
        <v>0</v>
      </c>
      <c r="EN51" s="29">
        <v>0</v>
      </c>
      <c r="EO51" s="29">
        <v>0</v>
      </c>
      <c r="EP51" s="29">
        <v>0</v>
      </c>
      <c r="EQ51" s="29">
        <v>0</v>
      </c>
      <c r="ER51" s="29">
        <v>0</v>
      </c>
      <c r="ES51" s="29">
        <v>0</v>
      </c>
      <c r="ET51" s="29">
        <v>0</v>
      </c>
      <c r="EU51" s="29">
        <v>0</v>
      </c>
      <c r="EV51" s="29">
        <v>0</v>
      </c>
      <c r="EW51" s="29">
        <v>0</v>
      </c>
      <c r="EX51" s="29">
        <v>0</v>
      </c>
      <c r="EY51" s="29">
        <v>0</v>
      </c>
      <c r="EZ51" s="29">
        <v>0</v>
      </c>
      <c r="FA51" s="29">
        <v>0</v>
      </c>
      <c r="FB51" s="29">
        <v>0</v>
      </c>
      <c r="FC51" s="29">
        <v>0</v>
      </c>
      <c r="FD51" s="29">
        <v>0</v>
      </c>
      <c r="FE51" s="29">
        <v>0</v>
      </c>
      <c r="FF51" s="29">
        <v>0</v>
      </c>
      <c r="FG51" s="29">
        <v>0</v>
      </c>
      <c r="FH51" s="29">
        <v>0</v>
      </c>
      <c r="FI51" s="29">
        <v>0</v>
      </c>
      <c r="FJ51" s="29">
        <v>0</v>
      </c>
      <c r="FK51" s="29">
        <v>0</v>
      </c>
      <c r="FL51" s="29">
        <v>0</v>
      </c>
      <c r="FM51" s="29">
        <v>0</v>
      </c>
      <c r="FN51" s="29">
        <v>0</v>
      </c>
      <c r="FO51" s="29">
        <v>0</v>
      </c>
      <c r="FP51" s="29">
        <v>0</v>
      </c>
      <c r="FQ51" s="29">
        <v>0</v>
      </c>
      <c r="FR51" s="29">
        <v>0</v>
      </c>
      <c r="FS51" s="29">
        <v>0</v>
      </c>
      <c r="FT51" s="29">
        <v>0</v>
      </c>
      <c r="FU51" s="29">
        <v>0</v>
      </c>
      <c r="FV51" s="29">
        <v>0</v>
      </c>
      <c r="FW51" s="29">
        <v>0</v>
      </c>
      <c r="FX51" s="29">
        <v>0</v>
      </c>
      <c r="FY51" s="29">
        <v>0</v>
      </c>
      <c r="FZ51" s="29">
        <v>0</v>
      </c>
      <c r="GA51" s="29">
        <v>0</v>
      </c>
      <c r="GB51" s="29">
        <v>0</v>
      </c>
      <c r="GC51" s="29">
        <v>0</v>
      </c>
      <c r="GD51" s="29">
        <v>0</v>
      </c>
      <c r="GE51" s="29">
        <v>0</v>
      </c>
      <c r="GF51" s="29">
        <v>0</v>
      </c>
      <c r="GG51" s="29">
        <v>0</v>
      </c>
      <c r="GH51" s="29">
        <v>0</v>
      </c>
      <c r="GI51" s="206">
        <f>SUM(K51:V51)</f>
        <v>0</v>
      </c>
      <c r="GJ51" s="206">
        <f>SUM(T51:AE51)</f>
        <v>0</v>
      </c>
      <c r="GK51" s="206">
        <f>SUM(AF51:AQ51)</f>
        <v>0</v>
      </c>
      <c r="GL51" s="206">
        <f>SUM(AR51:BC51)</f>
        <v>0</v>
      </c>
      <c r="GM51" s="206">
        <f>SUM(BD51:BO51)</f>
        <v>0</v>
      </c>
      <c r="GN51" s="206">
        <f>SUM(BP51:CA51)</f>
        <v>0</v>
      </c>
      <c r="GO51" s="206">
        <f>SUM(CB51:CM51)</f>
        <v>0</v>
      </c>
      <c r="GP51" s="206">
        <f>SUM(CN51:CY51)</f>
        <v>0</v>
      </c>
      <c r="GQ51" s="206">
        <f>SUM(CZ51:DK51)</f>
        <v>0</v>
      </c>
      <c r="GR51" s="206">
        <f>SUM(DL51:DW51)</f>
        <v>0</v>
      </c>
      <c r="GS51" s="206">
        <f>SUM(DX51:EI51)</f>
        <v>0</v>
      </c>
      <c r="GT51" s="206">
        <f>SUM(EJ51:EU51)</f>
        <v>0</v>
      </c>
      <c r="GU51" s="206">
        <f>SUM(EV51:FG51)</f>
        <v>0</v>
      </c>
      <c r="GV51" s="206">
        <f>SUM(FH51:FS51)</f>
        <v>0</v>
      </c>
      <c r="GW51" s="206">
        <f>SUM(FT51:GE51)</f>
        <v>0</v>
      </c>
    </row>
    <row r="52" spans="1:205" ht="18" customHeight="1" x14ac:dyDescent="0.35">
      <c r="A52" s="26" t="s">
        <v>56</v>
      </c>
      <c r="B52" s="26" t="s">
        <v>390</v>
      </c>
      <c r="C52" s="31"/>
      <c r="D52" s="31"/>
      <c r="E52" s="31"/>
      <c r="F52" s="31"/>
      <c r="G52" s="31"/>
      <c r="K52" s="32">
        <f>IF($E50="Active",K50,0)+IF($E51="Active",K51,0)</f>
        <v>0</v>
      </c>
      <c r="L52" s="32">
        <f>IF($E50="Active",L50,0)+IF($E51="Active",L51,0)</f>
        <v>0</v>
      </c>
      <c r="M52" s="32">
        <f t="shared" ref="M52" si="380">IF($E50="Active",M50,0)+IF($E51="Active",M51,0)</f>
        <v>0</v>
      </c>
      <c r="N52" s="32">
        <f t="shared" ref="N52" si="381">IF($E50="Active",N50,0)+IF($E51="Active",N51,0)</f>
        <v>0</v>
      </c>
      <c r="O52" s="32">
        <f t="shared" ref="O52" si="382">IF($E50="Active",O50,0)+IF($E51="Active",O51,0)</f>
        <v>0</v>
      </c>
      <c r="P52" s="32">
        <f t="shared" ref="P52" si="383">IF($E50="Active",P50,0)+IF($E51="Active",P51,0)</f>
        <v>0</v>
      </c>
      <c r="Q52" s="32">
        <f t="shared" ref="Q52" si="384">IF($E50="Active",Q50,0)+IF($E51="Active",Q51,0)</f>
        <v>0</v>
      </c>
      <c r="R52" s="32">
        <f t="shared" ref="R52" si="385">IF($E50="Active",R50,0)+IF($E51="Active",R51,0)</f>
        <v>0</v>
      </c>
      <c r="S52" s="32">
        <f t="shared" ref="S52" si="386">IF($E50="Active",S50,0)+IF($E51="Active",S51,0)</f>
        <v>0</v>
      </c>
      <c r="T52" s="32">
        <f t="shared" ref="T52" si="387">IF($E50="Active",T50,0)+IF($E51="Active",T51,0)</f>
        <v>0</v>
      </c>
      <c r="U52" s="32">
        <f t="shared" ref="U52" si="388">IF($E50="Active",U50,0)+IF($E51="Active",U51,0)</f>
        <v>0</v>
      </c>
      <c r="V52" s="32">
        <f t="shared" ref="V52" si="389">IF($E50="Active",V50,0)+IF($E51="Active",V51,0)</f>
        <v>0</v>
      </c>
      <c r="W52" s="32">
        <f t="shared" ref="W52" si="390">IF($E50="Active",W50,0)+IF($E51="Active",W51,0)</f>
        <v>40</v>
      </c>
      <c r="X52" s="32">
        <f t="shared" ref="X52" si="391">IF($E50="Active",X50,0)+IF($E51="Active",X51,0)</f>
        <v>0</v>
      </c>
      <c r="Y52" s="32">
        <f t="shared" ref="Y52" si="392">IF($E50="Active",Y50,0)+IF($E51="Active",Y51,0)</f>
        <v>0</v>
      </c>
      <c r="Z52" s="32">
        <f t="shared" ref="Z52" si="393">IF($E50="Active",Z50,0)+IF($E51="Active",Z51,0)</f>
        <v>0</v>
      </c>
      <c r="AA52" s="32">
        <f t="shared" ref="AA52" si="394">IF($E50="Active",AA50,0)+IF($E51="Active",AA51,0)</f>
        <v>0</v>
      </c>
      <c r="AB52" s="32">
        <f t="shared" ref="AB52" si="395">IF($E50="Active",AB50,0)+IF($E51="Active",AB51,0)</f>
        <v>0</v>
      </c>
      <c r="AC52" s="32">
        <f t="shared" ref="AC52" si="396">IF($E50="Active",AC50,0)+IF($E51="Active",AC51,0)</f>
        <v>0</v>
      </c>
      <c r="AD52" s="32">
        <f t="shared" ref="AD52" si="397">IF($E50="Active",AD50,0)+IF($E51="Active",AD51,0)</f>
        <v>0</v>
      </c>
      <c r="AE52" s="32">
        <f t="shared" ref="AE52" si="398">IF($E50="Active",AE50,0)+IF($E51="Active",AE51,0)</f>
        <v>0</v>
      </c>
      <c r="AF52" s="32">
        <f t="shared" ref="AF52" si="399">IF($E50="Active",AF50,0)+IF($E51="Active",AF51,0)</f>
        <v>0</v>
      </c>
      <c r="AG52" s="32">
        <f t="shared" ref="AG52" si="400">IF($E50="Active",AG50,0)+IF($E51="Active",AG51,0)</f>
        <v>0</v>
      </c>
      <c r="AH52" s="32">
        <f t="shared" ref="AH52" si="401">IF($E50="Active",AH50,0)+IF($E51="Active",AH51,0)</f>
        <v>0</v>
      </c>
      <c r="AI52" s="32">
        <f t="shared" ref="AI52" si="402">IF($E50="Active",AI50,0)+IF($E51="Active",AI51,0)</f>
        <v>0</v>
      </c>
      <c r="AJ52" s="32">
        <f t="shared" ref="AJ52" si="403">IF($E50="Active",AJ50,0)+IF($E51="Active",AJ51,0)</f>
        <v>0</v>
      </c>
      <c r="AK52" s="32">
        <f t="shared" ref="AK52" si="404">IF($E50="Active",AK50,0)+IF($E51="Active",AK51,0)</f>
        <v>0</v>
      </c>
      <c r="AL52" s="32">
        <f t="shared" ref="AL52" si="405">IF($E50="Active",AL50,0)+IF($E51="Active",AL51,0)</f>
        <v>0</v>
      </c>
      <c r="AM52" s="32">
        <f t="shared" ref="AM52" si="406">IF($E50="Active",AM50,0)+IF($E51="Active",AM51,0)</f>
        <v>0</v>
      </c>
      <c r="AN52" s="32">
        <f t="shared" ref="AN52" si="407">IF($E50="Active",AN50,0)+IF($E51="Active",AN51,0)</f>
        <v>0</v>
      </c>
      <c r="AO52" s="32">
        <f t="shared" ref="AO52" si="408">IF($E50="Active",AO50,0)+IF($E51="Active",AO51,0)</f>
        <v>0</v>
      </c>
      <c r="AP52" s="32">
        <f t="shared" ref="AP52" si="409">IF($E50="Active",AP50,0)+IF($E51="Active",AP51,0)</f>
        <v>0</v>
      </c>
      <c r="AQ52" s="32">
        <f t="shared" ref="AQ52" si="410">IF($E50="Active",AQ50,0)+IF($E51="Active",AQ51,0)</f>
        <v>0</v>
      </c>
      <c r="AR52" s="32">
        <f t="shared" ref="AR52" si="411">IF($E50="Active",AR50,0)+IF($E51="Active",AR51,0)</f>
        <v>0</v>
      </c>
      <c r="AS52" s="32">
        <f t="shared" ref="AS52" si="412">IF($E50="Active",AS50,0)+IF($E51="Active",AS51,0)</f>
        <v>0</v>
      </c>
      <c r="AT52" s="32">
        <f t="shared" ref="AT52" si="413">IF($E50="Active",AT50,0)+IF($E51="Active",AT51,0)</f>
        <v>0</v>
      </c>
      <c r="AU52" s="32">
        <f t="shared" ref="AU52" si="414">IF($E50="Active",AU50,0)+IF($E51="Active",AU51,0)</f>
        <v>0</v>
      </c>
      <c r="AV52" s="32">
        <f t="shared" ref="AV52" si="415">IF($E50="Active",AV50,0)+IF($E51="Active",AV51,0)</f>
        <v>0</v>
      </c>
      <c r="AW52" s="32">
        <f t="shared" ref="AW52" si="416">IF($E50="Active",AW50,0)+IF($E51="Active",AW51,0)</f>
        <v>0</v>
      </c>
      <c r="AX52" s="32">
        <f t="shared" ref="AX52" si="417">IF($E50="Active",AX50,0)+IF($E51="Active",AX51,0)</f>
        <v>0</v>
      </c>
      <c r="AY52" s="32">
        <f t="shared" ref="AY52" si="418">IF($E50="Active",AY50,0)+IF($E51="Active",AY51,0)</f>
        <v>0</v>
      </c>
      <c r="AZ52" s="32">
        <f t="shared" ref="AZ52" si="419">IF($E50="Active",AZ50,0)+IF($E51="Active",AZ51,0)</f>
        <v>0</v>
      </c>
      <c r="BA52" s="32">
        <f t="shared" ref="BA52" si="420">IF($E50="Active",BA50,0)+IF($E51="Active",BA51,0)</f>
        <v>0</v>
      </c>
      <c r="BB52" s="32">
        <f t="shared" ref="BB52" si="421">IF($E50="Active",BB50,0)+IF($E51="Active",BB51,0)</f>
        <v>0</v>
      </c>
      <c r="BC52" s="32">
        <f t="shared" ref="BC52" si="422">IF($E50="Active",BC50,0)+IF($E51="Active",BC51,0)</f>
        <v>0</v>
      </c>
      <c r="BD52" s="32">
        <f t="shared" ref="BD52" si="423">IF($E50="Active",BD50,0)+IF($E51="Active",BD51,0)</f>
        <v>0</v>
      </c>
      <c r="BE52" s="32">
        <f t="shared" ref="BE52" si="424">IF($E50="Active",BE50,0)+IF($E51="Active",BE51,0)</f>
        <v>0</v>
      </c>
      <c r="BF52" s="32">
        <f t="shared" ref="BF52" si="425">IF($E50="Active",BF50,0)+IF($E51="Active",BF51,0)</f>
        <v>0</v>
      </c>
      <c r="BG52" s="32">
        <f t="shared" ref="BG52" si="426">IF($E50="Active",BG50,0)+IF($E51="Active",BG51,0)</f>
        <v>0</v>
      </c>
      <c r="BH52" s="32">
        <f t="shared" ref="BH52" si="427">IF($E50="Active",BH50,0)+IF($E51="Active",BH51,0)</f>
        <v>0</v>
      </c>
      <c r="BI52" s="32">
        <f t="shared" ref="BI52" si="428">IF($E50="Active",BI50,0)+IF($E51="Active",BI51,0)</f>
        <v>0</v>
      </c>
      <c r="BJ52" s="32">
        <f t="shared" ref="BJ52" si="429">IF($E50="Active",BJ50,0)+IF($E51="Active",BJ51,0)</f>
        <v>0</v>
      </c>
      <c r="BK52" s="32">
        <f t="shared" ref="BK52" si="430">IF($E50="Active",BK50,0)+IF($E51="Active",BK51,0)</f>
        <v>0</v>
      </c>
      <c r="BL52" s="32">
        <f t="shared" ref="BL52" si="431">IF($E50="Active",BL50,0)+IF($E51="Active",BL51,0)</f>
        <v>0</v>
      </c>
      <c r="BM52" s="32">
        <f t="shared" ref="BM52" si="432">IF($E50="Active",BM50,0)+IF($E51="Active",BM51,0)</f>
        <v>0</v>
      </c>
      <c r="BN52" s="32">
        <f t="shared" ref="BN52" si="433">IF($E50="Active",BN50,0)+IF($E51="Active",BN51,0)</f>
        <v>0</v>
      </c>
      <c r="BO52" s="32">
        <f t="shared" ref="BO52" si="434">IF($E50="Active",BO50,0)+IF($E51="Active",BO51,0)</f>
        <v>0</v>
      </c>
      <c r="BP52" s="32">
        <f t="shared" ref="BP52" si="435">IF($E50="Active",BP50,0)+IF($E51="Active",BP51,0)</f>
        <v>0</v>
      </c>
      <c r="BQ52" s="32">
        <f t="shared" ref="BQ52" si="436">IF($E50="Active",BQ50,0)+IF($E51="Active",BQ51,0)</f>
        <v>0</v>
      </c>
      <c r="BR52" s="32">
        <f t="shared" ref="BR52" si="437">IF($E50="Active",BR50,0)+IF($E51="Active",BR51,0)</f>
        <v>0</v>
      </c>
      <c r="BS52" s="32">
        <f t="shared" ref="BS52" si="438">IF($E50="Active",BS50,0)+IF($E51="Active",BS51,0)</f>
        <v>0</v>
      </c>
      <c r="BT52" s="32">
        <f t="shared" ref="BT52" si="439">IF($E50="Active",BT50,0)+IF($E51="Active",BT51,0)</f>
        <v>0</v>
      </c>
      <c r="BU52" s="32">
        <f t="shared" ref="BU52" si="440">IF($E50="Active",BU50,0)+IF($E51="Active",BU51,0)</f>
        <v>0</v>
      </c>
      <c r="BV52" s="32">
        <f t="shared" ref="BV52" si="441">IF($E50="Active",BV50,0)+IF($E51="Active",BV51,0)</f>
        <v>0</v>
      </c>
      <c r="BW52" s="32">
        <f t="shared" ref="BW52" si="442">IF($E50="Active",BW50,0)+IF($E51="Active",BW51,0)</f>
        <v>0</v>
      </c>
      <c r="BX52" s="32">
        <f t="shared" ref="BX52" si="443">IF($E50="Active",BX50,0)+IF($E51="Active",BX51,0)</f>
        <v>0</v>
      </c>
      <c r="BY52" s="32">
        <f t="shared" ref="BY52" si="444">IF($E50="Active",BY50,0)+IF($E51="Active",BY51,0)</f>
        <v>0</v>
      </c>
      <c r="BZ52" s="32">
        <f t="shared" ref="BZ52" si="445">IF($E50="Active",BZ50,0)+IF($E51="Active",BZ51,0)</f>
        <v>0</v>
      </c>
      <c r="CA52" s="32">
        <f t="shared" ref="CA52" si="446">IF($E50="Active",CA50,0)+IF($E51="Active",CA51,0)</f>
        <v>0</v>
      </c>
      <c r="CB52" s="32">
        <f t="shared" ref="CB52" si="447">IF($E50="Active",CB50,0)+IF($E51="Active",CB51,0)</f>
        <v>0</v>
      </c>
      <c r="CC52" s="32">
        <f t="shared" ref="CC52" si="448">IF($E50="Active",CC50,0)+IF($E51="Active",CC51,0)</f>
        <v>0</v>
      </c>
      <c r="CD52" s="32">
        <f t="shared" ref="CD52" si="449">IF($E50="Active",CD50,0)+IF($E51="Active",CD51,0)</f>
        <v>0</v>
      </c>
      <c r="CE52" s="32">
        <f t="shared" ref="CE52" si="450">IF($E50="Active",CE50,0)+IF($E51="Active",CE51,0)</f>
        <v>0</v>
      </c>
      <c r="CF52" s="32">
        <f t="shared" ref="CF52" si="451">IF($E50="Active",CF50,0)+IF($E51="Active",CF51,0)</f>
        <v>0</v>
      </c>
      <c r="CG52" s="32">
        <f t="shared" ref="CG52" si="452">IF($E50="Active",CG50,0)+IF($E51="Active",CG51,0)</f>
        <v>0</v>
      </c>
      <c r="CH52" s="32">
        <f t="shared" ref="CH52" si="453">IF($E50="Active",CH50,0)+IF($E51="Active",CH51,0)</f>
        <v>0</v>
      </c>
      <c r="CI52" s="32">
        <f t="shared" ref="CI52" si="454">IF($E50="Active",CI50,0)+IF($E51="Active",CI51,0)</f>
        <v>0</v>
      </c>
      <c r="CJ52" s="32">
        <f t="shared" ref="CJ52" si="455">IF($E50="Active",CJ50,0)+IF($E51="Active",CJ51,0)</f>
        <v>0</v>
      </c>
      <c r="CK52" s="32">
        <f t="shared" ref="CK52" si="456">IF($E50="Active",CK50,0)+IF($E51="Active",CK51,0)</f>
        <v>0</v>
      </c>
      <c r="CL52" s="32">
        <f t="shared" ref="CL52" si="457">IF($E50="Active",CL50,0)+IF($E51="Active",CL51,0)</f>
        <v>0</v>
      </c>
      <c r="CM52" s="32">
        <f t="shared" ref="CM52" si="458">IF($E50="Active",CM50,0)+IF($E51="Active",CM51,0)</f>
        <v>0</v>
      </c>
      <c r="CN52" s="32">
        <f t="shared" ref="CN52" si="459">IF($E50="Active",CN50,0)+IF($E51="Active",CN51,0)</f>
        <v>0</v>
      </c>
      <c r="CO52" s="32">
        <f t="shared" ref="CO52" si="460">IF($E50="Active",CO50,0)+IF($E51="Active",CO51,0)</f>
        <v>0</v>
      </c>
      <c r="CP52" s="32">
        <f t="shared" ref="CP52" si="461">IF($E50="Active",CP50,0)+IF($E51="Active",CP51,0)</f>
        <v>0</v>
      </c>
      <c r="CQ52" s="32">
        <f t="shared" ref="CQ52" si="462">IF($E50="Active",CQ50,0)+IF($E51="Active",CQ51,0)</f>
        <v>0</v>
      </c>
      <c r="CR52" s="32">
        <f t="shared" ref="CR52" si="463">IF($E50="Active",CR50,0)+IF($E51="Active",CR51,0)</f>
        <v>0</v>
      </c>
      <c r="CS52" s="32">
        <f t="shared" ref="CS52" si="464">IF($E50="Active",CS50,0)+IF($E51="Active",CS51,0)</f>
        <v>0</v>
      </c>
      <c r="CT52" s="32">
        <f t="shared" ref="CT52" si="465">IF($E50="Active",CT50,0)+IF($E51="Active",CT51,0)</f>
        <v>0</v>
      </c>
      <c r="CU52" s="32">
        <f t="shared" ref="CU52" si="466">IF($E50="Active",CU50,0)+IF($E51="Active",CU51,0)</f>
        <v>0</v>
      </c>
      <c r="CV52" s="32">
        <f t="shared" ref="CV52" si="467">IF($E50="Active",CV50,0)+IF($E51="Active",CV51,0)</f>
        <v>0</v>
      </c>
      <c r="CW52" s="32">
        <f t="shared" ref="CW52" si="468">IF($E50="Active",CW50,0)+IF($E51="Active",CW51,0)</f>
        <v>0</v>
      </c>
      <c r="CX52" s="32">
        <f t="shared" ref="CX52" si="469">IF($E50="Active",CX50,0)+IF($E51="Active",CX51,0)</f>
        <v>0</v>
      </c>
      <c r="CY52" s="32">
        <f t="shared" ref="CY52" si="470">IF($E50="Active",CY50,0)+IF($E51="Active",CY51,0)</f>
        <v>0</v>
      </c>
      <c r="CZ52" s="32">
        <f t="shared" ref="CZ52" si="471">IF($E50="Active",CZ50,0)+IF($E51="Active",CZ51,0)</f>
        <v>0</v>
      </c>
      <c r="DA52" s="32">
        <f t="shared" ref="DA52" si="472">IF($E50="Active",DA50,0)+IF($E51="Active",DA51,0)</f>
        <v>0</v>
      </c>
      <c r="DB52" s="32">
        <f t="shared" ref="DB52" si="473">IF($E50="Active",DB50,0)+IF($E51="Active",DB51,0)</f>
        <v>0</v>
      </c>
      <c r="DC52" s="32">
        <f t="shared" ref="DC52" si="474">IF($E50="Active",DC50,0)+IF($E51="Active",DC51,0)</f>
        <v>0</v>
      </c>
      <c r="DD52" s="32">
        <f t="shared" ref="DD52" si="475">IF($E50="Active",DD50,0)+IF($E51="Active",DD51,0)</f>
        <v>0</v>
      </c>
      <c r="DE52" s="32">
        <f t="shared" ref="DE52" si="476">IF($E50="Active",DE50,0)+IF($E51="Active",DE51,0)</f>
        <v>0</v>
      </c>
      <c r="DF52" s="32">
        <f t="shared" ref="DF52" si="477">IF($E50="Active",DF50,0)+IF($E51="Active",DF51,0)</f>
        <v>0</v>
      </c>
      <c r="DG52" s="32">
        <f t="shared" ref="DG52" si="478">IF($E50="Active",DG50,0)+IF($E51="Active",DG51,0)</f>
        <v>0</v>
      </c>
      <c r="DH52" s="32">
        <f t="shared" ref="DH52" si="479">IF($E50="Active",DH50,0)+IF($E51="Active",DH51,0)</f>
        <v>0</v>
      </c>
      <c r="DI52" s="32">
        <f t="shared" ref="DI52" si="480">IF($E50="Active",DI50,0)+IF($E51="Active",DI51,0)</f>
        <v>0</v>
      </c>
      <c r="DJ52" s="32">
        <f t="shared" ref="DJ52" si="481">IF($E50="Active",DJ50,0)+IF($E51="Active",DJ51,0)</f>
        <v>0</v>
      </c>
      <c r="DK52" s="32">
        <f t="shared" ref="DK52" si="482">IF($E50="Active",DK50,0)+IF($E51="Active",DK51,0)</f>
        <v>0</v>
      </c>
      <c r="DL52" s="32">
        <f t="shared" ref="DL52" si="483">IF($E50="Active",DL50,0)+IF($E51="Active",DL51,0)</f>
        <v>0</v>
      </c>
      <c r="DM52" s="32">
        <f t="shared" ref="DM52" si="484">IF($E50="Active",DM50,0)+IF($E51="Active",DM51,0)</f>
        <v>0</v>
      </c>
      <c r="DN52" s="32">
        <f t="shared" ref="DN52" si="485">IF($E50="Active",DN50,0)+IF($E51="Active",DN51,0)</f>
        <v>0</v>
      </c>
      <c r="DO52" s="32">
        <f t="shared" ref="DO52" si="486">IF($E50="Active",DO50,0)+IF($E51="Active",DO51,0)</f>
        <v>0</v>
      </c>
      <c r="DP52" s="32">
        <f t="shared" ref="DP52" si="487">IF($E50="Active",DP50,0)+IF($E51="Active",DP51,0)</f>
        <v>0</v>
      </c>
      <c r="DQ52" s="32">
        <f t="shared" ref="DQ52" si="488">IF($E50="Active",DQ50,0)+IF($E51="Active",DQ51,0)</f>
        <v>0</v>
      </c>
      <c r="DR52" s="32">
        <f t="shared" ref="DR52" si="489">IF($E50="Active",DR50,0)+IF($E51="Active",DR51,0)</f>
        <v>0</v>
      </c>
      <c r="DS52" s="32">
        <f t="shared" ref="DS52" si="490">IF($E50="Active",DS50,0)+IF($E51="Active",DS51,0)</f>
        <v>0</v>
      </c>
      <c r="DT52" s="32">
        <f t="shared" ref="DT52" si="491">IF($E50="Active",DT50,0)+IF($E51="Active",DT51,0)</f>
        <v>0</v>
      </c>
      <c r="DU52" s="32">
        <f t="shared" ref="DU52" si="492">IF($E50="Active",DU50,0)+IF($E51="Active",DU51,0)</f>
        <v>0</v>
      </c>
      <c r="DV52" s="32">
        <f t="shared" ref="DV52" si="493">IF($E50="Active",DV50,0)+IF($E51="Active",DV51,0)</f>
        <v>0</v>
      </c>
      <c r="DW52" s="32">
        <f t="shared" ref="DW52" si="494">IF($E50="Active",DW50,0)+IF($E51="Active",DW51,0)</f>
        <v>0</v>
      </c>
      <c r="DX52" s="32">
        <f t="shared" ref="DX52" si="495">IF($E50="Active",DX50,0)+IF($E51="Active",DX51,0)</f>
        <v>0</v>
      </c>
      <c r="DY52" s="32">
        <f t="shared" ref="DY52" si="496">IF($E50="Active",DY50,0)+IF($E51="Active",DY51,0)</f>
        <v>0</v>
      </c>
      <c r="DZ52" s="32">
        <f t="shared" ref="DZ52" si="497">IF($E50="Active",DZ50,0)+IF($E51="Active",DZ51,0)</f>
        <v>0</v>
      </c>
      <c r="EA52" s="32">
        <f t="shared" ref="EA52" si="498">IF($E50="Active",EA50,0)+IF($E51="Active",EA51,0)</f>
        <v>0</v>
      </c>
      <c r="EB52" s="32">
        <f t="shared" ref="EB52" si="499">IF($E50="Active",EB50,0)+IF($E51="Active",EB51,0)</f>
        <v>0</v>
      </c>
      <c r="EC52" s="32">
        <f t="shared" ref="EC52" si="500">IF($E50="Active",EC50,0)+IF($E51="Active",EC51,0)</f>
        <v>0</v>
      </c>
      <c r="ED52" s="32">
        <f t="shared" ref="ED52" si="501">IF($E50="Active",ED50,0)+IF($E51="Active",ED51,0)</f>
        <v>0</v>
      </c>
      <c r="EE52" s="32">
        <f t="shared" ref="EE52" si="502">IF($E50="Active",EE50,0)+IF($E51="Active",EE51,0)</f>
        <v>0</v>
      </c>
      <c r="EF52" s="32">
        <f t="shared" ref="EF52" si="503">IF($E50="Active",EF50,0)+IF($E51="Active",EF51,0)</f>
        <v>0</v>
      </c>
      <c r="EG52" s="32">
        <f t="shared" ref="EG52" si="504">IF($E50="Active",EG50,0)+IF($E51="Active",EG51,0)</f>
        <v>0</v>
      </c>
      <c r="EH52" s="32">
        <f t="shared" ref="EH52" si="505">IF($E50="Active",EH50,0)+IF($E51="Active",EH51,0)</f>
        <v>0</v>
      </c>
      <c r="EI52" s="32">
        <f t="shared" ref="EI52" si="506">IF($E50="Active",EI50,0)+IF($E51="Active",EI51,0)</f>
        <v>0</v>
      </c>
      <c r="EJ52" s="32">
        <f t="shared" ref="EJ52" si="507">IF($E50="Active",EJ50,0)+IF($E51="Active",EJ51,0)</f>
        <v>0</v>
      </c>
      <c r="EK52" s="32">
        <f t="shared" ref="EK52" si="508">IF($E50="Active",EK50,0)+IF($E51="Active",EK51,0)</f>
        <v>0</v>
      </c>
      <c r="EL52" s="32">
        <f t="shared" ref="EL52" si="509">IF($E50="Active",EL50,0)+IF($E51="Active",EL51,0)</f>
        <v>0</v>
      </c>
      <c r="EM52" s="32">
        <f t="shared" ref="EM52" si="510">IF($E50="Active",EM50,0)+IF($E51="Active",EM51,0)</f>
        <v>0</v>
      </c>
      <c r="EN52" s="32">
        <f t="shared" ref="EN52" si="511">IF($E50="Active",EN50,0)+IF($E51="Active",EN51,0)</f>
        <v>0</v>
      </c>
      <c r="EO52" s="32">
        <f t="shared" ref="EO52" si="512">IF($E50="Active",EO50,0)+IF($E51="Active",EO51,0)</f>
        <v>0</v>
      </c>
      <c r="EP52" s="32">
        <f t="shared" ref="EP52" si="513">IF($E50="Active",EP50,0)+IF($E51="Active",EP51,0)</f>
        <v>0</v>
      </c>
      <c r="EQ52" s="32">
        <f t="shared" ref="EQ52" si="514">IF($E50="Active",EQ50,0)+IF($E51="Active",EQ51,0)</f>
        <v>0</v>
      </c>
      <c r="ER52" s="32">
        <f t="shared" ref="ER52" si="515">IF($E50="Active",ER50,0)+IF($E51="Active",ER51,0)</f>
        <v>0</v>
      </c>
      <c r="ES52" s="32">
        <f t="shared" ref="ES52" si="516">IF($E50="Active",ES50,0)+IF($E51="Active",ES51,0)</f>
        <v>0</v>
      </c>
      <c r="ET52" s="32">
        <f t="shared" ref="ET52" si="517">IF($E50="Active",ET50,0)+IF($E51="Active",ET51,0)</f>
        <v>0</v>
      </c>
      <c r="EU52" s="32">
        <f t="shared" ref="EU52" si="518">IF($E50="Active",EU50,0)+IF($E51="Active",EU51,0)</f>
        <v>0</v>
      </c>
      <c r="EV52" s="32">
        <f t="shared" ref="EV52" si="519">IF($E50="Active",EV50,0)+IF($E51="Active",EV51,0)</f>
        <v>0</v>
      </c>
      <c r="EW52" s="32">
        <f t="shared" ref="EW52" si="520">IF($E50="Active",EW50,0)+IF($E51="Active",EW51,0)</f>
        <v>0</v>
      </c>
      <c r="EX52" s="32">
        <f t="shared" ref="EX52" si="521">IF($E50="Active",EX50,0)+IF($E51="Active",EX51,0)</f>
        <v>0</v>
      </c>
      <c r="EY52" s="32">
        <f t="shared" ref="EY52" si="522">IF($E50="Active",EY50,0)+IF($E51="Active",EY51,0)</f>
        <v>0</v>
      </c>
      <c r="EZ52" s="32">
        <f t="shared" ref="EZ52" si="523">IF($E50="Active",EZ50,0)+IF($E51="Active",EZ51,0)</f>
        <v>0</v>
      </c>
      <c r="FA52" s="32">
        <f t="shared" ref="FA52" si="524">IF($E50="Active",FA50,0)+IF($E51="Active",FA51,0)</f>
        <v>0</v>
      </c>
      <c r="FB52" s="32">
        <f t="shared" ref="FB52" si="525">IF($E50="Active",FB50,0)+IF($E51="Active",FB51,0)</f>
        <v>0</v>
      </c>
      <c r="FC52" s="32">
        <f t="shared" ref="FC52" si="526">IF($E50="Active",FC50,0)+IF($E51="Active",FC51,0)</f>
        <v>0</v>
      </c>
      <c r="FD52" s="32">
        <f t="shared" ref="FD52" si="527">IF($E50="Active",FD50,0)+IF($E51="Active",FD51,0)</f>
        <v>0</v>
      </c>
      <c r="FE52" s="32">
        <f t="shared" ref="FE52" si="528">IF($E50="Active",FE50,0)+IF($E51="Active",FE51,0)</f>
        <v>0</v>
      </c>
      <c r="FF52" s="32">
        <f t="shared" ref="FF52" si="529">IF($E50="Active",FF50,0)+IF($E51="Active",FF51,0)</f>
        <v>0</v>
      </c>
      <c r="FG52" s="32">
        <f t="shared" ref="FG52" si="530">IF($E50="Active",FG50,0)+IF($E51="Active",FG51,0)</f>
        <v>0</v>
      </c>
      <c r="FH52" s="32">
        <f t="shared" ref="FH52" si="531">IF($E50="Active",FH50,0)+IF($E51="Active",FH51,0)</f>
        <v>0</v>
      </c>
      <c r="FI52" s="32">
        <f t="shared" ref="FI52" si="532">IF($E50="Active",FI50,0)+IF($E51="Active",FI51,0)</f>
        <v>0</v>
      </c>
      <c r="FJ52" s="32">
        <f t="shared" ref="FJ52" si="533">IF($E50="Active",FJ50,0)+IF($E51="Active",FJ51,0)</f>
        <v>0</v>
      </c>
      <c r="FK52" s="32">
        <f t="shared" ref="FK52" si="534">IF($E50="Active",FK50,0)+IF($E51="Active",FK51,0)</f>
        <v>0</v>
      </c>
      <c r="FL52" s="32">
        <f t="shared" ref="FL52" si="535">IF($E50="Active",FL50,0)+IF($E51="Active",FL51,0)</f>
        <v>0</v>
      </c>
      <c r="FM52" s="32">
        <f t="shared" ref="FM52" si="536">IF($E50="Active",FM50,0)+IF($E51="Active",FM51,0)</f>
        <v>0</v>
      </c>
      <c r="FN52" s="32">
        <f t="shared" ref="FN52" si="537">IF($E50="Active",FN50,0)+IF($E51="Active",FN51,0)</f>
        <v>0</v>
      </c>
      <c r="FO52" s="32">
        <f t="shared" ref="FO52" si="538">IF($E50="Active",FO50,0)+IF($E51="Active",FO51,0)</f>
        <v>0</v>
      </c>
      <c r="FP52" s="32">
        <f t="shared" ref="FP52" si="539">IF($E50="Active",FP50,0)+IF($E51="Active",FP51,0)</f>
        <v>0</v>
      </c>
      <c r="FQ52" s="32">
        <f t="shared" ref="FQ52" si="540">IF($E50="Active",FQ50,0)+IF($E51="Active",FQ51,0)</f>
        <v>0</v>
      </c>
      <c r="FR52" s="32">
        <f t="shared" ref="FR52" si="541">IF($E50="Active",FR50,0)+IF($E51="Active",FR51,0)</f>
        <v>0</v>
      </c>
      <c r="FS52" s="32">
        <f t="shared" ref="FS52" si="542">IF($E50="Active",FS50,0)+IF($E51="Active",FS51,0)</f>
        <v>0</v>
      </c>
      <c r="FT52" s="32">
        <f t="shared" ref="FT52" si="543">IF($E50="Active",FT50,0)+IF($E51="Active",FT51,0)</f>
        <v>0</v>
      </c>
      <c r="FU52" s="32">
        <f t="shared" ref="FU52" si="544">IF($E50="Active",FU50,0)+IF($E51="Active",FU51,0)</f>
        <v>0</v>
      </c>
      <c r="FV52" s="32">
        <f t="shared" ref="FV52" si="545">IF($E50="Active",FV50,0)+IF($E51="Active",FV51,0)</f>
        <v>0</v>
      </c>
      <c r="FW52" s="32">
        <f t="shared" ref="FW52" si="546">IF($E50="Active",FW50,0)+IF($E51="Active",FW51,0)</f>
        <v>0</v>
      </c>
      <c r="FX52" s="32">
        <f t="shared" ref="FX52" si="547">IF($E50="Active",FX50,0)+IF($E51="Active",FX51,0)</f>
        <v>0</v>
      </c>
      <c r="FY52" s="32">
        <f t="shared" ref="FY52" si="548">IF($E50="Active",FY50,0)+IF($E51="Active",FY51,0)</f>
        <v>0</v>
      </c>
      <c r="FZ52" s="32">
        <f t="shared" ref="FZ52" si="549">IF($E50="Active",FZ50,0)+IF($E51="Active",FZ51,0)</f>
        <v>0</v>
      </c>
      <c r="GA52" s="32">
        <f t="shared" ref="GA52" si="550">IF($E50="Active",GA50,0)+IF($E51="Active",GA51,0)</f>
        <v>0</v>
      </c>
      <c r="GB52" s="32">
        <f t="shared" ref="GB52" si="551">IF($E50="Active",GB50,0)+IF($E51="Active",GB51,0)</f>
        <v>0</v>
      </c>
      <c r="GC52" s="32">
        <f t="shared" ref="GC52" si="552">IF($E50="Active",GC50,0)+IF($E51="Active",GC51,0)</f>
        <v>0</v>
      </c>
      <c r="GD52" s="32">
        <f t="shared" ref="GD52" si="553">IF($E50="Active",GD50,0)+IF($E51="Active",GD51,0)</f>
        <v>0</v>
      </c>
      <c r="GE52" s="32">
        <f t="shared" ref="GE52" si="554">IF($E50="Active",GE50,0)+IF($E51="Active",GE51,0)</f>
        <v>0</v>
      </c>
      <c r="GF52" s="32">
        <f t="shared" ref="GF52" si="555">IF($E50="Active",GF50,0)+IF($E51="Active",GF51,0)</f>
        <v>0</v>
      </c>
      <c r="GG52" s="32">
        <f t="shared" ref="GG52" si="556">IF($E50="Active",GG50,0)+IF($E51="Active",GG51,0)</f>
        <v>0</v>
      </c>
      <c r="GH52" s="32">
        <f t="shared" ref="GH52" si="557">IF($E50="Active",GH50,0)+IF($E51="Active",GH51,0)</f>
        <v>0</v>
      </c>
      <c r="GI52" s="32">
        <f>IF(E50="Active",GF50,0)+IF(E51="Active",GF51,0)</f>
        <v>0</v>
      </c>
      <c r="GJ52" s="32">
        <f>IF(E50="Active",GG50,0)+IF(E51="Active",GG51,0)</f>
        <v>0</v>
      </c>
      <c r="GK52" s="32">
        <f>IF(E50="Active",GH50,0)+IF(E51="Active",GH51,0)</f>
        <v>0</v>
      </c>
      <c r="GL52" s="32">
        <f>IF(E50="Active",GI50,0)+IF(E51="Active",GI51,0)</f>
        <v>0</v>
      </c>
      <c r="GM52" s="32">
        <f>IF(E50="Active",GJ50,0)+IF(E51="Active",GJ51,0)</f>
        <v>40</v>
      </c>
      <c r="GN52" s="32">
        <f>IF(E50="Active",GK50,0)+IF(E51="Active",GK51,0)</f>
        <v>0</v>
      </c>
      <c r="GO52" s="32">
        <f>IF(E50="Active",GL50,0)+IF(E51="Active",GL51,0)</f>
        <v>0</v>
      </c>
      <c r="GP52" s="32">
        <f>IF(E50="Active",GM50,0)+IF(E51="Active",GM51,0)</f>
        <v>0</v>
      </c>
      <c r="GQ52" s="32">
        <f>IF(E50="Active",GN50,0)+IF(E51="Active",GN51,0)</f>
        <v>0</v>
      </c>
      <c r="GR52" s="32">
        <f>IF(E50="Active",GO50,0)+IF(E51="Active",GO51,0)</f>
        <v>0</v>
      </c>
      <c r="GS52" s="32">
        <f>IF(E50="Active",GP50,0)+IF(E51="Active",GP51,0)</f>
        <v>0</v>
      </c>
      <c r="GT52" s="32">
        <f>IF(E50="Active",GQ50,0)+IF(E51="Active",GQ51,0)</f>
        <v>0</v>
      </c>
      <c r="GU52" s="32">
        <f>IF(E50="Active",GR50,0)+IF(E51="Active",GR51,0)</f>
        <v>0</v>
      </c>
      <c r="GV52" s="32">
        <f>IF(E50="Active",GS50,0)+IF(E51="Active",GS51,0)</f>
        <v>0</v>
      </c>
      <c r="GW52" s="32">
        <f>IF(E50="Active",GT50,0)+IF(E51="Active",GT51,0)</f>
        <v>0</v>
      </c>
    </row>
    <row r="54" spans="1:205" ht="22" customHeight="1" x14ac:dyDescent="0.35">
      <c r="A54" s="392" t="s">
        <v>397</v>
      </c>
      <c r="B54" s="393"/>
      <c r="C54" s="393"/>
      <c r="D54" s="393"/>
      <c r="E54" s="393"/>
      <c r="F54" s="393"/>
      <c r="G54" s="393"/>
      <c r="H54" s="393"/>
      <c r="I54" s="393"/>
      <c r="J54" s="393"/>
      <c r="K54" s="393"/>
      <c r="L54" s="393"/>
      <c r="M54" s="393"/>
      <c r="N54" s="393"/>
      <c r="O54" s="393"/>
      <c r="P54" s="393"/>
      <c r="Q54" s="393"/>
      <c r="R54" s="393"/>
      <c r="S54" s="393"/>
      <c r="T54" s="393"/>
      <c r="U54" s="393"/>
      <c r="V54" s="393"/>
      <c r="W54" s="393"/>
      <c r="X54" s="393"/>
      <c r="Y54" s="393"/>
      <c r="Z54" s="393"/>
      <c r="AA54" s="393"/>
      <c r="AB54" s="393"/>
      <c r="AC54" s="393"/>
      <c r="AD54" s="393"/>
      <c r="AE54" s="393"/>
      <c r="AF54" s="393"/>
      <c r="AG54" s="393"/>
      <c r="AH54" s="393"/>
      <c r="AI54" s="393"/>
      <c r="AJ54" s="393"/>
      <c r="AK54" s="393"/>
      <c r="AL54" s="393"/>
      <c r="AM54" s="393"/>
      <c r="AN54" s="393"/>
      <c r="AO54" s="393"/>
      <c r="AP54" s="393"/>
      <c r="AQ54" s="393"/>
      <c r="AR54" s="393"/>
      <c r="AS54" s="393"/>
      <c r="AT54" s="393"/>
      <c r="AU54" s="393"/>
      <c r="AV54" s="393"/>
      <c r="AW54" s="393"/>
      <c r="AX54" s="393"/>
      <c r="AY54" s="393"/>
      <c r="AZ54" s="393"/>
      <c r="BA54" s="393"/>
      <c r="BB54" s="393"/>
      <c r="BC54" s="393"/>
      <c r="BD54" s="393"/>
      <c r="BE54" s="393"/>
      <c r="BF54" s="393"/>
      <c r="BG54" s="393"/>
      <c r="BH54" s="393"/>
      <c r="BI54" s="393"/>
      <c r="BJ54" s="393"/>
      <c r="BK54" s="393"/>
      <c r="BL54" s="393"/>
      <c r="BM54" s="393"/>
      <c r="BN54" s="393"/>
      <c r="BO54" s="393"/>
      <c r="BP54" s="393"/>
      <c r="BQ54" s="393"/>
      <c r="BR54" s="393"/>
      <c r="BS54" s="393"/>
      <c r="BT54" s="393"/>
      <c r="BU54" s="393"/>
      <c r="BV54" s="393"/>
      <c r="BW54" s="393"/>
      <c r="BX54" s="393"/>
      <c r="BY54" s="393"/>
      <c r="BZ54" s="393"/>
      <c r="CA54" s="393"/>
      <c r="CB54" s="393"/>
      <c r="CC54" s="393"/>
      <c r="CD54" s="393"/>
      <c r="CE54" s="393"/>
      <c r="CF54" s="393"/>
      <c r="CG54" s="393"/>
      <c r="CH54" s="393"/>
      <c r="CI54" s="393"/>
      <c r="CJ54" s="393"/>
      <c r="CK54" s="393"/>
      <c r="CL54" s="393"/>
      <c r="CM54" s="393"/>
      <c r="CN54" s="393"/>
      <c r="CO54" s="393"/>
      <c r="CP54" s="393"/>
      <c r="CQ54" s="393"/>
      <c r="CR54" s="393"/>
      <c r="CS54" s="393"/>
      <c r="CT54" s="393"/>
      <c r="CU54" s="393"/>
      <c r="CV54" s="393"/>
      <c r="CW54" s="393"/>
      <c r="CX54" s="393"/>
      <c r="CY54" s="393"/>
      <c r="CZ54" s="393"/>
      <c r="DA54" s="393"/>
      <c r="DB54" s="393"/>
      <c r="DC54" s="393"/>
      <c r="DD54" s="393"/>
      <c r="DE54" s="393"/>
      <c r="DF54" s="393"/>
      <c r="DG54" s="393"/>
      <c r="DH54" s="393"/>
      <c r="DI54" s="393"/>
      <c r="DJ54" s="393"/>
      <c r="DK54" s="393"/>
      <c r="DL54" s="393"/>
      <c r="DM54" s="393"/>
      <c r="DN54" s="393"/>
      <c r="DO54" s="393"/>
      <c r="DP54" s="393"/>
      <c r="DQ54" s="393"/>
      <c r="DR54" s="393"/>
      <c r="DS54" s="393"/>
      <c r="DT54" s="393"/>
      <c r="DU54" s="393"/>
      <c r="DV54" s="393"/>
      <c r="DW54" s="393"/>
      <c r="DX54" s="393"/>
      <c r="DY54" s="393"/>
      <c r="DZ54" s="393"/>
      <c r="EA54" s="393"/>
      <c r="EB54" s="393"/>
      <c r="EC54" s="393"/>
      <c r="ED54" s="393"/>
      <c r="EE54" s="393"/>
      <c r="EF54" s="393"/>
      <c r="EG54" s="393"/>
      <c r="EH54" s="393"/>
      <c r="EI54" s="393"/>
      <c r="EJ54" s="393"/>
      <c r="EK54" s="393"/>
      <c r="EL54" s="393"/>
      <c r="EM54" s="393"/>
      <c r="EN54" s="393"/>
      <c r="EO54" s="393"/>
      <c r="EP54" s="393"/>
      <c r="EQ54" s="393"/>
      <c r="ER54" s="393"/>
      <c r="ES54" s="393"/>
      <c r="ET54" s="393"/>
      <c r="EU54" s="393"/>
      <c r="EV54" s="393"/>
      <c r="EW54" s="393"/>
      <c r="EX54" s="393"/>
      <c r="EY54" s="393"/>
      <c r="EZ54" s="393"/>
      <c r="FA54" s="393"/>
      <c r="FB54" s="393"/>
      <c r="FC54" s="393"/>
      <c r="FD54" s="393"/>
      <c r="FE54" s="393"/>
      <c r="FF54" s="393"/>
      <c r="FG54" s="393"/>
      <c r="FH54" s="393"/>
      <c r="FI54" s="393"/>
      <c r="FJ54" s="393"/>
      <c r="FK54" s="393"/>
      <c r="FL54" s="393"/>
      <c r="FM54" s="393"/>
      <c r="FN54" s="393"/>
      <c r="FO54" s="393"/>
      <c r="FP54" s="393"/>
      <c r="FQ54" s="393"/>
      <c r="FR54" s="393"/>
      <c r="FS54" s="393"/>
      <c r="FT54" s="393"/>
      <c r="FU54" s="393"/>
      <c r="FV54" s="393"/>
      <c r="FW54" s="393"/>
      <c r="FX54" s="393"/>
      <c r="FY54" s="393"/>
      <c r="FZ54" s="393"/>
      <c r="GA54" s="393"/>
      <c r="GB54" s="393"/>
      <c r="GC54" s="393"/>
      <c r="GD54" s="393"/>
      <c r="GE54" s="393"/>
      <c r="GF54" s="393"/>
      <c r="GG54" s="393"/>
      <c r="GH54" s="393"/>
      <c r="GI54" s="393"/>
      <c r="GJ54" s="393"/>
      <c r="GK54" s="393"/>
      <c r="GL54" s="393"/>
      <c r="GM54" s="393"/>
      <c r="GN54" s="393"/>
      <c r="GO54" s="393"/>
      <c r="GP54" s="393"/>
      <c r="GQ54" s="393"/>
      <c r="GR54" s="393"/>
      <c r="GS54" s="393"/>
    </row>
    <row r="55" spans="1:205" ht="14" customHeight="1" x14ac:dyDescent="0.35">
      <c r="A55" s="2" t="s">
        <v>57</v>
      </c>
      <c r="B55" s="14" t="s">
        <v>55</v>
      </c>
      <c r="C55" s="4" t="s">
        <v>52</v>
      </c>
      <c r="D55" s="4" t="s">
        <v>48</v>
      </c>
      <c r="E55" s="21" t="str">
        <f>'Supplier Registry'!N25</f>
        <v>Active</v>
      </c>
      <c r="F55" s="21">
        <f>'Supplier Registry'!M25</f>
        <v>1</v>
      </c>
      <c r="G55" s="21">
        <f>'Supplier Registry'!E25</f>
        <v>95</v>
      </c>
      <c r="H55" s="58">
        <f>'Supplier Registry'!P25</f>
        <v>12</v>
      </c>
      <c r="I55" s="74">
        <f>IFERROR(EDATE(Controls!B5,H55),"")</f>
        <v>46478</v>
      </c>
      <c r="J55" s="75">
        <f>IFERROR(EDATE(I55,-'Supplier Registry'!Q25),"")</f>
        <v>46447</v>
      </c>
      <c r="K55" s="29"/>
      <c r="L55" s="29"/>
      <c r="M55" s="29"/>
      <c r="N55" s="29"/>
      <c r="O55" s="29"/>
      <c r="P55" s="29"/>
      <c r="Q55" s="29"/>
      <c r="R55" s="29"/>
      <c r="S55" s="29"/>
      <c r="T55" s="29"/>
      <c r="U55" s="29"/>
      <c r="V55" s="29"/>
      <c r="W55" s="29">
        <v>100</v>
      </c>
      <c r="X55" s="29"/>
      <c r="Y55" s="29"/>
      <c r="Z55" s="29">
        <v>0</v>
      </c>
      <c r="AA55" s="29">
        <v>0</v>
      </c>
      <c r="AB55" s="29">
        <v>0</v>
      </c>
      <c r="AC55" s="29">
        <v>0</v>
      </c>
      <c r="AD55" s="29">
        <v>0</v>
      </c>
      <c r="AE55" s="29">
        <v>0</v>
      </c>
      <c r="AF55" s="29">
        <v>0</v>
      </c>
      <c r="AG55" s="29">
        <v>0</v>
      </c>
      <c r="AH55" s="29">
        <v>0</v>
      </c>
      <c r="AI55" s="29">
        <v>0</v>
      </c>
      <c r="AJ55" s="29">
        <v>0</v>
      </c>
      <c r="AK55" s="29">
        <v>0</v>
      </c>
      <c r="AL55" s="29">
        <v>0</v>
      </c>
      <c r="AM55" s="29">
        <v>0</v>
      </c>
      <c r="AN55" s="29">
        <v>0</v>
      </c>
      <c r="AO55" s="29">
        <v>0</v>
      </c>
      <c r="AP55" s="29">
        <v>0</v>
      </c>
      <c r="AQ55" s="29">
        <v>0</v>
      </c>
      <c r="AR55" s="29">
        <v>0</v>
      </c>
      <c r="AS55" s="29">
        <v>0</v>
      </c>
      <c r="AT55" s="29">
        <v>0</v>
      </c>
      <c r="AU55" s="29">
        <v>0</v>
      </c>
      <c r="AV55" s="29">
        <v>0</v>
      </c>
      <c r="AW55" s="29">
        <v>0</v>
      </c>
      <c r="AX55" s="29">
        <v>0</v>
      </c>
      <c r="AY55" s="29">
        <v>0</v>
      </c>
      <c r="AZ55" s="29">
        <v>0</v>
      </c>
      <c r="BA55" s="29">
        <v>0</v>
      </c>
      <c r="BB55" s="29">
        <v>0</v>
      </c>
      <c r="BC55" s="29">
        <v>0</v>
      </c>
      <c r="BD55" s="29">
        <v>0</v>
      </c>
      <c r="BE55" s="29">
        <v>0</v>
      </c>
      <c r="BF55" s="29">
        <v>0</v>
      </c>
      <c r="BG55" s="29">
        <v>0</v>
      </c>
      <c r="BH55" s="29">
        <v>0</v>
      </c>
      <c r="BI55" s="29">
        <v>0</v>
      </c>
      <c r="BJ55" s="29">
        <v>0</v>
      </c>
      <c r="BK55" s="29">
        <v>0</v>
      </c>
      <c r="BL55" s="29">
        <v>0</v>
      </c>
      <c r="BM55" s="29">
        <v>0</v>
      </c>
      <c r="BN55" s="29">
        <v>0</v>
      </c>
      <c r="BO55" s="29">
        <v>0</v>
      </c>
      <c r="BP55" s="29">
        <v>0</v>
      </c>
      <c r="BQ55" s="29">
        <v>0</v>
      </c>
      <c r="BR55" s="29">
        <v>0</v>
      </c>
      <c r="BS55" s="29">
        <v>0</v>
      </c>
      <c r="BT55" s="29">
        <v>0</v>
      </c>
      <c r="BU55" s="29">
        <v>0</v>
      </c>
      <c r="BV55" s="29">
        <v>0</v>
      </c>
      <c r="BW55" s="29">
        <v>0</v>
      </c>
      <c r="BX55" s="29">
        <v>0</v>
      </c>
      <c r="BY55" s="29">
        <v>0</v>
      </c>
      <c r="BZ55" s="29">
        <v>0</v>
      </c>
      <c r="CA55" s="29">
        <v>0</v>
      </c>
      <c r="CB55" s="29">
        <v>0</v>
      </c>
      <c r="CC55" s="29">
        <v>0</v>
      </c>
      <c r="CD55" s="29">
        <v>0</v>
      </c>
      <c r="CE55" s="29">
        <v>0</v>
      </c>
      <c r="CF55" s="29">
        <v>0</v>
      </c>
      <c r="CG55" s="29">
        <v>0</v>
      </c>
      <c r="CH55" s="29">
        <v>0</v>
      </c>
      <c r="CI55" s="29">
        <v>0</v>
      </c>
      <c r="CJ55" s="29">
        <v>0</v>
      </c>
      <c r="CK55" s="29">
        <v>0</v>
      </c>
      <c r="CL55" s="29">
        <v>0</v>
      </c>
      <c r="CM55" s="29">
        <v>0</v>
      </c>
      <c r="CN55" s="29">
        <v>0</v>
      </c>
      <c r="CO55" s="29">
        <v>0</v>
      </c>
      <c r="CP55" s="29">
        <v>0</v>
      </c>
      <c r="CQ55" s="29">
        <v>0</v>
      </c>
      <c r="CR55" s="29">
        <v>0</v>
      </c>
      <c r="CS55" s="29">
        <v>0</v>
      </c>
      <c r="CT55" s="29">
        <v>0</v>
      </c>
      <c r="CU55" s="29">
        <v>0</v>
      </c>
      <c r="CV55" s="29">
        <v>0</v>
      </c>
      <c r="CW55" s="29">
        <v>0</v>
      </c>
      <c r="CX55" s="29">
        <v>0</v>
      </c>
      <c r="CY55" s="29">
        <v>0</v>
      </c>
      <c r="CZ55" s="29">
        <v>0</v>
      </c>
      <c r="DA55" s="29">
        <v>0</v>
      </c>
      <c r="DB55" s="29">
        <v>0</v>
      </c>
      <c r="DC55" s="29">
        <v>0</v>
      </c>
      <c r="DD55" s="29">
        <v>0</v>
      </c>
      <c r="DE55" s="29">
        <v>0</v>
      </c>
      <c r="DF55" s="29">
        <v>0</v>
      </c>
      <c r="DG55" s="29">
        <v>0</v>
      </c>
      <c r="DH55" s="29">
        <v>0</v>
      </c>
      <c r="DI55" s="29">
        <v>0</v>
      </c>
      <c r="DJ55" s="29">
        <v>0</v>
      </c>
      <c r="DK55" s="29">
        <v>0</v>
      </c>
      <c r="DL55" s="29">
        <v>0</v>
      </c>
      <c r="DM55" s="29">
        <v>0</v>
      </c>
      <c r="DN55" s="29">
        <v>0</v>
      </c>
      <c r="DO55" s="29">
        <v>0</v>
      </c>
      <c r="DP55" s="29">
        <v>0</v>
      </c>
      <c r="DQ55" s="29">
        <v>0</v>
      </c>
      <c r="DR55" s="29">
        <v>0</v>
      </c>
      <c r="DS55" s="29">
        <v>0</v>
      </c>
      <c r="DT55" s="29">
        <v>0</v>
      </c>
      <c r="DU55" s="29">
        <v>0</v>
      </c>
      <c r="DV55" s="29">
        <v>0</v>
      </c>
      <c r="DW55" s="29">
        <v>0</v>
      </c>
      <c r="DX55" s="29">
        <v>0</v>
      </c>
      <c r="DY55" s="29">
        <v>0</v>
      </c>
      <c r="DZ55" s="29">
        <v>0</v>
      </c>
      <c r="EA55" s="29">
        <v>0</v>
      </c>
      <c r="EB55" s="29">
        <v>0</v>
      </c>
      <c r="EC55" s="29">
        <v>0</v>
      </c>
      <c r="ED55" s="29">
        <v>0</v>
      </c>
      <c r="EE55" s="29">
        <v>0</v>
      </c>
      <c r="EF55" s="29">
        <v>0</v>
      </c>
      <c r="EG55" s="29">
        <v>0</v>
      </c>
      <c r="EH55" s="29">
        <v>0</v>
      </c>
      <c r="EI55" s="29">
        <v>0</v>
      </c>
      <c r="EJ55" s="29">
        <v>0</v>
      </c>
      <c r="EK55" s="29">
        <v>0</v>
      </c>
      <c r="EL55" s="29">
        <v>0</v>
      </c>
      <c r="EM55" s="29">
        <v>0</v>
      </c>
      <c r="EN55" s="29">
        <v>0</v>
      </c>
      <c r="EO55" s="29">
        <v>0</v>
      </c>
      <c r="EP55" s="29">
        <v>0</v>
      </c>
      <c r="EQ55" s="29">
        <v>0</v>
      </c>
      <c r="ER55" s="29">
        <v>0</v>
      </c>
      <c r="ES55" s="29">
        <v>0</v>
      </c>
      <c r="ET55" s="29">
        <v>0</v>
      </c>
      <c r="EU55" s="29">
        <v>0</v>
      </c>
      <c r="EV55" s="29">
        <v>0</v>
      </c>
      <c r="EW55" s="29">
        <v>0</v>
      </c>
      <c r="EX55" s="29">
        <v>0</v>
      </c>
      <c r="EY55" s="29">
        <v>0</v>
      </c>
      <c r="EZ55" s="29">
        <v>0</v>
      </c>
      <c r="FA55" s="29">
        <v>0</v>
      </c>
      <c r="FB55" s="29">
        <v>0</v>
      </c>
      <c r="FC55" s="29">
        <v>0</v>
      </c>
      <c r="FD55" s="29">
        <v>0</v>
      </c>
      <c r="FE55" s="29">
        <v>0</v>
      </c>
      <c r="FF55" s="29">
        <v>0</v>
      </c>
      <c r="FG55" s="29">
        <v>0</v>
      </c>
      <c r="FH55" s="29">
        <v>0</v>
      </c>
      <c r="FI55" s="29">
        <v>0</v>
      </c>
      <c r="FJ55" s="29">
        <v>0</v>
      </c>
      <c r="FK55" s="29">
        <v>0</v>
      </c>
      <c r="FL55" s="29">
        <v>0</v>
      </c>
      <c r="FM55" s="29">
        <v>0</v>
      </c>
      <c r="FN55" s="29">
        <v>0</v>
      </c>
      <c r="FO55" s="29">
        <v>0</v>
      </c>
      <c r="FP55" s="29">
        <v>0</v>
      </c>
      <c r="FQ55" s="29">
        <v>0</v>
      </c>
      <c r="FR55" s="29">
        <v>0</v>
      </c>
      <c r="FS55" s="29">
        <v>0</v>
      </c>
      <c r="FT55" s="29">
        <v>0</v>
      </c>
      <c r="FU55" s="29">
        <v>0</v>
      </c>
      <c r="FV55" s="29">
        <v>0</v>
      </c>
      <c r="FW55" s="29">
        <v>0</v>
      </c>
      <c r="FX55" s="29">
        <v>0</v>
      </c>
      <c r="FY55" s="29">
        <v>0</v>
      </c>
      <c r="FZ55" s="29">
        <v>0</v>
      </c>
      <c r="GA55" s="29">
        <v>0</v>
      </c>
      <c r="GB55" s="29">
        <v>0</v>
      </c>
      <c r="GC55" s="29">
        <v>0</v>
      </c>
      <c r="GD55" s="29">
        <v>0</v>
      </c>
      <c r="GE55" s="29">
        <v>0</v>
      </c>
      <c r="GF55" s="29">
        <v>0</v>
      </c>
      <c r="GG55" s="29">
        <v>0</v>
      </c>
      <c r="GH55" s="29">
        <v>0</v>
      </c>
      <c r="GI55" s="206">
        <f>SUM(K55:V55)</f>
        <v>0</v>
      </c>
      <c r="GJ55" s="206">
        <f>SUM(T55:AE55)</f>
        <v>100</v>
      </c>
      <c r="GK55" s="206">
        <f>SUM(AF55:AQ55)</f>
        <v>0</v>
      </c>
      <c r="GL55" s="206">
        <f>SUM(AR55:BC55)</f>
        <v>0</v>
      </c>
      <c r="GM55" s="206">
        <f>SUM(BD55:BO55)</f>
        <v>0</v>
      </c>
      <c r="GN55" s="206">
        <f>SUM(BP55:CA55)</f>
        <v>0</v>
      </c>
      <c r="GO55" s="206">
        <f>SUM(CB55:CM55)</f>
        <v>0</v>
      </c>
      <c r="GP55" s="206">
        <f>SUM(CN55:CY55)</f>
        <v>0</v>
      </c>
      <c r="GQ55" s="206">
        <f>SUM(CZ55:DK55)</f>
        <v>0</v>
      </c>
      <c r="GR55" s="206">
        <f>SUM(DL55:DW55)</f>
        <v>0</v>
      </c>
      <c r="GS55" s="206">
        <f>SUM(DX55:EI55)</f>
        <v>0</v>
      </c>
      <c r="GT55" s="206">
        <f>SUM(EJ55:EU55)</f>
        <v>0</v>
      </c>
      <c r="GU55" s="206">
        <f>SUM(EV55:FG55)</f>
        <v>0</v>
      </c>
      <c r="GV55" s="206">
        <f>SUM(FH55:FS55)</f>
        <v>0</v>
      </c>
      <c r="GW55" s="206">
        <f>SUM(FT55:GE55)</f>
        <v>0</v>
      </c>
    </row>
    <row r="56" spans="1:205" ht="14" customHeight="1" x14ac:dyDescent="0.35">
      <c r="A56" s="10" t="s">
        <v>57</v>
      </c>
      <c r="B56" s="11" t="s">
        <v>53</v>
      </c>
      <c r="C56" s="12" t="s">
        <v>52</v>
      </c>
      <c r="D56" s="12" t="s">
        <v>48</v>
      </c>
      <c r="E56" s="21" t="str">
        <f>'Supplier Registry'!N26</f>
        <v>Inactive</v>
      </c>
      <c r="F56" s="21">
        <f>'Supplier Registry'!M26</f>
        <v>0</v>
      </c>
      <c r="G56" s="21">
        <f>'Supplier Registry'!E26</f>
        <v>100</v>
      </c>
      <c r="H56" s="58">
        <f>'Supplier Registry'!P26</f>
        <v>12</v>
      </c>
      <c r="I56" s="74">
        <f>IFERROR(EDATE(Controls!B5,H56),"")</f>
        <v>46478</v>
      </c>
      <c r="J56" s="75">
        <f>IFERROR(EDATE(I56,-'Supplier Registry'!Q26),"")</f>
        <v>46447</v>
      </c>
      <c r="K56" s="29"/>
      <c r="L56" s="29"/>
      <c r="M56" s="29"/>
      <c r="N56" s="29"/>
      <c r="O56" s="29"/>
      <c r="P56" s="29"/>
      <c r="Q56" s="29"/>
      <c r="R56" s="29"/>
      <c r="S56" s="29"/>
      <c r="T56" s="29"/>
      <c r="U56" s="29"/>
      <c r="V56" s="29"/>
      <c r="W56" s="29"/>
      <c r="X56" s="29"/>
      <c r="Y56" s="29"/>
      <c r="Z56" s="29">
        <v>0</v>
      </c>
      <c r="AA56" s="29">
        <v>0</v>
      </c>
      <c r="AB56" s="29">
        <v>0</v>
      </c>
      <c r="AC56" s="29">
        <v>0</v>
      </c>
      <c r="AD56" s="29">
        <v>0</v>
      </c>
      <c r="AE56" s="29">
        <v>0</v>
      </c>
      <c r="AF56" s="29">
        <v>0</v>
      </c>
      <c r="AG56" s="29">
        <v>0</v>
      </c>
      <c r="AH56" s="29">
        <v>0</v>
      </c>
      <c r="AI56" s="29">
        <v>0</v>
      </c>
      <c r="AJ56" s="29">
        <v>0</v>
      </c>
      <c r="AK56" s="29">
        <v>0</v>
      </c>
      <c r="AL56" s="29">
        <v>0</v>
      </c>
      <c r="AM56" s="29">
        <v>0</v>
      </c>
      <c r="AN56" s="29">
        <v>0</v>
      </c>
      <c r="AO56" s="29">
        <v>0</v>
      </c>
      <c r="AP56" s="29">
        <v>0</v>
      </c>
      <c r="AQ56" s="29">
        <v>0</v>
      </c>
      <c r="AR56" s="29">
        <v>0</v>
      </c>
      <c r="AS56" s="29">
        <v>0</v>
      </c>
      <c r="AT56" s="29">
        <v>0</v>
      </c>
      <c r="AU56" s="29">
        <v>0</v>
      </c>
      <c r="AV56" s="29">
        <v>0</v>
      </c>
      <c r="AW56" s="29">
        <v>0</v>
      </c>
      <c r="AX56" s="29">
        <v>0</v>
      </c>
      <c r="AY56" s="29">
        <v>0</v>
      </c>
      <c r="AZ56" s="29">
        <v>0</v>
      </c>
      <c r="BA56" s="29">
        <v>0</v>
      </c>
      <c r="BB56" s="29">
        <v>0</v>
      </c>
      <c r="BC56" s="29">
        <v>0</v>
      </c>
      <c r="BD56" s="29">
        <v>0</v>
      </c>
      <c r="BE56" s="29">
        <v>0</v>
      </c>
      <c r="BF56" s="29">
        <v>0</v>
      </c>
      <c r="BG56" s="29">
        <v>0</v>
      </c>
      <c r="BH56" s="29">
        <v>0</v>
      </c>
      <c r="BI56" s="29">
        <v>0</v>
      </c>
      <c r="BJ56" s="29">
        <v>0</v>
      </c>
      <c r="BK56" s="29">
        <v>0</v>
      </c>
      <c r="BL56" s="29">
        <v>0</v>
      </c>
      <c r="BM56" s="29">
        <v>0</v>
      </c>
      <c r="BN56" s="29">
        <v>0</v>
      </c>
      <c r="BO56" s="29">
        <v>0</v>
      </c>
      <c r="BP56" s="29">
        <v>0</v>
      </c>
      <c r="BQ56" s="29">
        <v>0</v>
      </c>
      <c r="BR56" s="29">
        <v>0</v>
      </c>
      <c r="BS56" s="29">
        <v>0</v>
      </c>
      <c r="BT56" s="29">
        <v>0</v>
      </c>
      <c r="BU56" s="29">
        <v>0</v>
      </c>
      <c r="BV56" s="29">
        <v>0</v>
      </c>
      <c r="BW56" s="29">
        <v>0</v>
      </c>
      <c r="BX56" s="29">
        <v>0</v>
      </c>
      <c r="BY56" s="29">
        <v>0</v>
      </c>
      <c r="BZ56" s="29">
        <v>0</v>
      </c>
      <c r="CA56" s="29">
        <v>0</v>
      </c>
      <c r="CB56" s="29">
        <v>0</v>
      </c>
      <c r="CC56" s="29">
        <v>0</v>
      </c>
      <c r="CD56" s="29">
        <v>0</v>
      </c>
      <c r="CE56" s="29">
        <v>0</v>
      </c>
      <c r="CF56" s="29">
        <v>0</v>
      </c>
      <c r="CG56" s="29">
        <v>0</v>
      </c>
      <c r="CH56" s="29">
        <v>0</v>
      </c>
      <c r="CI56" s="29">
        <v>0</v>
      </c>
      <c r="CJ56" s="29">
        <v>0</v>
      </c>
      <c r="CK56" s="29">
        <v>0</v>
      </c>
      <c r="CL56" s="29">
        <v>0</v>
      </c>
      <c r="CM56" s="29">
        <v>0</v>
      </c>
      <c r="CN56" s="29">
        <v>0</v>
      </c>
      <c r="CO56" s="29">
        <v>0</v>
      </c>
      <c r="CP56" s="29">
        <v>0</v>
      </c>
      <c r="CQ56" s="29">
        <v>0</v>
      </c>
      <c r="CR56" s="29">
        <v>0</v>
      </c>
      <c r="CS56" s="29">
        <v>0</v>
      </c>
      <c r="CT56" s="29">
        <v>0</v>
      </c>
      <c r="CU56" s="29">
        <v>0</v>
      </c>
      <c r="CV56" s="29">
        <v>0</v>
      </c>
      <c r="CW56" s="29">
        <v>0</v>
      </c>
      <c r="CX56" s="29">
        <v>0</v>
      </c>
      <c r="CY56" s="29">
        <v>0</v>
      </c>
      <c r="CZ56" s="29">
        <v>0</v>
      </c>
      <c r="DA56" s="29">
        <v>0</v>
      </c>
      <c r="DB56" s="29">
        <v>0</v>
      </c>
      <c r="DC56" s="29">
        <v>0</v>
      </c>
      <c r="DD56" s="29">
        <v>0</v>
      </c>
      <c r="DE56" s="29">
        <v>0</v>
      </c>
      <c r="DF56" s="29">
        <v>0</v>
      </c>
      <c r="DG56" s="29">
        <v>0</v>
      </c>
      <c r="DH56" s="29">
        <v>0</v>
      </c>
      <c r="DI56" s="29">
        <v>0</v>
      </c>
      <c r="DJ56" s="29">
        <v>0</v>
      </c>
      <c r="DK56" s="29">
        <v>0</v>
      </c>
      <c r="DL56" s="29">
        <v>0</v>
      </c>
      <c r="DM56" s="29">
        <v>0</v>
      </c>
      <c r="DN56" s="29">
        <v>0</v>
      </c>
      <c r="DO56" s="29">
        <v>0</v>
      </c>
      <c r="DP56" s="29">
        <v>0</v>
      </c>
      <c r="DQ56" s="29">
        <v>0</v>
      </c>
      <c r="DR56" s="29">
        <v>0</v>
      </c>
      <c r="DS56" s="29">
        <v>0</v>
      </c>
      <c r="DT56" s="29">
        <v>0</v>
      </c>
      <c r="DU56" s="29">
        <v>0</v>
      </c>
      <c r="DV56" s="29">
        <v>0</v>
      </c>
      <c r="DW56" s="29">
        <v>0</v>
      </c>
      <c r="DX56" s="29">
        <v>0</v>
      </c>
      <c r="DY56" s="29">
        <v>0</v>
      </c>
      <c r="DZ56" s="29">
        <v>0</v>
      </c>
      <c r="EA56" s="29">
        <v>0</v>
      </c>
      <c r="EB56" s="29">
        <v>0</v>
      </c>
      <c r="EC56" s="29">
        <v>0</v>
      </c>
      <c r="ED56" s="29">
        <v>0</v>
      </c>
      <c r="EE56" s="29">
        <v>0</v>
      </c>
      <c r="EF56" s="29">
        <v>0</v>
      </c>
      <c r="EG56" s="29">
        <v>0</v>
      </c>
      <c r="EH56" s="29">
        <v>0</v>
      </c>
      <c r="EI56" s="29">
        <v>0</v>
      </c>
      <c r="EJ56" s="29">
        <v>0</v>
      </c>
      <c r="EK56" s="29">
        <v>0</v>
      </c>
      <c r="EL56" s="29">
        <v>0</v>
      </c>
      <c r="EM56" s="29">
        <v>0</v>
      </c>
      <c r="EN56" s="29">
        <v>0</v>
      </c>
      <c r="EO56" s="29">
        <v>0</v>
      </c>
      <c r="EP56" s="29">
        <v>0</v>
      </c>
      <c r="EQ56" s="29">
        <v>0</v>
      </c>
      <c r="ER56" s="29">
        <v>0</v>
      </c>
      <c r="ES56" s="29">
        <v>0</v>
      </c>
      <c r="ET56" s="29">
        <v>0</v>
      </c>
      <c r="EU56" s="29">
        <v>0</v>
      </c>
      <c r="EV56" s="29">
        <v>0</v>
      </c>
      <c r="EW56" s="29">
        <v>0</v>
      </c>
      <c r="EX56" s="29">
        <v>0</v>
      </c>
      <c r="EY56" s="29">
        <v>0</v>
      </c>
      <c r="EZ56" s="29">
        <v>0</v>
      </c>
      <c r="FA56" s="29">
        <v>0</v>
      </c>
      <c r="FB56" s="29">
        <v>0</v>
      </c>
      <c r="FC56" s="29">
        <v>0</v>
      </c>
      <c r="FD56" s="29">
        <v>0</v>
      </c>
      <c r="FE56" s="29">
        <v>0</v>
      </c>
      <c r="FF56" s="29">
        <v>0</v>
      </c>
      <c r="FG56" s="29">
        <v>0</v>
      </c>
      <c r="FH56" s="29">
        <v>0</v>
      </c>
      <c r="FI56" s="29">
        <v>0</v>
      </c>
      <c r="FJ56" s="29">
        <v>0</v>
      </c>
      <c r="FK56" s="29">
        <v>0</v>
      </c>
      <c r="FL56" s="29">
        <v>0</v>
      </c>
      <c r="FM56" s="29">
        <v>0</v>
      </c>
      <c r="FN56" s="29">
        <v>0</v>
      </c>
      <c r="FO56" s="29">
        <v>0</v>
      </c>
      <c r="FP56" s="29">
        <v>0</v>
      </c>
      <c r="FQ56" s="29">
        <v>0</v>
      </c>
      <c r="FR56" s="29">
        <v>0</v>
      </c>
      <c r="FS56" s="29">
        <v>0</v>
      </c>
      <c r="FT56" s="29">
        <v>0</v>
      </c>
      <c r="FU56" s="29">
        <v>0</v>
      </c>
      <c r="FV56" s="29">
        <v>0</v>
      </c>
      <c r="FW56" s="29">
        <v>0</v>
      </c>
      <c r="FX56" s="29">
        <v>0</v>
      </c>
      <c r="FY56" s="29">
        <v>0</v>
      </c>
      <c r="FZ56" s="29">
        <v>0</v>
      </c>
      <c r="GA56" s="29">
        <v>0</v>
      </c>
      <c r="GB56" s="29">
        <v>0</v>
      </c>
      <c r="GC56" s="29">
        <v>0</v>
      </c>
      <c r="GD56" s="29">
        <v>0</v>
      </c>
      <c r="GE56" s="29">
        <v>0</v>
      </c>
      <c r="GF56" s="29">
        <v>0</v>
      </c>
      <c r="GG56" s="29">
        <v>0</v>
      </c>
      <c r="GH56" s="29">
        <v>0</v>
      </c>
      <c r="GI56" s="206">
        <f>SUM(K56:V56)</f>
        <v>0</v>
      </c>
      <c r="GJ56" s="206">
        <f>SUM(T56:AE56)</f>
        <v>0</v>
      </c>
      <c r="GK56" s="206">
        <f>SUM(AF56:AQ56)</f>
        <v>0</v>
      </c>
      <c r="GL56" s="206">
        <f>SUM(AR56:BC56)</f>
        <v>0</v>
      </c>
      <c r="GM56" s="206">
        <f>SUM(BD56:BO56)</f>
        <v>0</v>
      </c>
      <c r="GN56" s="206">
        <f>SUM(BP56:CA56)</f>
        <v>0</v>
      </c>
      <c r="GO56" s="206">
        <f>SUM(CB56:CM56)</f>
        <v>0</v>
      </c>
      <c r="GP56" s="206">
        <f>SUM(CN56:CY56)</f>
        <v>0</v>
      </c>
      <c r="GQ56" s="206">
        <f>SUM(CZ56:DK56)</f>
        <v>0</v>
      </c>
      <c r="GR56" s="206">
        <f>SUM(DL56:DW56)</f>
        <v>0</v>
      </c>
      <c r="GS56" s="206">
        <f>SUM(DX56:EI56)</f>
        <v>0</v>
      </c>
      <c r="GT56" s="206">
        <f>SUM(EJ56:EU56)</f>
        <v>0</v>
      </c>
      <c r="GU56" s="206">
        <f>SUM(EV56:FG56)</f>
        <v>0</v>
      </c>
      <c r="GV56" s="206">
        <f>SUM(FH56:FS56)</f>
        <v>0</v>
      </c>
      <c r="GW56" s="206">
        <f>SUM(FT56:GE56)</f>
        <v>0</v>
      </c>
    </row>
    <row r="57" spans="1:205" ht="18" customHeight="1" x14ac:dyDescent="0.35">
      <c r="A57" s="26" t="s">
        <v>57</v>
      </c>
      <c r="B57" s="26" t="s">
        <v>390</v>
      </c>
      <c r="C57" s="31"/>
      <c r="D57" s="31"/>
      <c r="E57" s="31"/>
      <c r="F57" s="31"/>
      <c r="G57" s="31"/>
      <c r="K57" s="32">
        <f>IF($E55="Active",K55,0)+IF($E56="Active",K56,0)</f>
        <v>0</v>
      </c>
      <c r="L57" s="32">
        <f>IF($E55="Active",L55,0)+IF($E56="Active",L56,0)</f>
        <v>0</v>
      </c>
      <c r="M57" s="32">
        <f t="shared" ref="M57" si="558">IF($E55="Active",M55,0)+IF($E56="Active",M56,0)</f>
        <v>0</v>
      </c>
      <c r="N57" s="32">
        <f t="shared" ref="N57" si="559">IF($E55="Active",N55,0)+IF($E56="Active",N56,0)</f>
        <v>0</v>
      </c>
      <c r="O57" s="32">
        <f t="shared" ref="O57" si="560">IF($E55="Active",O55,0)+IF($E56="Active",O56,0)</f>
        <v>0</v>
      </c>
      <c r="P57" s="32">
        <f t="shared" ref="P57" si="561">IF($E55="Active",P55,0)+IF($E56="Active",P56,0)</f>
        <v>0</v>
      </c>
      <c r="Q57" s="32">
        <f t="shared" ref="Q57" si="562">IF($E55="Active",Q55,0)+IF($E56="Active",Q56,0)</f>
        <v>0</v>
      </c>
      <c r="R57" s="32">
        <f t="shared" ref="R57" si="563">IF($E55="Active",R55,0)+IF($E56="Active",R56,0)</f>
        <v>0</v>
      </c>
      <c r="S57" s="32">
        <f t="shared" ref="S57" si="564">IF($E55="Active",S55,0)+IF($E56="Active",S56,0)</f>
        <v>0</v>
      </c>
      <c r="T57" s="32">
        <f t="shared" ref="T57" si="565">IF($E55="Active",T55,0)+IF($E56="Active",T56,0)</f>
        <v>0</v>
      </c>
      <c r="U57" s="32">
        <f t="shared" ref="U57" si="566">IF($E55="Active",U55,0)+IF($E56="Active",U56,0)</f>
        <v>0</v>
      </c>
      <c r="V57" s="32">
        <f t="shared" ref="V57" si="567">IF($E55="Active",V55,0)+IF($E56="Active",V56,0)</f>
        <v>0</v>
      </c>
      <c r="W57" s="32">
        <f t="shared" ref="W57" si="568">IF($E55="Active",W55,0)+IF($E56="Active",W56,0)</f>
        <v>100</v>
      </c>
      <c r="X57" s="32">
        <f t="shared" ref="X57" si="569">IF($E55="Active",X55,0)+IF($E56="Active",X56,0)</f>
        <v>0</v>
      </c>
      <c r="Y57" s="32">
        <f t="shared" ref="Y57" si="570">IF($E55="Active",Y55,0)+IF($E56="Active",Y56,0)</f>
        <v>0</v>
      </c>
      <c r="Z57" s="32">
        <f t="shared" ref="Z57" si="571">IF($E55="Active",Z55,0)+IF($E56="Active",Z56,0)</f>
        <v>0</v>
      </c>
      <c r="AA57" s="32">
        <f t="shared" ref="AA57" si="572">IF($E55="Active",AA55,0)+IF($E56="Active",AA56,0)</f>
        <v>0</v>
      </c>
      <c r="AB57" s="32">
        <f t="shared" ref="AB57" si="573">IF($E55="Active",AB55,0)+IF($E56="Active",AB56,0)</f>
        <v>0</v>
      </c>
      <c r="AC57" s="32">
        <f t="shared" ref="AC57" si="574">IF($E55="Active",AC55,0)+IF($E56="Active",AC56,0)</f>
        <v>0</v>
      </c>
      <c r="AD57" s="32">
        <f t="shared" ref="AD57" si="575">IF($E55="Active",AD55,0)+IF($E56="Active",AD56,0)</f>
        <v>0</v>
      </c>
      <c r="AE57" s="32">
        <f t="shared" ref="AE57" si="576">IF($E55="Active",AE55,0)+IF($E56="Active",AE56,0)</f>
        <v>0</v>
      </c>
      <c r="AF57" s="32">
        <f t="shared" ref="AF57" si="577">IF($E55="Active",AF55,0)+IF($E56="Active",AF56,0)</f>
        <v>0</v>
      </c>
      <c r="AG57" s="32">
        <f t="shared" ref="AG57" si="578">IF($E55="Active",AG55,0)+IF($E56="Active",AG56,0)</f>
        <v>0</v>
      </c>
      <c r="AH57" s="32">
        <f t="shared" ref="AH57" si="579">IF($E55="Active",AH55,0)+IF($E56="Active",AH56,0)</f>
        <v>0</v>
      </c>
      <c r="AI57" s="32">
        <f t="shared" ref="AI57" si="580">IF($E55="Active",AI55,0)+IF($E56="Active",AI56,0)</f>
        <v>0</v>
      </c>
      <c r="AJ57" s="32">
        <f t="shared" ref="AJ57" si="581">IF($E55="Active",AJ55,0)+IF($E56="Active",AJ56,0)</f>
        <v>0</v>
      </c>
      <c r="AK57" s="32">
        <f t="shared" ref="AK57" si="582">IF($E55="Active",AK55,0)+IF($E56="Active",AK56,0)</f>
        <v>0</v>
      </c>
      <c r="AL57" s="32">
        <f t="shared" ref="AL57" si="583">IF($E55="Active",AL55,0)+IF($E56="Active",AL56,0)</f>
        <v>0</v>
      </c>
      <c r="AM57" s="32">
        <f t="shared" ref="AM57" si="584">IF($E55="Active",AM55,0)+IF($E56="Active",AM56,0)</f>
        <v>0</v>
      </c>
      <c r="AN57" s="32">
        <f t="shared" ref="AN57" si="585">IF($E55="Active",AN55,0)+IF($E56="Active",AN56,0)</f>
        <v>0</v>
      </c>
      <c r="AO57" s="32">
        <f t="shared" ref="AO57" si="586">IF($E55="Active",AO55,0)+IF($E56="Active",AO56,0)</f>
        <v>0</v>
      </c>
      <c r="AP57" s="32">
        <f t="shared" ref="AP57" si="587">IF($E55="Active",AP55,0)+IF($E56="Active",AP56,0)</f>
        <v>0</v>
      </c>
      <c r="AQ57" s="32">
        <f t="shared" ref="AQ57" si="588">IF($E55="Active",AQ55,0)+IF($E56="Active",AQ56,0)</f>
        <v>0</v>
      </c>
      <c r="AR57" s="32">
        <f t="shared" ref="AR57" si="589">IF($E55="Active",AR55,0)+IF($E56="Active",AR56,0)</f>
        <v>0</v>
      </c>
      <c r="AS57" s="32">
        <f t="shared" ref="AS57" si="590">IF($E55="Active",AS55,0)+IF($E56="Active",AS56,0)</f>
        <v>0</v>
      </c>
      <c r="AT57" s="32">
        <f t="shared" ref="AT57" si="591">IF($E55="Active",AT55,0)+IF($E56="Active",AT56,0)</f>
        <v>0</v>
      </c>
      <c r="AU57" s="32">
        <f t="shared" ref="AU57" si="592">IF($E55="Active",AU55,0)+IF($E56="Active",AU56,0)</f>
        <v>0</v>
      </c>
      <c r="AV57" s="32">
        <f t="shared" ref="AV57" si="593">IF($E55="Active",AV55,0)+IF($E56="Active",AV56,0)</f>
        <v>0</v>
      </c>
      <c r="AW57" s="32">
        <f t="shared" ref="AW57" si="594">IF($E55="Active",AW55,0)+IF($E56="Active",AW56,0)</f>
        <v>0</v>
      </c>
      <c r="AX57" s="32">
        <f t="shared" ref="AX57" si="595">IF($E55="Active",AX55,0)+IF($E56="Active",AX56,0)</f>
        <v>0</v>
      </c>
      <c r="AY57" s="32">
        <f t="shared" ref="AY57" si="596">IF($E55="Active",AY55,0)+IF($E56="Active",AY56,0)</f>
        <v>0</v>
      </c>
      <c r="AZ57" s="32">
        <f t="shared" ref="AZ57" si="597">IF($E55="Active",AZ55,0)+IF($E56="Active",AZ56,0)</f>
        <v>0</v>
      </c>
      <c r="BA57" s="32">
        <f t="shared" ref="BA57" si="598">IF($E55="Active",BA55,0)+IF($E56="Active",BA56,0)</f>
        <v>0</v>
      </c>
      <c r="BB57" s="32">
        <f t="shared" ref="BB57" si="599">IF($E55="Active",BB55,0)+IF($E56="Active",BB56,0)</f>
        <v>0</v>
      </c>
      <c r="BC57" s="32">
        <f t="shared" ref="BC57" si="600">IF($E55="Active",BC55,0)+IF($E56="Active",BC56,0)</f>
        <v>0</v>
      </c>
      <c r="BD57" s="32">
        <f t="shared" ref="BD57" si="601">IF($E55="Active",BD55,0)+IF($E56="Active",BD56,0)</f>
        <v>0</v>
      </c>
      <c r="BE57" s="32">
        <f t="shared" ref="BE57" si="602">IF($E55="Active",BE55,0)+IF($E56="Active",BE56,0)</f>
        <v>0</v>
      </c>
      <c r="BF57" s="32">
        <f t="shared" ref="BF57" si="603">IF($E55="Active",BF55,0)+IF($E56="Active",BF56,0)</f>
        <v>0</v>
      </c>
      <c r="BG57" s="32">
        <f t="shared" ref="BG57" si="604">IF($E55="Active",BG55,0)+IF($E56="Active",BG56,0)</f>
        <v>0</v>
      </c>
      <c r="BH57" s="32">
        <f t="shared" ref="BH57" si="605">IF($E55="Active",BH55,0)+IF($E56="Active",BH56,0)</f>
        <v>0</v>
      </c>
      <c r="BI57" s="32">
        <f t="shared" ref="BI57" si="606">IF($E55="Active",BI55,0)+IF($E56="Active",BI56,0)</f>
        <v>0</v>
      </c>
      <c r="BJ57" s="32">
        <f t="shared" ref="BJ57" si="607">IF($E55="Active",BJ55,0)+IF($E56="Active",BJ56,0)</f>
        <v>0</v>
      </c>
      <c r="BK57" s="32">
        <f t="shared" ref="BK57" si="608">IF($E55="Active",BK55,0)+IF($E56="Active",BK56,0)</f>
        <v>0</v>
      </c>
      <c r="BL57" s="32">
        <f t="shared" ref="BL57" si="609">IF($E55="Active",BL55,0)+IF($E56="Active",BL56,0)</f>
        <v>0</v>
      </c>
      <c r="BM57" s="32">
        <f t="shared" ref="BM57" si="610">IF($E55="Active",BM55,0)+IF($E56="Active",BM56,0)</f>
        <v>0</v>
      </c>
      <c r="BN57" s="32">
        <f t="shared" ref="BN57" si="611">IF($E55="Active",BN55,0)+IF($E56="Active",BN56,0)</f>
        <v>0</v>
      </c>
      <c r="BO57" s="32">
        <f t="shared" ref="BO57" si="612">IF($E55="Active",BO55,0)+IF($E56="Active",BO56,0)</f>
        <v>0</v>
      </c>
      <c r="BP57" s="32">
        <f t="shared" ref="BP57" si="613">IF($E55="Active",BP55,0)+IF($E56="Active",BP56,0)</f>
        <v>0</v>
      </c>
      <c r="BQ57" s="32">
        <f t="shared" ref="BQ57" si="614">IF($E55="Active",BQ55,0)+IF($E56="Active",BQ56,0)</f>
        <v>0</v>
      </c>
      <c r="BR57" s="32">
        <f t="shared" ref="BR57" si="615">IF($E55="Active",BR55,0)+IF($E56="Active",BR56,0)</f>
        <v>0</v>
      </c>
      <c r="BS57" s="32">
        <f t="shared" ref="BS57" si="616">IF($E55="Active",BS55,0)+IF($E56="Active",BS56,0)</f>
        <v>0</v>
      </c>
      <c r="BT57" s="32">
        <f t="shared" ref="BT57" si="617">IF($E55="Active",BT55,0)+IF($E56="Active",BT56,0)</f>
        <v>0</v>
      </c>
      <c r="BU57" s="32">
        <f t="shared" ref="BU57" si="618">IF($E55="Active",BU55,0)+IF($E56="Active",BU56,0)</f>
        <v>0</v>
      </c>
      <c r="BV57" s="32">
        <f t="shared" ref="BV57" si="619">IF($E55="Active",BV55,0)+IF($E56="Active",BV56,0)</f>
        <v>0</v>
      </c>
      <c r="BW57" s="32">
        <f t="shared" ref="BW57" si="620">IF($E55="Active",BW55,0)+IF($E56="Active",BW56,0)</f>
        <v>0</v>
      </c>
      <c r="BX57" s="32">
        <f t="shared" ref="BX57" si="621">IF($E55="Active",BX55,0)+IF($E56="Active",BX56,0)</f>
        <v>0</v>
      </c>
      <c r="BY57" s="32">
        <f t="shared" ref="BY57" si="622">IF($E55="Active",BY55,0)+IF($E56="Active",BY56,0)</f>
        <v>0</v>
      </c>
      <c r="BZ57" s="32">
        <f t="shared" ref="BZ57" si="623">IF($E55="Active",BZ55,0)+IF($E56="Active",BZ56,0)</f>
        <v>0</v>
      </c>
      <c r="CA57" s="32">
        <f t="shared" ref="CA57" si="624">IF($E55="Active",CA55,0)+IF($E56="Active",CA56,0)</f>
        <v>0</v>
      </c>
      <c r="CB57" s="32">
        <f t="shared" ref="CB57" si="625">IF($E55="Active",CB55,0)+IF($E56="Active",CB56,0)</f>
        <v>0</v>
      </c>
      <c r="CC57" s="32">
        <f t="shared" ref="CC57" si="626">IF($E55="Active",CC55,0)+IF($E56="Active",CC56,0)</f>
        <v>0</v>
      </c>
      <c r="CD57" s="32">
        <f t="shared" ref="CD57" si="627">IF($E55="Active",CD55,0)+IF($E56="Active",CD56,0)</f>
        <v>0</v>
      </c>
      <c r="CE57" s="32">
        <f t="shared" ref="CE57" si="628">IF($E55="Active",CE55,0)+IF($E56="Active",CE56,0)</f>
        <v>0</v>
      </c>
      <c r="CF57" s="32">
        <f t="shared" ref="CF57" si="629">IF($E55="Active",CF55,0)+IF($E56="Active",CF56,0)</f>
        <v>0</v>
      </c>
      <c r="CG57" s="32">
        <f t="shared" ref="CG57" si="630">IF($E55="Active",CG55,0)+IF($E56="Active",CG56,0)</f>
        <v>0</v>
      </c>
      <c r="CH57" s="32">
        <f t="shared" ref="CH57" si="631">IF($E55="Active",CH55,0)+IF($E56="Active",CH56,0)</f>
        <v>0</v>
      </c>
      <c r="CI57" s="32">
        <f t="shared" ref="CI57" si="632">IF($E55="Active",CI55,0)+IF($E56="Active",CI56,0)</f>
        <v>0</v>
      </c>
      <c r="CJ57" s="32">
        <f t="shared" ref="CJ57" si="633">IF($E55="Active",CJ55,0)+IF($E56="Active",CJ56,0)</f>
        <v>0</v>
      </c>
      <c r="CK57" s="32">
        <f t="shared" ref="CK57" si="634">IF($E55="Active",CK55,0)+IF($E56="Active",CK56,0)</f>
        <v>0</v>
      </c>
      <c r="CL57" s="32">
        <f t="shared" ref="CL57" si="635">IF($E55="Active",CL55,0)+IF($E56="Active",CL56,0)</f>
        <v>0</v>
      </c>
      <c r="CM57" s="32">
        <f t="shared" ref="CM57" si="636">IF($E55="Active",CM55,0)+IF($E56="Active",CM56,0)</f>
        <v>0</v>
      </c>
      <c r="CN57" s="32">
        <f t="shared" ref="CN57" si="637">IF($E55="Active",CN55,0)+IF($E56="Active",CN56,0)</f>
        <v>0</v>
      </c>
      <c r="CO57" s="32">
        <f t="shared" ref="CO57" si="638">IF($E55="Active",CO55,0)+IF($E56="Active",CO56,0)</f>
        <v>0</v>
      </c>
      <c r="CP57" s="32">
        <f t="shared" ref="CP57" si="639">IF($E55="Active",CP55,0)+IF($E56="Active",CP56,0)</f>
        <v>0</v>
      </c>
      <c r="CQ57" s="32">
        <f t="shared" ref="CQ57" si="640">IF($E55="Active",CQ55,0)+IF($E56="Active",CQ56,0)</f>
        <v>0</v>
      </c>
      <c r="CR57" s="32">
        <f t="shared" ref="CR57" si="641">IF($E55="Active",CR55,0)+IF($E56="Active",CR56,0)</f>
        <v>0</v>
      </c>
      <c r="CS57" s="32">
        <f t="shared" ref="CS57" si="642">IF($E55="Active",CS55,0)+IF($E56="Active",CS56,0)</f>
        <v>0</v>
      </c>
      <c r="CT57" s="32">
        <f t="shared" ref="CT57" si="643">IF($E55="Active",CT55,0)+IF($E56="Active",CT56,0)</f>
        <v>0</v>
      </c>
      <c r="CU57" s="32">
        <f t="shared" ref="CU57" si="644">IF($E55="Active",CU55,0)+IF($E56="Active",CU56,0)</f>
        <v>0</v>
      </c>
      <c r="CV57" s="32">
        <f t="shared" ref="CV57" si="645">IF($E55="Active",CV55,0)+IF($E56="Active",CV56,0)</f>
        <v>0</v>
      </c>
      <c r="CW57" s="32">
        <f t="shared" ref="CW57" si="646">IF($E55="Active",CW55,0)+IF($E56="Active",CW56,0)</f>
        <v>0</v>
      </c>
      <c r="CX57" s="32">
        <f t="shared" ref="CX57" si="647">IF($E55="Active",CX55,0)+IF($E56="Active",CX56,0)</f>
        <v>0</v>
      </c>
      <c r="CY57" s="32">
        <f t="shared" ref="CY57" si="648">IF($E55="Active",CY55,0)+IF($E56="Active",CY56,0)</f>
        <v>0</v>
      </c>
      <c r="CZ57" s="32">
        <f t="shared" ref="CZ57" si="649">IF($E55="Active",CZ55,0)+IF($E56="Active",CZ56,0)</f>
        <v>0</v>
      </c>
      <c r="DA57" s="32">
        <f t="shared" ref="DA57" si="650">IF($E55="Active",DA55,0)+IF($E56="Active",DA56,0)</f>
        <v>0</v>
      </c>
      <c r="DB57" s="32">
        <f t="shared" ref="DB57" si="651">IF($E55="Active",DB55,0)+IF($E56="Active",DB56,0)</f>
        <v>0</v>
      </c>
      <c r="DC57" s="32">
        <f t="shared" ref="DC57" si="652">IF($E55="Active",DC55,0)+IF($E56="Active",DC56,0)</f>
        <v>0</v>
      </c>
      <c r="DD57" s="32">
        <f t="shared" ref="DD57" si="653">IF($E55="Active",DD55,0)+IF($E56="Active",DD56,0)</f>
        <v>0</v>
      </c>
      <c r="DE57" s="32">
        <f t="shared" ref="DE57" si="654">IF($E55="Active",DE55,0)+IF($E56="Active",DE56,0)</f>
        <v>0</v>
      </c>
      <c r="DF57" s="32">
        <f t="shared" ref="DF57" si="655">IF($E55="Active",DF55,0)+IF($E56="Active",DF56,0)</f>
        <v>0</v>
      </c>
      <c r="DG57" s="32">
        <f t="shared" ref="DG57" si="656">IF($E55="Active",DG55,0)+IF($E56="Active",DG56,0)</f>
        <v>0</v>
      </c>
      <c r="DH57" s="32">
        <f t="shared" ref="DH57" si="657">IF($E55="Active",DH55,0)+IF($E56="Active",DH56,0)</f>
        <v>0</v>
      </c>
      <c r="DI57" s="32">
        <f t="shared" ref="DI57" si="658">IF($E55="Active",DI55,0)+IF($E56="Active",DI56,0)</f>
        <v>0</v>
      </c>
      <c r="DJ57" s="32">
        <f t="shared" ref="DJ57" si="659">IF($E55="Active",DJ55,0)+IF($E56="Active",DJ56,0)</f>
        <v>0</v>
      </c>
      <c r="DK57" s="32">
        <f t="shared" ref="DK57" si="660">IF($E55="Active",DK55,0)+IF($E56="Active",DK56,0)</f>
        <v>0</v>
      </c>
      <c r="DL57" s="32">
        <f t="shared" ref="DL57" si="661">IF($E55="Active",DL55,0)+IF($E56="Active",DL56,0)</f>
        <v>0</v>
      </c>
      <c r="DM57" s="32">
        <f t="shared" ref="DM57" si="662">IF($E55="Active",DM55,0)+IF($E56="Active",DM56,0)</f>
        <v>0</v>
      </c>
      <c r="DN57" s="32">
        <f t="shared" ref="DN57" si="663">IF($E55="Active",DN55,0)+IF($E56="Active",DN56,0)</f>
        <v>0</v>
      </c>
      <c r="DO57" s="32">
        <f t="shared" ref="DO57" si="664">IF($E55="Active",DO55,0)+IF($E56="Active",DO56,0)</f>
        <v>0</v>
      </c>
      <c r="DP57" s="32">
        <f t="shared" ref="DP57" si="665">IF($E55="Active",DP55,0)+IF($E56="Active",DP56,0)</f>
        <v>0</v>
      </c>
      <c r="DQ57" s="32">
        <f t="shared" ref="DQ57" si="666">IF($E55="Active",DQ55,0)+IF($E56="Active",DQ56,0)</f>
        <v>0</v>
      </c>
      <c r="DR57" s="32">
        <f t="shared" ref="DR57" si="667">IF($E55="Active",DR55,0)+IF($E56="Active",DR56,0)</f>
        <v>0</v>
      </c>
      <c r="DS57" s="32">
        <f t="shared" ref="DS57" si="668">IF($E55="Active",DS55,0)+IF($E56="Active",DS56,0)</f>
        <v>0</v>
      </c>
      <c r="DT57" s="32">
        <f t="shared" ref="DT57" si="669">IF($E55="Active",DT55,0)+IF($E56="Active",DT56,0)</f>
        <v>0</v>
      </c>
      <c r="DU57" s="32">
        <f t="shared" ref="DU57" si="670">IF($E55="Active",DU55,0)+IF($E56="Active",DU56,0)</f>
        <v>0</v>
      </c>
      <c r="DV57" s="32">
        <f t="shared" ref="DV57" si="671">IF($E55="Active",DV55,0)+IF($E56="Active",DV56,0)</f>
        <v>0</v>
      </c>
      <c r="DW57" s="32">
        <f t="shared" ref="DW57" si="672">IF($E55="Active",DW55,0)+IF($E56="Active",DW56,0)</f>
        <v>0</v>
      </c>
      <c r="DX57" s="32">
        <f t="shared" ref="DX57" si="673">IF($E55="Active",DX55,0)+IF($E56="Active",DX56,0)</f>
        <v>0</v>
      </c>
      <c r="DY57" s="32">
        <f t="shared" ref="DY57" si="674">IF($E55="Active",DY55,0)+IF($E56="Active",DY56,0)</f>
        <v>0</v>
      </c>
      <c r="DZ57" s="32">
        <f t="shared" ref="DZ57" si="675">IF($E55="Active",DZ55,0)+IF($E56="Active",DZ56,0)</f>
        <v>0</v>
      </c>
      <c r="EA57" s="32">
        <f t="shared" ref="EA57" si="676">IF($E55="Active",EA55,0)+IF($E56="Active",EA56,0)</f>
        <v>0</v>
      </c>
      <c r="EB57" s="32">
        <f t="shared" ref="EB57" si="677">IF($E55="Active",EB55,0)+IF($E56="Active",EB56,0)</f>
        <v>0</v>
      </c>
      <c r="EC57" s="32">
        <f t="shared" ref="EC57" si="678">IF($E55="Active",EC55,0)+IF($E56="Active",EC56,0)</f>
        <v>0</v>
      </c>
      <c r="ED57" s="32">
        <f t="shared" ref="ED57" si="679">IF($E55="Active",ED55,0)+IF($E56="Active",ED56,0)</f>
        <v>0</v>
      </c>
      <c r="EE57" s="32">
        <f t="shared" ref="EE57" si="680">IF($E55="Active",EE55,0)+IF($E56="Active",EE56,0)</f>
        <v>0</v>
      </c>
      <c r="EF57" s="32">
        <f t="shared" ref="EF57" si="681">IF($E55="Active",EF55,0)+IF($E56="Active",EF56,0)</f>
        <v>0</v>
      </c>
      <c r="EG57" s="32">
        <f t="shared" ref="EG57" si="682">IF($E55="Active",EG55,0)+IF($E56="Active",EG56,0)</f>
        <v>0</v>
      </c>
      <c r="EH57" s="32">
        <f t="shared" ref="EH57" si="683">IF($E55="Active",EH55,0)+IF($E56="Active",EH56,0)</f>
        <v>0</v>
      </c>
      <c r="EI57" s="32">
        <f t="shared" ref="EI57" si="684">IF($E55="Active",EI55,0)+IF($E56="Active",EI56,0)</f>
        <v>0</v>
      </c>
      <c r="EJ57" s="32">
        <f t="shared" ref="EJ57" si="685">IF($E55="Active",EJ55,0)+IF($E56="Active",EJ56,0)</f>
        <v>0</v>
      </c>
      <c r="EK57" s="32">
        <f t="shared" ref="EK57" si="686">IF($E55="Active",EK55,0)+IF($E56="Active",EK56,0)</f>
        <v>0</v>
      </c>
      <c r="EL57" s="32">
        <f t="shared" ref="EL57" si="687">IF($E55="Active",EL55,0)+IF($E56="Active",EL56,0)</f>
        <v>0</v>
      </c>
      <c r="EM57" s="32">
        <f t="shared" ref="EM57" si="688">IF($E55="Active",EM55,0)+IF($E56="Active",EM56,0)</f>
        <v>0</v>
      </c>
      <c r="EN57" s="32">
        <f t="shared" ref="EN57" si="689">IF($E55="Active",EN55,0)+IF($E56="Active",EN56,0)</f>
        <v>0</v>
      </c>
      <c r="EO57" s="32">
        <f t="shared" ref="EO57" si="690">IF($E55="Active",EO55,0)+IF($E56="Active",EO56,0)</f>
        <v>0</v>
      </c>
      <c r="EP57" s="32">
        <f t="shared" ref="EP57" si="691">IF($E55="Active",EP55,0)+IF($E56="Active",EP56,0)</f>
        <v>0</v>
      </c>
      <c r="EQ57" s="32">
        <f t="shared" ref="EQ57" si="692">IF($E55="Active",EQ55,0)+IF($E56="Active",EQ56,0)</f>
        <v>0</v>
      </c>
      <c r="ER57" s="32">
        <f t="shared" ref="ER57" si="693">IF($E55="Active",ER55,0)+IF($E56="Active",ER56,0)</f>
        <v>0</v>
      </c>
      <c r="ES57" s="32">
        <f t="shared" ref="ES57" si="694">IF($E55="Active",ES55,0)+IF($E56="Active",ES56,0)</f>
        <v>0</v>
      </c>
      <c r="ET57" s="32">
        <f t="shared" ref="ET57" si="695">IF($E55="Active",ET55,0)+IF($E56="Active",ET56,0)</f>
        <v>0</v>
      </c>
      <c r="EU57" s="32">
        <f t="shared" ref="EU57" si="696">IF($E55="Active",EU55,0)+IF($E56="Active",EU56,0)</f>
        <v>0</v>
      </c>
      <c r="EV57" s="32">
        <f t="shared" ref="EV57" si="697">IF($E55="Active",EV55,0)+IF($E56="Active",EV56,0)</f>
        <v>0</v>
      </c>
      <c r="EW57" s="32">
        <f t="shared" ref="EW57" si="698">IF($E55="Active",EW55,0)+IF($E56="Active",EW56,0)</f>
        <v>0</v>
      </c>
      <c r="EX57" s="32">
        <f t="shared" ref="EX57" si="699">IF($E55="Active",EX55,0)+IF($E56="Active",EX56,0)</f>
        <v>0</v>
      </c>
      <c r="EY57" s="32">
        <f t="shared" ref="EY57" si="700">IF($E55="Active",EY55,0)+IF($E56="Active",EY56,0)</f>
        <v>0</v>
      </c>
      <c r="EZ57" s="32">
        <f t="shared" ref="EZ57" si="701">IF($E55="Active",EZ55,0)+IF($E56="Active",EZ56,0)</f>
        <v>0</v>
      </c>
      <c r="FA57" s="32">
        <f t="shared" ref="FA57" si="702">IF($E55="Active",FA55,0)+IF($E56="Active",FA56,0)</f>
        <v>0</v>
      </c>
      <c r="FB57" s="32">
        <f t="shared" ref="FB57" si="703">IF($E55="Active",FB55,0)+IF($E56="Active",FB56,0)</f>
        <v>0</v>
      </c>
      <c r="FC57" s="32">
        <f t="shared" ref="FC57" si="704">IF($E55="Active",FC55,0)+IF($E56="Active",FC56,0)</f>
        <v>0</v>
      </c>
      <c r="FD57" s="32">
        <f t="shared" ref="FD57" si="705">IF($E55="Active",FD55,0)+IF($E56="Active",FD56,0)</f>
        <v>0</v>
      </c>
      <c r="FE57" s="32">
        <f t="shared" ref="FE57" si="706">IF($E55="Active",FE55,0)+IF($E56="Active",FE56,0)</f>
        <v>0</v>
      </c>
      <c r="FF57" s="32">
        <f t="shared" ref="FF57" si="707">IF($E55="Active",FF55,0)+IF($E56="Active",FF56,0)</f>
        <v>0</v>
      </c>
      <c r="FG57" s="32">
        <f t="shared" ref="FG57" si="708">IF($E55="Active",FG55,0)+IF($E56="Active",FG56,0)</f>
        <v>0</v>
      </c>
      <c r="FH57" s="32">
        <f t="shared" ref="FH57" si="709">IF($E55="Active",FH55,0)+IF($E56="Active",FH56,0)</f>
        <v>0</v>
      </c>
      <c r="FI57" s="32">
        <f t="shared" ref="FI57" si="710">IF($E55="Active",FI55,0)+IF($E56="Active",FI56,0)</f>
        <v>0</v>
      </c>
      <c r="FJ57" s="32">
        <f t="shared" ref="FJ57" si="711">IF($E55="Active",FJ55,0)+IF($E56="Active",FJ56,0)</f>
        <v>0</v>
      </c>
      <c r="FK57" s="32">
        <f t="shared" ref="FK57" si="712">IF($E55="Active",FK55,0)+IF($E56="Active",FK56,0)</f>
        <v>0</v>
      </c>
      <c r="FL57" s="32">
        <f t="shared" ref="FL57" si="713">IF($E55="Active",FL55,0)+IF($E56="Active",FL56,0)</f>
        <v>0</v>
      </c>
      <c r="FM57" s="32">
        <f t="shared" ref="FM57" si="714">IF($E55="Active",FM55,0)+IF($E56="Active",FM56,0)</f>
        <v>0</v>
      </c>
      <c r="FN57" s="32">
        <f t="shared" ref="FN57" si="715">IF($E55="Active",FN55,0)+IF($E56="Active",FN56,0)</f>
        <v>0</v>
      </c>
      <c r="FO57" s="32">
        <f t="shared" ref="FO57" si="716">IF($E55="Active",FO55,0)+IF($E56="Active",FO56,0)</f>
        <v>0</v>
      </c>
      <c r="FP57" s="32">
        <f t="shared" ref="FP57" si="717">IF($E55="Active",FP55,0)+IF($E56="Active",FP56,0)</f>
        <v>0</v>
      </c>
      <c r="FQ57" s="32">
        <f t="shared" ref="FQ57" si="718">IF($E55="Active",FQ55,0)+IF($E56="Active",FQ56,0)</f>
        <v>0</v>
      </c>
      <c r="FR57" s="32">
        <f t="shared" ref="FR57" si="719">IF($E55="Active",FR55,0)+IF($E56="Active",FR56,0)</f>
        <v>0</v>
      </c>
      <c r="FS57" s="32">
        <f t="shared" ref="FS57" si="720">IF($E55="Active",FS55,0)+IF($E56="Active",FS56,0)</f>
        <v>0</v>
      </c>
      <c r="FT57" s="32">
        <f t="shared" ref="FT57" si="721">IF($E55="Active",FT55,0)+IF($E56="Active",FT56,0)</f>
        <v>0</v>
      </c>
      <c r="FU57" s="32">
        <f t="shared" ref="FU57" si="722">IF($E55="Active",FU55,0)+IF($E56="Active",FU56,0)</f>
        <v>0</v>
      </c>
      <c r="FV57" s="32">
        <f t="shared" ref="FV57" si="723">IF($E55="Active",FV55,0)+IF($E56="Active",FV56,0)</f>
        <v>0</v>
      </c>
      <c r="FW57" s="32">
        <f t="shared" ref="FW57" si="724">IF($E55="Active",FW55,0)+IF($E56="Active",FW56,0)</f>
        <v>0</v>
      </c>
      <c r="FX57" s="32">
        <f t="shared" ref="FX57" si="725">IF($E55="Active",FX55,0)+IF($E56="Active",FX56,0)</f>
        <v>0</v>
      </c>
      <c r="FY57" s="32">
        <f t="shared" ref="FY57" si="726">IF($E55="Active",FY55,0)+IF($E56="Active",FY56,0)</f>
        <v>0</v>
      </c>
      <c r="FZ57" s="32">
        <f t="shared" ref="FZ57" si="727">IF($E55="Active",FZ55,0)+IF($E56="Active",FZ56,0)</f>
        <v>0</v>
      </c>
      <c r="GA57" s="32">
        <f t="shared" ref="GA57" si="728">IF($E55="Active",GA55,0)+IF($E56="Active",GA56,0)</f>
        <v>0</v>
      </c>
      <c r="GB57" s="32">
        <f t="shared" ref="GB57" si="729">IF($E55="Active",GB55,0)+IF($E56="Active",GB56,0)</f>
        <v>0</v>
      </c>
      <c r="GC57" s="32">
        <f t="shared" ref="GC57" si="730">IF($E55="Active",GC55,0)+IF($E56="Active",GC56,0)</f>
        <v>0</v>
      </c>
      <c r="GD57" s="32">
        <f t="shared" ref="GD57" si="731">IF($E55="Active",GD55,0)+IF($E56="Active",GD56,0)</f>
        <v>0</v>
      </c>
      <c r="GE57" s="32">
        <f t="shared" ref="GE57" si="732">IF($E55="Active",GE55,0)+IF($E56="Active",GE56,0)</f>
        <v>0</v>
      </c>
      <c r="GF57" s="32">
        <f t="shared" ref="GF57" si="733">IF($E55="Active",GF55,0)+IF($E56="Active",GF56,0)</f>
        <v>0</v>
      </c>
      <c r="GG57" s="32">
        <f t="shared" ref="GG57" si="734">IF($E55="Active",GG55,0)+IF($E56="Active",GG56,0)</f>
        <v>0</v>
      </c>
      <c r="GH57" s="32">
        <f t="shared" ref="GH57" si="735">IF($E55="Active",GH55,0)+IF($E56="Active",GH56,0)</f>
        <v>0</v>
      </c>
      <c r="GI57" s="32">
        <f>IF(E55="Active",GF55,0)+IF(E56="Active",GF56,0)</f>
        <v>0</v>
      </c>
      <c r="GJ57" s="32">
        <f>IF(E55="Active",GG55,0)+IF(E56="Active",GG56,0)</f>
        <v>0</v>
      </c>
      <c r="GK57" s="32">
        <f>IF(E55="Active",GH55,0)+IF(E56="Active",GH56,0)</f>
        <v>0</v>
      </c>
      <c r="GL57" s="32">
        <f>IF(E55="Active",GI55,0)+IF(E56="Active",GI56,0)</f>
        <v>0</v>
      </c>
      <c r="GM57" s="32">
        <f>IF(E55="Active",GJ55,0)+IF(E56="Active",GJ56,0)</f>
        <v>100</v>
      </c>
      <c r="GN57" s="32">
        <f>IF(E55="Active",GK55,0)+IF(E56="Active",GK56,0)</f>
        <v>0</v>
      </c>
      <c r="GO57" s="32">
        <f>IF(E55="Active",GL55,0)+IF(E56="Active",GL56,0)</f>
        <v>0</v>
      </c>
      <c r="GP57" s="32">
        <f>IF(E55="Active",GM55,0)+IF(E56="Active",GM56,0)</f>
        <v>0</v>
      </c>
      <c r="GQ57" s="32">
        <f>IF(E55="Active",GN55,0)+IF(E56="Active",GN56,0)</f>
        <v>0</v>
      </c>
      <c r="GR57" s="32">
        <f>IF(E55="Active",GO55,0)+IF(E56="Active",GO56,0)</f>
        <v>0</v>
      </c>
      <c r="GS57" s="32">
        <f>IF(E55="Active",GP55,0)+IF(E56="Active",GP56,0)</f>
        <v>0</v>
      </c>
      <c r="GT57" s="32">
        <f>IF(E55="Active",GQ55,0)+IF(E56="Active",GQ56,0)</f>
        <v>0</v>
      </c>
      <c r="GU57" s="32">
        <f>IF(E55="Active",GR55,0)+IF(E56="Active",GR56,0)</f>
        <v>0</v>
      </c>
      <c r="GV57" s="32">
        <f>IF(E55="Active",GS55,0)+IF(E56="Active",GS56,0)</f>
        <v>0</v>
      </c>
      <c r="GW57" s="32">
        <f>IF(E55="Active",GT55,0)+IF(E56="Active",GT56,0)</f>
        <v>0</v>
      </c>
    </row>
    <row r="59" spans="1:205" ht="22" customHeight="1" x14ac:dyDescent="0.35">
      <c r="A59" s="392" t="s">
        <v>398</v>
      </c>
      <c r="B59" s="393"/>
      <c r="C59" s="393"/>
      <c r="D59" s="393"/>
      <c r="E59" s="393"/>
      <c r="F59" s="393"/>
      <c r="G59" s="393"/>
      <c r="H59" s="393"/>
      <c r="I59" s="393"/>
      <c r="J59" s="393"/>
      <c r="K59" s="393"/>
      <c r="L59" s="393"/>
      <c r="M59" s="393"/>
      <c r="N59" s="393"/>
      <c r="O59" s="393"/>
      <c r="P59" s="393"/>
      <c r="Q59" s="393"/>
      <c r="R59" s="393"/>
      <c r="S59" s="393"/>
      <c r="T59" s="393"/>
      <c r="U59" s="393"/>
      <c r="V59" s="393"/>
      <c r="W59" s="393"/>
      <c r="X59" s="393"/>
      <c r="Y59" s="393"/>
      <c r="Z59" s="393"/>
      <c r="AA59" s="393"/>
      <c r="AB59" s="393"/>
      <c r="AC59" s="393"/>
      <c r="AD59" s="393"/>
      <c r="AE59" s="393"/>
      <c r="AF59" s="393"/>
      <c r="AG59" s="393"/>
      <c r="AH59" s="393"/>
      <c r="AI59" s="393"/>
      <c r="AJ59" s="393"/>
      <c r="AK59" s="393"/>
      <c r="AL59" s="393"/>
      <c r="AM59" s="393"/>
      <c r="AN59" s="393"/>
      <c r="AO59" s="393"/>
      <c r="AP59" s="393"/>
      <c r="AQ59" s="393"/>
      <c r="AR59" s="393"/>
      <c r="AS59" s="393"/>
      <c r="AT59" s="393"/>
      <c r="AU59" s="393"/>
      <c r="AV59" s="393"/>
      <c r="AW59" s="393"/>
      <c r="AX59" s="393"/>
      <c r="AY59" s="393"/>
      <c r="AZ59" s="393"/>
      <c r="BA59" s="393"/>
      <c r="BB59" s="393"/>
      <c r="BC59" s="393"/>
      <c r="BD59" s="393"/>
      <c r="BE59" s="393"/>
      <c r="BF59" s="393"/>
      <c r="BG59" s="393"/>
      <c r="BH59" s="393"/>
      <c r="BI59" s="393"/>
      <c r="BJ59" s="393"/>
      <c r="BK59" s="393"/>
      <c r="BL59" s="393"/>
      <c r="BM59" s="393"/>
      <c r="BN59" s="393"/>
      <c r="BO59" s="393"/>
      <c r="BP59" s="393"/>
      <c r="BQ59" s="393"/>
      <c r="BR59" s="393"/>
      <c r="BS59" s="393"/>
      <c r="BT59" s="393"/>
      <c r="BU59" s="393"/>
      <c r="BV59" s="393"/>
      <c r="BW59" s="393"/>
      <c r="BX59" s="393"/>
      <c r="BY59" s="393"/>
      <c r="BZ59" s="393"/>
      <c r="CA59" s="393"/>
      <c r="CB59" s="393"/>
      <c r="CC59" s="393"/>
      <c r="CD59" s="393"/>
      <c r="CE59" s="393"/>
      <c r="CF59" s="393"/>
      <c r="CG59" s="393"/>
      <c r="CH59" s="393"/>
      <c r="CI59" s="393"/>
      <c r="CJ59" s="393"/>
      <c r="CK59" s="393"/>
      <c r="CL59" s="393"/>
      <c r="CM59" s="393"/>
      <c r="CN59" s="393"/>
      <c r="CO59" s="393"/>
      <c r="CP59" s="393"/>
      <c r="CQ59" s="393"/>
      <c r="CR59" s="393"/>
      <c r="CS59" s="393"/>
      <c r="CT59" s="393"/>
      <c r="CU59" s="393"/>
      <c r="CV59" s="393"/>
      <c r="CW59" s="393"/>
      <c r="CX59" s="393"/>
      <c r="CY59" s="393"/>
      <c r="CZ59" s="393"/>
      <c r="DA59" s="393"/>
      <c r="DB59" s="393"/>
      <c r="DC59" s="393"/>
      <c r="DD59" s="393"/>
      <c r="DE59" s="393"/>
      <c r="DF59" s="393"/>
      <c r="DG59" s="393"/>
      <c r="DH59" s="393"/>
      <c r="DI59" s="393"/>
      <c r="DJ59" s="393"/>
      <c r="DK59" s="393"/>
      <c r="DL59" s="393"/>
      <c r="DM59" s="393"/>
      <c r="DN59" s="393"/>
      <c r="DO59" s="393"/>
      <c r="DP59" s="393"/>
      <c r="DQ59" s="393"/>
      <c r="DR59" s="393"/>
      <c r="DS59" s="393"/>
      <c r="DT59" s="393"/>
      <c r="DU59" s="393"/>
      <c r="DV59" s="393"/>
      <c r="DW59" s="393"/>
      <c r="DX59" s="393"/>
      <c r="DY59" s="393"/>
      <c r="DZ59" s="393"/>
      <c r="EA59" s="393"/>
      <c r="EB59" s="393"/>
      <c r="EC59" s="393"/>
      <c r="ED59" s="393"/>
      <c r="EE59" s="393"/>
      <c r="EF59" s="393"/>
      <c r="EG59" s="393"/>
      <c r="EH59" s="393"/>
      <c r="EI59" s="393"/>
      <c r="EJ59" s="393"/>
      <c r="EK59" s="393"/>
      <c r="EL59" s="393"/>
      <c r="EM59" s="393"/>
      <c r="EN59" s="393"/>
      <c r="EO59" s="393"/>
      <c r="EP59" s="393"/>
      <c r="EQ59" s="393"/>
      <c r="ER59" s="393"/>
      <c r="ES59" s="393"/>
      <c r="ET59" s="393"/>
      <c r="EU59" s="393"/>
      <c r="EV59" s="393"/>
      <c r="EW59" s="393"/>
      <c r="EX59" s="393"/>
      <c r="EY59" s="393"/>
      <c r="EZ59" s="393"/>
      <c r="FA59" s="393"/>
      <c r="FB59" s="393"/>
      <c r="FC59" s="393"/>
      <c r="FD59" s="393"/>
      <c r="FE59" s="393"/>
      <c r="FF59" s="393"/>
      <c r="FG59" s="393"/>
      <c r="FH59" s="393"/>
      <c r="FI59" s="393"/>
      <c r="FJ59" s="393"/>
      <c r="FK59" s="393"/>
      <c r="FL59" s="393"/>
      <c r="FM59" s="393"/>
      <c r="FN59" s="393"/>
      <c r="FO59" s="393"/>
      <c r="FP59" s="393"/>
      <c r="FQ59" s="393"/>
      <c r="FR59" s="393"/>
      <c r="FS59" s="393"/>
      <c r="FT59" s="393"/>
      <c r="FU59" s="393"/>
      <c r="FV59" s="393"/>
      <c r="FW59" s="393"/>
      <c r="FX59" s="393"/>
      <c r="FY59" s="393"/>
      <c r="FZ59" s="393"/>
      <c r="GA59" s="393"/>
      <c r="GB59" s="393"/>
      <c r="GC59" s="393"/>
      <c r="GD59" s="393"/>
      <c r="GE59" s="393"/>
      <c r="GF59" s="393"/>
      <c r="GG59" s="393"/>
      <c r="GH59" s="393"/>
      <c r="GI59" s="393"/>
      <c r="GJ59" s="393"/>
      <c r="GK59" s="393"/>
      <c r="GL59" s="393"/>
      <c r="GM59" s="393"/>
      <c r="GN59" s="393"/>
      <c r="GO59" s="393"/>
      <c r="GP59" s="393"/>
      <c r="GQ59" s="393"/>
      <c r="GR59" s="393"/>
      <c r="GS59" s="393"/>
    </row>
    <row r="60" spans="1:205" ht="14" customHeight="1" x14ac:dyDescent="0.35">
      <c r="A60" s="10" t="s">
        <v>58</v>
      </c>
      <c r="B60" s="16" t="s">
        <v>55</v>
      </c>
      <c r="C60" s="12" t="s">
        <v>52</v>
      </c>
      <c r="D60" s="12" t="s">
        <v>48</v>
      </c>
      <c r="E60" s="21" t="str">
        <f>'Supplier Registry'!N27</f>
        <v>Active</v>
      </c>
      <c r="F60" s="21">
        <f>'Supplier Registry'!M27</f>
        <v>1</v>
      </c>
      <c r="G60" s="21">
        <f>'Supplier Registry'!E27</f>
        <v>165</v>
      </c>
      <c r="H60" s="58">
        <f>'Supplier Registry'!P27</f>
        <v>12</v>
      </c>
      <c r="I60" s="74">
        <f>IFERROR(EDATE(Controls!B5,H60),"")</f>
        <v>46478</v>
      </c>
      <c r="J60" s="75">
        <f>IFERROR(EDATE(I60,-'Supplier Registry'!Q27),"")</f>
        <v>46447</v>
      </c>
      <c r="K60" s="29"/>
      <c r="L60" s="29"/>
      <c r="M60" s="29"/>
      <c r="N60" s="29"/>
      <c r="O60" s="29"/>
      <c r="P60" s="29"/>
      <c r="Q60" s="29"/>
      <c r="R60" s="29"/>
      <c r="S60" s="29"/>
      <c r="T60" s="29"/>
      <c r="U60" s="29"/>
      <c r="V60" s="29"/>
      <c r="W60" s="29">
        <v>165</v>
      </c>
      <c r="X60" s="29"/>
      <c r="Y60" s="29"/>
      <c r="Z60" s="29">
        <v>0</v>
      </c>
      <c r="AA60" s="29">
        <v>0</v>
      </c>
      <c r="AB60" s="29">
        <v>0</v>
      </c>
      <c r="AC60" s="29">
        <v>0</v>
      </c>
      <c r="AD60" s="29">
        <v>0</v>
      </c>
      <c r="AE60" s="29">
        <v>0</v>
      </c>
      <c r="AF60" s="29">
        <v>0</v>
      </c>
      <c r="AG60" s="29">
        <v>0</v>
      </c>
      <c r="AH60" s="29">
        <v>0</v>
      </c>
      <c r="AI60" s="29">
        <v>0</v>
      </c>
      <c r="AJ60" s="29">
        <v>0</v>
      </c>
      <c r="AK60" s="29">
        <v>0</v>
      </c>
      <c r="AL60" s="29">
        <v>0</v>
      </c>
      <c r="AM60" s="29">
        <v>0</v>
      </c>
      <c r="AN60" s="29">
        <v>0</v>
      </c>
      <c r="AO60" s="29">
        <v>0</v>
      </c>
      <c r="AP60" s="29">
        <v>0</v>
      </c>
      <c r="AQ60" s="29">
        <v>0</v>
      </c>
      <c r="AR60" s="29">
        <v>0</v>
      </c>
      <c r="AS60" s="29">
        <v>0</v>
      </c>
      <c r="AT60" s="29">
        <v>0</v>
      </c>
      <c r="AU60" s="29">
        <v>0</v>
      </c>
      <c r="AV60" s="29">
        <v>0</v>
      </c>
      <c r="AW60" s="29">
        <v>0</v>
      </c>
      <c r="AX60" s="29">
        <v>0</v>
      </c>
      <c r="AY60" s="29">
        <v>0</v>
      </c>
      <c r="AZ60" s="29">
        <v>0</v>
      </c>
      <c r="BA60" s="29">
        <v>0</v>
      </c>
      <c r="BB60" s="29">
        <v>0</v>
      </c>
      <c r="BC60" s="29">
        <v>0</v>
      </c>
      <c r="BD60" s="29">
        <v>0</v>
      </c>
      <c r="BE60" s="29">
        <v>0</v>
      </c>
      <c r="BF60" s="29">
        <v>0</v>
      </c>
      <c r="BG60" s="29">
        <v>0</v>
      </c>
      <c r="BH60" s="29">
        <v>0</v>
      </c>
      <c r="BI60" s="29">
        <v>0</v>
      </c>
      <c r="BJ60" s="29">
        <v>0</v>
      </c>
      <c r="BK60" s="29">
        <v>0</v>
      </c>
      <c r="BL60" s="29">
        <v>0</v>
      </c>
      <c r="BM60" s="29">
        <v>0</v>
      </c>
      <c r="BN60" s="29">
        <v>0</v>
      </c>
      <c r="BO60" s="29">
        <v>0</v>
      </c>
      <c r="BP60" s="29">
        <v>0</v>
      </c>
      <c r="BQ60" s="29">
        <v>0</v>
      </c>
      <c r="BR60" s="29">
        <v>0</v>
      </c>
      <c r="BS60" s="29">
        <v>0</v>
      </c>
      <c r="BT60" s="29">
        <v>0</v>
      </c>
      <c r="BU60" s="29">
        <v>0</v>
      </c>
      <c r="BV60" s="29">
        <v>0</v>
      </c>
      <c r="BW60" s="29">
        <v>0</v>
      </c>
      <c r="BX60" s="29">
        <v>0</v>
      </c>
      <c r="BY60" s="29">
        <v>0</v>
      </c>
      <c r="BZ60" s="29">
        <v>0</v>
      </c>
      <c r="CA60" s="29">
        <v>0</v>
      </c>
      <c r="CB60" s="29">
        <v>0</v>
      </c>
      <c r="CC60" s="29">
        <v>0</v>
      </c>
      <c r="CD60" s="29">
        <v>0</v>
      </c>
      <c r="CE60" s="29">
        <v>0</v>
      </c>
      <c r="CF60" s="29">
        <v>0</v>
      </c>
      <c r="CG60" s="29">
        <v>0</v>
      </c>
      <c r="CH60" s="29">
        <v>0</v>
      </c>
      <c r="CI60" s="29">
        <v>0</v>
      </c>
      <c r="CJ60" s="29">
        <v>0</v>
      </c>
      <c r="CK60" s="29">
        <v>0</v>
      </c>
      <c r="CL60" s="29">
        <v>0</v>
      </c>
      <c r="CM60" s="29">
        <v>0</v>
      </c>
      <c r="CN60" s="29">
        <v>0</v>
      </c>
      <c r="CO60" s="29">
        <v>0</v>
      </c>
      <c r="CP60" s="29">
        <v>0</v>
      </c>
      <c r="CQ60" s="29">
        <v>0</v>
      </c>
      <c r="CR60" s="29">
        <v>0</v>
      </c>
      <c r="CS60" s="29">
        <v>0</v>
      </c>
      <c r="CT60" s="29">
        <v>0</v>
      </c>
      <c r="CU60" s="29">
        <v>0</v>
      </c>
      <c r="CV60" s="29">
        <v>0</v>
      </c>
      <c r="CW60" s="29">
        <v>0</v>
      </c>
      <c r="CX60" s="29">
        <v>0</v>
      </c>
      <c r="CY60" s="29">
        <v>0</v>
      </c>
      <c r="CZ60" s="29">
        <v>0</v>
      </c>
      <c r="DA60" s="29">
        <v>0</v>
      </c>
      <c r="DB60" s="29">
        <v>0</v>
      </c>
      <c r="DC60" s="29">
        <v>0</v>
      </c>
      <c r="DD60" s="29">
        <v>0</v>
      </c>
      <c r="DE60" s="29">
        <v>0</v>
      </c>
      <c r="DF60" s="29">
        <v>0</v>
      </c>
      <c r="DG60" s="29">
        <v>0</v>
      </c>
      <c r="DH60" s="29">
        <v>0</v>
      </c>
      <c r="DI60" s="29">
        <v>0</v>
      </c>
      <c r="DJ60" s="29">
        <v>0</v>
      </c>
      <c r="DK60" s="29">
        <v>0</v>
      </c>
      <c r="DL60" s="29">
        <v>0</v>
      </c>
      <c r="DM60" s="29">
        <v>0</v>
      </c>
      <c r="DN60" s="29">
        <v>0</v>
      </c>
      <c r="DO60" s="29">
        <v>0</v>
      </c>
      <c r="DP60" s="29">
        <v>0</v>
      </c>
      <c r="DQ60" s="29">
        <v>0</v>
      </c>
      <c r="DR60" s="29">
        <v>0</v>
      </c>
      <c r="DS60" s="29">
        <v>0</v>
      </c>
      <c r="DT60" s="29">
        <v>0</v>
      </c>
      <c r="DU60" s="29">
        <v>0</v>
      </c>
      <c r="DV60" s="29">
        <v>0</v>
      </c>
      <c r="DW60" s="29">
        <v>0</v>
      </c>
      <c r="DX60" s="29">
        <v>0</v>
      </c>
      <c r="DY60" s="29">
        <v>0</v>
      </c>
      <c r="DZ60" s="29">
        <v>0</v>
      </c>
      <c r="EA60" s="29">
        <v>0</v>
      </c>
      <c r="EB60" s="29">
        <v>0</v>
      </c>
      <c r="EC60" s="29">
        <v>0</v>
      </c>
      <c r="ED60" s="29">
        <v>0</v>
      </c>
      <c r="EE60" s="29">
        <v>0</v>
      </c>
      <c r="EF60" s="29">
        <v>0</v>
      </c>
      <c r="EG60" s="29">
        <v>0</v>
      </c>
      <c r="EH60" s="29">
        <v>0</v>
      </c>
      <c r="EI60" s="29">
        <v>0</v>
      </c>
      <c r="EJ60" s="29">
        <v>0</v>
      </c>
      <c r="EK60" s="29">
        <v>0</v>
      </c>
      <c r="EL60" s="29">
        <v>0</v>
      </c>
      <c r="EM60" s="29">
        <v>0</v>
      </c>
      <c r="EN60" s="29">
        <v>0</v>
      </c>
      <c r="EO60" s="29">
        <v>0</v>
      </c>
      <c r="EP60" s="29">
        <v>0</v>
      </c>
      <c r="EQ60" s="29">
        <v>0</v>
      </c>
      <c r="ER60" s="29">
        <v>0</v>
      </c>
      <c r="ES60" s="29">
        <v>0</v>
      </c>
      <c r="ET60" s="29">
        <v>0</v>
      </c>
      <c r="EU60" s="29">
        <v>0</v>
      </c>
      <c r="EV60" s="29">
        <v>0</v>
      </c>
      <c r="EW60" s="29">
        <v>0</v>
      </c>
      <c r="EX60" s="29">
        <v>0</v>
      </c>
      <c r="EY60" s="29">
        <v>0</v>
      </c>
      <c r="EZ60" s="29">
        <v>0</v>
      </c>
      <c r="FA60" s="29">
        <v>0</v>
      </c>
      <c r="FB60" s="29">
        <v>0</v>
      </c>
      <c r="FC60" s="29">
        <v>0</v>
      </c>
      <c r="FD60" s="29">
        <v>0</v>
      </c>
      <c r="FE60" s="29">
        <v>0</v>
      </c>
      <c r="FF60" s="29">
        <v>0</v>
      </c>
      <c r="FG60" s="29">
        <v>0</v>
      </c>
      <c r="FH60" s="29">
        <v>0</v>
      </c>
      <c r="FI60" s="29">
        <v>0</v>
      </c>
      <c r="FJ60" s="29">
        <v>0</v>
      </c>
      <c r="FK60" s="29">
        <v>0</v>
      </c>
      <c r="FL60" s="29">
        <v>0</v>
      </c>
      <c r="FM60" s="29">
        <v>0</v>
      </c>
      <c r="FN60" s="29">
        <v>0</v>
      </c>
      <c r="FO60" s="29">
        <v>0</v>
      </c>
      <c r="FP60" s="29">
        <v>0</v>
      </c>
      <c r="FQ60" s="29">
        <v>0</v>
      </c>
      <c r="FR60" s="29">
        <v>0</v>
      </c>
      <c r="FS60" s="29">
        <v>0</v>
      </c>
      <c r="FT60" s="29">
        <v>0</v>
      </c>
      <c r="FU60" s="29">
        <v>0</v>
      </c>
      <c r="FV60" s="29">
        <v>0</v>
      </c>
      <c r="FW60" s="29">
        <v>0</v>
      </c>
      <c r="FX60" s="29">
        <v>0</v>
      </c>
      <c r="FY60" s="29">
        <v>0</v>
      </c>
      <c r="FZ60" s="29">
        <v>0</v>
      </c>
      <c r="GA60" s="29">
        <v>0</v>
      </c>
      <c r="GB60" s="29">
        <v>0</v>
      </c>
      <c r="GC60" s="29">
        <v>0</v>
      </c>
      <c r="GD60" s="29">
        <v>0</v>
      </c>
      <c r="GE60" s="29">
        <v>0</v>
      </c>
      <c r="GF60" s="29">
        <v>0</v>
      </c>
      <c r="GG60" s="29">
        <v>0</v>
      </c>
      <c r="GH60" s="29">
        <v>0</v>
      </c>
      <c r="GI60" s="206">
        <f>SUM(K60:V60)</f>
        <v>0</v>
      </c>
      <c r="GJ60" s="206">
        <f>SUM(T60:AE60)</f>
        <v>165</v>
      </c>
      <c r="GK60" s="206">
        <f>SUM(AF60:AQ60)</f>
        <v>0</v>
      </c>
      <c r="GL60" s="206">
        <f>SUM(AR60:BC60)</f>
        <v>0</v>
      </c>
      <c r="GM60" s="206">
        <f>SUM(BD60:BO60)</f>
        <v>0</v>
      </c>
      <c r="GN60" s="206">
        <f>SUM(BP60:CA60)</f>
        <v>0</v>
      </c>
      <c r="GO60" s="206">
        <f>SUM(CB60:CM60)</f>
        <v>0</v>
      </c>
      <c r="GP60" s="206">
        <f>SUM(CN60:CY60)</f>
        <v>0</v>
      </c>
      <c r="GQ60" s="206">
        <f>SUM(CZ60:DK60)</f>
        <v>0</v>
      </c>
      <c r="GR60" s="206">
        <f>SUM(DL60:DW60)</f>
        <v>0</v>
      </c>
      <c r="GS60" s="206">
        <f>SUM(DX60:EI60)</f>
        <v>0</v>
      </c>
      <c r="GT60" s="206">
        <f>SUM(EJ60:EU60)</f>
        <v>0</v>
      </c>
      <c r="GU60" s="206">
        <f>SUM(EV60:FG60)</f>
        <v>0</v>
      </c>
      <c r="GV60" s="206">
        <f>SUM(FH60:FS60)</f>
        <v>0</v>
      </c>
      <c r="GW60" s="206">
        <f>SUM(FT60:GE60)</f>
        <v>0</v>
      </c>
    </row>
    <row r="61" spans="1:205" ht="14" customHeight="1" x14ac:dyDescent="0.35">
      <c r="A61" s="2" t="s">
        <v>58</v>
      </c>
      <c r="B61" s="3" t="s">
        <v>53</v>
      </c>
      <c r="C61" s="4" t="s">
        <v>52</v>
      </c>
      <c r="D61" s="4" t="s">
        <v>48</v>
      </c>
      <c r="E61" s="21" t="str">
        <f>'Supplier Registry'!N28</f>
        <v>Inactive</v>
      </c>
      <c r="F61" s="21">
        <f>'Supplier Registry'!M28</f>
        <v>0</v>
      </c>
      <c r="G61" s="21">
        <f>'Supplier Registry'!E28</f>
        <v>100</v>
      </c>
      <c r="H61" s="58">
        <f>'Supplier Registry'!P28</f>
        <v>12</v>
      </c>
      <c r="I61" s="74">
        <f>IFERROR(EDATE(Controls!B5,H61),"")</f>
        <v>46478</v>
      </c>
      <c r="J61" s="75">
        <f>IFERROR(EDATE(I61,-'Supplier Registry'!Q28),"")</f>
        <v>46447</v>
      </c>
      <c r="K61" s="29"/>
      <c r="L61" s="29"/>
      <c r="M61" s="29"/>
      <c r="N61" s="29"/>
      <c r="O61" s="29"/>
      <c r="P61" s="29"/>
      <c r="Q61" s="29"/>
      <c r="R61" s="29"/>
      <c r="S61" s="29"/>
      <c r="T61" s="29"/>
      <c r="U61" s="29"/>
      <c r="V61" s="29"/>
      <c r="W61" s="29"/>
      <c r="X61" s="29"/>
      <c r="Y61" s="29"/>
      <c r="Z61" s="29">
        <v>0</v>
      </c>
      <c r="AA61" s="29">
        <v>0</v>
      </c>
      <c r="AB61" s="29">
        <v>0</v>
      </c>
      <c r="AC61" s="29">
        <v>0</v>
      </c>
      <c r="AD61" s="29">
        <v>0</v>
      </c>
      <c r="AE61" s="29">
        <v>0</v>
      </c>
      <c r="AF61" s="29">
        <v>0</v>
      </c>
      <c r="AG61" s="29">
        <v>0</v>
      </c>
      <c r="AH61" s="29">
        <v>0</v>
      </c>
      <c r="AI61" s="29">
        <v>0</v>
      </c>
      <c r="AJ61" s="29">
        <v>0</v>
      </c>
      <c r="AK61" s="29">
        <v>0</v>
      </c>
      <c r="AL61" s="29">
        <v>0</v>
      </c>
      <c r="AM61" s="29">
        <v>0</v>
      </c>
      <c r="AN61" s="29">
        <v>0</v>
      </c>
      <c r="AO61" s="29">
        <v>0</v>
      </c>
      <c r="AP61" s="29">
        <v>0</v>
      </c>
      <c r="AQ61" s="29">
        <v>0</v>
      </c>
      <c r="AR61" s="29">
        <v>0</v>
      </c>
      <c r="AS61" s="29">
        <v>0</v>
      </c>
      <c r="AT61" s="29">
        <v>0</v>
      </c>
      <c r="AU61" s="29">
        <v>0</v>
      </c>
      <c r="AV61" s="29">
        <v>0</v>
      </c>
      <c r="AW61" s="29">
        <v>0</v>
      </c>
      <c r="AX61" s="29">
        <v>0</v>
      </c>
      <c r="AY61" s="29">
        <v>0</v>
      </c>
      <c r="AZ61" s="29">
        <v>0</v>
      </c>
      <c r="BA61" s="29">
        <v>0</v>
      </c>
      <c r="BB61" s="29">
        <v>0</v>
      </c>
      <c r="BC61" s="29">
        <v>0</v>
      </c>
      <c r="BD61" s="29">
        <v>0</v>
      </c>
      <c r="BE61" s="29">
        <v>0</v>
      </c>
      <c r="BF61" s="29">
        <v>0</v>
      </c>
      <c r="BG61" s="29">
        <v>0</v>
      </c>
      <c r="BH61" s="29">
        <v>0</v>
      </c>
      <c r="BI61" s="29">
        <v>0</v>
      </c>
      <c r="BJ61" s="29">
        <v>0</v>
      </c>
      <c r="BK61" s="29">
        <v>0</v>
      </c>
      <c r="BL61" s="29">
        <v>0</v>
      </c>
      <c r="BM61" s="29">
        <v>0</v>
      </c>
      <c r="BN61" s="29">
        <v>0</v>
      </c>
      <c r="BO61" s="29">
        <v>0</v>
      </c>
      <c r="BP61" s="29">
        <v>0</v>
      </c>
      <c r="BQ61" s="29">
        <v>0</v>
      </c>
      <c r="BR61" s="29">
        <v>0</v>
      </c>
      <c r="BS61" s="29">
        <v>0</v>
      </c>
      <c r="BT61" s="29">
        <v>0</v>
      </c>
      <c r="BU61" s="29">
        <v>0</v>
      </c>
      <c r="BV61" s="29">
        <v>0</v>
      </c>
      <c r="BW61" s="29">
        <v>0</v>
      </c>
      <c r="BX61" s="29">
        <v>0</v>
      </c>
      <c r="BY61" s="29">
        <v>0</v>
      </c>
      <c r="BZ61" s="29">
        <v>0</v>
      </c>
      <c r="CA61" s="29">
        <v>0</v>
      </c>
      <c r="CB61" s="29">
        <v>0</v>
      </c>
      <c r="CC61" s="29">
        <v>0</v>
      </c>
      <c r="CD61" s="29">
        <v>0</v>
      </c>
      <c r="CE61" s="29">
        <v>0</v>
      </c>
      <c r="CF61" s="29">
        <v>0</v>
      </c>
      <c r="CG61" s="29">
        <v>0</v>
      </c>
      <c r="CH61" s="29">
        <v>0</v>
      </c>
      <c r="CI61" s="29">
        <v>0</v>
      </c>
      <c r="CJ61" s="29">
        <v>0</v>
      </c>
      <c r="CK61" s="29">
        <v>0</v>
      </c>
      <c r="CL61" s="29">
        <v>0</v>
      </c>
      <c r="CM61" s="29">
        <v>0</v>
      </c>
      <c r="CN61" s="29">
        <v>0</v>
      </c>
      <c r="CO61" s="29">
        <v>0</v>
      </c>
      <c r="CP61" s="29">
        <v>0</v>
      </c>
      <c r="CQ61" s="29">
        <v>0</v>
      </c>
      <c r="CR61" s="29">
        <v>0</v>
      </c>
      <c r="CS61" s="29">
        <v>0</v>
      </c>
      <c r="CT61" s="29">
        <v>0</v>
      </c>
      <c r="CU61" s="29">
        <v>0</v>
      </c>
      <c r="CV61" s="29">
        <v>0</v>
      </c>
      <c r="CW61" s="29">
        <v>0</v>
      </c>
      <c r="CX61" s="29">
        <v>0</v>
      </c>
      <c r="CY61" s="29">
        <v>0</v>
      </c>
      <c r="CZ61" s="29">
        <v>0</v>
      </c>
      <c r="DA61" s="29">
        <v>0</v>
      </c>
      <c r="DB61" s="29">
        <v>0</v>
      </c>
      <c r="DC61" s="29">
        <v>0</v>
      </c>
      <c r="DD61" s="29">
        <v>0</v>
      </c>
      <c r="DE61" s="29">
        <v>0</v>
      </c>
      <c r="DF61" s="29">
        <v>0</v>
      </c>
      <c r="DG61" s="29">
        <v>0</v>
      </c>
      <c r="DH61" s="29">
        <v>0</v>
      </c>
      <c r="DI61" s="29">
        <v>0</v>
      </c>
      <c r="DJ61" s="29">
        <v>0</v>
      </c>
      <c r="DK61" s="29">
        <v>0</v>
      </c>
      <c r="DL61" s="29">
        <v>0</v>
      </c>
      <c r="DM61" s="29">
        <v>0</v>
      </c>
      <c r="DN61" s="29">
        <v>0</v>
      </c>
      <c r="DO61" s="29">
        <v>0</v>
      </c>
      <c r="DP61" s="29">
        <v>0</v>
      </c>
      <c r="DQ61" s="29">
        <v>0</v>
      </c>
      <c r="DR61" s="29">
        <v>0</v>
      </c>
      <c r="DS61" s="29">
        <v>0</v>
      </c>
      <c r="DT61" s="29">
        <v>0</v>
      </c>
      <c r="DU61" s="29">
        <v>0</v>
      </c>
      <c r="DV61" s="29">
        <v>0</v>
      </c>
      <c r="DW61" s="29">
        <v>0</v>
      </c>
      <c r="DX61" s="29">
        <v>0</v>
      </c>
      <c r="DY61" s="29">
        <v>0</v>
      </c>
      <c r="DZ61" s="29">
        <v>0</v>
      </c>
      <c r="EA61" s="29">
        <v>0</v>
      </c>
      <c r="EB61" s="29">
        <v>0</v>
      </c>
      <c r="EC61" s="29">
        <v>0</v>
      </c>
      <c r="ED61" s="29">
        <v>0</v>
      </c>
      <c r="EE61" s="29">
        <v>0</v>
      </c>
      <c r="EF61" s="29">
        <v>0</v>
      </c>
      <c r="EG61" s="29">
        <v>0</v>
      </c>
      <c r="EH61" s="29">
        <v>0</v>
      </c>
      <c r="EI61" s="29">
        <v>0</v>
      </c>
      <c r="EJ61" s="29">
        <v>0</v>
      </c>
      <c r="EK61" s="29">
        <v>0</v>
      </c>
      <c r="EL61" s="29">
        <v>0</v>
      </c>
      <c r="EM61" s="29">
        <v>0</v>
      </c>
      <c r="EN61" s="29">
        <v>0</v>
      </c>
      <c r="EO61" s="29">
        <v>0</v>
      </c>
      <c r="EP61" s="29">
        <v>0</v>
      </c>
      <c r="EQ61" s="29">
        <v>0</v>
      </c>
      <c r="ER61" s="29">
        <v>0</v>
      </c>
      <c r="ES61" s="29">
        <v>0</v>
      </c>
      <c r="ET61" s="29">
        <v>0</v>
      </c>
      <c r="EU61" s="29">
        <v>0</v>
      </c>
      <c r="EV61" s="29">
        <v>0</v>
      </c>
      <c r="EW61" s="29">
        <v>0</v>
      </c>
      <c r="EX61" s="29">
        <v>0</v>
      </c>
      <c r="EY61" s="29">
        <v>0</v>
      </c>
      <c r="EZ61" s="29">
        <v>0</v>
      </c>
      <c r="FA61" s="29">
        <v>0</v>
      </c>
      <c r="FB61" s="29">
        <v>0</v>
      </c>
      <c r="FC61" s="29">
        <v>0</v>
      </c>
      <c r="FD61" s="29">
        <v>0</v>
      </c>
      <c r="FE61" s="29">
        <v>0</v>
      </c>
      <c r="FF61" s="29">
        <v>0</v>
      </c>
      <c r="FG61" s="29">
        <v>0</v>
      </c>
      <c r="FH61" s="29">
        <v>0</v>
      </c>
      <c r="FI61" s="29">
        <v>0</v>
      </c>
      <c r="FJ61" s="29">
        <v>0</v>
      </c>
      <c r="FK61" s="29">
        <v>0</v>
      </c>
      <c r="FL61" s="29">
        <v>0</v>
      </c>
      <c r="FM61" s="29">
        <v>0</v>
      </c>
      <c r="FN61" s="29">
        <v>0</v>
      </c>
      <c r="FO61" s="29">
        <v>0</v>
      </c>
      <c r="FP61" s="29">
        <v>0</v>
      </c>
      <c r="FQ61" s="29">
        <v>0</v>
      </c>
      <c r="FR61" s="29">
        <v>0</v>
      </c>
      <c r="FS61" s="29">
        <v>0</v>
      </c>
      <c r="FT61" s="29">
        <v>0</v>
      </c>
      <c r="FU61" s="29">
        <v>0</v>
      </c>
      <c r="FV61" s="29">
        <v>0</v>
      </c>
      <c r="FW61" s="29">
        <v>0</v>
      </c>
      <c r="FX61" s="29">
        <v>0</v>
      </c>
      <c r="FY61" s="29">
        <v>0</v>
      </c>
      <c r="FZ61" s="29">
        <v>0</v>
      </c>
      <c r="GA61" s="29">
        <v>0</v>
      </c>
      <c r="GB61" s="29">
        <v>0</v>
      </c>
      <c r="GC61" s="29">
        <v>0</v>
      </c>
      <c r="GD61" s="29">
        <v>0</v>
      </c>
      <c r="GE61" s="29">
        <v>0</v>
      </c>
      <c r="GF61" s="29">
        <v>0</v>
      </c>
      <c r="GG61" s="29">
        <v>0</v>
      </c>
      <c r="GH61" s="29">
        <v>0</v>
      </c>
      <c r="GI61" s="206">
        <f>SUM(K61:V61)</f>
        <v>0</v>
      </c>
      <c r="GJ61" s="206">
        <f>SUM(T61:AE61)</f>
        <v>0</v>
      </c>
      <c r="GK61" s="206">
        <f>SUM(AF61:AQ61)</f>
        <v>0</v>
      </c>
      <c r="GL61" s="206">
        <f>SUM(AR61:BC61)</f>
        <v>0</v>
      </c>
      <c r="GM61" s="206">
        <f>SUM(BD61:BO61)</f>
        <v>0</v>
      </c>
      <c r="GN61" s="206">
        <f>SUM(BP61:CA61)</f>
        <v>0</v>
      </c>
      <c r="GO61" s="206">
        <f>SUM(CB61:CM61)</f>
        <v>0</v>
      </c>
      <c r="GP61" s="206">
        <f>SUM(CN61:CY61)</f>
        <v>0</v>
      </c>
      <c r="GQ61" s="206">
        <f>SUM(CZ61:DK61)</f>
        <v>0</v>
      </c>
      <c r="GR61" s="206">
        <f>SUM(DL61:DW61)</f>
        <v>0</v>
      </c>
      <c r="GS61" s="206">
        <f>SUM(DX61:EI61)</f>
        <v>0</v>
      </c>
      <c r="GT61" s="206">
        <f>SUM(EJ61:EU61)</f>
        <v>0</v>
      </c>
      <c r="GU61" s="206">
        <f>SUM(EV61:FG61)</f>
        <v>0</v>
      </c>
      <c r="GV61" s="206">
        <f>SUM(FH61:FS61)</f>
        <v>0</v>
      </c>
      <c r="GW61" s="206">
        <f>SUM(FT61:GE61)</f>
        <v>0</v>
      </c>
    </row>
    <row r="62" spans="1:205" ht="18" customHeight="1" x14ac:dyDescent="0.35">
      <c r="A62" s="26" t="s">
        <v>58</v>
      </c>
      <c r="B62" s="26" t="s">
        <v>390</v>
      </c>
      <c r="C62" s="31"/>
      <c r="D62" s="31"/>
      <c r="E62" s="31"/>
      <c r="F62" s="31"/>
      <c r="G62" s="31"/>
      <c r="K62" s="32">
        <f>IF($E60="Active",K60,0)+IF($E61="Active",K61,0)</f>
        <v>0</v>
      </c>
      <c r="L62" s="32">
        <f>IF($E60="Active",L60,0)+IF($E61="Active",L61,0)</f>
        <v>0</v>
      </c>
      <c r="M62" s="32">
        <f t="shared" ref="M62" si="736">IF($E60="Active",M60,0)+IF($E61="Active",M61,0)</f>
        <v>0</v>
      </c>
      <c r="N62" s="32">
        <f t="shared" ref="N62" si="737">IF($E60="Active",N60,0)+IF($E61="Active",N61,0)</f>
        <v>0</v>
      </c>
      <c r="O62" s="32">
        <f t="shared" ref="O62" si="738">IF($E60="Active",O60,0)+IF($E61="Active",O61,0)</f>
        <v>0</v>
      </c>
      <c r="P62" s="32">
        <f t="shared" ref="P62" si="739">IF($E60="Active",P60,0)+IF($E61="Active",P61,0)</f>
        <v>0</v>
      </c>
      <c r="Q62" s="32">
        <f t="shared" ref="Q62" si="740">IF($E60="Active",Q60,0)+IF($E61="Active",Q61,0)</f>
        <v>0</v>
      </c>
      <c r="R62" s="32">
        <f t="shared" ref="R62" si="741">IF($E60="Active",R60,0)+IF($E61="Active",R61,0)</f>
        <v>0</v>
      </c>
      <c r="S62" s="32">
        <f t="shared" ref="S62" si="742">IF($E60="Active",S60,0)+IF($E61="Active",S61,0)</f>
        <v>0</v>
      </c>
      <c r="T62" s="32">
        <f t="shared" ref="T62" si="743">IF($E60="Active",T60,0)+IF($E61="Active",T61,0)</f>
        <v>0</v>
      </c>
      <c r="U62" s="32">
        <f t="shared" ref="U62" si="744">IF($E60="Active",U60,0)+IF($E61="Active",U61,0)</f>
        <v>0</v>
      </c>
      <c r="V62" s="32">
        <f t="shared" ref="V62" si="745">IF($E60="Active",V60,0)+IF($E61="Active",V61,0)</f>
        <v>0</v>
      </c>
      <c r="W62" s="32">
        <f t="shared" ref="W62" si="746">IF($E60="Active",W60,0)+IF($E61="Active",W61,0)</f>
        <v>165</v>
      </c>
      <c r="X62" s="32">
        <f t="shared" ref="X62" si="747">IF($E60="Active",X60,0)+IF($E61="Active",X61,0)</f>
        <v>0</v>
      </c>
      <c r="Y62" s="32">
        <f t="shared" ref="Y62" si="748">IF($E60="Active",Y60,0)+IF($E61="Active",Y61,0)</f>
        <v>0</v>
      </c>
      <c r="Z62" s="32">
        <f t="shared" ref="Z62" si="749">IF($E60="Active",Z60,0)+IF($E61="Active",Z61,0)</f>
        <v>0</v>
      </c>
      <c r="AA62" s="32">
        <f t="shared" ref="AA62" si="750">IF($E60="Active",AA60,0)+IF($E61="Active",AA61,0)</f>
        <v>0</v>
      </c>
      <c r="AB62" s="32">
        <f t="shared" ref="AB62" si="751">IF($E60="Active",AB60,0)+IF($E61="Active",AB61,0)</f>
        <v>0</v>
      </c>
      <c r="AC62" s="32">
        <f t="shared" ref="AC62" si="752">IF($E60="Active",AC60,0)+IF($E61="Active",AC61,0)</f>
        <v>0</v>
      </c>
      <c r="AD62" s="32">
        <f t="shared" ref="AD62" si="753">IF($E60="Active",AD60,0)+IF($E61="Active",AD61,0)</f>
        <v>0</v>
      </c>
      <c r="AE62" s="32">
        <f t="shared" ref="AE62" si="754">IF($E60="Active",AE60,0)+IF($E61="Active",AE61,0)</f>
        <v>0</v>
      </c>
      <c r="AF62" s="32">
        <f t="shared" ref="AF62" si="755">IF($E60="Active",AF60,0)+IF($E61="Active",AF61,0)</f>
        <v>0</v>
      </c>
      <c r="AG62" s="32">
        <f t="shared" ref="AG62" si="756">IF($E60="Active",AG60,0)+IF($E61="Active",AG61,0)</f>
        <v>0</v>
      </c>
      <c r="AH62" s="32">
        <f t="shared" ref="AH62" si="757">IF($E60="Active",AH60,0)+IF($E61="Active",AH61,0)</f>
        <v>0</v>
      </c>
      <c r="AI62" s="32">
        <f t="shared" ref="AI62" si="758">IF($E60="Active",AI60,0)+IF($E61="Active",AI61,0)</f>
        <v>0</v>
      </c>
      <c r="AJ62" s="32">
        <f t="shared" ref="AJ62" si="759">IF($E60="Active",AJ60,0)+IF($E61="Active",AJ61,0)</f>
        <v>0</v>
      </c>
      <c r="AK62" s="32">
        <f t="shared" ref="AK62" si="760">IF($E60="Active",AK60,0)+IF($E61="Active",AK61,0)</f>
        <v>0</v>
      </c>
      <c r="AL62" s="32">
        <f t="shared" ref="AL62" si="761">IF($E60="Active",AL60,0)+IF($E61="Active",AL61,0)</f>
        <v>0</v>
      </c>
      <c r="AM62" s="32">
        <f t="shared" ref="AM62" si="762">IF($E60="Active",AM60,0)+IF($E61="Active",AM61,0)</f>
        <v>0</v>
      </c>
      <c r="AN62" s="32">
        <f t="shared" ref="AN62" si="763">IF($E60="Active",AN60,0)+IF($E61="Active",AN61,0)</f>
        <v>0</v>
      </c>
      <c r="AO62" s="32">
        <f t="shared" ref="AO62" si="764">IF($E60="Active",AO60,0)+IF($E61="Active",AO61,0)</f>
        <v>0</v>
      </c>
      <c r="AP62" s="32">
        <f t="shared" ref="AP62" si="765">IF($E60="Active",AP60,0)+IF($E61="Active",AP61,0)</f>
        <v>0</v>
      </c>
      <c r="AQ62" s="32">
        <f t="shared" ref="AQ62" si="766">IF($E60="Active",AQ60,0)+IF($E61="Active",AQ61,0)</f>
        <v>0</v>
      </c>
      <c r="AR62" s="32">
        <f t="shared" ref="AR62" si="767">IF($E60="Active",AR60,0)+IF($E61="Active",AR61,0)</f>
        <v>0</v>
      </c>
      <c r="AS62" s="32">
        <f t="shared" ref="AS62" si="768">IF($E60="Active",AS60,0)+IF($E61="Active",AS61,0)</f>
        <v>0</v>
      </c>
      <c r="AT62" s="32">
        <f t="shared" ref="AT62" si="769">IF($E60="Active",AT60,0)+IF($E61="Active",AT61,0)</f>
        <v>0</v>
      </c>
      <c r="AU62" s="32">
        <f t="shared" ref="AU62" si="770">IF($E60="Active",AU60,0)+IF($E61="Active",AU61,0)</f>
        <v>0</v>
      </c>
      <c r="AV62" s="32">
        <f t="shared" ref="AV62" si="771">IF($E60="Active",AV60,0)+IF($E61="Active",AV61,0)</f>
        <v>0</v>
      </c>
      <c r="AW62" s="32">
        <f t="shared" ref="AW62" si="772">IF($E60="Active",AW60,0)+IF($E61="Active",AW61,0)</f>
        <v>0</v>
      </c>
      <c r="AX62" s="32">
        <f t="shared" ref="AX62" si="773">IF($E60="Active",AX60,0)+IF($E61="Active",AX61,0)</f>
        <v>0</v>
      </c>
      <c r="AY62" s="32">
        <f t="shared" ref="AY62" si="774">IF($E60="Active",AY60,0)+IF($E61="Active",AY61,0)</f>
        <v>0</v>
      </c>
      <c r="AZ62" s="32">
        <f t="shared" ref="AZ62" si="775">IF($E60="Active",AZ60,0)+IF($E61="Active",AZ61,0)</f>
        <v>0</v>
      </c>
      <c r="BA62" s="32">
        <f t="shared" ref="BA62" si="776">IF($E60="Active",BA60,0)+IF($E61="Active",BA61,0)</f>
        <v>0</v>
      </c>
      <c r="BB62" s="32">
        <f t="shared" ref="BB62" si="777">IF($E60="Active",BB60,0)+IF($E61="Active",BB61,0)</f>
        <v>0</v>
      </c>
      <c r="BC62" s="32">
        <f t="shared" ref="BC62" si="778">IF($E60="Active",BC60,0)+IF($E61="Active",BC61,0)</f>
        <v>0</v>
      </c>
      <c r="BD62" s="32">
        <f t="shared" ref="BD62" si="779">IF($E60="Active",BD60,0)+IF($E61="Active",BD61,0)</f>
        <v>0</v>
      </c>
      <c r="BE62" s="32">
        <f t="shared" ref="BE62" si="780">IF($E60="Active",BE60,0)+IF($E61="Active",BE61,0)</f>
        <v>0</v>
      </c>
      <c r="BF62" s="32">
        <f t="shared" ref="BF62" si="781">IF($E60="Active",BF60,0)+IF($E61="Active",BF61,0)</f>
        <v>0</v>
      </c>
      <c r="BG62" s="32">
        <f t="shared" ref="BG62" si="782">IF($E60="Active",BG60,0)+IF($E61="Active",BG61,0)</f>
        <v>0</v>
      </c>
      <c r="BH62" s="32">
        <f t="shared" ref="BH62" si="783">IF($E60="Active",BH60,0)+IF($E61="Active",BH61,0)</f>
        <v>0</v>
      </c>
      <c r="BI62" s="32">
        <f t="shared" ref="BI62" si="784">IF($E60="Active",BI60,0)+IF($E61="Active",BI61,0)</f>
        <v>0</v>
      </c>
      <c r="BJ62" s="32">
        <f t="shared" ref="BJ62" si="785">IF($E60="Active",BJ60,0)+IF($E61="Active",BJ61,0)</f>
        <v>0</v>
      </c>
      <c r="BK62" s="32">
        <f t="shared" ref="BK62" si="786">IF($E60="Active",BK60,0)+IF($E61="Active",BK61,0)</f>
        <v>0</v>
      </c>
      <c r="BL62" s="32">
        <f t="shared" ref="BL62" si="787">IF($E60="Active",BL60,0)+IF($E61="Active",BL61,0)</f>
        <v>0</v>
      </c>
      <c r="BM62" s="32">
        <f t="shared" ref="BM62" si="788">IF($E60="Active",BM60,0)+IF($E61="Active",BM61,0)</f>
        <v>0</v>
      </c>
      <c r="BN62" s="32">
        <f t="shared" ref="BN62" si="789">IF($E60="Active",BN60,0)+IF($E61="Active",BN61,0)</f>
        <v>0</v>
      </c>
      <c r="BO62" s="32">
        <f t="shared" ref="BO62" si="790">IF($E60="Active",BO60,0)+IF($E61="Active",BO61,0)</f>
        <v>0</v>
      </c>
      <c r="BP62" s="32">
        <f t="shared" ref="BP62" si="791">IF($E60="Active",BP60,0)+IF($E61="Active",BP61,0)</f>
        <v>0</v>
      </c>
      <c r="BQ62" s="32">
        <f t="shared" ref="BQ62" si="792">IF($E60="Active",BQ60,0)+IF($E61="Active",BQ61,0)</f>
        <v>0</v>
      </c>
      <c r="BR62" s="32">
        <f t="shared" ref="BR62" si="793">IF($E60="Active",BR60,0)+IF($E61="Active",BR61,0)</f>
        <v>0</v>
      </c>
      <c r="BS62" s="32">
        <f t="shared" ref="BS62" si="794">IF($E60="Active",BS60,0)+IF($E61="Active",BS61,0)</f>
        <v>0</v>
      </c>
      <c r="BT62" s="32">
        <f t="shared" ref="BT62" si="795">IF($E60="Active",BT60,0)+IF($E61="Active",BT61,0)</f>
        <v>0</v>
      </c>
      <c r="BU62" s="32">
        <f t="shared" ref="BU62" si="796">IF($E60="Active",BU60,0)+IF($E61="Active",BU61,0)</f>
        <v>0</v>
      </c>
      <c r="BV62" s="32">
        <f t="shared" ref="BV62" si="797">IF($E60="Active",BV60,0)+IF($E61="Active",BV61,0)</f>
        <v>0</v>
      </c>
      <c r="BW62" s="32">
        <f t="shared" ref="BW62" si="798">IF($E60="Active",BW60,0)+IF($E61="Active",BW61,0)</f>
        <v>0</v>
      </c>
      <c r="BX62" s="32">
        <f t="shared" ref="BX62" si="799">IF($E60="Active",BX60,0)+IF($E61="Active",BX61,0)</f>
        <v>0</v>
      </c>
      <c r="BY62" s="32">
        <f t="shared" ref="BY62" si="800">IF($E60="Active",BY60,0)+IF($E61="Active",BY61,0)</f>
        <v>0</v>
      </c>
      <c r="BZ62" s="32">
        <f t="shared" ref="BZ62" si="801">IF($E60="Active",BZ60,0)+IF($E61="Active",BZ61,0)</f>
        <v>0</v>
      </c>
      <c r="CA62" s="32">
        <f t="shared" ref="CA62" si="802">IF($E60="Active",CA60,0)+IF($E61="Active",CA61,0)</f>
        <v>0</v>
      </c>
      <c r="CB62" s="32">
        <f t="shared" ref="CB62" si="803">IF($E60="Active",CB60,0)+IF($E61="Active",CB61,0)</f>
        <v>0</v>
      </c>
      <c r="CC62" s="32">
        <f t="shared" ref="CC62" si="804">IF($E60="Active",CC60,0)+IF($E61="Active",CC61,0)</f>
        <v>0</v>
      </c>
      <c r="CD62" s="32">
        <f t="shared" ref="CD62" si="805">IF($E60="Active",CD60,0)+IF($E61="Active",CD61,0)</f>
        <v>0</v>
      </c>
      <c r="CE62" s="32">
        <f t="shared" ref="CE62" si="806">IF($E60="Active",CE60,0)+IF($E61="Active",CE61,0)</f>
        <v>0</v>
      </c>
      <c r="CF62" s="32">
        <f t="shared" ref="CF62" si="807">IF($E60="Active",CF60,0)+IF($E61="Active",CF61,0)</f>
        <v>0</v>
      </c>
      <c r="CG62" s="32">
        <f t="shared" ref="CG62" si="808">IF($E60="Active",CG60,0)+IF($E61="Active",CG61,0)</f>
        <v>0</v>
      </c>
      <c r="CH62" s="32">
        <f t="shared" ref="CH62" si="809">IF($E60="Active",CH60,0)+IF($E61="Active",CH61,0)</f>
        <v>0</v>
      </c>
      <c r="CI62" s="32">
        <f t="shared" ref="CI62" si="810">IF($E60="Active",CI60,0)+IF($E61="Active",CI61,0)</f>
        <v>0</v>
      </c>
      <c r="CJ62" s="32">
        <f t="shared" ref="CJ62" si="811">IF($E60="Active",CJ60,0)+IF($E61="Active",CJ61,0)</f>
        <v>0</v>
      </c>
      <c r="CK62" s="32">
        <f t="shared" ref="CK62" si="812">IF($E60="Active",CK60,0)+IF($E61="Active",CK61,0)</f>
        <v>0</v>
      </c>
      <c r="CL62" s="32">
        <f t="shared" ref="CL62" si="813">IF($E60="Active",CL60,0)+IF($E61="Active",CL61,0)</f>
        <v>0</v>
      </c>
      <c r="CM62" s="32">
        <f t="shared" ref="CM62" si="814">IF($E60="Active",CM60,0)+IF($E61="Active",CM61,0)</f>
        <v>0</v>
      </c>
      <c r="CN62" s="32">
        <f t="shared" ref="CN62" si="815">IF($E60="Active",CN60,0)+IF($E61="Active",CN61,0)</f>
        <v>0</v>
      </c>
      <c r="CO62" s="32">
        <f t="shared" ref="CO62" si="816">IF($E60="Active",CO60,0)+IF($E61="Active",CO61,0)</f>
        <v>0</v>
      </c>
      <c r="CP62" s="32">
        <f t="shared" ref="CP62" si="817">IF($E60="Active",CP60,0)+IF($E61="Active",CP61,0)</f>
        <v>0</v>
      </c>
      <c r="CQ62" s="32">
        <f t="shared" ref="CQ62" si="818">IF($E60="Active",CQ60,0)+IF($E61="Active",CQ61,0)</f>
        <v>0</v>
      </c>
      <c r="CR62" s="32">
        <f t="shared" ref="CR62" si="819">IF($E60="Active",CR60,0)+IF($E61="Active",CR61,0)</f>
        <v>0</v>
      </c>
      <c r="CS62" s="32">
        <f t="shared" ref="CS62" si="820">IF($E60="Active",CS60,0)+IF($E61="Active",CS61,0)</f>
        <v>0</v>
      </c>
      <c r="CT62" s="32">
        <f t="shared" ref="CT62" si="821">IF($E60="Active",CT60,0)+IF($E61="Active",CT61,0)</f>
        <v>0</v>
      </c>
      <c r="CU62" s="32">
        <f t="shared" ref="CU62" si="822">IF($E60="Active",CU60,0)+IF($E61="Active",CU61,0)</f>
        <v>0</v>
      </c>
      <c r="CV62" s="32">
        <f t="shared" ref="CV62" si="823">IF($E60="Active",CV60,0)+IF($E61="Active",CV61,0)</f>
        <v>0</v>
      </c>
      <c r="CW62" s="32">
        <f t="shared" ref="CW62" si="824">IF($E60="Active",CW60,0)+IF($E61="Active",CW61,0)</f>
        <v>0</v>
      </c>
      <c r="CX62" s="32">
        <f t="shared" ref="CX62" si="825">IF($E60="Active",CX60,0)+IF($E61="Active",CX61,0)</f>
        <v>0</v>
      </c>
      <c r="CY62" s="32">
        <f t="shared" ref="CY62" si="826">IF($E60="Active",CY60,0)+IF($E61="Active",CY61,0)</f>
        <v>0</v>
      </c>
      <c r="CZ62" s="32">
        <f t="shared" ref="CZ62" si="827">IF($E60="Active",CZ60,0)+IF($E61="Active",CZ61,0)</f>
        <v>0</v>
      </c>
      <c r="DA62" s="32">
        <f t="shared" ref="DA62" si="828">IF($E60="Active",DA60,0)+IF($E61="Active",DA61,0)</f>
        <v>0</v>
      </c>
      <c r="DB62" s="32">
        <f t="shared" ref="DB62" si="829">IF($E60="Active",DB60,0)+IF($E61="Active",DB61,0)</f>
        <v>0</v>
      </c>
      <c r="DC62" s="32">
        <f t="shared" ref="DC62" si="830">IF($E60="Active",DC60,0)+IF($E61="Active",DC61,0)</f>
        <v>0</v>
      </c>
      <c r="DD62" s="32">
        <f t="shared" ref="DD62" si="831">IF($E60="Active",DD60,0)+IF($E61="Active",DD61,0)</f>
        <v>0</v>
      </c>
      <c r="DE62" s="32">
        <f t="shared" ref="DE62" si="832">IF($E60="Active",DE60,0)+IF($E61="Active",DE61,0)</f>
        <v>0</v>
      </c>
      <c r="DF62" s="32">
        <f t="shared" ref="DF62" si="833">IF($E60="Active",DF60,0)+IF($E61="Active",DF61,0)</f>
        <v>0</v>
      </c>
      <c r="DG62" s="32">
        <f t="shared" ref="DG62" si="834">IF($E60="Active",DG60,0)+IF($E61="Active",DG61,0)</f>
        <v>0</v>
      </c>
      <c r="DH62" s="32">
        <f t="shared" ref="DH62" si="835">IF($E60="Active",DH60,0)+IF($E61="Active",DH61,0)</f>
        <v>0</v>
      </c>
      <c r="DI62" s="32">
        <f t="shared" ref="DI62" si="836">IF($E60="Active",DI60,0)+IF($E61="Active",DI61,0)</f>
        <v>0</v>
      </c>
      <c r="DJ62" s="32">
        <f t="shared" ref="DJ62" si="837">IF($E60="Active",DJ60,0)+IF($E61="Active",DJ61,0)</f>
        <v>0</v>
      </c>
      <c r="DK62" s="32">
        <f t="shared" ref="DK62" si="838">IF($E60="Active",DK60,0)+IF($E61="Active",DK61,0)</f>
        <v>0</v>
      </c>
      <c r="DL62" s="32">
        <f t="shared" ref="DL62" si="839">IF($E60="Active",DL60,0)+IF($E61="Active",DL61,0)</f>
        <v>0</v>
      </c>
      <c r="DM62" s="32">
        <f t="shared" ref="DM62" si="840">IF($E60="Active",DM60,0)+IF($E61="Active",DM61,0)</f>
        <v>0</v>
      </c>
      <c r="DN62" s="32">
        <f t="shared" ref="DN62" si="841">IF($E60="Active",DN60,0)+IF($E61="Active",DN61,0)</f>
        <v>0</v>
      </c>
      <c r="DO62" s="32">
        <f t="shared" ref="DO62" si="842">IF($E60="Active",DO60,0)+IF($E61="Active",DO61,0)</f>
        <v>0</v>
      </c>
      <c r="DP62" s="32">
        <f t="shared" ref="DP62" si="843">IF($E60="Active",DP60,0)+IF($E61="Active",DP61,0)</f>
        <v>0</v>
      </c>
      <c r="DQ62" s="32">
        <f t="shared" ref="DQ62" si="844">IF($E60="Active",DQ60,0)+IF($E61="Active",DQ61,0)</f>
        <v>0</v>
      </c>
      <c r="DR62" s="32">
        <f t="shared" ref="DR62" si="845">IF($E60="Active",DR60,0)+IF($E61="Active",DR61,0)</f>
        <v>0</v>
      </c>
      <c r="DS62" s="32">
        <f t="shared" ref="DS62" si="846">IF($E60="Active",DS60,0)+IF($E61="Active",DS61,0)</f>
        <v>0</v>
      </c>
      <c r="DT62" s="32">
        <f t="shared" ref="DT62" si="847">IF($E60="Active",DT60,0)+IF($E61="Active",DT61,0)</f>
        <v>0</v>
      </c>
      <c r="DU62" s="32">
        <f t="shared" ref="DU62" si="848">IF($E60="Active",DU60,0)+IF($E61="Active",DU61,0)</f>
        <v>0</v>
      </c>
      <c r="DV62" s="32">
        <f t="shared" ref="DV62" si="849">IF($E60="Active",DV60,0)+IF($E61="Active",DV61,0)</f>
        <v>0</v>
      </c>
      <c r="DW62" s="32">
        <f t="shared" ref="DW62" si="850">IF($E60="Active",DW60,0)+IF($E61="Active",DW61,0)</f>
        <v>0</v>
      </c>
      <c r="DX62" s="32">
        <f t="shared" ref="DX62" si="851">IF($E60="Active",DX60,0)+IF($E61="Active",DX61,0)</f>
        <v>0</v>
      </c>
      <c r="DY62" s="32">
        <f t="shared" ref="DY62" si="852">IF($E60="Active",DY60,0)+IF($E61="Active",DY61,0)</f>
        <v>0</v>
      </c>
      <c r="DZ62" s="32">
        <f t="shared" ref="DZ62" si="853">IF($E60="Active",DZ60,0)+IF($E61="Active",DZ61,0)</f>
        <v>0</v>
      </c>
      <c r="EA62" s="32">
        <f t="shared" ref="EA62" si="854">IF($E60="Active",EA60,0)+IF($E61="Active",EA61,0)</f>
        <v>0</v>
      </c>
      <c r="EB62" s="32">
        <f t="shared" ref="EB62" si="855">IF($E60="Active",EB60,0)+IF($E61="Active",EB61,0)</f>
        <v>0</v>
      </c>
      <c r="EC62" s="32">
        <f t="shared" ref="EC62" si="856">IF($E60="Active",EC60,0)+IF($E61="Active",EC61,0)</f>
        <v>0</v>
      </c>
      <c r="ED62" s="32">
        <f t="shared" ref="ED62" si="857">IF($E60="Active",ED60,0)+IF($E61="Active",ED61,0)</f>
        <v>0</v>
      </c>
      <c r="EE62" s="32">
        <f t="shared" ref="EE62" si="858">IF($E60="Active",EE60,0)+IF($E61="Active",EE61,0)</f>
        <v>0</v>
      </c>
      <c r="EF62" s="32">
        <f t="shared" ref="EF62" si="859">IF($E60="Active",EF60,0)+IF($E61="Active",EF61,0)</f>
        <v>0</v>
      </c>
      <c r="EG62" s="32">
        <f t="shared" ref="EG62" si="860">IF($E60="Active",EG60,0)+IF($E61="Active",EG61,0)</f>
        <v>0</v>
      </c>
      <c r="EH62" s="32">
        <f t="shared" ref="EH62" si="861">IF($E60="Active",EH60,0)+IF($E61="Active",EH61,0)</f>
        <v>0</v>
      </c>
      <c r="EI62" s="32">
        <f t="shared" ref="EI62" si="862">IF($E60="Active",EI60,0)+IF($E61="Active",EI61,0)</f>
        <v>0</v>
      </c>
      <c r="EJ62" s="32">
        <f t="shared" ref="EJ62" si="863">IF($E60="Active",EJ60,0)+IF($E61="Active",EJ61,0)</f>
        <v>0</v>
      </c>
      <c r="EK62" s="32">
        <f t="shared" ref="EK62" si="864">IF($E60="Active",EK60,0)+IF($E61="Active",EK61,0)</f>
        <v>0</v>
      </c>
      <c r="EL62" s="32">
        <f t="shared" ref="EL62" si="865">IF($E60="Active",EL60,0)+IF($E61="Active",EL61,0)</f>
        <v>0</v>
      </c>
      <c r="EM62" s="32">
        <f t="shared" ref="EM62" si="866">IF($E60="Active",EM60,0)+IF($E61="Active",EM61,0)</f>
        <v>0</v>
      </c>
      <c r="EN62" s="32">
        <f t="shared" ref="EN62" si="867">IF($E60="Active",EN60,0)+IF($E61="Active",EN61,0)</f>
        <v>0</v>
      </c>
      <c r="EO62" s="32">
        <f t="shared" ref="EO62" si="868">IF($E60="Active",EO60,0)+IF($E61="Active",EO61,0)</f>
        <v>0</v>
      </c>
      <c r="EP62" s="32">
        <f t="shared" ref="EP62" si="869">IF($E60="Active",EP60,0)+IF($E61="Active",EP61,0)</f>
        <v>0</v>
      </c>
      <c r="EQ62" s="32">
        <f t="shared" ref="EQ62" si="870">IF($E60="Active",EQ60,0)+IF($E61="Active",EQ61,0)</f>
        <v>0</v>
      </c>
      <c r="ER62" s="32">
        <f t="shared" ref="ER62" si="871">IF($E60="Active",ER60,0)+IF($E61="Active",ER61,0)</f>
        <v>0</v>
      </c>
      <c r="ES62" s="32">
        <f t="shared" ref="ES62" si="872">IF($E60="Active",ES60,0)+IF($E61="Active",ES61,0)</f>
        <v>0</v>
      </c>
      <c r="ET62" s="32">
        <f t="shared" ref="ET62" si="873">IF($E60="Active",ET60,0)+IF($E61="Active",ET61,0)</f>
        <v>0</v>
      </c>
      <c r="EU62" s="32">
        <f t="shared" ref="EU62" si="874">IF($E60="Active",EU60,0)+IF($E61="Active",EU61,0)</f>
        <v>0</v>
      </c>
      <c r="EV62" s="32">
        <f t="shared" ref="EV62" si="875">IF($E60="Active",EV60,0)+IF($E61="Active",EV61,0)</f>
        <v>0</v>
      </c>
      <c r="EW62" s="32">
        <f t="shared" ref="EW62" si="876">IF($E60="Active",EW60,0)+IF($E61="Active",EW61,0)</f>
        <v>0</v>
      </c>
      <c r="EX62" s="32">
        <f t="shared" ref="EX62" si="877">IF($E60="Active",EX60,0)+IF($E61="Active",EX61,0)</f>
        <v>0</v>
      </c>
      <c r="EY62" s="32">
        <f t="shared" ref="EY62" si="878">IF($E60="Active",EY60,0)+IF($E61="Active",EY61,0)</f>
        <v>0</v>
      </c>
      <c r="EZ62" s="32">
        <f t="shared" ref="EZ62" si="879">IF($E60="Active",EZ60,0)+IF($E61="Active",EZ61,0)</f>
        <v>0</v>
      </c>
      <c r="FA62" s="32">
        <f t="shared" ref="FA62" si="880">IF($E60="Active",FA60,0)+IF($E61="Active",FA61,0)</f>
        <v>0</v>
      </c>
      <c r="FB62" s="32">
        <f t="shared" ref="FB62" si="881">IF($E60="Active",FB60,0)+IF($E61="Active",FB61,0)</f>
        <v>0</v>
      </c>
      <c r="FC62" s="32">
        <f t="shared" ref="FC62" si="882">IF($E60="Active",FC60,0)+IF($E61="Active",FC61,0)</f>
        <v>0</v>
      </c>
      <c r="FD62" s="32">
        <f t="shared" ref="FD62" si="883">IF($E60="Active",FD60,0)+IF($E61="Active",FD61,0)</f>
        <v>0</v>
      </c>
      <c r="FE62" s="32">
        <f t="shared" ref="FE62" si="884">IF($E60="Active",FE60,0)+IF($E61="Active",FE61,0)</f>
        <v>0</v>
      </c>
      <c r="FF62" s="32">
        <f t="shared" ref="FF62" si="885">IF($E60="Active",FF60,0)+IF($E61="Active",FF61,0)</f>
        <v>0</v>
      </c>
      <c r="FG62" s="32">
        <f t="shared" ref="FG62" si="886">IF($E60="Active",FG60,0)+IF($E61="Active",FG61,0)</f>
        <v>0</v>
      </c>
      <c r="FH62" s="32">
        <f t="shared" ref="FH62" si="887">IF($E60="Active",FH60,0)+IF($E61="Active",FH61,0)</f>
        <v>0</v>
      </c>
      <c r="FI62" s="32">
        <f t="shared" ref="FI62" si="888">IF($E60="Active",FI60,0)+IF($E61="Active",FI61,0)</f>
        <v>0</v>
      </c>
      <c r="FJ62" s="32">
        <f t="shared" ref="FJ62" si="889">IF($E60="Active",FJ60,0)+IF($E61="Active",FJ61,0)</f>
        <v>0</v>
      </c>
      <c r="FK62" s="32">
        <f t="shared" ref="FK62" si="890">IF($E60="Active",FK60,0)+IF($E61="Active",FK61,0)</f>
        <v>0</v>
      </c>
      <c r="FL62" s="32">
        <f t="shared" ref="FL62" si="891">IF($E60="Active",FL60,0)+IF($E61="Active",FL61,0)</f>
        <v>0</v>
      </c>
      <c r="FM62" s="32">
        <f t="shared" ref="FM62" si="892">IF($E60="Active",FM60,0)+IF($E61="Active",FM61,0)</f>
        <v>0</v>
      </c>
      <c r="FN62" s="32">
        <f t="shared" ref="FN62" si="893">IF($E60="Active",FN60,0)+IF($E61="Active",FN61,0)</f>
        <v>0</v>
      </c>
      <c r="FO62" s="32">
        <f t="shared" ref="FO62" si="894">IF($E60="Active",FO60,0)+IF($E61="Active",FO61,0)</f>
        <v>0</v>
      </c>
      <c r="FP62" s="32">
        <f t="shared" ref="FP62" si="895">IF($E60="Active",FP60,0)+IF($E61="Active",FP61,0)</f>
        <v>0</v>
      </c>
      <c r="FQ62" s="32">
        <f t="shared" ref="FQ62" si="896">IF($E60="Active",FQ60,0)+IF($E61="Active",FQ61,0)</f>
        <v>0</v>
      </c>
      <c r="FR62" s="32">
        <f t="shared" ref="FR62" si="897">IF($E60="Active",FR60,0)+IF($E61="Active",FR61,0)</f>
        <v>0</v>
      </c>
      <c r="FS62" s="32">
        <f t="shared" ref="FS62" si="898">IF($E60="Active",FS60,0)+IF($E61="Active",FS61,0)</f>
        <v>0</v>
      </c>
      <c r="FT62" s="32">
        <f t="shared" ref="FT62" si="899">IF($E60="Active",FT60,0)+IF($E61="Active",FT61,0)</f>
        <v>0</v>
      </c>
      <c r="FU62" s="32">
        <f t="shared" ref="FU62" si="900">IF($E60="Active",FU60,0)+IF($E61="Active",FU61,0)</f>
        <v>0</v>
      </c>
      <c r="FV62" s="32">
        <f t="shared" ref="FV62" si="901">IF($E60="Active",FV60,0)+IF($E61="Active",FV61,0)</f>
        <v>0</v>
      </c>
      <c r="FW62" s="32">
        <f t="shared" ref="FW62" si="902">IF($E60="Active",FW60,0)+IF($E61="Active",FW61,0)</f>
        <v>0</v>
      </c>
      <c r="FX62" s="32">
        <f t="shared" ref="FX62" si="903">IF($E60="Active",FX60,0)+IF($E61="Active",FX61,0)</f>
        <v>0</v>
      </c>
      <c r="FY62" s="32">
        <f t="shared" ref="FY62" si="904">IF($E60="Active",FY60,0)+IF($E61="Active",FY61,0)</f>
        <v>0</v>
      </c>
      <c r="FZ62" s="32">
        <f t="shared" ref="FZ62" si="905">IF($E60="Active",FZ60,0)+IF($E61="Active",FZ61,0)</f>
        <v>0</v>
      </c>
      <c r="GA62" s="32">
        <f t="shared" ref="GA62" si="906">IF($E60="Active",GA60,0)+IF($E61="Active",GA61,0)</f>
        <v>0</v>
      </c>
      <c r="GB62" s="32">
        <f t="shared" ref="GB62" si="907">IF($E60="Active",GB60,0)+IF($E61="Active",GB61,0)</f>
        <v>0</v>
      </c>
      <c r="GC62" s="32">
        <f t="shared" ref="GC62" si="908">IF($E60="Active",GC60,0)+IF($E61="Active",GC61,0)</f>
        <v>0</v>
      </c>
      <c r="GD62" s="32">
        <f t="shared" ref="GD62" si="909">IF($E60="Active",GD60,0)+IF($E61="Active",GD61,0)</f>
        <v>0</v>
      </c>
      <c r="GE62" s="32">
        <f t="shared" ref="GE62" si="910">IF($E60="Active",GE60,0)+IF($E61="Active",GE61,0)</f>
        <v>0</v>
      </c>
      <c r="GF62" s="32">
        <f t="shared" ref="GF62" si="911">IF($E60="Active",GF60,0)+IF($E61="Active",GF61,0)</f>
        <v>0</v>
      </c>
      <c r="GG62" s="32">
        <f t="shared" ref="GG62" si="912">IF($E60="Active",GG60,0)+IF($E61="Active",GG61,0)</f>
        <v>0</v>
      </c>
      <c r="GH62" s="32">
        <f t="shared" ref="GH62" si="913">IF($E60="Active",GH60,0)+IF($E61="Active",GH61,0)</f>
        <v>0</v>
      </c>
      <c r="GI62" s="32">
        <f>IF(E60="Active",GF60,0)+IF(E61="Active",GF61,0)</f>
        <v>0</v>
      </c>
      <c r="GJ62" s="32">
        <f>IF(E60="Active",GG60,0)+IF(E61="Active",GG61,0)</f>
        <v>0</v>
      </c>
      <c r="GK62" s="32">
        <f>IF(E60="Active",GH60,0)+IF(E61="Active",GH61,0)</f>
        <v>0</v>
      </c>
      <c r="GL62" s="32">
        <f>IF(E60="Active",GI60,0)+IF(E61="Active",GI61,0)</f>
        <v>0</v>
      </c>
      <c r="GM62" s="32">
        <f>IF(E60="Active",GJ60,0)+IF(E61="Active",GJ61,0)</f>
        <v>165</v>
      </c>
      <c r="GN62" s="32">
        <f>IF(E60="Active",GK60,0)+IF(E61="Active",GK61,0)</f>
        <v>0</v>
      </c>
      <c r="GO62" s="32">
        <f>IF(E60="Active",GL60,0)+IF(E61="Active",GL61,0)</f>
        <v>0</v>
      </c>
      <c r="GP62" s="32">
        <f>IF(E60="Active",GM60,0)+IF(E61="Active",GM61,0)</f>
        <v>0</v>
      </c>
      <c r="GQ62" s="32">
        <f>IF(E60="Active",GN60,0)+IF(E61="Active",GN61,0)</f>
        <v>0</v>
      </c>
      <c r="GR62" s="32">
        <f>IF(E60="Active",GO60,0)+IF(E61="Active",GO61,0)</f>
        <v>0</v>
      </c>
      <c r="GS62" s="32">
        <f>IF(E60="Active",GP60,0)+IF(E61="Active",GP61,0)</f>
        <v>0</v>
      </c>
      <c r="GT62" s="32">
        <f>IF(E60="Active",GQ60,0)+IF(E61="Active",GQ61,0)</f>
        <v>0</v>
      </c>
      <c r="GU62" s="32">
        <f>IF(E60="Active",GR60,0)+IF(E61="Active",GR61,0)</f>
        <v>0</v>
      </c>
      <c r="GV62" s="32">
        <f>IF(E60="Active",GS60,0)+IF(E61="Active",GS61,0)</f>
        <v>0</v>
      </c>
      <c r="GW62" s="32">
        <f>IF(E60="Active",GT60,0)+IF(E61="Active",GT61,0)</f>
        <v>0</v>
      </c>
    </row>
    <row r="64" spans="1:205" x14ac:dyDescent="0.35">
      <c r="A64" s="394" t="s">
        <v>399</v>
      </c>
      <c r="B64" s="395"/>
      <c r="C64" s="395"/>
      <c r="D64" s="395"/>
      <c r="E64" s="395"/>
      <c r="F64" s="395"/>
      <c r="G64" s="395"/>
      <c r="H64" s="395"/>
      <c r="I64" s="395"/>
      <c r="J64" s="395"/>
    </row>
    <row r="65" spans="1:205" ht="22" customHeight="1" x14ac:dyDescent="0.35">
      <c r="A65" s="392" t="s">
        <v>926</v>
      </c>
      <c r="B65" s="393"/>
      <c r="C65" s="393"/>
      <c r="D65" s="393"/>
      <c r="E65" s="393"/>
      <c r="F65" s="393"/>
      <c r="G65" s="393"/>
      <c r="H65" s="393"/>
      <c r="I65" s="393"/>
      <c r="J65" s="393"/>
      <c r="K65" s="393"/>
      <c r="L65" s="393"/>
      <c r="M65" s="393"/>
      <c r="N65" s="393"/>
      <c r="O65" s="393"/>
      <c r="P65" s="393"/>
      <c r="Q65" s="393"/>
      <c r="R65" s="393"/>
      <c r="S65" s="393"/>
      <c r="T65" s="393"/>
      <c r="U65" s="393"/>
      <c r="V65" s="393"/>
      <c r="W65" s="393"/>
      <c r="X65" s="393"/>
      <c r="Y65" s="393"/>
      <c r="Z65" s="393"/>
      <c r="AA65" s="393"/>
      <c r="AB65" s="393"/>
      <c r="AC65" s="393"/>
      <c r="AD65" s="393"/>
      <c r="AE65" s="393"/>
      <c r="AF65" s="393"/>
      <c r="AG65" s="393"/>
      <c r="AH65" s="393"/>
      <c r="AI65" s="393"/>
      <c r="AJ65" s="393"/>
      <c r="AK65" s="393"/>
      <c r="AL65" s="393"/>
      <c r="AM65" s="393"/>
      <c r="AN65" s="393"/>
      <c r="AO65" s="393"/>
      <c r="AP65" s="393"/>
      <c r="AQ65" s="393"/>
      <c r="AR65" s="393"/>
      <c r="AS65" s="393"/>
      <c r="AT65" s="393"/>
      <c r="AU65" s="393"/>
      <c r="AV65" s="393"/>
      <c r="AW65" s="393"/>
      <c r="AX65" s="393"/>
      <c r="AY65" s="393"/>
      <c r="AZ65" s="393"/>
      <c r="BA65" s="393"/>
      <c r="BB65" s="393"/>
      <c r="BC65" s="393"/>
      <c r="BD65" s="393"/>
      <c r="BE65" s="393"/>
      <c r="BF65" s="393"/>
      <c r="BG65" s="393"/>
      <c r="BH65" s="393"/>
      <c r="BI65" s="393"/>
      <c r="BJ65" s="393"/>
      <c r="BK65" s="393"/>
      <c r="BL65" s="393"/>
      <c r="BM65" s="393"/>
      <c r="BN65" s="393"/>
      <c r="BO65" s="393"/>
      <c r="BP65" s="393"/>
      <c r="BQ65" s="393"/>
      <c r="BR65" s="393"/>
      <c r="BS65" s="393"/>
      <c r="BT65" s="393"/>
      <c r="BU65" s="393"/>
      <c r="BV65" s="393"/>
      <c r="BW65" s="393"/>
      <c r="BX65" s="393"/>
      <c r="BY65" s="393"/>
      <c r="BZ65" s="393"/>
      <c r="CA65" s="393"/>
      <c r="CB65" s="393"/>
      <c r="CC65" s="393"/>
      <c r="CD65" s="393"/>
      <c r="CE65" s="393"/>
      <c r="CF65" s="393"/>
      <c r="CG65" s="393"/>
      <c r="CH65" s="393"/>
      <c r="CI65" s="393"/>
      <c r="CJ65" s="393"/>
      <c r="CK65" s="393"/>
      <c r="CL65" s="393"/>
      <c r="CM65" s="393"/>
      <c r="CN65" s="393"/>
      <c r="CO65" s="393"/>
      <c r="CP65" s="393"/>
      <c r="CQ65" s="393"/>
      <c r="CR65" s="393"/>
      <c r="CS65" s="393"/>
      <c r="CT65" s="393"/>
      <c r="CU65" s="393"/>
      <c r="CV65" s="393"/>
      <c r="CW65" s="393"/>
      <c r="CX65" s="393"/>
      <c r="CY65" s="393"/>
      <c r="CZ65" s="393"/>
      <c r="DA65" s="393"/>
      <c r="DB65" s="393"/>
      <c r="DC65" s="393"/>
      <c r="DD65" s="393"/>
      <c r="DE65" s="393"/>
      <c r="DF65" s="393"/>
      <c r="DG65" s="393"/>
      <c r="DH65" s="393"/>
      <c r="DI65" s="393"/>
      <c r="DJ65" s="393"/>
      <c r="DK65" s="393"/>
      <c r="DL65" s="393"/>
      <c r="DM65" s="393"/>
      <c r="DN65" s="393"/>
      <c r="DO65" s="393"/>
      <c r="DP65" s="393"/>
      <c r="DQ65" s="393"/>
      <c r="DR65" s="393"/>
      <c r="DS65" s="393"/>
      <c r="DT65" s="393"/>
      <c r="DU65" s="393"/>
      <c r="DV65" s="393"/>
      <c r="DW65" s="393"/>
      <c r="DX65" s="393"/>
      <c r="DY65" s="393"/>
      <c r="DZ65" s="393"/>
      <c r="EA65" s="393"/>
      <c r="EB65" s="393"/>
      <c r="EC65" s="393"/>
      <c r="ED65" s="393"/>
      <c r="EE65" s="393"/>
      <c r="EF65" s="393"/>
      <c r="EG65" s="393"/>
      <c r="EH65" s="393"/>
      <c r="EI65" s="393"/>
      <c r="EJ65" s="393"/>
      <c r="EK65" s="393"/>
      <c r="EL65" s="393"/>
      <c r="EM65" s="393"/>
      <c r="EN65" s="393"/>
      <c r="EO65" s="393"/>
      <c r="EP65" s="393"/>
      <c r="EQ65" s="393"/>
      <c r="ER65" s="393"/>
      <c r="ES65" s="393"/>
      <c r="ET65" s="393"/>
      <c r="EU65" s="393"/>
      <c r="EV65" s="393"/>
      <c r="EW65" s="393"/>
      <c r="EX65" s="393"/>
      <c r="EY65" s="393"/>
      <c r="EZ65" s="393"/>
      <c r="FA65" s="393"/>
      <c r="FB65" s="393"/>
      <c r="FC65" s="393"/>
      <c r="FD65" s="393"/>
      <c r="FE65" s="393"/>
      <c r="FF65" s="393"/>
      <c r="FG65" s="393"/>
      <c r="FH65" s="393"/>
      <c r="FI65" s="393"/>
      <c r="FJ65" s="393"/>
      <c r="FK65" s="393"/>
      <c r="FL65" s="393"/>
      <c r="FM65" s="393"/>
      <c r="FN65" s="393"/>
      <c r="FO65" s="393"/>
      <c r="FP65" s="393"/>
      <c r="FQ65" s="393"/>
      <c r="FR65" s="393"/>
      <c r="FS65" s="393"/>
      <c r="FT65" s="393"/>
      <c r="FU65" s="393"/>
      <c r="FV65" s="393"/>
      <c r="FW65" s="393"/>
      <c r="FX65" s="393"/>
      <c r="FY65" s="393"/>
      <c r="FZ65" s="393"/>
      <c r="GA65" s="393"/>
      <c r="GB65" s="393"/>
      <c r="GC65" s="393"/>
      <c r="GD65" s="393"/>
      <c r="GE65" s="393"/>
      <c r="GF65" s="393"/>
      <c r="GG65" s="393"/>
      <c r="GH65" s="393"/>
      <c r="GI65" s="393"/>
      <c r="GJ65" s="393"/>
      <c r="GK65" s="393"/>
      <c r="GL65" s="393"/>
      <c r="GM65" s="393"/>
      <c r="GN65" s="393"/>
      <c r="GO65" s="393"/>
      <c r="GP65" s="393"/>
      <c r="GQ65" s="393"/>
      <c r="GR65" s="393"/>
      <c r="GS65" s="393"/>
    </row>
    <row r="66" spans="1:205" ht="14" customHeight="1" x14ac:dyDescent="0.35">
      <c r="A66" s="10" t="s">
        <v>923</v>
      </c>
      <c r="B66" s="16" t="s">
        <v>924</v>
      </c>
      <c r="C66" s="12" t="s">
        <v>28</v>
      </c>
      <c r="D66" s="12" t="s">
        <v>29</v>
      </c>
      <c r="E66" s="21" t="str">
        <f>IFERROR(INDEX('Supplier Registry'!N:N,MATCH(1,(('Supplier Registry'!A:A="47mg Clinical")*('Supplier Registry'!B:B="Fisher Clinical")),0)),"Inactive")</f>
        <v>Inactive</v>
      </c>
      <c r="F66" s="21">
        <f>IFERROR(INDEX('Supplier Registry'!M:M,MATCH(1,(('Supplier Registry'!A:A="47mg Clinical")*('Supplier Registry'!B:B="Fisher Clinical")),0)),0)</f>
        <v>0</v>
      </c>
      <c r="G66" s="21">
        <f>IFERROR(INDEX('Supplier Registry'!E:E,MATCH(1,(('Supplier Registry'!A:A="47mg Clinical")*('Supplier Registry'!B:B="Fisher Clinical")),0)),0)</f>
        <v>0</v>
      </c>
      <c r="H66" s="58">
        <f>IFERROR(INDEX('Supplier Registry'!P:P,MATCH(1,(('Supplier Registry'!A:A="47mg Clinical")*('Supplier Registry'!B:B="Fisher Clinical")),0)),0)</f>
        <v>0</v>
      </c>
      <c r="I66" s="74">
        <f>IFERROR(EDATE(Controls!$B$5,H66),"")</f>
        <v>46113</v>
      </c>
      <c r="J66" s="75">
        <f>IFERROR(EDATE(Controls!$B$5,H66-1),"")</f>
        <v>46082</v>
      </c>
      <c r="K66" s="29"/>
      <c r="L66" s="29"/>
      <c r="M66" s="29"/>
      <c r="N66" s="29"/>
      <c r="O66" s="29"/>
      <c r="P66" s="29"/>
      <c r="Q66" s="29"/>
      <c r="R66" s="29"/>
      <c r="S66" s="29"/>
      <c r="T66" s="29"/>
      <c r="U66" s="29"/>
      <c r="V66" s="29"/>
      <c r="W66" s="29">
        <v>0</v>
      </c>
      <c r="X66" s="29">
        <v>0</v>
      </c>
      <c r="Y66" s="29">
        <v>0</v>
      </c>
      <c r="Z66" s="29">
        <v>0</v>
      </c>
      <c r="AA66" s="29">
        <v>0</v>
      </c>
      <c r="AB66" s="29">
        <v>0</v>
      </c>
      <c r="AC66" s="29">
        <v>0</v>
      </c>
      <c r="AD66" s="29">
        <v>0</v>
      </c>
      <c r="AE66" s="29">
        <v>0</v>
      </c>
      <c r="AF66" s="29">
        <v>0</v>
      </c>
      <c r="AG66" s="29">
        <v>0</v>
      </c>
      <c r="AH66" s="29">
        <v>0</v>
      </c>
      <c r="AI66" s="29">
        <v>0</v>
      </c>
      <c r="AJ66" s="29">
        <v>0</v>
      </c>
      <c r="AK66" s="29">
        <v>0</v>
      </c>
      <c r="AL66" s="29">
        <v>0</v>
      </c>
      <c r="AM66" s="29">
        <v>0</v>
      </c>
      <c r="AN66" s="29">
        <v>0</v>
      </c>
      <c r="AO66" s="29">
        <v>0</v>
      </c>
      <c r="AP66" s="29">
        <v>0</v>
      </c>
      <c r="AQ66" s="29">
        <v>0</v>
      </c>
      <c r="AR66" s="29">
        <v>0</v>
      </c>
      <c r="AS66" s="29">
        <v>0</v>
      </c>
      <c r="AT66" s="29">
        <v>0</v>
      </c>
      <c r="AU66" s="29">
        <v>0</v>
      </c>
      <c r="AV66" s="29">
        <v>0</v>
      </c>
      <c r="AW66" s="29">
        <v>0</v>
      </c>
      <c r="AX66" s="29">
        <v>0</v>
      </c>
      <c r="AY66" s="29">
        <v>0</v>
      </c>
      <c r="AZ66" s="29">
        <v>0</v>
      </c>
      <c r="BA66" s="29">
        <v>0</v>
      </c>
      <c r="BB66" s="29">
        <v>0</v>
      </c>
      <c r="BC66" s="29">
        <v>0</v>
      </c>
      <c r="BD66" s="29">
        <v>0</v>
      </c>
      <c r="BE66" s="29">
        <v>0</v>
      </c>
      <c r="BF66" s="29">
        <v>0</v>
      </c>
      <c r="BG66" s="29">
        <v>0</v>
      </c>
      <c r="BH66" s="29">
        <v>0</v>
      </c>
      <c r="BI66" s="29">
        <v>0</v>
      </c>
      <c r="BJ66" s="29">
        <v>0</v>
      </c>
      <c r="BK66" s="29">
        <v>0</v>
      </c>
      <c r="BL66" s="29">
        <v>0</v>
      </c>
      <c r="BM66" s="29">
        <v>0</v>
      </c>
      <c r="BN66" s="29">
        <v>0</v>
      </c>
      <c r="BO66" s="29">
        <v>0</v>
      </c>
      <c r="BP66" s="29">
        <v>0</v>
      </c>
      <c r="BQ66" s="29">
        <v>0</v>
      </c>
      <c r="BR66" s="29">
        <v>0</v>
      </c>
      <c r="BS66" s="29">
        <v>0</v>
      </c>
      <c r="BT66" s="29">
        <v>0</v>
      </c>
      <c r="BU66" s="29">
        <v>0</v>
      </c>
      <c r="BV66" s="29">
        <v>0</v>
      </c>
      <c r="BW66" s="29">
        <v>0</v>
      </c>
      <c r="BX66" s="29">
        <v>0</v>
      </c>
      <c r="BY66" s="29">
        <v>0</v>
      </c>
      <c r="BZ66" s="29">
        <v>0</v>
      </c>
      <c r="CA66" s="29">
        <v>0</v>
      </c>
      <c r="CB66" s="29">
        <v>0</v>
      </c>
      <c r="CC66" s="29">
        <v>0</v>
      </c>
      <c r="CD66" s="29">
        <v>0</v>
      </c>
      <c r="CE66" s="29">
        <v>0</v>
      </c>
      <c r="CF66" s="29">
        <v>0</v>
      </c>
      <c r="CG66" s="29">
        <v>0</v>
      </c>
      <c r="CH66" s="29">
        <v>0</v>
      </c>
      <c r="CI66" s="29">
        <v>0</v>
      </c>
      <c r="CJ66" s="29">
        <v>0</v>
      </c>
      <c r="CK66" s="29">
        <v>0</v>
      </c>
      <c r="CL66" s="29">
        <v>0</v>
      </c>
      <c r="CM66" s="29">
        <v>0</v>
      </c>
      <c r="CN66" s="29">
        <v>0</v>
      </c>
      <c r="CO66" s="29">
        <v>0</v>
      </c>
      <c r="CP66" s="29">
        <v>0</v>
      </c>
      <c r="CQ66" s="29">
        <v>0</v>
      </c>
      <c r="CR66" s="29">
        <v>0</v>
      </c>
      <c r="CS66" s="29">
        <v>0</v>
      </c>
      <c r="CT66" s="29">
        <v>0</v>
      </c>
      <c r="CU66" s="29">
        <v>0</v>
      </c>
      <c r="CV66" s="29">
        <v>0</v>
      </c>
      <c r="CW66" s="29">
        <v>0</v>
      </c>
      <c r="CX66" s="29">
        <v>0</v>
      </c>
      <c r="CY66" s="29">
        <v>0</v>
      </c>
      <c r="CZ66" s="29">
        <v>0</v>
      </c>
      <c r="DA66" s="29">
        <v>0</v>
      </c>
      <c r="DB66" s="29">
        <v>0</v>
      </c>
      <c r="DC66" s="29">
        <v>0</v>
      </c>
      <c r="DD66" s="29">
        <v>0</v>
      </c>
      <c r="DE66" s="29">
        <v>0</v>
      </c>
      <c r="DF66" s="29">
        <v>0</v>
      </c>
      <c r="DG66" s="29">
        <v>0</v>
      </c>
      <c r="DH66" s="29">
        <v>0</v>
      </c>
      <c r="DI66" s="29">
        <v>0</v>
      </c>
      <c r="DJ66" s="29">
        <v>0</v>
      </c>
      <c r="DK66" s="29">
        <v>0</v>
      </c>
      <c r="DL66" s="29">
        <v>0</v>
      </c>
      <c r="DM66" s="29">
        <v>0</v>
      </c>
      <c r="DN66" s="29">
        <v>0</v>
      </c>
      <c r="DO66" s="29">
        <v>0</v>
      </c>
      <c r="DP66" s="29">
        <v>0</v>
      </c>
      <c r="DQ66" s="29">
        <v>0</v>
      </c>
      <c r="DR66" s="29">
        <v>0</v>
      </c>
      <c r="DS66" s="29">
        <v>0</v>
      </c>
      <c r="DT66" s="29">
        <v>0</v>
      </c>
      <c r="DU66" s="29">
        <v>0</v>
      </c>
      <c r="DV66" s="29">
        <v>0</v>
      </c>
      <c r="DW66" s="29">
        <v>0</v>
      </c>
      <c r="DX66" s="29">
        <v>0</v>
      </c>
      <c r="DY66" s="29">
        <v>0</v>
      </c>
      <c r="DZ66" s="29">
        <v>0</v>
      </c>
      <c r="EA66" s="29">
        <v>0</v>
      </c>
      <c r="EB66" s="29">
        <v>0</v>
      </c>
      <c r="EC66" s="29">
        <v>0</v>
      </c>
      <c r="ED66" s="29">
        <v>0</v>
      </c>
      <c r="EE66" s="29">
        <v>0</v>
      </c>
      <c r="EF66" s="29">
        <v>0</v>
      </c>
      <c r="EG66" s="29">
        <v>0</v>
      </c>
      <c r="EH66" s="29">
        <v>0</v>
      </c>
      <c r="EI66" s="29">
        <v>0</v>
      </c>
      <c r="EJ66" s="29">
        <v>0</v>
      </c>
      <c r="EK66" s="29">
        <v>0</v>
      </c>
      <c r="EL66" s="29">
        <v>0</v>
      </c>
      <c r="EM66" s="29">
        <v>0</v>
      </c>
      <c r="EN66" s="29">
        <v>0</v>
      </c>
      <c r="EO66" s="29">
        <v>0</v>
      </c>
      <c r="EP66" s="29">
        <v>0</v>
      </c>
      <c r="EQ66" s="29">
        <v>0</v>
      </c>
      <c r="ER66" s="29">
        <v>0</v>
      </c>
      <c r="ES66" s="29">
        <v>0</v>
      </c>
      <c r="ET66" s="29">
        <v>0</v>
      </c>
      <c r="EU66" s="29">
        <v>0</v>
      </c>
      <c r="EV66" s="29">
        <v>0</v>
      </c>
      <c r="EW66" s="29">
        <v>0</v>
      </c>
      <c r="EX66" s="29">
        <v>0</v>
      </c>
      <c r="EY66" s="29">
        <v>0</v>
      </c>
      <c r="EZ66" s="29">
        <v>0</v>
      </c>
      <c r="FA66" s="29">
        <v>0</v>
      </c>
      <c r="FB66" s="29">
        <v>0</v>
      </c>
      <c r="FC66" s="29">
        <v>0</v>
      </c>
      <c r="FD66" s="29">
        <v>0</v>
      </c>
      <c r="FE66" s="29">
        <v>0</v>
      </c>
      <c r="FF66" s="29">
        <v>0</v>
      </c>
      <c r="FG66" s="29">
        <v>0</v>
      </c>
      <c r="FH66" s="29">
        <v>0</v>
      </c>
      <c r="FI66" s="29">
        <v>0</v>
      </c>
      <c r="FJ66" s="29">
        <v>0</v>
      </c>
      <c r="FK66" s="29">
        <v>0</v>
      </c>
      <c r="FL66" s="29">
        <v>0</v>
      </c>
      <c r="FM66" s="29">
        <v>0</v>
      </c>
      <c r="FN66" s="29">
        <v>0</v>
      </c>
      <c r="FO66" s="29">
        <v>0</v>
      </c>
      <c r="FP66" s="29">
        <v>0</v>
      </c>
      <c r="FQ66" s="29">
        <v>0</v>
      </c>
      <c r="FR66" s="29">
        <v>0</v>
      </c>
      <c r="FS66" s="29">
        <v>0</v>
      </c>
      <c r="FT66" s="29">
        <v>0</v>
      </c>
      <c r="FU66" s="29">
        <v>0</v>
      </c>
      <c r="FV66" s="29">
        <v>0</v>
      </c>
      <c r="FW66" s="29">
        <v>0</v>
      </c>
      <c r="FX66" s="29">
        <v>0</v>
      </c>
      <c r="FY66" s="29">
        <v>0</v>
      </c>
      <c r="FZ66" s="29">
        <v>0</v>
      </c>
      <c r="GA66" s="29">
        <v>0</v>
      </c>
      <c r="GB66" s="29">
        <v>0</v>
      </c>
      <c r="GC66" s="29">
        <v>0</v>
      </c>
      <c r="GD66" s="29">
        <v>0</v>
      </c>
      <c r="GE66" s="29">
        <v>0</v>
      </c>
      <c r="GF66" s="29">
        <v>0</v>
      </c>
      <c r="GG66" s="29">
        <v>0</v>
      </c>
      <c r="GH66" s="29">
        <v>0</v>
      </c>
      <c r="GI66" s="206">
        <f>SUM(K66:V66)</f>
        <v>0</v>
      </c>
      <c r="GJ66" s="206">
        <f>SUM(T66:AE66)</f>
        <v>0</v>
      </c>
      <c r="GK66" s="206">
        <f>SUM(AF66:AQ66)</f>
        <v>0</v>
      </c>
      <c r="GL66" s="206">
        <f>SUM(AR66:BC66)</f>
        <v>0</v>
      </c>
      <c r="GM66" s="206">
        <f>SUM(BD66:BO66)</f>
        <v>0</v>
      </c>
      <c r="GN66" s="206">
        <f>SUM(BP66:CA66)</f>
        <v>0</v>
      </c>
      <c r="GO66" s="206">
        <f>SUM(CB66:CM66)</f>
        <v>0</v>
      </c>
      <c r="GP66" s="206">
        <f>SUM(CN66:CY66)</f>
        <v>0</v>
      </c>
      <c r="GQ66" s="206">
        <f>SUM(CZ66:DK66)</f>
        <v>0</v>
      </c>
      <c r="GR66" s="206">
        <f>SUM(DL66:DW66)</f>
        <v>0</v>
      </c>
      <c r="GS66" s="206">
        <f>SUM(DX66:EI66)</f>
        <v>0</v>
      </c>
      <c r="GT66" s="206">
        <f>SUM(EJ66:EU66)</f>
        <v>0</v>
      </c>
      <c r="GU66" s="206">
        <f>SUM(EV66:FG66)</f>
        <v>0</v>
      </c>
      <c r="GV66" s="206">
        <f>SUM(FH66:FS66)</f>
        <v>0</v>
      </c>
      <c r="GW66" s="206">
        <f>SUM(FT66:GE66)</f>
        <v>0</v>
      </c>
    </row>
    <row r="67" spans="1:205" ht="18" customHeight="1" x14ac:dyDescent="0.35">
      <c r="A67" s="26" t="s">
        <v>923</v>
      </c>
      <c r="B67" s="26" t="s">
        <v>390</v>
      </c>
      <c r="C67" s="31" t="s">
        <v>28</v>
      </c>
      <c r="D67" s="31" t="s">
        <v>29</v>
      </c>
      <c r="E67" s="31"/>
      <c r="F67" s="31"/>
      <c r="G67" s="31"/>
      <c r="K67" s="32">
        <f t="shared" ref="K67:AP67" si="914">IF($E66="Active",K66,0)</f>
        <v>0</v>
      </c>
      <c r="L67" s="32">
        <f t="shared" si="914"/>
        <v>0</v>
      </c>
      <c r="M67" s="32">
        <f t="shared" si="914"/>
        <v>0</v>
      </c>
      <c r="N67" s="32">
        <f t="shared" si="914"/>
        <v>0</v>
      </c>
      <c r="O67" s="32">
        <f t="shared" si="914"/>
        <v>0</v>
      </c>
      <c r="P67" s="32">
        <f t="shared" si="914"/>
        <v>0</v>
      </c>
      <c r="Q67" s="32">
        <f t="shared" si="914"/>
        <v>0</v>
      </c>
      <c r="R67" s="32">
        <f t="shared" si="914"/>
        <v>0</v>
      </c>
      <c r="S67" s="32">
        <f t="shared" si="914"/>
        <v>0</v>
      </c>
      <c r="T67" s="32">
        <f t="shared" si="914"/>
        <v>0</v>
      </c>
      <c r="U67" s="32">
        <f t="shared" si="914"/>
        <v>0</v>
      </c>
      <c r="V67" s="32">
        <f t="shared" si="914"/>
        <v>0</v>
      </c>
      <c r="W67" s="32">
        <f t="shared" si="914"/>
        <v>0</v>
      </c>
      <c r="X67" s="32">
        <f t="shared" si="914"/>
        <v>0</v>
      </c>
      <c r="Y67" s="32">
        <f t="shared" si="914"/>
        <v>0</v>
      </c>
      <c r="Z67" s="32">
        <f t="shared" si="914"/>
        <v>0</v>
      </c>
      <c r="AA67" s="32">
        <f t="shared" si="914"/>
        <v>0</v>
      </c>
      <c r="AB67" s="32">
        <f t="shared" si="914"/>
        <v>0</v>
      </c>
      <c r="AC67" s="32">
        <f t="shared" si="914"/>
        <v>0</v>
      </c>
      <c r="AD67" s="32">
        <f t="shared" si="914"/>
        <v>0</v>
      </c>
      <c r="AE67" s="32">
        <f t="shared" si="914"/>
        <v>0</v>
      </c>
      <c r="AF67" s="32">
        <f t="shared" si="914"/>
        <v>0</v>
      </c>
      <c r="AG67" s="32">
        <f t="shared" si="914"/>
        <v>0</v>
      </c>
      <c r="AH67" s="32">
        <f t="shared" si="914"/>
        <v>0</v>
      </c>
      <c r="AI67" s="32">
        <f t="shared" si="914"/>
        <v>0</v>
      </c>
      <c r="AJ67" s="32">
        <f t="shared" si="914"/>
        <v>0</v>
      </c>
      <c r="AK67" s="32">
        <f t="shared" si="914"/>
        <v>0</v>
      </c>
      <c r="AL67" s="32">
        <f t="shared" si="914"/>
        <v>0</v>
      </c>
      <c r="AM67" s="32">
        <f t="shared" si="914"/>
        <v>0</v>
      </c>
      <c r="AN67" s="32">
        <f t="shared" si="914"/>
        <v>0</v>
      </c>
      <c r="AO67" s="32">
        <f t="shared" si="914"/>
        <v>0</v>
      </c>
      <c r="AP67" s="32">
        <f t="shared" si="914"/>
        <v>0</v>
      </c>
      <c r="AQ67" s="32">
        <f t="shared" ref="AQ67:BV67" si="915">IF($E66="Active",AQ66,0)</f>
        <v>0</v>
      </c>
      <c r="AR67" s="32">
        <f t="shared" si="915"/>
        <v>0</v>
      </c>
      <c r="AS67" s="32">
        <f t="shared" si="915"/>
        <v>0</v>
      </c>
      <c r="AT67" s="32">
        <f t="shared" si="915"/>
        <v>0</v>
      </c>
      <c r="AU67" s="32">
        <f t="shared" si="915"/>
        <v>0</v>
      </c>
      <c r="AV67" s="32">
        <f t="shared" si="915"/>
        <v>0</v>
      </c>
      <c r="AW67" s="32">
        <f t="shared" si="915"/>
        <v>0</v>
      </c>
      <c r="AX67" s="32">
        <f t="shared" si="915"/>
        <v>0</v>
      </c>
      <c r="AY67" s="32">
        <f t="shared" si="915"/>
        <v>0</v>
      </c>
      <c r="AZ67" s="32">
        <f t="shared" si="915"/>
        <v>0</v>
      </c>
      <c r="BA67" s="32">
        <f t="shared" si="915"/>
        <v>0</v>
      </c>
      <c r="BB67" s="32">
        <f t="shared" si="915"/>
        <v>0</v>
      </c>
      <c r="BC67" s="32">
        <f t="shared" si="915"/>
        <v>0</v>
      </c>
      <c r="BD67" s="32">
        <f t="shared" si="915"/>
        <v>0</v>
      </c>
      <c r="BE67" s="32">
        <f t="shared" si="915"/>
        <v>0</v>
      </c>
      <c r="BF67" s="32">
        <f t="shared" si="915"/>
        <v>0</v>
      </c>
      <c r="BG67" s="32">
        <f t="shared" si="915"/>
        <v>0</v>
      </c>
      <c r="BH67" s="32">
        <f t="shared" si="915"/>
        <v>0</v>
      </c>
      <c r="BI67" s="32">
        <f t="shared" si="915"/>
        <v>0</v>
      </c>
      <c r="BJ67" s="32">
        <f t="shared" si="915"/>
        <v>0</v>
      </c>
      <c r="BK67" s="32">
        <f t="shared" si="915"/>
        <v>0</v>
      </c>
      <c r="BL67" s="32">
        <f t="shared" si="915"/>
        <v>0</v>
      </c>
      <c r="BM67" s="32">
        <f t="shared" si="915"/>
        <v>0</v>
      </c>
      <c r="BN67" s="32">
        <f t="shared" si="915"/>
        <v>0</v>
      </c>
      <c r="BO67" s="32">
        <f t="shared" si="915"/>
        <v>0</v>
      </c>
      <c r="BP67" s="32">
        <f t="shared" si="915"/>
        <v>0</v>
      </c>
      <c r="BQ67" s="32">
        <f t="shared" si="915"/>
        <v>0</v>
      </c>
      <c r="BR67" s="32">
        <f t="shared" si="915"/>
        <v>0</v>
      </c>
      <c r="BS67" s="32">
        <f t="shared" si="915"/>
        <v>0</v>
      </c>
      <c r="BT67" s="32">
        <f t="shared" si="915"/>
        <v>0</v>
      </c>
      <c r="BU67" s="32">
        <f t="shared" si="915"/>
        <v>0</v>
      </c>
      <c r="BV67" s="32">
        <f t="shared" si="915"/>
        <v>0</v>
      </c>
      <c r="BW67" s="32">
        <f t="shared" ref="BW67:DB67" si="916">IF($E66="Active",BW66,0)</f>
        <v>0</v>
      </c>
      <c r="BX67" s="32">
        <f t="shared" si="916"/>
        <v>0</v>
      </c>
      <c r="BY67" s="32">
        <f t="shared" si="916"/>
        <v>0</v>
      </c>
      <c r="BZ67" s="32">
        <f t="shared" si="916"/>
        <v>0</v>
      </c>
      <c r="CA67" s="32">
        <f t="shared" si="916"/>
        <v>0</v>
      </c>
      <c r="CB67" s="32">
        <f t="shared" si="916"/>
        <v>0</v>
      </c>
      <c r="CC67" s="32">
        <f t="shared" si="916"/>
        <v>0</v>
      </c>
      <c r="CD67" s="32">
        <f t="shared" si="916"/>
        <v>0</v>
      </c>
      <c r="CE67" s="32">
        <f t="shared" si="916"/>
        <v>0</v>
      </c>
      <c r="CF67" s="32">
        <f t="shared" si="916"/>
        <v>0</v>
      </c>
      <c r="CG67" s="32">
        <f t="shared" si="916"/>
        <v>0</v>
      </c>
      <c r="CH67" s="32">
        <f t="shared" si="916"/>
        <v>0</v>
      </c>
      <c r="CI67" s="32">
        <f t="shared" si="916"/>
        <v>0</v>
      </c>
      <c r="CJ67" s="32">
        <f t="shared" si="916"/>
        <v>0</v>
      </c>
      <c r="CK67" s="32">
        <f t="shared" si="916"/>
        <v>0</v>
      </c>
      <c r="CL67" s="32">
        <f t="shared" si="916"/>
        <v>0</v>
      </c>
      <c r="CM67" s="32">
        <f t="shared" si="916"/>
        <v>0</v>
      </c>
      <c r="CN67" s="32">
        <f t="shared" si="916"/>
        <v>0</v>
      </c>
      <c r="CO67" s="32">
        <f t="shared" si="916"/>
        <v>0</v>
      </c>
      <c r="CP67" s="32">
        <f t="shared" si="916"/>
        <v>0</v>
      </c>
      <c r="CQ67" s="32">
        <f t="shared" si="916"/>
        <v>0</v>
      </c>
      <c r="CR67" s="32">
        <f t="shared" si="916"/>
        <v>0</v>
      </c>
      <c r="CS67" s="32">
        <f t="shared" si="916"/>
        <v>0</v>
      </c>
      <c r="CT67" s="32">
        <f t="shared" si="916"/>
        <v>0</v>
      </c>
      <c r="CU67" s="32">
        <f t="shared" si="916"/>
        <v>0</v>
      </c>
      <c r="CV67" s="32">
        <f t="shared" si="916"/>
        <v>0</v>
      </c>
      <c r="CW67" s="32">
        <f t="shared" si="916"/>
        <v>0</v>
      </c>
      <c r="CX67" s="32">
        <f t="shared" si="916"/>
        <v>0</v>
      </c>
      <c r="CY67" s="32">
        <f t="shared" si="916"/>
        <v>0</v>
      </c>
      <c r="CZ67" s="32">
        <f t="shared" si="916"/>
        <v>0</v>
      </c>
      <c r="DA67" s="32">
        <f t="shared" si="916"/>
        <v>0</v>
      </c>
      <c r="DB67" s="32">
        <f t="shared" si="916"/>
        <v>0</v>
      </c>
      <c r="DC67" s="32">
        <f t="shared" ref="DC67:EH67" si="917">IF($E66="Active",DC66,0)</f>
        <v>0</v>
      </c>
      <c r="DD67" s="32">
        <f t="shared" si="917"/>
        <v>0</v>
      </c>
      <c r="DE67" s="32">
        <f t="shared" si="917"/>
        <v>0</v>
      </c>
      <c r="DF67" s="32">
        <f t="shared" si="917"/>
        <v>0</v>
      </c>
      <c r="DG67" s="32">
        <f t="shared" si="917"/>
        <v>0</v>
      </c>
      <c r="DH67" s="32">
        <f t="shared" si="917"/>
        <v>0</v>
      </c>
      <c r="DI67" s="32">
        <f t="shared" si="917"/>
        <v>0</v>
      </c>
      <c r="DJ67" s="32">
        <f t="shared" si="917"/>
        <v>0</v>
      </c>
      <c r="DK67" s="32">
        <f t="shared" si="917"/>
        <v>0</v>
      </c>
      <c r="DL67" s="32">
        <f t="shared" si="917"/>
        <v>0</v>
      </c>
      <c r="DM67" s="32">
        <f t="shared" si="917"/>
        <v>0</v>
      </c>
      <c r="DN67" s="32">
        <f t="shared" si="917"/>
        <v>0</v>
      </c>
      <c r="DO67" s="32">
        <f t="shared" si="917"/>
        <v>0</v>
      </c>
      <c r="DP67" s="32">
        <f t="shared" si="917"/>
        <v>0</v>
      </c>
      <c r="DQ67" s="32">
        <f t="shared" si="917"/>
        <v>0</v>
      </c>
      <c r="DR67" s="32">
        <f t="shared" si="917"/>
        <v>0</v>
      </c>
      <c r="DS67" s="32">
        <f t="shared" si="917"/>
        <v>0</v>
      </c>
      <c r="DT67" s="32">
        <f t="shared" si="917"/>
        <v>0</v>
      </c>
      <c r="DU67" s="32">
        <f t="shared" si="917"/>
        <v>0</v>
      </c>
      <c r="DV67" s="32">
        <f t="shared" si="917"/>
        <v>0</v>
      </c>
      <c r="DW67" s="32">
        <f t="shared" si="917"/>
        <v>0</v>
      </c>
      <c r="DX67" s="32">
        <f t="shared" si="917"/>
        <v>0</v>
      </c>
      <c r="DY67" s="32">
        <f t="shared" si="917"/>
        <v>0</v>
      </c>
      <c r="DZ67" s="32">
        <f t="shared" si="917"/>
        <v>0</v>
      </c>
      <c r="EA67" s="32">
        <f t="shared" si="917"/>
        <v>0</v>
      </c>
      <c r="EB67" s="32">
        <f t="shared" si="917"/>
        <v>0</v>
      </c>
      <c r="EC67" s="32">
        <f t="shared" si="917"/>
        <v>0</v>
      </c>
      <c r="ED67" s="32">
        <f t="shared" si="917"/>
        <v>0</v>
      </c>
      <c r="EE67" s="32">
        <f t="shared" si="917"/>
        <v>0</v>
      </c>
      <c r="EF67" s="32">
        <f t="shared" si="917"/>
        <v>0</v>
      </c>
      <c r="EG67" s="32">
        <f t="shared" si="917"/>
        <v>0</v>
      </c>
      <c r="EH67" s="32">
        <f t="shared" si="917"/>
        <v>0</v>
      </c>
      <c r="EI67" s="32">
        <f t="shared" ref="EI67:FN67" si="918">IF($E66="Active",EI66,0)</f>
        <v>0</v>
      </c>
      <c r="EJ67" s="32">
        <f t="shared" si="918"/>
        <v>0</v>
      </c>
      <c r="EK67" s="32">
        <f t="shared" si="918"/>
        <v>0</v>
      </c>
      <c r="EL67" s="32">
        <f t="shared" si="918"/>
        <v>0</v>
      </c>
      <c r="EM67" s="32">
        <f t="shared" si="918"/>
        <v>0</v>
      </c>
      <c r="EN67" s="32">
        <f t="shared" si="918"/>
        <v>0</v>
      </c>
      <c r="EO67" s="32">
        <f t="shared" si="918"/>
        <v>0</v>
      </c>
      <c r="EP67" s="32">
        <f t="shared" si="918"/>
        <v>0</v>
      </c>
      <c r="EQ67" s="32">
        <f t="shared" si="918"/>
        <v>0</v>
      </c>
      <c r="ER67" s="32">
        <f t="shared" si="918"/>
        <v>0</v>
      </c>
      <c r="ES67" s="32">
        <f t="shared" si="918"/>
        <v>0</v>
      </c>
      <c r="ET67" s="32">
        <f t="shared" si="918"/>
        <v>0</v>
      </c>
      <c r="EU67" s="32">
        <f t="shared" si="918"/>
        <v>0</v>
      </c>
      <c r="EV67" s="32">
        <f t="shared" si="918"/>
        <v>0</v>
      </c>
      <c r="EW67" s="32">
        <f t="shared" si="918"/>
        <v>0</v>
      </c>
      <c r="EX67" s="32">
        <f t="shared" si="918"/>
        <v>0</v>
      </c>
      <c r="EY67" s="32">
        <f t="shared" si="918"/>
        <v>0</v>
      </c>
      <c r="EZ67" s="32">
        <f t="shared" si="918"/>
        <v>0</v>
      </c>
      <c r="FA67" s="32">
        <f t="shared" si="918"/>
        <v>0</v>
      </c>
      <c r="FB67" s="32">
        <f t="shared" si="918"/>
        <v>0</v>
      </c>
      <c r="FC67" s="32">
        <f t="shared" si="918"/>
        <v>0</v>
      </c>
      <c r="FD67" s="32">
        <f t="shared" si="918"/>
        <v>0</v>
      </c>
      <c r="FE67" s="32">
        <f t="shared" si="918"/>
        <v>0</v>
      </c>
      <c r="FF67" s="32">
        <f t="shared" si="918"/>
        <v>0</v>
      </c>
      <c r="FG67" s="32">
        <f t="shared" si="918"/>
        <v>0</v>
      </c>
      <c r="FH67" s="32">
        <f t="shared" si="918"/>
        <v>0</v>
      </c>
      <c r="FI67" s="32">
        <f t="shared" si="918"/>
        <v>0</v>
      </c>
      <c r="FJ67" s="32">
        <f t="shared" si="918"/>
        <v>0</v>
      </c>
      <c r="FK67" s="32">
        <f t="shared" si="918"/>
        <v>0</v>
      </c>
      <c r="FL67" s="32">
        <f t="shared" si="918"/>
        <v>0</v>
      </c>
      <c r="FM67" s="32">
        <f t="shared" si="918"/>
        <v>0</v>
      </c>
      <c r="FN67" s="32">
        <f t="shared" si="918"/>
        <v>0</v>
      </c>
      <c r="FO67" s="32">
        <f t="shared" ref="FO67:GH67" si="919">IF($E66="Active",FO66,0)</f>
        <v>0</v>
      </c>
      <c r="FP67" s="32">
        <f t="shared" si="919"/>
        <v>0</v>
      </c>
      <c r="FQ67" s="32">
        <f t="shared" si="919"/>
        <v>0</v>
      </c>
      <c r="FR67" s="32">
        <f t="shared" si="919"/>
        <v>0</v>
      </c>
      <c r="FS67" s="32">
        <f t="shared" si="919"/>
        <v>0</v>
      </c>
      <c r="FT67" s="32">
        <f t="shared" si="919"/>
        <v>0</v>
      </c>
      <c r="FU67" s="32">
        <f t="shared" si="919"/>
        <v>0</v>
      </c>
      <c r="FV67" s="32">
        <f t="shared" si="919"/>
        <v>0</v>
      </c>
      <c r="FW67" s="32">
        <f t="shared" si="919"/>
        <v>0</v>
      </c>
      <c r="FX67" s="32">
        <f t="shared" si="919"/>
        <v>0</v>
      </c>
      <c r="FY67" s="32">
        <f t="shared" si="919"/>
        <v>0</v>
      </c>
      <c r="FZ67" s="32">
        <f t="shared" si="919"/>
        <v>0</v>
      </c>
      <c r="GA67" s="32">
        <f t="shared" si="919"/>
        <v>0</v>
      </c>
      <c r="GB67" s="32">
        <f t="shared" si="919"/>
        <v>0</v>
      </c>
      <c r="GC67" s="32">
        <f t="shared" si="919"/>
        <v>0</v>
      </c>
      <c r="GD67" s="32">
        <f t="shared" si="919"/>
        <v>0</v>
      </c>
      <c r="GE67" s="32">
        <f t="shared" si="919"/>
        <v>0</v>
      </c>
      <c r="GF67" s="32">
        <f t="shared" si="919"/>
        <v>0</v>
      </c>
      <c r="GG67" s="32">
        <f t="shared" si="919"/>
        <v>0</v>
      </c>
      <c r="GH67" s="32">
        <f t="shared" si="919"/>
        <v>0</v>
      </c>
      <c r="GI67" s="32"/>
      <c r="GJ67" s="32"/>
      <c r="GK67" s="32"/>
      <c r="GL67" s="32"/>
      <c r="GM67" s="32"/>
      <c r="GN67" s="32"/>
      <c r="GO67" s="32"/>
      <c r="GP67" s="32"/>
      <c r="GQ67" s="32"/>
      <c r="GR67" s="32"/>
      <c r="GS67" s="32"/>
      <c r="GT67" s="32"/>
      <c r="GU67" s="32"/>
      <c r="GV67" s="32"/>
      <c r="GW67" s="32"/>
    </row>
  </sheetData>
  <mergeCells count="14">
    <mergeCell ref="A65:GS65"/>
    <mergeCell ref="A64:J64"/>
    <mergeCell ref="A1:GE1"/>
    <mergeCell ref="A29:GS29"/>
    <mergeCell ref="A34:GS34"/>
    <mergeCell ref="A23:GS23"/>
    <mergeCell ref="A59:GS59"/>
    <mergeCell ref="A10:GS10"/>
    <mergeCell ref="A49:GS49"/>
    <mergeCell ref="A44:GS44"/>
    <mergeCell ref="A2:GE2"/>
    <mergeCell ref="A54:GS54"/>
    <mergeCell ref="A39:GS39"/>
    <mergeCell ref="A4:GS4"/>
  </mergeCells>
  <pageMargins left="0.75" right="0.75" top="1" bottom="1" header="0.5" footer="0.5"/>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Module1.ClearProductionSchedule">
                <anchor moveWithCells="1" sizeWithCells="1">
                  <from>
                    <xdr:col>0</xdr:col>
                    <xdr:colOff>749300</xdr:colOff>
                    <xdr:row>0</xdr:row>
                    <xdr:rowOff>0</xdr:rowOff>
                  </from>
                  <to>
                    <xdr:col>1</xdr:col>
                    <xdr:colOff>1339850</xdr:colOff>
                    <xdr:row>1</xdr:row>
                    <xdr:rowOff>273050</xdr:rowOff>
                  </to>
                </anchor>
              </controlPr>
            </control>
          </mc:Choice>
        </mc:AlternateContent>
        <mc:AlternateContent xmlns:mc="http://schemas.openxmlformats.org/markup-compatibility/2006">
          <mc:Choice Requires="x14">
            <control shapeId="6146" r:id="rId5" name="Button 2">
              <controlPr defaultSize="0" print="0" autoFill="0" autoPict="0" macro="[0]!Module1.RefreshProductionSchedule">
                <anchor moveWithCells="1" sizeWithCells="1">
                  <from>
                    <xdr:col>1</xdr:col>
                    <xdr:colOff>1746250</xdr:colOff>
                    <xdr:row>0</xdr:row>
                    <xdr:rowOff>25400</xdr:rowOff>
                  </from>
                  <to>
                    <xdr:col>4</xdr:col>
                    <xdr:colOff>279400</xdr:colOff>
                    <xdr:row>2</xdr:row>
                    <xdr:rowOff>12700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I26"/>
  <sheetViews>
    <sheetView showGridLines="0" zoomScale="70" zoomScaleNormal="70" workbookViewId="0">
      <selection activeCell="D5" sqref="D4:D5"/>
    </sheetView>
  </sheetViews>
  <sheetFormatPr defaultRowHeight="14.5" x14ac:dyDescent="0.35"/>
  <cols>
    <col min="1" max="2" width="20" customWidth="1"/>
    <col min="3" max="3" width="28" customWidth="1"/>
    <col min="4" max="4" width="16" customWidth="1"/>
    <col min="5" max="5" width="28" customWidth="1"/>
    <col min="6" max="7" width="16" customWidth="1"/>
    <col min="8" max="8" width="14" customWidth="1"/>
    <col min="9" max="9" width="45" customWidth="1"/>
  </cols>
  <sheetData>
    <row r="1" spans="1:9" ht="22" customHeight="1" x14ac:dyDescent="0.35">
      <c r="A1" s="411" t="s">
        <v>400</v>
      </c>
      <c r="B1" s="395"/>
      <c r="C1" s="395"/>
      <c r="D1" s="395"/>
      <c r="E1" s="395"/>
      <c r="F1" s="395"/>
      <c r="G1" s="395"/>
      <c r="H1" s="395"/>
      <c r="I1" s="395"/>
    </row>
    <row r="2" spans="1:9" ht="22" customHeight="1" x14ac:dyDescent="0.35">
      <c r="A2" s="397" t="s">
        <v>401</v>
      </c>
      <c r="B2" s="395"/>
      <c r="C2" s="395"/>
      <c r="D2" s="395"/>
      <c r="E2" s="395"/>
      <c r="F2" s="395"/>
      <c r="G2" s="395"/>
      <c r="H2" s="395"/>
      <c r="I2" s="395"/>
    </row>
    <row r="3" spans="1:9" ht="32" customHeight="1" x14ac:dyDescent="0.35">
      <c r="A3" s="1" t="s">
        <v>402</v>
      </c>
      <c r="B3" s="1" t="s">
        <v>403</v>
      </c>
      <c r="C3" s="1" t="s">
        <v>404</v>
      </c>
      <c r="D3" s="1" t="s">
        <v>405</v>
      </c>
      <c r="E3" s="1" t="s">
        <v>406</v>
      </c>
      <c r="F3" s="1" t="s">
        <v>407</v>
      </c>
      <c r="G3" s="1" t="s">
        <v>408</v>
      </c>
      <c r="H3" s="1" t="s">
        <v>15</v>
      </c>
      <c r="I3" s="1" t="s">
        <v>16</v>
      </c>
    </row>
    <row r="4" spans="1:9" ht="14" customHeight="1" x14ac:dyDescent="0.35">
      <c r="A4" s="10" t="s">
        <v>26</v>
      </c>
      <c r="B4" s="25" t="s">
        <v>36</v>
      </c>
      <c r="C4" s="33"/>
      <c r="D4" s="34">
        <v>1</v>
      </c>
      <c r="E4" s="13" t="s">
        <v>409</v>
      </c>
      <c r="F4" s="6"/>
      <c r="G4" s="6"/>
      <c r="H4" s="8" t="str">
        <f t="shared" ref="H4:H20" ca="1" si="0">IF(AND(OR(F4="",F4&lt;=TODAY()),OR(G4="",G4&gt;=TODAY())),"Active","Inactive")</f>
        <v>Active</v>
      </c>
      <c r="I4" s="13" t="s">
        <v>410</v>
      </c>
    </row>
    <row r="5" spans="1:9" ht="14" customHeight="1" x14ac:dyDescent="0.35">
      <c r="A5" s="2" t="s">
        <v>35</v>
      </c>
      <c r="B5" s="22" t="s">
        <v>43</v>
      </c>
      <c r="C5" s="35"/>
      <c r="D5" s="34">
        <v>1</v>
      </c>
      <c r="E5" s="9" t="s">
        <v>409</v>
      </c>
      <c r="F5" s="6"/>
      <c r="G5" s="6"/>
      <c r="H5" s="8" t="str">
        <f t="shared" ca="1" si="0"/>
        <v>Active</v>
      </c>
      <c r="I5" s="9" t="s">
        <v>411</v>
      </c>
    </row>
    <row r="6" spans="1:9" ht="14" customHeight="1" x14ac:dyDescent="0.35">
      <c r="A6" s="10" t="s">
        <v>36</v>
      </c>
      <c r="B6" s="25" t="s">
        <v>45</v>
      </c>
      <c r="C6" s="33" t="s">
        <v>37</v>
      </c>
      <c r="D6" s="34">
        <f>4.3/'Supplier Registry'!E12</f>
        <v>2.654320987654321E-4</v>
      </c>
      <c r="E6" s="13" t="s">
        <v>412</v>
      </c>
      <c r="F6" s="6"/>
      <c r="G6" s="6" t="s">
        <v>39</v>
      </c>
      <c r="H6" s="8" t="str">
        <f t="shared" ca="1" si="0"/>
        <v>Active</v>
      </c>
      <c r="I6" s="13" t="s">
        <v>413</v>
      </c>
    </row>
    <row r="7" spans="1:9" ht="14" customHeight="1" x14ac:dyDescent="0.35">
      <c r="A7" s="2" t="s">
        <v>36</v>
      </c>
      <c r="B7" s="22" t="s">
        <v>45</v>
      </c>
      <c r="C7" s="35" t="s">
        <v>40</v>
      </c>
      <c r="D7" s="34">
        <f>4.3/'Supplier Registry'!E13</f>
        <v>2.4571428571428569E-4</v>
      </c>
      <c r="E7" s="9" t="s">
        <v>412</v>
      </c>
      <c r="F7" s="6" t="s">
        <v>32</v>
      </c>
      <c r="G7" s="6"/>
      <c r="H7" s="8" t="str">
        <f t="shared" ca="1" si="0"/>
        <v>Inactive</v>
      </c>
      <c r="I7" s="9" t="s">
        <v>414</v>
      </c>
    </row>
    <row r="8" spans="1:9" ht="14" customHeight="1" x14ac:dyDescent="0.35">
      <c r="A8" s="10" t="s">
        <v>36</v>
      </c>
      <c r="B8" s="25" t="s">
        <v>45</v>
      </c>
      <c r="C8" s="33" t="s">
        <v>41</v>
      </c>
      <c r="D8" s="34">
        <f>7.4/'Supplier Registry'!E14</f>
        <v>2.3125000000000001E-4</v>
      </c>
      <c r="E8" s="13" t="s">
        <v>412</v>
      </c>
      <c r="F8" s="6"/>
      <c r="G8" s="6"/>
      <c r="H8" s="8" t="str">
        <f t="shared" ca="1" si="0"/>
        <v>Active</v>
      </c>
      <c r="I8" s="13" t="s">
        <v>415</v>
      </c>
    </row>
    <row r="9" spans="1:9" ht="14" customHeight="1" x14ac:dyDescent="0.35">
      <c r="A9" s="2" t="s">
        <v>43</v>
      </c>
      <c r="B9" s="22" t="s">
        <v>45</v>
      </c>
      <c r="C9" s="35" t="s">
        <v>44</v>
      </c>
      <c r="D9" s="34">
        <f>0.7/'Supplier Registry'!E15</f>
        <v>6.9999999999999994E-5</v>
      </c>
      <c r="E9" s="9" t="s">
        <v>416</v>
      </c>
      <c r="F9" s="6"/>
      <c r="G9" s="6"/>
      <c r="H9" s="8" t="str">
        <f t="shared" ca="1" si="0"/>
        <v>Active</v>
      </c>
      <c r="I9" s="9" t="s">
        <v>932</v>
      </c>
    </row>
    <row r="10" spans="1:9" ht="14" customHeight="1" x14ac:dyDescent="0.35">
      <c r="A10" s="10" t="s">
        <v>43</v>
      </c>
      <c r="B10" s="25" t="s">
        <v>45</v>
      </c>
      <c r="C10" s="33" t="s">
        <v>41</v>
      </c>
      <c r="D10" s="34">
        <f>2.1/'Supplier Registry'!E16</f>
        <v>6.5625000000000009E-5</v>
      </c>
      <c r="E10" s="13" t="s">
        <v>416</v>
      </c>
      <c r="F10" s="6"/>
      <c r="G10" s="6"/>
      <c r="H10" s="8" t="str">
        <f t="shared" ca="1" si="0"/>
        <v>Active</v>
      </c>
      <c r="I10" s="13" t="s">
        <v>415</v>
      </c>
    </row>
    <row r="11" spans="1:9" ht="14" customHeight="1" x14ac:dyDescent="0.35">
      <c r="A11" s="2" t="s">
        <v>45</v>
      </c>
      <c r="B11" s="22" t="s">
        <v>50</v>
      </c>
      <c r="C11" s="35" t="s">
        <v>51</v>
      </c>
      <c r="D11" s="34">
        <v>1.558139534883721</v>
      </c>
      <c r="E11" s="9" t="s">
        <v>417</v>
      </c>
      <c r="F11" s="6"/>
      <c r="G11" s="6"/>
      <c r="H11" s="8" t="str">
        <f t="shared" ca="1" si="0"/>
        <v>Active</v>
      </c>
      <c r="I11" s="9" t="s">
        <v>418</v>
      </c>
    </row>
    <row r="12" spans="1:9" ht="14" customHeight="1" x14ac:dyDescent="0.35">
      <c r="A12" s="10" t="s">
        <v>45</v>
      </c>
      <c r="B12" s="25" t="s">
        <v>50</v>
      </c>
      <c r="C12" s="33" t="s">
        <v>53</v>
      </c>
      <c r="D12" s="34">
        <v>1.558139534883721</v>
      </c>
      <c r="E12" s="13" t="s">
        <v>417</v>
      </c>
      <c r="F12" s="6" t="s">
        <v>34</v>
      </c>
      <c r="G12" s="6"/>
      <c r="H12" s="8" t="str">
        <f t="shared" ca="1" si="0"/>
        <v>Inactive</v>
      </c>
      <c r="I12" s="13" t="s">
        <v>419</v>
      </c>
    </row>
    <row r="13" spans="1:9" ht="14" customHeight="1" x14ac:dyDescent="0.35">
      <c r="A13" s="2" t="s">
        <v>45</v>
      </c>
      <c r="B13" s="22" t="s">
        <v>54</v>
      </c>
      <c r="C13" s="35" t="s">
        <v>55</v>
      </c>
      <c r="D13" s="34">
        <v>6.8279069767441865</v>
      </c>
      <c r="E13" s="9" t="s">
        <v>420</v>
      </c>
      <c r="F13" s="6"/>
      <c r="G13" s="6"/>
      <c r="H13" s="8" t="str">
        <f t="shared" ca="1" si="0"/>
        <v>Active</v>
      </c>
      <c r="I13" s="9" t="s">
        <v>421</v>
      </c>
    </row>
    <row r="14" spans="1:9" ht="14" customHeight="1" x14ac:dyDescent="0.35">
      <c r="A14" s="10" t="s">
        <v>45</v>
      </c>
      <c r="B14" s="25" t="s">
        <v>54</v>
      </c>
      <c r="C14" s="33" t="s">
        <v>53</v>
      </c>
      <c r="D14" s="34">
        <v>6.8279069767441865</v>
      </c>
      <c r="E14" s="13" t="s">
        <v>420</v>
      </c>
      <c r="F14" s="6" t="s">
        <v>30</v>
      </c>
      <c r="G14" s="6"/>
      <c r="H14" s="8" t="str">
        <f t="shared" ca="1" si="0"/>
        <v>Inactive</v>
      </c>
      <c r="I14" s="13" t="s">
        <v>422</v>
      </c>
    </row>
    <row r="15" spans="1:9" ht="14" customHeight="1" x14ac:dyDescent="0.35">
      <c r="A15" s="2" t="s">
        <v>45</v>
      </c>
      <c r="B15" s="22" t="s">
        <v>56</v>
      </c>
      <c r="C15" s="35" t="s">
        <v>55</v>
      </c>
      <c r="D15" s="34">
        <v>1.4325581395348839</v>
      </c>
      <c r="E15" s="9" t="s">
        <v>423</v>
      </c>
      <c r="F15" s="6"/>
      <c r="G15" s="6"/>
      <c r="H15" s="8" t="str">
        <f t="shared" ca="1" si="0"/>
        <v>Active</v>
      </c>
      <c r="I15" s="9" t="s">
        <v>421</v>
      </c>
    </row>
    <row r="16" spans="1:9" ht="14" customHeight="1" x14ac:dyDescent="0.35">
      <c r="A16" s="10" t="s">
        <v>45</v>
      </c>
      <c r="B16" s="25" t="s">
        <v>56</v>
      </c>
      <c r="C16" s="33" t="s">
        <v>53</v>
      </c>
      <c r="D16" s="34">
        <v>1.4325581395348839</v>
      </c>
      <c r="E16" s="13" t="s">
        <v>423</v>
      </c>
      <c r="F16" s="6" t="s">
        <v>30</v>
      </c>
      <c r="G16" s="6"/>
      <c r="H16" s="8" t="str">
        <f t="shared" ca="1" si="0"/>
        <v>Inactive</v>
      </c>
      <c r="I16" s="13" t="s">
        <v>422</v>
      </c>
    </row>
    <row r="17" spans="1:9" ht="14" customHeight="1" x14ac:dyDescent="0.35">
      <c r="A17" s="2" t="s">
        <v>45</v>
      </c>
      <c r="B17" s="22" t="s">
        <v>57</v>
      </c>
      <c r="C17" s="35" t="s">
        <v>55</v>
      </c>
      <c r="D17" s="34">
        <v>5.1302325581395349</v>
      </c>
      <c r="E17" s="9" t="s">
        <v>424</v>
      </c>
      <c r="F17" s="6"/>
      <c r="G17" s="6"/>
      <c r="H17" s="8" t="str">
        <f t="shared" ca="1" si="0"/>
        <v>Active</v>
      </c>
      <c r="I17" s="9" t="s">
        <v>421</v>
      </c>
    </row>
    <row r="18" spans="1:9" ht="14" customHeight="1" x14ac:dyDescent="0.35">
      <c r="A18" s="10" t="s">
        <v>45</v>
      </c>
      <c r="B18" s="25" t="s">
        <v>57</v>
      </c>
      <c r="C18" s="33" t="s">
        <v>53</v>
      </c>
      <c r="D18" s="34">
        <v>5.1302325581395349</v>
      </c>
      <c r="E18" s="13" t="s">
        <v>424</v>
      </c>
      <c r="F18" s="6" t="s">
        <v>30</v>
      </c>
      <c r="G18" s="6"/>
      <c r="H18" s="8" t="str">
        <f t="shared" ca="1" si="0"/>
        <v>Inactive</v>
      </c>
      <c r="I18" s="13" t="s">
        <v>422</v>
      </c>
    </row>
    <row r="19" spans="1:9" ht="14" customHeight="1" x14ac:dyDescent="0.35">
      <c r="A19" s="2" t="s">
        <v>45</v>
      </c>
      <c r="B19" s="22" t="s">
        <v>58</v>
      </c>
      <c r="C19" s="35" t="s">
        <v>55</v>
      </c>
      <c r="D19" s="34">
        <v>4.5023255813953487</v>
      </c>
      <c r="E19" s="9" t="s">
        <v>425</v>
      </c>
      <c r="F19" s="6"/>
      <c r="G19" s="6"/>
      <c r="H19" s="8" t="str">
        <f t="shared" ca="1" si="0"/>
        <v>Active</v>
      </c>
      <c r="I19" s="9" t="s">
        <v>421</v>
      </c>
    </row>
    <row r="20" spans="1:9" ht="14" customHeight="1" x14ac:dyDescent="0.35">
      <c r="A20" s="10" t="s">
        <v>45</v>
      </c>
      <c r="B20" s="25" t="s">
        <v>58</v>
      </c>
      <c r="C20" s="33" t="s">
        <v>53</v>
      </c>
      <c r="D20" s="34">
        <v>4.5023255813953487</v>
      </c>
      <c r="E20" s="13" t="s">
        <v>425</v>
      </c>
      <c r="F20" s="6" t="s">
        <v>30</v>
      </c>
      <c r="G20" s="6"/>
      <c r="H20" s="8" t="str">
        <f t="shared" ca="1" si="0"/>
        <v>Inactive</v>
      </c>
      <c r="I20" s="13" t="s">
        <v>422</v>
      </c>
    </row>
    <row r="21" spans="1:9" ht="14" customHeight="1" x14ac:dyDescent="0.35">
      <c r="A21" s="240" t="s">
        <v>923</v>
      </c>
      <c r="B21" s="241" t="s">
        <v>43</v>
      </c>
      <c r="C21" s="243" t="s">
        <v>924</v>
      </c>
      <c r="D21" s="244">
        <v>1</v>
      </c>
      <c r="E21" s="246" t="s">
        <v>925</v>
      </c>
      <c r="F21" s="248"/>
      <c r="G21" s="248"/>
      <c r="H21" s="8" t="str">
        <f ca="1">IF(AND(OR(F21="",F21&lt;=TODAY()),OR(G21="",G21&gt;=TODAY())),"Active","Inactive")</f>
        <v>Active</v>
      </c>
      <c r="I21" s="9"/>
    </row>
    <row r="22" spans="1:9" x14ac:dyDescent="0.35">
      <c r="A22" s="251" t="s">
        <v>959</v>
      </c>
      <c r="B22" s="253" t="s">
        <v>36</v>
      </c>
      <c r="C22" s="242"/>
      <c r="D22" s="256">
        <v>1</v>
      </c>
      <c r="E22" s="257" t="s">
        <v>409</v>
      </c>
      <c r="F22" s="247"/>
      <c r="G22" s="259"/>
    </row>
    <row r="23" spans="1:9" x14ac:dyDescent="0.35">
      <c r="A23" s="252" t="s">
        <v>960</v>
      </c>
      <c r="B23" s="254" t="s">
        <v>43</v>
      </c>
      <c r="C23" s="255"/>
      <c r="D23" s="245">
        <v>1</v>
      </c>
      <c r="E23" s="258" t="s">
        <v>409</v>
      </c>
      <c r="F23" s="249"/>
      <c r="G23" s="250"/>
    </row>
    <row r="25" spans="1:9" x14ac:dyDescent="0.35">
      <c r="A25" t="s">
        <v>2826</v>
      </c>
      <c r="E25" s="195"/>
    </row>
    <row r="26" spans="1:9" x14ac:dyDescent="0.35">
      <c r="E26" s="195"/>
    </row>
  </sheetData>
  <mergeCells count="2">
    <mergeCell ref="A1:I1"/>
    <mergeCell ref="A2:I2"/>
  </mergeCells>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AB2331"/>
  <sheetViews>
    <sheetView showGridLines="0" zoomScale="70" zoomScaleNormal="70" workbookViewId="0">
      <pane xSplit="4" ySplit="3" topLeftCell="E717" activePane="bottomRight" state="frozen"/>
      <selection activeCell="N34" sqref="N34"/>
      <selection pane="topRight" activeCell="N34" sqref="N34"/>
      <selection pane="bottomLeft" activeCell="N34" sqref="N34"/>
      <selection pane="bottomRight" activeCell="G726" sqref="G726"/>
    </sheetView>
  </sheetViews>
  <sheetFormatPr defaultRowHeight="14.5" outlineLevelCol="1" x14ac:dyDescent="0.35"/>
  <cols>
    <col min="1" max="1" width="13" customWidth="1"/>
    <col min="2" max="2" width="16" customWidth="1"/>
    <col min="3" max="3" width="14" customWidth="1"/>
    <col min="4" max="4" width="8" customWidth="1"/>
    <col min="5" max="9" width="14" customWidth="1"/>
    <col min="10" max="10" width="10" customWidth="1"/>
    <col min="11" max="11" width="14" customWidth="1"/>
    <col min="12" max="12" width="13" customWidth="1"/>
    <col min="13" max="13" width="10" customWidth="1"/>
    <col min="14" max="14" width="11" customWidth="1"/>
    <col min="15" max="15" width="12" customWidth="1"/>
    <col min="16" max="17" width="11" customWidth="1"/>
    <col min="18" max="18" width="20" customWidth="1"/>
    <col min="19" max="19" width="18" customWidth="1"/>
    <col min="20" max="20" width="12" customWidth="1"/>
    <col min="21" max="21" width="30" customWidth="1"/>
    <col min="23" max="27" width="8.7265625" outlineLevel="1"/>
  </cols>
  <sheetData>
    <row r="1" spans="1:28" ht="22" customHeight="1" x14ac:dyDescent="0.35">
      <c r="A1" s="396" t="s">
        <v>426</v>
      </c>
      <c r="B1" s="395"/>
      <c r="C1" s="395"/>
      <c r="D1" s="395"/>
      <c r="E1" s="395"/>
      <c r="F1" s="395"/>
      <c r="G1" s="395"/>
      <c r="H1" s="395"/>
      <c r="I1" s="395"/>
      <c r="J1" s="395"/>
      <c r="K1" s="395"/>
      <c r="L1" s="395"/>
      <c r="M1" s="395"/>
      <c r="N1" s="395"/>
      <c r="O1" s="395"/>
      <c r="P1" s="395"/>
      <c r="Q1" s="395"/>
      <c r="R1" s="395"/>
      <c r="S1" s="395"/>
      <c r="T1" s="395"/>
      <c r="U1" s="395"/>
    </row>
    <row r="2" spans="1:28" ht="22" customHeight="1" x14ac:dyDescent="0.35">
      <c r="A2" s="397" t="s">
        <v>427</v>
      </c>
      <c r="B2" s="395"/>
      <c r="C2" s="395"/>
      <c r="D2" s="395"/>
      <c r="E2" s="395"/>
      <c r="F2" s="395"/>
      <c r="G2" s="395"/>
      <c r="H2" s="395"/>
      <c r="I2" s="395"/>
      <c r="J2" s="395"/>
      <c r="K2" s="395"/>
      <c r="L2" s="395"/>
      <c r="M2" s="395"/>
      <c r="N2" s="395"/>
      <c r="O2" s="395"/>
      <c r="P2" s="395"/>
      <c r="Q2" s="395"/>
      <c r="R2" s="395"/>
      <c r="S2" s="395"/>
      <c r="T2" s="395"/>
      <c r="U2" s="395"/>
    </row>
    <row r="3" spans="1:28" ht="36" customHeight="1" x14ac:dyDescent="0.35">
      <c r="A3" s="1" t="s">
        <v>428</v>
      </c>
      <c r="B3" s="1" t="s">
        <v>2</v>
      </c>
      <c r="C3" s="1" t="s">
        <v>4</v>
      </c>
      <c r="D3" s="1" t="s">
        <v>5</v>
      </c>
      <c r="E3" s="1" t="s">
        <v>429</v>
      </c>
      <c r="F3" s="1" t="s">
        <v>430</v>
      </c>
      <c r="G3" s="1" t="s">
        <v>552</v>
      </c>
      <c r="H3" s="1" t="s">
        <v>431</v>
      </c>
      <c r="I3" s="1" t="s">
        <v>432</v>
      </c>
      <c r="J3" s="1" t="s">
        <v>433</v>
      </c>
      <c r="K3" s="1" t="s">
        <v>434</v>
      </c>
      <c r="L3" s="1" t="s">
        <v>435</v>
      </c>
      <c r="M3" s="1" t="s">
        <v>436</v>
      </c>
      <c r="N3" s="1" t="s">
        <v>437</v>
      </c>
      <c r="O3" s="1" t="s">
        <v>438</v>
      </c>
      <c r="P3" s="1" t="s">
        <v>6</v>
      </c>
      <c r="Q3" s="1" t="s">
        <v>439</v>
      </c>
      <c r="R3" s="1" t="s">
        <v>440</v>
      </c>
      <c r="S3" s="1" t="s">
        <v>441</v>
      </c>
      <c r="T3" s="1" t="s">
        <v>442</v>
      </c>
      <c r="U3" s="1" t="s">
        <v>16</v>
      </c>
      <c r="W3" s="203" t="s">
        <v>428</v>
      </c>
      <c r="X3" s="202" t="s">
        <v>551</v>
      </c>
      <c r="Y3" s="204" t="s">
        <v>661</v>
      </c>
      <c r="Z3" s="204" t="s">
        <v>934</v>
      </c>
      <c r="AA3" s="204" t="s">
        <v>935</v>
      </c>
      <c r="AB3" s="462" t="s">
        <v>2832</v>
      </c>
    </row>
    <row r="4" spans="1:28" ht="13" customHeight="1" x14ac:dyDescent="0.35">
      <c r="A4" s="153">
        <v>46054</v>
      </c>
      <c r="B4" s="155" t="s">
        <v>26</v>
      </c>
      <c r="C4" s="15" t="s">
        <v>28</v>
      </c>
      <c r="D4" s="15" t="s">
        <v>29</v>
      </c>
      <c r="E4" s="199">
        <f>IFERROR(VLOOKUP("188mg LP",Controls!A:D,4,0),0)</f>
        <v>54920</v>
      </c>
      <c r="F4" s="199">
        <f>IFERROR(SUMIFS('Demand Inputs'!$F$5:$F$202,'Demand Inputs'!$A$5:$A$202,"188mg LP",'Demand Inputs'!$B$5:$B$202,"&lt;&gt;AGGREGATE",'Demand Inputs'!$E$5:$E$202,1),0)</f>
        <v>1660.603868886466</v>
      </c>
      <c r="G4" s="199">
        <f t="array" ref="G4">IFERROR(SUMPRODUCT(('Production Inputs'!$A:$A="188mg LP")*('Production Inputs'!$B:$B="TOTAL ACTIVE")*'Production Inputs'!$L:$L),0)</f>
        <v>0</v>
      </c>
      <c r="H4" s="199">
        <f t="shared" ref="H4:H67" si="0">E4+G4-F4</f>
        <v>53259.396131113535</v>
      </c>
      <c r="I4" s="30">
        <f ca="1">IFERROR(AVERAGEIF(OFFSET(F4,0,0,MIN(Controls!$B$8,COUNTIF(B4:B$1973,B4)),1),"&gt;"&amp;0),0)</f>
        <v>2008.0555636129129</v>
      </c>
      <c r="J4" s="38">
        <f t="shared" ref="J4:J67" ca="1" si="1">IFERROR(H4/I4,IF(H4&gt;0,999,0))</f>
        <v>26.522869733389605</v>
      </c>
      <c r="K4" s="30">
        <f ca="1">IFERROR(IF(H4&lt;(N4*I4), CEILING(MAX(0,ROUND((M4*I4-H4)/P4,0)*P4),P4), 0), 0)</f>
        <v>0</v>
      </c>
      <c r="L4" t="str">
        <f t="shared" ref="L4:L67" ca="1" si="2">IF(H4&lt;=0,"High",IF(J4&lt;N4,"High",IF(J4&lt;M4,"Medium",IF(J4&gt;O4,"Overstock","Low"))))</f>
        <v>Overstock</v>
      </c>
      <c r="M4" s="39">
        <f>IFERROR(VLOOKUP("188mg LP",Controls!A:I,7,0),6)</f>
        <v>9</v>
      </c>
      <c r="N4" s="39">
        <f>IFERROR(VLOOKUP("188mg LP",Controls!A:I,8,0),3)</f>
        <v>8</v>
      </c>
      <c r="O4" s="39">
        <f>IFERROR(VLOOKUP("188mg LP",Controls!A:I,9,0),18)</f>
        <v>18</v>
      </c>
      <c r="P4" s="40">
        <f>IFERROR(VLOOKUP("188mg LP",Controls!A:J,5,0),0)</f>
        <v>16200</v>
      </c>
      <c r="Q4" s="39">
        <f>IFERROR(VLOOKUP("188mg LP",Controls!A:J,6,0),3)</f>
        <v>3</v>
      </c>
      <c r="R4" s="21" t="str">
        <f>IFERROR(VLOOKUP("188mg LP",Controls!A:K,10,0),"")</f>
        <v>Fisher / ThermoFisher Allentown</v>
      </c>
      <c r="S4" s="41">
        <f t="shared" ref="S4:S67" si="3">IFERROR(EDATE(A4,-Q4),"")</f>
        <v>45962</v>
      </c>
      <c r="T4" s="30">
        <f t="shared" ref="T4:T67" si="4">G4</f>
        <v>0</v>
      </c>
      <c r="W4" s="205" t="str" cm="1">
        <f t="array" ref="W4">IF(0&lt;Controls!$B$7,TEXT(INDEX(A4:A182,MATCH(Controls!$B$5,A4:A182,1)+0),"MMM-YY"),"")</f>
        <v>Apr-26</v>
      </c>
      <c r="X4" cm="1">
        <f t="array" ref="X4">IF(0&lt;Controls!$B$7,INDEX(F4:F182,MATCH(Controls!$B$5,A4:A182,1)+0),"")</f>
        <v>2124.9921880618376</v>
      </c>
      <c r="Y4" cm="1">
        <f t="array" ref="Y4">IF(0&lt;Controls!$B$7,INDEX(G4:G182,MATCH(Controls!$B$5,A4:A182,1)+0),"")</f>
        <v>0</v>
      </c>
      <c r="Z4" cm="1">
        <f t="array" ref="Z4">IF(0&lt;Controls!$B$7,INDEX(H4:H182,MATCH(Controls!$B$5,A4:A182,1)+0),"")</f>
        <v>54920</v>
      </c>
      <c r="AA4" cm="1">
        <f t="array" aca="1" ref="AA4" ca="1">IF(0&lt;Controls!$B$7,INDEX(M4:M182,MATCH(Controls!$B$5,A4:A182,1)+0)*INDEX(I4:I182,MATCH(Controls!$B$5,A4:A182,1)+0),"")</f>
        <v>19327.717454217687</v>
      </c>
      <c r="AB4">
        <f>SUMIFS($F$4:$F$2331,$B$4:$B$2331,B4,$A$4:$A$2331,"&lt;="&amp;A4)</f>
        <v>1660.603868886466</v>
      </c>
    </row>
    <row r="5" spans="1:28" ht="13" customHeight="1" x14ac:dyDescent="0.35">
      <c r="A5" s="153">
        <v>46082</v>
      </c>
      <c r="B5" s="36" t="s">
        <v>26</v>
      </c>
      <c r="C5" s="15" t="s">
        <v>28</v>
      </c>
      <c r="D5" s="15" t="s">
        <v>29</v>
      </c>
      <c r="E5" s="199">
        <f>H4</f>
        <v>53259.396131113535</v>
      </c>
      <c r="F5" s="199">
        <f>IFERROR(SUMIFS('Demand Inputs'!$G$5:$G$202,'Demand Inputs'!$A$5:$A$202,"188mg LP",'Demand Inputs'!$B$5:$B$202,"&lt;&gt;AGGREGATE",'Demand Inputs'!$E$5:$E$202,1),0)</f>
        <v>1597.750505474781</v>
      </c>
      <c r="G5" s="199">
        <f t="array" ref="G5">IFERROR(SUMPRODUCT(('Production Inputs'!$A:$A="188mg LP")*('Production Inputs'!$B:$B="TOTAL ACTIVE")*'Production Inputs'!$M:$M),0)</f>
        <v>0</v>
      </c>
      <c r="H5" s="199">
        <v>56917</v>
      </c>
      <c r="I5" s="30">
        <f ca="1">IFERROR(AVERAGEIF(OFFSET(F5,0,0,MIN(Controls!$B$8,COUNTIF(B5:B$1973,B5)),1),"&gt;"&amp;0),0)</f>
        <v>2091.4645371656402</v>
      </c>
      <c r="J5" s="38">
        <f t="shared" ca="1" si="1"/>
        <v>27.213944577388872</v>
      </c>
      <c r="K5" s="30">
        <f t="shared" ref="K5:K68" ca="1" si="5">IFERROR(IF(H5&lt;(N5*I5), CEILING(MAX(0,ROUND((M5*I5-H5)/P5,0)*P5),P5), 0), 0)</f>
        <v>0</v>
      </c>
      <c r="L5" t="str">
        <f t="shared" ca="1" si="2"/>
        <v>Overstock</v>
      </c>
      <c r="M5" s="39">
        <f>IFERROR(VLOOKUP("188mg LP",Controls!A:I,7,0),6)</f>
        <v>9</v>
      </c>
      <c r="N5" s="39">
        <f>IFERROR(VLOOKUP("188mg LP",Controls!A:I,8,0),3)</f>
        <v>8</v>
      </c>
      <c r="O5" s="39">
        <f>IFERROR(VLOOKUP("188mg LP",Controls!A:I,9,0),18)</f>
        <v>18</v>
      </c>
      <c r="P5" s="40">
        <f>IFERROR(VLOOKUP("188mg LP",Controls!A:J,5,0),0)</f>
        <v>16200</v>
      </c>
      <c r="Q5" s="39">
        <f>IFERROR(VLOOKUP("188mg LP",Controls!A:J,6,0),3)</f>
        <v>3</v>
      </c>
      <c r="R5" s="21" t="str">
        <f>IFERROR(VLOOKUP("188mg LP",Controls!A:K,10,0),"")</f>
        <v>Fisher / ThermoFisher Allentown</v>
      </c>
      <c r="S5" s="41">
        <f t="shared" si="3"/>
        <v>45992</v>
      </c>
      <c r="T5" s="30">
        <f t="shared" si="4"/>
        <v>0</v>
      </c>
      <c r="W5" s="205" t="str" cm="1">
        <f t="array" ref="W5">IF(1&lt;Controls!$B$7,TEXT(INDEX(A4:A182,MATCH(Controls!$B$5,A4:A182,1)+1),"MMM-YY"),"")</f>
        <v>May-26</v>
      </c>
      <c r="X5" cm="1">
        <f t="array" ref="X5">IF(1&lt;Controls!$B$7,INDEX(F4:F182,MATCH(Controls!$B$5,A4:A182,1)+1),"")</f>
        <v>2053.6576284117737</v>
      </c>
      <c r="Y5" cm="1">
        <f t="array" ref="Y5">IF(1&lt;Controls!$B$7,INDEX(G4:G182,MATCH(Controls!$B$5,A4:A182,1)+1),"")</f>
        <v>0</v>
      </c>
      <c r="Z5" cm="1">
        <f t="array" ref="Z5">IF(1&lt;Controls!$B$7,INDEX(H4:H182,MATCH(Controls!$B$5,A4:A182,1)+1),"")</f>
        <v>52866.342371588224</v>
      </c>
      <c r="AA5" cm="1">
        <f t="array" aca="1" ref="AA5" ca="1">IF(1&lt;Controls!$B$7,INDEX(M4:M182,MATCH(Controls!$B$5,A4:A182,1)+1)*INDEX(I4:I182,MATCH(Controls!$B$5,A4:A182,1)+1),"")</f>
        <v>20134.185488915566</v>
      </c>
      <c r="AB5">
        <f t="shared" ref="AB5:AB68" si="6">SUMIFS($F$4:$F$2331,$B$4:$B$2331,B5,$A$4:$A$2331,"&lt;="&amp;A5)</f>
        <v>3258.3543743612472</v>
      </c>
    </row>
    <row r="6" spans="1:28" ht="13" customHeight="1" x14ac:dyDescent="0.35">
      <c r="A6" s="153">
        <v>46113</v>
      </c>
      <c r="B6" s="36" t="s">
        <v>26</v>
      </c>
      <c r="C6" s="15" t="s">
        <v>28</v>
      </c>
      <c r="D6" s="15" t="s">
        <v>29</v>
      </c>
      <c r="E6" s="390">
        <f>H5</f>
        <v>56917</v>
      </c>
      <c r="F6" s="391">
        <f>IFERROR(SUMIFS('Demand Inputs'!$H$5:$H$202,'Demand Inputs'!$A$5:$A$202,"188mg LP",'Demand Inputs'!$B$5:$B$202,"&lt;&gt;AGGREGATE",'Demand Inputs'!$E$5:$E$202,1),0)</f>
        <v>2124.9921880618376</v>
      </c>
      <c r="G6" s="391">
        <f t="array" ref="G6">IFERROR(SUMPRODUCT(('Production Inputs'!$A:$A="188mg LP")*('Production Inputs'!$B:$B="TOTAL ACTIVE")*'Production Inputs'!$N:$N),0)</f>
        <v>0</v>
      </c>
      <c r="H6" s="390">
        <v>54920</v>
      </c>
      <c r="I6" s="30">
        <f ca="1">IFERROR(AVERAGEIF(OFFSET(F6,0,0,MIN(Controls!$B$8,COUNTIF(B6:B$1973,B6)),1),"&gt;"&amp;0),0)</f>
        <v>2147.5241615797431</v>
      </c>
      <c r="J6" s="38">
        <f t="shared" ca="1" si="1"/>
        <v>25.573635436818659</v>
      </c>
      <c r="K6" s="30">
        <f t="shared" ca="1" si="5"/>
        <v>0</v>
      </c>
      <c r="L6" t="str">
        <f t="shared" ca="1" si="2"/>
        <v>Overstock</v>
      </c>
      <c r="M6" s="39">
        <f>IFERROR(VLOOKUP("188mg LP",Controls!A:I,7,0),6)</f>
        <v>9</v>
      </c>
      <c r="N6" s="39">
        <f>IFERROR(VLOOKUP("188mg LP",Controls!A:I,8,0),3)</f>
        <v>8</v>
      </c>
      <c r="O6" s="39">
        <f>IFERROR(VLOOKUP("188mg LP",Controls!A:I,9,0),18)</f>
        <v>18</v>
      </c>
      <c r="P6" s="40">
        <f>IFERROR(VLOOKUP("188mg LP",Controls!A:J,5,0),0)</f>
        <v>16200</v>
      </c>
      <c r="Q6" s="39">
        <f>IFERROR(VLOOKUP("188mg LP",Controls!A:J,6,0),3)</f>
        <v>3</v>
      </c>
      <c r="R6" s="21" t="str">
        <f>IFERROR(VLOOKUP("188mg LP",Controls!A:K,10,0),"")</f>
        <v>Fisher / ThermoFisher Allentown</v>
      </c>
      <c r="S6" s="41">
        <f t="shared" si="3"/>
        <v>46023</v>
      </c>
      <c r="T6" s="30">
        <f t="shared" si="4"/>
        <v>0</v>
      </c>
      <c r="W6" s="205" t="str" cm="1">
        <f t="array" ref="W6">IF(2&lt;Controls!$B$7,TEXT(INDEX(A4:A182,MATCH(Controls!$B$5,A4:A182,1)+2),"MMM-YY"),"")</f>
        <v>Jun-26</v>
      </c>
      <c r="X6" cm="1">
        <f t="array" ref="X6">IF(2&lt;Controls!$B$7,INDEX(F4:F182,MATCH(Controls!$B$5,A4:A182,1)+2),"")</f>
        <v>1789.3498301935292</v>
      </c>
      <c r="Y6" cm="1">
        <f t="array" ref="Y6">IF(2&lt;Controls!$B$7,INDEX(G4:G182,MATCH(Controls!$B$5,A4:A182,1)+2),"")</f>
        <v>2700</v>
      </c>
      <c r="Z6" cm="1">
        <f t="array" ref="Z6">IF(2&lt;Controls!$B$7,INDEX(H4:H182,MATCH(Controls!$B$5,A4:A182,1)+2),"")</f>
        <v>53776.992541394691</v>
      </c>
      <c r="AA6" cm="1">
        <f t="array" aca="1" ref="AA6" ca="1">IF(2&lt;Controls!$B$7,INDEX(M4:M182,MATCH(Controls!$B$5,A4:A182,1)+2)*INDEX(I4:I182,MATCH(Controls!$B$5,A4:A182,1)+2),"")</f>
        <v>20319.125803552975</v>
      </c>
      <c r="AB6">
        <f t="shared" si="6"/>
        <v>5383.3465624230848</v>
      </c>
    </row>
    <row r="7" spans="1:28" ht="13" customHeight="1" x14ac:dyDescent="0.35">
      <c r="A7" s="153">
        <v>46143</v>
      </c>
      <c r="B7" s="36" t="s">
        <v>26</v>
      </c>
      <c r="C7" s="15" t="s">
        <v>28</v>
      </c>
      <c r="D7" s="15" t="s">
        <v>29</v>
      </c>
      <c r="E7" s="30">
        <f>H6</f>
        <v>54920</v>
      </c>
      <c r="F7" s="37">
        <f>IFERROR(SUMIFS('Demand Inputs'!$I$5:$I$202,'Demand Inputs'!$A$5:$A$202,"188mg LP",'Demand Inputs'!$B$5:$B$202,"&lt;&gt;AGGREGATE",'Demand Inputs'!$E$5:$E$202,1),0)</f>
        <v>2053.6576284117737</v>
      </c>
      <c r="G7" s="37">
        <f t="array" ref="G7">IFERROR(SUMPRODUCT(('Production Inputs'!$A:$A="188mg LP")*('Production Inputs'!$B:$B="TOTAL ACTIVE")*'Production Inputs'!$O:$O),0)</f>
        <v>0</v>
      </c>
      <c r="H7" s="30">
        <f t="shared" si="0"/>
        <v>52866.342371588224</v>
      </c>
      <c r="I7" s="30">
        <f ca="1">IFERROR(AVERAGEIF(OFFSET(F7,0,0,MIN(Controls!$B$8,COUNTIF(B7:B$1973,B7)),1),"&gt;"&amp;0),0)</f>
        <v>2237.1317209906183</v>
      </c>
      <c r="J7" s="38">
        <f t="shared" ca="1" si="1"/>
        <v>23.631305155415088</v>
      </c>
      <c r="K7" s="30">
        <f t="shared" ca="1" si="5"/>
        <v>0</v>
      </c>
      <c r="L7" t="str">
        <f t="shared" ca="1" si="2"/>
        <v>Overstock</v>
      </c>
      <c r="M7" s="39">
        <f>IFERROR(VLOOKUP("188mg LP",Controls!A:I,7,0),6)</f>
        <v>9</v>
      </c>
      <c r="N7" s="39">
        <f>IFERROR(VLOOKUP("188mg LP",Controls!A:I,8,0),3)</f>
        <v>8</v>
      </c>
      <c r="O7" s="39">
        <f>IFERROR(VLOOKUP("188mg LP",Controls!A:I,9,0),18)</f>
        <v>18</v>
      </c>
      <c r="P7" s="40">
        <f>IFERROR(VLOOKUP("188mg LP",Controls!A:J,5,0),0)</f>
        <v>16200</v>
      </c>
      <c r="Q7" s="39">
        <f>IFERROR(VLOOKUP("188mg LP",Controls!A:J,6,0),3)</f>
        <v>3</v>
      </c>
      <c r="R7" s="21" t="str">
        <f>IFERROR(VLOOKUP("188mg LP",Controls!A:K,10,0),"")</f>
        <v>Fisher / ThermoFisher Allentown</v>
      </c>
      <c r="S7" s="41">
        <f t="shared" si="3"/>
        <v>46054</v>
      </c>
      <c r="T7" s="30">
        <f t="shared" si="4"/>
        <v>0</v>
      </c>
      <c r="W7" s="205" t="str" cm="1">
        <f t="array" ref="W7">IF(3&lt;Controls!$B$7,TEXT(INDEX(A4:A182,MATCH(Controls!$B$5,A4:A182,1)+3),"MMM-YY"),"")</f>
        <v>Jul-26</v>
      </c>
      <c r="X7" cm="1">
        <f t="array" ref="X7">IF(3&lt;Controls!$B$7,INDEX(F4:F182,MATCH(Controls!$B$5,A4:A182,1)+3),"")</f>
        <v>2101.9326546434804</v>
      </c>
      <c r="Y7" cm="1">
        <f t="array" ref="Y7">IF(3&lt;Controls!$B$7,INDEX(G4:G182,MATCH(Controls!$B$5,A4:A182,1)+3),"")</f>
        <v>0</v>
      </c>
      <c r="Z7" cm="1">
        <f t="array" ref="Z7">IF(3&lt;Controls!$B$7,INDEX(H4:H182,MATCH(Controls!$B$5,A4:A182,1)+3),"")</f>
        <v>51675.059886751209</v>
      </c>
      <c r="AA7" cm="1">
        <f t="array" aca="1" ref="AA7" ca="1">IF(3&lt;Controls!$B$7,INDEX(M4:M182,MATCH(Controls!$B$5,A4:A182,1)+3)*INDEX(I4:I182,MATCH(Controls!$B$5,A4:A182,1)+3),"")</f>
        <v>21055.368953426136</v>
      </c>
      <c r="AB7">
        <f t="shared" si="6"/>
        <v>7437.0041908348585</v>
      </c>
    </row>
    <row r="8" spans="1:28" ht="13" customHeight="1" x14ac:dyDescent="0.35">
      <c r="A8" s="153">
        <v>46174</v>
      </c>
      <c r="B8" s="36" t="s">
        <v>26</v>
      </c>
      <c r="C8" s="15" t="s">
        <v>28</v>
      </c>
      <c r="D8" s="15" t="s">
        <v>29</v>
      </c>
      <c r="E8" s="30">
        <f>H7</f>
        <v>52866.342371588224</v>
      </c>
      <c r="F8" s="37">
        <f>IFERROR(SUMIFS('Demand Inputs'!$J$5:$J$202,'Demand Inputs'!$A$5:$A$202,"188mg LP",'Demand Inputs'!$B$5:$B$202,"&lt;&gt;AGGREGATE",'Demand Inputs'!$E$5:$E$202,1),0)</f>
        <v>1789.3498301935292</v>
      </c>
      <c r="G8" s="37">
        <f t="array" ref="G8">IFERROR(SUMPRODUCT(('Production Inputs'!$A:$A="188mg LP")*('Production Inputs'!$B:$B="TOTAL ACTIVE")*'Production Inputs'!$P:$P),0)</f>
        <v>2700</v>
      </c>
      <c r="H8" s="30">
        <f>E8+G8-F8</f>
        <v>53776.992541394691</v>
      </c>
      <c r="I8" s="30">
        <f ca="1">IFERROR(AVERAGEIF(OFFSET(F8,0,0,MIN(Controls!$B$8,COUNTIF(B8:B$1973,B8)),1),"&gt;"&amp;0),0)</f>
        <v>2257.6806448392194</v>
      </c>
      <c r="J8" s="38">
        <f t="shared" ca="1" si="1"/>
        <v>23.819574599411254</v>
      </c>
      <c r="K8" s="30">
        <f t="shared" ca="1" si="5"/>
        <v>0</v>
      </c>
      <c r="L8" t="str">
        <f t="shared" ca="1" si="2"/>
        <v>Overstock</v>
      </c>
      <c r="M8" s="39">
        <f>IFERROR(VLOOKUP("188mg LP",Controls!A:I,7,0),6)</f>
        <v>9</v>
      </c>
      <c r="N8" s="39">
        <f>IFERROR(VLOOKUP("188mg LP",Controls!A:I,8,0),3)</f>
        <v>8</v>
      </c>
      <c r="O8" s="39">
        <f>IFERROR(VLOOKUP("188mg LP",Controls!A:I,9,0),18)</f>
        <v>18</v>
      </c>
      <c r="P8" s="40">
        <f>IFERROR(VLOOKUP("188mg LP",Controls!A:J,5,0),0)</f>
        <v>16200</v>
      </c>
      <c r="Q8" s="39">
        <f>IFERROR(VLOOKUP("188mg LP",Controls!A:J,6,0),3)</f>
        <v>3</v>
      </c>
      <c r="R8" s="21" t="str">
        <f>IFERROR(VLOOKUP("188mg LP",Controls!A:K,10,0),"")</f>
        <v>Fisher / ThermoFisher Allentown</v>
      </c>
      <c r="S8" s="41">
        <f t="shared" si="3"/>
        <v>46082</v>
      </c>
      <c r="T8" s="30">
        <f t="shared" si="4"/>
        <v>2700</v>
      </c>
      <c r="W8" s="205" t="str" cm="1">
        <f t="array" ref="W8">IF(4&lt;Controls!$B$7,TEXT(INDEX(A4:A182,MATCH(Controls!$B$5,A4:A182,1)+4),"MMM-YY"),"")</f>
        <v>Aug-26</v>
      </c>
      <c r="X8" cm="1">
        <f t="array" ref="X8">IF(4&lt;Controls!$B$7,INDEX(F4:F182,MATCH(Controls!$B$5,A4:A182,1)+4),"")</f>
        <v>2300.2239886063553</v>
      </c>
      <c r="Y8" cm="1">
        <f t="array" ref="Y8">IF(4&lt;Controls!$B$7,INDEX(G4:G182,MATCH(Controls!$B$5,A4:A182,1)+4),"")</f>
        <v>0</v>
      </c>
      <c r="Z8" cm="1">
        <f t="array" ref="Z8">IF(4&lt;Controls!$B$7,INDEX(H4:H182,MATCH(Controls!$B$5,A4:A182,1)+4),"")</f>
        <v>49374.835898144855</v>
      </c>
      <c r="AA8" cm="1">
        <f t="array" aca="1" ref="AA8" ca="1">IF(4&lt;Controls!$B$7,INDEX(M4:M182,MATCH(Controls!$B$5,A4:A182,1)+4)*INDEX(I4:I182,MATCH(Controls!$B$5,A4:A182,1)+4),"")</f>
        <v>22572.146903777721</v>
      </c>
      <c r="AB8">
        <f t="shared" si="6"/>
        <v>9226.3540210283882</v>
      </c>
    </row>
    <row r="9" spans="1:28" ht="13" customHeight="1" x14ac:dyDescent="0.35">
      <c r="A9" s="153">
        <v>46204</v>
      </c>
      <c r="B9" s="36" t="s">
        <v>26</v>
      </c>
      <c r="C9" s="15" t="s">
        <v>28</v>
      </c>
      <c r="D9" s="15" t="s">
        <v>29</v>
      </c>
      <c r="E9" s="30">
        <f>H8</f>
        <v>53776.992541394691</v>
      </c>
      <c r="F9" s="37">
        <f>IFERROR(SUMIFS('Demand Inputs'!$K$5:$K$202,'Demand Inputs'!$A$5:$A$202,"188mg LP",'Demand Inputs'!$B$5:$B$202,"&lt;&gt;AGGREGATE",'Demand Inputs'!$E$5:$E$202,1),0)</f>
        <v>2101.9326546434804</v>
      </c>
      <c r="G9" s="37">
        <f t="array" ref="G9">IFERROR(SUMPRODUCT(('Production Inputs'!$A:$A="188mg LP")*('Production Inputs'!$B:$B="TOTAL ACTIVE")*'Production Inputs'!$Q:$Q),0)</f>
        <v>0</v>
      </c>
      <c r="H9" s="30">
        <f t="shared" si="0"/>
        <v>51675.059886751209</v>
      </c>
      <c r="I9" s="30">
        <f ca="1">IFERROR(AVERAGEIF(OFFSET(F9,0,0,MIN(Controls!$B$8,COUNTIF(B9:B$1973,B9)),1),"&gt;"&amp;0),0)</f>
        <v>2339.4854392695706</v>
      </c>
      <c r="J9" s="38">
        <f t="shared" ca="1" si="1"/>
        <v>22.088216074935303</v>
      </c>
      <c r="K9" s="30">
        <f t="shared" ca="1" si="5"/>
        <v>0</v>
      </c>
      <c r="L9" t="str">
        <f t="shared" ca="1" si="2"/>
        <v>Overstock</v>
      </c>
      <c r="M9" s="39">
        <f>IFERROR(VLOOKUP("188mg LP",Controls!A:I,7,0),6)</f>
        <v>9</v>
      </c>
      <c r="N9" s="39">
        <f>IFERROR(VLOOKUP("188mg LP",Controls!A:I,8,0),3)</f>
        <v>8</v>
      </c>
      <c r="O9" s="39">
        <f>IFERROR(VLOOKUP("188mg LP",Controls!A:I,9,0),18)</f>
        <v>18</v>
      </c>
      <c r="P9" s="40">
        <f>IFERROR(VLOOKUP("188mg LP",Controls!A:J,5,0),0)</f>
        <v>16200</v>
      </c>
      <c r="Q9" s="39">
        <f>IFERROR(VLOOKUP("188mg LP",Controls!A:J,6,0),3)</f>
        <v>3</v>
      </c>
      <c r="R9" s="21" t="str">
        <f>IFERROR(VLOOKUP("188mg LP",Controls!A:K,10,0),"")</f>
        <v>Fisher / ThermoFisher Allentown</v>
      </c>
      <c r="S9" s="41">
        <f t="shared" si="3"/>
        <v>46113</v>
      </c>
      <c r="T9" s="30">
        <f t="shared" si="4"/>
        <v>0</v>
      </c>
      <c r="W9" s="205" t="str" cm="1">
        <f t="array" ref="W9">IF(5&lt;Controls!$B$7,TEXT(INDEX(A4:A182,MATCH(Controls!$B$5,A4:A182,1)+5),"MMM-YY"),"")</f>
        <v>Sep-26</v>
      </c>
      <c r="X9" cm="1">
        <f t="array" ref="X9">IF(5&lt;Controls!$B$7,INDEX(F4:F182,MATCH(Controls!$B$5,A4:A182,1)+5),"")</f>
        <v>2156.5918919219398</v>
      </c>
      <c r="Y9" cm="1">
        <f t="array" ref="Y9">IF(5&lt;Controls!$B$7,INDEX(G4:G182,MATCH(Controls!$B$5,A4:A182,1)+5),"")</f>
        <v>0</v>
      </c>
      <c r="Z9" cm="1">
        <f t="array" ref="Z9">IF(5&lt;Controls!$B$7,INDEX(H4:H182,MATCH(Controls!$B$5,A4:A182,1)+5),"")</f>
        <v>47218.244006222914</v>
      </c>
      <c r="AA9" cm="1">
        <f t="array" aca="1" ref="AA9" ca="1">IF(5&lt;Controls!$B$7,INDEX(M4:M182,MATCH(Controls!$B$5,A4:A182,1)+5)*INDEX(I4:I182,MATCH(Controls!$B$5,A4:A182,1)+5),"")</f>
        <v>23578.13040365147</v>
      </c>
      <c r="AB9">
        <f t="shared" si="6"/>
        <v>11328.286675671869</v>
      </c>
    </row>
    <row r="10" spans="1:28" ht="13" customHeight="1" x14ac:dyDescent="0.35">
      <c r="A10" s="153">
        <v>46235</v>
      </c>
      <c r="B10" s="36" t="s">
        <v>26</v>
      </c>
      <c r="C10" s="15" t="s">
        <v>28</v>
      </c>
      <c r="D10" s="15" t="s">
        <v>29</v>
      </c>
      <c r="E10" s="30">
        <f>H9</f>
        <v>51675.059886751209</v>
      </c>
      <c r="F10" s="37">
        <f>IFERROR(SUMIFS('Demand Inputs'!$L$5:$L$202,'Demand Inputs'!$A$5:$A$202,"188mg LP",'Demand Inputs'!$B$5:$B$202,"&lt;&gt;AGGREGATE",'Demand Inputs'!$E$5:$E$202,1),0)</f>
        <v>2300.2239886063553</v>
      </c>
      <c r="G10" s="37">
        <f t="array" ref="G10">IFERROR(SUMPRODUCT(('Production Inputs'!$A:$A="188mg LP")*('Production Inputs'!$B:$B="TOTAL ACTIVE")*'Production Inputs'!$R:$R),0)</f>
        <v>0</v>
      </c>
      <c r="H10" s="30">
        <f t="shared" si="0"/>
        <v>49374.835898144855</v>
      </c>
      <c r="I10" s="30">
        <f ca="1">IFERROR(AVERAGEIF(OFFSET(F10,0,0,MIN(Controls!$B$8,COUNTIF(B10:B$1973,B10)),1),"&gt;"&amp;0),0)</f>
        <v>2508.0163226419691</v>
      </c>
      <c r="J10" s="38">
        <f t="shared" ca="1" si="1"/>
        <v>19.686808037251097</v>
      </c>
      <c r="K10" s="30">
        <f t="shared" ca="1" si="5"/>
        <v>0</v>
      </c>
      <c r="L10" t="str">
        <f t="shared" ca="1" si="2"/>
        <v>Overstock</v>
      </c>
      <c r="M10" s="39">
        <f>IFERROR(VLOOKUP("188mg LP",Controls!A:I,7,0),6)</f>
        <v>9</v>
      </c>
      <c r="N10" s="39">
        <f>IFERROR(VLOOKUP("188mg LP",Controls!A:I,8,0),3)</f>
        <v>8</v>
      </c>
      <c r="O10" s="39">
        <f>IFERROR(VLOOKUP("188mg LP",Controls!A:I,9,0),18)</f>
        <v>18</v>
      </c>
      <c r="P10" s="40">
        <f>IFERROR(VLOOKUP("188mg LP",Controls!A:J,5,0),0)</f>
        <v>16200</v>
      </c>
      <c r="Q10" s="39">
        <f>IFERROR(VLOOKUP("188mg LP",Controls!A:J,6,0),3)</f>
        <v>3</v>
      </c>
      <c r="R10" s="21" t="str">
        <f>IFERROR(VLOOKUP("188mg LP",Controls!A:K,10,0),"")</f>
        <v>Fisher / ThermoFisher Allentown</v>
      </c>
      <c r="S10" s="41">
        <f t="shared" si="3"/>
        <v>46143</v>
      </c>
      <c r="T10" s="30">
        <f t="shared" si="4"/>
        <v>0</v>
      </c>
      <c r="W10" s="205" t="str" cm="1">
        <f t="array" ref="W10">IF(6&lt;Controls!$B$7,TEXT(INDEX(A4:A182,MATCH(Controls!$B$5,A4:A182,1)+6),"MMM-YY"),"")</f>
        <v>Oct-26</v>
      </c>
      <c r="X10" cm="1">
        <f t="array" ref="X10">IF(6&lt;Controls!$B$7,INDEX(F4:F182,MATCH(Controls!$B$5,A4:A182,1)+6),"")</f>
        <v>2287.397516316053</v>
      </c>
      <c r="Y10" cm="1">
        <f t="array" ref="Y10">IF(6&lt;Controls!$B$7,INDEX(G4:G182,MATCH(Controls!$B$5,A4:A182,1)+6),"")</f>
        <v>32400</v>
      </c>
      <c r="Z10" cm="1">
        <f t="array" ref="Z10">IF(6&lt;Controls!$B$7,INDEX(H4:H182,MATCH(Controls!$B$5,A4:A182,1)+6),"")</f>
        <v>77330.846489906864</v>
      </c>
      <c r="AA10" cm="1">
        <f t="array" aca="1" ref="AA10" ca="1">IF(6&lt;Controls!$B$7,INDEX(M4:M182,MATCH(Controls!$B$5,A4:A182,1)+6)*INDEX(I4:I182,MATCH(Controls!$B$5,A4:A182,1)+6),"")</f>
        <v>24468.083170700935</v>
      </c>
      <c r="AB10">
        <f t="shared" si="6"/>
        <v>13628.510664278223</v>
      </c>
    </row>
    <row r="11" spans="1:28" ht="13" customHeight="1" x14ac:dyDescent="0.35">
      <c r="A11" s="153">
        <v>46266</v>
      </c>
      <c r="B11" s="36" t="s">
        <v>26</v>
      </c>
      <c r="C11" s="15" t="s">
        <v>28</v>
      </c>
      <c r="D11" s="15" t="s">
        <v>29</v>
      </c>
      <c r="E11" s="30">
        <f>H10</f>
        <v>49374.835898144855</v>
      </c>
      <c r="F11" s="37">
        <f>IFERROR(SUMIFS('Demand Inputs'!$M$5:$M$202,'Demand Inputs'!$A$5:$A$202,"188mg LP",'Demand Inputs'!$B$5:$B$202,"&lt;&gt;AGGREGATE",'Demand Inputs'!$E$5:$E$202,1),0)</f>
        <v>2156.5918919219398</v>
      </c>
      <c r="G11" s="37">
        <f t="array" ref="G11">IFERROR(SUMPRODUCT(('Production Inputs'!$A:$A="188mg LP")*('Production Inputs'!$B:$B="TOTAL ACTIVE")*'Production Inputs'!$S:$S),0)</f>
        <v>0</v>
      </c>
      <c r="H11" s="30">
        <f t="shared" si="0"/>
        <v>47218.244006222914</v>
      </c>
      <c r="I11" s="30">
        <f ca="1">IFERROR(AVERAGEIF(OFFSET(F11,0,0,MIN(Controls!$B$8,COUNTIF(B11:B$1973,B11)),1),"&gt;"&amp;0),0)</f>
        <v>2619.7922670723856</v>
      </c>
      <c r="J11" s="38">
        <f t="shared" ca="1" si="1"/>
        <v>18.023659585417906</v>
      </c>
      <c r="K11" s="30">
        <f t="shared" ca="1" si="5"/>
        <v>0</v>
      </c>
      <c r="L11" t="str">
        <f t="shared" ca="1" si="2"/>
        <v>Overstock</v>
      </c>
      <c r="M11" s="39">
        <f>IFERROR(VLOOKUP("188mg LP",Controls!A:I,7,0),6)</f>
        <v>9</v>
      </c>
      <c r="N11" s="39">
        <f>IFERROR(VLOOKUP("188mg LP",Controls!A:I,8,0),3)</f>
        <v>8</v>
      </c>
      <c r="O11" s="39">
        <f>IFERROR(VLOOKUP("188mg LP",Controls!A:I,9,0),18)</f>
        <v>18</v>
      </c>
      <c r="P11" s="40">
        <f>IFERROR(VLOOKUP("188mg LP",Controls!A:J,5,0),0)</f>
        <v>16200</v>
      </c>
      <c r="Q11" s="39">
        <f>IFERROR(VLOOKUP("188mg LP",Controls!A:J,6,0),3)</f>
        <v>3</v>
      </c>
      <c r="R11" s="21" t="str">
        <f>IFERROR(VLOOKUP("188mg LP",Controls!A:K,10,0),"")</f>
        <v>Fisher / ThermoFisher Allentown</v>
      </c>
      <c r="S11" s="41">
        <f t="shared" si="3"/>
        <v>46174</v>
      </c>
      <c r="T11" s="30">
        <f t="shared" si="4"/>
        <v>0</v>
      </c>
      <c r="W11" s="205" t="str" cm="1">
        <f t="array" ref="W11">IF(7&lt;Controls!$B$7,TEXT(INDEX(A4:A182,MATCH(Controls!$B$5,A4:A182,1)+7),"MMM-YY"),"")</f>
        <v>Nov-26</v>
      </c>
      <c r="X11" cm="1">
        <f t="array" ref="X11">IF(7&lt;Controls!$B$7,INDEX(F4:F182,MATCH(Controls!$B$5,A4:A182,1)+7),"")</f>
        <v>2411.2846308610096</v>
      </c>
      <c r="Y11" cm="1">
        <f t="array" ref="Y11">IF(7&lt;Controls!$B$7,INDEX(G4:G182,MATCH(Controls!$B$5,A4:A182,1)+7),"")</f>
        <v>0</v>
      </c>
      <c r="Z11" cm="1">
        <f t="array" ref="Z11">IF(7&lt;Controls!$B$7,INDEX(H4:H182,MATCH(Controls!$B$5,A4:A182,1)+7),"")</f>
        <v>74919.561859045847</v>
      </c>
      <c r="AA11" cm="1">
        <f t="array" aca="1" ref="AA11" ca="1">IF(7&lt;Controls!$B$7,INDEX(M4:M182,MATCH(Controls!$B$5,A4:A182,1)+7)*INDEX(I4:I182,MATCH(Controls!$B$5,A4:A182,1)+7),"")</f>
        <v>25871.094947493293</v>
      </c>
      <c r="AB11">
        <f t="shared" si="6"/>
        <v>15785.102556200163</v>
      </c>
    </row>
    <row r="12" spans="1:28" ht="13" customHeight="1" x14ac:dyDescent="0.35">
      <c r="A12" s="153">
        <v>46296</v>
      </c>
      <c r="B12" s="36" t="s">
        <v>26</v>
      </c>
      <c r="C12" s="15" t="s">
        <v>28</v>
      </c>
      <c r="D12" s="15" t="s">
        <v>29</v>
      </c>
      <c r="E12" s="30">
        <f>H11</f>
        <v>47218.244006222914</v>
      </c>
      <c r="F12" s="37">
        <f>IFERROR(SUMIFS('Demand Inputs'!$N$5:$N$202,'Demand Inputs'!$A$5:$A$202,"188mg LP",'Demand Inputs'!$B$5:$B$202,"&lt;&gt;AGGREGATE",'Demand Inputs'!$E$5:$E$202,1),0)</f>
        <v>2287.397516316053</v>
      </c>
      <c r="G12" s="37">
        <f t="array" ref="G12">IFERROR(SUMPRODUCT(('Production Inputs'!$A:$A="188mg LP")*('Production Inputs'!$B:$B="TOTAL ACTIVE")*'Production Inputs'!$T:$T),0)</f>
        <v>32400</v>
      </c>
      <c r="H12" s="30">
        <f t="shared" si="0"/>
        <v>77330.846489906864</v>
      </c>
      <c r="I12" s="30">
        <f ca="1">IFERROR(AVERAGEIF(OFFSET(F12,0,0,MIN(Controls!$B$8,COUNTIF(B12:B$1973,B12)),1),"&gt;"&amp;0),0)</f>
        <v>2718.6759078556593</v>
      </c>
      <c r="J12" s="38">
        <f t="shared" ca="1" si="1"/>
        <v>28.444304915660634</v>
      </c>
      <c r="K12" s="30">
        <f t="shared" ca="1" si="5"/>
        <v>0</v>
      </c>
      <c r="L12" t="str">
        <f t="shared" ca="1" si="2"/>
        <v>Overstock</v>
      </c>
      <c r="M12" s="39">
        <f>IFERROR(VLOOKUP("188mg LP",Controls!A:I,7,0),6)</f>
        <v>9</v>
      </c>
      <c r="N12" s="39">
        <f>IFERROR(VLOOKUP("188mg LP",Controls!A:I,8,0),3)</f>
        <v>8</v>
      </c>
      <c r="O12" s="39">
        <f>IFERROR(VLOOKUP("188mg LP",Controls!A:I,9,0),18)</f>
        <v>18</v>
      </c>
      <c r="P12" s="40">
        <f>IFERROR(VLOOKUP("188mg LP",Controls!A:J,5,0),0)</f>
        <v>16200</v>
      </c>
      <c r="Q12" s="39">
        <f>IFERROR(VLOOKUP("188mg LP",Controls!A:J,6,0),3)</f>
        <v>3</v>
      </c>
      <c r="R12" s="21" t="str">
        <f>IFERROR(VLOOKUP("188mg LP",Controls!A:K,10,0),"")</f>
        <v>Fisher / ThermoFisher Allentown</v>
      </c>
      <c r="S12" s="41">
        <f t="shared" si="3"/>
        <v>46204</v>
      </c>
      <c r="T12" s="30">
        <f t="shared" si="4"/>
        <v>32400</v>
      </c>
      <c r="W12" s="205" t="str" cm="1">
        <f t="array" ref="W12">IF(8&lt;Controls!$B$7,TEXT(INDEX(A4:A182,MATCH(Controls!$B$5,A4:A182,1)+8),"MMM-YY"),"")</f>
        <v>Dec-26</v>
      </c>
      <c r="X12" cm="1">
        <f t="array" ref="X12">IF(8&lt;Controls!$B$7,INDEX(F4:F182,MATCH(Controls!$B$5,A4:A182,1)+8),"")</f>
        <v>2102.2871252017048</v>
      </c>
      <c r="Y12" cm="1">
        <f t="array" ref="Y12">IF(8&lt;Controls!$B$7,INDEX(G4:G182,MATCH(Controls!$B$5,A4:A182,1)+8),"")</f>
        <v>0</v>
      </c>
      <c r="Z12" cm="1">
        <f t="array" ref="Z12">IF(8&lt;Controls!$B$7,INDEX(H4:H182,MATCH(Controls!$B$5,A4:A182,1)+8),"")</f>
        <v>72817.27473384414</v>
      </c>
      <c r="AA12" cm="1">
        <f t="array" aca="1" ref="AA12" ca="1">IF(8&lt;Controls!$B$7,INDEX(M4:M182,MATCH(Controls!$B$5,A4:A182,1)+8)*INDEX(I4:I182,MATCH(Controls!$B$5,A4:A182,1)+8),"")</f>
        <v>27316.392997638599</v>
      </c>
      <c r="AB12">
        <f t="shared" si="6"/>
        <v>18072.500072516217</v>
      </c>
    </row>
    <row r="13" spans="1:28" ht="13" customHeight="1" x14ac:dyDescent="0.35">
      <c r="A13" s="153">
        <v>46327</v>
      </c>
      <c r="B13" s="36" t="s">
        <v>26</v>
      </c>
      <c r="C13" s="15" t="s">
        <v>28</v>
      </c>
      <c r="D13" s="15" t="s">
        <v>29</v>
      </c>
      <c r="E13" s="30">
        <f>H12</f>
        <v>77330.846489906864</v>
      </c>
      <c r="F13" s="37">
        <f>IFERROR(SUMIFS('Demand Inputs'!$O$5:$O$202,'Demand Inputs'!$A$5:$A$202,"188mg LP",'Demand Inputs'!$B$5:$B$202,"&lt;&gt;AGGREGATE",'Demand Inputs'!$E$5:$E$202,1),0)</f>
        <v>2411.2846308610096</v>
      </c>
      <c r="G13" s="37">
        <f t="array" ref="G13">IFERROR(SUMPRODUCT(('Production Inputs'!$A:$A="188mg LP")*('Production Inputs'!$B:$B="TOTAL ACTIVE")*'Production Inputs'!$U:$U),0)</f>
        <v>0</v>
      </c>
      <c r="H13" s="30">
        <f t="shared" si="0"/>
        <v>74919.561859045847</v>
      </c>
      <c r="I13" s="30">
        <f ca="1">IFERROR(AVERAGEIF(OFFSET(F13,0,0,MIN(Controls!$B$8,COUNTIF(B13:B$1973,B13)),1),"&gt;"&amp;0),0)</f>
        <v>2874.5661052770324</v>
      </c>
      <c r="J13" s="38">
        <f t="shared" ca="1" si="1"/>
        <v>26.062911450013626</v>
      </c>
      <c r="K13" s="30">
        <f t="shared" ca="1" si="5"/>
        <v>0</v>
      </c>
      <c r="L13" t="str">
        <f t="shared" ca="1" si="2"/>
        <v>Overstock</v>
      </c>
      <c r="M13" s="39">
        <f>IFERROR(VLOOKUP("188mg LP",Controls!A:I,7,0),6)</f>
        <v>9</v>
      </c>
      <c r="N13" s="39">
        <f>IFERROR(VLOOKUP("188mg LP",Controls!A:I,8,0),3)</f>
        <v>8</v>
      </c>
      <c r="O13" s="39">
        <f>IFERROR(VLOOKUP("188mg LP",Controls!A:I,9,0),18)</f>
        <v>18</v>
      </c>
      <c r="P13" s="40">
        <f>IFERROR(VLOOKUP("188mg LP",Controls!A:J,5,0),0)</f>
        <v>16200</v>
      </c>
      <c r="Q13" s="39">
        <f>IFERROR(VLOOKUP("188mg LP",Controls!A:J,6,0),3)</f>
        <v>3</v>
      </c>
      <c r="R13" s="21" t="str">
        <f>IFERROR(VLOOKUP("188mg LP",Controls!A:K,10,0),"")</f>
        <v>Fisher / ThermoFisher Allentown</v>
      </c>
      <c r="S13" s="41">
        <f t="shared" si="3"/>
        <v>46235</v>
      </c>
      <c r="T13" s="30">
        <f t="shared" si="4"/>
        <v>0</v>
      </c>
      <c r="W13" s="205" t="str" cm="1">
        <f t="array" ref="W13">IF(9&lt;Controls!$B$7,TEXT(INDEX(A4:A182,MATCH(Controls!$B$5,A4:A182,1)+9),"MMM-YY"),"")</f>
        <v>Jan-27</v>
      </c>
      <c r="X13" cm="1">
        <f t="array" ref="X13">IF(9&lt;Controls!$B$7,INDEX(F4:F182,MATCH(Controls!$B$5,A4:A182,1)+9),"")</f>
        <v>2931.4602227597193</v>
      </c>
      <c r="Y13" cm="1">
        <f t="array" ref="Y13">IF(9&lt;Controls!$B$7,INDEX(G4:G182,MATCH(Controls!$B$5,A4:A182,1)+9),"")</f>
        <v>0</v>
      </c>
      <c r="Z13" cm="1">
        <f t="array" ref="Z13">IF(9&lt;Controls!$B$7,INDEX(H4:H182,MATCH(Controls!$B$5,A4:A182,1)+9),"")</f>
        <v>69885.81451108442</v>
      </c>
      <c r="AA13" cm="1">
        <f t="array" aca="1" ref="AA13" ca="1">IF(9&lt;Controls!$B$7,INDEX(M4:M182,MATCH(Controls!$B$5,A4:A182,1)+9)*INDEX(I4:I182,MATCH(Controls!$B$5,A4:A182,1)+9),"")</f>
        <v>29703.066783157366</v>
      </c>
      <c r="AB13">
        <f t="shared" si="6"/>
        <v>20483.784703377227</v>
      </c>
    </row>
    <row r="14" spans="1:28" ht="13" customHeight="1" x14ac:dyDescent="0.35">
      <c r="A14" s="153">
        <v>46357</v>
      </c>
      <c r="B14" s="36" t="s">
        <v>26</v>
      </c>
      <c r="C14" s="15" t="s">
        <v>28</v>
      </c>
      <c r="D14" s="15" t="s">
        <v>29</v>
      </c>
      <c r="E14" s="30">
        <f>H13</f>
        <v>74919.561859045847</v>
      </c>
      <c r="F14" s="37">
        <f>IFERROR(SUMIFS('Demand Inputs'!$P$5:$P$202,'Demand Inputs'!$A$5:$A$202,"188mg LP",'Demand Inputs'!$B$5:$B$202,"&lt;&gt;AGGREGATE",'Demand Inputs'!$E$5:$E$202,1),0)</f>
        <v>2102.2871252017048</v>
      </c>
      <c r="G14" s="37">
        <f t="array" ref="G14">IFERROR(SUMPRODUCT(('Production Inputs'!$A:$A="188mg LP")*('Production Inputs'!$B:$B="TOTAL ACTIVE")*'Production Inputs'!$V:$V),0)</f>
        <v>0</v>
      </c>
      <c r="H14" s="30">
        <f t="shared" si="0"/>
        <v>72817.27473384414</v>
      </c>
      <c r="I14" s="30">
        <f ca="1">IFERROR(AVERAGEIF(OFFSET(F14,0,0,MIN(Controls!$B$8,COUNTIF(B14:B$1973,B14)),1),"&gt;"&amp;0),0)</f>
        <v>3035.1547775153999</v>
      </c>
      <c r="J14" s="38">
        <f t="shared" ca="1" si="1"/>
        <v>23.991288771590391</v>
      </c>
      <c r="K14" s="30">
        <f t="shared" ca="1" si="5"/>
        <v>0</v>
      </c>
      <c r="L14" t="str">
        <f t="shared" ca="1" si="2"/>
        <v>Overstock</v>
      </c>
      <c r="M14" s="39">
        <f>IFERROR(VLOOKUP("188mg LP",Controls!A:I,7,0),6)</f>
        <v>9</v>
      </c>
      <c r="N14" s="39">
        <f>IFERROR(VLOOKUP("188mg LP",Controls!A:I,8,0),3)</f>
        <v>8</v>
      </c>
      <c r="O14" s="39">
        <f>IFERROR(VLOOKUP("188mg LP",Controls!A:I,9,0),18)</f>
        <v>18</v>
      </c>
      <c r="P14" s="40">
        <f>IFERROR(VLOOKUP("188mg LP",Controls!A:J,5,0),0)</f>
        <v>16200</v>
      </c>
      <c r="Q14" s="39">
        <f>IFERROR(VLOOKUP("188mg LP",Controls!A:J,6,0),3)</f>
        <v>3</v>
      </c>
      <c r="R14" s="21" t="str">
        <f>IFERROR(VLOOKUP("188mg LP",Controls!A:K,10,0),"")</f>
        <v>Fisher / ThermoFisher Allentown</v>
      </c>
      <c r="S14" s="41">
        <f t="shared" si="3"/>
        <v>46266</v>
      </c>
      <c r="T14" s="30">
        <f t="shared" si="4"/>
        <v>0</v>
      </c>
      <c r="W14" s="205" t="str" cm="1">
        <f t="array" ref="W14">IF(10&lt;Controls!$B$7,TEXT(INDEX(A4:A182,MATCH(Controls!$B$5,A4:A182,1)+10),"MMM-YY"),"")</f>
        <v>Feb-27</v>
      </c>
      <c r="X14" cm="1">
        <f t="array" ref="X14">IF(10&lt;Controls!$B$7,INDEX(F4:F182,MATCH(Controls!$B$5,A4:A182,1)+10),"")</f>
        <v>2238.5979430491811</v>
      </c>
      <c r="Y14" cm="1">
        <f t="array" ref="Y14">IF(10&lt;Controls!$B$7,INDEX(G4:G182,MATCH(Controls!$B$5,A4:A182,1)+10),"")</f>
        <v>0</v>
      </c>
      <c r="Z14" cm="1">
        <f t="array" ref="Z14">IF(10&lt;Controls!$B$7,INDEX(H4:H182,MATCH(Controls!$B$5,A4:A182,1)+10),"")</f>
        <v>67647.216568035234</v>
      </c>
      <c r="AA14" cm="1">
        <f t="array" aca="1" ref="AA14" ca="1">IF(10&lt;Controls!$B$7,INDEX(M4:M182,MATCH(Controls!$B$5,A4:A182,1)+10)*INDEX(I4:I182,MATCH(Controls!$B$5,A4:A182,1)+10),"")</f>
        <v>31162.474250229156</v>
      </c>
      <c r="AB14">
        <f t="shared" si="6"/>
        <v>22586.071828578933</v>
      </c>
    </row>
    <row r="15" spans="1:28" ht="13" customHeight="1" x14ac:dyDescent="0.35">
      <c r="A15" s="153">
        <v>46388</v>
      </c>
      <c r="B15" s="36" t="s">
        <v>26</v>
      </c>
      <c r="C15" s="15" t="s">
        <v>28</v>
      </c>
      <c r="D15" s="15" t="s">
        <v>29</v>
      </c>
      <c r="E15" s="30">
        <f>H14</f>
        <v>72817.27473384414</v>
      </c>
      <c r="F15" s="37">
        <f>IFERROR(SUMIFS('Demand Inputs'!$Q$5:$Q$202,'Demand Inputs'!$A$5:$A$202,"188mg LP",'Demand Inputs'!$B$5:$B$202,"&lt;&gt;AGGREGATE",'Demand Inputs'!$E$5:$E$202,1),0)</f>
        <v>2931.4602227597193</v>
      </c>
      <c r="G15" s="37">
        <f t="array" ref="G15">IFERROR(SUMPRODUCT(('Production Inputs'!$A:$A="188mg LP")*('Production Inputs'!$B:$B="TOTAL ACTIVE")*'Production Inputs'!$W:$W),0)</f>
        <v>0</v>
      </c>
      <c r="H15" s="30">
        <f t="shared" si="0"/>
        <v>69885.81451108442</v>
      </c>
      <c r="I15" s="30">
        <f ca="1">IFERROR(AVERAGEIF(OFFSET(F15,0,0,MIN(Controls!$B$8,COUNTIF(B15:B$1973,B15)),1),"&gt;"&amp;0),0)</f>
        <v>3300.3407536841519</v>
      </c>
      <c r="J15" s="38">
        <f t="shared" ca="1" si="1"/>
        <v>21.175333011620474</v>
      </c>
      <c r="K15" s="30">
        <f t="shared" ca="1" si="5"/>
        <v>0</v>
      </c>
      <c r="L15" t="str">
        <f t="shared" ca="1" si="2"/>
        <v>Overstock</v>
      </c>
      <c r="M15" s="39">
        <f>IFERROR(VLOOKUP("188mg LP",Controls!A:I,7,0),6)</f>
        <v>9</v>
      </c>
      <c r="N15" s="39">
        <f>IFERROR(VLOOKUP("188mg LP",Controls!A:I,8,0),3)</f>
        <v>8</v>
      </c>
      <c r="O15" s="39">
        <f>IFERROR(VLOOKUP("188mg LP",Controls!A:I,9,0),18)</f>
        <v>18</v>
      </c>
      <c r="P15" s="40">
        <f>IFERROR(VLOOKUP("188mg LP",Controls!A:J,5,0),0)</f>
        <v>16200</v>
      </c>
      <c r="Q15" s="39">
        <f>IFERROR(VLOOKUP("188mg LP",Controls!A:J,6,0),3)</f>
        <v>3</v>
      </c>
      <c r="R15" s="21" t="str">
        <f>IFERROR(VLOOKUP("188mg LP",Controls!A:K,10,0),"")</f>
        <v>Fisher / ThermoFisher Allentown</v>
      </c>
      <c r="S15" s="41">
        <f t="shared" si="3"/>
        <v>46296</v>
      </c>
      <c r="T15" s="30">
        <f t="shared" si="4"/>
        <v>0</v>
      </c>
      <c r="W15" s="205" t="str" cm="1">
        <f t="array" ref="W15">IF(11&lt;Controls!$B$7,TEXT(INDEX(A4:A182,MATCH(Controls!$B$5,A4:A182,1)+11),"MMM-YY"),"")</f>
        <v>Mar-27</v>
      </c>
      <c r="X15" cm="1">
        <f t="array" ref="X15">IF(11&lt;Controls!$B$7,INDEX(F4:F182,MATCH(Controls!$B$5,A4:A182,1)+11),"")</f>
        <v>2525.5929800666936</v>
      </c>
      <c r="Y15" cm="1">
        <f t="array" ref="Y15">IF(11&lt;Controls!$B$7,INDEX(G4:G182,MATCH(Controls!$B$5,A4:A182,1)+11),"")</f>
        <v>0</v>
      </c>
      <c r="Z15" cm="1">
        <f t="array" ref="Z15">IF(11&lt;Controls!$B$7,INDEX(H4:H182,MATCH(Controls!$B$5,A4:A182,1)+11),"")</f>
        <v>65121.623587968541</v>
      </c>
      <c r="AA15" cm="1">
        <f t="array" aca="1" ref="AA15" ca="1">IF(11&lt;Controls!$B$7,INDEX(M4:M182,MATCH(Controls!$B$5,A4:A182,1)+11)*INDEX(I4:I182,MATCH(Controls!$B$5,A4:A182,1)+11),"")</f>
        <v>33394.461383334543</v>
      </c>
      <c r="AB15">
        <f t="shared" si="6"/>
        <v>25517.532051338654</v>
      </c>
    </row>
    <row r="16" spans="1:28" ht="13" customHeight="1" x14ac:dyDescent="0.35">
      <c r="A16" s="153">
        <v>46419</v>
      </c>
      <c r="B16" s="36" t="s">
        <v>26</v>
      </c>
      <c r="C16" s="15" t="s">
        <v>28</v>
      </c>
      <c r="D16" s="15" t="s">
        <v>29</v>
      </c>
      <c r="E16" s="30">
        <f>H15</f>
        <v>69885.81451108442</v>
      </c>
      <c r="F16" s="37">
        <f>IFERROR(SUMIFS('Demand Inputs'!$R$5:$R$202,'Demand Inputs'!$A$5:$A$202,"188mg LP",'Demand Inputs'!$B$5:$B$202,"&lt;&gt;AGGREGATE",'Demand Inputs'!$E$5:$E$202,1),0)</f>
        <v>2238.5979430491811</v>
      </c>
      <c r="G16" s="37">
        <f t="array" ref="G16">IFERROR(SUMPRODUCT(('Production Inputs'!$A:$A="188mg LP")*('Production Inputs'!$B:$B="TOTAL ACTIVE")*'Production Inputs'!$X:$X),0)</f>
        <v>0</v>
      </c>
      <c r="H16" s="30">
        <f t="shared" si="0"/>
        <v>67647.216568035234</v>
      </c>
      <c r="I16" s="30">
        <f ca="1">IFERROR(AVERAGEIF(OFFSET(F16,0,0,MIN(Controls!$B$8,COUNTIF(B16:B$1973,B16)),1),"&gt;"&amp;0),0)</f>
        <v>3462.4971389143507</v>
      </c>
      <c r="J16" s="38">
        <f t="shared" ca="1" si="1"/>
        <v>19.537118401560814</v>
      </c>
      <c r="K16" s="30">
        <f t="shared" ca="1" si="5"/>
        <v>0</v>
      </c>
      <c r="L16" t="str">
        <f t="shared" ca="1" si="2"/>
        <v>Overstock</v>
      </c>
      <c r="M16" s="39">
        <f>IFERROR(VLOOKUP("188mg LP",Controls!A:I,7,0),6)</f>
        <v>9</v>
      </c>
      <c r="N16" s="39">
        <f>IFERROR(VLOOKUP("188mg LP",Controls!A:I,8,0),3)</f>
        <v>8</v>
      </c>
      <c r="O16" s="39">
        <f>IFERROR(VLOOKUP("188mg LP",Controls!A:I,9,0),18)</f>
        <v>18</v>
      </c>
      <c r="P16" s="40">
        <f>IFERROR(VLOOKUP("188mg LP",Controls!A:J,5,0),0)</f>
        <v>16200</v>
      </c>
      <c r="Q16" s="39">
        <f>IFERROR(VLOOKUP("188mg LP",Controls!A:J,6,0),3)</f>
        <v>3</v>
      </c>
      <c r="R16" s="21" t="str">
        <f>IFERROR(VLOOKUP("188mg LP",Controls!A:K,10,0),"")</f>
        <v>Fisher / ThermoFisher Allentown</v>
      </c>
      <c r="S16" s="41">
        <f t="shared" si="3"/>
        <v>46327</v>
      </c>
      <c r="T16" s="30">
        <f t="shared" si="4"/>
        <v>0</v>
      </c>
      <c r="W16" s="205" t="str" cm="1">
        <f t="array" ref="W16">IF(12&lt;Controls!$B$7,TEXT(INDEX(A4:A182,MATCH(Controls!$B$5,A4:A182,1)+12),"MMM-YY"),"")</f>
        <v>Apr-27</v>
      </c>
      <c r="X16" cm="1">
        <f t="array" ref="X16">IF(12&lt;Controls!$B$7,INDEX(F4:F182,MATCH(Controls!$B$5,A4:A182,1)+12),"")</f>
        <v>3618.7106049950644</v>
      </c>
      <c r="Y16" cm="1">
        <f t="array" ref="Y16">IF(12&lt;Controls!$B$7,INDEX(G4:G182,MATCH(Controls!$B$5,A4:A182,1)+12),"")</f>
        <v>0</v>
      </c>
      <c r="Z16" cm="1">
        <f t="array" ref="Z16">IF(12&lt;Controls!$B$7,INDEX(H4:H182,MATCH(Controls!$B$5,A4:A182,1)+12),"")</f>
        <v>61502.912982973474</v>
      </c>
      <c r="AA16" cm="1">
        <f t="array" aca="1" ref="AA16" ca="1">IF(12&lt;Controls!$B$7,INDEX(M4:M182,MATCH(Controls!$B$5,A4:A182,1)+12)*INDEX(I4:I182,MATCH(Controls!$B$5,A4:A182,1)+12),"")</f>
        <v>35816.429326485042</v>
      </c>
      <c r="AB16">
        <f t="shared" si="6"/>
        <v>27756.129994387837</v>
      </c>
    </row>
    <row r="17" spans="1:28" ht="13" customHeight="1" x14ac:dyDescent="0.35">
      <c r="A17" s="153">
        <v>46447</v>
      </c>
      <c r="B17" s="36" t="s">
        <v>26</v>
      </c>
      <c r="C17" s="15" t="s">
        <v>28</v>
      </c>
      <c r="D17" s="15" t="s">
        <v>29</v>
      </c>
      <c r="E17" s="30">
        <f>H16</f>
        <v>67647.216568035234</v>
      </c>
      <c r="F17" s="37">
        <f>IFERROR(SUMIFS('Demand Inputs'!$S$5:$S$202,'Demand Inputs'!$A$5:$A$202,"188mg LP",'Demand Inputs'!$B$5:$B$202,"&lt;&gt;AGGREGATE",'Demand Inputs'!$E$5:$E$202,1),0)</f>
        <v>2525.5929800666936</v>
      </c>
      <c r="G17" s="37">
        <f t="array" ref="G17">IFERROR(SUMPRODUCT(('Production Inputs'!$A:$A="188mg LP")*('Production Inputs'!$B:$B="TOTAL ACTIVE")*'Production Inputs'!$Y:$Y),0)</f>
        <v>0</v>
      </c>
      <c r="H17" s="30">
        <f t="shared" si="0"/>
        <v>65121.623587968541</v>
      </c>
      <c r="I17" s="30">
        <f ca="1">IFERROR(AVERAGEIF(OFFSET(F17,0,0,MIN(Controls!$B$8,COUNTIF(B17:B$1973,B17)),1),"&gt;"&amp;0),0)</f>
        <v>3710.4957092593936</v>
      </c>
      <c r="J17" s="38">
        <f t="shared" ca="1" si="1"/>
        <v>17.550653252464389</v>
      </c>
      <c r="K17" s="30">
        <f t="shared" ca="1" si="5"/>
        <v>0</v>
      </c>
      <c r="L17" t="str">
        <f t="shared" ca="1" si="2"/>
        <v>Low</v>
      </c>
      <c r="M17" s="39">
        <f>IFERROR(VLOOKUP("188mg LP",Controls!A:I,7,0),6)</f>
        <v>9</v>
      </c>
      <c r="N17" s="39">
        <f>IFERROR(VLOOKUP("188mg LP",Controls!A:I,8,0),3)</f>
        <v>8</v>
      </c>
      <c r="O17" s="39">
        <f>IFERROR(VLOOKUP("188mg LP",Controls!A:I,9,0),18)</f>
        <v>18</v>
      </c>
      <c r="P17" s="40">
        <f>IFERROR(VLOOKUP("188mg LP",Controls!A:J,5,0),0)</f>
        <v>16200</v>
      </c>
      <c r="Q17" s="39">
        <f>IFERROR(VLOOKUP("188mg LP",Controls!A:J,6,0),3)</f>
        <v>3</v>
      </c>
      <c r="R17" s="21" t="str">
        <f>IFERROR(VLOOKUP("188mg LP",Controls!A:K,10,0),"")</f>
        <v>Fisher / ThermoFisher Allentown</v>
      </c>
      <c r="S17" s="41">
        <f t="shared" si="3"/>
        <v>46357</v>
      </c>
      <c r="T17" s="30">
        <f t="shared" si="4"/>
        <v>0</v>
      </c>
      <c r="W17" s="205" t="str" cm="1">
        <f t="array" ref="W17">IF(13&lt;Controls!$B$7,TEXT(INDEX(A4:A182,MATCH(Controls!$B$5,A4:A182,1)+13),"MMM-YY"),"")</f>
        <v>May-27</v>
      </c>
      <c r="X17" cm="1">
        <f t="array" ref="X17">IF(13&lt;Controls!$B$7,INDEX(F4:F182,MATCH(Controls!$B$5,A4:A182,1)+13),"")</f>
        <v>3306.2074884801073</v>
      </c>
      <c r="Y17" cm="1">
        <f t="array" ref="Y17">IF(13&lt;Controls!$B$7,INDEX(G4:G182,MATCH(Controls!$B$5,A4:A182,1)+13),"")</f>
        <v>0</v>
      </c>
      <c r="Z17" cm="1">
        <f t="array" ref="Z17">IF(13&lt;Controls!$B$7,INDEX(H4:H182,MATCH(Controls!$B$5,A4:A182,1)+13),"")</f>
        <v>58196.70549449337</v>
      </c>
      <c r="AA17" cm="1">
        <f t="array" aca="1" ref="AA17" ca="1">IF(13&lt;Controls!$B$7,INDEX(M4:M182,MATCH(Controls!$B$5,A4:A182,1)+13)*INDEX(I4:I182,MATCH(Controls!$B$5,A4:A182,1)+13),"")</f>
        <v>38474.962980926735</v>
      </c>
      <c r="AB17">
        <f t="shared" si="6"/>
        <v>30281.722974454529</v>
      </c>
    </row>
    <row r="18" spans="1:28" ht="13" customHeight="1" x14ac:dyDescent="0.35">
      <c r="A18" s="153">
        <v>46478</v>
      </c>
      <c r="B18" s="36" t="s">
        <v>26</v>
      </c>
      <c r="C18" s="15" t="s">
        <v>28</v>
      </c>
      <c r="D18" s="15" t="s">
        <v>29</v>
      </c>
      <c r="E18" s="30">
        <f>H17</f>
        <v>65121.623587968541</v>
      </c>
      <c r="F18" s="37">
        <f>IFERROR(SUMIFS('Demand Inputs'!$T$5:$T$202,'Demand Inputs'!$A$5:$A$202,"188mg LP",'Demand Inputs'!$B$5:$B$202,"&lt;&gt;AGGREGATE",'Demand Inputs'!$E$5:$E$202,1),0)</f>
        <v>3618.7106049950644</v>
      </c>
      <c r="G18" s="37">
        <f t="array" ref="G18">IFERROR(SUMPRODUCT(('Production Inputs'!$A:$A="188mg LP")*('Production Inputs'!$B:$B="TOTAL ACTIVE")*'Production Inputs'!$Z:$Z),0)</f>
        <v>0</v>
      </c>
      <c r="H18" s="30">
        <f t="shared" si="0"/>
        <v>61502.912982973474</v>
      </c>
      <c r="I18" s="30">
        <f ca="1">IFERROR(AVERAGEIF(OFFSET(F18,0,0,MIN(Controls!$B$8,COUNTIF(B18:B$1973,B18)),1),"&gt;"&amp;0),0)</f>
        <v>3979.6032584983382</v>
      </c>
      <c r="J18" s="38">
        <f t="shared" ca="1" si="1"/>
        <v>15.454533778369896</v>
      </c>
      <c r="K18" s="30">
        <f t="shared" ca="1" si="5"/>
        <v>0</v>
      </c>
      <c r="L18" t="str">
        <f t="shared" ca="1" si="2"/>
        <v>Low</v>
      </c>
      <c r="M18" s="39">
        <f>IFERROR(VLOOKUP("188mg LP",Controls!A:I,7,0),6)</f>
        <v>9</v>
      </c>
      <c r="N18" s="39">
        <f>IFERROR(VLOOKUP("188mg LP",Controls!A:I,8,0),3)</f>
        <v>8</v>
      </c>
      <c r="O18" s="39">
        <f>IFERROR(VLOOKUP("188mg LP",Controls!A:I,9,0),18)</f>
        <v>18</v>
      </c>
      <c r="P18" s="40">
        <f>IFERROR(VLOOKUP("188mg LP",Controls!A:J,5,0),0)</f>
        <v>16200</v>
      </c>
      <c r="Q18" s="39">
        <f>IFERROR(VLOOKUP("188mg LP",Controls!A:J,6,0),3)</f>
        <v>3</v>
      </c>
      <c r="R18" s="21" t="str">
        <f>IFERROR(VLOOKUP("188mg LP",Controls!A:K,10,0),"")</f>
        <v>Fisher / ThermoFisher Allentown</v>
      </c>
      <c r="S18" s="41">
        <f t="shared" si="3"/>
        <v>46388</v>
      </c>
      <c r="T18" s="30">
        <f t="shared" si="4"/>
        <v>0</v>
      </c>
      <c r="W18" s="205" t="str" cm="1">
        <f t="array" ref="W18">IF(14&lt;Controls!$B$7,TEXT(INDEX(A4:A182,MATCH(Controls!$B$5,A4:A182,1)+14),"MMM-YY"),"")</f>
        <v>Jun-27</v>
      </c>
      <c r="X18" cm="1">
        <f t="array" ref="X18">IF(14&lt;Controls!$B$7,INDEX(F4:F182,MATCH(Controls!$B$5,A4:A182,1)+14),"")</f>
        <v>3046.5446589714029</v>
      </c>
      <c r="Y18" cm="1">
        <f t="array" ref="Y18">IF(14&lt;Controls!$B$7,INDEX(G4:G182,MATCH(Controls!$B$5,A4:A182,1)+14),"")</f>
        <v>0</v>
      </c>
      <c r="Z18" cm="1">
        <f t="array" ref="Z18">IF(14&lt;Controls!$B$7,INDEX(H4:H182,MATCH(Controls!$B$5,A4:A182,1)+14),"")</f>
        <v>55150.160835521965</v>
      </c>
      <c r="AA18" cm="1">
        <f t="array" aca="1" ref="AA18" ca="1">IF(14&lt;Controls!$B$7,INDEX(M4:M182,MATCH(Controls!$B$5,A4:A182,1)+14)*INDEX(I4:I182,MATCH(Controls!$B$5,A4:A182,1)+14),"")</f>
        <v>40196.99583771672</v>
      </c>
      <c r="AB18">
        <f t="shared" si="6"/>
        <v>33900.433579449593</v>
      </c>
    </row>
    <row r="19" spans="1:28" ht="13" customHeight="1" x14ac:dyDescent="0.35">
      <c r="A19" s="153">
        <v>46508</v>
      </c>
      <c r="B19" s="36" t="s">
        <v>26</v>
      </c>
      <c r="C19" s="15" t="s">
        <v>28</v>
      </c>
      <c r="D19" s="15" t="s">
        <v>29</v>
      </c>
      <c r="E19" s="30">
        <f>H18</f>
        <v>61502.912982973474</v>
      </c>
      <c r="F19" s="37">
        <f>IFERROR(SUMIFS('Demand Inputs'!$U$5:$U$202,'Demand Inputs'!$A$5:$A$202,"188mg LP",'Demand Inputs'!$B$5:$B$202,"&lt;&gt;AGGREGATE",'Demand Inputs'!$E$5:$E$202,1),0)</f>
        <v>3306.2074884801073</v>
      </c>
      <c r="G19" s="37">
        <f t="array" ref="G19">IFERROR(SUMPRODUCT(('Production Inputs'!$A:$A="188mg LP")*('Production Inputs'!$B:$B="TOTAL ACTIVE")*'Production Inputs'!$AA:$AA),0)</f>
        <v>0</v>
      </c>
      <c r="H19" s="30">
        <f t="shared" si="0"/>
        <v>58196.70549449337</v>
      </c>
      <c r="I19" s="30">
        <f ca="1">IFERROR(AVERAGEIF(OFFSET(F19,0,0,MIN(Controls!$B$8,COUNTIF(B19:B$1973,B19)),1),"&gt;"&amp;0),0)</f>
        <v>4274.9958867696369</v>
      </c>
      <c r="J19" s="38">
        <f t="shared" ca="1" si="1"/>
        <v>13.613277541295881</v>
      </c>
      <c r="K19" s="30">
        <f t="shared" ca="1" si="5"/>
        <v>0</v>
      </c>
      <c r="L19" t="str">
        <f t="shared" ca="1" si="2"/>
        <v>Low</v>
      </c>
      <c r="M19" s="39">
        <f>IFERROR(VLOOKUP("188mg LP",Controls!A:I,7,0),6)</f>
        <v>9</v>
      </c>
      <c r="N19" s="39">
        <f>IFERROR(VLOOKUP("188mg LP",Controls!A:I,8,0),3)</f>
        <v>8</v>
      </c>
      <c r="O19" s="39">
        <f>IFERROR(VLOOKUP("188mg LP",Controls!A:I,9,0),18)</f>
        <v>18</v>
      </c>
      <c r="P19" s="40">
        <f>IFERROR(VLOOKUP("188mg LP",Controls!A:J,5,0),0)</f>
        <v>16200</v>
      </c>
      <c r="Q19" s="39">
        <f>IFERROR(VLOOKUP("188mg LP",Controls!A:J,6,0),3)</f>
        <v>3</v>
      </c>
      <c r="R19" s="21" t="str">
        <f>IFERROR(VLOOKUP("188mg LP",Controls!A:K,10,0),"")</f>
        <v>Fisher / ThermoFisher Allentown</v>
      </c>
      <c r="S19" s="41">
        <f t="shared" si="3"/>
        <v>46419</v>
      </c>
      <c r="T19" s="30">
        <f t="shared" si="4"/>
        <v>0</v>
      </c>
      <c r="W19" s="205" t="str" cm="1">
        <f t="array" ref="W19">IF(15&lt;Controls!$B$7,TEXT(INDEX(A4:A182,MATCH(Controls!$B$5,A4:A182,1)+15),"MMM-YY"),"")</f>
        <v>Jul-27</v>
      </c>
      <c r="X19" cm="1">
        <f t="array" ref="X19">IF(15&lt;Controls!$B$7,INDEX(F4:F182,MATCH(Controls!$B$5,A4:A182,1)+15),"")</f>
        <v>3690.4092931084087</v>
      </c>
      <c r="Y19" cm="1">
        <f t="array" ref="Y19">IF(15&lt;Controls!$B$7,INDEX(G4:G182,MATCH(Controls!$B$5,A4:A182,1)+15),"")</f>
        <v>0</v>
      </c>
      <c r="Z19" cm="1">
        <f t="array" ref="Z19">IF(15&lt;Controls!$B$7,INDEX(H4:H182,MATCH(Controls!$B$5,A4:A182,1)+15),"")</f>
        <v>51459.751542413556</v>
      </c>
      <c r="AA19" cm="1">
        <f t="array" aca="1" ref="AA19" ca="1">IF(15&lt;Controls!$B$7,INDEX(M4:M182,MATCH(Controls!$B$5,A4:A182,1)+15)*INDEX(I4:I182,MATCH(Controls!$B$5,A4:A182,1)+15),"")</f>
        <v>43525.594551036687</v>
      </c>
      <c r="AB19">
        <f t="shared" si="6"/>
        <v>37206.641067929697</v>
      </c>
    </row>
    <row r="20" spans="1:28" ht="13" customHeight="1" x14ac:dyDescent="0.35">
      <c r="A20" s="153">
        <v>46539</v>
      </c>
      <c r="B20" s="36" t="s">
        <v>26</v>
      </c>
      <c r="C20" s="15" t="s">
        <v>28</v>
      </c>
      <c r="D20" s="15" t="s">
        <v>29</v>
      </c>
      <c r="E20" s="30">
        <f>H19</f>
        <v>58196.70549449337</v>
      </c>
      <c r="F20" s="37">
        <f>IFERROR(SUMIFS('Demand Inputs'!$V$5:$V$202,'Demand Inputs'!$A$5:$A$202,"188mg LP",'Demand Inputs'!$B$5:$B$202,"&lt;&gt;AGGREGATE",'Demand Inputs'!$E$5:$E$202,1),0)</f>
        <v>3046.5446589714029</v>
      </c>
      <c r="G20" s="37">
        <f t="array" ref="G20">IFERROR(SUMPRODUCT(('Production Inputs'!$A:$A="188mg LP")*('Production Inputs'!$B:$B="TOTAL ACTIVE")*'Production Inputs'!$AB:$AB),0)</f>
        <v>0</v>
      </c>
      <c r="H20" s="30">
        <f t="shared" si="0"/>
        <v>55150.160835521965</v>
      </c>
      <c r="I20" s="30">
        <f ca="1">IFERROR(AVERAGEIF(OFFSET(F20,0,0,MIN(Controls!$B$8,COUNTIF(B20:B$1973,B20)),1),"&gt;"&amp;0),0)</f>
        <v>4466.3328708574136</v>
      </c>
      <c r="J20" s="38">
        <f t="shared" ca="1" si="1"/>
        <v>12.347973702402223</v>
      </c>
      <c r="K20" s="30">
        <f t="shared" ca="1" si="5"/>
        <v>0</v>
      </c>
      <c r="L20" t="str">
        <f t="shared" ca="1" si="2"/>
        <v>Low</v>
      </c>
      <c r="M20" s="39">
        <f>IFERROR(VLOOKUP("188mg LP",Controls!A:I,7,0),6)</f>
        <v>9</v>
      </c>
      <c r="N20" s="39">
        <f>IFERROR(VLOOKUP("188mg LP",Controls!A:I,8,0),3)</f>
        <v>8</v>
      </c>
      <c r="O20" s="39">
        <f>IFERROR(VLOOKUP("188mg LP",Controls!A:I,9,0),18)</f>
        <v>18</v>
      </c>
      <c r="P20" s="40">
        <f>IFERROR(VLOOKUP("188mg LP",Controls!A:J,5,0),0)</f>
        <v>16200</v>
      </c>
      <c r="Q20" s="39">
        <f>IFERROR(VLOOKUP("188mg LP",Controls!A:J,6,0),3)</f>
        <v>3</v>
      </c>
      <c r="R20" s="21" t="str">
        <f>IFERROR(VLOOKUP("188mg LP",Controls!A:K,10,0),"")</f>
        <v>Fisher / ThermoFisher Allentown</v>
      </c>
      <c r="S20" s="41">
        <f t="shared" si="3"/>
        <v>46447</v>
      </c>
      <c r="T20" s="30">
        <f t="shared" si="4"/>
        <v>0</v>
      </c>
      <c r="W20" s="205" t="str" cm="1">
        <f t="array" ref="W20">IF(16&lt;Controls!$B$7,TEXT(INDEX(A4:A182,MATCH(Controls!$B$5,A4:A182,1)+16),"MMM-YY"),"")</f>
        <v>Aug-27</v>
      </c>
      <c r="X20" cm="1">
        <f t="array" ref="X20">IF(16&lt;Controls!$B$7,INDEX(F4:F182,MATCH(Controls!$B$5,A4:A182,1)+16),"")</f>
        <v>3856.5826810063154</v>
      </c>
      <c r="Y20" cm="1">
        <f t="array" ref="Y20">IF(16&lt;Controls!$B$7,INDEX(G4:G182,MATCH(Controls!$B$5,A4:A182,1)+16),"")</f>
        <v>0</v>
      </c>
      <c r="Z20" cm="1">
        <f t="array" ref="Z20">IF(16&lt;Controls!$B$7,INDEX(H4:H182,MATCH(Controls!$B$5,A4:A182,1)+16),"")</f>
        <v>47603.168861407241</v>
      </c>
      <c r="AA20" cm="1">
        <f t="array" aca="1" ref="AA20" ca="1">IF(16&lt;Controls!$B$7,INDEX(M4:M182,MATCH(Controls!$B$5,A4:A182,1)+16)*INDEX(I4:I182,MATCH(Controls!$B$5,A4:A182,1)+16),"")</f>
        <v>48233.126551123307</v>
      </c>
      <c r="AB20">
        <f t="shared" si="6"/>
        <v>40253.185726901102</v>
      </c>
    </row>
    <row r="21" spans="1:28" ht="13" customHeight="1" x14ac:dyDescent="0.35">
      <c r="A21" s="153">
        <v>46569</v>
      </c>
      <c r="B21" s="36" t="s">
        <v>26</v>
      </c>
      <c r="C21" s="15" t="s">
        <v>28</v>
      </c>
      <c r="D21" s="15" t="s">
        <v>29</v>
      </c>
      <c r="E21" s="30">
        <f>H20</f>
        <v>55150.160835521965</v>
      </c>
      <c r="F21" s="37">
        <f>IFERROR(SUMIFS('Demand Inputs'!$W$5:$W$202,'Demand Inputs'!$A$5:$A$202,"188mg LP",'Demand Inputs'!$B$5:$B$202,"&lt;&gt;AGGREGATE",'Demand Inputs'!$E$5:$E$202,1),0)</f>
        <v>3690.4092931084087</v>
      </c>
      <c r="G21" s="37">
        <f t="array" ref="G21">IFERROR(SUMPRODUCT(('Production Inputs'!$A:$A="188mg LP")*('Production Inputs'!$B:$B="TOTAL ACTIVE")*'Production Inputs'!$AC:$AC),0)</f>
        <v>0</v>
      </c>
      <c r="H21" s="30">
        <f t="shared" si="0"/>
        <v>51459.751542413556</v>
      </c>
      <c r="I21" s="30">
        <f ca="1">IFERROR(AVERAGEIF(OFFSET(F21,0,0,MIN(Controls!$B$8,COUNTIF(B21:B$1973,B21)),1),"&gt;"&amp;0),0)</f>
        <v>4836.1771723374095</v>
      </c>
      <c r="J21" s="38">
        <f t="shared" ca="1" si="1"/>
        <v>10.640584434490879</v>
      </c>
      <c r="K21" s="30">
        <f t="shared" ca="1" si="5"/>
        <v>0</v>
      </c>
      <c r="L21" t="str">
        <f t="shared" ca="1" si="2"/>
        <v>Low</v>
      </c>
      <c r="M21" s="39">
        <f>IFERROR(VLOOKUP("188mg LP",Controls!A:I,7,0),6)</f>
        <v>9</v>
      </c>
      <c r="N21" s="39">
        <f>IFERROR(VLOOKUP("188mg LP",Controls!A:I,8,0),3)</f>
        <v>8</v>
      </c>
      <c r="O21" s="39">
        <f>IFERROR(VLOOKUP("188mg LP",Controls!A:I,9,0),18)</f>
        <v>18</v>
      </c>
      <c r="P21" s="40">
        <f>IFERROR(VLOOKUP("188mg LP",Controls!A:J,5,0),0)</f>
        <v>16200</v>
      </c>
      <c r="Q21" s="39">
        <f>IFERROR(VLOOKUP("188mg LP",Controls!A:J,6,0),3)</f>
        <v>3</v>
      </c>
      <c r="R21" s="21" t="str">
        <f>IFERROR(VLOOKUP("188mg LP",Controls!A:K,10,0),"")</f>
        <v>Fisher / ThermoFisher Allentown</v>
      </c>
      <c r="S21" s="41">
        <f t="shared" si="3"/>
        <v>46478</v>
      </c>
      <c r="T21" s="30">
        <f t="shared" si="4"/>
        <v>0</v>
      </c>
      <c r="W21" s="205" t="str" cm="1">
        <f t="array" ref="W21">IF(17&lt;Controls!$B$7,TEXT(INDEX(A4:A182,MATCH(Controls!$B$5,A4:A182,1)+17),"MMM-YY"),"")</f>
        <v>Sep-27</v>
      </c>
      <c r="X21" cm="1">
        <f t="array" ref="X21">IF(17&lt;Controls!$B$7,INDEX(F4:F182,MATCH(Controls!$B$5,A4:A182,1)+17),"")</f>
        <v>4488.9609107204742</v>
      </c>
      <c r="Y21" cm="1">
        <f t="array" ref="Y21">IF(17&lt;Controls!$B$7,INDEX(G4:G182,MATCH(Controls!$B$5,A4:A182,1)+17),"")</f>
        <v>0</v>
      </c>
      <c r="Z21" cm="1">
        <f t="array" ref="Z21">IF(17&lt;Controls!$B$7,INDEX(H4:H182,MATCH(Controls!$B$5,A4:A182,1)+17),"")</f>
        <v>43114.207950686767</v>
      </c>
      <c r="AA21" cm="1">
        <f t="array" aca="1" ref="AA21" ca="1">IF(17&lt;Controls!$B$7,INDEX(M4:M182,MATCH(Controls!$B$5,A4:A182,1)+17)*INDEX(I4:I182,MATCH(Controls!$B$5,A4:A182,1)+17),"")</f>
        <v>50993.971572888709</v>
      </c>
      <c r="AB21">
        <f t="shared" si="6"/>
        <v>43943.59502000951</v>
      </c>
    </row>
    <row r="22" spans="1:28" ht="13" customHeight="1" x14ac:dyDescent="0.35">
      <c r="A22" s="153">
        <v>46600</v>
      </c>
      <c r="B22" s="36" t="s">
        <v>26</v>
      </c>
      <c r="C22" s="15" t="s">
        <v>28</v>
      </c>
      <c r="D22" s="15" t="s">
        <v>29</v>
      </c>
      <c r="E22" s="30">
        <f>H21</f>
        <v>51459.751542413556</v>
      </c>
      <c r="F22" s="37">
        <f>IFERROR(SUMIFS('Demand Inputs'!$X$5:$X$202,'Demand Inputs'!$A$5:$A$202,"188mg LP",'Demand Inputs'!$B$5:$B$202,"&lt;&gt;AGGREGATE",'Demand Inputs'!$E$5:$E$202,1),0)</f>
        <v>3856.5826810063154</v>
      </c>
      <c r="G22" s="37">
        <f t="array" ref="G22">IFERROR(SUMPRODUCT(('Production Inputs'!$A:$A="188mg LP")*('Production Inputs'!$B:$B="TOTAL ACTIVE")*'Production Inputs'!$AD:$AD),0)</f>
        <v>0</v>
      </c>
      <c r="H22" s="30">
        <f t="shared" si="0"/>
        <v>47603.168861407241</v>
      </c>
      <c r="I22" s="30">
        <f ca="1">IFERROR(AVERAGEIF(OFFSET(F22,0,0,MIN(Controls!$B$8,COUNTIF(B22:B$1973,B22)),1),"&gt;"&amp;0),0)</f>
        <v>5359.2362834581454</v>
      </c>
      <c r="J22" s="38">
        <f t="shared" ca="1" si="1"/>
        <v>8.8824538317781396</v>
      </c>
      <c r="K22" s="30">
        <f t="shared" ca="1" si="5"/>
        <v>0</v>
      </c>
      <c r="L22" t="str">
        <f t="shared" ca="1" si="2"/>
        <v>Medium</v>
      </c>
      <c r="M22" s="39">
        <f>IFERROR(VLOOKUP("188mg LP",Controls!A:I,7,0),6)</f>
        <v>9</v>
      </c>
      <c r="N22" s="39">
        <f>IFERROR(VLOOKUP("188mg LP",Controls!A:I,8,0),3)</f>
        <v>8</v>
      </c>
      <c r="O22" s="39">
        <f>IFERROR(VLOOKUP("188mg LP",Controls!A:I,9,0),18)</f>
        <v>18</v>
      </c>
      <c r="P22" s="40">
        <f>IFERROR(VLOOKUP("188mg LP",Controls!A:J,5,0),0)</f>
        <v>16200</v>
      </c>
      <c r="Q22" s="39">
        <f>IFERROR(VLOOKUP("188mg LP",Controls!A:J,6,0),3)</f>
        <v>3</v>
      </c>
      <c r="R22" s="21" t="str">
        <f>IFERROR(VLOOKUP("188mg LP",Controls!A:K,10,0),"")</f>
        <v>Fisher / ThermoFisher Allentown</v>
      </c>
      <c r="S22" s="41">
        <f t="shared" si="3"/>
        <v>46508</v>
      </c>
      <c r="T22" s="30">
        <f t="shared" si="4"/>
        <v>0</v>
      </c>
      <c r="W22" s="205" t="str" cm="1">
        <f t="array" ref="W22">IF(18&lt;Controls!$B$7,TEXT(INDEX(A4:A182,MATCH(Controls!$B$5,A4:A182,1)+18),"MMM-YY"),"")</f>
        <v/>
      </c>
      <c r="X22" t="str" cm="1">
        <f t="array" ref="X22">IF(18&lt;Controls!$B$7,INDEX(F4:F182,MATCH(Controls!$B$5,A4:A182,1)+18),"")</f>
        <v/>
      </c>
      <c r="Y22" t="str" cm="1">
        <f t="array" ref="Y22">IF(18&lt;Controls!$B$7,INDEX(G4:G182,MATCH(Controls!$B$5,A4:A182,1)+18),"")</f>
        <v/>
      </c>
      <c r="Z22" t="str" cm="1">
        <f t="array" ref="Z22">IF(18&lt;Controls!$B$7,INDEX(H4:H182,MATCH(Controls!$B$5,A4:A182,1)+18),"")</f>
        <v/>
      </c>
      <c r="AA22" t="str" cm="1">
        <f t="array" ref="AA22">IF(18&lt;Controls!$B$7,INDEX(M4:M182,MATCH(Controls!$B$5,A4:A182,1)+18)*INDEX(I4:I182,MATCH(Controls!$B$5,A4:A182,1)+18),"")</f>
        <v/>
      </c>
      <c r="AB22">
        <f t="shared" si="6"/>
        <v>47800.177701015826</v>
      </c>
    </row>
    <row r="23" spans="1:28" ht="13" customHeight="1" x14ac:dyDescent="0.35">
      <c r="A23" s="153">
        <v>46631</v>
      </c>
      <c r="B23" s="36" t="s">
        <v>26</v>
      </c>
      <c r="C23" s="15" t="s">
        <v>28</v>
      </c>
      <c r="D23" s="15" t="s">
        <v>29</v>
      </c>
      <c r="E23" s="30">
        <f>H22</f>
        <v>47603.168861407241</v>
      </c>
      <c r="F23" s="37">
        <f>IFERROR(SUMIFS('Demand Inputs'!$Y$5:$Y$202,'Demand Inputs'!$A$5:$A$202,"188mg LP",'Demand Inputs'!$B$5:$B$202,"&lt;&gt;AGGREGATE",'Demand Inputs'!$E$5:$E$202,1),0)</f>
        <v>4488.9609107204742</v>
      </c>
      <c r="G23" s="37">
        <f t="array" ref="G23">IFERROR(SUMPRODUCT(('Production Inputs'!$A:$A="188mg LP")*('Production Inputs'!$B:$B="TOTAL ACTIVE")*'Production Inputs'!$AE:$AE),0)</f>
        <v>0</v>
      </c>
      <c r="H23" s="30">
        <f t="shared" si="0"/>
        <v>43114.207950686767</v>
      </c>
      <c r="I23" s="30">
        <f ca="1">IFERROR(AVERAGEIF(OFFSET(F23,0,0,MIN(Controls!$B$8,COUNTIF(B23:B$1973,B23)),1),"&gt;"&amp;0),0)</f>
        <v>5665.9968414320792</v>
      </c>
      <c r="J23" s="38">
        <f t="shared" ca="1" si="1"/>
        <v>7.6092890902123518</v>
      </c>
      <c r="K23" s="30">
        <f t="shared" ca="1" si="5"/>
        <v>0</v>
      </c>
      <c r="L23" t="str">
        <f t="shared" ca="1" si="2"/>
        <v>High</v>
      </c>
      <c r="M23" s="39">
        <f>IFERROR(VLOOKUP("188mg LP",Controls!A:I,7,0),6)</f>
        <v>9</v>
      </c>
      <c r="N23" s="39">
        <f>IFERROR(VLOOKUP("188mg LP",Controls!A:I,8,0),3)</f>
        <v>8</v>
      </c>
      <c r="O23" s="39">
        <f>IFERROR(VLOOKUP("188mg LP",Controls!A:I,9,0),18)</f>
        <v>18</v>
      </c>
      <c r="P23" s="40">
        <f>IFERROR(VLOOKUP("188mg LP",Controls!A:J,5,0),0)</f>
        <v>16200</v>
      </c>
      <c r="Q23" s="39">
        <f>IFERROR(VLOOKUP("188mg LP",Controls!A:J,6,0),3)</f>
        <v>3</v>
      </c>
      <c r="R23" s="21" t="str">
        <f>IFERROR(VLOOKUP("188mg LP",Controls!A:K,10,0),"")</f>
        <v>Fisher / ThermoFisher Allentown</v>
      </c>
      <c r="S23" s="41">
        <f t="shared" si="3"/>
        <v>46539</v>
      </c>
      <c r="T23" s="30">
        <f t="shared" si="4"/>
        <v>0</v>
      </c>
      <c r="W23" s="205" t="str" cm="1">
        <f t="array" ref="W23">IF(19&lt;Controls!$B$7,TEXT(INDEX(A4:A182,MATCH(Controls!$B$5,A4:A182,1)+19),"MMM-YY"),"")</f>
        <v/>
      </c>
      <c r="X23" t="str" cm="1">
        <f t="array" ref="X23">IF(19&lt;Controls!$B$7,INDEX(F4:F182,MATCH(Controls!$B$5,A4:A182,1)+19),"")</f>
        <v/>
      </c>
      <c r="Y23" t="str" cm="1">
        <f t="array" ref="Y23">IF(19&lt;Controls!$B$7,INDEX(G4:G182,MATCH(Controls!$B$5,A4:A182,1)+19),"")</f>
        <v/>
      </c>
      <c r="Z23" t="str" cm="1">
        <f t="array" ref="Z23">IF(19&lt;Controls!$B$7,INDEX(H4:H182,MATCH(Controls!$B$5,A4:A182,1)+19),"")</f>
        <v/>
      </c>
      <c r="AA23" t="str" cm="1">
        <f t="array" ref="AA23">IF(19&lt;Controls!$B$7,INDEX(M4:M182,MATCH(Controls!$B$5,A4:A182,1)+19)*INDEX(I4:I182,MATCH(Controls!$B$5,A4:A182,1)+19),"")</f>
        <v/>
      </c>
      <c r="AB23">
        <f t="shared" si="6"/>
        <v>52289.1386117363</v>
      </c>
    </row>
    <row r="24" spans="1:28" ht="13" customHeight="1" x14ac:dyDescent="0.35">
      <c r="A24" s="153">
        <v>46661</v>
      </c>
      <c r="B24" s="36" t="s">
        <v>26</v>
      </c>
      <c r="C24" s="15" t="s">
        <v>28</v>
      </c>
      <c r="D24" s="15" t="s">
        <v>29</v>
      </c>
      <c r="E24" s="30">
        <f>H23</f>
        <v>43114.207950686767</v>
      </c>
      <c r="F24" s="37">
        <f>IFERROR(SUMIFS('Demand Inputs'!$Z$5:$Z$202,'Demand Inputs'!$A$5:$A$202,"188mg LP",'Demand Inputs'!$B$5:$B$202,"&lt;&gt;AGGREGATE",'Demand Inputs'!$E$5:$E$202,1),0)</f>
        <v>4390.8676898315116</v>
      </c>
      <c r="G24" s="37">
        <f t="array" ref="G24">IFERROR(SUMPRODUCT(('Production Inputs'!$A:$A="188mg LP")*('Production Inputs'!$B:$B="TOTAL ACTIVE")*'Production Inputs'!$AF:$AF),0)</f>
        <v>0</v>
      </c>
      <c r="H24" s="30">
        <f t="shared" si="0"/>
        <v>38723.340260855257</v>
      </c>
      <c r="I24" s="30">
        <f ca="1">IFERROR(AVERAGEIF(OFFSET(F24,0,0,MIN(Controls!$B$8,COUNTIF(B24:B$1973,B24)),1),"&gt;"&amp;0),0)</f>
        <v>6152.7296403144237</v>
      </c>
      <c r="J24" s="38">
        <f t="shared" ca="1" si="1"/>
        <v>6.2936846773063104</v>
      </c>
      <c r="K24" s="30">
        <f t="shared" ca="1" si="5"/>
        <v>16200</v>
      </c>
      <c r="L24" t="str">
        <f t="shared" ca="1" si="2"/>
        <v>High</v>
      </c>
      <c r="M24" s="39">
        <f>IFERROR(VLOOKUP("188mg LP",Controls!A:I,7,0),6)</f>
        <v>9</v>
      </c>
      <c r="N24" s="39">
        <f>IFERROR(VLOOKUP("188mg LP",Controls!A:I,8,0),3)</f>
        <v>8</v>
      </c>
      <c r="O24" s="39">
        <f>IFERROR(VLOOKUP("188mg LP",Controls!A:I,9,0),18)</f>
        <v>18</v>
      </c>
      <c r="P24" s="40">
        <f>IFERROR(VLOOKUP("188mg LP",Controls!A:J,5,0),0)</f>
        <v>16200</v>
      </c>
      <c r="Q24" s="39">
        <f>IFERROR(VLOOKUP("188mg LP",Controls!A:J,6,0),3)</f>
        <v>3</v>
      </c>
      <c r="R24" s="21" t="str">
        <f>IFERROR(VLOOKUP("188mg LP",Controls!A:K,10,0),"")</f>
        <v>Fisher / ThermoFisher Allentown</v>
      </c>
      <c r="S24" s="41">
        <f t="shared" si="3"/>
        <v>46569</v>
      </c>
      <c r="T24" s="30">
        <f t="shared" si="4"/>
        <v>0</v>
      </c>
      <c r="W24" s="205" t="str" cm="1">
        <f t="array" ref="W24">IF(20&lt;Controls!$B$7,TEXT(INDEX(A4:A182,MATCH(Controls!$B$5,A4:A182,1)+20),"MMM-YY"),"")</f>
        <v/>
      </c>
      <c r="X24" t="str" cm="1">
        <f t="array" ref="X24">IF(20&lt;Controls!$B$7,INDEX(F4:F182,MATCH(Controls!$B$5,A4:A182,1)+20),"")</f>
        <v/>
      </c>
      <c r="Y24" t="str" cm="1">
        <f t="array" ref="Y24">IF(20&lt;Controls!$B$7,INDEX(G4:G182,MATCH(Controls!$B$5,A4:A182,1)+20),"")</f>
        <v/>
      </c>
      <c r="Z24" t="str" cm="1">
        <f t="array" ref="Z24">IF(20&lt;Controls!$B$7,INDEX(H4:H182,MATCH(Controls!$B$5,A4:A182,1)+20),"")</f>
        <v/>
      </c>
      <c r="AA24" t="str" cm="1">
        <f t="array" ref="AA24">IF(20&lt;Controls!$B$7,INDEX(M4:M182,MATCH(Controls!$B$5,A4:A182,1)+20)*INDEX(I4:I182,MATCH(Controls!$B$5,A4:A182,1)+20),"")</f>
        <v/>
      </c>
      <c r="AB24">
        <f t="shared" si="6"/>
        <v>56680.00630156781</v>
      </c>
    </row>
    <row r="25" spans="1:28" ht="13" customHeight="1" x14ac:dyDescent="0.35">
      <c r="A25" s="153">
        <v>46692</v>
      </c>
      <c r="B25" s="36" t="s">
        <v>26</v>
      </c>
      <c r="C25" s="15" t="s">
        <v>28</v>
      </c>
      <c r="D25" s="15" t="s">
        <v>29</v>
      </c>
      <c r="E25" s="30">
        <f>H24</f>
        <v>38723.340260855257</v>
      </c>
      <c r="F25" s="37">
        <f>IFERROR(SUMIFS('Demand Inputs'!$AA$5:$AA$202,'Demand Inputs'!$A$5:$A$202,"188mg LP",'Demand Inputs'!$B$5:$B$202,"&lt;&gt;AGGREGATE",'Demand Inputs'!$E$5:$E$202,1),0)</f>
        <v>4470.5850761545644</v>
      </c>
      <c r="G25" s="37">
        <f t="array" ref="G25">IFERROR(SUMPRODUCT(('Production Inputs'!$A:$A="188mg LP")*('Production Inputs'!$B:$B="TOTAL ACTIVE")*'Production Inputs'!$AG:$AG),0)</f>
        <v>0</v>
      </c>
      <c r="H25" s="30">
        <f t="shared" si="0"/>
        <v>34252.755184700691</v>
      </c>
      <c r="I25" s="30">
        <f ca="1">IFERROR(AVERAGEIF(OFFSET(F25,0,0,MIN(Controls!$B$8,COUNTIF(B25:B$1973,B25)),1),"&gt;"&amp;0),0)</f>
        <v>6583.0216869568685</v>
      </c>
      <c r="J25" s="38">
        <f t="shared" ca="1" si="1"/>
        <v>5.2031964671431457</v>
      </c>
      <c r="K25" s="30">
        <f t="shared" ca="1" si="5"/>
        <v>32400</v>
      </c>
      <c r="L25" t="str">
        <f t="shared" ca="1" si="2"/>
        <v>High</v>
      </c>
      <c r="M25" s="39">
        <f>IFERROR(VLOOKUP("188mg LP",Controls!A:I,7,0),6)</f>
        <v>9</v>
      </c>
      <c r="N25" s="39">
        <f>IFERROR(VLOOKUP("188mg LP",Controls!A:I,8,0),3)</f>
        <v>8</v>
      </c>
      <c r="O25" s="39">
        <f>IFERROR(VLOOKUP("188mg LP",Controls!A:I,9,0),18)</f>
        <v>18</v>
      </c>
      <c r="P25" s="40">
        <f>IFERROR(VLOOKUP("188mg LP",Controls!A:J,5,0),0)</f>
        <v>16200</v>
      </c>
      <c r="Q25" s="39">
        <f>IFERROR(VLOOKUP("188mg LP",Controls!A:J,6,0),3)</f>
        <v>3</v>
      </c>
      <c r="R25" s="21" t="str">
        <f>IFERROR(VLOOKUP("188mg LP",Controls!A:K,10,0),"")</f>
        <v>Fisher / ThermoFisher Allentown</v>
      </c>
      <c r="S25" s="41">
        <f t="shared" si="3"/>
        <v>46600</v>
      </c>
      <c r="T25" s="30">
        <f t="shared" si="4"/>
        <v>0</v>
      </c>
      <c r="W25" s="205" t="str" cm="1">
        <f t="array" ref="W25">IF(21&lt;Controls!$B$7,TEXT(INDEX(A4:A182,MATCH(Controls!$B$5,A4:A182,1)+21),"MMM-YY"),"")</f>
        <v/>
      </c>
      <c r="X25" t="str" cm="1">
        <f t="array" ref="X25">IF(21&lt;Controls!$B$7,INDEX(F4:F182,MATCH(Controls!$B$5,A4:A182,1)+21),"")</f>
        <v/>
      </c>
      <c r="Y25" t="str" cm="1">
        <f t="array" ref="Y25">IF(21&lt;Controls!$B$7,INDEX(G4:G182,MATCH(Controls!$B$5,A4:A182,1)+21),"")</f>
        <v/>
      </c>
      <c r="Z25" t="str" cm="1">
        <f t="array" ref="Z25">IF(21&lt;Controls!$B$7,INDEX(H4:H182,MATCH(Controls!$B$5,A4:A182,1)+21),"")</f>
        <v/>
      </c>
      <c r="AA25" t="str" cm="1">
        <f t="array" ref="AA25">IF(21&lt;Controls!$B$7,INDEX(M4:M182,MATCH(Controls!$B$5,A4:A182,1)+21)*INDEX(I4:I182,MATCH(Controls!$B$5,A4:A182,1)+21),"")</f>
        <v/>
      </c>
      <c r="AB25">
        <f t="shared" si="6"/>
        <v>61150.591377722376</v>
      </c>
    </row>
    <row r="26" spans="1:28" ht="13" customHeight="1" x14ac:dyDescent="0.35">
      <c r="A26" s="153">
        <v>46722</v>
      </c>
      <c r="B26" s="36" t="s">
        <v>26</v>
      </c>
      <c r="C26" s="15" t="s">
        <v>28</v>
      </c>
      <c r="D26" s="15" t="s">
        <v>29</v>
      </c>
      <c r="E26" s="30">
        <f>H25</f>
        <v>34252.755184700691</v>
      </c>
      <c r="F26" s="37">
        <f>IFERROR(SUMIFS('Demand Inputs'!$AB$5:$AB$202,'Demand Inputs'!$A$5:$A$202,"188mg LP",'Demand Inputs'!$B$5:$B$202,"&lt;&gt;AGGREGATE",'Demand Inputs'!$E$5:$E$202,1),0)</f>
        <v>4947.5609232171882</v>
      </c>
      <c r="G26" s="37">
        <f t="array" ref="G26">IFERROR(SUMPRODUCT(('Production Inputs'!$A:$A="188mg LP")*('Production Inputs'!$B:$B="TOTAL ACTIVE")*'Production Inputs'!$AH:$AH),0)</f>
        <v>0</v>
      </c>
      <c r="H26" s="30">
        <f t="shared" si="0"/>
        <v>29305.194261483502</v>
      </c>
      <c r="I26" s="30">
        <f ca="1">IFERROR(AVERAGEIF(OFFSET(F26,0,0,MIN(Controls!$B$8,COUNTIF(B26:B$1973,B26)),1),"&gt;"&amp;0),0)</f>
        <v>6987.6495411946471</v>
      </c>
      <c r="J26" s="38">
        <f t="shared" ca="1" si="1"/>
        <v>4.1938557577507423</v>
      </c>
      <c r="K26" s="30">
        <f t="shared" ca="1" si="5"/>
        <v>32400</v>
      </c>
      <c r="L26" t="str">
        <f t="shared" ca="1" si="2"/>
        <v>High</v>
      </c>
      <c r="M26" s="39">
        <f>IFERROR(VLOOKUP("188mg LP",Controls!A:I,7,0),6)</f>
        <v>9</v>
      </c>
      <c r="N26" s="39">
        <f>IFERROR(VLOOKUP("188mg LP",Controls!A:I,8,0),3)</f>
        <v>8</v>
      </c>
      <c r="O26" s="39">
        <f>IFERROR(VLOOKUP("188mg LP",Controls!A:I,9,0),18)</f>
        <v>18</v>
      </c>
      <c r="P26" s="40">
        <f>IFERROR(VLOOKUP("188mg LP",Controls!A:J,5,0),0)</f>
        <v>16200</v>
      </c>
      <c r="Q26" s="39">
        <f>IFERROR(VLOOKUP("188mg LP",Controls!A:J,6,0),3)</f>
        <v>3</v>
      </c>
      <c r="R26" s="21" t="str">
        <f>IFERROR(VLOOKUP("188mg LP",Controls!A:K,10,0),"")</f>
        <v>Fisher / ThermoFisher Allentown</v>
      </c>
      <c r="S26" s="41">
        <f t="shared" si="3"/>
        <v>46631</v>
      </c>
      <c r="T26" s="30">
        <f t="shared" si="4"/>
        <v>0</v>
      </c>
      <c r="W26" s="205" t="str" cm="1">
        <f t="array" ref="W26">IF(22&lt;Controls!$B$7,TEXT(INDEX(A4:A182,MATCH(Controls!$B$5,A4:A182,1)+22),"MMM-YY"),"")</f>
        <v/>
      </c>
      <c r="X26" t="str" cm="1">
        <f t="array" ref="X26">IF(22&lt;Controls!$B$7,INDEX(F4:F182,MATCH(Controls!$B$5,A4:A182,1)+22),"")</f>
        <v/>
      </c>
      <c r="Y26" t="str" cm="1">
        <f t="array" ref="Y26">IF(22&lt;Controls!$B$7,INDEX(G4:G182,MATCH(Controls!$B$5,A4:A182,1)+22),"")</f>
        <v/>
      </c>
      <c r="Z26" t="str" cm="1">
        <f t="array" ref="Z26">IF(22&lt;Controls!$B$7,INDEX(H4:H182,MATCH(Controls!$B$5,A4:A182,1)+22),"")</f>
        <v/>
      </c>
      <c r="AA26" t="str" cm="1">
        <f t="array" ref="AA26">IF(22&lt;Controls!$B$7,INDEX(M4:M182,MATCH(Controls!$B$5,A4:A182,1)+22)*INDEX(I4:I182,MATCH(Controls!$B$5,A4:A182,1)+22),"")</f>
        <v/>
      </c>
      <c r="AB26">
        <f t="shared" si="6"/>
        <v>66098.152300939561</v>
      </c>
    </row>
    <row r="27" spans="1:28" ht="13" customHeight="1" x14ac:dyDescent="0.35">
      <c r="A27" s="153">
        <v>46753</v>
      </c>
      <c r="B27" s="36" t="s">
        <v>26</v>
      </c>
      <c r="C27" s="15" t="s">
        <v>28</v>
      </c>
      <c r="D27" s="15" t="s">
        <v>29</v>
      </c>
      <c r="E27" s="30">
        <f>H26</f>
        <v>29305.194261483502</v>
      </c>
      <c r="F27" s="37">
        <f>IFERROR(SUMIFS('Demand Inputs'!$AC$5:$AC$202,'Demand Inputs'!$A$5:$A$202,"188mg LP",'Demand Inputs'!$B$5:$B$202,"&lt;&gt;AGGREGATE",'Demand Inputs'!$E$5:$E$202,1),0)</f>
        <v>6277.2442594367567</v>
      </c>
      <c r="G27" s="37">
        <f t="array" ref="G27">IFERROR(SUMPRODUCT(('Production Inputs'!$A:$A="188mg LP")*('Production Inputs'!$B:$B="TOTAL ACTIVE")*'Production Inputs'!$AI:$AI),0)</f>
        <v>0</v>
      </c>
      <c r="H27" s="30">
        <f t="shared" si="0"/>
        <v>23027.950002046746</v>
      </c>
      <c r="I27" s="30">
        <f ca="1">IFERROR(AVERAGEIF(OFFSET(F27,0,0,MIN(Controls!$B$8,COUNTIF(B27:B$1973,B27)),1),"&gt;"&amp;0),0)</f>
        <v>7643.79997390876</v>
      </c>
      <c r="J27" s="38">
        <f t="shared" ca="1" si="1"/>
        <v>3.0126311625958331</v>
      </c>
      <c r="K27" s="30">
        <f t="shared" ca="1" si="5"/>
        <v>48600</v>
      </c>
      <c r="L27" t="str">
        <f t="shared" ca="1" si="2"/>
        <v>High</v>
      </c>
      <c r="M27" s="39">
        <f>IFERROR(VLOOKUP("188mg LP",Controls!A:I,7,0),6)</f>
        <v>9</v>
      </c>
      <c r="N27" s="39">
        <f>IFERROR(VLOOKUP("188mg LP",Controls!A:I,8,0),3)</f>
        <v>8</v>
      </c>
      <c r="O27" s="39">
        <f>IFERROR(VLOOKUP("188mg LP",Controls!A:I,9,0),18)</f>
        <v>18</v>
      </c>
      <c r="P27" s="40">
        <f>IFERROR(VLOOKUP("188mg LP",Controls!A:J,5,0),0)</f>
        <v>16200</v>
      </c>
      <c r="Q27" s="39">
        <f>IFERROR(VLOOKUP("188mg LP",Controls!A:J,6,0),3)</f>
        <v>3</v>
      </c>
      <c r="R27" s="21" t="str">
        <f>IFERROR(VLOOKUP("188mg LP",Controls!A:K,10,0),"")</f>
        <v>Fisher / ThermoFisher Allentown</v>
      </c>
      <c r="S27" s="41">
        <f t="shared" si="3"/>
        <v>46661</v>
      </c>
      <c r="T27" s="30">
        <f t="shared" si="4"/>
        <v>0</v>
      </c>
      <c r="W27" s="205" t="str" cm="1">
        <f t="array" ref="W27">IF(23&lt;Controls!$B$7,TEXT(INDEX(A4:A182,MATCH(Controls!$B$5,A4:A182,1)+23),"MMM-YY"),"")</f>
        <v/>
      </c>
      <c r="X27" t="str" cm="1">
        <f t="array" ref="X27">IF(23&lt;Controls!$B$7,INDEX(F4:F182,MATCH(Controls!$B$5,A4:A182,1)+23),"")</f>
        <v/>
      </c>
      <c r="Y27" t="str" cm="1">
        <f t="array" ref="Y27">IF(23&lt;Controls!$B$7,INDEX(G4:G182,MATCH(Controls!$B$5,A4:A182,1)+23),"")</f>
        <v/>
      </c>
      <c r="Z27" t="str" cm="1">
        <f t="array" ref="Z27">IF(23&lt;Controls!$B$7,INDEX(H4:H182,MATCH(Controls!$B$5,A4:A182,1)+23),"")</f>
        <v/>
      </c>
      <c r="AA27" t="str" cm="1">
        <f t="array" ref="AA27">IF(23&lt;Controls!$B$7,INDEX(M4:M182,MATCH(Controls!$B$5,A4:A182,1)+23)*INDEX(I4:I182,MATCH(Controls!$B$5,A4:A182,1)+23),"")</f>
        <v/>
      </c>
      <c r="AB27">
        <f t="shared" si="6"/>
        <v>72375.396560376321</v>
      </c>
    </row>
    <row r="28" spans="1:28" ht="13" customHeight="1" x14ac:dyDescent="0.35">
      <c r="A28" s="153">
        <v>46784</v>
      </c>
      <c r="B28" s="36" t="s">
        <v>26</v>
      </c>
      <c r="C28" s="15" t="s">
        <v>28</v>
      </c>
      <c r="D28" s="15" t="s">
        <v>29</v>
      </c>
      <c r="E28" s="30">
        <f>H27</f>
        <v>23027.950002046746</v>
      </c>
      <c r="F28" s="37">
        <f>IFERROR(SUMIFS('Demand Inputs'!$AD$5:$AD$202,'Demand Inputs'!$A$5:$A$202,"188mg LP",'Demand Inputs'!$B$5:$B$202,"&lt;&gt;AGGREGATE",'Demand Inputs'!$E$5:$E$202,1),0)</f>
        <v>5028.2403452700946</v>
      </c>
      <c r="G28" s="37">
        <f t="array" ref="G28">IFERROR(SUMPRODUCT(('Production Inputs'!$A:$A="188mg LP")*('Production Inputs'!$B:$B="TOTAL ACTIVE")*'Production Inputs'!$AJ:$AJ),0)</f>
        <v>0</v>
      </c>
      <c r="H28" s="30">
        <f t="shared" si="0"/>
        <v>17999.709656776649</v>
      </c>
      <c r="I28" s="30">
        <f ca="1">IFERROR(AVERAGEIF(OFFSET(F28,0,0,MIN(Controls!$B$8,COUNTIF(B28:B$1973,B28)),1),"&gt;"&amp;0),0)</f>
        <v>7864.068305427154</v>
      </c>
      <c r="J28" s="38">
        <f t="shared" ca="1" si="1"/>
        <v>2.2888546942496268</v>
      </c>
      <c r="K28" s="30">
        <f t="shared" ca="1" si="5"/>
        <v>48600</v>
      </c>
      <c r="L28" t="str">
        <f t="shared" ca="1" si="2"/>
        <v>High</v>
      </c>
      <c r="M28" s="39">
        <f>IFERROR(VLOOKUP("188mg LP",Controls!A:I,7,0),6)</f>
        <v>9</v>
      </c>
      <c r="N28" s="39">
        <f>IFERROR(VLOOKUP("188mg LP",Controls!A:I,8,0),3)</f>
        <v>8</v>
      </c>
      <c r="O28" s="39">
        <f>IFERROR(VLOOKUP("188mg LP",Controls!A:I,9,0),18)</f>
        <v>18</v>
      </c>
      <c r="P28" s="40">
        <f>IFERROR(VLOOKUP("188mg LP",Controls!A:J,5,0),0)</f>
        <v>16200</v>
      </c>
      <c r="Q28" s="39">
        <f>IFERROR(VLOOKUP("188mg LP",Controls!A:J,6,0),3)</f>
        <v>3</v>
      </c>
      <c r="R28" s="21" t="str">
        <f>IFERROR(VLOOKUP("188mg LP",Controls!A:K,10,0),"")</f>
        <v>Fisher / ThermoFisher Allentown</v>
      </c>
      <c r="S28" s="41">
        <f t="shared" si="3"/>
        <v>46692</v>
      </c>
      <c r="T28" s="30">
        <f t="shared" si="4"/>
        <v>0</v>
      </c>
      <c r="W28" s="205" t="str" cm="1">
        <f t="array" ref="W28">IF(24&lt;Controls!$B$7,TEXT(INDEX(A4:A182,MATCH(Controls!$B$5,A4:A182,1)+24),"MMM-YY"),"")</f>
        <v/>
      </c>
      <c r="X28" t="str" cm="1">
        <f t="array" ref="X28">IF(24&lt;Controls!$B$7,INDEX(F4:F182,MATCH(Controls!$B$5,A4:A182,1)+24),"")</f>
        <v/>
      </c>
      <c r="Y28" t="str" cm="1">
        <f t="array" ref="Y28">IF(24&lt;Controls!$B$7,INDEX(G4:G182,MATCH(Controls!$B$5,A4:A182,1)+24),"")</f>
        <v/>
      </c>
      <c r="Z28" t="str" cm="1">
        <f t="array" ref="Z28">IF(24&lt;Controls!$B$7,INDEX(H4:H182,MATCH(Controls!$B$5,A4:A182,1)+24),"")</f>
        <v/>
      </c>
      <c r="AA28" t="str" cm="1">
        <f t="array" ref="AA28">IF(24&lt;Controls!$B$7,INDEX(M4:M182,MATCH(Controls!$B$5,A4:A182,1)+24)*INDEX(I4:I182,MATCH(Controls!$B$5,A4:A182,1)+24),"")</f>
        <v/>
      </c>
      <c r="AB28">
        <f t="shared" si="6"/>
        <v>77403.636905646417</v>
      </c>
    </row>
    <row r="29" spans="1:28" ht="13" customHeight="1" x14ac:dyDescent="0.35">
      <c r="A29" s="153">
        <v>46813</v>
      </c>
      <c r="B29" s="36" t="s">
        <v>26</v>
      </c>
      <c r="C29" s="15" t="s">
        <v>28</v>
      </c>
      <c r="D29" s="15" t="s">
        <v>29</v>
      </c>
      <c r="E29" s="30">
        <f>H28</f>
        <v>17999.709656776649</v>
      </c>
      <c r="F29" s="37">
        <f>IFERROR(SUMIFS('Demand Inputs'!$AE$5:$AE$202,'Demand Inputs'!$A$5:$A$202,"188mg LP",'Demand Inputs'!$B$5:$B$202,"&lt;&gt;AGGREGATE",'Demand Inputs'!$E$5:$E$202,1),0)</f>
        <v>6375.1433722913716</v>
      </c>
      <c r="G29" s="37">
        <f t="array" ref="G29">IFERROR(SUMPRODUCT(('Production Inputs'!$A:$A="188mg LP")*('Production Inputs'!$B:$B="TOTAL ACTIVE")*'Production Inputs'!$AK:$AK),0)</f>
        <v>0</v>
      </c>
      <c r="H29" s="30">
        <f t="shared" si="0"/>
        <v>11624.566284485278</v>
      </c>
      <c r="I29" s="30">
        <f ca="1">IFERROR(AVERAGEIF(OFFSET(F29,0,0,MIN(Controls!$B$8,COUNTIF(B29:B$1973,B29)),1),"&gt;"&amp;0),0)</f>
        <v>8408.3724769922137</v>
      </c>
      <c r="J29" s="38">
        <f t="shared" ca="1" si="1"/>
        <v>1.3824989694847034</v>
      </c>
      <c r="K29" s="30">
        <f t="shared" ca="1" si="5"/>
        <v>64800</v>
      </c>
      <c r="L29" t="str">
        <f t="shared" ca="1" si="2"/>
        <v>High</v>
      </c>
      <c r="M29" s="39">
        <f>IFERROR(VLOOKUP("188mg LP",Controls!A:I,7,0),6)</f>
        <v>9</v>
      </c>
      <c r="N29" s="39">
        <f>IFERROR(VLOOKUP("188mg LP",Controls!A:I,8,0),3)</f>
        <v>8</v>
      </c>
      <c r="O29" s="39">
        <f>IFERROR(VLOOKUP("188mg LP",Controls!A:I,9,0),18)</f>
        <v>18</v>
      </c>
      <c r="P29" s="40">
        <f>IFERROR(VLOOKUP("188mg LP",Controls!A:J,5,0),0)</f>
        <v>16200</v>
      </c>
      <c r="Q29" s="39">
        <f>IFERROR(VLOOKUP("188mg LP",Controls!A:J,6,0),3)</f>
        <v>3</v>
      </c>
      <c r="R29" s="21" t="str">
        <f>IFERROR(VLOOKUP("188mg LP",Controls!A:K,10,0),"")</f>
        <v>Fisher / ThermoFisher Allentown</v>
      </c>
      <c r="S29" s="41">
        <f t="shared" si="3"/>
        <v>46722</v>
      </c>
      <c r="T29" s="30">
        <f t="shared" si="4"/>
        <v>0</v>
      </c>
      <c r="W29" s="205" t="str" cm="1">
        <f t="array" ref="W29">IF(25&lt;Controls!$B$7,TEXT(INDEX(A4:A182,MATCH(Controls!$B$5,A4:A182,1)+25),"MMM-YY"),"")</f>
        <v/>
      </c>
      <c r="X29" t="str" cm="1">
        <f t="array" ref="X29">IF(25&lt;Controls!$B$7,INDEX(F4:F182,MATCH(Controls!$B$5,A4:A182,1)+25),"")</f>
        <v/>
      </c>
      <c r="Y29" t="str" cm="1">
        <f t="array" ref="Y29">IF(25&lt;Controls!$B$7,INDEX(G4:G182,MATCH(Controls!$B$5,A4:A182,1)+25),"")</f>
        <v/>
      </c>
      <c r="Z29" t="str" cm="1">
        <f t="array" ref="Z29">IF(25&lt;Controls!$B$7,INDEX(H4:H182,MATCH(Controls!$B$5,A4:A182,1)+25),"")</f>
        <v/>
      </c>
      <c r="AA29" t="str" cm="1">
        <f t="array" ref="AA29">IF(25&lt;Controls!$B$7,INDEX(M4:M182,MATCH(Controls!$B$5,A4:A182,1)+25)*INDEX(I4:I182,MATCH(Controls!$B$5,A4:A182,1)+25),"")</f>
        <v/>
      </c>
      <c r="AB29">
        <f t="shared" si="6"/>
        <v>83778.780277937796</v>
      </c>
    </row>
    <row r="30" spans="1:28" ht="13" customHeight="1" x14ac:dyDescent="0.35">
      <c r="A30" s="153">
        <v>46844</v>
      </c>
      <c r="B30" s="36" t="s">
        <v>26</v>
      </c>
      <c r="C30" s="15" t="s">
        <v>28</v>
      </c>
      <c r="D30" s="15" t="s">
        <v>29</v>
      </c>
      <c r="E30" s="30">
        <f>H29</f>
        <v>11624.566284485278</v>
      </c>
      <c r="F30" s="37">
        <f>IFERROR(SUMIFS('Demand Inputs'!$AF$5:$AF$202,'Demand Inputs'!$A$5:$A$202,"188mg LP",'Demand Inputs'!$B$5:$B$202,"&lt;&gt;AGGREGATE",'Demand Inputs'!$E$5:$E$202,1),0)</f>
        <v>8397.9412931950319</v>
      </c>
      <c r="G30" s="37">
        <f t="array" ref="G30">IFERROR(SUMPRODUCT(('Production Inputs'!$A:$A="188mg LP")*('Production Inputs'!$B:$B="TOTAL ACTIVE")*'Production Inputs'!$AL:$AL),0)</f>
        <v>0</v>
      </c>
      <c r="H30" s="30">
        <f t="shared" si="0"/>
        <v>3226.6249912902458</v>
      </c>
      <c r="I30" s="30">
        <f ca="1">IFERROR(AVERAGEIF(OFFSET(F30,0,0,MIN(Controls!$B$8,COUNTIF(B30:B$1973,B30)),1),"&gt;"&amp;0),0)</f>
        <v>8710.4790040028383</v>
      </c>
      <c r="J30" s="38">
        <f t="shared" ca="1" si="1"/>
        <v>0.37043025875011848</v>
      </c>
      <c r="K30" s="30">
        <f t="shared" ca="1" si="5"/>
        <v>81000</v>
      </c>
      <c r="L30" t="str">
        <f t="shared" ca="1" si="2"/>
        <v>High</v>
      </c>
      <c r="M30" s="39">
        <f>IFERROR(VLOOKUP("188mg LP",Controls!A:I,7,0),6)</f>
        <v>9</v>
      </c>
      <c r="N30" s="39">
        <f>IFERROR(VLOOKUP("188mg LP",Controls!A:I,8,0),3)</f>
        <v>8</v>
      </c>
      <c r="O30" s="39">
        <f>IFERROR(VLOOKUP("188mg LP",Controls!A:I,9,0),18)</f>
        <v>18</v>
      </c>
      <c r="P30" s="40">
        <f>IFERROR(VLOOKUP("188mg LP",Controls!A:J,5,0),0)</f>
        <v>16200</v>
      </c>
      <c r="Q30" s="39">
        <f>IFERROR(VLOOKUP("188mg LP",Controls!A:J,6,0),3)</f>
        <v>3</v>
      </c>
      <c r="R30" s="21" t="str">
        <f>IFERROR(VLOOKUP("188mg LP",Controls!A:K,10,0),"")</f>
        <v>Fisher / ThermoFisher Allentown</v>
      </c>
      <c r="S30" s="41">
        <f t="shared" si="3"/>
        <v>46753</v>
      </c>
      <c r="T30" s="30">
        <f t="shared" si="4"/>
        <v>0</v>
      </c>
      <c r="W30" s="205" t="str" cm="1">
        <f t="array" ref="W30">IF(26&lt;Controls!$B$7,TEXT(INDEX(A4:A182,MATCH(Controls!$B$5,A4:A182,1)+26),"MMM-YY"),"")</f>
        <v/>
      </c>
      <c r="X30" t="str" cm="1">
        <f t="array" ref="X30">IF(26&lt;Controls!$B$7,INDEX(F4:F182,MATCH(Controls!$B$5,A4:A182,1)+26),"")</f>
        <v/>
      </c>
      <c r="Y30" t="str" cm="1">
        <f t="array" ref="Y30">IF(26&lt;Controls!$B$7,INDEX(G4:G182,MATCH(Controls!$B$5,A4:A182,1)+26),"")</f>
        <v/>
      </c>
      <c r="Z30" t="str" cm="1">
        <f t="array" ref="Z30">IF(26&lt;Controls!$B$7,INDEX(H4:H182,MATCH(Controls!$B$5,A4:A182,1)+26),"")</f>
        <v/>
      </c>
      <c r="AA30" t="str" cm="1">
        <f t="array" ref="AA30">IF(26&lt;Controls!$B$7,INDEX(M4:M182,MATCH(Controls!$B$5,A4:A182,1)+26)*INDEX(I4:I182,MATCH(Controls!$B$5,A4:A182,1)+26),"")</f>
        <v/>
      </c>
      <c r="AB30">
        <f t="shared" si="6"/>
        <v>92176.721571132832</v>
      </c>
    </row>
    <row r="31" spans="1:28" ht="13" customHeight="1" x14ac:dyDescent="0.35">
      <c r="A31" s="153">
        <v>46874</v>
      </c>
      <c r="B31" s="36" t="s">
        <v>26</v>
      </c>
      <c r="C31" s="15" t="s">
        <v>28</v>
      </c>
      <c r="D31" s="15" t="s">
        <v>29</v>
      </c>
      <c r="E31" s="30">
        <f>H30</f>
        <v>3226.6249912902458</v>
      </c>
      <c r="F31" s="37">
        <f>IFERROR(SUMIFS('Demand Inputs'!$AG$5:$AG$202,'Demand Inputs'!$A$5:$A$202,"188mg LP",'Demand Inputs'!$B$5:$B$202,"&lt;&gt;AGGREGATE",'Demand Inputs'!$E$5:$E$202,1),0)</f>
        <v>6617.4277027717235</v>
      </c>
      <c r="G31" s="37">
        <f t="array" ref="G31">IFERROR(SUMPRODUCT(('Production Inputs'!$A:$A="188mg LP")*('Production Inputs'!$B:$B="TOTAL ACTIVE")*'Production Inputs'!$AM:$AM),0)</f>
        <v>0</v>
      </c>
      <c r="H31" s="30">
        <f t="shared" si="0"/>
        <v>-3390.8027114814777</v>
      </c>
      <c r="I31" s="30">
        <f ca="1">IFERROR(AVERAGEIF(OFFSET(F31,0,0,MIN(Controls!$B$8,COUNTIF(B31:B$1973,B31)),1),"&gt;"&amp;0),0)</f>
        <v>8828.0288273595925</v>
      </c>
      <c r="J31" s="38">
        <f t="shared" ca="1" si="1"/>
        <v>-0.38409511090095128</v>
      </c>
      <c r="K31" s="30">
        <f t="shared" ca="1" si="5"/>
        <v>81000</v>
      </c>
      <c r="L31" t="str">
        <f t="shared" si="2"/>
        <v>High</v>
      </c>
      <c r="M31" s="39">
        <f>IFERROR(VLOOKUP("188mg LP",Controls!A:I,7,0),6)</f>
        <v>9</v>
      </c>
      <c r="N31" s="39">
        <f>IFERROR(VLOOKUP("188mg LP",Controls!A:I,8,0),3)</f>
        <v>8</v>
      </c>
      <c r="O31" s="39">
        <f>IFERROR(VLOOKUP("188mg LP",Controls!A:I,9,0),18)</f>
        <v>18</v>
      </c>
      <c r="P31" s="40">
        <f>IFERROR(VLOOKUP("188mg LP",Controls!A:J,5,0),0)</f>
        <v>16200</v>
      </c>
      <c r="Q31" s="39">
        <f>IFERROR(VLOOKUP("188mg LP",Controls!A:J,6,0),3)</f>
        <v>3</v>
      </c>
      <c r="R31" s="21" t="str">
        <f>IFERROR(VLOOKUP("188mg LP",Controls!A:K,10,0),"")</f>
        <v>Fisher / ThermoFisher Allentown</v>
      </c>
      <c r="S31" s="41">
        <f t="shared" si="3"/>
        <v>46784</v>
      </c>
      <c r="T31" s="30">
        <f t="shared" si="4"/>
        <v>0</v>
      </c>
      <c r="W31" s="205" t="str" cm="1">
        <f t="array" ref="W31">IF(27&lt;Controls!$B$7,TEXT(INDEX(A4:A182,MATCH(Controls!$B$5,A4:A182,1)+27),"MMM-YY"),"")</f>
        <v/>
      </c>
      <c r="X31" t="str" cm="1">
        <f t="array" ref="X31">IF(27&lt;Controls!$B$7,INDEX(F4:F182,MATCH(Controls!$B$5,A4:A182,1)+27),"")</f>
        <v/>
      </c>
      <c r="Y31" t="str" cm="1">
        <f t="array" ref="Y31">IF(27&lt;Controls!$B$7,INDEX(G4:G182,MATCH(Controls!$B$5,A4:A182,1)+27),"")</f>
        <v/>
      </c>
      <c r="Z31" t="str" cm="1">
        <f t="array" ref="Z31">IF(27&lt;Controls!$B$7,INDEX(H4:H182,MATCH(Controls!$B$5,A4:A182,1)+27),"")</f>
        <v/>
      </c>
      <c r="AA31" t="str" cm="1">
        <f t="array" ref="AA31">IF(27&lt;Controls!$B$7,INDEX(M4:M182,MATCH(Controls!$B$5,A4:A182,1)+27)*INDEX(I4:I182,MATCH(Controls!$B$5,A4:A182,1)+27),"")</f>
        <v/>
      </c>
      <c r="AB31">
        <f t="shared" si="6"/>
        <v>98794.14927390455</v>
      </c>
    </row>
    <row r="32" spans="1:28" ht="13" customHeight="1" x14ac:dyDescent="0.35">
      <c r="A32" s="153">
        <v>46905</v>
      </c>
      <c r="B32" s="36" t="s">
        <v>26</v>
      </c>
      <c r="C32" s="15" t="s">
        <v>28</v>
      </c>
      <c r="D32" s="15" t="s">
        <v>29</v>
      </c>
      <c r="E32" s="30">
        <f>H31</f>
        <v>-3390.8027114814777</v>
      </c>
      <c r="F32" s="37">
        <f>IFERROR(SUMIFS('Demand Inputs'!$AH$5:$AH$202,'Demand Inputs'!$A$5:$A$202,"188mg LP",'Demand Inputs'!$B$5:$B$202,"&lt;&gt;AGGREGATE",'Demand Inputs'!$E$5:$E$202,1),0)</f>
        <v>8869.5561006615644</v>
      </c>
      <c r="G32" s="37">
        <f t="array" ref="G32">IFERROR(SUMPRODUCT(('Production Inputs'!$A:$A="188mg LP")*('Production Inputs'!$B:$B="TOTAL ACTIVE")*'Production Inputs'!$AN:$AN),0)</f>
        <v>0</v>
      </c>
      <c r="H32" s="30">
        <f t="shared" si="0"/>
        <v>-12260.358812143042</v>
      </c>
      <c r="I32" s="30">
        <f ca="1">IFERROR(AVERAGEIF(OFFSET(F32,0,0,MIN(Controls!$B$8,COUNTIF(B32:B$1973,B32)),1),"&gt;"&amp;0),0)</f>
        <v>9248.2453829513706</v>
      </c>
      <c r="J32" s="38">
        <f t="shared" ca="1" si="1"/>
        <v>-1.3256956649035649</v>
      </c>
      <c r="K32" s="30">
        <f t="shared" ca="1" si="5"/>
        <v>97200</v>
      </c>
      <c r="L32" t="str">
        <f t="shared" si="2"/>
        <v>High</v>
      </c>
      <c r="M32" s="39">
        <f>IFERROR(VLOOKUP("188mg LP",Controls!A:I,7,0),6)</f>
        <v>9</v>
      </c>
      <c r="N32" s="39">
        <f>IFERROR(VLOOKUP("188mg LP",Controls!A:I,8,0),3)</f>
        <v>8</v>
      </c>
      <c r="O32" s="39">
        <f>IFERROR(VLOOKUP("188mg LP",Controls!A:I,9,0),18)</f>
        <v>18</v>
      </c>
      <c r="P32" s="40">
        <f>IFERROR(VLOOKUP("188mg LP",Controls!A:J,5,0),0)</f>
        <v>16200</v>
      </c>
      <c r="Q32" s="39">
        <f>IFERROR(VLOOKUP("188mg LP",Controls!A:J,6,0),3)</f>
        <v>3</v>
      </c>
      <c r="R32" s="21" t="str">
        <f>IFERROR(VLOOKUP("188mg LP",Controls!A:K,10,0),"")</f>
        <v>Fisher / ThermoFisher Allentown</v>
      </c>
      <c r="S32" s="41">
        <f t="shared" si="3"/>
        <v>46813</v>
      </c>
      <c r="T32" s="30">
        <f t="shared" si="4"/>
        <v>0</v>
      </c>
      <c r="W32" s="205" t="str" cm="1">
        <f t="array" ref="W32">IF(28&lt;Controls!$B$7,TEXT(INDEX(A4:A182,MATCH(Controls!$B$5,A4:A182,1)+28),"MMM-YY"),"")</f>
        <v/>
      </c>
      <c r="X32" t="str" cm="1">
        <f t="array" ref="X32">IF(28&lt;Controls!$B$7,INDEX(F4:F182,MATCH(Controls!$B$5,A4:A182,1)+28),"")</f>
        <v/>
      </c>
      <c r="Y32" t="str" cm="1">
        <f t="array" ref="Y32">IF(28&lt;Controls!$B$7,INDEX(G4:G182,MATCH(Controls!$B$5,A4:A182,1)+28),"")</f>
        <v/>
      </c>
      <c r="Z32" t="str" cm="1">
        <f t="array" ref="Z32">IF(28&lt;Controls!$B$7,INDEX(H4:H182,MATCH(Controls!$B$5,A4:A182,1)+28),"")</f>
        <v/>
      </c>
      <c r="AA32" t="str" cm="1">
        <f t="array" ref="AA32">IF(28&lt;Controls!$B$7,INDEX(M4:M182,MATCH(Controls!$B$5,A4:A182,1)+28)*INDEX(I4:I182,MATCH(Controls!$B$5,A4:A182,1)+28),"")</f>
        <v/>
      </c>
      <c r="AB32">
        <f t="shared" si="6"/>
        <v>107663.70537456611</v>
      </c>
    </row>
    <row r="33" spans="1:28" ht="13" customHeight="1" x14ac:dyDescent="0.35">
      <c r="A33" s="153">
        <v>46935</v>
      </c>
      <c r="B33" s="36" t="s">
        <v>26</v>
      </c>
      <c r="C33" s="15" t="s">
        <v>28</v>
      </c>
      <c r="D33" s="15" t="s">
        <v>29</v>
      </c>
      <c r="E33" s="30">
        <f>H32</f>
        <v>-12260.358812143042</v>
      </c>
      <c r="F33" s="37">
        <f>IFERROR(SUMIFS('Demand Inputs'!$AI$5:$AI$202,'Demand Inputs'!$A$5:$A$202,"188mg LP",'Demand Inputs'!$B$5:$B$202,"&lt;&gt;AGGREGATE",'Demand Inputs'!$E$5:$E$202,1),0)</f>
        <v>8263.4961096135248</v>
      </c>
      <c r="G33" s="37">
        <f t="array" ref="G33">IFERROR(SUMPRODUCT(('Production Inputs'!$A:$A="188mg LP")*('Production Inputs'!$B:$B="TOTAL ACTIVE")*'Production Inputs'!$AO:$AO),0)</f>
        <v>0</v>
      </c>
      <c r="H33" s="30">
        <f t="shared" si="0"/>
        <v>-20523.854921756567</v>
      </c>
      <c r="I33" s="30">
        <f ca="1">IFERROR(AVERAGEIF(OFFSET(F33,0,0,MIN(Controls!$B$8,COUNTIF(B33:B$1973,B33)),1),"&gt;"&amp;0),0)</f>
        <v>9222.0095280378519</v>
      </c>
      <c r="J33" s="38">
        <f t="shared" ca="1" si="1"/>
        <v>-2.225529572416673</v>
      </c>
      <c r="K33" s="30">
        <f t="shared" ca="1" si="5"/>
        <v>97200</v>
      </c>
      <c r="L33" t="str">
        <f t="shared" si="2"/>
        <v>High</v>
      </c>
      <c r="M33" s="39">
        <f>IFERROR(VLOOKUP("188mg LP",Controls!A:I,7,0),6)</f>
        <v>9</v>
      </c>
      <c r="N33" s="39">
        <f>IFERROR(VLOOKUP("188mg LP",Controls!A:I,8,0),3)</f>
        <v>8</v>
      </c>
      <c r="O33" s="39">
        <f>IFERROR(VLOOKUP("188mg LP",Controls!A:I,9,0),18)</f>
        <v>18</v>
      </c>
      <c r="P33" s="40">
        <f>IFERROR(VLOOKUP("188mg LP",Controls!A:J,5,0),0)</f>
        <v>16200</v>
      </c>
      <c r="Q33" s="39">
        <f>IFERROR(VLOOKUP("188mg LP",Controls!A:J,6,0),3)</f>
        <v>3</v>
      </c>
      <c r="R33" s="21" t="str">
        <f>IFERROR(VLOOKUP("188mg LP",Controls!A:K,10,0),"")</f>
        <v>Fisher / ThermoFisher Allentown</v>
      </c>
      <c r="S33" s="41">
        <f t="shared" si="3"/>
        <v>46844</v>
      </c>
      <c r="T33" s="30">
        <f t="shared" si="4"/>
        <v>0</v>
      </c>
      <c r="W33" s="205" t="str" cm="1">
        <f t="array" ref="W33">IF(29&lt;Controls!$B$7,TEXT(INDEX(A4:A182,MATCH(Controls!$B$5,A4:A182,1)+29),"MMM-YY"),"")</f>
        <v/>
      </c>
      <c r="X33" t="str" cm="1">
        <f t="array" ref="X33">IF(29&lt;Controls!$B$7,INDEX(F4:F182,MATCH(Controls!$B$5,A4:A182,1)+29),"")</f>
        <v/>
      </c>
      <c r="Y33" t="str" cm="1">
        <f t="array" ref="Y33">IF(29&lt;Controls!$B$7,INDEX(G4:G182,MATCH(Controls!$B$5,A4:A182,1)+29),"")</f>
        <v/>
      </c>
      <c r="Z33" t="str" cm="1">
        <f t="array" ref="Z33">IF(29&lt;Controls!$B$7,INDEX(H4:H182,MATCH(Controls!$B$5,A4:A182,1)+29),"")</f>
        <v/>
      </c>
      <c r="AA33" t="str" cm="1">
        <f t="array" ref="AA33">IF(29&lt;Controls!$B$7,INDEX(M4:M182,MATCH(Controls!$B$5,A4:A182,1)+29)*INDEX(I4:I182,MATCH(Controls!$B$5,A4:A182,1)+29),"")</f>
        <v/>
      </c>
      <c r="AB33">
        <f t="shared" si="6"/>
        <v>115927.20148417963</v>
      </c>
    </row>
    <row r="34" spans="1:28" ht="13" customHeight="1" x14ac:dyDescent="0.35">
      <c r="A34" s="153">
        <v>46966</v>
      </c>
      <c r="B34" s="36" t="s">
        <v>26</v>
      </c>
      <c r="C34" s="15" t="s">
        <v>28</v>
      </c>
      <c r="D34" s="15" t="s">
        <v>29</v>
      </c>
      <c r="E34" s="30">
        <f>H33</f>
        <v>-20523.854921756567</v>
      </c>
      <c r="F34" s="37">
        <f>IFERROR(SUMIFS('Demand Inputs'!$AJ$5:$AJ$202,'Demand Inputs'!$A$5:$A$202,"188mg LP",'Demand Inputs'!$B$5:$B$202,"&lt;&gt;AGGREGATE",'Demand Inputs'!$E$5:$E$202,1),0)</f>
        <v>8112.2357642945672</v>
      </c>
      <c r="G34" s="37">
        <f t="array" ref="G34">IFERROR(SUMPRODUCT(('Production Inputs'!$A:$A="188mg LP")*('Production Inputs'!$B:$B="TOTAL ACTIVE")*'Production Inputs'!$AP:$AP),0)</f>
        <v>0</v>
      </c>
      <c r="H34" s="30">
        <f t="shared" si="0"/>
        <v>-28636.090686051135</v>
      </c>
      <c r="I34" s="30">
        <f ca="1">IFERROR(AVERAGEIF(OFFSET(F34,0,0,MIN(Controls!$B$8,COUNTIF(B34:B$1973,B34)),1),"&gt;"&amp;0),0)</f>
        <v>9603.6699024916888</v>
      </c>
      <c r="J34" s="38">
        <f t="shared" ca="1" si="1"/>
        <v>-2.9817862313886332</v>
      </c>
      <c r="K34" s="30">
        <f t="shared" ca="1" si="5"/>
        <v>113400</v>
      </c>
      <c r="L34" t="str">
        <f t="shared" si="2"/>
        <v>High</v>
      </c>
      <c r="M34" s="39">
        <f>IFERROR(VLOOKUP("188mg LP",Controls!A:I,7,0),6)</f>
        <v>9</v>
      </c>
      <c r="N34" s="39">
        <f>IFERROR(VLOOKUP("188mg LP",Controls!A:I,8,0),3)</f>
        <v>8</v>
      </c>
      <c r="O34" s="39">
        <f>IFERROR(VLOOKUP("188mg LP",Controls!A:I,9,0),18)</f>
        <v>18</v>
      </c>
      <c r="P34" s="40">
        <f>IFERROR(VLOOKUP("188mg LP",Controls!A:J,5,0),0)</f>
        <v>16200</v>
      </c>
      <c r="Q34" s="39">
        <f>IFERROR(VLOOKUP("188mg LP",Controls!A:J,6,0),3)</f>
        <v>3</v>
      </c>
      <c r="R34" s="21" t="str">
        <f>IFERROR(VLOOKUP("188mg LP",Controls!A:K,10,0),"")</f>
        <v>Fisher / ThermoFisher Allentown</v>
      </c>
      <c r="S34" s="41">
        <f t="shared" si="3"/>
        <v>46874</v>
      </c>
      <c r="T34" s="30">
        <f t="shared" si="4"/>
        <v>0</v>
      </c>
      <c r="W34" s="205" t="str" cm="1">
        <f t="array" ref="W34">IF(30&lt;Controls!$B$7,TEXT(INDEX(A4:A182,MATCH(Controls!$B$5,A4:A182,1)+30),"MMM-YY"),"")</f>
        <v/>
      </c>
      <c r="X34" t="str" cm="1">
        <f t="array" ref="X34">IF(30&lt;Controls!$B$7,INDEX(F4:F182,MATCH(Controls!$B$5,A4:A182,1)+30),"")</f>
        <v/>
      </c>
      <c r="Y34" t="str" cm="1">
        <f t="array" ref="Y34">IF(30&lt;Controls!$B$7,INDEX(G4:G182,MATCH(Controls!$B$5,A4:A182,1)+30),"")</f>
        <v/>
      </c>
      <c r="Z34" t="str" cm="1">
        <f t="array" ref="Z34">IF(30&lt;Controls!$B$7,INDEX(H4:H182,MATCH(Controls!$B$5,A4:A182,1)+30),"")</f>
        <v/>
      </c>
      <c r="AA34" t="str" cm="1">
        <f t="array" ref="AA34">IF(30&lt;Controls!$B$7,INDEX(M4:M182,MATCH(Controls!$B$5,A4:A182,1)+30)*INDEX(I4:I182,MATCH(Controls!$B$5,A4:A182,1)+30),"")</f>
        <v/>
      </c>
      <c r="AB34">
        <f t="shared" si="6"/>
        <v>124039.43724847421</v>
      </c>
    </row>
    <row r="35" spans="1:28" ht="13" customHeight="1" x14ac:dyDescent="0.35">
      <c r="A35" s="153">
        <v>46997</v>
      </c>
      <c r="B35" s="36" t="s">
        <v>26</v>
      </c>
      <c r="C35" s="15" t="s">
        <v>28</v>
      </c>
      <c r="D35" s="15" t="s">
        <v>29</v>
      </c>
      <c r="E35" s="30">
        <f>H34</f>
        <v>-28636.090686051135</v>
      </c>
      <c r="F35" s="37">
        <f>IFERROR(SUMIFS('Demand Inputs'!$AK$5:$AK$202,'Demand Inputs'!$A$5:$A$202,"188mg LP",'Demand Inputs'!$B$5:$B$202,"&lt;&gt;AGGREGATE",'Demand Inputs'!$E$5:$E$202,1),0)</f>
        <v>10852.914817644212</v>
      </c>
      <c r="G35" s="37">
        <f t="array" ref="G35">IFERROR(SUMPRODUCT(('Production Inputs'!$A:$A="188mg LP")*('Production Inputs'!$B:$B="TOTAL ACTIVE")*'Production Inputs'!$AQ:$AQ),0)</f>
        <v>0</v>
      </c>
      <c r="H35" s="30">
        <f t="shared" si="0"/>
        <v>-39489.005503695349</v>
      </c>
      <c r="I35" s="30">
        <f ca="1">IFERROR(AVERAGEIF(OFFSET(F35,0,0,MIN(Controls!$B$8,COUNTIF(B35:B$1973,B35)),1),"&gt;"&amp;0),0)</f>
        <v>9844.6838348528254</v>
      </c>
      <c r="J35" s="38">
        <f t="shared" ca="1" si="1"/>
        <v>-4.0112009858451385</v>
      </c>
      <c r="K35" s="30">
        <f t="shared" ca="1" si="5"/>
        <v>129600</v>
      </c>
      <c r="L35" t="str">
        <f t="shared" si="2"/>
        <v>High</v>
      </c>
      <c r="M35" s="39">
        <f>IFERROR(VLOOKUP("188mg LP",Controls!A:I,7,0),6)</f>
        <v>9</v>
      </c>
      <c r="N35" s="39">
        <f>IFERROR(VLOOKUP("188mg LP",Controls!A:I,8,0),3)</f>
        <v>8</v>
      </c>
      <c r="O35" s="39">
        <f>IFERROR(VLOOKUP("188mg LP",Controls!A:I,9,0),18)</f>
        <v>18</v>
      </c>
      <c r="P35" s="40">
        <f>IFERROR(VLOOKUP("188mg LP",Controls!A:J,5,0),0)</f>
        <v>16200</v>
      </c>
      <c r="Q35" s="39">
        <f>IFERROR(VLOOKUP("188mg LP",Controls!A:J,6,0),3)</f>
        <v>3</v>
      </c>
      <c r="R35" s="21" t="str">
        <f>IFERROR(VLOOKUP("188mg LP",Controls!A:K,10,0),"")</f>
        <v>Fisher / ThermoFisher Allentown</v>
      </c>
      <c r="S35" s="41">
        <f t="shared" si="3"/>
        <v>46905</v>
      </c>
      <c r="T35" s="30">
        <f t="shared" si="4"/>
        <v>0</v>
      </c>
      <c r="W35" s="205" t="str" cm="1">
        <f t="array" ref="W35">IF(31&lt;Controls!$B$7,TEXT(INDEX(A4:A182,MATCH(Controls!$B$5,A4:A182,1)+31),"MMM-YY"),"")</f>
        <v/>
      </c>
      <c r="X35" t="str" cm="1">
        <f t="array" ref="X35">IF(31&lt;Controls!$B$7,INDEX(F4:F182,MATCH(Controls!$B$5,A4:A182,1)+31),"")</f>
        <v/>
      </c>
      <c r="Y35" t="str" cm="1">
        <f t="array" ref="Y35">IF(31&lt;Controls!$B$7,INDEX(G4:G182,MATCH(Controls!$B$5,A4:A182,1)+31),"")</f>
        <v/>
      </c>
      <c r="Z35" t="str" cm="1">
        <f t="array" ref="Z35">IF(31&lt;Controls!$B$7,INDEX(H4:H182,MATCH(Controls!$B$5,A4:A182,1)+31),"")</f>
        <v/>
      </c>
      <c r="AA35" t="str" cm="1">
        <f t="array" ref="AA35">IF(31&lt;Controls!$B$7,INDEX(M4:M182,MATCH(Controls!$B$5,A4:A182,1)+31)*INDEX(I4:I182,MATCH(Controls!$B$5,A4:A182,1)+31),"")</f>
        <v/>
      </c>
      <c r="AB35">
        <f t="shared" si="6"/>
        <v>134892.35206611842</v>
      </c>
    </row>
    <row r="36" spans="1:28" ht="13" customHeight="1" x14ac:dyDescent="0.35">
      <c r="A36" s="153">
        <v>47027</v>
      </c>
      <c r="B36" s="36" t="s">
        <v>26</v>
      </c>
      <c r="C36" s="15" t="s">
        <v>28</v>
      </c>
      <c r="D36" s="15" t="s">
        <v>29</v>
      </c>
      <c r="E36" s="30">
        <f>H35</f>
        <v>-39489.005503695349</v>
      </c>
      <c r="F36" s="37">
        <f>IFERROR(SUMIFS('Demand Inputs'!$AL$5:$AL$202,'Demand Inputs'!$A$5:$A$202,"188mg LP",'Demand Inputs'!$B$5:$B$202,"&lt;&gt;AGGREGATE",'Demand Inputs'!$E$5:$E$202,1),0)</f>
        <v>8259.6592431022946</v>
      </c>
      <c r="G36" s="37">
        <f t="array" ref="G36">IFERROR(SUMPRODUCT(('Production Inputs'!$A:$A="188mg LP")*('Production Inputs'!$B:$B="TOTAL ACTIVE")*'Production Inputs'!$AR:$AR),0)</f>
        <v>0</v>
      </c>
      <c r="H36" s="30">
        <f t="shared" si="0"/>
        <v>-47748.664746797644</v>
      </c>
      <c r="I36" s="30">
        <f ca="1">IFERROR(AVERAGEIF(OFFSET(F36,0,0,MIN(Controls!$B$8,COUNTIF(B36:B$1973,B36)),1),"&gt;"&amp;0),0)</f>
        <v>9923.0318878188937</v>
      </c>
      <c r="J36" s="38">
        <f t="shared" ca="1" si="1"/>
        <v>-4.8119027819926634</v>
      </c>
      <c r="K36" s="30">
        <f t="shared" ca="1" si="5"/>
        <v>129600</v>
      </c>
      <c r="L36" t="str">
        <f t="shared" si="2"/>
        <v>High</v>
      </c>
      <c r="M36" s="39">
        <f>IFERROR(VLOOKUP("188mg LP",Controls!A:I,7,0),6)</f>
        <v>9</v>
      </c>
      <c r="N36" s="39">
        <f>IFERROR(VLOOKUP("188mg LP",Controls!A:I,8,0),3)</f>
        <v>8</v>
      </c>
      <c r="O36" s="39">
        <f>IFERROR(VLOOKUP("188mg LP",Controls!A:I,9,0),18)</f>
        <v>18</v>
      </c>
      <c r="P36" s="40">
        <f>IFERROR(VLOOKUP("188mg LP",Controls!A:J,5,0),0)</f>
        <v>16200</v>
      </c>
      <c r="Q36" s="39">
        <f>IFERROR(VLOOKUP("188mg LP",Controls!A:J,6,0),3)</f>
        <v>3</v>
      </c>
      <c r="R36" s="21" t="str">
        <f>IFERROR(VLOOKUP("188mg LP",Controls!A:K,10,0),"")</f>
        <v>Fisher / ThermoFisher Allentown</v>
      </c>
      <c r="S36" s="41">
        <f t="shared" si="3"/>
        <v>46935</v>
      </c>
      <c r="T36" s="30">
        <f t="shared" si="4"/>
        <v>0</v>
      </c>
      <c r="W36" s="205" t="str" cm="1">
        <f t="array" ref="W36">IF(32&lt;Controls!$B$7,TEXT(INDEX(A4:A182,MATCH(Controls!$B$5,A4:A182,1)+32),"MMM-YY"),"")</f>
        <v/>
      </c>
      <c r="X36" t="str" cm="1">
        <f t="array" ref="X36">IF(32&lt;Controls!$B$7,INDEX(F4:F182,MATCH(Controls!$B$5,A4:A182,1)+32),"")</f>
        <v/>
      </c>
      <c r="Y36" t="str" cm="1">
        <f t="array" ref="Y36">IF(32&lt;Controls!$B$7,INDEX(G4:G182,MATCH(Controls!$B$5,A4:A182,1)+32),"")</f>
        <v/>
      </c>
      <c r="Z36" t="str" cm="1">
        <f t="array" ref="Z36">IF(32&lt;Controls!$B$7,INDEX(H4:H182,MATCH(Controls!$B$5,A4:A182,1)+32),"")</f>
        <v/>
      </c>
      <c r="AA36" t="str" cm="1">
        <f t="array" ref="AA36">IF(32&lt;Controls!$B$7,INDEX(M4:M182,MATCH(Controls!$B$5,A4:A182,1)+32)*INDEX(I4:I182,MATCH(Controls!$B$5,A4:A182,1)+32),"")</f>
        <v/>
      </c>
      <c r="AB36">
        <f t="shared" si="6"/>
        <v>143152.01130922072</v>
      </c>
    </row>
    <row r="37" spans="1:28" ht="13" customHeight="1" x14ac:dyDescent="0.35">
      <c r="A37" s="153">
        <v>47058</v>
      </c>
      <c r="B37" s="36" t="s">
        <v>26</v>
      </c>
      <c r="C37" s="15" t="s">
        <v>28</v>
      </c>
      <c r="D37" s="15" t="s">
        <v>29</v>
      </c>
      <c r="E37" s="30">
        <f>H36</f>
        <v>-47748.664746797644</v>
      </c>
      <c r="F37" s="37">
        <f>IFERROR(SUMIFS('Demand Inputs'!$AM$5:$AM$202,'Demand Inputs'!$A$5:$A$202,"188mg LP",'Demand Inputs'!$B$5:$B$202,"&lt;&gt;AGGREGATE",'Demand Inputs'!$E$5:$E$202,1),0)</f>
        <v>9926.9778893556359</v>
      </c>
      <c r="G37" s="37">
        <f t="array" ref="G37">IFERROR(SUMPRODUCT(('Production Inputs'!$A:$A="188mg LP")*('Production Inputs'!$B:$B="TOTAL ACTIVE")*'Production Inputs'!$AS:$AS),0)</f>
        <v>0</v>
      </c>
      <c r="H37" s="30">
        <f t="shared" si="0"/>
        <v>-57675.642636153279</v>
      </c>
      <c r="I37" s="30">
        <f ca="1">IFERROR(AVERAGEIF(OFFSET(F37,0,0,MIN(Controls!$B$8,COUNTIF(B37:B$1973,B37)),1),"&gt;"&amp;0),0)</f>
        <v>10084.213890515217</v>
      </c>
      <c r="J37" s="38">
        <f t="shared" ca="1" si="1"/>
        <v>-5.7193989796666784</v>
      </c>
      <c r="K37" s="30">
        <f t="shared" ca="1" si="5"/>
        <v>145800</v>
      </c>
      <c r="L37" t="str">
        <f t="shared" si="2"/>
        <v>High</v>
      </c>
      <c r="M37" s="39">
        <f>IFERROR(VLOOKUP("188mg LP",Controls!A:I,7,0),6)</f>
        <v>9</v>
      </c>
      <c r="N37" s="39">
        <f>IFERROR(VLOOKUP("188mg LP",Controls!A:I,8,0),3)</f>
        <v>8</v>
      </c>
      <c r="O37" s="39">
        <f>IFERROR(VLOOKUP("188mg LP",Controls!A:I,9,0),18)</f>
        <v>18</v>
      </c>
      <c r="P37" s="40">
        <f>IFERROR(VLOOKUP("188mg LP",Controls!A:J,5,0),0)</f>
        <v>16200</v>
      </c>
      <c r="Q37" s="39">
        <f>IFERROR(VLOOKUP("188mg LP",Controls!A:J,6,0),3)</f>
        <v>3</v>
      </c>
      <c r="R37" s="21" t="str">
        <f>IFERROR(VLOOKUP("188mg LP",Controls!A:K,10,0),"")</f>
        <v>Fisher / ThermoFisher Allentown</v>
      </c>
      <c r="S37" s="41">
        <f t="shared" si="3"/>
        <v>46966</v>
      </c>
      <c r="T37" s="30">
        <f t="shared" si="4"/>
        <v>0</v>
      </c>
      <c r="W37" s="205" t="str" cm="1">
        <f t="array" ref="W37">IF(33&lt;Controls!$B$7,TEXT(INDEX(A4:A182,MATCH(Controls!$B$5,A4:A182,1)+33),"MMM-YY"),"")</f>
        <v/>
      </c>
      <c r="X37" t="str" cm="1">
        <f t="array" ref="X37">IF(33&lt;Controls!$B$7,INDEX(F4:F182,MATCH(Controls!$B$5,A4:A182,1)+33),"")</f>
        <v/>
      </c>
      <c r="Y37" t="str" cm="1">
        <f t="array" ref="Y37">IF(33&lt;Controls!$B$7,INDEX(G4:G182,MATCH(Controls!$B$5,A4:A182,1)+33),"")</f>
        <v/>
      </c>
      <c r="Z37" t="str" cm="1">
        <f t="array" ref="Z37">IF(33&lt;Controls!$B$7,INDEX(H4:H182,MATCH(Controls!$B$5,A4:A182,1)+33),"")</f>
        <v/>
      </c>
      <c r="AA37" t="str" cm="1">
        <f t="array" ref="AA37">IF(33&lt;Controls!$B$7,INDEX(M4:M182,MATCH(Controls!$B$5,A4:A182,1)+33)*INDEX(I4:I182,MATCH(Controls!$B$5,A4:A182,1)+33),"")</f>
        <v/>
      </c>
      <c r="AB37">
        <f t="shared" si="6"/>
        <v>153078.98919857637</v>
      </c>
    </row>
    <row r="38" spans="1:28" ht="13" customHeight="1" x14ac:dyDescent="0.35">
      <c r="A38" s="153">
        <v>47088</v>
      </c>
      <c r="B38" s="36" t="s">
        <v>26</v>
      </c>
      <c r="C38" s="15" t="s">
        <v>28</v>
      </c>
      <c r="D38" s="15" t="s">
        <v>29</v>
      </c>
      <c r="E38" s="30">
        <f>H37</f>
        <v>-57675.642636153279</v>
      </c>
      <c r="F38" s="37">
        <f>IFERROR(SUMIFS('Demand Inputs'!$AN$5:$AN$202,'Demand Inputs'!$A$5:$A$202,"188mg LP",'Demand Inputs'!$B$5:$B$202,"&lt;&gt;AGGREGATE",'Demand Inputs'!$E$5:$E$202,1),0)</f>
        <v>9094.1021153869915</v>
      </c>
      <c r="G38" s="37">
        <f t="array" ref="G38">IFERROR(SUMPRODUCT(('Production Inputs'!$A:$A="188mg LP")*('Production Inputs'!$B:$B="TOTAL ACTIVE")*'Production Inputs'!$AT:$AT),0)</f>
        <v>0</v>
      </c>
      <c r="H38" s="30">
        <f t="shared" si="0"/>
        <v>-66769.744751540275</v>
      </c>
      <c r="I38" s="30">
        <f ca="1">IFERROR(AVERAGEIF(OFFSET(F38,0,0,MIN(Controls!$B$8,COUNTIF(B38:B$1973,B38)),1),"&gt;"&amp;0),0)</f>
        <v>10225.743780073097</v>
      </c>
      <c r="J38" s="38">
        <f t="shared" ca="1" si="1"/>
        <v>-6.5295734166207504</v>
      </c>
      <c r="K38" s="30">
        <f t="shared" ca="1" si="5"/>
        <v>162000</v>
      </c>
      <c r="L38" t="str">
        <f t="shared" si="2"/>
        <v>High</v>
      </c>
      <c r="M38" s="39">
        <f>IFERROR(VLOOKUP("188mg LP",Controls!A:I,7,0),6)</f>
        <v>9</v>
      </c>
      <c r="N38" s="39">
        <f>IFERROR(VLOOKUP("188mg LP",Controls!A:I,8,0),3)</f>
        <v>8</v>
      </c>
      <c r="O38" s="39">
        <f>IFERROR(VLOOKUP("188mg LP",Controls!A:I,9,0),18)</f>
        <v>18</v>
      </c>
      <c r="P38" s="40">
        <f>IFERROR(VLOOKUP("188mg LP",Controls!A:J,5,0),0)</f>
        <v>16200</v>
      </c>
      <c r="Q38" s="39">
        <f>IFERROR(VLOOKUP("188mg LP",Controls!A:J,6,0),3)</f>
        <v>3</v>
      </c>
      <c r="R38" s="21" t="str">
        <f>IFERROR(VLOOKUP("188mg LP",Controls!A:K,10,0),"")</f>
        <v>Fisher / ThermoFisher Allentown</v>
      </c>
      <c r="S38" s="41">
        <f t="shared" si="3"/>
        <v>46997</v>
      </c>
      <c r="T38" s="30">
        <f t="shared" si="4"/>
        <v>0</v>
      </c>
      <c r="W38" s="205" t="str" cm="1">
        <f t="array" ref="W38">IF(34&lt;Controls!$B$7,TEXT(INDEX(A4:A182,MATCH(Controls!$B$5,A4:A182,1)+34),"MMM-YY"),"")</f>
        <v/>
      </c>
      <c r="X38" t="str" cm="1">
        <f t="array" ref="X38">IF(34&lt;Controls!$B$7,INDEX(F4:F182,MATCH(Controls!$B$5,A4:A182,1)+34),"")</f>
        <v/>
      </c>
      <c r="Y38" t="str" cm="1">
        <f t="array" ref="Y38">IF(34&lt;Controls!$B$7,INDEX(G4:G182,MATCH(Controls!$B$5,A4:A182,1)+34),"")</f>
        <v/>
      </c>
      <c r="Z38" t="str" cm="1">
        <f t="array" ref="Z38">IF(34&lt;Controls!$B$7,INDEX(H4:H182,MATCH(Controls!$B$5,A4:A182,1)+34),"")</f>
        <v/>
      </c>
      <c r="AA38" t="str" cm="1">
        <f t="array" ref="AA38">IF(34&lt;Controls!$B$7,INDEX(M4:M182,MATCH(Controls!$B$5,A4:A182,1)+34)*INDEX(I4:I182,MATCH(Controls!$B$5,A4:A182,1)+34),"")</f>
        <v/>
      </c>
      <c r="AB38">
        <f t="shared" si="6"/>
        <v>162173.09131396335</v>
      </c>
    </row>
    <row r="39" spans="1:28" ht="13" customHeight="1" x14ac:dyDescent="0.35">
      <c r="A39" s="153">
        <v>47119</v>
      </c>
      <c r="B39" s="36" t="s">
        <v>26</v>
      </c>
      <c r="C39" s="15" t="s">
        <v>28</v>
      </c>
      <c r="D39" s="15" t="s">
        <v>29</v>
      </c>
      <c r="E39" s="30">
        <f>H38</f>
        <v>-66769.744751540275</v>
      </c>
      <c r="F39" s="37">
        <f>IFERROR(SUMIFS('Demand Inputs'!$AO$5:$AO$202,'Demand Inputs'!$A$5:$A$202,"188mg LP",'Demand Inputs'!$B$5:$B$202,"&lt;&gt;AGGREGATE",'Demand Inputs'!$E$5:$E$202,1),0)</f>
        <v>9455.8897034058209</v>
      </c>
      <c r="G39" s="37">
        <f t="array" ref="G39">IFERROR(SUMPRODUCT(('Production Inputs'!$A:$A="188mg LP")*('Production Inputs'!$B:$B="TOTAL ACTIVE")*'Production Inputs'!$AU:$AU),0)</f>
        <v>0</v>
      </c>
      <c r="H39" s="30">
        <f t="shared" si="0"/>
        <v>-76225.634454946092</v>
      </c>
      <c r="I39" s="30">
        <f ca="1">IFERROR(AVERAGEIF(OFFSET(F39,0,0,MIN(Controls!$B$8,COUNTIF(B39:B$1973,B39)),1),"&gt;"&amp;0),0)</f>
        <v>10651.438144064632</v>
      </c>
      <c r="J39" s="38">
        <f t="shared" ca="1" si="1"/>
        <v>-7.1563701937678514</v>
      </c>
      <c r="K39" s="30">
        <f t="shared" ca="1" si="5"/>
        <v>178200</v>
      </c>
      <c r="L39" t="str">
        <f t="shared" si="2"/>
        <v>High</v>
      </c>
      <c r="M39" s="39">
        <f>IFERROR(VLOOKUP("188mg LP",Controls!A:I,7,0),6)</f>
        <v>9</v>
      </c>
      <c r="N39" s="39">
        <f>IFERROR(VLOOKUP("188mg LP",Controls!A:I,8,0),3)</f>
        <v>8</v>
      </c>
      <c r="O39" s="39">
        <f>IFERROR(VLOOKUP("188mg LP",Controls!A:I,9,0),18)</f>
        <v>18</v>
      </c>
      <c r="P39" s="40">
        <f>IFERROR(VLOOKUP("188mg LP",Controls!A:J,5,0),0)</f>
        <v>16200</v>
      </c>
      <c r="Q39" s="39">
        <f>IFERROR(VLOOKUP("188mg LP",Controls!A:J,6,0),3)</f>
        <v>3</v>
      </c>
      <c r="R39" s="21" t="str">
        <f>IFERROR(VLOOKUP("188mg LP",Controls!A:K,10,0),"")</f>
        <v>Fisher / ThermoFisher Allentown</v>
      </c>
      <c r="S39" s="41">
        <f t="shared" si="3"/>
        <v>47027</v>
      </c>
      <c r="T39" s="30">
        <f t="shared" si="4"/>
        <v>0</v>
      </c>
      <c r="W39" s="205" t="str" cm="1">
        <f t="array" ref="W39">IF(35&lt;Controls!$B$7,TEXT(INDEX(A4:A182,MATCH(Controls!$B$5,A4:A182,1)+35),"MMM-YY"),"")</f>
        <v/>
      </c>
      <c r="X39" t="str" cm="1">
        <f t="array" ref="X39">IF(35&lt;Controls!$B$7,INDEX(F4:F182,MATCH(Controls!$B$5,A4:A182,1)+35),"")</f>
        <v/>
      </c>
      <c r="Y39" t="str" cm="1">
        <f t="array" ref="Y39">IF(35&lt;Controls!$B$7,INDEX(G4:G182,MATCH(Controls!$B$5,A4:A182,1)+35),"")</f>
        <v/>
      </c>
      <c r="Z39" t="str" cm="1">
        <f t="array" ref="Z39">IF(35&lt;Controls!$B$7,INDEX(H4:H182,MATCH(Controls!$B$5,A4:A182,1)+35),"")</f>
        <v/>
      </c>
      <c r="AA39" t="str" cm="1">
        <f t="array" ref="AA39">IF(35&lt;Controls!$B$7,INDEX(M4:M182,MATCH(Controls!$B$5,A4:A182,1)+35)*INDEX(I4:I182,MATCH(Controls!$B$5,A4:A182,1)+35),"")</f>
        <v/>
      </c>
      <c r="AB39">
        <f t="shared" si="6"/>
        <v>171628.98101736917</v>
      </c>
    </row>
    <row r="40" spans="1:28" ht="13" customHeight="1" x14ac:dyDescent="0.35">
      <c r="A40" s="153">
        <v>47150</v>
      </c>
      <c r="B40" s="36" t="s">
        <v>26</v>
      </c>
      <c r="C40" s="15" t="s">
        <v>28</v>
      </c>
      <c r="D40" s="15" t="s">
        <v>29</v>
      </c>
      <c r="E40" s="30">
        <f>H39</f>
        <v>-76225.634454946092</v>
      </c>
      <c r="F40" s="37">
        <f>IFERROR(SUMIFS('Demand Inputs'!$AP$5:$AP$202,'Demand Inputs'!$A$5:$A$202,"188mg LP",'Demand Inputs'!$B$5:$B$202,"&lt;&gt;AGGREGATE",'Demand Inputs'!$E$5:$E$202,1),0)</f>
        <v>10399.376703097714</v>
      </c>
      <c r="G40" s="37">
        <f t="array" ref="G40">IFERROR(SUMPRODUCT(('Production Inputs'!$A:$A="188mg LP")*('Production Inputs'!$B:$B="TOTAL ACTIVE")*'Production Inputs'!$AV:$AV),0)</f>
        <v>0</v>
      </c>
      <c r="H40" s="30">
        <f t="shared" si="0"/>
        <v>-86625.01115804381</v>
      </c>
      <c r="I40" s="30">
        <f ca="1">IFERROR(AVERAGEIF(OFFSET(F40,0,0,MIN(Controls!$B$8,COUNTIF(B40:B$1973,B40)),1),"&gt;"&amp;0),0)</f>
        <v>10594.73492613788</v>
      </c>
      <c r="J40" s="38">
        <f t="shared" ca="1" si="1"/>
        <v>-8.1762320399667985</v>
      </c>
      <c r="K40" s="30">
        <f t="shared" ca="1" si="5"/>
        <v>178200</v>
      </c>
      <c r="L40" t="str">
        <f t="shared" si="2"/>
        <v>High</v>
      </c>
      <c r="M40" s="39">
        <f>IFERROR(VLOOKUP("188mg LP",Controls!A:I,7,0),6)</f>
        <v>9</v>
      </c>
      <c r="N40" s="39">
        <f>IFERROR(VLOOKUP("188mg LP",Controls!A:I,8,0),3)</f>
        <v>8</v>
      </c>
      <c r="O40" s="39">
        <f>IFERROR(VLOOKUP("188mg LP",Controls!A:I,9,0),18)</f>
        <v>18</v>
      </c>
      <c r="P40" s="40">
        <f>IFERROR(VLOOKUP("188mg LP",Controls!A:J,5,0),0)</f>
        <v>16200</v>
      </c>
      <c r="Q40" s="39">
        <f>IFERROR(VLOOKUP("188mg LP",Controls!A:J,6,0),3)</f>
        <v>3</v>
      </c>
      <c r="R40" s="21" t="str">
        <f>IFERROR(VLOOKUP("188mg LP",Controls!A:K,10,0),"")</f>
        <v>Fisher / ThermoFisher Allentown</v>
      </c>
      <c r="S40" s="41">
        <f t="shared" si="3"/>
        <v>47058</v>
      </c>
      <c r="T40" s="30">
        <f t="shared" si="4"/>
        <v>0</v>
      </c>
      <c r="AB40">
        <f t="shared" si="6"/>
        <v>182028.35772046688</v>
      </c>
    </row>
    <row r="41" spans="1:28" ht="13" customHeight="1" x14ac:dyDescent="0.35">
      <c r="A41" s="153">
        <v>47178</v>
      </c>
      <c r="B41" s="36" t="s">
        <v>26</v>
      </c>
      <c r="C41" s="15" t="s">
        <v>28</v>
      </c>
      <c r="D41" s="15" t="s">
        <v>29</v>
      </c>
      <c r="E41" s="30">
        <f>H40</f>
        <v>-86625.01115804381</v>
      </c>
      <c r="F41" s="37">
        <f>IFERROR(SUMIFS('Demand Inputs'!$AQ$5:$AQ$202,'Demand Inputs'!$A$5:$A$202,"188mg LP",'Demand Inputs'!$B$5:$B$202,"&lt;&gt;AGGREGATE",'Demand Inputs'!$E$5:$E$202,1),0)</f>
        <v>8633.43340643991</v>
      </c>
      <c r="G41" s="37">
        <f t="array" ref="G41">IFERROR(SUMPRODUCT(('Production Inputs'!$A:$A="188mg LP")*('Production Inputs'!$B:$B="TOTAL ACTIVE")*'Production Inputs'!$AW:$AW),0)</f>
        <v>0</v>
      </c>
      <c r="H41" s="30">
        <f t="shared" si="0"/>
        <v>-95258.444564483725</v>
      </c>
      <c r="I41" s="30">
        <f ca="1">IFERROR(AVERAGEIF(OFFSET(F41,0,0,MIN(Controls!$B$8,COUNTIF(B41:B$1973,B41)),1),"&gt;"&amp;0),0)</f>
        <v>10869.608788932723</v>
      </c>
      <c r="J41" s="38">
        <f t="shared" ca="1" si="1"/>
        <v>-8.7637417697566526</v>
      </c>
      <c r="K41" s="30">
        <f t="shared" ca="1" si="5"/>
        <v>194400</v>
      </c>
      <c r="L41" t="str">
        <f t="shared" si="2"/>
        <v>High</v>
      </c>
      <c r="M41" s="39">
        <f>IFERROR(VLOOKUP("188mg LP",Controls!A:I,7,0),6)</f>
        <v>9</v>
      </c>
      <c r="N41" s="39">
        <f>IFERROR(VLOOKUP("188mg LP",Controls!A:I,8,0),3)</f>
        <v>8</v>
      </c>
      <c r="O41" s="39">
        <f>IFERROR(VLOOKUP("188mg LP",Controls!A:I,9,0),18)</f>
        <v>18</v>
      </c>
      <c r="P41" s="40">
        <f>IFERROR(VLOOKUP("188mg LP",Controls!A:J,5,0),0)</f>
        <v>16200</v>
      </c>
      <c r="Q41" s="39">
        <f>IFERROR(VLOOKUP("188mg LP",Controls!A:J,6,0),3)</f>
        <v>3</v>
      </c>
      <c r="R41" s="21" t="str">
        <f>IFERROR(VLOOKUP("188mg LP",Controls!A:K,10,0),"")</f>
        <v>Fisher / ThermoFisher Allentown</v>
      </c>
      <c r="S41" s="41">
        <f t="shared" si="3"/>
        <v>47088</v>
      </c>
      <c r="T41" s="30">
        <f t="shared" si="4"/>
        <v>0</v>
      </c>
      <c r="AB41">
        <f t="shared" si="6"/>
        <v>190661.79112690678</v>
      </c>
    </row>
    <row r="42" spans="1:28" ht="13" customHeight="1" x14ac:dyDescent="0.35">
      <c r="A42" s="153">
        <v>47209</v>
      </c>
      <c r="B42" s="36" t="s">
        <v>26</v>
      </c>
      <c r="C42" s="15" t="s">
        <v>28</v>
      </c>
      <c r="D42" s="15" t="s">
        <v>29</v>
      </c>
      <c r="E42" s="30">
        <f>H41</f>
        <v>-95258.444564483725</v>
      </c>
      <c r="F42" s="37">
        <f>IFERROR(SUMIFS('Demand Inputs'!$AR$5:$AR$202,'Demand Inputs'!$A$5:$A$202,"188mg LP",'Demand Inputs'!$B$5:$B$202,"&lt;&gt;AGGREGATE",'Demand Inputs'!$E$5:$E$202,1),0)</f>
        <v>11698.43947969805</v>
      </c>
      <c r="G42" s="37">
        <f t="array" ref="G42">IFERROR(SUMPRODUCT(('Production Inputs'!$A:$A="188mg LP")*('Production Inputs'!$B:$B="TOTAL ACTIVE")*'Production Inputs'!$AX:$AX),0)</f>
        <v>0</v>
      </c>
      <c r="H42" s="30">
        <f t="shared" si="0"/>
        <v>-106956.88404418177</v>
      </c>
      <c r="I42" s="30">
        <f ca="1">IFERROR(AVERAGEIF(OFFSET(F42,0,0,MIN(Controls!$B$8,COUNTIF(B42:B$1973,B42)),1),"&gt;"&amp;0),0)</f>
        <v>11063.780892001714</v>
      </c>
      <c r="J42" s="38">
        <f t="shared" ca="1" si="1"/>
        <v>-9.6672995505093198</v>
      </c>
      <c r="K42" s="30">
        <f t="shared" ca="1" si="5"/>
        <v>210600</v>
      </c>
      <c r="L42" t="str">
        <f t="shared" si="2"/>
        <v>High</v>
      </c>
      <c r="M42" s="39">
        <f>IFERROR(VLOOKUP("188mg LP",Controls!A:I,7,0),6)</f>
        <v>9</v>
      </c>
      <c r="N42" s="39">
        <f>IFERROR(VLOOKUP("188mg LP",Controls!A:I,8,0),3)</f>
        <v>8</v>
      </c>
      <c r="O42" s="39">
        <f>IFERROR(VLOOKUP("188mg LP",Controls!A:I,9,0),18)</f>
        <v>18</v>
      </c>
      <c r="P42" s="40">
        <f>IFERROR(VLOOKUP("188mg LP",Controls!A:J,5,0),0)</f>
        <v>16200</v>
      </c>
      <c r="Q42" s="39">
        <f>IFERROR(VLOOKUP("188mg LP",Controls!A:J,6,0),3)</f>
        <v>3</v>
      </c>
      <c r="R42" s="21" t="str">
        <f>IFERROR(VLOOKUP("188mg LP",Controls!A:K,10,0),"")</f>
        <v>Fisher / ThermoFisher Allentown</v>
      </c>
      <c r="S42" s="41">
        <f t="shared" si="3"/>
        <v>47119</v>
      </c>
      <c r="T42" s="30">
        <f t="shared" si="4"/>
        <v>0</v>
      </c>
      <c r="AB42">
        <f t="shared" si="6"/>
        <v>202360.23060660483</v>
      </c>
    </row>
    <row r="43" spans="1:28" ht="13" customHeight="1" x14ac:dyDescent="0.35">
      <c r="A43" s="153">
        <v>47239</v>
      </c>
      <c r="B43" s="36" t="s">
        <v>26</v>
      </c>
      <c r="C43" s="15" t="s">
        <v>28</v>
      </c>
      <c r="D43" s="15" t="s">
        <v>29</v>
      </c>
      <c r="E43" s="30">
        <f>H42</f>
        <v>-106956.88404418177</v>
      </c>
      <c r="F43" s="37">
        <f>IFERROR(SUMIFS('Demand Inputs'!$AS$5:$AS$202,'Demand Inputs'!$A$5:$A$202,"188mg LP",'Demand Inputs'!$B$5:$B$202,"&lt;&gt;AGGREGATE",'Demand Inputs'!$E$5:$E$202,1),0)</f>
        <v>10281.361155544804</v>
      </c>
      <c r="G43" s="37">
        <f t="array" ref="G43">IFERROR(SUMPRODUCT(('Production Inputs'!$A:$A="188mg LP")*('Production Inputs'!$B:$B="TOTAL ACTIVE")*'Production Inputs'!$AY:$AY),0)</f>
        <v>0</v>
      </c>
      <c r="H43" s="30">
        <f t="shared" si="0"/>
        <v>-117238.24519972657</v>
      </c>
      <c r="I43" s="30">
        <f ca="1">IFERROR(AVERAGEIF(OFFSET(F43,0,0,MIN(Controls!$B$8,COUNTIF(B43:B$1973,B43)),1),"&gt;"&amp;0),0)</f>
        <v>10993.057555387455</v>
      </c>
      <c r="J43" s="38">
        <f t="shared" ca="1" si="1"/>
        <v>-10.664753150707439</v>
      </c>
      <c r="K43" s="30">
        <f t="shared" ca="1" si="5"/>
        <v>210600</v>
      </c>
      <c r="L43" t="str">
        <f t="shared" si="2"/>
        <v>High</v>
      </c>
      <c r="M43" s="39">
        <f>IFERROR(VLOOKUP("188mg LP",Controls!A:I,7,0),6)</f>
        <v>9</v>
      </c>
      <c r="N43" s="39">
        <f>IFERROR(VLOOKUP("188mg LP",Controls!A:I,8,0),3)</f>
        <v>8</v>
      </c>
      <c r="O43" s="39">
        <f>IFERROR(VLOOKUP("188mg LP",Controls!A:I,9,0),18)</f>
        <v>18</v>
      </c>
      <c r="P43" s="40">
        <f>IFERROR(VLOOKUP("188mg LP",Controls!A:J,5,0),0)</f>
        <v>16200</v>
      </c>
      <c r="Q43" s="39">
        <f>IFERROR(VLOOKUP("188mg LP",Controls!A:J,6,0),3)</f>
        <v>3</v>
      </c>
      <c r="R43" s="21" t="str">
        <f>IFERROR(VLOOKUP("188mg LP",Controls!A:K,10,0),"")</f>
        <v>Fisher / ThermoFisher Allentown</v>
      </c>
      <c r="S43" s="41">
        <f t="shared" si="3"/>
        <v>47150</v>
      </c>
      <c r="T43" s="30">
        <f t="shared" si="4"/>
        <v>0</v>
      </c>
      <c r="AB43">
        <f t="shared" si="6"/>
        <v>212641.59176214965</v>
      </c>
    </row>
    <row r="44" spans="1:28" ht="13" customHeight="1" x14ac:dyDescent="0.35">
      <c r="A44" s="153">
        <v>47270</v>
      </c>
      <c r="B44" s="36" t="s">
        <v>26</v>
      </c>
      <c r="C44" s="15" t="s">
        <v>28</v>
      </c>
      <c r="D44" s="15" t="s">
        <v>29</v>
      </c>
      <c r="E44" s="30">
        <f>H43</f>
        <v>-117238.24519972657</v>
      </c>
      <c r="F44" s="37">
        <f>IFERROR(SUMIFS('Demand Inputs'!$AT$5:$AT$202,'Demand Inputs'!$A$5:$A$202,"188mg LP",'Demand Inputs'!$B$5:$B$202,"&lt;&gt;AGGREGATE",'Demand Inputs'!$E$5:$E$202,1),0)</f>
        <v>11558.047294338838</v>
      </c>
      <c r="G44" s="37">
        <f t="array" ref="G44">IFERROR(SUMPRODUCT(('Production Inputs'!$A:$A="188mg LP")*('Production Inputs'!$B:$B="TOTAL ACTIVE")*'Production Inputs'!$AZ:$AZ),0)</f>
        <v>0</v>
      </c>
      <c r="H44" s="30">
        <f t="shared" si="0"/>
        <v>-128796.29249406542</v>
      </c>
      <c r="I44" s="30">
        <f ca="1">IFERROR(AVERAGEIF(OFFSET(F44,0,0,MIN(Controls!$B$8,COUNTIF(B44:B$1973,B44)),1),"&gt;"&amp;0),0)</f>
        <v>11203.88091468683</v>
      </c>
      <c r="J44" s="38">
        <f t="shared" ca="1" si="1"/>
        <v>-11.495685599909425</v>
      </c>
      <c r="K44" s="30">
        <f t="shared" ca="1" si="5"/>
        <v>226800</v>
      </c>
      <c r="L44" t="str">
        <f t="shared" si="2"/>
        <v>High</v>
      </c>
      <c r="M44" s="39">
        <f>IFERROR(VLOOKUP("188mg LP",Controls!A:I,7,0),6)</f>
        <v>9</v>
      </c>
      <c r="N44" s="39">
        <f>IFERROR(VLOOKUP("188mg LP",Controls!A:I,8,0),3)</f>
        <v>8</v>
      </c>
      <c r="O44" s="39">
        <f>IFERROR(VLOOKUP("188mg LP",Controls!A:I,9,0),18)</f>
        <v>18</v>
      </c>
      <c r="P44" s="40">
        <f>IFERROR(VLOOKUP("188mg LP",Controls!A:J,5,0),0)</f>
        <v>16200</v>
      </c>
      <c r="Q44" s="39">
        <f>IFERROR(VLOOKUP("188mg LP",Controls!A:J,6,0),3)</f>
        <v>3</v>
      </c>
      <c r="R44" s="21" t="str">
        <f>IFERROR(VLOOKUP("188mg LP",Controls!A:K,10,0),"")</f>
        <v>Fisher / ThermoFisher Allentown</v>
      </c>
      <c r="S44" s="41">
        <f t="shared" si="3"/>
        <v>47178</v>
      </c>
      <c r="T44" s="30">
        <f t="shared" si="4"/>
        <v>0</v>
      </c>
      <c r="AB44">
        <f t="shared" si="6"/>
        <v>224199.63905648849</v>
      </c>
    </row>
    <row r="45" spans="1:28" ht="13" customHeight="1" x14ac:dyDescent="0.35">
      <c r="A45" s="153">
        <v>47300</v>
      </c>
      <c r="B45" s="36" t="s">
        <v>26</v>
      </c>
      <c r="C45" s="15" t="s">
        <v>28</v>
      </c>
      <c r="D45" s="15" t="s">
        <v>29</v>
      </c>
      <c r="E45" s="30">
        <f>H44</f>
        <v>-128796.29249406542</v>
      </c>
      <c r="F45" s="37">
        <f>IFERROR(SUMIFS('Demand Inputs'!$AU$5:$AU$202,'Demand Inputs'!$A$5:$A$202,"188mg LP",'Demand Inputs'!$B$5:$B$202,"&lt;&gt;AGGREGATE",'Demand Inputs'!$E$5:$E$202,1),0)</f>
        <v>9710.2972673691693</v>
      </c>
      <c r="G45" s="37">
        <f t="array" ref="G45">IFERROR(SUMPRODUCT(('Production Inputs'!$A:$A="188mg LP")*('Production Inputs'!$B:$B="TOTAL ACTIVE")*'Production Inputs'!$BA:$BA),0)</f>
        <v>0</v>
      </c>
      <c r="H45" s="30">
        <f t="shared" si="0"/>
        <v>-138506.58976143459</v>
      </c>
      <c r="I45" s="30">
        <f ca="1">IFERROR(AVERAGEIF(OFFSET(F45,0,0,MIN(Controls!$B$8,COUNTIF(B45:B$1973,B45)),1),"&gt;"&amp;0),0)</f>
        <v>11047.54835746022</v>
      </c>
      <c r="J45" s="38">
        <f t="shared" ca="1" si="1"/>
        <v>-12.537314640302386</v>
      </c>
      <c r="K45" s="30">
        <f t="shared" ca="1" si="5"/>
        <v>243000</v>
      </c>
      <c r="L45" t="str">
        <f t="shared" si="2"/>
        <v>High</v>
      </c>
      <c r="M45" s="39">
        <f>IFERROR(VLOOKUP("188mg LP",Controls!A:I,7,0),6)</f>
        <v>9</v>
      </c>
      <c r="N45" s="39">
        <f>IFERROR(VLOOKUP("188mg LP",Controls!A:I,8,0),3)</f>
        <v>8</v>
      </c>
      <c r="O45" s="39">
        <f>IFERROR(VLOOKUP("188mg LP",Controls!A:I,9,0),18)</f>
        <v>18</v>
      </c>
      <c r="P45" s="40">
        <f>IFERROR(VLOOKUP("188mg LP",Controls!A:J,5,0),0)</f>
        <v>16200</v>
      </c>
      <c r="Q45" s="39">
        <f>IFERROR(VLOOKUP("188mg LP",Controls!A:J,6,0),3)</f>
        <v>3</v>
      </c>
      <c r="R45" s="21" t="str">
        <f>IFERROR(VLOOKUP("188mg LP",Controls!A:K,10,0),"")</f>
        <v>Fisher / ThermoFisher Allentown</v>
      </c>
      <c r="S45" s="41">
        <f t="shared" si="3"/>
        <v>47209</v>
      </c>
      <c r="T45" s="30">
        <f t="shared" si="4"/>
        <v>0</v>
      </c>
      <c r="AB45">
        <f t="shared" si="6"/>
        <v>233909.93632385766</v>
      </c>
    </row>
    <row r="46" spans="1:28" ht="13" customHeight="1" x14ac:dyDescent="0.35">
      <c r="A46" s="153">
        <v>47331</v>
      </c>
      <c r="B46" s="36" t="s">
        <v>26</v>
      </c>
      <c r="C46" s="15" t="s">
        <v>28</v>
      </c>
      <c r="D46" s="15" t="s">
        <v>29</v>
      </c>
      <c r="E46" s="30">
        <f>H45</f>
        <v>-138506.58976143459</v>
      </c>
      <c r="F46" s="37">
        <f>IFERROR(SUMIFS('Demand Inputs'!$AV$5:$AV$202,'Demand Inputs'!$A$5:$A$202,"188mg LP",'Demand Inputs'!$B$5:$B$202,"&lt;&gt;AGGREGATE",'Demand Inputs'!$E$5:$E$202,1),0)</f>
        <v>11200.746895376578</v>
      </c>
      <c r="G46" s="37">
        <f t="array" ref="G46">IFERROR(SUMPRODUCT(('Production Inputs'!$A:$A="188mg LP")*('Production Inputs'!$B:$B="TOTAL ACTIVE")*'Production Inputs'!$BB:$BB),0)</f>
        <v>0</v>
      </c>
      <c r="H46" s="30">
        <f t="shared" si="0"/>
        <v>-149707.33665681118</v>
      </c>
      <c r="I46" s="30">
        <f ca="1">IFERROR(AVERAGEIF(OFFSET(F46,0,0,MIN(Controls!$B$8,COUNTIF(B46:B$1973,B46)),1),"&gt;"&amp;0),0)</f>
        <v>11397.221067682898</v>
      </c>
      <c r="J46" s="38">
        <f t="shared" ca="1" si="1"/>
        <v>-13.135424483544504</v>
      </c>
      <c r="K46" s="30">
        <f t="shared" ca="1" si="5"/>
        <v>259200</v>
      </c>
      <c r="L46" t="str">
        <f t="shared" si="2"/>
        <v>High</v>
      </c>
      <c r="M46" s="39">
        <f>IFERROR(VLOOKUP("188mg LP",Controls!A:I,7,0),6)</f>
        <v>9</v>
      </c>
      <c r="N46" s="39">
        <f>IFERROR(VLOOKUP("188mg LP",Controls!A:I,8,0),3)</f>
        <v>8</v>
      </c>
      <c r="O46" s="39">
        <f>IFERROR(VLOOKUP("188mg LP",Controls!A:I,9,0),18)</f>
        <v>18</v>
      </c>
      <c r="P46" s="40">
        <f>IFERROR(VLOOKUP("188mg LP",Controls!A:J,5,0),0)</f>
        <v>16200</v>
      </c>
      <c r="Q46" s="39">
        <f>IFERROR(VLOOKUP("188mg LP",Controls!A:J,6,0),3)</f>
        <v>3</v>
      </c>
      <c r="R46" s="21" t="str">
        <f>IFERROR(VLOOKUP("188mg LP",Controls!A:K,10,0),"")</f>
        <v>Fisher / ThermoFisher Allentown</v>
      </c>
      <c r="S46" s="41">
        <f t="shared" si="3"/>
        <v>47239</v>
      </c>
      <c r="T46" s="30">
        <f t="shared" si="4"/>
        <v>0</v>
      </c>
      <c r="AB46">
        <f t="shared" si="6"/>
        <v>245110.68321923423</v>
      </c>
    </row>
    <row r="47" spans="1:28" ht="13" customHeight="1" x14ac:dyDescent="0.35">
      <c r="A47" s="153">
        <v>47362</v>
      </c>
      <c r="B47" s="36" t="s">
        <v>26</v>
      </c>
      <c r="C47" s="15" t="s">
        <v>28</v>
      </c>
      <c r="D47" s="15" t="s">
        <v>29</v>
      </c>
      <c r="E47" s="30">
        <f>H46</f>
        <v>-149707.33665681118</v>
      </c>
      <c r="F47" s="37">
        <f>IFERROR(SUMIFS('Demand Inputs'!$AW$5:$AW$202,'Demand Inputs'!$A$5:$A$202,"188mg LP",'Demand Inputs'!$B$5:$B$202,"&lt;&gt;AGGREGATE",'Demand Inputs'!$E$5:$E$202,1),0)</f>
        <v>12925.351391310809</v>
      </c>
      <c r="G47" s="37">
        <f t="array" ref="G47">IFERROR(SUMPRODUCT(('Production Inputs'!$A:$A="188mg LP")*('Production Inputs'!$B:$B="TOTAL ACTIVE")*'Production Inputs'!$BC:$BC),0)</f>
        <v>0</v>
      </c>
      <c r="H47" s="30">
        <f t="shared" si="0"/>
        <v>-162632.68804812199</v>
      </c>
      <c r="I47" s="30">
        <f ca="1">IFERROR(AVERAGEIF(OFFSET(F47,0,0,MIN(Controls!$B$8,COUNTIF(B47:B$1973,B47)),1),"&gt;"&amp;0),0)</f>
        <v>11666.58923760851</v>
      </c>
      <c r="J47" s="38">
        <f t="shared" ca="1" si="1"/>
        <v>-13.940037206749164</v>
      </c>
      <c r="K47" s="30">
        <f t="shared" ca="1" si="5"/>
        <v>275400</v>
      </c>
      <c r="L47" t="str">
        <f t="shared" si="2"/>
        <v>High</v>
      </c>
      <c r="M47" s="39">
        <f>IFERROR(VLOOKUP("188mg LP",Controls!A:I,7,0),6)</f>
        <v>9</v>
      </c>
      <c r="N47" s="39">
        <f>IFERROR(VLOOKUP("188mg LP",Controls!A:I,8,0),3)</f>
        <v>8</v>
      </c>
      <c r="O47" s="39">
        <f>IFERROR(VLOOKUP("188mg LP",Controls!A:I,9,0),18)</f>
        <v>18</v>
      </c>
      <c r="P47" s="40">
        <f>IFERROR(VLOOKUP("188mg LP",Controls!A:J,5,0),0)</f>
        <v>16200</v>
      </c>
      <c r="Q47" s="39">
        <f>IFERROR(VLOOKUP("188mg LP",Controls!A:J,6,0),3)</f>
        <v>3</v>
      </c>
      <c r="R47" s="21" t="str">
        <f>IFERROR(VLOOKUP("188mg LP",Controls!A:K,10,0),"")</f>
        <v>Fisher / ThermoFisher Allentown</v>
      </c>
      <c r="S47" s="41">
        <f t="shared" si="3"/>
        <v>47270</v>
      </c>
      <c r="T47" s="30">
        <f t="shared" si="4"/>
        <v>0</v>
      </c>
      <c r="AB47">
        <f t="shared" si="6"/>
        <v>258036.03461054503</v>
      </c>
    </row>
    <row r="48" spans="1:28" ht="13" customHeight="1" x14ac:dyDescent="0.35">
      <c r="A48" s="153">
        <v>47392</v>
      </c>
      <c r="B48" s="36" t="s">
        <v>26</v>
      </c>
      <c r="C48" s="15" t="s">
        <v>28</v>
      </c>
      <c r="D48" s="15" t="s">
        <v>29</v>
      </c>
      <c r="E48" s="30">
        <f>H47</f>
        <v>-162632.68804812199</v>
      </c>
      <c r="F48" s="37">
        <f>IFERROR(SUMIFS('Demand Inputs'!$AX$5:$AX$202,'Demand Inputs'!$A$5:$A$202,"188mg LP",'Demand Inputs'!$B$5:$B$202,"&lt;&gt;AGGREGATE",'Demand Inputs'!$E$5:$E$202,1),0)</f>
        <v>8945.5607420650613</v>
      </c>
      <c r="G48" s="37">
        <f t="array" ref="G48">IFERROR(SUMPRODUCT(('Production Inputs'!$A:$A="188mg LP")*('Production Inputs'!$B:$B="TOTAL ACTIVE")*'Production Inputs'!$BD:$BD),0)</f>
        <v>0</v>
      </c>
      <c r="H48" s="30">
        <f t="shared" si="0"/>
        <v>-171578.24879018703</v>
      </c>
      <c r="I48" s="30">
        <f ca="1">IFERROR(AVERAGEIF(OFFSET(F48,0,0,MIN(Controls!$B$8,COUNTIF(B48:B$1973,B48)),1),"&gt;"&amp;0),0)</f>
        <v>11759.869884515669</v>
      </c>
      <c r="J48" s="38">
        <f t="shared" ca="1" si="1"/>
        <v>-14.590148570955341</v>
      </c>
      <c r="K48" s="30">
        <f t="shared" ca="1" si="5"/>
        <v>275400</v>
      </c>
      <c r="L48" t="str">
        <f t="shared" si="2"/>
        <v>High</v>
      </c>
      <c r="M48" s="39">
        <f>IFERROR(VLOOKUP("188mg LP",Controls!A:I,7,0),6)</f>
        <v>9</v>
      </c>
      <c r="N48" s="39">
        <f>IFERROR(VLOOKUP("188mg LP",Controls!A:I,8,0),3)</f>
        <v>8</v>
      </c>
      <c r="O48" s="39">
        <f>IFERROR(VLOOKUP("188mg LP",Controls!A:I,9,0),18)</f>
        <v>18</v>
      </c>
      <c r="P48" s="40">
        <f>IFERROR(VLOOKUP("188mg LP",Controls!A:J,5,0),0)</f>
        <v>16200</v>
      </c>
      <c r="Q48" s="39">
        <f>IFERROR(VLOOKUP("188mg LP",Controls!A:J,6,0),3)</f>
        <v>3</v>
      </c>
      <c r="R48" s="21" t="str">
        <f>IFERROR(VLOOKUP("188mg LP",Controls!A:K,10,0),"")</f>
        <v>Fisher / ThermoFisher Allentown</v>
      </c>
      <c r="S48" s="41">
        <f t="shared" si="3"/>
        <v>47300</v>
      </c>
      <c r="T48" s="30">
        <f t="shared" si="4"/>
        <v>0</v>
      </c>
      <c r="AB48">
        <f t="shared" si="6"/>
        <v>266981.59535261011</v>
      </c>
    </row>
    <row r="49" spans="1:28" ht="13" customHeight="1" x14ac:dyDescent="0.35">
      <c r="A49" s="153">
        <v>47423</v>
      </c>
      <c r="B49" s="36" t="s">
        <v>26</v>
      </c>
      <c r="C49" s="15" t="s">
        <v>28</v>
      </c>
      <c r="D49" s="15" t="s">
        <v>29</v>
      </c>
      <c r="E49" s="30">
        <f>H48</f>
        <v>-171578.24879018703</v>
      </c>
      <c r="F49" s="37">
        <f>IFERROR(SUMIFS('Demand Inputs'!$AY$5:$AY$202,'Demand Inputs'!$A$5:$A$202,"188mg LP",'Demand Inputs'!$B$5:$B$202,"&lt;&gt;AGGREGATE",'Demand Inputs'!$E$5:$E$202,1),0)</f>
        <v>12873.241468251274</v>
      </c>
      <c r="G49" s="37">
        <f t="array" ref="G49">IFERROR(SUMPRODUCT(('Production Inputs'!$A:$A="188mg LP")*('Production Inputs'!$B:$B="TOTAL ACTIVE")*'Production Inputs'!$BE:$BE),0)</f>
        <v>0</v>
      </c>
      <c r="H49" s="30">
        <f t="shared" si="0"/>
        <v>-184451.49025843831</v>
      </c>
      <c r="I49" s="30">
        <f ca="1">IFERROR(AVERAGEIF(OFFSET(F49,0,0,MIN(Controls!$B$8,COUNTIF(B49:B$1973,B49)),1),"&gt;"&amp;0),0)</f>
        <v>11977.491762336118</v>
      </c>
      <c r="J49" s="38">
        <f t="shared" ca="1" si="1"/>
        <v>-15.399842798344155</v>
      </c>
      <c r="K49" s="30">
        <f t="shared" ca="1" si="5"/>
        <v>291600</v>
      </c>
      <c r="L49" t="str">
        <f t="shared" si="2"/>
        <v>High</v>
      </c>
      <c r="M49" s="39">
        <f>IFERROR(VLOOKUP("188mg LP",Controls!A:I,7,0),6)</f>
        <v>9</v>
      </c>
      <c r="N49" s="39">
        <f>IFERROR(VLOOKUP("188mg LP",Controls!A:I,8,0),3)</f>
        <v>8</v>
      </c>
      <c r="O49" s="39">
        <f>IFERROR(VLOOKUP("188mg LP",Controls!A:I,9,0),18)</f>
        <v>18</v>
      </c>
      <c r="P49" s="40">
        <f>IFERROR(VLOOKUP("188mg LP",Controls!A:J,5,0),0)</f>
        <v>16200</v>
      </c>
      <c r="Q49" s="39">
        <f>IFERROR(VLOOKUP("188mg LP",Controls!A:J,6,0),3)</f>
        <v>3</v>
      </c>
      <c r="R49" s="21" t="str">
        <f>IFERROR(VLOOKUP("188mg LP",Controls!A:K,10,0),"")</f>
        <v>Fisher / ThermoFisher Allentown</v>
      </c>
      <c r="S49" s="41">
        <f t="shared" si="3"/>
        <v>47331</v>
      </c>
      <c r="T49" s="30">
        <f t="shared" si="4"/>
        <v>0</v>
      </c>
      <c r="AB49">
        <f t="shared" si="6"/>
        <v>279854.83682086138</v>
      </c>
    </row>
    <row r="50" spans="1:28" ht="13" customHeight="1" x14ac:dyDescent="0.35">
      <c r="A50" s="153">
        <v>47453</v>
      </c>
      <c r="B50" s="36" t="s">
        <v>26</v>
      </c>
      <c r="C50" s="15" t="s">
        <v>28</v>
      </c>
      <c r="D50" s="15" t="s">
        <v>29</v>
      </c>
      <c r="E50" s="30">
        <f>H49</f>
        <v>-184451.49025843831</v>
      </c>
      <c r="F50" s="37">
        <f>IFERROR(SUMIFS('Demand Inputs'!$AZ$5:$AZ$202,'Demand Inputs'!$A$5:$A$202,"188mg LP",'Demand Inputs'!$B$5:$B$202,"&lt;&gt;AGGREGATE",'Demand Inputs'!$E$5:$E$202,1),0)</f>
        <v>10380.982334060835</v>
      </c>
      <c r="G50" s="37">
        <f t="array" ref="G50">IFERROR(SUMPRODUCT(('Production Inputs'!$A:$A="188mg LP")*('Production Inputs'!$B:$B="TOTAL ACTIVE")*'Production Inputs'!$BF:$BF),0)</f>
        <v>0</v>
      </c>
      <c r="H50" s="30">
        <f t="shared" si="0"/>
        <v>-194832.47259249914</v>
      </c>
      <c r="I50" s="30">
        <f ca="1">IFERROR(AVERAGEIF(OFFSET(F50,0,0,MIN(Controls!$B$8,COUNTIF(B50:B$1973,B50)),1),"&gt;"&amp;0),0)</f>
        <v>12271.824431431416</v>
      </c>
      <c r="J50" s="38">
        <f t="shared" ca="1" si="1"/>
        <v>-15.876406452937935</v>
      </c>
      <c r="K50" s="30">
        <f t="shared" ca="1" si="5"/>
        <v>307800</v>
      </c>
      <c r="L50" t="str">
        <f t="shared" si="2"/>
        <v>High</v>
      </c>
      <c r="M50" s="39">
        <f>IFERROR(VLOOKUP("188mg LP",Controls!A:I,7,0),6)</f>
        <v>9</v>
      </c>
      <c r="N50" s="39">
        <f>IFERROR(VLOOKUP("188mg LP",Controls!A:I,8,0),3)</f>
        <v>8</v>
      </c>
      <c r="O50" s="39">
        <f>IFERROR(VLOOKUP("188mg LP",Controls!A:I,9,0),18)</f>
        <v>18</v>
      </c>
      <c r="P50" s="40">
        <f>IFERROR(VLOOKUP("188mg LP",Controls!A:J,5,0),0)</f>
        <v>16200</v>
      </c>
      <c r="Q50" s="39">
        <f>IFERROR(VLOOKUP("188mg LP",Controls!A:J,6,0),3)</f>
        <v>3</v>
      </c>
      <c r="R50" s="21" t="str">
        <f>IFERROR(VLOOKUP("188mg LP",Controls!A:K,10,0),"")</f>
        <v>Fisher / ThermoFisher Allentown</v>
      </c>
      <c r="S50" s="41">
        <f t="shared" si="3"/>
        <v>47362</v>
      </c>
      <c r="T50" s="30">
        <f t="shared" si="4"/>
        <v>0</v>
      </c>
      <c r="AB50">
        <f t="shared" si="6"/>
        <v>290235.81915492221</v>
      </c>
    </row>
    <row r="51" spans="1:28" ht="13" customHeight="1" x14ac:dyDescent="0.35">
      <c r="A51" s="153">
        <v>47484</v>
      </c>
      <c r="B51" s="36" t="s">
        <v>26</v>
      </c>
      <c r="C51" s="15" t="s">
        <v>28</v>
      </c>
      <c r="D51" s="15" t="s">
        <v>29</v>
      </c>
      <c r="E51" s="30">
        <f>H50</f>
        <v>-194832.47259249914</v>
      </c>
      <c r="F51" s="37">
        <f>IFERROR(SUMIFS('Demand Inputs'!$BA$5:$BA$202,'Demand Inputs'!$A$5:$A$202,"188mg LP",'Demand Inputs'!$B$5:$B$202,"&lt;&gt;AGGREGATE",'Demand Inputs'!$E$5:$E$202,1),0)</f>
        <v>11061.929450169715</v>
      </c>
      <c r="G51" s="37">
        <f t="array" ref="G51">IFERROR(SUMPRODUCT(('Production Inputs'!$A:$A="188mg LP")*('Production Inputs'!$B:$B="TOTAL ACTIVE")*'Production Inputs'!$BG:$BG),0)</f>
        <v>0</v>
      </c>
      <c r="H51" s="30">
        <f t="shared" si="0"/>
        <v>-205894.40204266884</v>
      </c>
      <c r="I51" s="30">
        <f ca="1">IFERROR(AVERAGEIF(OFFSET(F51,0,0,MIN(Controls!$B$8,COUNTIF(B51:B$1973,B51)),1),"&gt;"&amp;0),0)</f>
        <v>12794.873881245818</v>
      </c>
      <c r="J51" s="38">
        <f t="shared" ca="1" si="1"/>
        <v>-16.091944629830241</v>
      </c>
      <c r="K51" s="30">
        <f t="shared" ca="1" si="5"/>
        <v>324000</v>
      </c>
      <c r="L51" t="str">
        <f t="shared" si="2"/>
        <v>High</v>
      </c>
      <c r="M51" s="39">
        <f>IFERROR(VLOOKUP("188mg LP",Controls!A:I,7,0),6)</f>
        <v>9</v>
      </c>
      <c r="N51" s="39">
        <f>IFERROR(VLOOKUP("188mg LP",Controls!A:I,8,0),3)</f>
        <v>8</v>
      </c>
      <c r="O51" s="39">
        <f>IFERROR(VLOOKUP("188mg LP",Controls!A:I,9,0),18)</f>
        <v>18</v>
      </c>
      <c r="P51" s="40">
        <f>IFERROR(VLOOKUP("188mg LP",Controls!A:J,5,0),0)</f>
        <v>16200</v>
      </c>
      <c r="Q51" s="39">
        <f>IFERROR(VLOOKUP("188mg LP",Controls!A:J,6,0),3)</f>
        <v>3</v>
      </c>
      <c r="R51" s="21" t="str">
        <f>IFERROR(VLOOKUP("188mg LP",Controls!A:K,10,0),"")</f>
        <v>Fisher / ThermoFisher Allentown</v>
      </c>
      <c r="S51" s="41">
        <f t="shared" si="3"/>
        <v>47392</v>
      </c>
      <c r="T51" s="30">
        <f t="shared" si="4"/>
        <v>0</v>
      </c>
      <c r="AB51">
        <f t="shared" si="6"/>
        <v>301297.74860509194</v>
      </c>
    </row>
    <row r="52" spans="1:28" ht="13" customHeight="1" x14ac:dyDescent="0.35">
      <c r="A52" s="153">
        <v>47515</v>
      </c>
      <c r="B52" s="36" t="s">
        <v>26</v>
      </c>
      <c r="C52" s="15" t="s">
        <v>28</v>
      </c>
      <c r="D52" s="15" t="s">
        <v>29</v>
      </c>
      <c r="E52" s="30">
        <f>H51</f>
        <v>-205894.40204266884</v>
      </c>
      <c r="F52" s="37">
        <f>IFERROR(SUMIFS('Demand Inputs'!$BB$5:$BB$202,'Demand Inputs'!$A$5:$A$202,"188mg LP",'Demand Inputs'!$B$5:$B$202,"&lt;&gt;AGGREGATE",'Demand Inputs'!$E$5:$E$202,1),0)</f>
        <v>12178.771389239188</v>
      </c>
      <c r="G52" s="37">
        <f t="array" ref="G52">IFERROR(SUMPRODUCT(('Production Inputs'!$A:$A="188mg LP")*('Production Inputs'!$B:$B="TOTAL ACTIVE")*'Production Inputs'!$BH:$BH),0)</f>
        <v>0</v>
      </c>
      <c r="H52" s="30">
        <f t="shared" si="0"/>
        <v>-218073.17343190801</v>
      </c>
      <c r="I52" s="30">
        <f ca="1">IFERROR(AVERAGEIF(OFFSET(F52,0,0,MIN(Controls!$B$8,COUNTIF(B52:B$1973,B52)),1),"&gt;"&amp;0),0)</f>
        <v>13034.865001670674</v>
      </c>
      <c r="J52" s="38">
        <f t="shared" ca="1" si="1"/>
        <v>-16.729990943823175</v>
      </c>
      <c r="K52" s="30">
        <f t="shared" ca="1" si="5"/>
        <v>340200</v>
      </c>
      <c r="L52" t="str">
        <f t="shared" si="2"/>
        <v>High</v>
      </c>
      <c r="M52" s="39">
        <f>IFERROR(VLOOKUP("188mg LP",Controls!A:I,7,0),6)</f>
        <v>9</v>
      </c>
      <c r="N52" s="39">
        <f>IFERROR(VLOOKUP("188mg LP",Controls!A:I,8,0),3)</f>
        <v>8</v>
      </c>
      <c r="O52" s="39">
        <f>IFERROR(VLOOKUP("188mg LP",Controls!A:I,9,0),18)</f>
        <v>18</v>
      </c>
      <c r="P52" s="40">
        <f>IFERROR(VLOOKUP("188mg LP",Controls!A:J,5,0),0)</f>
        <v>16200</v>
      </c>
      <c r="Q52" s="39">
        <f>IFERROR(VLOOKUP("188mg LP",Controls!A:J,6,0),3)</f>
        <v>3</v>
      </c>
      <c r="R52" s="21" t="str">
        <f>IFERROR(VLOOKUP("188mg LP",Controls!A:K,10,0),"")</f>
        <v>Fisher / ThermoFisher Allentown</v>
      </c>
      <c r="S52" s="41">
        <f t="shared" si="3"/>
        <v>47423</v>
      </c>
      <c r="T52" s="30">
        <f t="shared" si="4"/>
        <v>0</v>
      </c>
      <c r="AB52">
        <f t="shared" si="6"/>
        <v>313476.51999433112</v>
      </c>
    </row>
    <row r="53" spans="1:28" ht="13" customHeight="1" x14ac:dyDescent="0.35">
      <c r="A53" s="153">
        <v>47543</v>
      </c>
      <c r="B53" s="36" t="s">
        <v>26</v>
      </c>
      <c r="C53" s="15" t="s">
        <v>28</v>
      </c>
      <c r="D53" s="15" t="s">
        <v>29</v>
      </c>
      <c r="E53" s="30">
        <f>H52</f>
        <v>-218073.17343190801</v>
      </c>
      <c r="F53" s="37">
        <f>IFERROR(SUMIFS('Demand Inputs'!$BC$5:$BC$202,'Demand Inputs'!$A$5:$A$202,"188mg LP",'Demand Inputs'!$B$5:$B$202,"&lt;&gt;AGGREGATE",'Demand Inputs'!$E$5:$E$202,1),0)</f>
        <v>10151.054279299346</v>
      </c>
      <c r="G53" s="37">
        <f t="array" ref="G53">IFERROR(SUMPRODUCT(('Production Inputs'!$A:$A="188mg LP")*('Production Inputs'!$B:$B="TOTAL ACTIVE")*'Production Inputs'!$BI:$BI),0)</f>
        <v>0</v>
      </c>
      <c r="H53" s="30">
        <f t="shared" si="0"/>
        <v>-228224.22771120735</v>
      </c>
      <c r="I53" s="30">
        <f ca="1">IFERROR(AVERAGEIF(OFFSET(F53,0,0,MIN(Controls!$B$8,COUNTIF(B53:B$1973,B53)),1),"&gt;"&amp;0),0)</f>
        <v>13567.508101886689</v>
      </c>
      <c r="J53" s="38">
        <f t="shared" ca="1" si="1"/>
        <v>-16.82138134706333</v>
      </c>
      <c r="K53" s="30">
        <f t="shared" ca="1" si="5"/>
        <v>356400</v>
      </c>
      <c r="L53" t="str">
        <f t="shared" si="2"/>
        <v>High</v>
      </c>
      <c r="M53" s="39">
        <f>IFERROR(VLOOKUP("188mg LP",Controls!A:I,7,0),6)</f>
        <v>9</v>
      </c>
      <c r="N53" s="39">
        <f>IFERROR(VLOOKUP("188mg LP",Controls!A:I,8,0),3)</f>
        <v>8</v>
      </c>
      <c r="O53" s="39">
        <f>IFERROR(VLOOKUP("188mg LP",Controls!A:I,9,0),18)</f>
        <v>18</v>
      </c>
      <c r="P53" s="40">
        <f>IFERROR(VLOOKUP("188mg LP",Controls!A:J,5,0),0)</f>
        <v>16200</v>
      </c>
      <c r="Q53" s="39">
        <f>IFERROR(VLOOKUP("188mg LP",Controls!A:J,6,0),3)</f>
        <v>3</v>
      </c>
      <c r="R53" s="21" t="str">
        <f>IFERROR(VLOOKUP("188mg LP",Controls!A:K,10,0),"")</f>
        <v>Fisher / ThermoFisher Allentown</v>
      </c>
      <c r="S53" s="41">
        <f t="shared" si="3"/>
        <v>47453</v>
      </c>
      <c r="T53" s="30">
        <f t="shared" si="4"/>
        <v>0</v>
      </c>
      <c r="AB53">
        <f t="shared" si="6"/>
        <v>323627.57427363045</v>
      </c>
    </row>
    <row r="54" spans="1:28" ht="13" customHeight="1" x14ac:dyDescent="0.35">
      <c r="A54" s="153">
        <v>47574</v>
      </c>
      <c r="B54" s="36" t="s">
        <v>26</v>
      </c>
      <c r="C54" s="15" t="s">
        <v>28</v>
      </c>
      <c r="D54" s="15" t="s">
        <v>29</v>
      </c>
      <c r="E54" s="30">
        <f>H53</f>
        <v>-228224.22771120735</v>
      </c>
      <c r="F54" s="37">
        <f>IFERROR(SUMIFS('Demand Inputs'!$BD$5:$BD$202,'Demand Inputs'!$A$5:$A$202,"188mg LP",'Demand Inputs'!$B$5:$B$202,"&lt;&gt;AGGREGATE",'Demand Inputs'!$E$5:$E$202,1),0)</f>
        <v>12857.351659373257</v>
      </c>
      <c r="G54" s="37">
        <f t="array" ref="G54">IFERROR(SUMPRODUCT(('Production Inputs'!$A:$A="188mg LP")*('Production Inputs'!$B:$B="TOTAL ACTIVE")*'Production Inputs'!$BJ:$BJ),0)</f>
        <v>0</v>
      </c>
      <c r="H54" s="30">
        <f t="shared" si="0"/>
        <v>-241081.57937058061</v>
      </c>
      <c r="I54" s="30">
        <f ca="1">IFERROR(AVERAGEIF(OFFSET(F54,0,0,MIN(Controls!$B$8,COUNTIF(B54:B$1973,B54)),1),"&gt;"&amp;0),0)</f>
        <v>13874.250648506653</v>
      </c>
      <c r="J54" s="38">
        <f t="shared" ca="1" si="1"/>
        <v>-17.37618740486927</v>
      </c>
      <c r="K54" s="30">
        <f t="shared" ca="1" si="5"/>
        <v>372600</v>
      </c>
      <c r="L54" t="str">
        <f t="shared" si="2"/>
        <v>High</v>
      </c>
      <c r="M54" s="39">
        <f>IFERROR(VLOOKUP("188mg LP",Controls!A:I,7,0),6)</f>
        <v>9</v>
      </c>
      <c r="N54" s="39">
        <f>IFERROR(VLOOKUP("188mg LP",Controls!A:I,8,0),3)</f>
        <v>8</v>
      </c>
      <c r="O54" s="39">
        <f>IFERROR(VLOOKUP("188mg LP",Controls!A:I,9,0),18)</f>
        <v>18</v>
      </c>
      <c r="P54" s="40">
        <f>IFERROR(VLOOKUP("188mg LP",Controls!A:J,5,0),0)</f>
        <v>16200</v>
      </c>
      <c r="Q54" s="39">
        <f>IFERROR(VLOOKUP("188mg LP",Controls!A:J,6,0),3)</f>
        <v>3</v>
      </c>
      <c r="R54" s="21" t="str">
        <f>IFERROR(VLOOKUP("188mg LP",Controls!A:K,10,0),"")</f>
        <v>Fisher / ThermoFisher Allentown</v>
      </c>
      <c r="S54" s="41">
        <f t="shared" si="3"/>
        <v>47484</v>
      </c>
      <c r="T54" s="30">
        <f t="shared" si="4"/>
        <v>0</v>
      </c>
      <c r="AB54">
        <f t="shared" si="6"/>
        <v>336484.92593300372</v>
      </c>
    </row>
    <row r="55" spans="1:28" ht="13" customHeight="1" x14ac:dyDescent="0.35">
      <c r="A55" s="153">
        <v>47604</v>
      </c>
      <c r="B55" s="36" t="s">
        <v>26</v>
      </c>
      <c r="C55" s="15" t="s">
        <v>28</v>
      </c>
      <c r="D55" s="15" t="s">
        <v>29</v>
      </c>
      <c r="E55" s="30">
        <f>H54</f>
        <v>-241081.57937058061</v>
      </c>
      <c r="F55" s="37">
        <f>IFERROR(SUMIFS('Demand Inputs'!$BE$5:$BE$202,'Demand Inputs'!$A$5:$A$202,"188mg LP",'Demand Inputs'!$B$5:$B$202,"&lt;&gt;AGGREGATE",'Demand Inputs'!$E$5:$E$202,1),0)</f>
        <v>13625.060424707097</v>
      </c>
      <c r="G55" s="37">
        <f t="array" ref="G55">IFERROR(SUMPRODUCT(('Production Inputs'!$A:$A="188mg LP")*('Production Inputs'!$B:$B="TOTAL ACTIVE")*'Production Inputs'!$BK:$BK),0)</f>
        <v>0</v>
      </c>
      <c r="H55" s="30">
        <f t="shared" si="0"/>
        <v>-254706.63979528772</v>
      </c>
      <c r="I55" s="30">
        <f ca="1">IFERROR(AVERAGEIF(OFFSET(F55,0,0,MIN(Controls!$B$8,COUNTIF(B55:B$1973,B55)),1),"&gt;"&amp;0),0)</f>
        <v>14364.261436300912</v>
      </c>
      <c r="J55" s="38">
        <f t="shared" ca="1" si="1"/>
        <v>-17.731969090426123</v>
      </c>
      <c r="K55" s="30">
        <f t="shared" ca="1" si="5"/>
        <v>388800</v>
      </c>
      <c r="L55" t="str">
        <f t="shared" si="2"/>
        <v>High</v>
      </c>
      <c r="M55" s="39">
        <f>IFERROR(VLOOKUP("188mg LP",Controls!A:I,7,0),6)</f>
        <v>9</v>
      </c>
      <c r="N55" s="39">
        <f>IFERROR(VLOOKUP("188mg LP",Controls!A:I,8,0),3)</f>
        <v>8</v>
      </c>
      <c r="O55" s="39">
        <f>IFERROR(VLOOKUP("188mg LP",Controls!A:I,9,0),18)</f>
        <v>18</v>
      </c>
      <c r="P55" s="40">
        <f>IFERROR(VLOOKUP("188mg LP",Controls!A:J,5,0),0)</f>
        <v>16200</v>
      </c>
      <c r="Q55" s="39">
        <f>IFERROR(VLOOKUP("188mg LP",Controls!A:J,6,0),3)</f>
        <v>3</v>
      </c>
      <c r="R55" s="21" t="str">
        <f>IFERROR(VLOOKUP("188mg LP",Controls!A:K,10,0),"")</f>
        <v>Fisher / ThermoFisher Allentown</v>
      </c>
      <c r="S55" s="41">
        <f t="shared" si="3"/>
        <v>47515</v>
      </c>
      <c r="T55" s="30">
        <f t="shared" si="4"/>
        <v>0</v>
      </c>
      <c r="AB55">
        <f t="shared" si="6"/>
        <v>350109.98635771079</v>
      </c>
    </row>
    <row r="56" spans="1:28" ht="13" customHeight="1" x14ac:dyDescent="0.35">
      <c r="A56" s="153">
        <v>47635</v>
      </c>
      <c r="B56" s="36" t="s">
        <v>26</v>
      </c>
      <c r="C56" s="15" t="s">
        <v>28</v>
      </c>
      <c r="D56" s="15" t="s">
        <v>29</v>
      </c>
      <c r="E56" s="30">
        <f>H55</f>
        <v>-254706.63979528772</v>
      </c>
      <c r="F56" s="37">
        <f>IFERROR(SUMIFS('Demand Inputs'!$BF$5:$BF$202,'Demand Inputs'!$A$5:$A$202,"188mg LP",'Demand Inputs'!$B$5:$B$202,"&lt;&gt;AGGREGATE",'Demand Inputs'!$E$5:$E$202,1),0)</f>
        <v>13764.877213475216</v>
      </c>
      <c r="G56" s="37">
        <f t="array" ref="G56">IFERROR(SUMPRODUCT(('Production Inputs'!$A:$A="188mg LP")*('Production Inputs'!$B:$B="TOTAL ACTIVE")*'Production Inputs'!$BL:$BL),0)</f>
        <v>0</v>
      </c>
      <c r="H56" s="30">
        <f t="shared" si="0"/>
        <v>-268471.51700876292</v>
      </c>
      <c r="I56" s="30">
        <f ca="1">IFERROR(AVERAGEIF(OFFSET(F56,0,0,MIN(Controls!$B$8,COUNTIF(B56:B$1973,B56)),1),"&gt;"&amp;0),0)</f>
        <v>14750.228488431525</v>
      </c>
      <c r="J56" s="38">
        <f t="shared" ca="1" si="1"/>
        <v>-18.201176830536745</v>
      </c>
      <c r="K56" s="30">
        <f t="shared" ca="1" si="5"/>
        <v>405000</v>
      </c>
      <c r="L56" t="str">
        <f t="shared" si="2"/>
        <v>High</v>
      </c>
      <c r="M56" s="39">
        <f>IFERROR(VLOOKUP("188mg LP",Controls!A:I,7,0),6)</f>
        <v>9</v>
      </c>
      <c r="N56" s="39">
        <f>IFERROR(VLOOKUP("188mg LP",Controls!A:I,8,0),3)</f>
        <v>8</v>
      </c>
      <c r="O56" s="39">
        <f>IFERROR(VLOOKUP("188mg LP",Controls!A:I,9,0),18)</f>
        <v>18</v>
      </c>
      <c r="P56" s="40">
        <f>IFERROR(VLOOKUP("188mg LP",Controls!A:J,5,0),0)</f>
        <v>16200</v>
      </c>
      <c r="Q56" s="39">
        <f>IFERROR(VLOOKUP("188mg LP",Controls!A:J,6,0),3)</f>
        <v>3</v>
      </c>
      <c r="R56" s="21" t="str">
        <f>IFERROR(VLOOKUP("188mg LP",Controls!A:K,10,0),"")</f>
        <v>Fisher / ThermoFisher Allentown</v>
      </c>
      <c r="S56" s="41">
        <f t="shared" si="3"/>
        <v>47543</v>
      </c>
      <c r="T56" s="30">
        <f t="shared" si="4"/>
        <v>0</v>
      </c>
      <c r="AB56">
        <f t="shared" si="6"/>
        <v>363874.86357118603</v>
      </c>
    </row>
    <row r="57" spans="1:28" ht="13" customHeight="1" x14ac:dyDescent="0.35">
      <c r="A57" s="153">
        <v>47665</v>
      </c>
      <c r="B57" s="36" t="s">
        <v>26</v>
      </c>
      <c r="C57" s="15" t="s">
        <v>28</v>
      </c>
      <c r="D57" s="15" t="s">
        <v>29</v>
      </c>
      <c r="E57" s="30">
        <f>H56</f>
        <v>-268471.51700876292</v>
      </c>
      <c r="F57" s="37">
        <f>IFERROR(SUMIFS('Demand Inputs'!$BG$5:$BG$202,'Demand Inputs'!$A$5:$A$202,"188mg LP",'Demand Inputs'!$B$5:$B$202,"&lt;&gt;AGGREGATE",'Demand Inputs'!$E$5:$E$202,1),0)</f>
        <v>10904.157642449123</v>
      </c>
      <c r="G57" s="37">
        <f t="array" ref="G57">IFERROR(SUMPRODUCT(('Production Inputs'!$A:$A="188mg LP")*('Production Inputs'!$B:$B="TOTAL ACTIVE")*'Production Inputs'!$BM:$BM),0)</f>
        <v>0</v>
      </c>
      <c r="H57" s="30">
        <f t="shared" si="0"/>
        <v>-279375.67465121206</v>
      </c>
      <c r="I57" s="30">
        <f ca="1">IFERROR(AVERAGEIF(OFFSET(F57,0,0,MIN(Controls!$B$8,COUNTIF(B57:B$1973,B57)),1),"&gt;"&amp;0),0)</f>
        <v>14865.684338528246</v>
      </c>
      <c r="J57" s="38">
        <f t="shared" ca="1" si="1"/>
        <v>-18.793327524595561</v>
      </c>
      <c r="K57" s="30">
        <f t="shared" ca="1" si="5"/>
        <v>421200</v>
      </c>
      <c r="L57" t="str">
        <f t="shared" si="2"/>
        <v>High</v>
      </c>
      <c r="M57" s="39">
        <f>IFERROR(VLOOKUP("188mg LP",Controls!A:I,7,0),6)</f>
        <v>9</v>
      </c>
      <c r="N57" s="39">
        <f>IFERROR(VLOOKUP("188mg LP",Controls!A:I,8,0),3)</f>
        <v>8</v>
      </c>
      <c r="O57" s="39">
        <f>IFERROR(VLOOKUP("188mg LP",Controls!A:I,9,0),18)</f>
        <v>18</v>
      </c>
      <c r="P57" s="40">
        <f>IFERROR(VLOOKUP("188mg LP",Controls!A:J,5,0),0)</f>
        <v>16200</v>
      </c>
      <c r="Q57" s="39">
        <f>IFERROR(VLOOKUP("188mg LP",Controls!A:J,6,0),3)</f>
        <v>3</v>
      </c>
      <c r="R57" s="21" t="str">
        <f>IFERROR(VLOOKUP("188mg LP",Controls!A:K,10,0),"")</f>
        <v>Fisher / ThermoFisher Allentown</v>
      </c>
      <c r="S57" s="41">
        <f t="shared" si="3"/>
        <v>47574</v>
      </c>
      <c r="T57" s="30">
        <f t="shared" si="4"/>
        <v>0</v>
      </c>
      <c r="AB57">
        <f t="shared" si="6"/>
        <v>374779.02121363516</v>
      </c>
    </row>
    <row r="58" spans="1:28" ht="13" customHeight="1" x14ac:dyDescent="0.35">
      <c r="A58" s="153">
        <v>47696</v>
      </c>
      <c r="B58" s="36" t="s">
        <v>26</v>
      </c>
      <c r="C58" s="15" t="s">
        <v>28</v>
      </c>
      <c r="D58" s="15" t="s">
        <v>29</v>
      </c>
      <c r="E58" s="30">
        <f>H57</f>
        <v>-279375.67465121206</v>
      </c>
      <c r="F58" s="37">
        <f>IFERROR(SUMIFS('Demand Inputs'!$BH$5:$BH$202,'Demand Inputs'!$A$5:$A$202,"188mg LP",'Demand Inputs'!$B$5:$B$202,"&lt;&gt;AGGREGATE",'Demand Inputs'!$E$5:$E$202,1),0)</f>
        <v>15522.235490108971</v>
      </c>
      <c r="G58" s="37">
        <f t="array" ref="G58">IFERROR(SUMPRODUCT(('Production Inputs'!$A:$A="188mg LP")*('Production Inputs'!$B:$B="TOTAL ACTIVE")*'Production Inputs'!$BN:$BN),0)</f>
        <v>0</v>
      </c>
      <c r="H58" s="30">
        <f t="shared" si="0"/>
        <v>-294897.91014132102</v>
      </c>
      <c r="I58" s="30">
        <f ca="1">IFERROR(AVERAGEIF(OFFSET(F58,0,0,MIN(Controls!$B$8,COUNTIF(B58:B$1973,B58)),1),"&gt;"&amp;0),0)</f>
        <v>15791.486283254002</v>
      </c>
      <c r="J58" s="38">
        <f t="shared" ca="1" si="1"/>
        <v>-18.674487306115317</v>
      </c>
      <c r="K58" s="30">
        <f t="shared" ca="1" si="5"/>
        <v>437400</v>
      </c>
      <c r="L58" t="str">
        <f t="shared" si="2"/>
        <v>High</v>
      </c>
      <c r="M58" s="39">
        <f>IFERROR(VLOOKUP("188mg LP",Controls!A:I,7,0),6)</f>
        <v>9</v>
      </c>
      <c r="N58" s="39">
        <f>IFERROR(VLOOKUP("188mg LP",Controls!A:I,8,0),3)</f>
        <v>8</v>
      </c>
      <c r="O58" s="39">
        <f>IFERROR(VLOOKUP("188mg LP",Controls!A:I,9,0),18)</f>
        <v>18</v>
      </c>
      <c r="P58" s="40">
        <f>IFERROR(VLOOKUP("188mg LP",Controls!A:J,5,0),0)</f>
        <v>16200</v>
      </c>
      <c r="Q58" s="39">
        <f>IFERROR(VLOOKUP("188mg LP",Controls!A:J,6,0),3)</f>
        <v>3</v>
      </c>
      <c r="R58" s="21" t="str">
        <f>IFERROR(VLOOKUP("188mg LP",Controls!A:K,10,0),"")</f>
        <v>Fisher / ThermoFisher Allentown</v>
      </c>
      <c r="S58" s="41">
        <f t="shared" si="3"/>
        <v>47604</v>
      </c>
      <c r="T58" s="30">
        <f t="shared" si="4"/>
        <v>0</v>
      </c>
      <c r="AB58">
        <f t="shared" si="6"/>
        <v>390301.25670374412</v>
      </c>
    </row>
    <row r="59" spans="1:28" ht="13" customHeight="1" x14ac:dyDescent="0.35">
      <c r="A59" s="153">
        <v>47727</v>
      </c>
      <c r="B59" s="36" t="s">
        <v>26</v>
      </c>
      <c r="C59" s="15" t="s">
        <v>28</v>
      </c>
      <c r="D59" s="15" t="s">
        <v>29</v>
      </c>
      <c r="E59" s="30">
        <f>H58</f>
        <v>-294897.91014132102</v>
      </c>
      <c r="F59" s="37">
        <f>IFERROR(SUMIFS('Demand Inputs'!$BI$5:$BI$202,'Demand Inputs'!$A$5:$A$202,"188mg LP",'Demand Inputs'!$B$5:$B$202,"&lt;&gt;AGGREGATE",'Demand Inputs'!$E$5:$E$202,1),0)</f>
        <v>15088.427382390448</v>
      </c>
      <c r="G59" s="37">
        <f t="array" ref="G59">IFERROR(SUMPRODUCT(('Production Inputs'!$A:$A="188mg LP")*('Production Inputs'!$B:$B="TOTAL ACTIVE")*'Production Inputs'!$BO:$BO),0)</f>
        <v>0</v>
      </c>
      <c r="H59" s="30">
        <f t="shared" si="0"/>
        <v>-309986.33752371144</v>
      </c>
      <c r="I59" s="30">
        <f ca="1">IFERROR(AVERAGEIF(OFFSET(F59,0,0,MIN(Controls!$B$8,COUNTIF(B59:B$1973,B59)),1),"&gt;"&amp;0),0)</f>
        <v>16353.493342315682</v>
      </c>
      <c r="J59" s="38">
        <f t="shared" ca="1" si="1"/>
        <v>-18.955359019323566</v>
      </c>
      <c r="K59" s="30">
        <f t="shared" ca="1" si="5"/>
        <v>453600</v>
      </c>
      <c r="L59" t="str">
        <f t="shared" si="2"/>
        <v>High</v>
      </c>
      <c r="M59" s="39">
        <f>IFERROR(VLOOKUP("188mg LP",Controls!A:I,7,0),6)</f>
        <v>9</v>
      </c>
      <c r="N59" s="39">
        <f>IFERROR(VLOOKUP("188mg LP",Controls!A:I,8,0),3)</f>
        <v>8</v>
      </c>
      <c r="O59" s="39">
        <f>IFERROR(VLOOKUP("188mg LP",Controls!A:I,9,0),18)</f>
        <v>18</v>
      </c>
      <c r="P59" s="40">
        <f>IFERROR(VLOOKUP("188mg LP",Controls!A:J,5,0),0)</f>
        <v>16200</v>
      </c>
      <c r="Q59" s="39">
        <f>IFERROR(VLOOKUP("188mg LP",Controls!A:J,6,0),3)</f>
        <v>3</v>
      </c>
      <c r="R59" s="21" t="str">
        <f>IFERROR(VLOOKUP("188mg LP",Controls!A:K,10,0),"")</f>
        <v>Fisher / ThermoFisher Allentown</v>
      </c>
      <c r="S59" s="41">
        <f t="shared" si="3"/>
        <v>47635</v>
      </c>
      <c r="T59" s="30">
        <f t="shared" si="4"/>
        <v>0</v>
      </c>
      <c r="AB59">
        <f t="shared" si="6"/>
        <v>405389.68408613454</v>
      </c>
    </row>
    <row r="60" spans="1:28" ht="13" customHeight="1" x14ac:dyDescent="0.35">
      <c r="A60" s="153">
        <v>47757</v>
      </c>
      <c r="B60" s="36" t="s">
        <v>26</v>
      </c>
      <c r="C60" s="15" t="s">
        <v>28</v>
      </c>
      <c r="D60" s="15" t="s">
        <v>29</v>
      </c>
      <c r="E60" s="30">
        <f>H59</f>
        <v>-309986.33752371144</v>
      </c>
      <c r="F60" s="37">
        <f>IFERROR(SUMIFS('Demand Inputs'!$BJ$5:$BJ$202,'Demand Inputs'!$A$5:$A$202,"188mg LP",'Demand Inputs'!$B$5:$B$202,"&lt;&gt;AGGREGATE",'Demand Inputs'!$E$5:$E$202,1),0)</f>
        <v>13221.849533993436</v>
      </c>
      <c r="G60" s="37">
        <f t="array" ref="G60">IFERROR(SUMPRODUCT(('Production Inputs'!$A:$A="188mg LP")*('Production Inputs'!$B:$B="TOTAL ACTIVE")*'Production Inputs'!$BP:$BP),0)</f>
        <v>0</v>
      </c>
      <c r="H60" s="30">
        <f t="shared" si="0"/>
        <v>-323208.1870577049</v>
      </c>
      <c r="I60" s="30">
        <f ca="1">IFERROR(AVERAGEIF(OFFSET(F60,0,0,MIN(Controls!$B$8,COUNTIF(B60:B$1973,B60)),1),"&gt;"&amp;0),0)</f>
        <v>16808.293702600455</v>
      </c>
      <c r="J60" s="38">
        <f t="shared" ca="1" si="1"/>
        <v>-19.229089684915522</v>
      </c>
      <c r="K60" s="30">
        <f t="shared" ca="1" si="5"/>
        <v>469800</v>
      </c>
      <c r="L60" t="str">
        <f t="shared" si="2"/>
        <v>High</v>
      </c>
      <c r="M60" s="39">
        <f>IFERROR(VLOOKUP("188mg LP",Controls!A:I,7,0),6)</f>
        <v>9</v>
      </c>
      <c r="N60" s="39">
        <f>IFERROR(VLOOKUP("188mg LP",Controls!A:I,8,0),3)</f>
        <v>8</v>
      </c>
      <c r="O60" s="39">
        <f>IFERROR(VLOOKUP("188mg LP",Controls!A:I,9,0),18)</f>
        <v>18</v>
      </c>
      <c r="P60" s="40">
        <f>IFERROR(VLOOKUP("188mg LP",Controls!A:J,5,0),0)</f>
        <v>16200</v>
      </c>
      <c r="Q60" s="39">
        <f>IFERROR(VLOOKUP("188mg LP",Controls!A:J,6,0),3)</f>
        <v>3</v>
      </c>
      <c r="R60" s="21" t="str">
        <f>IFERROR(VLOOKUP("188mg LP",Controls!A:K,10,0),"")</f>
        <v>Fisher / ThermoFisher Allentown</v>
      </c>
      <c r="S60" s="41">
        <f t="shared" si="3"/>
        <v>47665</v>
      </c>
      <c r="T60" s="30">
        <f t="shared" si="4"/>
        <v>0</v>
      </c>
      <c r="AB60">
        <f t="shared" si="6"/>
        <v>418611.533620128</v>
      </c>
    </row>
    <row r="61" spans="1:28" ht="13" customHeight="1" x14ac:dyDescent="0.35">
      <c r="A61" s="153">
        <v>47788</v>
      </c>
      <c r="B61" s="36" t="s">
        <v>26</v>
      </c>
      <c r="C61" s="15" t="s">
        <v>28</v>
      </c>
      <c r="D61" s="15" t="s">
        <v>29</v>
      </c>
      <c r="E61" s="30">
        <f>H60</f>
        <v>-323208.1870577049</v>
      </c>
      <c r="F61" s="37">
        <f>IFERROR(SUMIFS('Demand Inputs'!$BK$5:$BK$202,'Demand Inputs'!$A$5:$A$202,"188mg LP",'Demand Inputs'!$B$5:$B$202,"&lt;&gt;AGGREGATE",'Demand Inputs'!$E$5:$E$202,1),0)</f>
        <v>16972.559291183326</v>
      </c>
      <c r="G61" s="37">
        <f t="array" ref="G61">IFERROR(SUMPRODUCT(('Production Inputs'!$A:$A="188mg LP")*('Production Inputs'!$B:$B="TOTAL ACTIVE")*'Production Inputs'!$BQ:$BQ),0)</f>
        <v>0</v>
      </c>
      <c r="H61" s="30">
        <f t="shared" si="0"/>
        <v>-340180.74634888821</v>
      </c>
      <c r="I61" s="30">
        <f ca="1">IFERROR(AVERAGEIF(OFFSET(F61,0,0,MIN(Controls!$B$8,COUNTIF(B61:B$1973,B61)),1),"&gt;"&amp;0),0)</f>
        <v>17404.237273666266</v>
      </c>
      <c r="J61" s="38">
        <f t="shared" ca="1" si="1"/>
        <v>-19.545857770142195</v>
      </c>
      <c r="K61" s="30">
        <f t="shared" ca="1" si="5"/>
        <v>502200</v>
      </c>
      <c r="L61" t="str">
        <f t="shared" si="2"/>
        <v>High</v>
      </c>
      <c r="M61" s="39">
        <f>IFERROR(VLOOKUP("188mg LP",Controls!A:I,7,0),6)</f>
        <v>9</v>
      </c>
      <c r="N61" s="39">
        <f>IFERROR(VLOOKUP("188mg LP",Controls!A:I,8,0),3)</f>
        <v>8</v>
      </c>
      <c r="O61" s="39">
        <f>IFERROR(VLOOKUP("188mg LP",Controls!A:I,9,0),18)</f>
        <v>18</v>
      </c>
      <c r="P61" s="40">
        <f>IFERROR(VLOOKUP("188mg LP",Controls!A:J,5,0),0)</f>
        <v>16200</v>
      </c>
      <c r="Q61" s="39">
        <f>IFERROR(VLOOKUP("188mg LP",Controls!A:J,6,0),3)</f>
        <v>3</v>
      </c>
      <c r="R61" s="21" t="str">
        <f>IFERROR(VLOOKUP("188mg LP",Controls!A:K,10,0),"")</f>
        <v>Fisher / ThermoFisher Allentown</v>
      </c>
      <c r="S61" s="41">
        <f t="shared" si="3"/>
        <v>47696</v>
      </c>
      <c r="T61" s="30">
        <f t="shared" si="4"/>
        <v>0</v>
      </c>
      <c r="AB61">
        <f t="shared" si="6"/>
        <v>435584.09291131131</v>
      </c>
    </row>
    <row r="62" spans="1:28" ht="13" customHeight="1" x14ac:dyDescent="0.35">
      <c r="A62" s="153">
        <v>47818</v>
      </c>
      <c r="B62" s="36" t="s">
        <v>26</v>
      </c>
      <c r="C62" s="15" t="s">
        <v>28</v>
      </c>
      <c r="D62" s="15" t="s">
        <v>29</v>
      </c>
      <c r="E62" s="30">
        <f>H61</f>
        <v>-340180.74634888821</v>
      </c>
      <c r="F62" s="37">
        <f>IFERROR(SUMIFS('Demand Inputs'!$BL$5:$BL$202,'Demand Inputs'!$A$5:$A$202,"188mg LP",'Demand Inputs'!$B$5:$B$202,"&lt;&gt;AGGREGATE",'Demand Inputs'!$E$5:$E$202,1),0)</f>
        <v>12911.737198879006</v>
      </c>
      <c r="G62" s="37">
        <f t="array" ref="G62">IFERROR(SUMPRODUCT(('Production Inputs'!$A:$A="188mg LP")*('Production Inputs'!$B:$B="TOTAL ACTIVE")*'Production Inputs'!$BR:$BR),0)</f>
        <v>0</v>
      </c>
      <c r="H62" s="30">
        <f t="shared" si="0"/>
        <v>-353092.48354776722</v>
      </c>
      <c r="I62" s="30">
        <f ca="1">IFERROR(AVERAGEIF(OFFSET(F62,0,0,MIN(Controls!$B$8,COUNTIF(B62:B$1973,B62)),1),"&gt;"&amp;0),0)</f>
        <v>18085.048602277562</v>
      </c>
      <c r="J62" s="38">
        <f t="shared" ca="1" si="1"/>
        <v>-19.523999703451175</v>
      </c>
      <c r="K62" s="30">
        <f t="shared" ca="1" si="5"/>
        <v>518400</v>
      </c>
      <c r="L62" t="str">
        <f t="shared" si="2"/>
        <v>High</v>
      </c>
      <c r="M62" s="39">
        <f>IFERROR(VLOOKUP("188mg LP",Controls!A:I,7,0),6)</f>
        <v>9</v>
      </c>
      <c r="N62" s="39">
        <f>IFERROR(VLOOKUP("188mg LP",Controls!A:I,8,0),3)</f>
        <v>8</v>
      </c>
      <c r="O62" s="39">
        <f>IFERROR(VLOOKUP("188mg LP",Controls!A:I,9,0),18)</f>
        <v>18</v>
      </c>
      <c r="P62" s="40">
        <f>IFERROR(VLOOKUP("188mg LP",Controls!A:J,5,0),0)</f>
        <v>16200</v>
      </c>
      <c r="Q62" s="39">
        <f>IFERROR(VLOOKUP("188mg LP",Controls!A:J,6,0),3)</f>
        <v>3</v>
      </c>
      <c r="R62" s="21" t="str">
        <f>IFERROR(VLOOKUP("188mg LP",Controls!A:K,10,0),"")</f>
        <v>Fisher / ThermoFisher Allentown</v>
      </c>
      <c r="S62" s="41">
        <f t="shared" si="3"/>
        <v>47727</v>
      </c>
      <c r="T62" s="30">
        <f t="shared" si="4"/>
        <v>0</v>
      </c>
      <c r="AB62">
        <f t="shared" si="6"/>
        <v>448495.83011019032</v>
      </c>
    </row>
    <row r="63" spans="1:28" ht="13" customHeight="1" x14ac:dyDescent="0.35">
      <c r="A63" s="153">
        <v>47849</v>
      </c>
      <c r="B63" s="36" t="s">
        <v>26</v>
      </c>
      <c r="C63" s="15" t="s">
        <v>28</v>
      </c>
      <c r="D63" s="15" t="s">
        <v>29</v>
      </c>
      <c r="E63" s="30">
        <f>H62</f>
        <v>-353092.48354776722</v>
      </c>
      <c r="F63" s="37">
        <f>IFERROR(SUMIFS('Demand Inputs'!$BM$5:$BM$202,'Demand Inputs'!$A$5:$A$202,"188mg LP",'Demand Inputs'!$B$5:$B$202,"&lt;&gt;AGGREGATE",'Demand Inputs'!$E$5:$E$202,1),0)</f>
        <v>17267.448749521587</v>
      </c>
      <c r="G63" s="37">
        <f t="array" ref="G63">IFERROR(SUMPRODUCT(('Production Inputs'!$A:$A="188mg LP")*('Production Inputs'!$B:$B="TOTAL ACTIVE")*'Production Inputs'!$BS:$BS),0)</f>
        <v>0</v>
      </c>
      <c r="H63" s="30">
        <f t="shared" si="0"/>
        <v>-370359.93229728879</v>
      </c>
      <c r="I63" s="30">
        <f ca="1">IFERROR(AVERAGEIF(OFFSET(F63,0,0,MIN(Controls!$B$8,COUNTIF(B63:B$1973,B63)),1),"&gt;"&amp;0),0)</f>
        <v>18956.904306797413</v>
      </c>
      <c r="J63" s="38">
        <f t="shared" ca="1" si="1"/>
        <v>-19.536941596761036</v>
      </c>
      <c r="K63" s="30">
        <f t="shared" ca="1" si="5"/>
        <v>534600</v>
      </c>
      <c r="L63" t="str">
        <f t="shared" si="2"/>
        <v>High</v>
      </c>
      <c r="M63" s="39">
        <f>IFERROR(VLOOKUP("188mg LP",Controls!A:I,7,0),6)</f>
        <v>9</v>
      </c>
      <c r="N63" s="39">
        <f>IFERROR(VLOOKUP("188mg LP",Controls!A:I,8,0),3)</f>
        <v>8</v>
      </c>
      <c r="O63" s="39">
        <f>IFERROR(VLOOKUP("188mg LP",Controls!A:I,9,0),18)</f>
        <v>18</v>
      </c>
      <c r="P63" s="40">
        <f>IFERROR(VLOOKUP("188mg LP",Controls!A:J,5,0),0)</f>
        <v>16200</v>
      </c>
      <c r="Q63" s="39">
        <f>IFERROR(VLOOKUP("188mg LP",Controls!A:J,6,0),3)</f>
        <v>3</v>
      </c>
      <c r="R63" s="21" t="str">
        <f>IFERROR(VLOOKUP("188mg LP",Controls!A:K,10,0),"")</f>
        <v>Fisher / ThermoFisher Allentown</v>
      </c>
      <c r="S63" s="41">
        <f t="shared" si="3"/>
        <v>47757</v>
      </c>
      <c r="T63" s="30">
        <f t="shared" si="4"/>
        <v>0</v>
      </c>
      <c r="AB63">
        <f t="shared" si="6"/>
        <v>465763.27885971189</v>
      </c>
    </row>
    <row r="64" spans="1:28" ht="13" customHeight="1" x14ac:dyDescent="0.35">
      <c r="A64" s="153">
        <v>47880</v>
      </c>
      <c r="B64" s="36" t="s">
        <v>26</v>
      </c>
      <c r="C64" s="15" t="s">
        <v>28</v>
      </c>
      <c r="D64" s="15" t="s">
        <v>29</v>
      </c>
      <c r="E64" s="30">
        <f>H63</f>
        <v>-370359.93229728879</v>
      </c>
      <c r="F64" s="37">
        <f>IFERROR(SUMIFS('Demand Inputs'!$BN$5:$BN$202,'Demand Inputs'!$A$5:$A$202,"188mg LP",'Demand Inputs'!$B$5:$B$202,"&lt;&gt;AGGREGATE",'Demand Inputs'!$E$5:$E$202,1),0)</f>
        <v>17098.763893882613</v>
      </c>
      <c r="G64" s="37">
        <f t="array" ref="G64">IFERROR(SUMPRODUCT(('Production Inputs'!$A:$A="188mg LP")*('Production Inputs'!$B:$B="TOTAL ACTIVE")*'Production Inputs'!$BT:$BT),0)</f>
        <v>0</v>
      </c>
      <c r="H64" s="30">
        <f t="shared" si="0"/>
        <v>-387458.69619117142</v>
      </c>
      <c r="I64" s="30">
        <f ca="1">IFERROR(AVERAGEIF(OFFSET(F64,0,0,MIN(Controls!$B$8,COUNTIF(B64:B$1973,B64)),1),"&gt;"&amp;0),0)</f>
        <v>19457.78439246038</v>
      </c>
      <c r="J64" s="38">
        <f t="shared" ca="1" si="1"/>
        <v>-19.912785976871358</v>
      </c>
      <c r="K64" s="30">
        <f t="shared" ca="1" si="5"/>
        <v>567000</v>
      </c>
      <c r="L64" t="str">
        <f t="shared" si="2"/>
        <v>High</v>
      </c>
      <c r="M64" s="39">
        <f>IFERROR(VLOOKUP("188mg LP",Controls!A:I,7,0),6)</f>
        <v>9</v>
      </c>
      <c r="N64" s="39">
        <f>IFERROR(VLOOKUP("188mg LP",Controls!A:I,8,0),3)</f>
        <v>8</v>
      </c>
      <c r="O64" s="39">
        <f>IFERROR(VLOOKUP("188mg LP",Controls!A:I,9,0),18)</f>
        <v>18</v>
      </c>
      <c r="P64" s="40">
        <f>IFERROR(VLOOKUP("188mg LP",Controls!A:J,5,0),0)</f>
        <v>16200</v>
      </c>
      <c r="Q64" s="39">
        <f>IFERROR(VLOOKUP("188mg LP",Controls!A:J,6,0),3)</f>
        <v>3</v>
      </c>
      <c r="R64" s="21" t="str">
        <f>IFERROR(VLOOKUP("188mg LP",Controls!A:K,10,0),"")</f>
        <v>Fisher / ThermoFisher Allentown</v>
      </c>
      <c r="S64" s="41">
        <f t="shared" si="3"/>
        <v>47788</v>
      </c>
      <c r="T64" s="30">
        <f t="shared" si="4"/>
        <v>0</v>
      </c>
      <c r="AB64">
        <f t="shared" si="6"/>
        <v>482862.04275359452</v>
      </c>
    </row>
    <row r="65" spans="1:28" ht="13" customHeight="1" x14ac:dyDescent="0.35">
      <c r="A65" s="153">
        <v>47908</v>
      </c>
      <c r="B65" s="36" t="s">
        <v>26</v>
      </c>
      <c r="C65" s="15" t="s">
        <v>28</v>
      </c>
      <c r="D65" s="15" t="s">
        <v>29</v>
      </c>
      <c r="E65" s="30">
        <f>H64</f>
        <v>-387458.69619117142</v>
      </c>
      <c r="F65" s="37">
        <f>IFERROR(SUMIFS('Demand Inputs'!$BO$5:$BO$202,'Demand Inputs'!$A$5:$A$202,"188mg LP",'Demand Inputs'!$B$5:$B$202,"&lt;&gt;AGGREGATE",'Demand Inputs'!$E$5:$E$202,1),0)</f>
        <v>14803.979864345691</v>
      </c>
      <c r="G65" s="37">
        <f t="array" ref="G65">IFERROR(SUMPRODUCT(('Production Inputs'!$A:$A="188mg LP")*('Production Inputs'!$B:$B="TOTAL ACTIVE")*'Production Inputs'!$BU:$BU),0)</f>
        <v>0</v>
      </c>
      <c r="H65" s="30">
        <f t="shared" si="0"/>
        <v>-402262.67605551711</v>
      </c>
      <c r="I65" s="30">
        <f ca="1">IFERROR(AVERAGEIF(OFFSET(F65,0,0,MIN(Controls!$B$8,COUNTIF(B65:B$1973,B65)),1),"&gt;"&amp;0),0)</f>
        <v>20231.568788134777</v>
      </c>
      <c r="J65" s="38">
        <f t="shared" ca="1" si="1"/>
        <v>-19.882920611249503</v>
      </c>
      <c r="K65" s="30">
        <f t="shared" ca="1" si="5"/>
        <v>583200</v>
      </c>
      <c r="L65" t="str">
        <f t="shared" si="2"/>
        <v>High</v>
      </c>
      <c r="M65" s="39">
        <f>IFERROR(VLOOKUP("188mg LP",Controls!A:I,7,0),6)</f>
        <v>9</v>
      </c>
      <c r="N65" s="39">
        <f>IFERROR(VLOOKUP("188mg LP",Controls!A:I,8,0),3)</f>
        <v>8</v>
      </c>
      <c r="O65" s="39">
        <f>IFERROR(VLOOKUP("188mg LP",Controls!A:I,9,0),18)</f>
        <v>18</v>
      </c>
      <c r="P65" s="40">
        <f>IFERROR(VLOOKUP("188mg LP",Controls!A:J,5,0),0)</f>
        <v>16200</v>
      </c>
      <c r="Q65" s="39">
        <f>IFERROR(VLOOKUP("188mg LP",Controls!A:J,6,0),3)</f>
        <v>3</v>
      </c>
      <c r="R65" s="21" t="str">
        <f>IFERROR(VLOOKUP("188mg LP",Controls!A:K,10,0),"")</f>
        <v>Fisher / ThermoFisher Allentown</v>
      </c>
      <c r="S65" s="41">
        <f t="shared" si="3"/>
        <v>47818</v>
      </c>
      <c r="T65" s="30">
        <f t="shared" si="4"/>
        <v>0</v>
      </c>
      <c r="AB65">
        <f t="shared" si="6"/>
        <v>497666.02261794021</v>
      </c>
    </row>
    <row r="66" spans="1:28" ht="13" customHeight="1" x14ac:dyDescent="0.35">
      <c r="A66" s="153">
        <v>47939</v>
      </c>
      <c r="B66" s="36" t="s">
        <v>26</v>
      </c>
      <c r="C66" s="15" t="s">
        <v>28</v>
      </c>
      <c r="D66" s="15" t="s">
        <v>29</v>
      </c>
      <c r="E66" s="30">
        <f>H65</f>
        <v>-402262.67605551711</v>
      </c>
      <c r="F66" s="37">
        <f>IFERROR(SUMIFS('Demand Inputs'!$BP$5:$BP$202,'Demand Inputs'!$A$5:$A$202,"188mg LP",'Demand Inputs'!$B$5:$B$202,"&lt;&gt;AGGREGATE",'Demand Inputs'!$E$5:$E$202,1),0)</f>
        <v>19236.375144980924</v>
      </c>
      <c r="G66" s="37">
        <f t="array" ref="G66">IFERROR(SUMPRODUCT(('Production Inputs'!$A:$A="188mg LP")*('Production Inputs'!$B:$B="TOTAL ACTIVE")*'Production Inputs'!$BV:$BV),0)</f>
        <v>0</v>
      </c>
      <c r="H66" s="30">
        <f t="shared" si="0"/>
        <v>-421499.05120049801</v>
      </c>
      <c r="I66" s="30">
        <f ca="1">IFERROR(AVERAGEIF(OFFSET(F66,0,0,MIN(Controls!$B$8,COUNTIF(B66:B$1973,B66)),1),"&gt;"&amp;0),0)</f>
        <v>20388.906555773232</v>
      </c>
      <c r="J66" s="38">
        <f t="shared" ca="1" si="1"/>
        <v>-20.672960075004525</v>
      </c>
      <c r="K66" s="30">
        <f t="shared" ca="1" si="5"/>
        <v>599400</v>
      </c>
      <c r="L66" t="str">
        <f t="shared" si="2"/>
        <v>High</v>
      </c>
      <c r="M66" s="39">
        <f>IFERROR(VLOOKUP("188mg LP",Controls!A:I,7,0),6)</f>
        <v>9</v>
      </c>
      <c r="N66" s="39">
        <f>IFERROR(VLOOKUP("188mg LP",Controls!A:I,8,0),3)</f>
        <v>8</v>
      </c>
      <c r="O66" s="39">
        <f>IFERROR(VLOOKUP("188mg LP",Controls!A:I,9,0),18)</f>
        <v>18</v>
      </c>
      <c r="P66" s="40">
        <f>IFERROR(VLOOKUP("188mg LP",Controls!A:J,5,0),0)</f>
        <v>16200</v>
      </c>
      <c r="Q66" s="39">
        <f>IFERROR(VLOOKUP("188mg LP",Controls!A:J,6,0),3)</f>
        <v>3</v>
      </c>
      <c r="R66" s="21" t="str">
        <f>IFERROR(VLOOKUP("188mg LP",Controls!A:K,10,0),"")</f>
        <v>Fisher / ThermoFisher Allentown</v>
      </c>
      <c r="S66" s="41">
        <f t="shared" si="3"/>
        <v>47849</v>
      </c>
      <c r="T66" s="30">
        <f t="shared" si="4"/>
        <v>0</v>
      </c>
      <c r="AB66">
        <f t="shared" si="6"/>
        <v>516902.39776292111</v>
      </c>
    </row>
    <row r="67" spans="1:28" ht="13" customHeight="1" x14ac:dyDescent="0.35">
      <c r="A67" s="153">
        <v>47969</v>
      </c>
      <c r="B67" s="36" t="s">
        <v>26</v>
      </c>
      <c r="C67" s="15" t="s">
        <v>28</v>
      </c>
      <c r="D67" s="15" t="s">
        <v>29</v>
      </c>
      <c r="E67" s="30">
        <f>H66</f>
        <v>-421499.05120049801</v>
      </c>
      <c r="F67" s="37">
        <f>IFERROR(SUMIFS('Demand Inputs'!$BQ$5:$BQ$202,'Demand Inputs'!$A$5:$A$202,"188mg LP",'Demand Inputs'!$B$5:$B$202,"&lt;&gt;AGGREGATE",'Demand Inputs'!$E$5:$E$202,1),0)</f>
        <v>20580.299021664116</v>
      </c>
      <c r="G67" s="37">
        <f t="array" ref="G67">IFERROR(SUMPRODUCT(('Production Inputs'!$A:$A="188mg LP")*('Production Inputs'!$B:$B="TOTAL ACTIVE")*'Production Inputs'!$BW:$BW),0)</f>
        <v>0</v>
      </c>
      <c r="H67" s="30">
        <f t="shared" si="0"/>
        <v>-442079.35022216215</v>
      </c>
      <c r="I67" s="30">
        <f ca="1">IFERROR(AVERAGEIF(OFFSET(F67,0,0,MIN(Controls!$B$8,COUNTIF(B67:B$1973,B67)),1),"&gt;"&amp;0),0)</f>
        <v>21175.30627735013</v>
      </c>
      <c r="J67" s="38">
        <f t="shared" ca="1" si="1"/>
        <v>-20.877117168077334</v>
      </c>
      <c r="K67" s="30">
        <f t="shared" ca="1" si="5"/>
        <v>631800</v>
      </c>
      <c r="L67" t="str">
        <f t="shared" si="2"/>
        <v>High</v>
      </c>
      <c r="M67" s="39">
        <f>IFERROR(VLOOKUP("188mg LP",Controls!A:I,7,0),6)</f>
        <v>9</v>
      </c>
      <c r="N67" s="39">
        <f>IFERROR(VLOOKUP("188mg LP",Controls!A:I,8,0),3)</f>
        <v>8</v>
      </c>
      <c r="O67" s="39">
        <f>IFERROR(VLOOKUP("188mg LP",Controls!A:I,9,0),18)</f>
        <v>18</v>
      </c>
      <c r="P67" s="40">
        <f>IFERROR(VLOOKUP("188mg LP",Controls!A:J,5,0),0)</f>
        <v>16200</v>
      </c>
      <c r="Q67" s="39">
        <f>IFERROR(VLOOKUP("188mg LP",Controls!A:J,6,0),3)</f>
        <v>3</v>
      </c>
      <c r="R67" s="21" t="str">
        <f>IFERROR(VLOOKUP("188mg LP",Controls!A:K,10,0),"")</f>
        <v>Fisher / ThermoFisher Allentown</v>
      </c>
      <c r="S67" s="41">
        <f t="shared" si="3"/>
        <v>47880</v>
      </c>
      <c r="T67" s="30">
        <f t="shared" si="4"/>
        <v>0</v>
      </c>
      <c r="AB67">
        <f t="shared" si="6"/>
        <v>537482.69678458525</v>
      </c>
    </row>
    <row r="68" spans="1:28" ht="13" customHeight="1" x14ac:dyDescent="0.35">
      <c r="A68" s="153">
        <v>48000</v>
      </c>
      <c r="B68" s="36" t="s">
        <v>26</v>
      </c>
      <c r="C68" s="15" t="s">
        <v>28</v>
      </c>
      <c r="D68" s="15" t="s">
        <v>29</v>
      </c>
      <c r="E68" s="30">
        <f>H67</f>
        <v>-442079.35022216215</v>
      </c>
      <c r="F68" s="37">
        <f>IFERROR(SUMIFS('Demand Inputs'!$BR$5:$BR$202,'Demand Inputs'!$A$5:$A$202,"188mg LP",'Demand Inputs'!$B$5:$B$202,"&lt;&gt;AGGREGATE",'Demand Inputs'!$E$5:$E$202,1),0)</f>
        <v>19181.630624953432</v>
      </c>
      <c r="G68" s="37">
        <f t="array" ref="G68">IFERROR(SUMPRODUCT(('Production Inputs'!$A:$A="188mg LP")*('Production Inputs'!$B:$B="TOTAL ACTIVE")*'Production Inputs'!$BX:$BX),0)</f>
        <v>0</v>
      </c>
      <c r="H68" s="30">
        <f t="shared" ref="H68:H131" si="7">E68+G68-F68</f>
        <v>-461260.98084711557</v>
      </c>
      <c r="I68" s="30">
        <f ca="1">IFERROR(AVERAGEIF(OFFSET(F68,0,0,MIN(Controls!$B$8,COUNTIF(B68:B$1973,B68)),1),"&gt;"&amp;0),0)</f>
        <v>21136.337619484882</v>
      </c>
      <c r="J68" s="38">
        <f t="shared" ref="J68:J131" ca="1" si="8">IFERROR(H68/I68,IF(H68&gt;0,999,0))</f>
        <v>-21.823127031330845</v>
      </c>
      <c r="K68" s="30">
        <f t="shared" ca="1" si="5"/>
        <v>648000</v>
      </c>
      <c r="L68" t="str">
        <f t="shared" ref="L68:L131" si="9">IF(H68&lt;=0,"High",IF(J68&lt;N68,"High",IF(J68&lt;M68,"Medium",IF(J68&gt;O68,"Overstock","Low"))))</f>
        <v>High</v>
      </c>
      <c r="M68" s="39">
        <f>IFERROR(VLOOKUP("188mg LP",Controls!A:I,7,0),6)</f>
        <v>9</v>
      </c>
      <c r="N68" s="39">
        <f>IFERROR(VLOOKUP("188mg LP",Controls!A:I,8,0),3)</f>
        <v>8</v>
      </c>
      <c r="O68" s="39">
        <f>IFERROR(VLOOKUP("188mg LP",Controls!A:I,9,0),18)</f>
        <v>18</v>
      </c>
      <c r="P68" s="40">
        <f>IFERROR(VLOOKUP("188mg LP",Controls!A:J,5,0),0)</f>
        <v>16200</v>
      </c>
      <c r="Q68" s="39">
        <f>IFERROR(VLOOKUP("188mg LP",Controls!A:J,6,0),3)</f>
        <v>3</v>
      </c>
      <c r="R68" s="21" t="str">
        <f>IFERROR(VLOOKUP("188mg LP",Controls!A:K,10,0),"")</f>
        <v>Fisher / ThermoFisher Allentown</v>
      </c>
      <c r="S68" s="41">
        <f t="shared" ref="S68:S131" si="10">IFERROR(EDATE(A68,-Q68),"")</f>
        <v>47908</v>
      </c>
      <c r="T68" s="30">
        <f t="shared" ref="T68:T131" si="11">G68</f>
        <v>0</v>
      </c>
      <c r="AB68">
        <f t="shared" si="6"/>
        <v>556664.32740953867</v>
      </c>
    </row>
    <row r="69" spans="1:28" ht="13" customHeight="1" x14ac:dyDescent="0.35">
      <c r="A69" s="153">
        <v>48030</v>
      </c>
      <c r="B69" s="36" t="s">
        <v>26</v>
      </c>
      <c r="C69" s="15" t="s">
        <v>28</v>
      </c>
      <c r="D69" s="15" t="s">
        <v>29</v>
      </c>
      <c r="E69" s="30">
        <f>H68</f>
        <v>-461260.98084711557</v>
      </c>
      <c r="F69" s="37">
        <f>IFERROR(SUMIFS('Demand Inputs'!$BS$5:$BS$202,'Demand Inputs'!$A$5:$A$202,"188mg LP",'Demand Inputs'!$B$5:$B$202,"&lt;&gt;AGGREGATE",'Demand Inputs'!$E$5:$E$202,1),0)</f>
        <v>18585.341673585677</v>
      </c>
      <c r="G69" s="37">
        <f t="array" ref="G69">IFERROR(SUMPRODUCT(('Production Inputs'!$A:$A="188mg LP")*('Production Inputs'!$B:$B="TOTAL ACTIVE")*'Production Inputs'!$BY:$BY),0)</f>
        <v>0</v>
      </c>
      <c r="H69" s="30">
        <f t="shared" si="7"/>
        <v>-479846.32252070127</v>
      </c>
      <c r="I69" s="30">
        <f ca="1">IFERROR(AVERAGEIF(OFFSET(F69,0,0,MIN(Controls!$B$8,COUNTIF(B69:B$1973,B69)),1),"&gt;"&amp;0),0)</f>
        <v>21188.053216946315</v>
      </c>
      <c r="J69" s="38">
        <f t="shared" ca="1" si="8"/>
        <v>-22.647022716410664</v>
      </c>
      <c r="K69" s="30">
        <f t="shared" ref="K69:K132" ca="1" si="12">IFERROR(IF(H69&lt;(N69*I69), CEILING(MAX(0,ROUND((M69*I69-H69)/P69,0)*P69),P69), 0), 0)</f>
        <v>664200</v>
      </c>
      <c r="L69" t="str">
        <f t="shared" si="9"/>
        <v>High</v>
      </c>
      <c r="M69" s="39">
        <f>IFERROR(VLOOKUP("188mg LP",Controls!A:I,7,0),6)</f>
        <v>9</v>
      </c>
      <c r="N69" s="39">
        <f>IFERROR(VLOOKUP("188mg LP",Controls!A:I,8,0),3)</f>
        <v>8</v>
      </c>
      <c r="O69" s="39">
        <f>IFERROR(VLOOKUP("188mg LP",Controls!A:I,9,0),18)</f>
        <v>18</v>
      </c>
      <c r="P69" s="40">
        <f>IFERROR(VLOOKUP("188mg LP",Controls!A:J,5,0),0)</f>
        <v>16200</v>
      </c>
      <c r="Q69" s="39">
        <f>IFERROR(VLOOKUP("188mg LP",Controls!A:J,6,0),3)</f>
        <v>3</v>
      </c>
      <c r="R69" s="21" t="str">
        <f>IFERROR(VLOOKUP("188mg LP",Controls!A:K,10,0),"")</f>
        <v>Fisher / ThermoFisher Allentown</v>
      </c>
      <c r="S69" s="41">
        <f t="shared" si="10"/>
        <v>47939</v>
      </c>
      <c r="T69" s="30">
        <f t="shared" si="11"/>
        <v>0</v>
      </c>
      <c r="AB69">
        <f t="shared" ref="AB69:AB132" si="13">SUMIFS($F$4:$F$2331,$B$4:$B$2331,B69,$A$4:$A$2331,"&lt;="&amp;A69)</f>
        <v>575249.66908312438</v>
      </c>
    </row>
    <row r="70" spans="1:28" ht="13" customHeight="1" x14ac:dyDescent="0.35">
      <c r="A70" s="153">
        <v>48061</v>
      </c>
      <c r="B70" s="36" t="s">
        <v>26</v>
      </c>
      <c r="C70" s="15" t="s">
        <v>28</v>
      </c>
      <c r="D70" s="15" t="s">
        <v>29</v>
      </c>
      <c r="E70" s="30">
        <f>H69</f>
        <v>-479846.32252070127</v>
      </c>
      <c r="F70" s="37">
        <f>IFERROR(SUMIFS('Demand Inputs'!$BT$5:$BT$202,'Demand Inputs'!$A$5:$A$202,"188mg LP",'Demand Inputs'!$B$5:$B$202,"&lt;&gt;AGGREGATE",'Demand Inputs'!$E$5:$E$202,1),0)</f>
        <v>23099.861248685011</v>
      </c>
      <c r="G70" s="37">
        <f t="array" ref="G70">IFERROR(SUMPRODUCT(('Production Inputs'!$A:$A="188mg LP")*('Production Inputs'!$B:$B="TOTAL ACTIVE")*'Production Inputs'!$BZ:$BZ),0)</f>
        <v>0</v>
      </c>
      <c r="H70" s="30">
        <f t="shared" si="7"/>
        <v>-502946.18376938626</v>
      </c>
      <c r="I70" s="30">
        <f ca="1">IFERROR(AVERAGEIF(OFFSET(F70,0,0,MIN(Controls!$B$8,COUNTIF(B70:B$1973,B70)),1),"&gt;"&amp;0),0)</f>
        <v>22245.742573959491</v>
      </c>
      <c r="J70" s="38">
        <f t="shared" ca="1" si="8"/>
        <v>-22.608648917754131</v>
      </c>
      <c r="K70" s="30">
        <f t="shared" ca="1" si="12"/>
        <v>696600</v>
      </c>
      <c r="L70" t="str">
        <f t="shared" si="9"/>
        <v>High</v>
      </c>
      <c r="M70" s="39">
        <f>IFERROR(VLOOKUP("188mg LP",Controls!A:I,7,0),6)</f>
        <v>9</v>
      </c>
      <c r="N70" s="39">
        <f>IFERROR(VLOOKUP("188mg LP",Controls!A:I,8,0),3)</f>
        <v>8</v>
      </c>
      <c r="O70" s="39">
        <f>IFERROR(VLOOKUP("188mg LP",Controls!A:I,9,0),18)</f>
        <v>18</v>
      </c>
      <c r="P70" s="40">
        <f>IFERROR(VLOOKUP("188mg LP",Controls!A:J,5,0),0)</f>
        <v>16200</v>
      </c>
      <c r="Q70" s="39">
        <f>IFERROR(VLOOKUP("188mg LP",Controls!A:J,6,0),3)</f>
        <v>3</v>
      </c>
      <c r="R70" s="21" t="str">
        <f>IFERROR(VLOOKUP("188mg LP",Controls!A:K,10,0),"")</f>
        <v>Fisher / ThermoFisher Allentown</v>
      </c>
      <c r="S70" s="41">
        <f t="shared" si="10"/>
        <v>47969</v>
      </c>
      <c r="T70" s="30">
        <f t="shared" si="11"/>
        <v>0</v>
      </c>
      <c r="AB70">
        <f t="shared" si="13"/>
        <v>598349.53033180942</v>
      </c>
    </row>
    <row r="71" spans="1:28" ht="13" customHeight="1" x14ac:dyDescent="0.35">
      <c r="A71" s="153">
        <v>48092</v>
      </c>
      <c r="B71" s="36" t="s">
        <v>26</v>
      </c>
      <c r="C71" s="15" t="s">
        <v>28</v>
      </c>
      <c r="D71" s="15" t="s">
        <v>29</v>
      </c>
      <c r="E71" s="30">
        <f>H70</f>
        <v>-502946.18376938626</v>
      </c>
      <c r="F71" s="37">
        <f>IFERROR(SUMIFS('Demand Inputs'!$BU$5:$BU$202,'Demand Inputs'!$A$5:$A$202,"188mg LP",'Demand Inputs'!$B$5:$B$202,"&lt;&gt;AGGREGATE",'Demand Inputs'!$E$5:$E$202,1),0)</f>
        <v>20758.438539557646</v>
      </c>
      <c r="G71" s="37">
        <f t="array" ref="G71">IFERROR(SUMPRODUCT(('Production Inputs'!$A:$A="188mg LP")*('Production Inputs'!$B:$B="TOTAL ACTIVE")*'Production Inputs'!$CA:$CA),0)</f>
        <v>0</v>
      </c>
      <c r="H71" s="30">
        <f t="shared" si="7"/>
        <v>-523704.62230894389</v>
      </c>
      <c r="I71" s="30">
        <f ca="1">IFERROR(AVERAGEIF(OFFSET(F71,0,0,MIN(Controls!$B$8,COUNTIF(B71:B$1973,B71)),1),"&gt;"&amp;0),0)</f>
        <v>22337.807407077078</v>
      </c>
      <c r="J71" s="38">
        <f t="shared" ca="1" si="8"/>
        <v>-23.44476397191174</v>
      </c>
      <c r="K71" s="30">
        <f t="shared" ca="1" si="12"/>
        <v>729000</v>
      </c>
      <c r="L71" t="str">
        <f t="shared" si="9"/>
        <v>High</v>
      </c>
      <c r="M71" s="39">
        <f>IFERROR(VLOOKUP("188mg LP",Controls!A:I,7,0),6)</f>
        <v>9</v>
      </c>
      <c r="N71" s="39">
        <f>IFERROR(VLOOKUP("188mg LP",Controls!A:I,8,0),3)</f>
        <v>8</v>
      </c>
      <c r="O71" s="39">
        <f>IFERROR(VLOOKUP("188mg LP",Controls!A:I,9,0),18)</f>
        <v>18</v>
      </c>
      <c r="P71" s="40">
        <f>IFERROR(VLOOKUP("188mg LP",Controls!A:J,5,0),0)</f>
        <v>16200</v>
      </c>
      <c r="Q71" s="39">
        <f>IFERROR(VLOOKUP("188mg LP",Controls!A:J,6,0),3)</f>
        <v>3</v>
      </c>
      <c r="R71" s="21" t="str">
        <f>IFERROR(VLOOKUP("188mg LP",Controls!A:K,10,0),"")</f>
        <v>Fisher / ThermoFisher Allentown</v>
      </c>
      <c r="S71" s="41">
        <f t="shared" si="10"/>
        <v>48000</v>
      </c>
      <c r="T71" s="30">
        <f t="shared" si="11"/>
        <v>0</v>
      </c>
      <c r="AB71">
        <f t="shared" si="13"/>
        <v>619107.96887136705</v>
      </c>
    </row>
    <row r="72" spans="1:28" ht="13" customHeight="1" x14ac:dyDescent="0.35">
      <c r="A72" s="153">
        <v>48122</v>
      </c>
      <c r="B72" s="36" t="s">
        <v>26</v>
      </c>
      <c r="C72" s="15" t="s">
        <v>28</v>
      </c>
      <c r="D72" s="15" t="s">
        <v>29</v>
      </c>
      <c r="E72" s="30">
        <f>H71</f>
        <v>-523704.62230894389</v>
      </c>
      <c r="F72" s="37">
        <f>IFERROR(SUMIFS('Demand Inputs'!$BV$5:$BV$202,'Demand Inputs'!$A$5:$A$202,"188mg LP",'Demand Inputs'!$B$5:$B$202,"&lt;&gt;AGGREGATE",'Demand Inputs'!$E$5:$E$202,1),0)</f>
        <v>21775.369520488282</v>
      </c>
      <c r="G72" s="37">
        <f t="array" ref="G72">IFERROR(SUMPRODUCT(('Production Inputs'!$A:$A="188mg LP")*('Production Inputs'!$B:$B="TOTAL ACTIVE")*'Production Inputs'!$CB:$CB),0)</f>
        <v>0</v>
      </c>
      <c r="H72" s="30">
        <f t="shared" si="7"/>
        <v>-545479.9918294322</v>
      </c>
      <c r="I72" s="30">
        <f ca="1">IFERROR(AVERAGEIF(OFFSET(F72,0,0,MIN(Controls!$B$8,COUNTIF(B72:B$1973,B72)),1),"&gt;"&amp;0),0)</f>
        <v>22343.156424690456</v>
      </c>
      <c r="J72" s="38">
        <f t="shared" ca="1" si="8"/>
        <v>-24.413739109244467</v>
      </c>
      <c r="K72" s="30">
        <f t="shared" ca="1" si="12"/>
        <v>745200</v>
      </c>
      <c r="L72" t="str">
        <f t="shared" si="9"/>
        <v>High</v>
      </c>
      <c r="M72" s="39">
        <f>IFERROR(VLOOKUP("188mg LP",Controls!A:I,7,0),6)</f>
        <v>9</v>
      </c>
      <c r="N72" s="39">
        <f>IFERROR(VLOOKUP("188mg LP",Controls!A:I,8,0),3)</f>
        <v>8</v>
      </c>
      <c r="O72" s="39">
        <f>IFERROR(VLOOKUP("188mg LP",Controls!A:I,9,0),18)</f>
        <v>18</v>
      </c>
      <c r="P72" s="40">
        <f>IFERROR(VLOOKUP("188mg LP",Controls!A:J,5,0),0)</f>
        <v>16200</v>
      </c>
      <c r="Q72" s="39">
        <f>IFERROR(VLOOKUP("188mg LP",Controls!A:J,6,0),3)</f>
        <v>3</v>
      </c>
      <c r="R72" s="21" t="str">
        <f>IFERROR(VLOOKUP("188mg LP",Controls!A:K,10,0),"")</f>
        <v>Fisher / ThermoFisher Allentown</v>
      </c>
      <c r="S72" s="41">
        <f t="shared" si="10"/>
        <v>48030</v>
      </c>
      <c r="T72" s="30">
        <f t="shared" si="11"/>
        <v>0</v>
      </c>
      <c r="AB72">
        <f t="shared" si="13"/>
        <v>640883.33839185536</v>
      </c>
    </row>
    <row r="73" spans="1:28" ht="13" customHeight="1" x14ac:dyDescent="0.35">
      <c r="A73" s="153">
        <v>48153</v>
      </c>
      <c r="B73" s="36" t="s">
        <v>26</v>
      </c>
      <c r="C73" s="15" t="s">
        <v>28</v>
      </c>
      <c r="D73" s="15" t="s">
        <v>29</v>
      </c>
      <c r="E73" s="30">
        <f>H72</f>
        <v>-545479.9918294322</v>
      </c>
      <c r="F73" s="37">
        <f>IFERROR(SUMIFS('Demand Inputs'!$BW$5:$BW$202,'Demand Inputs'!$A$5:$A$202,"188mg LP",'Demand Inputs'!$B$5:$B$202,"&lt;&gt;AGGREGATE",'Demand Inputs'!$E$5:$E$202,1),0)</f>
        <v>24062.823454952217</v>
      </c>
      <c r="G73" s="37">
        <f t="array" ref="G73">IFERROR(SUMPRODUCT(('Production Inputs'!$A:$A="188mg LP")*('Production Inputs'!$B:$B="TOTAL ACTIVE")*'Production Inputs'!$CC:$CC),0)</f>
        <v>0</v>
      </c>
      <c r="H73" s="30">
        <f t="shared" si="7"/>
        <v>-569542.81528438441</v>
      </c>
      <c r="I73" s="30">
        <f ca="1">IFERROR(AVERAGEIF(OFFSET(F73,0,0,MIN(Controls!$B$8,COUNTIF(B73:B$1973,B73)),1),"&gt;"&amp;0),0)</f>
        <v>22606.228853394499</v>
      </c>
      <c r="J73" s="38">
        <f t="shared" ca="1" si="8"/>
        <v>-25.194065714276054</v>
      </c>
      <c r="K73" s="30">
        <f t="shared" ca="1" si="12"/>
        <v>777600</v>
      </c>
      <c r="L73" t="str">
        <f t="shared" si="9"/>
        <v>High</v>
      </c>
      <c r="M73" s="39">
        <f>IFERROR(VLOOKUP("188mg LP",Controls!A:I,7,0),6)</f>
        <v>9</v>
      </c>
      <c r="N73" s="39">
        <f>IFERROR(VLOOKUP("188mg LP",Controls!A:I,8,0),3)</f>
        <v>8</v>
      </c>
      <c r="O73" s="39">
        <f>IFERROR(VLOOKUP("188mg LP",Controls!A:I,9,0),18)</f>
        <v>18</v>
      </c>
      <c r="P73" s="40">
        <f>IFERROR(VLOOKUP("188mg LP",Controls!A:J,5,0),0)</f>
        <v>16200</v>
      </c>
      <c r="Q73" s="39">
        <f>IFERROR(VLOOKUP("188mg LP",Controls!A:J,6,0),3)</f>
        <v>3</v>
      </c>
      <c r="R73" s="21" t="str">
        <f>IFERROR(VLOOKUP("188mg LP",Controls!A:K,10,0),"")</f>
        <v>Fisher / ThermoFisher Allentown</v>
      </c>
      <c r="S73" s="41">
        <f t="shared" si="10"/>
        <v>48061</v>
      </c>
      <c r="T73" s="30">
        <f t="shared" si="11"/>
        <v>0</v>
      </c>
      <c r="AB73">
        <f t="shared" si="13"/>
        <v>664946.16184680758</v>
      </c>
    </row>
    <row r="74" spans="1:28" ht="13" customHeight="1" x14ac:dyDescent="0.35">
      <c r="A74" s="153">
        <v>48183</v>
      </c>
      <c r="B74" s="36" t="s">
        <v>26</v>
      </c>
      <c r="C74" s="15" t="s">
        <v>28</v>
      </c>
      <c r="D74" s="15" t="s">
        <v>29</v>
      </c>
      <c r="E74" s="30">
        <f>H73</f>
        <v>-569542.81528438441</v>
      </c>
      <c r="F74" s="37">
        <f>IFERROR(SUMIFS('Demand Inputs'!$BX$5:$BX$202,'Demand Inputs'!$A$5:$A$202,"188mg LP",'Demand Inputs'!$B$5:$B$202,"&lt;&gt;AGGREGATE",'Demand Inputs'!$E$5:$E$202,1),0)</f>
        <v>16220.019773091768</v>
      </c>
      <c r="G74" s="37">
        <f t="array" ref="G74">IFERROR(SUMPRODUCT(('Production Inputs'!$A:$A="188mg LP")*('Production Inputs'!$B:$B="TOTAL ACTIVE")*'Production Inputs'!$CD:$CD),0)</f>
        <v>0</v>
      </c>
      <c r="H74" s="30">
        <f t="shared" si="7"/>
        <v>-585762.83505747619</v>
      </c>
      <c r="I74" s="30">
        <f ca="1">IFERROR(AVERAGEIF(OFFSET(F74,0,0,MIN(Controls!$B$8,COUNTIF(B74:B$1973,B74)),1),"&gt;"&amp;0),0)</f>
        <v>22551.299153479442</v>
      </c>
      <c r="J74" s="38">
        <f t="shared" ca="1" si="8"/>
        <v>-25.974682481523409</v>
      </c>
      <c r="K74" s="30">
        <f t="shared" ca="1" si="12"/>
        <v>793800</v>
      </c>
      <c r="L74" t="str">
        <f t="shared" si="9"/>
        <v>High</v>
      </c>
      <c r="M74" s="39">
        <f>IFERROR(VLOOKUP("188mg LP",Controls!A:I,7,0),6)</f>
        <v>9</v>
      </c>
      <c r="N74" s="39">
        <f>IFERROR(VLOOKUP("188mg LP",Controls!A:I,8,0),3)</f>
        <v>8</v>
      </c>
      <c r="O74" s="39">
        <f>IFERROR(VLOOKUP("188mg LP",Controls!A:I,9,0),18)</f>
        <v>18</v>
      </c>
      <c r="P74" s="40">
        <f>IFERROR(VLOOKUP("188mg LP",Controls!A:J,5,0),0)</f>
        <v>16200</v>
      </c>
      <c r="Q74" s="39">
        <f>IFERROR(VLOOKUP("188mg LP",Controls!A:J,6,0),3)</f>
        <v>3</v>
      </c>
      <c r="R74" s="21" t="str">
        <f>IFERROR(VLOOKUP("188mg LP",Controls!A:K,10,0),"")</f>
        <v>Fisher / ThermoFisher Allentown</v>
      </c>
      <c r="S74" s="41">
        <f t="shared" si="10"/>
        <v>48092</v>
      </c>
      <c r="T74" s="30">
        <f t="shared" si="11"/>
        <v>0</v>
      </c>
      <c r="AB74">
        <f t="shared" si="13"/>
        <v>681166.18161989935</v>
      </c>
    </row>
    <row r="75" spans="1:28" ht="13" customHeight="1" x14ac:dyDescent="0.35">
      <c r="A75" s="153">
        <v>48214</v>
      </c>
      <c r="B75" s="36" t="s">
        <v>26</v>
      </c>
      <c r="C75" s="15" t="s">
        <v>28</v>
      </c>
      <c r="D75" s="15" t="s">
        <v>29</v>
      </c>
      <c r="E75" s="30">
        <f>H74</f>
        <v>-585762.83505747619</v>
      </c>
      <c r="F75" s="37">
        <f>IFERROR(SUMIFS('Demand Inputs'!$BY$5:$BY$202,'Demand Inputs'!$A$5:$A$202,"188mg LP",'Demand Inputs'!$B$5:$B$202,"&lt;&gt;AGGREGATE",'Demand Inputs'!$E$5:$E$202,1),0)</f>
        <v>26313.972639173018</v>
      </c>
      <c r="G75" s="37">
        <f t="array" ref="G75">IFERROR(SUMPRODUCT(('Production Inputs'!$A:$A="188mg LP")*('Production Inputs'!$B:$B="TOTAL ACTIVE")*'Production Inputs'!$CE:$CE),0)</f>
        <v>0</v>
      </c>
      <c r="H75" s="30">
        <f t="shared" si="7"/>
        <v>-612076.80769664922</v>
      </c>
      <c r="I75" s="30">
        <f ca="1">IFERROR(AVERAGEIF(OFFSET(F75,0,0,MIN(Controls!$B$8,COUNTIF(B75:B$1973,B75)),1),"&gt;"&amp;0),0)</f>
        <v>23605.731448546692</v>
      </c>
      <c r="J75" s="38">
        <f t="shared" ca="1" si="8"/>
        <v>-25.929160849380597</v>
      </c>
      <c r="K75" s="30">
        <f t="shared" ca="1" si="12"/>
        <v>826200</v>
      </c>
      <c r="L75" t="str">
        <f t="shared" si="9"/>
        <v>High</v>
      </c>
      <c r="M75" s="39">
        <f>IFERROR(VLOOKUP("188mg LP",Controls!A:I,7,0),6)</f>
        <v>9</v>
      </c>
      <c r="N75" s="39">
        <f>IFERROR(VLOOKUP("188mg LP",Controls!A:I,8,0),3)</f>
        <v>8</v>
      </c>
      <c r="O75" s="39">
        <f>IFERROR(VLOOKUP("188mg LP",Controls!A:I,9,0),18)</f>
        <v>18</v>
      </c>
      <c r="P75" s="40">
        <f>IFERROR(VLOOKUP("188mg LP",Controls!A:J,5,0),0)</f>
        <v>16200</v>
      </c>
      <c r="Q75" s="39">
        <f>IFERROR(VLOOKUP("188mg LP",Controls!A:J,6,0),3)</f>
        <v>3</v>
      </c>
      <c r="R75" s="21" t="str">
        <f>IFERROR(VLOOKUP("188mg LP",Controls!A:K,10,0),"")</f>
        <v>Fisher / ThermoFisher Allentown</v>
      </c>
      <c r="S75" s="41">
        <f t="shared" si="10"/>
        <v>48122</v>
      </c>
      <c r="T75" s="30">
        <f t="shared" si="11"/>
        <v>0</v>
      </c>
      <c r="AB75">
        <f t="shared" si="13"/>
        <v>707480.15425907238</v>
      </c>
    </row>
    <row r="76" spans="1:28" ht="13" customHeight="1" x14ac:dyDescent="0.35">
      <c r="A76" s="153">
        <v>48245</v>
      </c>
      <c r="B76" s="36" t="s">
        <v>26</v>
      </c>
      <c r="C76" s="15" t="s">
        <v>28</v>
      </c>
      <c r="D76" s="15" t="s">
        <v>29</v>
      </c>
      <c r="E76" s="30">
        <f>H75</f>
        <v>-612076.80769664922</v>
      </c>
      <c r="F76" s="37">
        <f>IFERROR(SUMIFS('Demand Inputs'!$BZ$5:$BZ$202,'Demand Inputs'!$A$5:$A$202,"188mg LP",'Demand Inputs'!$B$5:$B$202,"&lt;&gt;AGGREGATE",'Demand Inputs'!$E$5:$E$202,1),0)</f>
        <v>20229.581100876891</v>
      </c>
      <c r="G76" s="37">
        <f t="array" ref="G76">IFERROR(SUMPRODUCT(('Production Inputs'!$A:$A="188mg LP")*('Production Inputs'!$B:$B="TOTAL ACTIVE")*'Production Inputs'!$CF:$CF),0)</f>
        <v>0</v>
      </c>
      <c r="H76" s="30">
        <f t="shared" si="7"/>
        <v>-632306.38879752613</v>
      </c>
      <c r="I76" s="30">
        <f ca="1">IFERROR(AVERAGEIF(OFFSET(F76,0,0,MIN(Controls!$B$8,COUNTIF(B76:B$1973,B76)),1),"&gt;"&amp;0),0)</f>
        <v>23256.681780962383</v>
      </c>
      <c r="J76" s="38">
        <f t="shared" ca="1" si="8"/>
        <v>-27.188160149102782</v>
      </c>
      <c r="K76" s="30">
        <f t="shared" ca="1" si="12"/>
        <v>842400</v>
      </c>
      <c r="L76" t="str">
        <f t="shared" si="9"/>
        <v>High</v>
      </c>
      <c r="M76" s="39">
        <f>IFERROR(VLOOKUP("188mg LP",Controls!A:I,7,0),6)</f>
        <v>9</v>
      </c>
      <c r="N76" s="39">
        <f>IFERROR(VLOOKUP("188mg LP",Controls!A:I,8,0),3)</f>
        <v>8</v>
      </c>
      <c r="O76" s="39">
        <f>IFERROR(VLOOKUP("188mg LP",Controls!A:I,9,0),18)</f>
        <v>18</v>
      </c>
      <c r="P76" s="40">
        <f>IFERROR(VLOOKUP("188mg LP",Controls!A:J,5,0),0)</f>
        <v>16200</v>
      </c>
      <c r="Q76" s="39">
        <f>IFERROR(VLOOKUP("188mg LP",Controls!A:J,6,0),3)</f>
        <v>3</v>
      </c>
      <c r="R76" s="21" t="str">
        <f>IFERROR(VLOOKUP("188mg LP",Controls!A:K,10,0),"")</f>
        <v>Fisher / ThermoFisher Allentown</v>
      </c>
      <c r="S76" s="41">
        <f t="shared" si="10"/>
        <v>48153</v>
      </c>
      <c r="T76" s="30">
        <f t="shared" si="11"/>
        <v>0</v>
      </c>
      <c r="AB76">
        <f t="shared" si="13"/>
        <v>727709.73535994929</v>
      </c>
    </row>
    <row r="77" spans="1:28" ht="13" customHeight="1" x14ac:dyDescent="0.35">
      <c r="A77" s="153">
        <v>48274</v>
      </c>
      <c r="B77" s="36" t="s">
        <v>26</v>
      </c>
      <c r="C77" s="15" t="s">
        <v>28</v>
      </c>
      <c r="D77" s="15" t="s">
        <v>29</v>
      </c>
      <c r="E77" s="30">
        <f>H76</f>
        <v>-632306.38879752613</v>
      </c>
      <c r="F77" s="37">
        <f>IFERROR(SUMIFS('Demand Inputs'!$CA$5:$CA$202,'Demand Inputs'!$A$5:$A$202,"188mg LP",'Demand Inputs'!$B$5:$B$202,"&lt;&gt;AGGREGATE",'Demand Inputs'!$E$5:$E$202,1),0)</f>
        <v>19647.071002106328</v>
      </c>
      <c r="G77" s="37">
        <f t="array" ref="G77">IFERROR(SUMPRODUCT(('Production Inputs'!$A:$A="188mg LP")*('Production Inputs'!$B:$B="TOTAL ACTIVE")*'Production Inputs'!$CG:$CG),0)</f>
        <v>0</v>
      </c>
      <c r="H77" s="30">
        <f t="shared" si="7"/>
        <v>-651953.45979963243</v>
      </c>
      <c r="I77" s="30">
        <f ca="1">IFERROR(AVERAGEIF(OFFSET(F77,0,0,MIN(Controls!$B$8,COUNTIF(B77:B$1973,B77)),1),"&gt;"&amp;0),0)</f>
        <v>23438.006620306223</v>
      </c>
      <c r="J77" s="38">
        <f t="shared" ca="1" si="8"/>
        <v>-27.816079684643185</v>
      </c>
      <c r="K77" s="30">
        <f t="shared" ca="1" si="12"/>
        <v>858600</v>
      </c>
      <c r="L77" t="str">
        <f t="shared" si="9"/>
        <v>High</v>
      </c>
      <c r="M77" s="39">
        <f>IFERROR(VLOOKUP("188mg LP",Controls!A:I,7,0),6)</f>
        <v>9</v>
      </c>
      <c r="N77" s="39">
        <f>IFERROR(VLOOKUP("188mg LP",Controls!A:I,8,0),3)</f>
        <v>8</v>
      </c>
      <c r="O77" s="39">
        <f>IFERROR(VLOOKUP("188mg LP",Controls!A:I,9,0),18)</f>
        <v>18</v>
      </c>
      <c r="P77" s="40">
        <f>IFERROR(VLOOKUP("188mg LP",Controls!A:J,5,0),0)</f>
        <v>16200</v>
      </c>
      <c r="Q77" s="39">
        <f>IFERROR(VLOOKUP("188mg LP",Controls!A:J,6,0),3)</f>
        <v>3</v>
      </c>
      <c r="R77" s="21" t="str">
        <f>IFERROR(VLOOKUP("188mg LP",Controls!A:K,10,0),"")</f>
        <v>Fisher / ThermoFisher Allentown</v>
      </c>
      <c r="S77" s="41">
        <f t="shared" si="10"/>
        <v>48183</v>
      </c>
      <c r="T77" s="30">
        <f t="shared" si="11"/>
        <v>0</v>
      </c>
      <c r="AB77">
        <f t="shared" si="13"/>
        <v>747356.80636205559</v>
      </c>
    </row>
    <row r="78" spans="1:28" ht="13" customHeight="1" x14ac:dyDescent="0.35">
      <c r="A78" s="153">
        <v>48305</v>
      </c>
      <c r="B78" s="36" t="s">
        <v>26</v>
      </c>
      <c r="C78" s="15" t="s">
        <v>28</v>
      </c>
      <c r="D78" s="15" t="s">
        <v>29</v>
      </c>
      <c r="E78" s="30">
        <f>H77</f>
        <v>-651953.45979963243</v>
      </c>
      <c r="F78" s="37">
        <f>IFERROR(SUMIFS('Demand Inputs'!$CB$5:$CB$202,'Demand Inputs'!$A$5:$A$202,"188mg LP",'Demand Inputs'!$B$5:$B$202,"&lt;&gt;AGGREGATE",'Demand Inputs'!$E$5:$E$202,1),0)</f>
        <v>28104.545886704265</v>
      </c>
      <c r="G78" s="37">
        <f t="array" ref="G78">IFERROR(SUMPRODUCT(('Production Inputs'!$A:$A="188mg LP")*('Production Inputs'!$B:$B="TOTAL ACTIVE")*'Production Inputs'!$CH:$CH),0)</f>
        <v>0</v>
      </c>
      <c r="H78" s="30">
        <f t="shared" si="7"/>
        <v>-680058.00568633666</v>
      </c>
      <c r="I78" s="30">
        <f ca="1">IFERROR(AVERAGEIF(OFFSET(F78,0,0,MIN(Controls!$B$8,COUNTIF(B78:B$1973,B78)),1),"&gt;"&amp;0),0)</f>
        <v>23751.810490686388</v>
      </c>
      <c r="J78" s="38">
        <f t="shared" ca="1" si="8"/>
        <v>-28.631838653015631</v>
      </c>
      <c r="K78" s="30">
        <f t="shared" ca="1" si="12"/>
        <v>891000</v>
      </c>
      <c r="L78" t="str">
        <f t="shared" si="9"/>
        <v>High</v>
      </c>
      <c r="M78" s="39">
        <f>IFERROR(VLOOKUP("188mg LP",Controls!A:I,7,0),6)</f>
        <v>9</v>
      </c>
      <c r="N78" s="39">
        <f>IFERROR(VLOOKUP("188mg LP",Controls!A:I,8,0),3)</f>
        <v>8</v>
      </c>
      <c r="O78" s="39">
        <f>IFERROR(VLOOKUP("188mg LP",Controls!A:I,9,0),18)</f>
        <v>18</v>
      </c>
      <c r="P78" s="40">
        <f>IFERROR(VLOOKUP("188mg LP",Controls!A:J,5,0),0)</f>
        <v>16200</v>
      </c>
      <c r="Q78" s="39">
        <f>IFERROR(VLOOKUP("188mg LP",Controls!A:J,6,0),3)</f>
        <v>3</v>
      </c>
      <c r="R78" s="21" t="str">
        <f>IFERROR(VLOOKUP("188mg LP",Controls!A:K,10,0),"")</f>
        <v>Fisher / ThermoFisher Allentown</v>
      </c>
      <c r="S78" s="41">
        <f t="shared" si="10"/>
        <v>48214</v>
      </c>
      <c r="T78" s="30">
        <f t="shared" si="11"/>
        <v>0</v>
      </c>
      <c r="AB78">
        <f t="shared" si="13"/>
        <v>775461.35224875982</v>
      </c>
    </row>
    <row r="79" spans="1:28" ht="13" customHeight="1" x14ac:dyDescent="0.35">
      <c r="A79" s="153">
        <v>48335</v>
      </c>
      <c r="B79" s="36" t="s">
        <v>26</v>
      </c>
      <c r="C79" s="15" t="s">
        <v>28</v>
      </c>
      <c r="D79" s="15" t="s">
        <v>29</v>
      </c>
      <c r="E79" s="30">
        <f>H78</f>
        <v>-680058.00568633666</v>
      </c>
      <c r="F79" s="37">
        <f>IFERROR(SUMIFS('Demand Inputs'!$CC$5:$CC$202,'Demand Inputs'!$A$5:$A$202,"188mg LP",'Demand Inputs'!$B$5:$B$202,"&lt;&gt;AGGREGATE",'Demand Inputs'!$E$5:$E$202,1),0)</f>
        <v>23928.444746743262</v>
      </c>
      <c r="G79" s="37">
        <f t="array" ref="G79">IFERROR(SUMPRODUCT(('Production Inputs'!$A:$A="188mg LP")*('Production Inputs'!$B:$B="TOTAL ACTIVE")*'Production Inputs'!$CI:$CI),0)</f>
        <v>0</v>
      </c>
      <c r="H79" s="30">
        <f t="shared" si="7"/>
        <v>-703986.45043307997</v>
      </c>
      <c r="I79" s="30">
        <f ca="1">IFERROR(AVERAGEIF(OFFSET(F79,0,0,MIN(Controls!$B$8,COUNTIF(B79:B$1973,B79)),1),"&gt;"&amp;0),0)</f>
        <v>23573.602574965709</v>
      </c>
      <c r="J79" s="38">
        <f t="shared" ca="1" si="8"/>
        <v>-29.863337527403957</v>
      </c>
      <c r="K79" s="30">
        <f t="shared" ca="1" si="12"/>
        <v>923400</v>
      </c>
      <c r="L79" t="str">
        <f t="shared" si="9"/>
        <v>High</v>
      </c>
      <c r="M79" s="39">
        <f>IFERROR(VLOOKUP("188mg LP",Controls!A:I,7,0),6)</f>
        <v>9</v>
      </c>
      <c r="N79" s="39">
        <f>IFERROR(VLOOKUP("188mg LP",Controls!A:I,8,0),3)</f>
        <v>8</v>
      </c>
      <c r="O79" s="39">
        <f>IFERROR(VLOOKUP("188mg LP",Controls!A:I,9,0),18)</f>
        <v>18</v>
      </c>
      <c r="P79" s="40">
        <f>IFERROR(VLOOKUP("188mg LP",Controls!A:J,5,0),0)</f>
        <v>16200</v>
      </c>
      <c r="Q79" s="39">
        <f>IFERROR(VLOOKUP("188mg LP",Controls!A:J,6,0),3)</f>
        <v>3</v>
      </c>
      <c r="R79" s="21" t="str">
        <f>IFERROR(VLOOKUP("188mg LP",Controls!A:K,10,0),"")</f>
        <v>Fisher / ThermoFisher Allentown</v>
      </c>
      <c r="S79" s="41">
        <f t="shared" si="10"/>
        <v>48245</v>
      </c>
      <c r="T79" s="30">
        <f t="shared" si="11"/>
        <v>0</v>
      </c>
      <c r="AB79">
        <f t="shared" si="13"/>
        <v>799389.79699550313</v>
      </c>
    </row>
    <row r="80" spans="1:28" ht="13" customHeight="1" x14ac:dyDescent="0.35">
      <c r="A80" s="153">
        <v>48366</v>
      </c>
      <c r="B80" s="36" t="s">
        <v>26</v>
      </c>
      <c r="C80" s="15" t="s">
        <v>28</v>
      </c>
      <c r="D80" s="15" t="s">
        <v>29</v>
      </c>
      <c r="E80" s="30">
        <f>H79</f>
        <v>-703986.45043307997</v>
      </c>
      <c r="F80" s="37">
        <f>IFERROR(SUMIFS('Demand Inputs'!$CD$5:$CD$202,'Demand Inputs'!$A$5:$A$202,"188mg LP",'Demand Inputs'!$B$5:$B$202,"&lt;&gt;AGGREGATE",'Demand Inputs'!$E$5:$E$202,1),0)</f>
        <v>20806.57969807808</v>
      </c>
      <c r="G80" s="37">
        <f t="array" ref="G80">IFERROR(SUMPRODUCT(('Production Inputs'!$A:$A="188mg LP")*('Production Inputs'!$B:$B="TOTAL ACTIVE")*'Production Inputs'!$CJ:$CJ),0)</f>
        <v>0</v>
      </c>
      <c r="H80" s="30">
        <f t="shared" si="7"/>
        <v>-724793.03013115807</v>
      </c>
      <c r="I80" s="30">
        <f ca="1">IFERROR(AVERAGEIF(OFFSET(F80,0,0,MIN(Controls!$B$8,COUNTIF(B80:B$1973,B80)),1),"&gt;"&amp;0),0)</f>
        <v>23042.986150582263</v>
      </c>
      <c r="J80" s="38">
        <f t="shared" ca="1" si="8"/>
        <v>-31.453954161789209</v>
      </c>
      <c r="K80" s="30">
        <f t="shared" ca="1" si="12"/>
        <v>939600</v>
      </c>
      <c r="L80" t="str">
        <f t="shared" si="9"/>
        <v>High</v>
      </c>
      <c r="M80" s="39">
        <f>IFERROR(VLOOKUP("188mg LP",Controls!A:I,7,0),6)</f>
        <v>9</v>
      </c>
      <c r="N80" s="39">
        <f>IFERROR(VLOOKUP("188mg LP",Controls!A:I,8,0),3)</f>
        <v>8</v>
      </c>
      <c r="O80" s="39">
        <f>IFERROR(VLOOKUP("188mg LP",Controls!A:I,9,0),18)</f>
        <v>18</v>
      </c>
      <c r="P80" s="40">
        <f>IFERROR(VLOOKUP("188mg LP",Controls!A:J,5,0),0)</f>
        <v>16200</v>
      </c>
      <c r="Q80" s="39">
        <f>IFERROR(VLOOKUP("188mg LP",Controls!A:J,6,0),3)</f>
        <v>3</v>
      </c>
      <c r="R80" s="21" t="str">
        <f>IFERROR(VLOOKUP("188mg LP",Controls!A:K,10,0),"")</f>
        <v>Fisher / ThermoFisher Allentown</v>
      </c>
      <c r="S80" s="41">
        <f t="shared" si="10"/>
        <v>48274</v>
      </c>
      <c r="T80" s="30">
        <f t="shared" si="11"/>
        <v>0</v>
      </c>
      <c r="AB80">
        <f t="shared" si="13"/>
        <v>820196.37669358123</v>
      </c>
    </row>
    <row r="81" spans="1:28" ht="13" customHeight="1" x14ac:dyDescent="0.35">
      <c r="A81" s="153">
        <v>48396</v>
      </c>
      <c r="B81" s="36" t="s">
        <v>26</v>
      </c>
      <c r="C81" s="15" t="s">
        <v>28</v>
      </c>
      <c r="D81" s="15" t="s">
        <v>29</v>
      </c>
      <c r="E81" s="30">
        <f>H80</f>
        <v>-724793.03013115807</v>
      </c>
      <c r="F81" s="37">
        <f>IFERROR(SUMIFS('Demand Inputs'!$CE$5:$CE$202,'Demand Inputs'!$A$5:$A$202,"188mg LP",'Demand Inputs'!$B$5:$B$202,"&lt;&gt;AGGREGATE",'Demand Inputs'!$E$5:$E$202,1),0)</f>
        <v>24143.021378824651</v>
      </c>
      <c r="G81" s="37">
        <f t="array" ref="G81">IFERROR(SUMPRODUCT(('Production Inputs'!$A:$A="188mg LP")*('Production Inputs'!$B:$B="TOTAL ACTIVE")*'Production Inputs'!$CK:$CK),0)</f>
        <v>0</v>
      </c>
      <c r="H81" s="30">
        <f t="shared" si="7"/>
        <v>-748936.05150998267</v>
      </c>
      <c r="I81" s="30">
        <f ca="1">IFERROR(AVERAGEIF(OFFSET(F81,0,0,MIN(Controls!$B$8,COUNTIF(B81:B$1973,B81)),1),"&gt;"&amp;0),0)</f>
        <v>23066.184588725388</v>
      </c>
      <c r="J81" s="38">
        <f t="shared" ca="1" si="8"/>
        <v>-32.469004513041924</v>
      </c>
      <c r="K81" s="30">
        <f t="shared" ca="1" si="12"/>
        <v>955800</v>
      </c>
      <c r="L81" t="str">
        <f t="shared" si="9"/>
        <v>High</v>
      </c>
      <c r="M81" s="39">
        <f>IFERROR(VLOOKUP("188mg LP",Controls!A:I,7,0),6)</f>
        <v>9</v>
      </c>
      <c r="N81" s="39">
        <f>IFERROR(VLOOKUP("188mg LP",Controls!A:I,8,0),3)</f>
        <v>8</v>
      </c>
      <c r="O81" s="39">
        <f>IFERROR(VLOOKUP("188mg LP",Controls!A:I,9,0),18)</f>
        <v>18</v>
      </c>
      <c r="P81" s="40">
        <f>IFERROR(VLOOKUP("188mg LP",Controls!A:J,5,0),0)</f>
        <v>16200</v>
      </c>
      <c r="Q81" s="39">
        <f>IFERROR(VLOOKUP("188mg LP",Controls!A:J,6,0),3)</f>
        <v>3</v>
      </c>
      <c r="R81" s="21" t="str">
        <f>IFERROR(VLOOKUP("188mg LP",Controls!A:K,10,0),"")</f>
        <v>Fisher / ThermoFisher Allentown</v>
      </c>
      <c r="S81" s="41">
        <f t="shared" si="10"/>
        <v>48305</v>
      </c>
      <c r="T81" s="30">
        <f t="shared" si="11"/>
        <v>0</v>
      </c>
      <c r="AB81">
        <f t="shared" si="13"/>
        <v>844339.39807240583</v>
      </c>
    </row>
    <row r="82" spans="1:28" ht="13" customHeight="1" x14ac:dyDescent="0.35">
      <c r="A82" s="153">
        <v>48427</v>
      </c>
      <c r="B82" s="36" t="s">
        <v>26</v>
      </c>
      <c r="C82" s="15" t="s">
        <v>28</v>
      </c>
      <c r="D82" s="15" t="s">
        <v>29</v>
      </c>
      <c r="E82" s="30">
        <f>H81</f>
        <v>-748936.05150998267</v>
      </c>
      <c r="F82" s="37">
        <f>IFERROR(SUMIFS('Demand Inputs'!$CF$5:$CF$202,'Demand Inputs'!$A$5:$A$202,"188mg LP",'Demand Inputs'!$B$5:$B$202,"&lt;&gt;AGGREGATE",'Demand Inputs'!$E$5:$E$202,1),0)</f>
        <v>23568.456155716733</v>
      </c>
      <c r="G82" s="37">
        <f t="array" ref="G82">IFERROR(SUMPRODUCT(('Production Inputs'!$A:$A="188mg LP")*('Production Inputs'!$B:$B="TOTAL ACTIVE")*'Production Inputs'!$CL:$CL),0)</f>
        <v>0</v>
      </c>
      <c r="H82" s="30">
        <f t="shared" si="7"/>
        <v>-772504.50766569935</v>
      </c>
      <c r="I82" s="30">
        <f ca="1">IFERROR(AVERAGEIF(OFFSET(F82,0,0,MIN(Controls!$B$8,COUNTIF(B82:B$1973,B82)),1),"&gt;"&amp;0),0)</f>
        <v>23600.211869118353</v>
      </c>
      <c r="J82" s="38">
        <f t="shared" ca="1" si="8"/>
        <v>-32.732947990036763</v>
      </c>
      <c r="K82" s="30">
        <f t="shared" ca="1" si="12"/>
        <v>988200</v>
      </c>
      <c r="L82" t="str">
        <f t="shared" si="9"/>
        <v>High</v>
      </c>
      <c r="M82" s="39">
        <f>IFERROR(VLOOKUP("188mg LP",Controls!A:I,7,0),6)</f>
        <v>9</v>
      </c>
      <c r="N82" s="39">
        <f>IFERROR(VLOOKUP("188mg LP",Controls!A:I,8,0),3)</f>
        <v>8</v>
      </c>
      <c r="O82" s="39">
        <f>IFERROR(VLOOKUP("188mg LP",Controls!A:I,9,0),18)</f>
        <v>18</v>
      </c>
      <c r="P82" s="40">
        <f>IFERROR(VLOOKUP("188mg LP",Controls!A:J,5,0),0)</f>
        <v>16200</v>
      </c>
      <c r="Q82" s="39">
        <f>IFERROR(VLOOKUP("188mg LP",Controls!A:J,6,0),3)</f>
        <v>3</v>
      </c>
      <c r="R82" s="21" t="str">
        <f>IFERROR(VLOOKUP("188mg LP",Controls!A:K,10,0),"")</f>
        <v>Fisher / ThermoFisher Allentown</v>
      </c>
      <c r="S82" s="41">
        <f t="shared" si="10"/>
        <v>48335</v>
      </c>
      <c r="T82" s="30">
        <f t="shared" si="11"/>
        <v>0</v>
      </c>
      <c r="AB82">
        <f t="shared" si="13"/>
        <v>867907.85422812263</v>
      </c>
    </row>
    <row r="83" spans="1:28" ht="13" customHeight="1" x14ac:dyDescent="0.35">
      <c r="A83" s="153">
        <v>48458</v>
      </c>
      <c r="B83" s="36" t="s">
        <v>26</v>
      </c>
      <c r="C83" s="15" t="s">
        <v>28</v>
      </c>
      <c r="D83" s="15" t="s">
        <v>29</v>
      </c>
      <c r="E83" s="30">
        <f>H82</f>
        <v>-772504.50766569935</v>
      </c>
      <c r="F83" s="37">
        <f>IFERROR(SUMIFS('Demand Inputs'!$CG$5:$CG$202,'Demand Inputs'!$A$5:$A$202,"188mg LP",'Demand Inputs'!$B$5:$B$202,"&lt;&gt;AGGREGATE",'Demand Inputs'!$E$5:$E$202,1),0)</f>
        <v>25709.910428696974</v>
      </c>
      <c r="G83" s="37">
        <f t="array" ref="G83">IFERROR(SUMPRODUCT(('Production Inputs'!$A:$A="188mg LP")*('Production Inputs'!$B:$B="TOTAL ACTIVE")*'Production Inputs'!$CM:$CM),0)</f>
        <v>0</v>
      </c>
      <c r="H83" s="30">
        <f t="shared" si="7"/>
        <v>-798214.41809439636</v>
      </c>
      <c r="I83" s="30">
        <f ca="1">IFERROR(AVERAGEIF(OFFSET(F83,0,0,MIN(Controls!$B$8,COUNTIF(B83:B$1973,B83)),1),"&gt;"&amp;0),0)</f>
        <v>23473.781491435257</v>
      </c>
      <c r="J83" s="38">
        <f t="shared" ca="1" si="8"/>
        <v>-34.004509174869682</v>
      </c>
      <c r="K83" s="30">
        <f t="shared" ca="1" si="12"/>
        <v>1004400</v>
      </c>
      <c r="L83" t="str">
        <f t="shared" si="9"/>
        <v>High</v>
      </c>
      <c r="M83" s="39">
        <f>IFERROR(VLOOKUP("188mg LP",Controls!A:I,7,0),6)</f>
        <v>9</v>
      </c>
      <c r="N83" s="39">
        <f>IFERROR(VLOOKUP("188mg LP",Controls!A:I,8,0),3)</f>
        <v>8</v>
      </c>
      <c r="O83" s="39">
        <f>IFERROR(VLOOKUP("188mg LP",Controls!A:I,9,0),18)</f>
        <v>18</v>
      </c>
      <c r="P83" s="40">
        <f>IFERROR(VLOOKUP("188mg LP",Controls!A:J,5,0),0)</f>
        <v>16200</v>
      </c>
      <c r="Q83" s="39">
        <f>IFERROR(VLOOKUP("188mg LP",Controls!A:J,6,0),3)</f>
        <v>3</v>
      </c>
      <c r="R83" s="21" t="str">
        <f>IFERROR(VLOOKUP("188mg LP",Controls!A:K,10,0),"")</f>
        <v>Fisher / ThermoFisher Allentown</v>
      </c>
      <c r="S83" s="41">
        <f t="shared" si="10"/>
        <v>48366</v>
      </c>
      <c r="T83" s="30">
        <f t="shared" si="11"/>
        <v>0</v>
      </c>
      <c r="AB83">
        <f t="shared" si="13"/>
        <v>893617.76465681964</v>
      </c>
    </row>
    <row r="84" spans="1:28" ht="13" customHeight="1" x14ac:dyDescent="0.35">
      <c r="A84" s="153">
        <v>48488</v>
      </c>
      <c r="B84" s="36" t="s">
        <v>26</v>
      </c>
      <c r="C84" s="15" t="s">
        <v>28</v>
      </c>
      <c r="D84" s="15" t="s">
        <v>29</v>
      </c>
      <c r="E84" s="30">
        <f>H83</f>
        <v>-798214.41809439636</v>
      </c>
      <c r="F84" s="37">
        <f>IFERROR(SUMIFS('Demand Inputs'!$CH$5:$CH$202,'Demand Inputs'!$A$5:$A$202,"188mg LP",'Demand Inputs'!$B$5:$B$202,"&lt;&gt;AGGREGATE",'Demand Inputs'!$E$5:$E$202,1),0)</f>
        <v>23172.525630914246</v>
      </c>
      <c r="G84" s="37">
        <f t="array" ref="G84">IFERROR(SUMPRODUCT(('Production Inputs'!$A:$A="188mg LP")*('Production Inputs'!$B:$B="TOTAL ACTIVE")*'Production Inputs'!$CN:$CN),0)</f>
        <v>0</v>
      </c>
      <c r="H84" s="30">
        <f t="shared" si="7"/>
        <v>-821386.94372531062</v>
      </c>
      <c r="I84" s="30">
        <f ca="1">IFERROR(AVERAGEIF(OFFSET(F84,0,0,MIN(Controls!$B$8,COUNTIF(B84:B$1973,B84)),1),"&gt;"&amp;0),0)</f>
        <v>23266.221235117337</v>
      </c>
      <c r="J84" s="38">
        <f t="shared" ca="1" si="8"/>
        <v>-35.303839649110436</v>
      </c>
      <c r="K84" s="30">
        <f t="shared" ca="1" si="12"/>
        <v>1036800</v>
      </c>
      <c r="L84" t="str">
        <f t="shared" si="9"/>
        <v>High</v>
      </c>
      <c r="M84" s="39">
        <f>IFERROR(VLOOKUP("188mg LP",Controls!A:I,7,0),6)</f>
        <v>9</v>
      </c>
      <c r="N84" s="39">
        <f>IFERROR(VLOOKUP("188mg LP",Controls!A:I,8,0),3)</f>
        <v>8</v>
      </c>
      <c r="O84" s="39">
        <f>IFERROR(VLOOKUP("188mg LP",Controls!A:I,9,0),18)</f>
        <v>18</v>
      </c>
      <c r="P84" s="40">
        <f>IFERROR(VLOOKUP("188mg LP",Controls!A:J,5,0),0)</f>
        <v>16200</v>
      </c>
      <c r="Q84" s="39">
        <f>IFERROR(VLOOKUP("188mg LP",Controls!A:J,6,0),3)</f>
        <v>3</v>
      </c>
      <c r="R84" s="21" t="str">
        <f>IFERROR(VLOOKUP("188mg LP",Controls!A:K,10,0),"")</f>
        <v>Fisher / ThermoFisher Allentown</v>
      </c>
      <c r="S84" s="41">
        <f t="shared" si="10"/>
        <v>48396</v>
      </c>
      <c r="T84" s="30">
        <f t="shared" si="11"/>
        <v>0</v>
      </c>
      <c r="AB84">
        <f t="shared" si="13"/>
        <v>916790.29028773389</v>
      </c>
    </row>
    <row r="85" spans="1:28" ht="13" customHeight="1" x14ac:dyDescent="0.35">
      <c r="A85" s="153">
        <v>48519</v>
      </c>
      <c r="B85" s="36" t="s">
        <v>26</v>
      </c>
      <c r="C85" s="15" t="s">
        <v>28</v>
      </c>
      <c r="D85" s="15" t="s">
        <v>29</v>
      </c>
      <c r="E85" s="30">
        <f>H84</f>
        <v>-821386.94372531062</v>
      </c>
      <c r="F85" s="37">
        <f>IFERROR(SUMIFS('Demand Inputs'!$CI$5:$CI$202,'Demand Inputs'!$A$5:$A$202,"188mg LP",'Demand Inputs'!$B$5:$B$202,"&lt;&gt;AGGREGATE",'Demand Inputs'!$E$5:$E$202,1),0)</f>
        <v>21861.504654971453</v>
      </c>
      <c r="G85" s="37">
        <f t="array" ref="G85">IFERROR(SUMPRODUCT(('Production Inputs'!$A:$A="188mg LP")*('Production Inputs'!$B:$B="TOTAL ACTIVE")*'Production Inputs'!$CO:$CO),0)</f>
        <v>0</v>
      </c>
      <c r="H85" s="30">
        <f t="shared" si="7"/>
        <v>-843248.44838028203</v>
      </c>
      <c r="I85" s="30">
        <f ca="1">IFERROR(AVERAGEIF(OFFSET(F85,0,0,MIN(Controls!$B$8,COUNTIF(B85:B$1973,B85)),1),"&gt;"&amp;0),0)</f>
        <v>23344.855016504978</v>
      </c>
      <c r="J85" s="38">
        <f t="shared" ca="1" si="8"/>
        <v>-36.121382967857343</v>
      </c>
      <c r="K85" s="30">
        <f t="shared" ca="1" si="12"/>
        <v>1053000</v>
      </c>
      <c r="L85" t="str">
        <f t="shared" si="9"/>
        <v>High</v>
      </c>
      <c r="M85" s="39">
        <f>IFERROR(VLOOKUP("188mg LP",Controls!A:I,7,0),6)</f>
        <v>9</v>
      </c>
      <c r="N85" s="39">
        <f>IFERROR(VLOOKUP("188mg LP",Controls!A:I,8,0),3)</f>
        <v>8</v>
      </c>
      <c r="O85" s="39">
        <f>IFERROR(VLOOKUP("188mg LP",Controls!A:I,9,0),18)</f>
        <v>18</v>
      </c>
      <c r="P85" s="40">
        <f>IFERROR(VLOOKUP("188mg LP",Controls!A:J,5,0),0)</f>
        <v>16200</v>
      </c>
      <c r="Q85" s="39">
        <f>IFERROR(VLOOKUP("188mg LP",Controls!A:J,6,0),3)</f>
        <v>3</v>
      </c>
      <c r="R85" s="21" t="str">
        <f>IFERROR(VLOOKUP("188mg LP",Controls!A:K,10,0),"")</f>
        <v>Fisher / ThermoFisher Allentown</v>
      </c>
      <c r="S85" s="41">
        <f t="shared" si="10"/>
        <v>48427</v>
      </c>
      <c r="T85" s="30">
        <f t="shared" si="11"/>
        <v>0</v>
      </c>
      <c r="AB85">
        <f t="shared" si="13"/>
        <v>938651.79494270531</v>
      </c>
    </row>
    <row r="86" spans="1:28" ht="13" customHeight="1" x14ac:dyDescent="0.35">
      <c r="A86" s="153">
        <v>48549</v>
      </c>
      <c r="B86" s="36" t="s">
        <v>26</v>
      </c>
      <c r="C86" s="15" t="s">
        <v>28</v>
      </c>
      <c r="D86" s="15" t="s">
        <v>29</v>
      </c>
      <c r="E86" s="30">
        <f>H85</f>
        <v>-843248.44838028203</v>
      </c>
      <c r="F86" s="37">
        <f>IFERROR(SUMIFS('Demand Inputs'!$CJ$5:$CJ$202,'Demand Inputs'!$A$5:$A$202,"188mg LP",'Demand Inputs'!$B$5:$B$202,"&lt;&gt;AGGREGATE",'Demand Inputs'!$E$5:$E$202,1),0)</f>
        <v>22471.305835527819</v>
      </c>
      <c r="G86" s="37">
        <f t="array" ref="G86">IFERROR(SUMPRODUCT(('Production Inputs'!$A:$A="188mg LP")*('Production Inputs'!$B:$B="TOTAL ACTIVE")*'Production Inputs'!$CP:$CP),0)</f>
        <v>0</v>
      </c>
      <c r="H86" s="30">
        <f t="shared" si="7"/>
        <v>-865719.75421580987</v>
      </c>
      <c r="I86" s="30">
        <f ca="1">IFERROR(AVERAGEIF(OFFSET(F86,0,0,MIN(Controls!$B$8,COUNTIF(B86:B$1973,B86)),1),"&gt;"&amp;0),0)</f>
        <v>23344.737157467825</v>
      </c>
      <c r="J86" s="38">
        <f t="shared" ca="1" si="8"/>
        <v>-37.084150846344905</v>
      </c>
      <c r="K86" s="30">
        <f t="shared" ca="1" si="12"/>
        <v>1069200</v>
      </c>
      <c r="L86" t="str">
        <f t="shared" si="9"/>
        <v>High</v>
      </c>
      <c r="M86" s="39">
        <f>IFERROR(VLOOKUP("188mg LP",Controls!A:I,7,0),6)</f>
        <v>9</v>
      </c>
      <c r="N86" s="39">
        <f>IFERROR(VLOOKUP("188mg LP",Controls!A:I,8,0),3)</f>
        <v>8</v>
      </c>
      <c r="O86" s="39">
        <f>IFERROR(VLOOKUP("188mg LP",Controls!A:I,9,0),18)</f>
        <v>18</v>
      </c>
      <c r="P86" s="40">
        <f>IFERROR(VLOOKUP("188mg LP",Controls!A:J,5,0),0)</f>
        <v>16200</v>
      </c>
      <c r="Q86" s="39">
        <f>IFERROR(VLOOKUP("188mg LP",Controls!A:J,6,0),3)</f>
        <v>3</v>
      </c>
      <c r="R86" s="21" t="str">
        <f>IFERROR(VLOOKUP("188mg LP",Controls!A:K,10,0),"")</f>
        <v>Fisher / ThermoFisher Allentown</v>
      </c>
      <c r="S86" s="41">
        <f t="shared" si="10"/>
        <v>48458</v>
      </c>
      <c r="T86" s="30">
        <f t="shared" si="11"/>
        <v>0</v>
      </c>
      <c r="AB86">
        <f t="shared" si="13"/>
        <v>961123.10077823314</v>
      </c>
    </row>
    <row r="87" spans="1:28" ht="13" customHeight="1" x14ac:dyDescent="0.35">
      <c r="A87" s="153">
        <v>48580</v>
      </c>
      <c r="B87" s="36" t="s">
        <v>26</v>
      </c>
      <c r="C87" s="15" t="s">
        <v>28</v>
      </c>
      <c r="D87" s="15" t="s">
        <v>29</v>
      </c>
      <c r="E87" s="30">
        <f>H86</f>
        <v>-865719.75421580987</v>
      </c>
      <c r="F87" s="37">
        <f>IFERROR(SUMIFS('Demand Inputs'!$CK$5:$CK$202,'Demand Inputs'!$A$5:$A$202,"188mg LP",'Demand Inputs'!$B$5:$B$202,"&lt;&gt;AGGREGATE",'Demand Inputs'!$E$5:$E$202,1),0)</f>
        <v>26500.674645218191</v>
      </c>
      <c r="G87" s="37">
        <f t="array" ref="G87">IFERROR(SUMPRODUCT(('Production Inputs'!$A:$A="188mg LP")*('Production Inputs'!$B:$B="TOTAL ACTIVE")*'Production Inputs'!$CQ:$CQ),0)</f>
        <v>0</v>
      </c>
      <c r="H87" s="30">
        <f t="shared" si="7"/>
        <v>-892220.42886102805</v>
      </c>
      <c r="I87" s="30">
        <f ca="1">IFERROR(AVERAGEIF(OFFSET(F87,0,0,MIN(Controls!$B$8,COUNTIF(B87:B$1973,B87)),1),"&gt;"&amp;0),0)</f>
        <v>24033.868818998668</v>
      </c>
      <c r="J87" s="38">
        <f t="shared" ca="1" si="8"/>
        <v>-37.123462542815069</v>
      </c>
      <c r="K87" s="30">
        <f t="shared" ca="1" si="12"/>
        <v>1101600</v>
      </c>
      <c r="L87" t="str">
        <f t="shared" si="9"/>
        <v>High</v>
      </c>
      <c r="M87" s="39">
        <f>IFERROR(VLOOKUP("188mg LP",Controls!A:I,7,0),6)</f>
        <v>9</v>
      </c>
      <c r="N87" s="39">
        <f>IFERROR(VLOOKUP("188mg LP",Controls!A:I,8,0),3)</f>
        <v>8</v>
      </c>
      <c r="O87" s="39">
        <f>IFERROR(VLOOKUP("188mg LP",Controls!A:I,9,0),18)</f>
        <v>18</v>
      </c>
      <c r="P87" s="40">
        <f>IFERROR(VLOOKUP("188mg LP",Controls!A:J,5,0),0)</f>
        <v>16200</v>
      </c>
      <c r="Q87" s="39">
        <f>IFERROR(VLOOKUP("188mg LP",Controls!A:J,6,0),3)</f>
        <v>3</v>
      </c>
      <c r="R87" s="21" t="str">
        <f>IFERROR(VLOOKUP("188mg LP",Controls!A:K,10,0),"")</f>
        <v>Fisher / ThermoFisher Allentown</v>
      </c>
      <c r="S87" s="41">
        <f t="shared" si="10"/>
        <v>48488</v>
      </c>
      <c r="T87" s="30">
        <f t="shared" si="11"/>
        <v>0</v>
      </c>
      <c r="AB87">
        <f t="shared" si="13"/>
        <v>987623.77542345133</v>
      </c>
    </row>
    <row r="88" spans="1:28" ht="13" customHeight="1" x14ac:dyDescent="0.35">
      <c r="A88" s="153">
        <v>48611</v>
      </c>
      <c r="B88" s="36" t="s">
        <v>26</v>
      </c>
      <c r="C88" s="15" t="s">
        <v>28</v>
      </c>
      <c r="D88" s="15" t="s">
        <v>29</v>
      </c>
      <c r="E88" s="30">
        <f>H87</f>
        <v>-892220.42886102805</v>
      </c>
      <c r="F88" s="37">
        <f>IFERROR(SUMIFS('Demand Inputs'!$CL$5:$CL$202,'Demand Inputs'!$A$5:$A$202,"188mg LP",'Demand Inputs'!$B$5:$B$202,"&lt;&gt;AGGREGATE",'Demand Inputs'!$E$5:$E$202,1),0)</f>
        <v>19152.896927292219</v>
      </c>
      <c r="G88" s="37">
        <f t="array" ref="G88">IFERROR(SUMPRODUCT(('Production Inputs'!$A:$A="188mg LP")*('Production Inputs'!$B:$B="TOTAL ACTIVE")*'Production Inputs'!$CR:$CR),0)</f>
        <v>0</v>
      </c>
      <c r="H88" s="30">
        <f t="shared" si="7"/>
        <v>-911373.32578832028</v>
      </c>
      <c r="I88" s="30">
        <f ca="1">IFERROR(AVERAGEIF(OFFSET(F88,0,0,MIN(Controls!$B$8,COUNTIF(B88:B$1973,B88)),1),"&gt;"&amp;0),0)</f>
        <v>23615.102255790986</v>
      </c>
      <c r="J88" s="38">
        <f t="shared" ca="1" si="8"/>
        <v>-38.592817253832969</v>
      </c>
      <c r="K88" s="30">
        <f t="shared" ca="1" si="12"/>
        <v>1117800</v>
      </c>
      <c r="L88" t="str">
        <f t="shared" si="9"/>
        <v>High</v>
      </c>
      <c r="M88" s="39">
        <f>IFERROR(VLOOKUP("188mg LP",Controls!A:I,7,0),6)</f>
        <v>9</v>
      </c>
      <c r="N88" s="39">
        <f>IFERROR(VLOOKUP("188mg LP",Controls!A:I,8,0),3)</f>
        <v>8</v>
      </c>
      <c r="O88" s="39">
        <f>IFERROR(VLOOKUP("188mg LP",Controls!A:I,9,0),18)</f>
        <v>18</v>
      </c>
      <c r="P88" s="40">
        <f>IFERROR(VLOOKUP("188mg LP",Controls!A:J,5,0),0)</f>
        <v>16200</v>
      </c>
      <c r="Q88" s="39">
        <f>IFERROR(VLOOKUP("188mg LP",Controls!A:J,6,0),3)</f>
        <v>3</v>
      </c>
      <c r="R88" s="21" t="str">
        <f>IFERROR(VLOOKUP("188mg LP",Controls!A:K,10,0),"")</f>
        <v>Fisher / ThermoFisher Allentown</v>
      </c>
      <c r="S88" s="41">
        <f t="shared" si="10"/>
        <v>48519</v>
      </c>
      <c r="T88" s="30">
        <f t="shared" si="11"/>
        <v>0</v>
      </c>
      <c r="AB88">
        <f t="shared" si="13"/>
        <v>1006776.6723507436</v>
      </c>
    </row>
    <row r="89" spans="1:28" ht="13" customHeight="1" x14ac:dyDescent="0.35">
      <c r="A89" s="153">
        <v>48639</v>
      </c>
      <c r="B89" s="36" t="s">
        <v>26</v>
      </c>
      <c r="C89" s="15" t="s">
        <v>28</v>
      </c>
      <c r="D89" s="15" t="s">
        <v>29</v>
      </c>
      <c r="E89" s="30">
        <f>H88</f>
        <v>-911373.32578832028</v>
      </c>
      <c r="F89" s="37">
        <f>IFERROR(SUMIFS('Demand Inputs'!$CM$5:$CM$202,'Demand Inputs'!$A$5:$A$202,"188mg LP",'Demand Inputs'!$B$5:$B$202,"&lt;&gt;AGGREGATE",'Demand Inputs'!$E$5:$E$202,1),0)</f>
        <v>21015.365641366225</v>
      </c>
      <c r="G89" s="37">
        <f t="array" ref="G89">IFERROR(SUMPRODUCT(('Production Inputs'!$A:$A="188mg LP")*('Production Inputs'!$B:$B="TOTAL ACTIVE")*'Production Inputs'!$CS:$CS),0)</f>
        <v>0</v>
      </c>
      <c r="H89" s="30">
        <f t="shared" si="7"/>
        <v>-932388.6914296865</v>
      </c>
      <c r="I89" s="30">
        <f ca="1">IFERROR(AVERAGEIF(OFFSET(F89,0,0,MIN(Controls!$B$8,COUNTIF(B89:B$1973,B89)),1),"&gt;"&amp;0),0)</f>
        <v>23939.671762520145</v>
      </c>
      <c r="J89" s="38">
        <f t="shared" ca="1" si="8"/>
        <v>-38.947430051627961</v>
      </c>
      <c r="K89" s="30">
        <f t="shared" ca="1" si="12"/>
        <v>1150200</v>
      </c>
      <c r="L89" t="str">
        <f t="shared" si="9"/>
        <v>High</v>
      </c>
      <c r="M89" s="39">
        <f>IFERROR(VLOOKUP("188mg LP",Controls!A:I,7,0),6)</f>
        <v>9</v>
      </c>
      <c r="N89" s="39">
        <f>IFERROR(VLOOKUP("188mg LP",Controls!A:I,8,0),3)</f>
        <v>8</v>
      </c>
      <c r="O89" s="39">
        <f>IFERROR(VLOOKUP("188mg LP",Controls!A:I,9,0),18)</f>
        <v>18</v>
      </c>
      <c r="P89" s="40">
        <f>IFERROR(VLOOKUP("188mg LP",Controls!A:J,5,0),0)</f>
        <v>16200</v>
      </c>
      <c r="Q89" s="39">
        <f>IFERROR(VLOOKUP("188mg LP",Controls!A:J,6,0),3)</f>
        <v>3</v>
      </c>
      <c r="R89" s="21" t="str">
        <f>IFERROR(VLOOKUP("188mg LP",Controls!A:K,10,0),"")</f>
        <v>Fisher / ThermoFisher Allentown</v>
      </c>
      <c r="S89" s="41">
        <f t="shared" si="10"/>
        <v>48549</v>
      </c>
      <c r="T89" s="30">
        <f t="shared" si="11"/>
        <v>0</v>
      </c>
      <c r="AB89">
        <f t="shared" si="13"/>
        <v>1027792.0379921098</v>
      </c>
    </row>
    <row r="90" spans="1:28" ht="13" customHeight="1" x14ac:dyDescent="0.35">
      <c r="A90" s="153">
        <v>48670</v>
      </c>
      <c r="B90" s="36" t="s">
        <v>26</v>
      </c>
      <c r="C90" s="15" t="s">
        <v>28</v>
      </c>
      <c r="D90" s="15" t="s">
        <v>29</v>
      </c>
      <c r="E90" s="30">
        <f>H89</f>
        <v>-932388.6914296865</v>
      </c>
      <c r="F90" s="37">
        <f>IFERROR(SUMIFS('Demand Inputs'!$CN$5:$CN$202,'Demand Inputs'!$A$5:$A$202,"188mg LP",'Demand Inputs'!$B$5:$B$202,"&lt;&gt;AGGREGATE",'Demand Inputs'!$E$5:$E$202,1),0)</f>
        <v>28949.266902361283</v>
      </c>
      <c r="G90" s="37">
        <f t="array" ref="G90">IFERROR(SUMPRODUCT(('Production Inputs'!$A:$A="188mg LP")*('Production Inputs'!$B:$B="TOTAL ACTIVE")*'Production Inputs'!$CT:$CT),0)</f>
        <v>0</v>
      </c>
      <c r="H90" s="30">
        <f t="shared" si="7"/>
        <v>-961337.9583320478</v>
      </c>
      <c r="I90" s="30">
        <f ca="1">IFERROR(AVERAGEIF(OFFSET(F90,0,0,MIN(Controls!$B$8,COUNTIF(B90:B$1973,B90)),1),"&gt;"&amp;0),0)</f>
        <v>24123.142981085886</v>
      </c>
      <c r="J90" s="38">
        <f t="shared" ca="1" si="8"/>
        <v>-39.851273073570859</v>
      </c>
      <c r="K90" s="30">
        <f t="shared" ca="1" si="12"/>
        <v>1182600</v>
      </c>
      <c r="L90" t="str">
        <f t="shared" si="9"/>
        <v>High</v>
      </c>
      <c r="M90" s="39">
        <f>IFERROR(VLOOKUP("188mg LP",Controls!A:I,7,0),6)</f>
        <v>9</v>
      </c>
      <c r="N90" s="39">
        <f>IFERROR(VLOOKUP("188mg LP",Controls!A:I,8,0),3)</f>
        <v>8</v>
      </c>
      <c r="O90" s="39">
        <f>IFERROR(VLOOKUP("188mg LP",Controls!A:I,9,0),18)</f>
        <v>18</v>
      </c>
      <c r="P90" s="40">
        <f>IFERROR(VLOOKUP("188mg LP",Controls!A:J,5,0),0)</f>
        <v>16200</v>
      </c>
      <c r="Q90" s="39">
        <f>IFERROR(VLOOKUP("188mg LP",Controls!A:J,6,0),3)</f>
        <v>3</v>
      </c>
      <c r="R90" s="21" t="str">
        <f>IFERROR(VLOOKUP("188mg LP",Controls!A:K,10,0),"")</f>
        <v>Fisher / ThermoFisher Allentown</v>
      </c>
      <c r="S90" s="41">
        <f t="shared" si="10"/>
        <v>48580</v>
      </c>
      <c r="T90" s="30">
        <f t="shared" si="11"/>
        <v>0</v>
      </c>
      <c r="AB90">
        <f t="shared" si="13"/>
        <v>1056741.3048944711</v>
      </c>
    </row>
    <row r="91" spans="1:28" ht="13" customHeight="1" x14ac:dyDescent="0.35">
      <c r="A91" s="153">
        <v>48700</v>
      </c>
      <c r="B91" s="36" t="s">
        <v>26</v>
      </c>
      <c r="C91" s="15" t="s">
        <v>28</v>
      </c>
      <c r="D91" s="15" t="s">
        <v>29</v>
      </c>
      <c r="E91" s="30">
        <f>H90</f>
        <v>-961337.9583320478</v>
      </c>
      <c r="F91" s="37">
        <f>IFERROR(SUMIFS('Demand Inputs'!$CO$5:$CO$202,'Demand Inputs'!$A$5:$A$202,"188mg LP",'Demand Inputs'!$B$5:$B$202,"&lt;&gt;AGGREGATE",'Demand Inputs'!$E$5:$E$202,1),0)</f>
        <v>22430.582756568845</v>
      </c>
      <c r="G91" s="37">
        <f t="array" ref="G91">IFERROR(SUMPRODUCT(('Production Inputs'!$A:$A="188mg LP")*('Production Inputs'!$B:$B="TOTAL ACTIVE")*'Production Inputs'!$CU:$CU),0)</f>
        <v>0</v>
      </c>
      <c r="H91" s="30">
        <f t="shared" si="7"/>
        <v>-983768.54108861659</v>
      </c>
      <c r="I91" s="30">
        <f ca="1">IFERROR(AVERAGEIF(OFFSET(F91,0,0,MIN(Controls!$B$8,COUNTIF(B91:B$1973,B91)),1),"&gt;"&amp;0),0)</f>
        <v>23642.74265795013</v>
      </c>
      <c r="J91" s="38">
        <f t="shared" ca="1" si="8"/>
        <v>-41.60974702982751</v>
      </c>
      <c r="K91" s="30">
        <f t="shared" ca="1" si="12"/>
        <v>1198800</v>
      </c>
      <c r="L91" t="str">
        <f t="shared" si="9"/>
        <v>High</v>
      </c>
      <c r="M91" s="39">
        <f>IFERROR(VLOOKUP("188mg LP",Controls!A:I,7,0),6)</f>
        <v>9</v>
      </c>
      <c r="N91" s="39">
        <f>IFERROR(VLOOKUP("188mg LP",Controls!A:I,8,0),3)</f>
        <v>8</v>
      </c>
      <c r="O91" s="39">
        <f>IFERROR(VLOOKUP("188mg LP",Controls!A:I,9,0),18)</f>
        <v>18</v>
      </c>
      <c r="P91" s="40">
        <f>IFERROR(VLOOKUP("188mg LP",Controls!A:J,5,0),0)</f>
        <v>16200</v>
      </c>
      <c r="Q91" s="39">
        <f>IFERROR(VLOOKUP("188mg LP",Controls!A:J,6,0),3)</f>
        <v>3</v>
      </c>
      <c r="R91" s="21" t="str">
        <f>IFERROR(VLOOKUP("188mg LP",Controls!A:K,10,0),"")</f>
        <v>Fisher / ThermoFisher Allentown</v>
      </c>
      <c r="S91" s="41">
        <f t="shared" si="10"/>
        <v>48611</v>
      </c>
      <c r="T91" s="30">
        <f t="shared" si="11"/>
        <v>0</v>
      </c>
      <c r="AB91">
        <f t="shared" si="13"/>
        <v>1079171.88765104</v>
      </c>
    </row>
    <row r="92" spans="1:28" ht="13" customHeight="1" x14ac:dyDescent="0.35">
      <c r="A92" s="153">
        <v>48731</v>
      </c>
      <c r="B92" s="36" t="s">
        <v>26</v>
      </c>
      <c r="C92" s="15" t="s">
        <v>28</v>
      </c>
      <c r="D92" s="15" t="s">
        <v>29</v>
      </c>
      <c r="E92" s="30">
        <f>H91</f>
        <v>-983768.54108861659</v>
      </c>
      <c r="F92" s="37">
        <f>IFERROR(SUMIFS('Demand Inputs'!$CP$5:$CP$202,'Demand Inputs'!$A$5:$A$202,"188mg LP",'Demand Inputs'!$B$5:$B$202,"&lt;&gt;AGGREGATE",'Demand Inputs'!$E$5:$E$202,1),0)</f>
        <v>23841.868121835716</v>
      </c>
      <c r="G92" s="37">
        <f t="array" ref="G92">IFERROR(SUMPRODUCT(('Production Inputs'!$A:$A="188mg LP")*('Production Inputs'!$B:$B="TOTAL ACTIVE")*'Production Inputs'!$CV:$CV),0)</f>
        <v>0</v>
      </c>
      <c r="H92" s="30">
        <f t="shared" si="7"/>
        <v>-1007610.4092104523</v>
      </c>
      <c r="I92" s="30">
        <f ca="1">IFERROR(AVERAGEIF(OFFSET(F92,0,0,MIN(Controls!$B$8,COUNTIF(B92:B$1973,B92)),1),"&gt;"&amp;0),0)</f>
        <v>23585.072560662196</v>
      </c>
      <c r="J92" s="38">
        <f t="shared" ca="1" si="8"/>
        <v>-42.72237902252872</v>
      </c>
      <c r="K92" s="30">
        <f t="shared" ca="1" si="12"/>
        <v>1215000</v>
      </c>
      <c r="L92" t="str">
        <f t="shared" si="9"/>
        <v>High</v>
      </c>
      <c r="M92" s="39">
        <f>IFERROR(VLOOKUP("188mg LP",Controls!A:I,7,0),6)</f>
        <v>9</v>
      </c>
      <c r="N92" s="39">
        <f>IFERROR(VLOOKUP("188mg LP",Controls!A:I,8,0),3)</f>
        <v>8</v>
      </c>
      <c r="O92" s="39">
        <f>IFERROR(VLOOKUP("188mg LP",Controls!A:I,9,0),18)</f>
        <v>18</v>
      </c>
      <c r="P92" s="40">
        <f>IFERROR(VLOOKUP("188mg LP",Controls!A:J,5,0),0)</f>
        <v>16200</v>
      </c>
      <c r="Q92" s="39">
        <f>IFERROR(VLOOKUP("188mg LP",Controls!A:J,6,0),3)</f>
        <v>3</v>
      </c>
      <c r="R92" s="21" t="str">
        <f>IFERROR(VLOOKUP("188mg LP",Controls!A:K,10,0),"")</f>
        <v>Fisher / ThermoFisher Allentown</v>
      </c>
      <c r="S92" s="41">
        <f t="shared" si="10"/>
        <v>48639</v>
      </c>
      <c r="T92" s="30">
        <f t="shared" si="11"/>
        <v>0</v>
      </c>
      <c r="AB92">
        <f t="shared" si="13"/>
        <v>1103013.7557728756</v>
      </c>
    </row>
    <row r="93" spans="1:28" ht="13" customHeight="1" x14ac:dyDescent="0.35">
      <c r="A93" s="153">
        <v>48761</v>
      </c>
      <c r="B93" s="36" t="s">
        <v>26</v>
      </c>
      <c r="C93" s="15" t="s">
        <v>28</v>
      </c>
      <c r="D93" s="15" t="s">
        <v>29</v>
      </c>
      <c r="E93" s="30">
        <f>H92</f>
        <v>-1007610.4092104523</v>
      </c>
      <c r="F93" s="37">
        <f>IFERROR(SUMIFS('Demand Inputs'!$CQ$5:$CQ$202,'Demand Inputs'!$A$5:$A$202,"188mg LP",'Demand Inputs'!$B$5:$B$202,"&lt;&gt;AGGREGATE",'Demand Inputs'!$E$5:$E$202,1),0)</f>
        <v>23880.229663403035</v>
      </c>
      <c r="G93" s="37">
        <f t="array" ref="G93">IFERROR(SUMPRODUCT(('Production Inputs'!$A:$A="188mg LP")*('Production Inputs'!$B:$B="TOTAL ACTIVE")*'Production Inputs'!$CW:$CW),0)</f>
        <v>0</v>
      </c>
      <c r="H93" s="30">
        <f t="shared" si="7"/>
        <v>-1031490.6388738554</v>
      </c>
      <c r="I93" s="30">
        <f ca="1">IFERROR(AVERAGEIF(OFFSET(F93,0,0,MIN(Controls!$B$8,COUNTIF(B93:B$1973,B93)),1),"&gt;"&amp;0),0)</f>
        <v>23211.364525904137</v>
      </c>
      <c r="J93" s="38">
        <f t="shared" ca="1" si="8"/>
        <v>-44.439034927166844</v>
      </c>
      <c r="K93" s="30">
        <f t="shared" ca="1" si="12"/>
        <v>1247400</v>
      </c>
      <c r="L93" t="str">
        <f t="shared" si="9"/>
        <v>High</v>
      </c>
      <c r="M93" s="39">
        <f>IFERROR(VLOOKUP("188mg LP",Controls!A:I,7,0),6)</f>
        <v>9</v>
      </c>
      <c r="N93" s="39">
        <f>IFERROR(VLOOKUP("188mg LP",Controls!A:I,8,0),3)</f>
        <v>8</v>
      </c>
      <c r="O93" s="39">
        <f>IFERROR(VLOOKUP("188mg LP",Controls!A:I,9,0),18)</f>
        <v>18</v>
      </c>
      <c r="P93" s="40">
        <f>IFERROR(VLOOKUP("188mg LP",Controls!A:J,5,0),0)</f>
        <v>16200</v>
      </c>
      <c r="Q93" s="39">
        <f>IFERROR(VLOOKUP("188mg LP",Controls!A:J,6,0),3)</f>
        <v>3</v>
      </c>
      <c r="R93" s="21" t="str">
        <f>IFERROR(VLOOKUP("188mg LP",Controls!A:K,10,0),"")</f>
        <v>Fisher / ThermoFisher Allentown</v>
      </c>
      <c r="S93" s="41">
        <f t="shared" si="10"/>
        <v>48670</v>
      </c>
      <c r="T93" s="30">
        <f t="shared" si="11"/>
        <v>0</v>
      </c>
      <c r="AB93">
        <f t="shared" si="13"/>
        <v>1126893.9854362786</v>
      </c>
    </row>
    <row r="94" spans="1:28" ht="13" customHeight="1" x14ac:dyDescent="0.35">
      <c r="A94" s="153">
        <v>48792</v>
      </c>
      <c r="B94" s="36" t="s">
        <v>26</v>
      </c>
      <c r="C94" s="15" t="s">
        <v>28</v>
      </c>
      <c r="D94" s="15" t="s">
        <v>29</v>
      </c>
      <c r="E94" s="30">
        <f>H93</f>
        <v>-1031490.6388738554</v>
      </c>
      <c r="F94" s="37">
        <f>IFERROR(SUMIFS('Demand Inputs'!$CR$5:$CR$202,'Demand Inputs'!$A$5:$A$202,"188mg LP",'Demand Inputs'!$B$5:$B$202,"&lt;&gt;AGGREGATE",'Demand Inputs'!$E$5:$E$202,1),0)</f>
        <v>21860.4439236371</v>
      </c>
      <c r="G94" s="37">
        <f t="array" ref="G94">IFERROR(SUMPRODUCT(('Production Inputs'!$A:$A="188mg LP")*('Production Inputs'!$B:$B="TOTAL ACTIVE")*'Production Inputs'!$CX:$CX),0)</f>
        <v>0</v>
      </c>
      <c r="H94" s="30">
        <f t="shared" si="7"/>
        <v>-1053351.0827974924</v>
      </c>
      <c r="I94" s="30">
        <f ca="1">IFERROR(AVERAGEIF(OFFSET(F94,0,0,MIN(Controls!$B$8,COUNTIF(B94:B$1973,B94)),1),"&gt;"&amp;0),0)</f>
        <v>23795.732613496199</v>
      </c>
      <c r="J94" s="38">
        <f t="shared" ca="1" si="8"/>
        <v>-44.266385906524455</v>
      </c>
      <c r="K94" s="30">
        <f t="shared" ca="1" si="12"/>
        <v>1263600</v>
      </c>
      <c r="L94" t="str">
        <f t="shared" si="9"/>
        <v>High</v>
      </c>
      <c r="M94" s="39">
        <f>IFERROR(VLOOKUP("188mg LP",Controls!A:I,7,0),6)</f>
        <v>9</v>
      </c>
      <c r="N94" s="39">
        <f>IFERROR(VLOOKUP("188mg LP",Controls!A:I,8,0),3)</f>
        <v>8</v>
      </c>
      <c r="O94" s="39">
        <f>IFERROR(VLOOKUP("188mg LP",Controls!A:I,9,0),18)</f>
        <v>18</v>
      </c>
      <c r="P94" s="40">
        <f>IFERROR(VLOOKUP("188mg LP",Controls!A:J,5,0),0)</f>
        <v>16200</v>
      </c>
      <c r="Q94" s="39">
        <f>IFERROR(VLOOKUP("188mg LP",Controls!A:J,6,0),3)</f>
        <v>3</v>
      </c>
      <c r="R94" s="21" t="str">
        <f>IFERROR(VLOOKUP("188mg LP",Controls!A:K,10,0),"")</f>
        <v>Fisher / ThermoFisher Allentown</v>
      </c>
      <c r="S94" s="41">
        <f t="shared" si="10"/>
        <v>48700</v>
      </c>
      <c r="T94" s="30">
        <f t="shared" si="11"/>
        <v>0</v>
      </c>
      <c r="AB94">
        <f t="shared" si="13"/>
        <v>1148754.4293599157</v>
      </c>
    </row>
    <row r="95" spans="1:28" ht="13" customHeight="1" x14ac:dyDescent="0.35">
      <c r="A95" s="153">
        <v>48823</v>
      </c>
      <c r="B95" s="36" t="s">
        <v>26</v>
      </c>
      <c r="C95" s="15" t="s">
        <v>28</v>
      </c>
      <c r="D95" s="15" t="s">
        <v>29</v>
      </c>
      <c r="E95" s="30">
        <f>H94</f>
        <v>-1053351.0827974924</v>
      </c>
      <c r="F95" s="37">
        <f>IFERROR(SUMIFS('Demand Inputs'!$CS$5:$CS$202,'Demand Inputs'!$A$5:$A$202,"188mg LP",'Demand Inputs'!$B$5:$B$202,"&lt;&gt;AGGREGATE",'Demand Inputs'!$E$5:$E$202,1),0)</f>
        <v>28673.490789305375</v>
      </c>
      <c r="G95" s="37">
        <f t="array" ref="G95">IFERROR(SUMPRODUCT(('Production Inputs'!$A:$A="188mg LP")*('Production Inputs'!$B:$B="TOTAL ACTIVE")*'Production Inputs'!$CY:$CY),0)</f>
        <v>0</v>
      </c>
      <c r="H95" s="30">
        <f t="shared" si="7"/>
        <v>-1082024.5735867978</v>
      </c>
      <c r="I95" s="30">
        <f ca="1">IFERROR(AVERAGEIF(OFFSET(F95,0,0,MIN(Controls!$B$8,COUNTIF(B95:B$1973,B95)),1),"&gt;"&amp;0),0)</f>
        <v>23646.271395246946</v>
      </c>
      <c r="J95" s="38">
        <f t="shared" ca="1" si="8"/>
        <v>-45.758781818104808</v>
      </c>
      <c r="K95" s="30">
        <f t="shared" ca="1" si="12"/>
        <v>1296000</v>
      </c>
      <c r="L95" t="str">
        <f t="shared" si="9"/>
        <v>High</v>
      </c>
      <c r="M95" s="39">
        <f>IFERROR(VLOOKUP("188mg LP",Controls!A:I,7,0),6)</f>
        <v>9</v>
      </c>
      <c r="N95" s="39">
        <f>IFERROR(VLOOKUP("188mg LP",Controls!A:I,8,0),3)</f>
        <v>8</v>
      </c>
      <c r="O95" s="39">
        <f>IFERROR(VLOOKUP("188mg LP",Controls!A:I,9,0),18)</f>
        <v>18</v>
      </c>
      <c r="P95" s="40">
        <f>IFERROR(VLOOKUP("188mg LP",Controls!A:J,5,0),0)</f>
        <v>16200</v>
      </c>
      <c r="Q95" s="39">
        <f>IFERROR(VLOOKUP("188mg LP",Controls!A:J,6,0),3)</f>
        <v>3</v>
      </c>
      <c r="R95" s="21" t="str">
        <f>IFERROR(VLOOKUP("188mg LP",Controls!A:K,10,0),"")</f>
        <v>Fisher / ThermoFisher Allentown</v>
      </c>
      <c r="S95" s="41">
        <f t="shared" si="10"/>
        <v>48731</v>
      </c>
      <c r="T95" s="30">
        <f t="shared" si="11"/>
        <v>0</v>
      </c>
      <c r="AB95">
        <f t="shared" si="13"/>
        <v>1177427.9201492211</v>
      </c>
    </row>
    <row r="96" spans="1:28" ht="13" customHeight="1" x14ac:dyDescent="0.35">
      <c r="A96" s="153">
        <v>48853</v>
      </c>
      <c r="B96" s="36" t="s">
        <v>26</v>
      </c>
      <c r="C96" s="15" t="s">
        <v>28</v>
      </c>
      <c r="D96" s="15" t="s">
        <v>29</v>
      </c>
      <c r="E96" s="30">
        <f>H95</f>
        <v>-1082024.5735867978</v>
      </c>
      <c r="F96" s="37">
        <f>IFERROR(SUMIFS('Demand Inputs'!$CT$5:$CT$202,'Demand Inputs'!$A$5:$A$202,"188mg LP",'Demand Inputs'!$B$5:$B$202,"&lt;&gt;AGGREGATE",'Demand Inputs'!$E$5:$E$202,1),0)</f>
        <v>22731.77557634905</v>
      </c>
      <c r="G96" s="37">
        <f t="array" ref="G96">IFERROR(SUMPRODUCT(('Production Inputs'!$A:$A="188mg LP")*('Production Inputs'!$B:$B="TOTAL ACTIVE")*'Production Inputs'!$CZ:$CZ),0)</f>
        <v>0</v>
      </c>
      <c r="H96" s="30">
        <f t="shared" si="7"/>
        <v>-1104756.3491631469</v>
      </c>
      <c r="I96" s="30">
        <f ca="1">IFERROR(AVERAGEIF(OFFSET(F96,0,0,MIN(Controls!$B$8,COUNTIF(B96:B$1973,B96)),1),"&gt;"&amp;0),0)</f>
        <v>23417.74117637366</v>
      </c>
      <c r="J96" s="38">
        <f t="shared" ca="1" si="8"/>
        <v>-47.176042336557387</v>
      </c>
      <c r="K96" s="30">
        <f t="shared" ca="1" si="12"/>
        <v>1312200</v>
      </c>
      <c r="L96" t="str">
        <f t="shared" si="9"/>
        <v>High</v>
      </c>
      <c r="M96" s="39">
        <f>IFERROR(VLOOKUP("188mg LP",Controls!A:I,7,0),6)</f>
        <v>9</v>
      </c>
      <c r="N96" s="39">
        <f>IFERROR(VLOOKUP("188mg LP",Controls!A:I,8,0),3)</f>
        <v>8</v>
      </c>
      <c r="O96" s="39">
        <f>IFERROR(VLOOKUP("188mg LP",Controls!A:I,9,0),18)</f>
        <v>18</v>
      </c>
      <c r="P96" s="40">
        <f>IFERROR(VLOOKUP("188mg LP",Controls!A:J,5,0),0)</f>
        <v>16200</v>
      </c>
      <c r="Q96" s="39">
        <f>IFERROR(VLOOKUP("188mg LP",Controls!A:J,6,0),3)</f>
        <v>3</v>
      </c>
      <c r="R96" s="21" t="str">
        <f>IFERROR(VLOOKUP("188mg LP",Controls!A:K,10,0),"")</f>
        <v>Fisher / ThermoFisher Allentown</v>
      </c>
      <c r="S96" s="41">
        <f t="shared" si="10"/>
        <v>48761</v>
      </c>
      <c r="T96" s="30">
        <f t="shared" si="11"/>
        <v>0</v>
      </c>
      <c r="AB96">
        <f t="shared" si="13"/>
        <v>1200159.6957255702</v>
      </c>
    </row>
    <row r="97" spans="1:28" ht="13" customHeight="1" x14ac:dyDescent="0.35">
      <c r="A97" s="153">
        <v>48884</v>
      </c>
      <c r="B97" s="36" t="s">
        <v>26</v>
      </c>
      <c r="C97" s="15" t="s">
        <v>28</v>
      </c>
      <c r="D97" s="15" t="s">
        <v>29</v>
      </c>
      <c r="E97" s="30">
        <f>H96</f>
        <v>-1104756.3491631469</v>
      </c>
      <c r="F97" s="37">
        <f>IFERROR(SUMIFS('Demand Inputs'!$CU$5:$CU$202,'Demand Inputs'!$A$5:$A$202,"188mg LP",'Demand Inputs'!$B$5:$B$202,"&lt;&gt;AGGREGATE",'Demand Inputs'!$E$5:$E$202,1),0)</f>
        <v>22074.022487854672</v>
      </c>
      <c r="G97" s="37">
        <f t="array" ref="G97">IFERROR(SUMPRODUCT(('Production Inputs'!$A:$A="188mg LP")*('Production Inputs'!$B:$B="TOTAL ACTIVE")*'Production Inputs'!$DA:$DA),0)</f>
        <v>0</v>
      </c>
      <c r="H97" s="30">
        <f t="shared" si="7"/>
        <v>-1126830.3716510015</v>
      </c>
      <c r="I97" s="30">
        <f ca="1">IFERROR(AVERAGEIF(OFFSET(F97,0,0,MIN(Controls!$B$8,COUNTIF(B97:B$1973,B97)),1),"&gt;"&amp;0),0)</f>
        <v>23485.307606012015</v>
      </c>
      <c r="J97" s="38">
        <f t="shared" ca="1" si="8"/>
        <v>-47.98022621439047</v>
      </c>
      <c r="K97" s="30">
        <f t="shared" ca="1" si="12"/>
        <v>1344600</v>
      </c>
      <c r="L97" t="str">
        <f t="shared" si="9"/>
        <v>High</v>
      </c>
      <c r="M97" s="39">
        <f>IFERROR(VLOOKUP("188mg LP",Controls!A:I,7,0),6)</f>
        <v>9</v>
      </c>
      <c r="N97" s="39">
        <f>IFERROR(VLOOKUP("188mg LP",Controls!A:I,8,0),3)</f>
        <v>8</v>
      </c>
      <c r="O97" s="39">
        <f>IFERROR(VLOOKUP("188mg LP",Controls!A:I,9,0),18)</f>
        <v>18</v>
      </c>
      <c r="P97" s="40">
        <f>IFERROR(VLOOKUP("188mg LP",Controls!A:J,5,0),0)</f>
        <v>16200</v>
      </c>
      <c r="Q97" s="39">
        <f>IFERROR(VLOOKUP("188mg LP",Controls!A:J,6,0),3)</f>
        <v>3</v>
      </c>
      <c r="R97" s="21" t="str">
        <f>IFERROR(VLOOKUP("188mg LP",Controls!A:K,10,0),"")</f>
        <v>Fisher / ThermoFisher Allentown</v>
      </c>
      <c r="S97" s="41">
        <f t="shared" si="10"/>
        <v>48792</v>
      </c>
      <c r="T97" s="30">
        <f t="shared" si="11"/>
        <v>0</v>
      </c>
      <c r="AB97">
        <f t="shared" si="13"/>
        <v>1222233.7182134248</v>
      </c>
    </row>
    <row r="98" spans="1:28" ht="13" customHeight="1" x14ac:dyDescent="0.35">
      <c r="A98" s="153">
        <v>48914</v>
      </c>
      <c r="B98" s="36" t="s">
        <v>26</v>
      </c>
      <c r="C98" s="15" t="s">
        <v>28</v>
      </c>
      <c r="D98" s="15" t="s">
        <v>29</v>
      </c>
      <c r="E98" s="30">
        <f>H97</f>
        <v>-1126830.3716510015</v>
      </c>
      <c r="F98" s="37">
        <f>IFERROR(SUMIFS('Demand Inputs'!$CV$5:$CV$202,'Demand Inputs'!$A$5:$A$202,"188mg LP",'Demand Inputs'!$B$5:$B$202,"&lt;&gt;AGGREGATE",'Demand Inputs'!$E$5:$E$202,1),0)</f>
        <v>22666.606608457892</v>
      </c>
      <c r="G98" s="37">
        <f t="array" ref="G98">IFERROR(SUMPRODUCT(('Production Inputs'!$A:$A="188mg LP")*('Production Inputs'!$B:$B="TOTAL ACTIVE")*'Production Inputs'!$DB:$DB),0)</f>
        <v>0</v>
      </c>
      <c r="H98" s="30">
        <f t="shared" si="7"/>
        <v>-1149496.9782594594</v>
      </c>
      <c r="I98" s="30">
        <f ca="1">IFERROR(AVERAGEIF(OFFSET(F98,0,0,MIN(Controls!$B$8,COUNTIF(B98:B$1973,B98)),1),"&gt;"&amp;0),0)</f>
        <v>23476.962717442402</v>
      </c>
      <c r="J98" s="38">
        <f t="shared" ca="1" si="8"/>
        <v>-48.962763714125217</v>
      </c>
      <c r="K98" s="30">
        <f t="shared" ca="1" si="12"/>
        <v>1360800</v>
      </c>
      <c r="L98" t="str">
        <f t="shared" si="9"/>
        <v>High</v>
      </c>
      <c r="M98" s="39">
        <f>IFERROR(VLOOKUP("188mg LP",Controls!A:I,7,0),6)</f>
        <v>9</v>
      </c>
      <c r="N98" s="39">
        <f>IFERROR(VLOOKUP("188mg LP",Controls!A:I,8,0),3)</f>
        <v>8</v>
      </c>
      <c r="O98" s="39">
        <f>IFERROR(VLOOKUP("188mg LP",Controls!A:I,9,0),18)</f>
        <v>18</v>
      </c>
      <c r="P98" s="40">
        <f>IFERROR(VLOOKUP("188mg LP",Controls!A:J,5,0),0)</f>
        <v>16200</v>
      </c>
      <c r="Q98" s="39">
        <f>IFERROR(VLOOKUP("188mg LP",Controls!A:J,6,0),3)</f>
        <v>3</v>
      </c>
      <c r="R98" s="21" t="str">
        <f>IFERROR(VLOOKUP("188mg LP",Controls!A:K,10,0),"")</f>
        <v>Fisher / ThermoFisher Allentown</v>
      </c>
      <c r="S98" s="41">
        <f t="shared" si="10"/>
        <v>48823</v>
      </c>
      <c r="T98" s="30">
        <f t="shared" si="11"/>
        <v>0</v>
      </c>
      <c r="AB98">
        <f t="shared" si="13"/>
        <v>1244900.3248218826</v>
      </c>
    </row>
    <row r="99" spans="1:28" ht="13" customHeight="1" x14ac:dyDescent="0.35">
      <c r="A99" s="153">
        <v>48945</v>
      </c>
      <c r="B99" s="36" t="s">
        <v>26</v>
      </c>
      <c r="C99" s="15" t="s">
        <v>28</v>
      </c>
      <c r="D99" s="15" t="s">
        <v>29</v>
      </c>
      <c r="E99" s="30">
        <f>H98</f>
        <v>-1149496.9782594594</v>
      </c>
      <c r="F99" s="37">
        <f>IFERROR(SUMIFS('Demand Inputs'!$CW$5:$CW$202,'Demand Inputs'!$A$5:$A$202,"188mg LP",'Demand Inputs'!$B$5:$B$202,"&lt;&gt;AGGREGATE",'Demand Inputs'!$E$5:$E$202,1),0)</f>
        <v>24625.663994139453</v>
      </c>
      <c r="G99" s="37">
        <f t="array" ref="G99">IFERROR(SUMPRODUCT(('Production Inputs'!$A:$A="188mg LP")*('Production Inputs'!$B:$B="TOTAL ACTIVE")*'Production Inputs'!$DC:$DC),0)</f>
        <v>0</v>
      </c>
      <c r="H99" s="30">
        <f t="shared" si="7"/>
        <v>-1174122.6422535989</v>
      </c>
      <c r="I99" s="30">
        <f ca="1">IFERROR(AVERAGEIF(OFFSET(F99,0,0,MIN(Controls!$B$8,COUNTIF(B99:B$1973,B99)),1),"&gt;"&amp;0),0)</f>
        <v>24164.153740852249</v>
      </c>
      <c r="J99" s="38">
        <f t="shared" ca="1" si="8"/>
        <v>-48.589437678862765</v>
      </c>
      <c r="K99" s="30">
        <f t="shared" ca="1" si="12"/>
        <v>1393200</v>
      </c>
      <c r="L99" t="str">
        <f t="shared" si="9"/>
        <v>High</v>
      </c>
      <c r="M99" s="39">
        <f>IFERROR(VLOOKUP("188mg LP",Controls!A:I,7,0),6)</f>
        <v>9</v>
      </c>
      <c r="N99" s="39">
        <f>IFERROR(VLOOKUP("188mg LP",Controls!A:I,8,0),3)</f>
        <v>8</v>
      </c>
      <c r="O99" s="39">
        <f>IFERROR(VLOOKUP("188mg LP",Controls!A:I,9,0),18)</f>
        <v>18</v>
      </c>
      <c r="P99" s="40">
        <f>IFERROR(VLOOKUP("188mg LP",Controls!A:J,5,0),0)</f>
        <v>16200</v>
      </c>
      <c r="Q99" s="39">
        <f>IFERROR(VLOOKUP("188mg LP",Controls!A:J,6,0),3)</f>
        <v>3</v>
      </c>
      <c r="R99" s="21" t="str">
        <f>IFERROR(VLOOKUP("188mg LP",Controls!A:K,10,0),"")</f>
        <v>Fisher / ThermoFisher Allentown</v>
      </c>
      <c r="S99" s="41">
        <f t="shared" si="10"/>
        <v>48853</v>
      </c>
      <c r="T99" s="30">
        <f t="shared" si="11"/>
        <v>0</v>
      </c>
      <c r="AB99">
        <f t="shared" si="13"/>
        <v>1269525.9888160222</v>
      </c>
    </row>
    <row r="100" spans="1:28" ht="13" customHeight="1" x14ac:dyDescent="0.35">
      <c r="A100" s="153">
        <v>48976</v>
      </c>
      <c r="B100" s="36" t="s">
        <v>26</v>
      </c>
      <c r="C100" s="15" t="s">
        <v>28</v>
      </c>
      <c r="D100" s="15" t="s">
        <v>29</v>
      </c>
      <c r="E100" s="30">
        <f>H99</f>
        <v>-1174122.6422535989</v>
      </c>
      <c r="F100" s="37">
        <f>IFERROR(SUMIFS('Demand Inputs'!$CX$5:$CX$202,'Demand Inputs'!$A$5:$A$202,"188mg LP",'Demand Inputs'!$B$5:$B$202,"&lt;&gt;AGGREGATE",'Demand Inputs'!$E$5:$E$202,1),0)</f>
        <v>21911.551880977477</v>
      </c>
      <c r="G100" s="37">
        <f t="array" ref="G100">IFERROR(SUMPRODUCT(('Production Inputs'!$A:$A="188mg LP")*('Production Inputs'!$B:$B="TOTAL ACTIVE")*'Production Inputs'!$DD:$DD),0)</f>
        <v>0</v>
      </c>
      <c r="H100" s="30">
        <f t="shared" si="7"/>
        <v>-1196034.1941345765</v>
      </c>
      <c r="I100" s="30">
        <f ca="1">IFERROR(AVERAGEIF(OFFSET(F100,0,0,MIN(Controls!$B$8,COUNTIF(B100:B$1973,B100)),1),"&gt;"&amp;0),0)</f>
        <v>23738.263298989754</v>
      </c>
      <c r="J100" s="38">
        <f t="shared" ca="1" si="8"/>
        <v>-50.38423321328132</v>
      </c>
      <c r="K100" s="30">
        <f t="shared" ca="1" si="12"/>
        <v>1409400</v>
      </c>
      <c r="L100" t="str">
        <f t="shared" si="9"/>
        <v>High</v>
      </c>
      <c r="M100" s="39">
        <f>IFERROR(VLOOKUP("188mg LP",Controls!A:I,7,0),6)</f>
        <v>9</v>
      </c>
      <c r="N100" s="39">
        <f>IFERROR(VLOOKUP("188mg LP",Controls!A:I,8,0),3)</f>
        <v>8</v>
      </c>
      <c r="O100" s="39">
        <f>IFERROR(VLOOKUP("188mg LP",Controls!A:I,9,0),18)</f>
        <v>18</v>
      </c>
      <c r="P100" s="40">
        <f>IFERROR(VLOOKUP("188mg LP",Controls!A:J,5,0),0)</f>
        <v>16200</v>
      </c>
      <c r="Q100" s="39">
        <f>IFERROR(VLOOKUP("188mg LP",Controls!A:J,6,0),3)</f>
        <v>3</v>
      </c>
      <c r="R100" s="21" t="str">
        <f>IFERROR(VLOOKUP("188mg LP",Controls!A:K,10,0),"")</f>
        <v>Fisher / ThermoFisher Allentown</v>
      </c>
      <c r="S100" s="41">
        <f t="shared" si="10"/>
        <v>48884</v>
      </c>
      <c r="T100" s="30">
        <f t="shared" si="11"/>
        <v>0</v>
      </c>
      <c r="AB100">
        <f t="shared" si="13"/>
        <v>1291437.5406969998</v>
      </c>
    </row>
    <row r="101" spans="1:28" ht="13" customHeight="1" x14ac:dyDescent="0.35">
      <c r="A101" s="153">
        <v>49004</v>
      </c>
      <c r="B101" s="36" t="s">
        <v>26</v>
      </c>
      <c r="C101" s="15" t="s">
        <v>28</v>
      </c>
      <c r="D101" s="15" t="s">
        <v>29</v>
      </c>
      <c r="E101" s="30">
        <f>H100</f>
        <v>-1196034.1941345765</v>
      </c>
      <c r="F101" s="37">
        <f>IFERROR(SUMIFS('Demand Inputs'!$CY$5:$CY$202,'Demand Inputs'!$A$5:$A$202,"188mg LP",'Demand Inputs'!$B$5:$B$202,"&lt;&gt;AGGREGATE",'Demand Inputs'!$E$5:$E$202,1),0)</f>
        <v>20478.495809013191</v>
      </c>
      <c r="G101" s="37">
        <f t="array" ref="G101">IFERROR(SUMPRODUCT(('Production Inputs'!$A:$A="188mg LP")*('Production Inputs'!$B:$B="TOTAL ACTIVE")*'Production Inputs'!$DE:$DE),0)</f>
        <v>0</v>
      </c>
      <c r="H101" s="30">
        <f t="shared" si="7"/>
        <v>-1216512.6899435897</v>
      </c>
      <c r="I101" s="30">
        <f ca="1">IFERROR(AVERAGEIF(OFFSET(F101,0,0,MIN(Controls!$B$8,COUNTIF(B101:B$1973,B101)),1),"&gt;"&amp;0),0)</f>
        <v>24066.655449200785</v>
      </c>
      <c r="J101" s="38">
        <f t="shared" ca="1" si="8"/>
        <v>-50.547642255957427</v>
      </c>
      <c r="K101" s="30">
        <f t="shared" ca="1" si="12"/>
        <v>1425600</v>
      </c>
      <c r="L101" t="str">
        <f t="shared" si="9"/>
        <v>High</v>
      </c>
      <c r="M101" s="39">
        <f>IFERROR(VLOOKUP("188mg LP",Controls!A:I,7,0),6)</f>
        <v>9</v>
      </c>
      <c r="N101" s="39">
        <f>IFERROR(VLOOKUP("188mg LP",Controls!A:I,8,0),3)</f>
        <v>8</v>
      </c>
      <c r="O101" s="39">
        <f>IFERROR(VLOOKUP("188mg LP",Controls!A:I,9,0),18)</f>
        <v>18</v>
      </c>
      <c r="P101" s="40">
        <f>IFERROR(VLOOKUP("188mg LP",Controls!A:J,5,0),0)</f>
        <v>16200</v>
      </c>
      <c r="Q101" s="39">
        <f>IFERROR(VLOOKUP("188mg LP",Controls!A:J,6,0),3)</f>
        <v>3</v>
      </c>
      <c r="R101" s="21" t="str">
        <f>IFERROR(VLOOKUP("188mg LP",Controls!A:K,10,0),"")</f>
        <v>Fisher / ThermoFisher Allentown</v>
      </c>
      <c r="S101" s="41">
        <f t="shared" si="10"/>
        <v>48914</v>
      </c>
      <c r="T101" s="30">
        <f t="shared" si="11"/>
        <v>0</v>
      </c>
      <c r="AB101">
        <f t="shared" si="13"/>
        <v>1311916.036506013</v>
      </c>
    </row>
    <row r="102" spans="1:28" ht="13" customHeight="1" x14ac:dyDescent="0.35">
      <c r="A102" s="153">
        <v>49035</v>
      </c>
      <c r="B102" s="36" t="s">
        <v>26</v>
      </c>
      <c r="C102" s="15" t="s">
        <v>28</v>
      </c>
      <c r="D102" s="15" t="s">
        <v>29</v>
      </c>
      <c r="E102" s="30">
        <f>H101</f>
        <v>-1216512.6899435897</v>
      </c>
      <c r="F102" s="37">
        <f>IFERROR(SUMIFS('Demand Inputs'!$CZ$5:$CZ$202,'Demand Inputs'!$A$5:$A$202,"188mg LP",'Demand Inputs'!$B$5:$B$202,"&lt;&gt;AGGREGATE",'Demand Inputs'!$E$5:$E$202,1),0)</f>
        <v>29139.542451731584</v>
      </c>
      <c r="G102" s="37">
        <f t="array" ref="G102">IFERROR(SUMPRODUCT(('Production Inputs'!$A:$A="188mg LP")*('Production Inputs'!$B:$B="TOTAL ACTIVE")*'Production Inputs'!$DF:$DF),0)</f>
        <v>0</v>
      </c>
      <c r="H102" s="30">
        <f t="shared" si="7"/>
        <v>-1245652.2323953214</v>
      </c>
      <c r="I102" s="30">
        <f ca="1">IFERROR(AVERAGEIF(OFFSET(F102,0,0,MIN(Controls!$B$8,COUNTIF(B102:B$1973,B102)),1),"&gt;"&amp;0),0)</f>
        <v>24249.636897822409</v>
      </c>
      <c r="J102" s="38">
        <f t="shared" ca="1" si="8"/>
        <v>-51.367871512631993</v>
      </c>
      <c r="K102" s="30">
        <f t="shared" ca="1" si="12"/>
        <v>1458000</v>
      </c>
      <c r="L102" t="str">
        <f t="shared" si="9"/>
        <v>High</v>
      </c>
      <c r="M102" s="39">
        <f>IFERROR(VLOOKUP("188mg LP",Controls!A:I,7,0),6)</f>
        <v>9</v>
      </c>
      <c r="N102" s="39">
        <f>IFERROR(VLOOKUP("188mg LP",Controls!A:I,8,0),3)</f>
        <v>8</v>
      </c>
      <c r="O102" s="39">
        <f>IFERROR(VLOOKUP("188mg LP",Controls!A:I,9,0),18)</f>
        <v>18</v>
      </c>
      <c r="P102" s="40">
        <f>IFERROR(VLOOKUP("188mg LP",Controls!A:J,5,0),0)</f>
        <v>16200</v>
      </c>
      <c r="Q102" s="39">
        <f>IFERROR(VLOOKUP("188mg LP",Controls!A:J,6,0),3)</f>
        <v>3</v>
      </c>
      <c r="R102" s="21" t="str">
        <f>IFERROR(VLOOKUP("188mg LP",Controls!A:K,10,0),"")</f>
        <v>Fisher / ThermoFisher Allentown</v>
      </c>
      <c r="S102" s="41">
        <f t="shared" si="10"/>
        <v>48945</v>
      </c>
      <c r="T102" s="30">
        <f t="shared" si="11"/>
        <v>0</v>
      </c>
      <c r="AB102">
        <f t="shared" si="13"/>
        <v>1341055.5789577446</v>
      </c>
    </row>
    <row r="103" spans="1:28" ht="13" customHeight="1" x14ac:dyDescent="0.35">
      <c r="A103" s="153">
        <v>49065</v>
      </c>
      <c r="B103" s="36" t="s">
        <v>26</v>
      </c>
      <c r="C103" s="15" t="s">
        <v>28</v>
      </c>
      <c r="D103" s="15" t="s">
        <v>29</v>
      </c>
      <c r="E103" s="30">
        <f>H102</f>
        <v>-1245652.2323953214</v>
      </c>
      <c r="F103" s="37">
        <f>IFERROR(SUMIFS('Demand Inputs'!$DA$5:$DA$202,'Demand Inputs'!$A$5:$A$202,"188mg LP",'Demand Inputs'!$B$5:$B$202,"&lt;&gt;AGGREGATE",'Demand Inputs'!$E$5:$E$202,1),0)</f>
        <v>20515.292959393824</v>
      </c>
      <c r="G103" s="37">
        <f t="array" ref="G103">IFERROR(SUMPRODUCT(('Production Inputs'!$A:$A="188mg LP")*('Production Inputs'!$B:$B="TOTAL ACTIVE")*'Production Inputs'!$DG:$DG),0)</f>
        <v>0</v>
      </c>
      <c r="H103" s="30">
        <f t="shared" si="7"/>
        <v>-1266167.5253547153</v>
      </c>
      <c r="I103" s="30">
        <f ca="1">IFERROR(AVERAGEIF(OFFSET(F103,0,0,MIN(Controls!$B$8,COUNTIF(B103:B$1973,B103)),1),"&gt;"&amp;0),0)</f>
        <v>23536.727055628624</v>
      </c>
      <c r="J103" s="38">
        <f t="shared" ca="1" si="8"/>
        <v>-53.795394846622109</v>
      </c>
      <c r="K103" s="30">
        <f t="shared" ca="1" si="12"/>
        <v>1474200</v>
      </c>
      <c r="L103" t="str">
        <f t="shared" si="9"/>
        <v>High</v>
      </c>
      <c r="M103" s="39">
        <f>IFERROR(VLOOKUP("188mg LP",Controls!A:I,7,0),6)</f>
        <v>9</v>
      </c>
      <c r="N103" s="39">
        <f>IFERROR(VLOOKUP("188mg LP",Controls!A:I,8,0),3)</f>
        <v>8</v>
      </c>
      <c r="O103" s="39">
        <f>IFERROR(VLOOKUP("188mg LP",Controls!A:I,9,0),18)</f>
        <v>18</v>
      </c>
      <c r="P103" s="40">
        <f>IFERROR(VLOOKUP("188mg LP",Controls!A:J,5,0),0)</f>
        <v>16200</v>
      </c>
      <c r="Q103" s="39">
        <f>IFERROR(VLOOKUP("188mg LP",Controls!A:J,6,0),3)</f>
        <v>3</v>
      </c>
      <c r="R103" s="21" t="str">
        <f>IFERROR(VLOOKUP("188mg LP",Controls!A:K,10,0),"")</f>
        <v>Fisher / ThermoFisher Allentown</v>
      </c>
      <c r="S103" s="41">
        <f t="shared" si="10"/>
        <v>48976</v>
      </c>
      <c r="T103" s="30">
        <f t="shared" si="11"/>
        <v>0</v>
      </c>
      <c r="AB103">
        <f t="shared" si="13"/>
        <v>1361570.8719171386</v>
      </c>
    </row>
    <row r="104" spans="1:28" ht="13" customHeight="1" x14ac:dyDescent="0.35">
      <c r="A104" s="153">
        <v>49096</v>
      </c>
      <c r="B104" s="36" t="s">
        <v>26</v>
      </c>
      <c r="C104" s="15" t="s">
        <v>28</v>
      </c>
      <c r="D104" s="15" t="s">
        <v>29</v>
      </c>
      <c r="E104" s="30">
        <f>H103</f>
        <v>-1266167.5253547153</v>
      </c>
      <c r="F104" s="37">
        <f>IFERROR(SUMIFS('Demand Inputs'!$DB$5:$DB$202,'Demand Inputs'!$A$5:$A$202,"188mg LP",'Demand Inputs'!$B$5:$B$202,"&lt;&gt;AGGREGATE",'Demand Inputs'!$E$5:$E$202,1),0)</f>
        <v>26616.718819445807</v>
      </c>
      <c r="G104" s="37">
        <f t="array" ref="G104">IFERROR(SUMPRODUCT(('Production Inputs'!$A:$A="188mg LP")*('Production Inputs'!$B:$B="TOTAL ACTIVE")*'Production Inputs'!$DH:$DH),0)</f>
        <v>0</v>
      </c>
      <c r="H104" s="30">
        <f t="shared" si="7"/>
        <v>-1292784.244174161</v>
      </c>
      <c r="I104" s="30">
        <f ca="1">IFERROR(AVERAGEIF(OFFSET(F104,0,0,MIN(Controls!$B$8,COUNTIF(B104:B$1973,B104)),1),"&gt;"&amp;0),0)</f>
        <v>24001.318174292548</v>
      </c>
      <c r="J104" s="38">
        <f t="shared" ca="1" si="8"/>
        <v>-53.863051803498145</v>
      </c>
      <c r="K104" s="30">
        <f t="shared" ca="1" si="12"/>
        <v>1506600</v>
      </c>
      <c r="L104" t="str">
        <f t="shared" si="9"/>
        <v>High</v>
      </c>
      <c r="M104" s="39">
        <f>IFERROR(VLOOKUP("188mg LP",Controls!A:I,7,0),6)</f>
        <v>9</v>
      </c>
      <c r="N104" s="39">
        <f>IFERROR(VLOOKUP("188mg LP",Controls!A:I,8,0),3)</f>
        <v>8</v>
      </c>
      <c r="O104" s="39">
        <f>IFERROR(VLOOKUP("188mg LP",Controls!A:I,9,0),18)</f>
        <v>18</v>
      </c>
      <c r="P104" s="40">
        <f>IFERROR(VLOOKUP("188mg LP",Controls!A:J,5,0),0)</f>
        <v>16200</v>
      </c>
      <c r="Q104" s="39">
        <f>IFERROR(VLOOKUP("188mg LP",Controls!A:J,6,0),3)</f>
        <v>3</v>
      </c>
      <c r="R104" s="21" t="str">
        <f>IFERROR(VLOOKUP("188mg LP",Controls!A:K,10,0),"")</f>
        <v>Fisher / ThermoFisher Allentown</v>
      </c>
      <c r="S104" s="41">
        <f t="shared" si="10"/>
        <v>49004</v>
      </c>
      <c r="T104" s="30">
        <f t="shared" si="11"/>
        <v>0</v>
      </c>
      <c r="AB104">
        <f t="shared" si="13"/>
        <v>1388187.5907365843</v>
      </c>
    </row>
    <row r="105" spans="1:28" ht="13" customHeight="1" x14ac:dyDescent="0.35">
      <c r="A105" s="153">
        <v>49126</v>
      </c>
      <c r="B105" s="36" t="s">
        <v>26</v>
      </c>
      <c r="C105" s="15" t="s">
        <v>28</v>
      </c>
      <c r="D105" s="15" t="s">
        <v>29</v>
      </c>
      <c r="E105" s="30">
        <f>H104</f>
        <v>-1292784.244174161</v>
      </c>
      <c r="F105" s="37">
        <f>IFERROR(SUMIFS('Demand Inputs'!$DC$5:$DC$202,'Demand Inputs'!$A$5:$A$202,"188mg LP",'Demand Inputs'!$B$5:$B$202,"&lt;&gt;AGGREGATE",'Demand Inputs'!$E$5:$E$202,1),0)</f>
        <v>23339.873443094217</v>
      </c>
      <c r="G105" s="37">
        <f t="array" ref="G105">IFERROR(SUMPRODUCT(('Production Inputs'!$A:$A="188mg LP")*('Production Inputs'!$B:$B="TOTAL ACTIVE")*'Production Inputs'!$DI:$DI),0)</f>
        <v>0</v>
      </c>
      <c r="H105" s="30">
        <f t="shared" si="7"/>
        <v>-1316124.1176172553</v>
      </c>
      <c r="I105" s="30">
        <f ca="1">IFERROR(AVERAGEIF(OFFSET(F105,0,0,MIN(Controls!$B$8,COUNTIF(B105:B$1973,B105)),1),"&gt;"&amp;0),0)</f>
        <v>23259.360600214754</v>
      </c>
      <c r="J105" s="38">
        <f t="shared" ca="1" si="8"/>
        <v>-56.584707560925111</v>
      </c>
      <c r="K105" s="30">
        <f t="shared" ca="1" si="12"/>
        <v>1522800</v>
      </c>
      <c r="L105" t="str">
        <f t="shared" si="9"/>
        <v>High</v>
      </c>
      <c r="M105" s="39">
        <f>IFERROR(VLOOKUP("188mg LP",Controls!A:I,7,0),6)</f>
        <v>9</v>
      </c>
      <c r="N105" s="39">
        <f>IFERROR(VLOOKUP("188mg LP",Controls!A:I,8,0),3)</f>
        <v>8</v>
      </c>
      <c r="O105" s="39">
        <f>IFERROR(VLOOKUP("188mg LP",Controls!A:I,9,0),18)</f>
        <v>18</v>
      </c>
      <c r="P105" s="40">
        <f>IFERROR(VLOOKUP("188mg LP",Controls!A:J,5,0),0)</f>
        <v>16200</v>
      </c>
      <c r="Q105" s="39">
        <f>IFERROR(VLOOKUP("188mg LP",Controls!A:J,6,0),3)</f>
        <v>3</v>
      </c>
      <c r="R105" s="21" t="str">
        <f>IFERROR(VLOOKUP("188mg LP",Controls!A:K,10,0),"")</f>
        <v>Fisher / ThermoFisher Allentown</v>
      </c>
      <c r="S105" s="41">
        <f t="shared" si="10"/>
        <v>49035</v>
      </c>
      <c r="T105" s="30">
        <f t="shared" si="11"/>
        <v>0</v>
      </c>
      <c r="AB105">
        <f t="shared" si="13"/>
        <v>1411527.4641796786</v>
      </c>
    </row>
    <row r="106" spans="1:28" ht="13" customHeight="1" x14ac:dyDescent="0.35">
      <c r="A106" s="153">
        <v>49157</v>
      </c>
      <c r="B106" s="36" t="s">
        <v>26</v>
      </c>
      <c r="C106" s="15" t="s">
        <v>28</v>
      </c>
      <c r="D106" s="15" t="s">
        <v>29</v>
      </c>
      <c r="E106" s="30">
        <f>H105</f>
        <v>-1316124.1176172553</v>
      </c>
      <c r="F106" s="37">
        <f>IFERROR(SUMIFS('Demand Inputs'!$DD$5:$DD$202,'Demand Inputs'!$A$5:$A$202,"188mg LP",'Demand Inputs'!$B$5:$B$202,"&lt;&gt;AGGREGATE",'Demand Inputs'!$E$5:$E$202,1),0)</f>
        <v>21998.918490728127</v>
      </c>
      <c r="G106" s="37">
        <f t="array" ref="G106">IFERROR(SUMPRODUCT(('Production Inputs'!$A:$A="188mg LP")*('Production Inputs'!$B:$B="TOTAL ACTIVE")*'Production Inputs'!$DJ:$DJ),0)</f>
        <v>0</v>
      </c>
      <c r="H106" s="30">
        <f t="shared" si="7"/>
        <v>-1338123.0361079834</v>
      </c>
      <c r="I106" s="30">
        <f ca="1">IFERROR(AVERAGEIF(OFFSET(F106,0,0,MIN(Controls!$B$8,COUNTIF(B106:B$1973,B106)),1),"&gt;"&amp;0),0)</f>
        <v>23694.758859947648</v>
      </c>
      <c r="J106" s="38">
        <f t="shared" ca="1" si="8"/>
        <v>-56.473376412784475</v>
      </c>
      <c r="K106" s="30">
        <f t="shared" ca="1" si="12"/>
        <v>1555200</v>
      </c>
      <c r="L106" t="str">
        <f t="shared" si="9"/>
        <v>High</v>
      </c>
      <c r="M106" s="39">
        <f>IFERROR(VLOOKUP("188mg LP",Controls!A:I,7,0),6)</f>
        <v>9</v>
      </c>
      <c r="N106" s="39">
        <f>IFERROR(VLOOKUP("188mg LP",Controls!A:I,8,0),3)</f>
        <v>8</v>
      </c>
      <c r="O106" s="39">
        <f>IFERROR(VLOOKUP("188mg LP",Controls!A:I,9,0),18)</f>
        <v>18</v>
      </c>
      <c r="P106" s="40">
        <f>IFERROR(VLOOKUP("188mg LP",Controls!A:J,5,0),0)</f>
        <v>16200</v>
      </c>
      <c r="Q106" s="39">
        <f>IFERROR(VLOOKUP("188mg LP",Controls!A:J,6,0),3)</f>
        <v>3</v>
      </c>
      <c r="R106" s="21" t="str">
        <f>IFERROR(VLOOKUP("188mg LP",Controls!A:K,10,0),"")</f>
        <v>Fisher / ThermoFisher Allentown</v>
      </c>
      <c r="S106" s="41">
        <f t="shared" si="10"/>
        <v>49065</v>
      </c>
      <c r="T106" s="30">
        <f t="shared" si="11"/>
        <v>0</v>
      </c>
      <c r="AB106">
        <f t="shared" si="13"/>
        <v>1433526.3826704067</v>
      </c>
    </row>
    <row r="107" spans="1:28" ht="13" customHeight="1" x14ac:dyDescent="0.35">
      <c r="A107" s="153">
        <v>49188</v>
      </c>
      <c r="B107" s="36" t="s">
        <v>26</v>
      </c>
      <c r="C107" s="15" t="s">
        <v>28</v>
      </c>
      <c r="D107" s="15" t="s">
        <v>29</v>
      </c>
      <c r="E107" s="30">
        <f>H106</f>
        <v>-1338123.0361079834</v>
      </c>
      <c r="F107" s="37">
        <f>IFERROR(SUMIFS('Demand Inputs'!$DE$5:$DE$202,'Demand Inputs'!$A$5:$A$202,"188mg LP",'Demand Inputs'!$B$5:$B$202,"&lt;&gt;AGGREGATE",'Demand Inputs'!$E$5:$E$202,1),0)</f>
        <v>28851.325819146532</v>
      </c>
      <c r="G107" s="37">
        <f t="array" ref="G107">IFERROR(SUMPRODUCT(('Production Inputs'!$A:$A="188mg LP")*('Production Inputs'!$B:$B="TOTAL ACTIVE")*'Production Inputs'!$DK:$DK),0)</f>
        <v>0</v>
      </c>
      <c r="H107" s="30">
        <f t="shared" si="7"/>
        <v>-1366974.36192713</v>
      </c>
      <c r="I107" s="30">
        <f ca="1">IFERROR(AVERAGEIF(OFFSET(F107,0,0,MIN(Controls!$B$8,COUNTIF(B107:B$1973,B107)),1),"&gt;"&amp;0),0)</f>
        <v>23840.836734086381</v>
      </c>
      <c r="J107" s="38">
        <f t="shared" ca="1" si="8"/>
        <v>-57.337516177555194</v>
      </c>
      <c r="K107" s="30">
        <f t="shared" ca="1" si="12"/>
        <v>1587600</v>
      </c>
      <c r="L107" t="str">
        <f t="shared" si="9"/>
        <v>High</v>
      </c>
      <c r="M107" s="39">
        <f>IFERROR(VLOOKUP("188mg LP",Controls!A:I,7,0),6)</f>
        <v>9</v>
      </c>
      <c r="N107" s="39">
        <f>IFERROR(VLOOKUP("188mg LP",Controls!A:I,8,0),3)</f>
        <v>8</v>
      </c>
      <c r="O107" s="39">
        <f>IFERROR(VLOOKUP("188mg LP",Controls!A:I,9,0),18)</f>
        <v>18</v>
      </c>
      <c r="P107" s="40">
        <f>IFERROR(VLOOKUP("188mg LP",Controls!A:J,5,0),0)</f>
        <v>16200</v>
      </c>
      <c r="Q107" s="39">
        <f>IFERROR(VLOOKUP("188mg LP",Controls!A:J,6,0),3)</f>
        <v>3</v>
      </c>
      <c r="R107" s="21" t="str">
        <f>IFERROR(VLOOKUP("188mg LP",Controls!A:K,10,0),"")</f>
        <v>Fisher / ThermoFisher Allentown</v>
      </c>
      <c r="S107" s="41">
        <f t="shared" si="10"/>
        <v>49096</v>
      </c>
      <c r="T107" s="30">
        <f t="shared" si="11"/>
        <v>0</v>
      </c>
      <c r="AB107">
        <f t="shared" si="13"/>
        <v>1462377.7084895533</v>
      </c>
    </row>
    <row r="108" spans="1:28" ht="13" customHeight="1" x14ac:dyDescent="0.35">
      <c r="A108" s="153">
        <v>49218</v>
      </c>
      <c r="B108" s="36" t="s">
        <v>26</v>
      </c>
      <c r="C108" s="15" t="s">
        <v>28</v>
      </c>
      <c r="D108" s="15" t="s">
        <v>29</v>
      </c>
      <c r="E108" s="30">
        <f>H107</f>
        <v>-1366974.36192713</v>
      </c>
      <c r="F108" s="37">
        <f>IFERROR(SUMIFS('Demand Inputs'!$DF$5:$DF$202,'Demand Inputs'!$A$5:$A$202,"188mg LP",'Demand Inputs'!$B$5:$B$202,"&lt;&gt;AGGREGATE",'Demand Inputs'!$E$5:$E$202,1),0)</f>
        <v>20792.650017376982</v>
      </c>
      <c r="G108" s="37">
        <f t="array" ref="G108">IFERROR(SUMPRODUCT(('Production Inputs'!$A:$A="188mg LP")*('Production Inputs'!$B:$B="TOTAL ACTIVE")*'Production Inputs'!$DL:$DL),0)</f>
        <v>0</v>
      </c>
      <c r="H108" s="30">
        <f t="shared" si="7"/>
        <v>-1387767.011944507</v>
      </c>
      <c r="I108" s="30">
        <f ca="1">IFERROR(AVERAGEIF(OFFSET(F108,0,0,MIN(Controls!$B$8,COUNTIF(B108:B$1973,B108)),1),"&gt;"&amp;0),0)</f>
        <v>23539.301774779127</v>
      </c>
      <c r="J108" s="38">
        <f t="shared" ca="1" si="8"/>
        <v>-58.955317588536616</v>
      </c>
      <c r="K108" s="30">
        <f t="shared" ca="1" si="12"/>
        <v>1603800</v>
      </c>
      <c r="L108" t="str">
        <f t="shared" si="9"/>
        <v>High</v>
      </c>
      <c r="M108" s="39">
        <f>IFERROR(VLOOKUP("188mg LP",Controls!A:I,7,0),6)</f>
        <v>9</v>
      </c>
      <c r="N108" s="39">
        <f>IFERROR(VLOOKUP("188mg LP",Controls!A:I,8,0),3)</f>
        <v>8</v>
      </c>
      <c r="O108" s="39">
        <f>IFERROR(VLOOKUP("188mg LP",Controls!A:I,9,0),18)</f>
        <v>18</v>
      </c>
      <c r="P108" s="40">
        <f>IFERROR(VLOOKUP("188mg LP",Controls!A:J,5,0),0)</f>
        <v>16200</v>
      </c>
      <c r="Q108" s="39">
        <f>IFERROR(VLOOKUP("188mg LP",Controls!A:J,6,0),3)</f>
        <v>3</v>
      </c>
      <c r="R108" s="21" t="str">
        <f>IFERROR(VLOOKUP("188mg LP",Controls!A:K,10,0),"")</f>
        <v>Fisher / ThermoFisher Allentown</v>
      </c>
      <c r="S108" s="41">
        <f t="shared" si="10"/>
        <v>49126</v>
      </c>
      <c r="T108" s="30">
        <f t="shared" si="11"/>
        <v>0</v>
      </c>
      <c r="AB108">
        <f t="shared" si="13"/>
        <v>1483170.3585069303</v>
      </c>
    </row>
    <row r="109" spans="1:28" ht="13" customHeight="1" x14ac:dyDescent="0.35">
      <c r="A109" s="153">
        <v>49249</v>
      </c>
      <c r="B109" s="36" t="s">
        <v>26</v>
      </c>
      <c r="C109" s="15" t="s">
        <v>28</v>
      </c>
      <c r="D109" s="15" t="s">
        <v>29</v>
      </c>
      <c r="E109" s="30">
        <f>H108</f>
        <v>-1387767.011944507</v>
      </c>
      <c r="F109" s="37">
        <f>IFERROR(SUMIFS('Demand Inputs'!$DG$5:$DG$202,'Demand Inputs'!$A$5:$A$202,"188mg LP",'Demand Inputs'!$B$5:$B$202,"&lt;&gt;AGGREGATE",'Demand Inputs'!$E$5:$E$202,1),0)</f>
        <v>24867.081232876804</v>
      </c>
      <c r="G109" s="37">
        <f t="array" ref="G109">IFERROR(SUMPRODUCT(('Production Inputs'!$A:$A="188mg LP")*('Production Inputs'!$B:$B="TOTAL ACTIVE")*'Production Inputs'!$DM:$DM),0)</f>
        <v>0</v>
      </c>
      <c r="H109" s="30">
        <f t="shared" si="7"/>
        <v>-1412634.0931773838</v>
      </c>
      <c r="I109" s="30">
        <f ca="1">IFERROR(AVERAGEIF(OFFSET(F109,0,0,MIN(Controls!$B$8,COUNTIF(B109:B$1973,B109)),1),"&gt;"&amp;0),0)</f>
        <v>23612.150598470736</v>
      </c>
      <c r="J109" s="38">
        <f t="shared" ca="1" si="8"/>
        <v>-59.826574766504933</v>
      </c>
      <c r="K109" s="30">
        <f t="shared" ca="1" si="12"/>
        <v>1620000</v>
      </c>
      <c r="L109" t="str">
        <f t="shared" si="9"/>
        <v>High</v>
      </c>
      <c r="M109" s="39">
        <f>IFERROR(VLOOKUP("188mg LP",Controls!A:I,7,0),6)</f>
        <v>9</v>
      </c>
      <c r="N109" s="39">
        <f>IFERROR(VLOOKUP("188mg LP",Controls!A:I,8,0),3)</f>
        <v>8</v>
      </c>
      <c r="O109" s="39">
        <f>IFERROR(VLOOKUP("188mg LP",Controls!A:I,9,0),18)</f>
        <v>18</v>
      </c>
      <c r="P109" s="40">
        <f>IFERROR(VLOOKUP("188mg LP",Controls!A:J,5,0),0)</f>
        <v>16200</v>
      </c>
      <c r="Q109" s="39">
        <f>IFERROR(VLOOKUP("188mg LP",Controls!A:J,6,0),3)</f>
        <v>3</v>
      </c>
      <c r="R109" s="21" t="str">
        <f>IFERROR(VLOOKUP("188mg LP",Controls!A:K,10,0),"")</f>
        <v>Fisher / ThermoFisher Allentown</v>
      </c>
      <c r="S109" s="41">
        <f t="shared" si="10"/>
        <v>49157</v>
      </c>
      <c r="T109" s="30">
        <f t="shared" si="11"/>
        <v>0</v>
      </c>
      <c r="AB109">
        <f t="shared" si="13"/>
        <v>1508037.439739807</v>
      </c>
    </row>
    <row r="110" spans="1:28" ht="13" customHeight="1" x14ac:dyDescent="0.35">
      <c r="A110" s="153">
        <v>49279</v>
      </c>
      <c r="B110" s="36" t="s">
        <v>26</v>
      </c>
      <c r="C110" s="15" t="s">
        <v>28</v>
      </c>
      <c r="D110" s="15" t="s">
        <v>29</v>
      </c>
      <c r="E110" s="30">
        <f>H109</f>
        <v>-1412634.0931773838</v>
      </c>
      <c r="F110" s="37">
        <f>IFERROR(SUMIFS('Demand Inputs'!$DH$5:$DH$202,'Demand Inputs'!$A$5:$A$202,"188mg LP",'Demand Inputs'!$B$5:$B$202,"&lt;&gt;AGGREGATE",'Demand Inputs'!$E$5:$E$202,1),0)</f>
        <v>22125.328846607801</v>
      </c>
      <c r="G110" s="37">
        <f t="array" ref="G110">IFERROR(SUMPRODUCT(('Production Inputs'!$A:$A="188mg LP")*('Production Inputs'!$B:$B="TOTAL ACTIVE")*'Production Inputs'!$DN:$DN),0)</f>
        <v>0</v>
      </c>
      <c r="H110" s="30">
        <f t="shared" si="7"/>
        <v>-1434759.4220239916</v>
      </c>
      <c r="I110" s="30">
        <f ca="1">IFERROR(AVERAGEIF(OFFSET(F110,0,0,MIN(Controls!$B$8,COUNTIF(B110:B$1973,B110)),1),"&gt;"&amp;0),0)</f>
        <v>23607.316732385221</v>
      </c>
      <c r="J110" s="38">
        <f t="shared" ca="1" si="8"/>
        <v>-60.776048302674987</v>
      </c>
      <c r="K110" s="30">
        <f t="shared" ca="1" si="12"/>
        <v>1652400</v>
      </c>
      <c r="L110" t="str">
        <f t="shared" si="9"/>
        <v>High</v>
      </c>
      <c r="M110" s="39">
        <f>IFERROR(VLOOKUP("188mg LP",Controls!A:I,7,0),6)</f>
        <v>9</v>
      </c>
      <c r="N110" s="39">
        <f>IFERROR(VLOOKUP("188mg LP",Controls!A:I,8,0),3)</f>
        <v>8</v>
      </c>
      <c r="O110" s="39">
        <f>IFERROR(VLOOKUP("188mg LP",Controls!A:I,9,0),18)</f>
        <v>18</v>
      </c>
      <c r="P110" s="40">
        <f>IFERROR(VLOOKUP("188mg LP",Controls!A:J,5,0),0)</f>
        <v>16200</v>
      </c>
      <c r="Q110" s="39">
        <f>IFERROR(VLOOKUP("188mg LP",Controls!A:J,6,0),3)</f>
        <v>3</v>
      </c>
      <c r="R110" s="21" t="str">
        <f>IFERROR(VLOOKUP("188mg LP",Controls!A:K,10,0),"")</f>
        <v>Fisher / ThermoFisher Allentown</v>
      </c>
      <c r="S110" s="41">
        <f t="shared" si="10"/>
        <v>49188</v>
      </c>
      <c r="T110" s="30">
        <f t="shared" si="11"/>
        <v>0</v>
      </c>
      <c r="AB110">
        <f t="shared" si="13"/>
        <v>1530162.7685864149</v>
      </c>
    </row>
    <row r="111" spans="1:28" ht="13" customHeight="1" x14ac:dyDescent="0.35">
      <c r="A111" s="153">
        <v>49310</v>
      </c>
      <c r="B111" s="36" t="s">
        <v>26</v>
      </c>
      <c r="C111" s="15" t="s">
        <v>28</v>
      </c>
      <c r="D111" s="15" t="s">
        <v>29</v>
      </c>
      <c r="E111" s="30">
        <f>H110</f>
        <v>-1434759.4220239916</v>
      </c>
      <c r="F111" s="37">
        <f>IFERROR(SUMIFS('Demand Inputs'!$DI$5:$DI$202,'Demand Inputs'!$A$5:$A$202,"188mg LP",'Demand Inputs'!$B$5:$B$202,"&lt;&gt;AGGREGATE",'Demand Inputs'!$E$5:$E$202,1),0)</f>
        <v>22723.353871987561</v>
      </c>
      <c r="G111" s="37">
        <f t="array" ref="G111">IFERROR(SUMPRODUCT(('Production Inputs'!$A:$A="188mg LP")*('Production Inputs'!$B:$B="TOTAL ACTIVE")*'Production Inputs'!$DO:$DO),0)</f>
        <v>0</v>
      </c>
      <c r="H111" s="30">
        <f t="shared" si="7"/>
        <v>-1457482.7758959793</v>
      </c>
      <c r="I111" s="30">
        <f ca="1">IFERROR(AVERAGEIF(OFFSET(F111,0,0,MIN(Controls!$B$8,COUNTIF(B111:B$1973,B111)),1),"&gt;"&amp;0),0)</f>
        <v>24304.77463476827</v>
      </c>
      <c r="J111" s="38">
        <f t="shared" ca="1" si="8"/>
        <v>-59.966932333165218</v>
      </c>
      <c r="K111" s="30">
        <f t="shared" ca="1" si="12"/>
        <v>1668600</v>
      </c>
      <c r="L111" t="str">
        <f t="shared" si="9"/>
        <v>High</v>
      </c>
      <c r="M111" s="39">
        <f>IFERROR(VLOOKUP("188mg LP",Controls!A:I,7,0),6)</f>
        <v>9</v>
      </c>
      <c r="N111" s="39">
        <f>IFERROR(VLOOKUP("188mg LP",Controls!A:I,8,0),3)</f>
        <v>8</v>
      </c>
      <c r="O111" s="39">
        <f>IFERROR(VLOOKUP("188mg LP",Controls!A:I,9,0),18)</f>
        <v>18</v>
      </c>
      <c r="P111" s="40">
        <f>IFERROR(VLOOKUP("188mg LP",Controls!A:J,5,0),0)</f>
        <v>16200</v>
      </c>
      <c r="Q111" s="39">
        <f>IFERROR(VLOOKUP("188mg LP",Controls!A:J,6,0),3)</f>
        <v>3</v>
      </c>
      <c r="R111" s="21" t="str">
        <f>IFERROR(VLOOKUP("188mg LP",Controls!A:K,10,0),"")</f>
        <v>Fisher / ThermoFisher Allentown</v>
      </c>
      <c r="S111" s="41">
        <f t="shared" si="10"/>
        <v>49218</v>
      </c>
      <c r="T111" s="30">
        <f t="shared" si="11"/>
        <v>0</v>
      </c>
      <c r="AB111">
        <f t="shared" si="13"/>
        <v>1552886.1224584025</v>
      </c>
    </row>
    <row r="112" spans="1:28" ht="13" customHeight="1" x14ac:dyDescent="0.35">
      <c r="A112" s="153">
        <v>49341</v>
      </c>
      <c r="B112" s="36" t="s">
        <v>26</v>
      </c>
      <c r="C112" s="15" t="s">
        <v>28</v>
      </c>
      <c r="D112" s="15" t="s">
        <v>29</v>
      </c>
      <c r="E112" s="30">
        <f>H111</f>
        <v>-1457482.7758959793</v>
      </c>
      <c r="F112" s="37">
        <f>IFERROR(SUMIFS('Demand Inputs'!$DJ$5:$DJ$202,'Demand Inputs'!$A$5:$A$202,"188mg LP",'Demand Inputs'!$B$5:$B$202,"&lt;&gt;AGGREGATE",'Demand Inputs'!$E$5:$E$202,1),0)</f>
        <v>24696.613027369112</v>
      </c>
      <c r="G112" s="37">
        <f t="array" ref="G112">IFERROR(SUMPRODUCT(('Production Inputs'!$A:$A="188mg LP")*('Production Inputs'!$B:$B="TOTAL ACTIVE")*'Production Inputs'!$DP:$DP),0)</f>
        <v>0</v>
      </c>
      <c r="H112" s="30">
        <f t="shared" si="7"/>
        <v>-1482179.3889233484</v>
      </c>
      <c r="I112" s="30">
        <f ca="1">IFERROR(AVERAGEIF(OFFSET(F112,0,0,MIN(Controls!$B$8,COUNTIF(B112:B$1973,B112)),1),"&gt;"&amp;0),0)</f>
        <v>23879.434878507291</v>
      </c>
      <c r="J112" s="38">
        <f t="shared" ca="1" si="8"/>
        <v>-62.06928247943528</v>
      </c>
      <c r="K112" s="30">
        <f t="shared" ca="1" si="12"/>
        <v>1701000</v>
      </c>
      <c r="L112" t="str">
        <f t="shared" si="9"/>
        <v>High</v>
      </c>
      <c r="M112" s="39">
        <f>IFERROR(VLOOKUP("188mg LP",Controls!A:I,7,0),6)</f>
        <v>9</v>
      </c>
      <c r="N112" s="39">
        <f>IFERROR(VLOOKUP("188mg LP",Controls!A:I,8,0),3)</f>
        <v>8</v>
      </c>
      <c r="O112" s="39">
        <f>IFERROR(VLOOKUP("188mg LP",Controls!A:I,9,0),18)</f>
        <v>18</v>
      </c>
      <c r="P112" s="40">
        <f>IFERROR(VLOOKUP("188mg LP",Controls!A:J,5,0),0)</f>
        <v>16200</v>
      </c>
      <c r="Q112" s="39">
        <f>IFERROR(VLOOKUP("188mg LP",Controls!A:J,6,0),3)</f>
        <v>3</v>
      </c>
      <c r="R112" s="21" t="str">
        <f>IFERROR(VLOOKUP("188mg LP",Controls!A:K,10,0),"")</f>
        <v>Fisher / ThermoFisher Allentown</v>
      </c>
      <c r="S112" s="41">
        <f t="shared" si="10"/>
        <v>49249</v>
      </c>
      <c r="T112" s="30">
        <f t="shared" si="11"/>
        <v>0</v>
      </c>
      <c r="AB112">
        <f t="shared" si="13"/>
        <v>1577582.7354857717</v>
      </c>
    </row>
    <row r="113" spans="1:28" ht="13" customHeight="1" x14ac:dyDescent="0.35">
      <c r="A113" s="153">
        <v>49369</v>
      </c>
      <c r="B113" s="36" t="s">
        <v>26</v>
      </c>
      <c r="C113" s="15" t="s">
        <v>28</v>
      </c>
      <c r="D113" s="15" t="s">
        <v>29</v>
      </c>
      <c r="E113" s="30">
        <f>H112</f>
        <v>-1482179.3889233484</v>
      </c>
      <c r="F113" s="37">
        <f>IFERROR(SUMIFS('Demand Inputs'!$DK$5:$DK$202,'Demand Inputs'!$A$5:$A$202,"188mg LP",'Demand Inputs'!$B$5:$B$202,"&lt;&gt;AGGREGATE",'Demand Inputs'!$E$5:$E$202,1),0)</f>
        <v>19939.100652745656</v>
      </c>
      <c r="G113" s="37">
        <f t="array" ref="G113">IFERROR(SUMPRODUCT(('Production Inputs'!$A:$A="188mg LP")*('Production Inputs'!$B:$B="TOTAL ACTIVE")*'Production Inputs'!$DQ:$DQ),0)</f>
        <v>0</v>
      </c>
      <c r="H113" s="30">
        <f t="shared" si="7"/>
        <v>-1502118.4895760941</v>
      </c>
      <c r="I113" s="30">
        <f ca="1">IFERROR(AVERAGEIF(OFFSET(F113,0,0,MIN(Controls!$B$8,COUNTIF(B113:B$1973,B113)),1),"&gt;"&amp;0),0)</f>
        <v>24218.21051493668</v>
      </c>
      <c r="J113" s="38">
        <f t="shared" ca="1" si="8"/>
        <v>-62.02433861286557</v>
      </c>
      <c r="K113" s="30">
        <f t="shared" ca="1" si="12"/>
        <v>1717200</v>
      </c>
      <c r="L113" t="str">
        <f t="shared" si="9"/>
        <v>High</v>
      </c>
      <c r="M113" s="39">
        <f>IFERROR(VLOOKUP("188mg LP",Controls!A:I,7,0),6)</f>
        <v>9</v>
      </c>
      <c r="N113" s="39">
        <f>IFERROR(VLOOKUP("188mg LP",Controls!A:I,8,0),3)</f>
        <v>8</v>
      </c>
      <c r="O113" s="39">
        <f>IFERROR(VLOOKUP("188mg LP",Controls!A:I,9,0),18)</f>
        <v>18</v>
      </c>
      <c r="P113" s="40">
        <f>IFERROR(VLOOKUP("188mg LP",Controls!A:J,5,0),0)</f>
        <v>16200</v>
      </c>
      <c r="Q113" s="39">
        <f>IFERROR(VLOOKUP("188mg LP",Controls!A:J,6,0),3)</f>
        <v>3</v>
      </c>
      <c r="R113" s="21" t="str">
        <f>IFERROR(VLOOKUP("188mg LP",Controls!A:K,10,0),"")</f>
        <v>Fisher / ThermoFisher Allentown</v>
      </c>
      <c r="S113" s="41">
        <f t="shared" si="10"/>
        <v>49279</v>
      </c>
      <c r="T113" s="30">
        <f t="shared" si="11"/>
        <v>0</v>
      </c>
      <c r="AB113">
        <f t="shared" si="13"/>
        <v>1597521.8361385174</v>
      </c>
    </row>
    <row r="114" spans="1:28" ht="13" customHeight="1" x14ac:dyDescent="0.35">
      <c r="A114" s="153">
        <v>49400</v>
      </c>
      <c r="B114" s="36" t="s">
        <v>26</v>
      </c>
      <c r="C114" s="15" t="s">
        <v>28</v>
      </c>
      <c r="D114" s="15" t="s">
        <v>29</v>
      </c>
      <c r="E114" s="30">
        <f>H113</f>
        <v>-1502118.4895760941</v>
      </c>
      <c r="F114" s="37">
        <f>IFERROR(SUMIFS('Demand Inputs'!$DL$5:$DL$202,'Demand Inputs'!$A$5:$A$202,"188mg LP",'Demand Inputs'!$B$5:$B$202,"&lt;&gt;AGGREGATE",'Demand Inputs'!$E$5:$E$202,1),0)</f>
        <v>27258.45778069026</v>
      </c>
      <c r="G114" s="37">
        <f t="array" ref="G114">IFERROR(SUMPRODUCT(('Production Inputs'!$A:$A="188mg LP")*('Production Inputs'!$B:$B="TOTAL ACTIVE")*'Production Inputs'!$DR:$DR),0)</f>
        <v>0</v>
      </c>
      <c r="H114" s="30">
        <f t="shared" si="7"/>
        <v>-1529376.9473567843</v>
      </c>
      <c r="I114" s="30">
        <f ca="1">IFERROR(AVERAGEIF(OFFSET(F114,0,0,MIN(Controls!$B$8,COUNTIF(B114:B$1973,B114)),1),"&gt;"&amp;0),0)</f>
        <v>24405.208321846731</v>
      </c>
      <c r="J114" s="38">
        <f t="shared" ca="1" si="8"/>
        <v>-62.666006664968187</v>
      </c>
      <c r="K114" s="30">
        <f t="shared" ca="1" si="12"/>
        <v>1749600</v>
      </c>
      <c r="L114" t="str">
        <f t="shared" si="9"/>
        <v>High</v>
      </c>
      <c r="M114" s="39">
        <f>IFERROR(VLOOKUP("188mg LP",Controls!A:I,7,0),6)</f>
        <v>9</v>
      </c>
      <c r="N114" s="39">
        <f>IFERROR(VLOOKUP("188mg LP",Controls!A:I,8,0),3)</f>
        <v>8</v>
      </c>
      <c r="O114" s="39">
        <f>IFERROR(VLOOKUP("188mg LP",Controls!A:I,9,0),18)</f>
        <v>18</v>
      </c>
      <c r="P114" s="40">
        <f>IFERROR(VLOOKUP("188mg LP",Controls!A:J,5,0),0)</f>
        <v>16200</v>
      </c>
      <c r="Q114" s="39">
        <f>IFERROR(VLOOKUP("188mg LP",Controls!A:J,6,0),3)</f>
        <v>3</v>
      </c>
      <c r="R114" s="21" t="str">
        <f>IFERROR(VLOOKUP("188mg LP",Controls!A:K,10,0),"")</f>
        <v>Fisher / ThermoFisher Allentown</v>
      </c>
      <c r="S114" s="41">
        <f t="shared" si="10"/>
        <v>49310</v>
      </c>
      <c r="T114" s="30">
        <f t="shared" si="11"/>
        <v>0</v>
      </c>
      <c r="AB114">
        <f t="shared" si="13"/>
        <v>1624780.2939192075</v>
      </c>
    </row>
    <row r="115" spans="1:28" ht="13" customHeight="1" x14ac:dyDescent="0.35">
      <c r="A115" s="153">
        <v>49430</v>
      </c>
      <c r="B115" s="36" t="s">
        <v>26</v>
      </c>
      <c r="C115" s="15" t="s">
        <v>28</v>
      </c>
      <c r="D115" s="15" t="s">
        <v>29</v>
      </c>
      <c r="E115" s="30">
        <f>H114</f>
        <v>-1529376.9473567843</v>
      </c>
      <c r="F115" s="37">
        <f>IFERROR(SUMIFS('Demand Inputs'!$DM$5:$DM$202,'Demand Inputs'!$A$5:$A$202,"188mg LP",'Demand Inputs'!$B$5:$B$202,"&lt;&gt;AGGREGATE",'Demand Inputs'!$E$5:$E$202,1),0)</f>
        <v>23313.619357976706</v>
      </c>
      <c r="G115" s="37">
        <f t="array" ref="G115">IFERROR(SUMPRODUCT(('Production Inputs'!$A:$A="188mg LP")*('Production Inputs'!$B:$B="TOTAL ACTIVE")*'Production Inputs'!$DS:$DS),0)</f>
        <v>0</v>
      </c>
      <c r="H115" s="30">
        <f t="shared" si="7"/>
        <v>-1552690.5667147608</v>
      </c>
      <c r="I115" s="30">
        <f ca="1">IFERROR(AVERAGEIF(OFFSET(F115,0,0,MIN(Controls!$B$8,COUNTIF(B115:B$1973,B115)),1),"&gt;"&amp;0),0)</f>
        <v>23924.037612721189</v>
      </c>
      <c r="J115" s="38">
        <f t="shared" ca="1" si="8"/>
        <v>-64.90085795088136</v>
      </c>
      <c r="K115" s="30">
        <f t="shared" ca="1" si="12"/>
        <v>1765800</v>
      </c>
      <c r="L115" t="str">
        <f t="shared" si="9"/>
        <v>High</v>
      </c>
      <c r="M115" s="39">
        <f>IFERROR(VLOOKUP("188mg LP",Controls!A:I,7,0),6)</f>
        <v>9</v>
      </c>
      <c r="N115" s="39">
        <f>IFERROR(VLOOKUP("188mg LP",Controls!A:I,8,0),3)</f>
        <v>8</v>
      </c>
      <c r="O115" s="39">
        <f>IFERROR(VLOOKUP("188mg LP",Controls!A:I,9,0),18)</f>
        <v>18</v>
      </c>
      <c r="P115" s="40">
        <f>IFERROR(VLOOKUP("188mg LP",Controls!A:J,5,0),0)</f>
        <v>16200</v>
      </c>
      <c r="Q115" s="39">
        <f>IFERROR(VLOOKUP("188mg LP",Controls!A:J,6,0),3)</f>
        <v>3</v>
      </c>
      <c r="R115" s="21" t="str">
        <f>IFERROR(VLOOKUP("188mg LP",Controls!A:K,10,0),"")</f>
        <v>Fisher / ThermoFisher Allentown</v>
      </c>
      <c r="S115" s="41">
        <f t="shared" si="10"/>
        <v>49341</v>
      </c>
      <c r="T115" s="30">
        <f t="shared" si="11"/>
        <v>0</v>
      </c>
      <c r="AB115">
        <f t="shared" si="13"/>
        <v>1648093.9132771841</v>
      </c>
    </row>
    <row r="116" spans="1:28" ht="13" customHeight="1" x14ac:dyDescent="0.35">
      <c r="A116" s="153">
        <v>49461</v>
      </c>
      <c r="B116" s="36" t="s">
        <v>26</v>
      </c>
      <c r="C116" s="15" t="s">
        <v>28</v>
      </c>
      <c r="D116" s="15" t="s">
        <v>29</v>
      </c>
      <c r="E116" s="30">
        <f>H115</f>
        <v>-1552690.5667147608</v>
      </c>
      <c r="F116" s="37">
        <f>IFERROR(SUMIFS('Demand Inputs'!$DN$5:$DN$202,'Demand Inputs'!$A$5:$A$202,"188mg LP",'Demand Inputs'!$B$5:$B$202,"&lt;&gt;AGGREGATE",'Demand Inputs'!$E$5:$E$202,1),0)</f>
        <v>26137.511185381281</v>
      </c>
      <c r="G116" s="37">
        <f t="array" ref="G116">IFERROR(SUMPRODUCT(('Production Inputs'!$A:$A="188mg LP")*('Production Inputs'!$B:$B="TOTAL ACTIVE")*'Production Inputs'!$DT:$DT),0)</f>
        <v>0</v>
      </c>
      <c r="H116" s="30">
        <f t="shared" si="7"/>
        <v>-1578828.0779001422</v>
      </c>
      <c r="I116" s="30">
        <f ca="1">IFERROR(AVERAGEIF(OFFSET(F116,0,0,MIN(Controls!$B$8,COUNTIF(B116:B$1973,B116)),1),"&gt;"&amp;0),0)</f>
        <v>24102.474252819033</v>
      </c>
      <c r="J116" s="38">
        <f t="shared" ca="1" si="8"/>
        <v>-65.504813378878808</v>
      </c>
      <c r="K116" s="30">
        <f t="shared" ca="1" si="12"/>
        <v>1798200</v>
      </c>
      <c r="L116" t="str">
        <f t="shared" si="9"/>
        <v>High</v>
      </c>
      <c r="M116" s="39">
        <f>IFERROR(VLOOKUP("188mg LP",Controls!A:I,7,0),6)</f>
        <v>9</v>
      </c>
      <c r="N116" s="39">
        <f>IFERROR(VLOOKUP("188mg LP",Controls!A:I,8,0),3)</f>
        <v>8</v>
      </c>
      <c r="O116" s="39">
        <f>IFERROR(VLOOKUP("188mg LP",Controls!A:I,9,0),18)</f>
        <v>18</v>
      </c>
      <c r="P116" s="40">
        <f>IFERROR(VLOOKUP("188mg LP",Controls!A:J,5,0),0)</f>
        <v>16200</v>
      </c>
      <c r="Q116" s="39">
        <f>IFERROR(VLOOKUP("188mg LP",Controls!A:J,6,0),3)</f>
        <v>3</v>
      </c>
      <c r="R116" s="21" t="str">
        <f>IFERROR(VLOOKUP("188mg LP",Controls!A:K,10,0),"")</f>
        <v>Fisher / ThermoFisher Allentown</v>
      </c>
      <c r="S116" s="41">
        <f t="shared" si="10"/>
        <v>49369</v>
      </c>
      <c r="T116" s="30">
        <f t="shared" si="11"/>
        <v>0</v>
      </c>
      <c r="AB116">
        <f t="shared" si="13"/>
        <v>1674231.4244625655</v>
      </c>
    </row>
    <row r="117" spans="1:28" ht="13" customHeight="1" x14ac:dyDescent="0.35">
      <c r="A117" s="153">
        <v>49491</v>
      </c>
      <c r="B117" s="36" t="s">
        <v>26</v>
      </c>
      <c r="C117" s="15" t="s">
        <v>28</v>
      </c>
      <c r="D117" s="15" t="s">
        <v>29</v>
      </c>
      <c r="E117" s="30">
        <f>H116</f>
        <v>-1578828.0779001422</v>
      </c>
      <c r="F117" s="37">
        <f>IFERROR(SUMIFS('Demand Inputs'!$DO$5:$DO$202,'Demand Inputs'!$A$5:$A$202,"188mg LP",'Demand Inputs'!$B$5:$B$202,"&lt;&gt;AGGREGATE",'Demand Inputs'!$E$5:$E$202,1),0)</f>
        <v>21448.289430601479</v>
      </c>
      <c r="G117" s="37">
        <f t="array" ref="G117">IFERROR(SUMPRODUCT(('Production Inputs'!$A:$A="188mg LP")*('Production Inputs'!$B:$B="TOTAL ACTIVE")*'Production Inputs'!$DU:$DU),0)</f>
        <v>0</v>
      </c>
      <c r="H117" s="30">
        <f t="shared" si="7"/>
        <v>-1600276.3673307437</v>
      </c>
      <c r="I117" s="30">
        <f ca="1">IFERROR(AVERAGEIF(OFFSET(F117,0,0,MIN(Controls!$B$8,COUNTIF(B117:B$1973,B117)),1),"&gt;"&amp;0),0)</f>
        <v>23662.884471756563</v>
      </c>
      <c r="J117" s="38">
        <f t="shared" ca="1" si="8"/>
        <v>-67.628119016546535</v>
      </c>
      <c r="K117" s="30">
        <f t="shared" ca="1" si="12"/>
        <v>1814400</v>
      </c>
      <c r="L117" t="str">
        <f t="shared" si="9"/>
        <v>High</v>
      </c>
      <c r="M117" s="39">
        <f>IFERROR(VLOOKUP("188mg LP",Controls!A:I,7,0),6)</f>
        <v>9</v>
      </c>
      <c r="N117" s="39">
        <f>IFERROR(VLOOKUP("188mg LP",Controls!A:I,8,0),3)</f>
        <v>8</v>
      </c>
      <c r="O117" s="39">
        <f>IFERROR(VLOOKUP("188mg LP",Controls!A:I,9,0),18)</f>
        <v>18</v>
      </c>
      <c r="P117" s="40">
        <f>IFERROR(VLOOKUP("188mg LP",Controls!A:J,5,0),0)</f>
        <v>16200</v>
      </c>
      <c r="Q117" s="39">
        <f>IFERROR(VLOOKUP("188mg LP",Controls!A:J,6,0),3)</f>
        <v>3</v>
      </c>
      <c r="R117" s="21" t="str">
        <f>IFERROR(VLOOKUP("188mg LP",Controls!A:K,10,0),"")</f>
        <v>Fisher / ThermoFisher Allentown</v>
      </c>
      <c r="S117" s="41">
        <f t="shared" si="10"/>
        <v>49400</v>
      </c>
      <c r="T117" s="30">
        <f t="shared" si="11"/>
        <v>0</v>
      </c>
      <c r="AB117">
        <f t="shared" si="13"/>
        <v>1695679.713893167</v>
      </c>
    </row>
    <row r="118" spans="1:28" ht="13" customHeight="1" x14ac:dyDescent="0.35">
      <c r="A118" s="153">
        <v>49522</v>
      </c>
      <c r="B118" s="36" t="s">
        <v>26</v>
      </c>
      <c r="C118" s="15" t="s">
        <v>28</v>
      </c>
      <c r="D118" s="15" t="s">
        <v>29</v>
      </c>
      <c r="E118" s="30">
        <f>H117</f>
        <v>-1600276.3673307437</v>
      </c>
      <c r="F118" s="37">
        <f>IFERROR(SUMIFS('Demand Inputs'!$DP$5:$DP$202,'Demand Inputs'!$A$5:$A$202,"188mg LP",'Demand Inputs'!$B$5:$B$202,"&lt;&gt;AGGREGATE",'Demand Inputs'!$E$5:$E$202,1),0)</f>
        <v>24823.576438107171</v>
      </c>
      <c r="G118" s="37">
        <f t="array" ref="G118">IFERROR(SUMPRODUCT(('Production Inputs'!$A:$A="188mg LP")*('Production Inputs'!$B:$B="TOTAL ACTIVE")*'Production Inputs'!$DV:$DV),0)</f>
        <v>0</v>
      </c>
      <c r="H118" s="30">
        <f t="shared" si="7"/>
        <v>-1625099.9437688508</v>
      </c>
      <c r="I118" s="30">
        <f ca="1">IFERROR(AVERAGEIF(OFFSET(F118,0,0,MIN(Controls!$B$8,COUNTIF(B118:B$1973,B118)),1),"&gt;"&amp;0),0)</f>
        <v>24042.602136270554</v>
      </c>
      <c r="J118" s="38">
        <f t="shared" ca="1" si="8"/>
        <v>-67.592514926545022</v>
      </c>
      <c r="K118" s="30">
        <f t="shared" ca="1" si="12"/>
        <v>1846800</v>
      </c>
      <c r="L118" t="str">
        <f t="shared" si="9"/>
        <v>High</v>
      </c>
      <c r="M118" s="39">
        <f>IFERROR(VLOOKUP("188mg LP",Controls!A:I,7,0),6)</f>
        <v>9</v>
      </c>
      <c r="N118" s="39">
        <f>IFERROR(VLOOKUP("188mg LP",Controls!A:I,8,0),3)</f>
        <v>8</v>
      </c>
      <c r="O118" s="39">
        <f>IFERROR(VLOOKUP("188mg LP",Controls!A:I,9,0),18)</f>
        <v>18</v>
      </c>
      <c r="P118" s="40">
        <f>IFERROR(VLOOKUP("188mg LP",Controls!A:J,5,0),0)</f>
        <v>16200</v>
      </c>
      <c r="Q118" s="39">
        <f>IFERROR(VLOOKUP("188mg LP",Controls!A:J,6,0),3)</f>
        <v>3</v>
      </c>
      <c r="R118" s="21" t="str">
        <f>IFERROR(VLOOKUP("188mg LP",Controls!A:K,10,0),"")</f>
        <v>Fisher / ThermoFisher Allentown</v>
      </c>
      <c r="S118" s="41">
        <f t="shared" si="10"/>
        <v>49430</v>
      </c>
      <c r="T118" s="30">
        <f t="shared" si="11"/>
        <v>0</v>
      </c>
      <c r="AB118">
        <f t="shared" si="13"/>
        <v>1720503.290331274</v>
      </c>
    </row>
    <row r="119" spans="1:28" ht="13" customHeight="1" x14ac:dyDescent="0.35">
      <c r="A119" s="153">
        <v>49553</v>
      </c>
      <c r="B119" s="36" t="s">
        <v>26</v>
      </c>
      <c r="C119" s="15" t="s">
        <v>28</v>
      </c>
      <c r="D119" s="15" t="s">
        <v>29</v>
      </c>
      <c r="E119" s="30">
        <f>H118</f>
        <v>-1625099.9437688508</v>
      </c>
      <c r="F119" s="37">
        <f>IFERROR(SUMIFS('Demand Inputs'!$DQ$5:$DQ$202,'Demand Inputs'!$A$5:$A$202,"188mg LP",'Demand Inputs'!$B$5:$B$202,"&lt;&gt;AGGREGATE",'Demand Inputs'!$E$5:$E$202,1),0)</f>
        <v>28402.449968055222</v>
      </c>
      <c r="G119" s="37">
        <f t="array" ref="G119">IFERROR(SUMPRODUCT(('Production Inputs'!$A:$A="188mg LP")*('Production Inputs'!$B:$B="TOTAL ACTIVE")*'Production Inputs'!$DW:$DW),0)</f>
        <v>0</v>
      </c>
      <c r="H119" s="30">
        <f t="shared" si="7"/>
        <v>-1653502.3937369059</v>
      </c>
      <c r="I119" s="30">
        <f ca="1">IFERROR(AVERAGEIF(OFFSET(F119,0,0,MIN(Controls!$B$8,COUNTIF(B119:B$1973,B119)),1),"&gt;"&amp;0),0)</f>
        <v>24209.141793802017</v>
      </c>
      <c r="J119" s="38">
        <f t="shared" ca="1" si="8"/>
        <v>-68.300743901637716</v>
      </c>
      <c r="K119" s="30">
        <f t="shared" ca="1" si="12"/>
        <v>1879200</v>
      </c>
      <c r="L119" t="str">
        <f t="shared" si="9"/>
        <v>High</v>
      </c>
      <c r="M119" s="39">
        <f>IFERROR(VLOOKUP("188mg LP",Controls!A:I,7,0),6)</f>
        <v>9</v>
      </c>
      <c r="N119" s="39">
        <f>IFERROR(VLOOKUP("188mg LP",Controls!A:I,8,0),3)</f>
        <v>8</v>
      </c>
      <c r="O119" s="39">
        <f>IFERROR(VLOOKUP("188mg LP",Controls!A:I,9,0),18)</f>
        <v>18</v>
      </c>
      <c r="P119" s="40">
        <f>IFERROR(VLOOKUP("188mg LP",Controls!A:J,5,0),0)</f>
        <v>16200</v>
      </c>
      <c r="Q119" s="39">
        <f>IFERROR(VLOOKUP("188mg LP",Controls!A:J,6,0),3)</f>
        <v>3</v>
      </c>
      <c r="R119" s="21" t="str">
        <f>IFERROR(VLOOKUP("188mg LP",Controls!A:K,10,0),"")</f>
        <v>Fisher / ThermoFisher Allentown</v>
      </c>
      <c r="S119" s="41">
        <f t="shared" si="10"/>
        <v>49461</v>
      </c>
      <c r="T119" s="30">
        <f t="shared" si="11"/>
        <v>0</v>
      </c>
      <c r="AB119">
        <f t="shared" si="13"/>
        <v>1748905.7402993292</v>
      </c>
    </row>
    <row r="120" spans="1:28" ht="13" customHeight="1" x14ac:dyDescent="0.35">
      <c r="A120" s="153">
        <v>49583</v>
      </c>
      <c r="B120" s="36" t="s">
        <v>26</v>
      </c>
      <c r="C120" s="15" t="s">
        <v>28</v>
      </c>
      <c r="D120" s="15" t="s">
        <v>29</v>
      </c>
      <c r="E120" s="30">
        <f>H119</f>
        <v>-1653502.3937369059</v>
      </c>
      <c r="F120" s="37">
        <f>IFERROR(SUMIFS('Demand Inputs'!$DR$5:$DR$202,'Demand Inputs'!$A$5:$A$202,"188mg LP",'Demand Inputs'!$B$5:$B$202,"&lt;&gt;AGGREGATE",'Demand Inputs'!$E$5:$E$202,1),0)</f>
        <v>18895.296065638715</v>
      </c>
      <c r="G120" s="37">
        <f t="array" ref="G120">IFERROR(SUMPRODUCT(('Production Inputs'!$A:$A="188mg LP")*('Production Inputs'!$B:$B="TOTAL ACTIVE")*'Production Inputs'!$DX:$DX),0)</f>
        <v>0</v>
      </c>
      <c r="H120" s="30">
        <f t="shared" si="7"/>
        <v>-1672397.6898025447</v>
      </c>
      <c r="I120" s="30">
        <f ca="1">IFERROR(AVERAGEIF(OFFSET(F120,0,0,MIN(Controls!$B$8,COUNTIF(B120:B$1973,B120)),1),"&gt;"&amp;0),0)</f>
        <v>23686.084063461811</v>
      </c>
      <c r="J120" s="38">
        <f t="shared" ca="1" si="8"/>
        <v>-70.606761561839932</v>
      </c>
      <c r="K120" s="30">
        <f t="shared" ca="1" si="12"/>
        <v>1879200</v>
      </c>
      <c r="L120" t="str">
        <f t="shared" si="9"/>
        <v>High</v>
      </c>
      <c r="M120" s="39">
        <f>IFERROR(VLOOKUP("188mg LP",Controls!A:I,7,0),6)</f>
        <v>9</v>
      </c>
      <c r="N120" s="39">
        <f>IFERROR(VLOOKUP("188mg LP",Controls!A:I,8,0),3)</f>
        <v>8</v>
      </c>
      <c r="O120" s="39">
        <f>IFERROR(VLOOKUP("188mg LP",Controls!A:I,9,0),18)</f>
        <v>18</v>
      </c>
      <c r="P120" s="40">
        <f>IFERROR(VLOOKUP("188mg LP",Controls!A:J,5,0),0)</f>
        <v>16200</v>
      </c>
      <c r="Q120" s="39">
        <f>IFERROR(VLOOKUP("188mg LP",Controls!A:J,6,0),3)</f>
        <v>3</v>
      </c>
      <c r="R120" s="21" t="str">
        <f>IFERROR(VLOOKUP("188mg LP",Controls!A:K,10,0),"")</f>
        <v>Fisher / ThermoFisher Allentown</v>
      </c>
      <c r="S120" s="41">
        <f t="shared" si="10"/>
        <v>49491</v>
      </c>
      <c r="T120" s="30">
        <f t="shared" si="11"/>
        <v>0</v>
      </c>
      <c r="AB120">
        <f t="shared" si="13"/>
        <v>1767801.0363649679</v>
      </c>
    </row>
    <row r="121" spans="1:28" ht="13" customHeight="1" x14ac:dyDescent="0.35">
      <c r="A121" s="153">
        <v>49614</v>
      </c>
      <c r="B121" s="36" t="s">
        <v>26</v>
      </c>
      <c r="C121" s="15" t="s">
        <v>28</v>
      </c>
      <c r="D121" s="15" t="s">
        <v>29</v>
      </c>
      <c r="E121" s="30">
        <f>H120</f>
        <v>-1672397.6898025447</v>
      </c>
      <c r="F121" s="37">
        <f>IFERROR(SUMIFS('Demand Inputs'!$DS$5:$DS$202,'Demand Inputs'!$A$5:$A$202,"188mg LP",'Demand Inputs'!$B$5:$B$202,"&lt;&gt;AGGREGATE",'Demand Inputs'!$E$5:$E$202,1),0)</f>
        <v>27745.59375523364</v>
      </c>
      <c r="G121" s="37">
        <f t="array" ref="G121">IFERROR(SUMPRODUCT(('Production Inputs'!$A:$A="188mg LP")*('Production Inputs'!$B:$B="TOTAL ACTIVE")*'Production Inputs'!$DY:$DY),0)</f>
        <v>0</v>
      </c>
      <c r="H121" s="30">
        <f t="shared" si="7"/>
        <v>-1700143.2835577782</v>
      </c>
      <c r="I121" s="30">
        <f ca="1">IFERROR(AVERAGEIF(OFFSET(F121,0,0,MIN(Controls!$B$8,COUNTIF(B121:B$1973,B121)),1),"&gt;"&amp;0),0)</f>
        <v>24068.419848882146</v>
      </c>
      <c r="J121" s="38">
        <f t="shared" ca="1" si="8"/>
        <v>-70.6379269695489</v>
      </c>
      <c r="K121" s="30">
        <f t="shared" ca="1" si="12"/>
        <v>1911600</v>
      </c>
      <c r="L121" t="str">
        <f t="shared" si="9"/>
        <v>High</v>
      </c>
      <c r="M121" s="39">
        <f>IFERROR(VLOOKUP("188mg LP",Controls!A:I,7,0),6)</f>
        <v>9</v>
      </c>
      <c r="N121" s="39">
        <f>IFERROR(VLOOKUP("188mg LP",Controls!A:I,8,0),3)</f>
        <v>8</v>
      </c>
      <c r="O121" s="39">
        <f>IFERROR(VLOOKUP("188mg LP",Controls!A:I,9,0),18)</f>
        <v>18</v>
      </c>
      <c r="P121" s="40">
        <f>IFERROR(VLOOKUP("188mg LP",Controls!A:J,5,0),0)</f>
        <v>16200</v>
      </c>
      <c r="Q121" s="39">
        <f>IFERROR(VLOOKUP("188mg LP",Controls!A:J,6,0),3)</f>
        <v>3</v>
      </c>
      <c r="R121" s="21" t="str">
        <f>IFERROR(VLOOKUP("188mg LP",Controls!A:K,10,0),"")</f>
        <v>Fisher / ThermoFisher Allentown</v>
      </c>
      <c r="S121" s="41">
        <f t="shared" si="10"/>
        <v>49522</v>
      </c>
      <c r="T121" s="30">
        <f t="shared" si="11"/>
        <v>0</v>
      </c>
      <c r="AB121">
        <f t="shared" si="13"/>
        <v>1795546.6301202015</v>
      </c>
    </row>
    <row r="122" spans="1:28" ht="13" customHeight="1" x14ac:dyDescent="0.35">
      <c r="A122" s="153">
        <v>49644</v>
      </c>
      <c r="B122" s="36" t="s">
        <v>26</v>
      </c>
      <c r="C122" s="15" t="s">
        <v>28</v>
      </c>
      <c r="D122" s="15" t="s">
        <v>29</v>
      </c>
      <c r="E122" s="30">
        <f>H121</f>
        <v>-1700143.2835577782</v>
      </c>
      <c r="F122" s="37">
        <f>IFERROR(SUMIFS('Demand Inputs'!$DT$5:$DT$202,'Demand Inputs'!$A$5:$A$202,"188mg LP",'Demand Inputs'!$B$5:$B$202,"&lt;&gt;AGGREGATE",'Demand Inputs'!$E$5:$E$202,1),0)</f>
        <v>21622.080914936072</v>
      </c>
      <c r="G122" s="37">
        <f t="array" ref="G122">IFERROR(SUMPRODUCT(('Production Inputs'!$A:$A="188mg LP")*('Production Inputs'!$B:$B="TOTAL ACTIVE")*'Production Inputs'!$DZ:$DZ),0)</f>
        <v>0</v>
      </c>
      <c r="H122" s="30">
        <f t="shared" si="7"/>
        <v>-1721765.3644727143</v>
      </c>
      <c r="I122" s="30">
        <f ca="1">IFERROR(AVERAGEIF(OFFSET(F122,0,0,MIN(Controls!$B$8,COUNTIF(B122:B$1973,B122)),1),"&gt;"&amp;0),0)</f>
        <v>24002.351010724029</v>
      </c>
      <c r="J122" s="38">
        <f t="shared" ca="1" si="8"/>
        <v>-71.733196623257669</v>
      </c>
      <c r="K122" s="30">
        <f t="shared" ca="1" si="12"/>
        <v>1944000</v>
      </c>
      <c r="L122" t="str">
        <f t="shared" si="9"/>
        <v>High</v>
      </c>
      <c r="M122" s="39">
        <f>IFERROR(VLOOKUP("188mg LP",Controls!A:I,7,0),6)</f>
        <v>9</v>
      </c>
      <c r="N122" s="39">
        <f>IFERROR(VLOOKUP("188mg LP",Controls!A:I,8,0),3)</f>
        <v>8</v>
      </c>
      <c r="O122" s="39">
        <f>IFERROR(VLOOKUP("188mg LP",Controls!A:I,9,0),18)</f>
        <v>18</v>
      </c>
      <c r="P122" s="40">
        <f>IFERROR(VLOOKUP("188mg LP",Controls!A:J,5,0),0)</f>
        <v>16200</v>
      </c>
      <c r="Q122" s="39">
        <f>IFERROR(VLOOKUP("188mg LP",Controls!A:J,6,0),3)</f>
        <v>3</v>
      </c>
      <c r="R122" s="21" t="str">
        <f>IFERROR(VLOOKUP("188mg LP",Controls!A:K,10,0),"")</f>
        <v>Fisher / ThermoFisher Allentown</v>
      </c>
      <c r="S122" s="41">
        <f t="shared" si="10"/>
        <v>49553</v>
      </c>
      <c r="T122" s="30">
        <f t="shared" si="11"/>
        <v>0</v>
      </c>
      <c r="AB122">
        <f t="shared" si="13"/>
        <v>1817168.7110351375</v>
      </c>
    </row>
    <row r="123" spans="1:28" ht="13" customHeight="1" x14ac:dyDescent="0.35">
      <c r="A123" s="153">
        <v>49675</v>
      </c>
      <c r="B123" s="36" t="s">
        <v>26</v>
      </c>
      <c r="C123" s="15" t="s">
        <v>28</v>
      </c>
      <c r="D123" s="15" t="s">
        <v>29</v>
      </c>
      <c r="E123" s="30">
        <f>H122</f>
        <v>-1721765.3644727143</v>
      </c>
      <c r="F123" s="37">
        <f>IFERROR(SUMIFS('Demand Inputs'!$DU$5:$DU$202,'Demand Inputs'!$A$5:$A$202,"188mg LP",'Demand Inputs'!$B$5:$B$202,"&lt;&gt;AGGREGATE",'Demand Inputs'!$E$5:$E$202,1),0)</f>
        <v>22927.921398560407</v>
      </c>
      <c r="G123" s="37">
        <f t="array" ref="G123">IFERROR(SUMPRODUCT(('Production Inputs'!$A:$A="188mg LP")*('Production Inputs'!$B:$B="TOTAL ACTIVE")*'Production Inputs'!$EA:$EA),0)</f>
        <v>0</v>
      </c>
      <c r="H123" s="30">
        <f t="shared" si="7"/>
        <v>-1744693.2858712748</v>
      </c>
      <c r="I123" s="30">
        <f ca="1">IFERROR(AVERAGEIF(OFFSET(F123,0,0,MIN(Controls!$B$8,COUNTIF(B123:B$1973,B123)),1),"&gt;"&amp;0),0)</f>
        <v>24245.541626720205</v>
      </c>
      <c r="J123" s="38">
        <f t="shared" ca="1" si="8"/>
        <v>-71.959344638789432</v>
      </c>
      <c r="K123" s="30">
        <f t="shared" ca="1" si="12"/>
        <v>1960200</v>
      </c>
      <c r="L123" t="str">
        <f t="shared" si="9"/>
        <v>High</v>
      </c>
      <c r="M123" s="39">
        <f>IFERROR(VLOOKUP("188mg LP",Controls!A:I,7,0),6)</f>
        <v>9</v>
      </c>
      <c r="N123" s="39">
        <f>IFERROR(VLOOKUP("188mg LP",Controls!A:I,8,0),3)</f>
        <v>8</v>
      </c>
      <c r="O123" s="39">
        <f>IFERROR(VLOOKUP("188mg LP",Controls!A:I,9,0),18)</f>
        <v>18</v>
      </c>
      <c r="P123" s="40">
        <f>IFERROR(VLOOKUP("188mg LP",Controls!A:J,5,0),0)</f>
        <v>16200</v>
      </c>
      <c r="Q123" s="39">
        <f>IFERROR(VLOOKUP("188mg LP",Controls!A:J,6,0),3)</f>
        <v>3</v>
      </c>
      <c r="R123" s="21" t="str">
        <f>IFERROR(VLOOKUP("188mg LP",Controls!A:K,10,0),"")</f>
        <v>Fisher / ThermoFisher Allentown</v>
      </c>
      <c r="S123" s="41">
        <f t="shared" si="10"/>
        <v>49583</v>
      </c>
      <c r="T123" s="30">
        <f t="shared" si="11"/>
        <v>0</v>
      </c>
      <c r="AB123">
        <f t="shared" si="13"/>
        <v>1840096.632433698</v>
      </c>
    </row>
    <row r="124" spans="1:28" ht="13" customHeight="1" x14ac:dyDescent="0.35">
      <c r="A124" s="153">
        <v>49706</v>
      </c>
      <c r="B124" s="36" t="s">
        <v>26</v>
      </c>
      <c r="C124" s="15" t="s">
        <v>28</v>
      </c>
      <c r="D124" s="15" t="s">
        <v>29</v>
      </c>
      <c r="E124" s="30">
        <f>H123</f>
        <v>-1744693.2858712748</v>
      </c>
      <c r="F124" s="37">
        <f>IFERROR(SUMIFS('Demand Inputs'!$DV$5:$DV$202,'Demand Inputs'!$A$5:$A$202,"188mg LP",'Demand Inputs'!$B$5:$B$202,"&lt;&gt;AGGREGATE",'Demand Inputs'!$E$5:$E$202,1),0)</f>
        <v>24919.5491188573</v>
      </c>
      <c r="G124" s="37">
        <f t="array" ref="G124">IFERROR(SUMPRODUCT(('Production Inputs'!$A:$A="188mg LP")*('Production Inputs'!$B:$B="TOTAL ACTIVE")*'Production Inputs'!$EB:$EB),0)</f>
        <v>0</v>
      </c>
      <c r="H124" s="30">
        <f t="shared" si="7"/>
        <v>-1769612.8349901321</v>
      </c>
      <c r="I124" s="30">
        <f ca="1">IFERROR(AVERAGEIF(OFFSET(F124,0,0,MIN(Controls!$B$8,COUNTIF(B124:B$1973,B124)),1),"&gt;"&amp;0),0)</f>
        <v>24425.792610508171</v>
      </c>
      <c r="J124" s="38">
        <f t="shared" ca="1" si="8"/>
        <v>-72.448532713277459</v>
      </c>
      <c r="K124" s="30">
        <f t="shared" ca="1" si="12"/>
        <v>1992600</v>
      </c>
      <c r="L124" t="str">
        <f t="shared" si="9"/>
        <v>High</v>
      </c>
      <c r="M124" s="39">
        <f>IFERROR(VLOOKUP("188mg LP",Controls!A:I,7,0),6)</f>
        <v>9</v>
      </c>
      <c r="N124" s="39">
        <f>IFERROR(VLOOKUP("188mg LP",Controls!A:I,8,0),3)</f>
        <v>8</v>
      </c>
      <c r="O124" s="39">
        <f>IFERROR(VLOOKUP("188mg LP",Controls!A:I,9,0),18)</f>
        <v>18</v>
      </c>
      <c r="P124" s="40">
        <f>IFERROR(VLOOKUP("188mg LP",Controls!A:J,5,0),0)</f>
        <v>16200</v>
      </c>
      <c r="Q124" s="39">
        <f>IFERROR(VLOOKUP("188mg LP",Controls!A:J,6,0),3)</f>
        <v>3</v>
      </c>
      <c r="R124" s="21" t="str">
        <f>IFERROR(VLOOKUP("188mg LP",Controls!A:K,10,0),"")</f>
        <v>Fisher / ThermoFisher Allentown</v>
      </c>
      <c r="S124" s="41">
        <f t="shared" si="10"/>
        <v>49614</v>
      </c>
      <c r="T124" s="30">
        <f t="shared" si="11"/>
        <v>0</v>
      </c>
      <c r="AB124">
        <f t="shared" si="13"/>
        <v>1865016.1815525554</v>
      </c>
    </row>
    <row r="125" spans="1:28" ht="13" customHeight="1" x14ac:dyDescent="0.35">
      <c r="A125" s="153">
        <v>49735</v>
      </c>
      <c r="B125" s="36" t="s">
        <v>26</v>
      </c>
      <c r="C125" s="15" t="s">
        <v>28</v>
      </c>
      <c r="D125" s="15" t="s">
        <v>29</v>
      </c>
      <c r="E125" s="30">
        <f>H124</f>
        <v>-1769612.8349901321</v>
      </c>
      <c r="F125" s="37">
        <f>IFERROR(SUMIFS('Demand Inputs'!$DW$5:$DW$202,'Demand Inputs'!$A$5:$A$202,"188mg LP",'Demand Inputs'!$B$5:$B$202,"&lt;&gt;AGGREGATE",'Demand Inputs'!$E$5:$E$202,1),0)</f>
        <v>22181.203155819028</v>
      </c>
      <c r="G125" s="37">
        <f t="array" ref="G125">IFERROR(SUMPRODUCT(('Production Inputs'!$A:$A="188mg LP")*('Production Inputs'!$B:$B="TOTAL ACTIVE")*'Production Inputs'!$EC:$EC),0)</f>
        <v>0</v>
      </c>
      <c r="H125" s="30">
        <f t="shared" si="7"/>
        <v>-1791794.0381459512</v>
      </c>
      <c r="I125" s="30">
        <f ca="1">IFERROR(AVERAGEIF(OFFSET(F125,0,0,MIN(Controls!$B$8,COUNTIF(B125:B$1973,B125)),1),"&gt;"&amp;0),0)</f>
        <v>24625.954852279974</v>
      </c>
      <c r="J125" s="38">
        <f t="shared" ca="1" si="8"/>
        <v>-72.760388333939446</v>
      </c>
      <c r="K125" s="30">
        <f t="shared" ca="1" si="12"/>
        <v>2008800</v>
      </c>
      <c r="L125" t="str">
        <f t="shared" si="9"/>
        <v>High</v>
      </c>
      <c r="M125" s="39">
        <f>IFERROR(VLOOKUP("188mg LP",Controls!A:I,7,0),6)</f>
        <v>9</v>
      </c>
      <c r="N125" s="39">
        <f>IFERROR(VLOOKUP("188mg LP",Controls!A:I,8,0),3)</f>
        <v>8</v>
      </c>
      <c r="O125" s="39">
        <f>IFERROR(VLOOKUP("188mg LP",Controls!A:I,9,0),18)</f>
        <v>18</v>
      </c>
      <c r="P125" s="40">
        <f>IFERROR(VLOOKUP("188mg LP",Controls!A:J,5,0),0)</f>
        <v>16200</v>
      </c>
      <c r="Q125" s="39">
        <f>IFERROR(VLOOKUP("188mg LP",Controls!A:J,6,0),3)</f>
        <v>3</v>
      </c>
      <c r="R125" s="21" t="str">
        <f>IFERROR(VLOOKUP("188mg LP",Controls!A:K,10,0),"")</f>
        <v>Fisher / ThermoFisher Allentown</v>
      </c>
      <c r="S125" s="41">
        <f t="shared" si="10"/>
        <v>49644</v>
      </c>
      <c r="T125" s="30">
        <f t="shared" si="11"/>
        <v>0</v>
      </c>
      <c r="AB125">
        <f t="shared" si="13"/>
        <v>1887197.3847083745</v>
      </c>
    </row>
    <row r="126" spans="1:28" ht="13" customHeight="1" x14ac:dyDescent="0.35">
      <c r="A126" s="153">
        <v>49766</v>
      </c>
      <c r="B126" s="36" t="s">
        <v>26</v>
      </c>
      <c r="C126" s="15" t="s">
        <v>28</v>
      </c>
      <c r="D126" s="15" t="s">
        <v>29</v>
      </c>
      <c r="E126" s="30">
        <f>H125</f>
        <v>-1791794.0381459512</v>
      </c>
      <c r="F126" s="37">
        <f>IFERROR(SUMIFS('Demand Inputs'!$DX$5:$DX$202,'Demand Inputs'!$A$5:$A$202,"188mg LP",'Demand Inputs'!$B$5:$B$202,"&lt;&gt;AGGREGATE",'Demand Inputs'!$E$5:$E$202,1),0)</f>
        <v>24865.748411227418</v>
      </c>
      <c r="G126" s="37">
        <f t="array" ref="G126">IFERROR(SUMPRODUCT(('Production Inputs'!$A:$A="188mg LP")*('Production Inputs'!$B:$B="TOTAL ACTIVE")*'Production Inputs'!$ED:$ED),0)</f>
        <v>0</v>
      </c>
      <c r="H126" s="30">
        <f t="shared" si="7"/>
        <v>-1816659.7865571787</v>
      </c>
      <c r="I126" s="30">
        <f ca="1">IFERROR(AVERAGEIF(OFFSET(F126,0,0,MIN(Controls!$B$8,COUNTIF(B126:B$1973,B126)),1),"&gt;"&amp;0),0)</f>
        <v>24132.330519653231</v>
      </c>
      <c r="J126" s="38">
        <f t="shared" ca="1" si="8"/>
        <v>-75.279086082369929</v>
      </c>
      <c r="K126" s="30">
        <f t="shared" ca="1" si="12"/>
        <v>2041200</v>
      </c>
      <c r="L126" t="str">
        <f t="shared" si="9"/>
        <v>High</v>
      </c>
      <c r="M126" s="39">
        <f>IFERROR(VLOOKUP("188mg LP",Controls!A:I,7,0),6)</f>
        <v>9</v>
      </c>
      <c r="N126" s="39">
        <f>IFERROR(VLOOKUP("188mg LP",Controls!A:I,8,0),3)</f>
        <v>8</v>
      </c>
      <c r="O126" s="39">
        <f>IFERROR(VLOOKUP("188mg LP",Controls!A:I,9,0),18)</f>
        <v>18</v>
      </c>
      <c r="P126" s="40">
        <f>IFERROR(VLOOKUP("188mg LP",Controls!A:J,5,0),0)</f>
        <v>16200</v>
      </c>
      <c r="Q126" s="39">
        <f>IFERROR(VLOOKUP("188mg LP",Controls!A:J,6,0),3)</f>
        <v>3</v>
      </c>
      <c r="R126" s="21" t="str">
        <f>IFERROR(VLOOKUP("188mg LP",Controls!A:K,10,0),"")</f>
        <v>Fisher / ThermoFisher Allentown</v>
      </c>
      <c r="S126" s="41">
        <f t="shared" si="10"/>
        <v>49675</v>
      </c>
      <c r="T126" s="30">
        <f t="shared" si="11"/>
        <v>0</v>
      </c>
      <c r="AB126">
        <f t="shared" si="13"/>
        <v>1912063.133119602</v>
      </c>
    </row>
    <row r="127" spans="1:28" ht="13" customHeight="1" x14ac:dyDescent="0.35">
      <c r="A127" s="153">
        <v>49796</v>
      </c>
      <c r="B127" s="36" t="s">
        <v>26</v>
      </c>
      <c r="C127" s="15" t="s">
        <v>28</v>
      </c>
      <c r="D127" s="15" t="s">
        <v>29</v>
      </c>
      <c r="E127" s="30">
        <f>H126</f>
        <v>-1816659.7865571787</v>
      </c>
      <c r="F127" s="37">
        <f>IFERROR(SUMIFS('Demand Inputs'!$DY$5:$DY$202,'Demand Inputs'!$A$5:$A$202,"188mg LP",'Demand Inputs'!$B$5:$B$202,"&lt;&gt;AGGREGATE",'Demand Inputs'!$E$5:$E$202,1),0)</f>
        <v>26322.433355890313</v>
      </c>
      <c r="G127" s="37">
        <f t="array" ref="G127">IFERROR(SUMPRODUCT(('Production Inputs'!$A:$A="188mg LP")*('Production Inputs'!$B:$B="TOTAL ACTIVE")*'Production Inputs'!$EE:$EE),0)</f>
        <v>0</v>
      </c>
      <c r="H127" s="30">
        <f t="shared" si="7"/>
        <v>-1842982.2199130689</v>
      </c>
      <c r="I127" s="30">
        <f ca="1">IFERROR(AVERAGEIF(OFFSET(F127,0,0,MIN(Controls!$B$8,COUNTIF(B127:B$1973,B127)),1),"&gt;"&amp;0),0)</f>
        <v>24545.157436425194</v>
      </c>
      <c r="J127" s="38">
        <f t="shared" ca="1" si="8"/>
        <v>-75.085369677770728</v>
      </c>
      <c r="K127" s="30">
        <f t="shared" ca="1" si="12"/>
        <v>2057400</v>
      </c>
      <c r="L127" t="str">
        <f t="shared" si="9"/>
        <v>High</v>
      </c>
      <c r="M127" s="39">
        <f>IFERROR(VLOOKUP("188mg LP",Controls!A:I,7,0),6)</f>
        <v>9</v>
      </c>
      <c r="N127" s="39">
        <f>IFERROR(VLOOKUP("188mg LP",Controls!A:I,8,0),3)</f>
        <v>8</v>
      </c>
      <c r="O127" s="39">
        <f>IFERROR(VLOOKUP("188mg LP",Controls!A:I,9,0),18)</f>
        <v>18</v>
      </c>
      <c r="P127" s="40">
        <f>IFERROR(VLOOKUP("188mg LP",Controls!A:J,5,0),0)</f>
        <v>16200</v>
      </c>
      <c r="Q127" s="39">
        <f>IFERROR(VLOOKUP("188mg LP",Controls!A:J,6,0),3)</f>
        <v>3</v>
      </c>
      <c r="R127" s="21" t="str">
        <f>IFERROR(VLOOKUP("188mg LP",Controls!A:K,10,0),"")</f>
        <v>Fisher / ThermoFisher Allentown</v>
      </c>
      <c r="S127" s="41">
        <f t="shared" si="10"/>
        <v>49706</v>
      </c>
      <c r="T127" s="30">
        <f t="shared" si="11"/>
        <v>0</v>
      </c>
      <c r="AB127">
        <f t="shared" si="13"/>
        <v>1938385.5664754922</v>
      </c>
    </row>
    <row r="128" spans="1:28" ht="13" customHeight="1" x14ac:dyDescent="0.35">
      <c r="A128" s="153">
        <v>49827</v>
      </c>
      <c r="B128" s="36" t="s">
        <v>26</v>
      </c>
      <c r="C128" s="15" t="s">
        <v>28</v>
      </c>
      <c r="D128" s="15" t="s">
        <v>29</v>
      </c>
      <c r="E128" s="30">
        <f>H127</f>
        <v>-1842982.2199130689</v>
      </c>
      <c r="F128" s="37">
        <f>IFERROR(SUMIFS('Demand Inputs'!$DZ$5:$DZ$202,'Demand Inputs'!$A$5:$A$202,"188mg LP",'Demand Inputs'!$B$5:$B$202,"&lt;&gt;AGGREGATE",'Demand Inputs'!$E$5:$E$202,1),0)</f>
        <v>23694.930394993389</v>
      </c>
      <c r="G128" s="37">
        <f t="array" ref="G128">IFERROR(SUMPRODUCT(('Production Inputs'!$A:$A="188mg LP")*('Production Inputs'!$B:$B="TOTAL ACTIVE")*'Production Inputs'!$EF:$EF),0)</f>
        <v>0</v>
      </c>
      <c r="H128" s="30">
        <f t="shared" si="7"/>
        <v>-1866677.1503080623</v>
      </c>
      <c r="I128" s="30">
        <f ca="1">IFERROR(AVERAGEIF(OFFSET(F128,0,0,MIN(Controls!$B$8,COUNTIF(B128:B$1973,B128)),1),"&gt;"&amp;0),0)</f>
        <v>24035.108557169784</v>
      </c>
      <c r="J128" s="38">
        <f t="shared" ca="1" si="8"/>
        <v>-77.664602423908079</v>
      </c>
      <c r="K128" s="30">
        <f t="shared" ca="1" si="12"/>
        <v>2089800</v>
      </c>
      <c r="L128" t="str">
        <f t="shared" si="9"/>
        <v>High</v>
      </c>
      <c r="M128" s="39">
        <f>IFERROR(VLOOKUP("188mg LP",Controls!A:I,7,0),6)</f>
        <v>9</v>
      </c>
      <c r="N128" s="39">
        <f>IFERROR(VLOOKUP("188mg LP",Controls!A:I,8,0),3)</f>
        <v>8</v>
      </c>
      <c r="O128" s="39">
        <f>IFERROR(VLOOKUP("188mg LP",Controls!A:I,9,0),18)</f>
        <v>18</v>
      </c>
      <c r="P128" s="40">
        <f>IFERROR(VLOOKUP("188mg LP",Controls!A:J,5,0),0)</f>
        <v>16200</v>
      </c>
      <c r="Q128" s="39">
        <f>IFERROR(VLOOKUP("188mg LP",Controls!A:J,6,0),3)</f>
        <v>3</v>
      </c>
      <c r="R128" s="21" t="str">
        <f>IFERROR(VLOOKUP("188mg LP",Controls!A:K,10,0),"")</f>
        <v>Fisher / ThermoFisher Allentown</v>
      </c>
      <c r="S128" s="41">
        <f t="shared" si="10"/>
        <v>49735</v>
      </c>
      <c r="T128" s="30">
        <f t="shared" si="11"/>
        <v>0</v>
      </c>
      <c r="AB128">
        <f t="shared" si="13"/>
        <v>1962080.4968704856</v>
      </c>
    </row>
    <row r="129" spans="1:28" ht="13" customHeight="1" x14ac:dyDescent="0.35">
      <c r="A129" s="153">
        <v>49857</v>
      </c>
      <c r="B129" s="36" t="s">
        <v>26</v>
      </c>
      <c r="C129" s="15" t="s">
        <v>28</v>
      </c>
      <c r="D129" s="15" t="s">
        <v>29</v>
      </c>
      <c r="E129" s="30">
        <f>H128</f>
        <v>-1866677.1503080623</v>
      </c>
      <c r="F129" s="37">
        <f>IFERROR(SUMIFS('Demand Inputs'!$EA$5:$EA$202,'Demand Inputs'!$A$5:$A$202,"188mg LP",'Demand Inputs'!$B$5:$B$202,"&lt;&gt;AGGREGATE",'Demand Inputs'!$E$5:$E$202,1),0)</f>
        <v>22336.31813442173</v>
      </c>
      <c r="G129" s="37">
        <f t="array" ref="G129">IFERROR(SUMPRODUCT(('Production Inputs'!$A:$A="188mg LP")*('Production Inputs'!$B:$B="TOTAL ACTIVE")*'Production Inputs'!$EG:$EG),0)</f>
        <v>0</v>
      </c>
      <c r="H129" s="30">
        <f t="shared" si="7"/>
        <v>-1889013.468442484</v>
      </c>
      <c r="I129" s="30">
        <f ca="1">IFERROR(AVERAGEIF(OFFSET(F129,0,0,MIN(Controls!$B$8,COUNTIF(B129:B$1973,B129)),1),"&gt;"&amp;0),0)</f>
        <v>23732.245096181097</v>
      </c>
      <c r="J129" s="38">
        <f t="shared" ca="1" si="8"/>
        <v>-79.596913852303715</v>
      </c>
      <c r="K129" s="30">
        <f t="shared" ca="1" si="12"/>
        <v>2106000</v>
      </c>
      <c r="L129" t="str">
        <f t="shared" si="9"/>
        <v>High</v>
      </c>
      <c r="M129" s="39">
        <f>IFERROR(VLOOKUP("188mg LP",Controls!A:I,7,0),6)</f>
        <v>9</v>
      </c>
      <c r="N129" s="39">
        <f>IFERROR(VLOOKUP("188mg LP",Controls!A:I,8,0),3)</f>
        <v>8</v>
      </c>
      <c r="O129" s="39">
        <f>IFERROR(VLOOKUP("188mg LP",Controls!A:I,9,0),18)</f>
        <v>18</v>
      </c>
      <c r="P129" s="40">
        <f>IFERROR(VLOOKUP("188mg LP",Controls!A:J,5,0),0)</f>
        <v>16200</v>
      </c>
      <c r="Q129" s="39">
        <f>IFERROR(VLOOKUP("188mg LP",Controls!A:J,6,0),3)</f>
        <v>3</v>
      </c>
      <c r="R129" s="21" t="str">
        <f>IFERROR(VLOOKUP("188mg LP",Controls!A:K,10,0),"")</f>
        <v>Fisher / ThermoFisher Allentown</v>
      </c>
      <c r="S129" s="41">
        <f t="shared" si="10"/>
        <v>49766</v>
      </c>
      <c r="T129" s="30">
        <f t="shared" si="11"/>
        <v>0</v>
      </c>
      <c r="AB129">
        <f t="shared" si="13"/>
        <v>1984416.8150049073</v>
      </c>
    </row>
    <row r="130" spans="1:28" ht="13" customHeight="1" x14ac:dyDescent="0.35">
      <c r="A130" s="153">
        <v>49888</v>
      </c>
      <c r="B130" s="36" t="s">
        <v>26</v>
      </c>
      <c r="C130" s="15" t="s">
        <v>28</v>
      </c>
      <c r="D130" s="15" t="s">
        <v>29</v>
      </c>
      <c r="E130" s="30">
        <f>H129</f>
        <v>-1889013.468442484</v>
      </c>
      <c r="F130" s="37">
        <f>IFERROR(SUMIFS('Demand Inputs'!$EB$5:$EB$202,'Demand Inputs'!$A$5:$A$202,"188mg LP",'Demand Inputs'!$B$5:$B$202,"&lt;&gt;AGGREGATE",'Demand Inputs'!$E$5:$E$202,1),0)</f>
        <v>27150.974211810637</v>
      </c>
      <c r="G130" s="37">
        <f t="array" ref="G130">IFERROR(SUMPRODUCT(('Production Inputs'!$A:$A="188mg LP")*('Production Inputs'!$B:$B="TOTAL ACTIVE")*'Production Inputs'!$EH:$EH),0)</f>
        <v>0</v>
      </c>
      <c r="H130" s="30">
        <f t="shared" si="7"/>
        <v>-1916164.4426542947</v>
      </c>
      <c r="I130" s="30">
        <f ca="1">IFERROR(AVERAGEIF(OFFSET(F130,0,0,MIN(Controls!$B$8,COUNTIF(B130:B$1973,B130)),1),"&gt;"&amp;0),0)</f>
        <v>24328.468418042943</v>
      </c>
      <c r="J130" s="38">
        <f t="shared" ca="1" si="8"/>
        <v>-78.762230721979691</v>
      </c>
      <c r="K130" s="30">
        <f t="shared" ca="1" si="12"/>
        <v>2138400</v>
      </c>
      <c r="L130" t="str">
        <f t="shared" si="9"/>
        <v>High</v>
      </c>
      <c r="M130" s="39">
        <f>IFERROR(VLOOKUP("188mg LP",Controls!A:I,7,0),6)</f>
        <v>9</v>
      </c>
      <c r="N130" s="39">
        <f>IFERROR(VLOOKUP("188mg LP",Controls!A:I,8,0),3)</f>
        <v>8</v>
      </c>
      <c r="O130" s="39">
        <f>IFERROR(VLOOKUP("188mg LP",Controls!A:I,9,0),18)</f>
        <v>18</v>
      </c>
      <c r="P130" s="40">
        <f>IFERROR(VLOOKUP("188mg LP",Controls!A:J,5,0),0)</f>
        <v>16200</v>
      </c>
      <c r="Q130" s="39">
        <f>IFERROR(VLOOKUP("188mg LP",Controls!A:J,6,0),3)</f>
        <v>3</v>
      </c>
      <c r="R130" s="21" t="str">
        <f>IFERROR(VLOOKUP("188mg LP",Controls!A:K,10,0),"")</f>
        <v>Fisher / ThermoFisher Allentown</v>
      </c>
      <c r="S130" s="41">
        <f t="shared" si="10"/>
        <v>49796</v>
      </c>
      <c r="T130" s="30">
        <f t="shared" si="11"/>
        <v>0</v>
      </c>
      <c r="AB130">
        <f t="shared" si="13"/>
        <v>2011567.7892167179</v>
      </c>
    </row>
    <row r="131" spans="1:28" ht="13" customHeight="1" x14ac:dyDescent="0.35">
      <c r="A131" s="153">
        <v>49919</v>
      </c>
      <c r="B131" s="36" t="s">
        <v>26</v>
      </c>
      <c r="C131" s="15" t="s">
        <v>28</v>
      </c>
      <c r="D131" s="15" t="s">
        <v>29</v>
      </c>
      <c r="E131" s="30">
        <f>H130</f>
        <v>-1916164.4426542947</v>
      </c>
      <c r="F131" s="37">
        <f>IFERROR(SUMIFS('Demand Inputs'!$EC$5:$EC$202,'Demand Inputs'!$A$5:$A$202,"188mg LP",'Demand Inputs'!$B$5:$B$202,"&lt;&gt;AGGREGATE",'Demand Inputs'!$E$5:$E$202,1),0)</f>
        <v>23810.796458901594</v>
      </c>
      <c r="G131" s="37">
        <f t="array" ref="G131">IFERROR(SUMPRODUCT(('Production Inputs'!$A:$A="188mg LP")*('Production Inputs'!$B:$B="TOTAL ACTIVE")*'Production Inputs'!$EI:$EI),0)</f>
        <v>0</v>
      </c>
      <c r="H131" s="30">
        <f t="shared" si="7"/>
        <v>-1939975.2391131963</v>
      </c>
      <c r="I131" s="30">
        <f ca="1">IFERROR(AVERAGEIF(OFFSET(F131,0,0,MIN(Controls!$B$8,COUNTIF(B131:B$1973,B131)),1),"&gt;"&amp;0),0)</f>
        <v>24179.541569882473</v>
      </c>
      <c r="J131" s="38">
        <f t="shared" ca="1" si="8"/>
        <v>-80.232093462416529</v>
      </c>
      <c r="K131" s="30">
        <f t="shared" ca="1" si="12"/>
        <v>2154600</v>
      </c>
      <c r="L131" t="str">
        <f t="shared" si="9"/>
        <v>High</v>
      </c>
      <c r="M131" s="39">
        <f>IFERROR(VLOOKUP("188mg LP",Controls!A:I,7,0),6)</f>
        <v>9</v>
      </c>
      <c r="N131" s="39">
        <f>IFERROR(VLOOKUP("188mg LP",Controls!A:I,8,0),3)</f>
        <v>8</v>
      </c>
      <c r="O131" s="39">
        <f>IFERROR(VLOOKUP("188mg LP",Controls!A:I,9,0),18)</f>
        <v>18</v>
      </c>
      <c r="P131" s="40">
        <f>IFERROR(VLOOKUP("188mg LP",Controls!A:J,5,0),0)</f>
        <v>16200</v>
      </c>
      <c r="Q131" s="39">
        <f>IFERROR(VLOOKUP("188mg LP",Controls!A:J,6,0),3)</f>
        <v>3</v>
      </c>
      <c r="R131" s="21" t="str">
        <f>IFERROR(VLOOKUP("188mg LP",Controls!A:K,10,0),"")</f>
        <v>Fisher / ThermoFisher Allentown</v>
      </c>
      <c r="S131" s="41">
        <f t="shared" si="10"/>
        <v>49827</v>
      </c>
      <c r="T131" s="30">
        <f t="shared" si="11"/>
        <v>0</v>
      </c>
      <c r="AB131">
        <f t="shared" si="13"/>
        <v>2035378.5856756195</v>
      </c>
    </row>
    <row r="132" spans="1:28" ht="13" customHeight="1" x14ac:dyDescent="0.35">
      <c r="A132" s="153">
        <v>49949</v>
      </c>
      <c r="B132" s="36" t="s">
        <v>26</v>
      </c>
      <c r="C132" s="15" t="s">
        <v>28</v>
      </c>
      <c r="D132" s="15" t="s">
        <v>29</v>
      </c>
      <c r="E132" s="30">
        <f>H131</f>
        <v>-1939975.2391131963</v>
      </c>
      <c r="F132" s="37">
        <f>IFERROR(SUMIFS('Demand Inputs'!$ED$5:$ED$202,'Demand Inputs'!$A$5:$A$202,"188mg LP",'Demand Inputs'!$B$5:$B$202,"&lt;&gt;AGGREGATE",'Demand Inputs'!$E$5:$E$202,1),0)</f>
        <v>24550.180252652164</v>
      </c>
      <c r="G132" s="37">
        <f t="array" ref="G132">IFERROR(SUMPRODUCT(('Production Inputs'!$A:$A="188mg LP")*('Production Inputs'!$B:$B="TOTAL ACTIVE")*'Production Inputs'!$EJ:$EJ),0)</f>
        <v>0</v>
      </c>
      <c r="H132" s="30">
        <f t="shared" ref="H132:H195" si="14">E132+G132-F132</f>
        <v>-1964525.4193658484</v>
      </c>
      <c r="I132" s="30">
        <f ca="1">IFERROR(AVERAGEIF(OFFSET(F132,0,0,MIN(Controls!$B$8,COUNTIF(B132:B$1973,B132)),1),"&gt;"&amp;0),0)</f>
        <v>23950.746813206926</v>
      </c>
      <c r="J132" s="38">
        <f t="shared" ref="J132:J195" ca="1" si="15">IFERROR(H132/I132,IF(H132&gt;0,999,0))</f>
        <v>-82.023555870189796</v>
      </c>
      <c r="K132" s="30">
        <f t="shared" ca="1" si="12"/>
        <v>2187000</v>
      </c>
      <c r="L132" t="str">
        <f t="shared" ref="L132:L195" si="16">IF(H132&lt;=0,"High",IF(J132&lt;N132,"High",IF(J132&lt;M132,"Medium",IF(J132&gt;O132,"Overstock","Low"))))</f>
        <v>High</v>
      </c>
      <c r="M132" s="39">
        <f>IFERROR(VLOOKUP("188mg LP",Controls!A:I,7,0),6)</f>
        <v>9</v>
      </c>
      <c r="N132" s="39">
        <f>IFERROR(VLOOKUP("188mg LP",Controls!A:I,8,0),3)</f>
        <v>8</v>
      </c>
      <c r="O132" s="39">
        <f>IFERROR(VLOOKUP("188mg LP",Controls!A:I,9,0),18)</f>
        <v>18</v>
      </c>
      <c r="P132" s="40">
        <f>IFERROR(VLOOKUP("188mg LP",Controls!A:J,5,0),0)</f>
        <v>16200</v>
      </c>
      <c r="Q132" s="39">
        <f>IFERROR(VLOOKUP("188mg LP",Controls!A:J,6,0),3)</f>
        <v>3</v>
      </c>
      <c r="R132" s="21" t="str">
        <f>IFERROR(VLOOKUP("188mg LP",Controls!A:K,10,0),"")</f>
        <v>Fisher / ThermoFisher Allentown</v>
      </c>
      <c r="S132" s="41">
        <f t="shared" ref="S132:S195" si="17">IFERROR(EDATE(A132,-Q132),"")</f>
        <v>49857</v>
      </c>
      <c r="T132" s="30">
        <f t="shared" ref="T132:T195" si="18">G132</f>
        <v>0</v>
      </c>
      <c r="AB132">
        <f t="shared" si="13"/>
        <v>2059928.7659282717</v>
      </c>
    </row>
    <row r="133" spans="1:28" ht="13" customHeight="1" x14ac:dyDescent="0.35">
      <c r="A133" s="153">
        <v>49980</v>
      </c>
      <c r="B133" s="36" t="s">
        <v>26</v>
      </c>
      <c r="C133" s="15" t="s">
        <v>28</v>
      </c>
      <c r="D133" s="15" t="s">
        <v>29</v>
      </c>
      <c r="E133" s="30">
        <f>H132</f>
        <v>-1964525.4193658484</v>
      </c>
      <c r="F133" s="37">
        <f>IFERROR(SUMIFS('Demand Inputs'!$EE$5:$EE$202,'Demand Inputs'!$A$5:$A$202,"188mg LP",'Demand Inputs'!$B$5:$B$202,"&lt;&gt;AGGREGATE",'Demand Inputs'!$E$5:$E$202,1),0)</f>
        <v>26721.009294803473</v>
      </c>
      <c r="G133" s="37">
        <f t="array" ref="G133">IFERROR(SUMPRODUCT(('Production Inputs'!$A:$A="188mg LP")*('Production Inputs'!$B:$B="TOTAL ACTIVE")*'Production Inputs'!$EK:$EK),0)</f>
        <v>0</v>
      </c>
      <c r="H133" s="30">
        <f t="shared" si="14"/>
        <v>-1991246.4286606519</v>
      </c>
      <c r="I133" s="30">
        <f ca="1">IFERROR(AVERAGEIF(OFFSET(F133,0,0,MIN(Controls!$B$8,COUNTIF(B133:B$1973,B133)),1),"&gt;"&amp;0),0)</f>
        <v>24019.626216855198</v>
      </c>
      <c r="J133" s="38">
        <f t="shared" ca="1" si="15"/>
        <v>-82.90080830913773</v>
      </c>
      <c r="K133" s="30">
        <f t="shared" ref="K133:K196" ca="1" si="19">IFERROR(IF(H133&lt;(N133*I133), CEILING(MAX(0,ROUND((M133*I133-H133)/P133,0)*P133),P133), 0), 0)</f>
        <v>2203200</v>
      </c>
      <c r="L133" t="str">
        <f t="shared" si="16"/>
        <v>High</v>
      </c>
      <c r="M133" s="39">
        <f>IFERROR(VLOOKUP("188mg LP",Controls!A:I,7,0),6)</f>
        <v>9</v>
      </c>
      <c r="N133" s="39">
        <f>IFERROR(VLOOKUP("188mg LP",Controls!A:I,8,0),3)</f>
        <v>8</v>
      </c>
      <c r="O133" s="39">
        <f>IFERROR(VLOOKUP("188mg LP",Controls!A:I,9,0),18)</f>
        <v>18</v>
      </c>
      <c r="P133" s="40">
        <f>IFERROR(VLOOKUP("188mg LP",Controls!A:J,5,0),0)</f>
        <v>16200</v>
      </c>
      <c r="Q133" s="39">
        <f>IFERROR(VLOOKUP("188mg LP",Controls!A:J,6,0),3)</f>
        <v>3</v>
      </c>
      <c r="R133" s="21" t="str">
        <f>IFERROR(VLOOKUP("188mg LP",Controls!A:K,10,0),"")</f>
        <v>Fisher / ThermoFisher Allentown</v>
      </c>
      <c r="S133" s="41">
        <f t="shared" si="17"/>
        <v>49888</v>
      </c>
      <c r="T133" s="30">
        <f t="shared" si="18"/>
        <v>0</v>
      </c>
      <c r="AB133">
        <f t="shared" ref="AB133:AB196" si="20">SUMIFS($F$4:$F$2331,$B$4:$B$2331,B133,$A$4:$A$2331,"&lt;="&amp;A133)</f>
        <v>2086649.7752230752</v>
      </c>
    </row>
    <row r="134" spans="1:28" ht="13" customHeight="1" x14ac:dyDescent="0.35">
      <c r="A134" s="153">
        <v>50010</v>
      </c>
      <c r="B134" s="36" t="s">
        <v>26</v>
      </c>
      <c r="C134" s="15" t="s">
        <v>28</v>
      </c>
      <c r="D134" s="15" t="s">
        <v>29</v>
      </c>
      <c r="E134" s="30">
        <f>H133</f>
        <v>-1991246.4286606519</v>
      </c>
      <c r="F134" s="37">
        <f>IFERROR(SUMIFS('Demand Inputs'!$EF$5:$EF$202,'Demand Inputs'!$A$5:$A$202,"188mg LP",'Demand Inputs'!$B$5:$B$202,"&lt;&gt;AGGREGATE",'Demand Inputs'!$E$5:$E$202,1),0)</f>
        <v>17738.584162178347</v>
      </c>
      <c r="G134" s="37">
        <f t="array" ref="G134">IFERROR(SUMPRODUCT(('Production Inputs'!$A:$A="188mg LP")*('Production Inputs'!$B:$B="TOTAL ACTIVE")*'Production Inputs'!$EL:$EL),0)</f>
        <v>0</v>
      </c>
      <c r="H134" s="30">
        <f t="shared" si="14"/>
        <v>-2008985.0128228304</v>
      </c>
      <c r="I134" s="30">
        <f ca="1">IFERROR(AVERAGEIF(OFFSET(F134,0,0,MIN(Controls!$B$8,COUNTIF(B134:B$1973,B134)),1),"&gt;"&amp;0),0)</f>
        <v>24010.351940480556</v>
      </c>
      <c r="J134" s="38">
        <f t="shared" ca="1" si="15"/>
        <v>-83.671618716915049</v>
      </c>
      <c r="K134" s="30">
        <f t="shared" ca="1" si="19"/>
        <v>2219400</v>
      </c>
      <c r="L134" t="str">
        <f t="shared" si="16"/>
        <v>High</v>
      </c>
      <c r="M134" s="39">
        <f>IFERROR(VLOOKUP("188mg LP",Controls!A:I,7,0),6)</f>
        <v>9</v>
      </c>
      <c r="N134" s="39">
        <f>IFERROR(VLOOKUP("188mg LP",Controls!A:I,8,0),3)</f>
        <v>8</v>
      </c>
      <c r="O134" s="39">
        <f>IFERROR(VLOOKUP("188mg LP",Controls!A:I,9,0),18)</f>
        <v>18</v>
      </c>
      <c r="P134" s="40">
        <f>IFERROR(VLOOKUP("188mg LP",Controls!A:J,5,0),0)</f>
        <v>16200</v>
      </c>
      <c r="Q134" s="39">
        <f>IFERROR(VLOOKUP("188mg LP",Controls!A:J,6,0),3)</f>
        <v>3</v>
      </c>
      <c r="R134" s="21" t="str">
        <f>IFERROR(VLOOKUP("188mg LP",Controls!A:K,10,0),"")</f>
        <v>Fisher / ThermoFisher Allentown</v>
      </c>
      <c r="S134" s="41">
        <f t="shared" si="17"/>
        <v>49919</v>
      </c>
      <c r="T134" s="30">
        <f t="shared" si="18"/>
        <v>0</v>
      </c>
      <c r="AB134">
        <f t="shared" si="20"/>
        <v>2104388.3593852534</v>
      </c>
    </row>
    <row r="135" spans="1:28" ht="13" customHeight="1" x14ac:dyDescent="0.35">
      <c r="A135" s="153">
        <v>50041</v>
      </c>
      <c r="B135" s="36" t="s">
        <v>26</v>
      </c>
      <c r="C135" s="15" t="s">
        <v>28</v>
      </c>
      <c r="D135" s="15" t="s">
        <v>29</v>
      </c>
      <c r="E135" s="30">
        <f>H134</f>
        <v>-2008985.0128228304</v>
      </c>
      <c r="F135" s="37">
        <f>IFERROR(SUMIFS('Demand Inputs'!$EG$5:$EG$202,'Demand Inputs'!$A$5:$A$202,"188mg LP",'Demand Inputs'!$B$5:$B$202,"&lt;&gt;AGGREGATE",'Demand Inputs'!$E$5:$E$202,1),0)</f>
        <v>28581.190662175093</v>
      </c>
      <c r="G135" s="37">
        <f t="array" ref="G135">IFERROR(SUMPRODUCT(('Production Inputs'!$A:$A="188mg LP")*('Production Inputs'!$B:$B="TOTAL ACTIVE")*'Production Inputs'!$EM:$EM),0)</f>
        <v>0</v>
      </c>
      <c r="H135" s="30">
        <f t="shared" si="14"/>
        <v>-2037566.2034850055</v>
      </c>
      <c r="I135" s="30">
        <f ca="1">IFERROR(AVERAGEIF(OFFSET(F135,0,0,MIN(Controls!$B$8,COUNTIF(B135:B$1973,B135)),1),"&gt;"&amp;0),0)</f>
        <v>24308.935859455763</v>
      </c>
      <c r="J135" s="38">
        <f t="shared" ca="1" si="15"/>
        <v>-83.819637982730825</v>
      </c>
      <c r="K135" s="30">
        <f t="shared" ca="1" si="19"/>
        <v>2251800</v>
      </c>
      <c r="L135" t="str">
        <f t="shared" si="16"/>
        <v>High</v>
      </c>
      <c r="M135" s="39">
        <f>IFERROR(VLOOKUP("188mg LP",Controls!A:I,7,0),6)</f>
        <v>9</v>
      </c>
      <c r="N135" s="39">
        <f>IFERROR(VLOOKUP("188mg LP",Controls!A:I,8,0),3)</f>
        <v>8</v>
      </c>
      <c r="O135" s="39">
        <f>IFERROR(VLOOKUP("188mg LP",Controls!A:I,9,0),18)</f>
        <v>18</v>
      </c>
      <c r="P135" s="40">
        <f>IFERROR(VLOOKUP("188mg LP",Controls!A:J,5,0),0)</f>
        <v>16200</v>
      </c>
      <c r="Q135" s="39">
        <f>IFERROR(VLOOKUP("188mg LP",Controls!A:J,6,0),3)</f>
        <v>3</v>
      </c>
      <c r="R135" s="21" t="str">
        <f>IFERROR(VLOOKUP("188mg LP",Controls!A:K,10,0),"")</f>
        <v>Fisher / ThermoFisher Allentown</v>
      </c>
      <c r="S135" s="41">
        <f t="shared" si="17"/>
        <v>49949</v>
      </c>
      <c r="T135" s="30">
        <f t="shared" si="18"/>
        <v>0</v>
      </c>
      <c r="AB135">
        <f t="shared" si="20"/>
        <v>2132969.5500474283</v>
      </c>
    </row>
    <row r="136" spans="1:28" ht="13" customHeight="1" x14ac:dyDescent="0.35">
      <c r="A136" s="153">
        <v>50072</v>
      </c>
      <c r="B136" s="36" t="s">
        <v>26</v>
      </c>
      <c r="C136" s="15" t="s">
        <v>28</v>
      </c>
      <c r="D136" s="15" t="s">
        <v>29</v>
      </c>
      <c r="E136" s="30">
        <f>H135</f>
        <v>-2037566.2034850055</v>
      </c>
      <c r="F136" s="37">
        <f>IFERROR(SUMIFS('Demand Inputs'!$EH$5:$EH$202,'Demand Inputs'!$A$5:$A$202,"188mg LP",'Demand Inputs'!$B$5:$B$202,"&lt;&gt;AGGREGATE",'Demand Inputs'!$E$5:$E$202,1),0)</f>
        <v>21731.993442591658</v>
      </c>
      <c r="G136" s="37">
        <f t="array" ref="G136">IFERROR(SUMPRODUCT(('Production Inputs'!$A:$A="188mg LP")*('Production Inputs'!$B:$B="TOTAL ACTIVE")*'Production Inputs'!$EN:$EN),0)</f>
        <v>0</v>
      </c>
      <c r="H136" s="30">
        <f t="shared" si="14"/>
        <v>-2059298.1969275973</v>
      </c>
      <c r="I136" s="30">
        <f ca="1">IFERROR(AVERAGEIF(OFFSET(F136,0,0,MIN(Controls!$B$8,COUNTIF(B136:B$1973,B136)),1),"&gt;"&amp;0),0)</f>
        <v>23293.876241866546</v>
      </c>
      <c r="J136" s="38">
        <f t="shared" ca="1" si="15"/>
        <v>-88.405131698363704</v>
      </c>
      <c r="K136" s="30">
        <f t="shared" ca="1" si="19"/>
        <v>2268000</v>
      </c>
      <c r="L136" t="str">
        <f t="shared" si="16"/>
        <v>High</v>
      </c>
      <c r="M136" s="39">
        <f>IFERROR(VLOOKUP("188mg LP",Controls!A:I,7,0),6)</f>
        <v>9</v>
      </c>
      <c r="N136" s="39">
        <f>IFERROR(VLOOKUP("188mg LP",Controls!A:I,8,0),3)</f>
        <v>8</v>
      </c>
      <c r="O136" s="39">
        <f>IFERROR(VLOOKUP("188mg LP",Controls!A:I,9,0),18)</f>
        <v>18</v>
      </c>
      <c r="P136" s="40">
        <f>IFERROR(VLOOKUP("188mg LP",Controls!A:J,5,0),0)</f>
        <v>16200</v>
      </c>
      <c r="Q136" s="39">
        <f>IFERROR(VLOOKUP("188mg LP",Controls!A:J,6,0),3)</f>
        <v>3</v>
      </c>
      <c r="R136" s="21" t="str">
        <f>IFERROR(VLOOKUP("188mg LP",Controls!A:K,10,0),"")</f>
        <v>Fisher / ThermoFisher Allentown</v>
      </c>
      <c r="S136" s="41">
        <f t="shared" si="17"/>
        <v>49980</v>
      </c>
      <c r="T136" s="30">
        <f t="shared" si="18"/>
        <v>0</v>
      </c>
      <c r="AB136">
        <f t="shared" si="20"/>
        <v>2154701.5434900201</v>
      </c>
    </row>
    <row r="137" spans="1:28" ht="13" customHeight="1" x14ac:dyDescent="0.35">
      <c r="A137" s="153">
        <v>50100</v>
      </c>
      <c r="B137" s="36" t="s">
        <v>26</v>
      </c>
      <c r="C137" s="15" t="s">
        <v>28</v>
      </c>
      <c r="D137" s="15" t="s">
        <v>29</v>
      </c>
      <c r="E137" s="30">
        <f>H136</f>
        <v>-2059298.1969275973</v>
      </c>
      <c r="F137" s="37">
        <f>IFERROR(SUMIFS('Demand Inputs'!$EI$5:$EI$202,'Demand Inputs'!$A$5:$A$202,"188mg LP",'Demand Inputs'!$B$5:$B$202,"&lt;&gt;AGGREGATE",'Demand Inputs'!$E$5:$E$202,1),0)</f>
        <v>20969.159246095158</v>
      </c>
      <c r="G137" s="37">
        <f t="array" ref="G137">IFERROR(SUMPRODUCT(('Production Inputs'!$A:$A="188mg LP")*('Production Inputs'!$B:$B="TOTAL ACTIVE")*'Production Inputs'!$EO:$EO),0)</f>
        <v>0</v>
      </c>
      <c r="H137" s="30">
        <f t="shared" si="14"/>
        <v>-2080267.3561736925</v>
      </c>
      <c r="I137" s="30">
        <f ca="1">IFERROR(AVERAGEIF(OFFSET(F137,0,0,MIN(Controls!$B$8,COUNTIF(B137:B$1973,B137)),1),"&gt;"&amp;0),0)</f>
        <v>22855.68633407489</v>
      </c>
      <c r="J137" s="38">
        <f t="shared" ca="1" si="15"/>
        <v>-91.01749673000549</v>
      </c>
      <c r="K137" s="30">
        <f t="shared" ca="1" si="19"/>
        <v>2284200</v>
      </c>
      <c r="L137" t="str">
        <f t="shared" si="16"/>
        <v>High</v>
      </c>
      <c r="M137" s="39">
        <f>IFERROR(VLOOKUP("188mg LP",Controls!A:I,7,0),6)</f>
        <v>9</v>
      </c>
      <c r="N137" s="39">
        <f>IFERROR(VLOOKUP("188mg LP",Controls!A:I,8,0),3)</f>
        <v>8</v>
      </c>
      <c r="O137" s="39">
        <f>IFERROR(VLOOKUP("188mg LP",Controls!A:I,9,0),18)</f>
        <v>18</v>
      </c>
      <c r="P137" s="40">
        <f>IFERROR(VLOOKUP("188mg LP",Controls!A:J,5,0),0)</f>
        <v>16200</v>
      </c>
      <c r="Q137" s="39">
        <f>IFERROR(VLOOKUP("188mg LP",Controls!A:J,6,0),3)</f>
        <v>3</v>
      </c>
      <c r="R137" s="21" t="str">
        <f>IFERROR(VLOOKUP("188mg LP",Controls!A:K,10,0),"")</f>
        <v>Fisher / ThermoFisher Allentown</v>
      </c>
      <c r="S137" s="41">
        <f t="shared" si="17"/>
        <v>50010</v>
      </c>
      <c r="T137" s="30">
        <f t="shared" si="18"/>
        <v>0</v>
      </c>
      <c r="AB137">
        <f t="shared" si="20"/>
        <v>2175670.7027361151</v>
      </c>
    </row>
    <row r="138" spans="1:28" ht="13" customHeight="1" x14ac:dyDescent="0.35">
      <c r="A138" s="153">
        <v>50131</v>
      </c>
      <c r="B138" s="36" t="s">
        <v>26</v>
      </c>
      <c r="C138" s="15" t="s">
        <v>28</v>
      </c>
      <c r="D138" s="15" t="s">
        <v>29</v>
      </c>
      <c r="E138" s="30">
        <f>H137</f>
        <v>-2080267.3561736925</v>
      </c>
      <c r="F138" s="37">
        <f>IFERROR(SUMIFS('Demand Inputs'!$EJ$5:$EJ$202,'Demand Inputs'!$A$5:$A$202,"188mg LP",'Demand Inputs'!$B$5:$B$202,"&lt;&gt;AGGREGATE",'Demand Inputs'!$E$5:$E$202,1),0)</f>
        <v>27702.328031178353</v>
      </c>
      <c r="G138" s="37">
        <f t="array" ref="G138">IFERROR(SUMPRODUCT(('Production Inputs'!$A:$A="188mg LP")*('Production Inputs'!$B:$B="TOTAL ACTIVE")*'Production Inputs'!$EP:$EP),0)</f>
        <v>0</v>
      </c>
      <c r="H138" s="30">
        <f t="shared" si="14"/>
        <v>-2107969.6842048708</v>
      </c>
      <c r="I138" s="30">
        <f ca="1">IFERROR(AVERAGEIF(OFFSET(F138,0,0,MIN(Controls!$B$8,COUNTIF(B138:B$1973,B138)),1),"&gt;"&amp;0),0)</f>
        <v>22004.734673443832</v>
      </c>
      <c r="J138" s="38">
        <f t="shared" ca="1" si="15"/>
        <v>-95.796187297311533</v>
      </c>
      <c r="K138" s="30">
        <f t="shared" ca="1" si="19"/>
        <v>2300400</v>
      </c>
      <c r="L138" t="str">
        <f t="shared" si="16"/>
        <v>High</v>
      </c>
      <c r="M138" s="39">
        <f>IFERROR(VLOOKUP("188mg LP",Controls!A:I,7,0),6)</f>
        <v>9</v>
      </c>
      <c r="N138" s="39">
        <f>IFERROR(VLOOKUP("188mg LP",Controls!A:I,8,0),3)</f>
        <v>8</v>
      </c>
      <c r="O138" s="39">
        <f>IFERROR(VLOOKUP("188mg LP",Controls!A:I,9,0),18)</f>
        <v>18</v>
      </c>
      <c r="P138" s="40">
        <f>IFERROR(VLOOKUP("188mg LP",Controls!A:J,5,0),0)</f>
        <v>16200</v>
      </c>
      <c r="Q138" s="39">
        <f>IFERROR(VLOOKUP("188mg LP",Controls!A:J,6,0),3)</f>
        <v>3</v>
      </c>
      <c r="R138" s="21" t="str">
        <f>IFERROR(VLOOKUP("188mg LP",Controls!A:K,10,0),"")</f>
        <v>Fisher / ThermoFisher Allentown</v>
      </c>
      <c r="S138" s="41">
        <f t="shared" si="17"/>
        <v>50041</v>
      </c>
      <c r="T138" s="30">
        <f t="shared" si="18"/>
        <v>0</v>
      </c>
      <c r="AB138">
        <f t="shared" si="20"/>
        <v>2203373.0307672936</v>
      </c>
    </row>
    <row r="139" spans="1:28" ht="13" customHeight="1" x14ac:dyDescent="0.35">
      <c r="A139" s="153">
        <v>50161</v>
      </c>
      <c r="B139" s="36" t="s">
        <v>26</v>
      </c>
      <c r="C139" s="15" t="s">
        <v>28</v>
      </c>
      <c r="D139" s="15" t="s">
        <v>29</v>
      </c>
      <c r="E139" s="30">
        <f>H138</f>
        <v>-2107969.6842048708</v>
      </c>
      <c r="F139" s="37">
        <f>IFERROR(SUMIFS('Demand Inputs'!$EK$5:$EK$202,'Demand Inputs'!$A$5:$A$202,"188mg LP",'Demand Inputs'!$B$5:$B$202,"&lt;&gt;AGGREGATE",'Demand Inputs'!$E$5:$E$202,1),0)</f>
        <v>25810.632578366407</v>
      </c>
      <c r="G139" s="37">
        <f t="array" ref="G139">IFERROR(SUMPRODUCT(('Production Inputs'!$A:$A="188mg LP")*('Production Inputs'!$B:$B="TOTAL ACTIVE")*'Production Inputs'!$EQ:$EQ),0)</f>
        <v>0</v>
      </c>
      <c r="H139" s="30">
        <f t="shared" si="14"/>
        <v>-2133780.3167832373</v>
      </c>
      <c r="I139" s="30">
        <f ca="1">IFERROR(AVERAGEIF(OFFSET(F139,0,0,MIN(Controls!$B$8,COUNTIF(B139:B$1973,B139)),1),"&gt;"&amp;0),0)</f>
        <v>20814.91600994323</v>
      </c>
      <c r="J139" s="38">
        <f t="shared" ca="1" si="15"/>
        <v>-102.51207911499311</v>
      </c>
      <c r="K139" s="30">
        <f t="shared" ca="1" si="19"/>
        <v>2316600</v>
      </c>
      <c r="L139" t="str">
        <f t="shared" si="16"/>
        <v>High</v>
      </c>
      <c r="M139" s="39">
        <f>IFERROR(VLOOKUP("188mg LP",Controls!A:I,7,0),6)</f>
        <v>9</v>
      </c>
      <c r="N139" s="39">
        <f>IFERROR(VLOOKUP("188mg LP",Controls!A:I,8,0),3)</f>
        <v>8</v>
      </c>
      <c r="O139" s="39">
        <f>IFERROR(VLOOKUP("188mg LP",Controls!A:I,9,0),18)</f>
        <v>18</v>
      </c>
      <c r="P139" s="40">
        <f>IFERROR(VLOOKUP("188mg LP",Controls!A:J,5,0),0)</f>
        <v>16200</v>
      </c>
      <c r="Q139" s="39">
        <f>IFERROR(VLOOKUP("188mg LP",Controls!A:J,6,0),3)</f>
        <v>3</v>
      </c>
      <c r="R139" s="21" t="str">
        <f>IFERROR(VLOOKUP("188mg LP",Controls!A:K,10,0),"")</f>
        <v>Fisher / ThermoFisher Allentown</v>
      </c>
      <c r="S139" s="41">
        <f t="shared" si="17"/>
        <v>50072</v>
      </c>
      <c r="T139" s="30">
        <f t="shared" si="18"/>
        <v>0</v>
      </c>
      <c r="AB139">
        <f t="shared" si="20"/>
        <v>2229183.6633456601</v>
      </c>
    </row>
    <row r="140" spans="1:28" ht="13" customHeight="1" x14ac:dyDescent="0.35">
      <c r="A140" s="153">
        <v>50192</v>
      </c>
      <c r="B140" s="36" t="s">
        <v>26</v>
      </c>
      <c r="C140" s="15" t="s">
        <v>28</v>
      </c>
      <c r="D140" s="15" t="s">
        <v>29</v>
      </c>
      <c r="E140" s="30">
        <f>H139</f>
        <v>-2133780.3167832373</v>
      </c>
      <c r="F140" s="37">
        <f>IFERROR(SUMIFS('Demand Inputs'!$EL$5:$EL$202,'Demand Inputs'!$A$5:$A$202,"188mg LP",'Demand Inputs'!$B$5:$B$202,"&lt;&gt;AGGREGATE",'Demand Inputs'!$E$5:$E$202,1),0)</f>
        <v>21751.643648821675</v>
      </c>
      <c r="G140" s="37">
        <f t="array" ref="G140">IFERROR(SUMPRODUCT(('Production Inputs'!$A:$A="188mg LP")*('Production Inputs'!$B:$B="TOTAL ACTIVE")*'Production Inputs'!$ER:$ER),0)</f>
        <v>0</v>
      </c>
      <c r="H140" s="30">
        <f t="shared" si="14"/>
        <v>-2155531.9604320591</v>
      </c>
      <c r="I140" s="30">
        <f ca="1">IFERROR(AVERAGEIF(OFFSET(F140,0,0,MIN(Controls!$B$8,COUNTIF(B140:B$1973,B140)),1),"&gt;"&amp;0),0)</f>
        <v>19119.581558651833</v>
      </c>
      <c r="J140" s="38">
        <f t="shared" ca="1" si="15"/>
        <v>-112.73949452396127</v>
      </c>
      <c r="K140" s="30">
        <f t="shared" ca="1" si="19"/>
        <v>2332800</v>
      </c>
      <c r="L140" t="str">
        <f t="shared" si="16"/>
        <v>High</v>
      </c>
      <c r="M140" s="39">
        <f>IFERROR(VLOOKUP("188mg LP",Controls!A:I,7,0),6)</f>
        <v>9</v>
      </c>
      <c r="N140" s="39">
        <f>IFERROR(VLOOKUP("188mg LP",Controls!A:I,8,0),3)</f>
        <v>8</v>
      </c>
      <c r="O140" s="39">
        <f>IFERROR(VLOOKUP("188mg LP",Controls!A:I,9,0),18)</f>
        <v>18</v>
      </c>
      <c r="P140" s="40">
        <f>IFERROR(VLOOKUP("188mg LP",Controls!A:J,5,0),0)</f>
        <v>16200</v>
      </c>
      <c r="Q140" s="39">
        <f>IFERROR(VLOOKUP("188mg LP",Controls!A:J,6,0),3)</f>
        <v>3</v>
      </c>
      <c r="R140" s="21" t="str">
        <f>IFERROR(VLOOKUP("188mg LP",Controls!A:K,10,0),"")</f>
        <v>Fisher / ThermoFisher Allentown</v>
      </c>
      <c r="S140" s="41">
        <f t="shared" si="17"/>
        <v>50100</v>
      </c>
      <c r="T140" s="30">
        <f t="shared" si="18"/>
        <v>0</v>
      </c>
      <c r="AB140">
        <f t="shared" si="20"/>
        <v>2250935.3069944819</v>
      </c>
    </row>
    <row r="141" spans="1:28" ht="13" customHeight="1" x14ac:dyDescent="0.35">
      <c r="A141" s="153">
        <v>50222</v>
      </c>
      <c r="B141" s="36" t="s">
        <v>26</v>
      </c>
      <c r="C141" s="15" t="s">
        <v>28</v>
      </c>
      <c r="D141" s="15" t="s">
        <v>29</v>
      </c>
      <c r="E141" s="30">
        <f>H140</f>
        <v>-2155531.9604320591</v>
      </c>
      <c r="F141" s="37">
        <f>IFERROR(SUMIFS('Demand Inputs'!$EM$5:$EM$202,'Demand Inputs'!$A$5:$A$202,"188mg LP",'Demand Inputs'!$B$5:$B$202,"&lt;&gt;AGGREGATE",'Demand Inputs'!$E$5:$E$202,1),0)</f>
        <v>25170.094885486575</v>
      </c>
      <c r="G141" s="37">
        <f t="array" ref="G141">IFERROR(SUMPRODUCT(('Production Inputs'!$A:$A="188mg LP")*('Production Inputs'!$B:$B="TOTAL ACTIVE")*'Production Inputs'!$ES:$ES),0)</f>
        <v>0</v>
      </c>
      <c r="H141" s="30">
        <f t="shared" si="14"/>
        <v>-2180702.0553175458</v>
      </c>
      <c r="I141" s="30">
        <f ca="1">IFERROR(AVERAGEIF(OFFSET(F141,0,0,MIN(Controls!$B$8,COUNTIF(B141:B$1973,B141)),1),"&gt;"&amp;0),0)</f>
        <v>17892.219685923337</v>
      </c>
      <c r="J141" s="38">
        <f t="shared" ca="1" si="15"/>
        <v>-121.87990610428331</v>
      </c>
      <c r="K141" s="30">
        <f t="shared" ca="1" si="19"/>
        <v>2349000</v>
      </c>
      <c r="L141" t="str">
        <f t="shared" si="16"/>
        <v>High</v>
      </c>
      <c r="M141" s="39">
        <f>IFERROR(VLOOKUP("188mg LP",Controls!A:I,7,0),6)</f>
        <v>9</v>
      </c>
      <c r="N141" s="39">
        <f>IFERROR(VLOOKUP("188mg LP",Controls!A:I,8,0),3)</f>
        <v>8</v>
      </c>
      <c r="O141" s="39">
        <f>IFERROR(VLOOKUP("188mg LP",Controls!A:I,9,0),18)</f>
        <v>18</v>
      </c>
      <c r="P141" s="40">
        <f>IFERROR(VLOOKUP("188mg LP",Controls!A:J,5,0),0)</f>
        <v>16200</v>
      </c>
      <c r="Q141" s="39">
        <f>IFERROR(VLOOKUP("188mg LP",Controls!A:J,6,0),3)</f>
        <v>3</v>
      </c>
      <c r="R141" s="21" t="str">
        <f>IFERROR(VLOOKUP("188mg LP",Controls!A:K,10,0),"")</f>
        <v>Fisher / ThermoFisher Allentown</v>
      </c>
      <c r="S141" s="41">
        <f t="shared" si="17"/>
        <v>50131</v>
      </c>
      <c r="T141" s="30">
        <f t="shared" si="18"/>
        <v>0</v>
      </c>
      <c r="AB141">
        <f t="shared" si="20"/>
        <v>2276105.4018799686</v>
      </c>
    </row>
    <row r="142" spans="1:28" ht="13" customHeight="1" x14ac:dyDescent="0.35">
      <c r="A142" s="153">
        <v>50253</v>
      </c>
      <c r="B142" s="36" t="s">
        <v>26</v>
      </c>
      <c r="C142" s="15" t="s">
        <v>28</v>
      </c>
      <c r="D142" s="15" t="s">
        <v>29</v>
      </c>
      <c r="E142" s="30">
        <f>H141</f>
        <v>-2180702.0553175458</v>
      </c>
      <c r="F142" s="37">
        <f>IFERROR(SUMIFS('Demand Inputs'!$EN$5:$EN$202,'Demand Inputs'!$A$5:$A$202,"188mg LP",'Demand Inputs'!$B$5:$B$202,"&lt;&gt;AGGREGATE",'Demand Inputs'!$E$5:$E$202,1),0)</f>
        <v>26637.540807431713</v>
      </c>
      <c r="G142" s="37">
        <f t="array" ref="G142">IFERROR(SUMPRODUCT(('Production Inputs'!$A:$A="188mg LP")*('Production Inputs'!$B:$B="TOTAL ACTIVE")*'Production Inputs'!$ET:$ET),0)</f>
        <v>0</v>
      </c>
      <c r="H142" s="30">
        <f t="shared" si="14"/>
        <v>-2207339.5961249773</v>
      </c>
      <c r="I142" s="30">
        <f ca="1">IFERROR(AVERAGEIF(OFFSET(F142,0,0,MIN(Controls!$B$8,COUNTIF(B142:B$1973,B142)),1),"&gt;"&amp;0),0)</f>
        <v>16607.859244701322</v>
      </c>
      <c r="J142" s="38">
        <f t="shared" ca="1" si="15"/>
        <v>-132.90933910276371</v>
      </c>
      <c r="K142" s="30">
        <f t="shared" ca="1" si="19"/>
        <v>2349000</v>
      </c>
      <c r="L142" t="str">
        <f t="shared" si="16"/>
        <v>High</v>
      </c>
      <c r="M142" s="39">
        <f>IFERROR(VLOOKUP("188mg LP",Controls!A:I,7,0),6)</f>
        <v>9</v>
      </c>
      <c r="N142" s="39">
        <f>IFERROR(VLOOKUP("188mg LP",Controls!A:I,8,0),3)</f>
        <v>8</v>
      </c>
      <c r="O142" s="39">
        <f>IFERROR(VLOOKUP("188mg LP",Controls!A:I,9,0),18)</f>
        <v>18</v>
      </c>
      <c r="P142" s="40">
        <f>IFERROR(VLOOKUP("188mg LP",Controls!A:J,5,0),0)</f>
        <v>16200</v>
      </c>
      <c r="Q142" s="39">
        <f>IFERROR(VLOOKUP("188mg LP",Controls!A:J,6,0),3)</f>
        <v>3</v>
      </c>
      <c r="R142" s="21" t="str">
        <f>IFERROR(VLOOKUP("188mg LP",Controls!A:K,10,0),"")</f>
        <v>Fisher / ThermoFisher Allentown</v>
      </c>
      <c r="S142" s="41">
        <f t="shared" si="17"/>
        <v>50161</v>
      </c>
      <c r="T142" s="30">
        <f t="shared" si="18"/>
        <v>0</v>
      </c>
      <c r="AB142">
        <f t="shared" si="20"/>
        <v>2302742.9426874002</v>
      </c>
    </row>
    <row r="143" spans="1:28" ht="13" customHeight="1" x14ac:dyDescent="0.35">
      <c r="A143" s="153">
        <v>50284</v>
      </c>
      <c r="B143" s="36" t="s">
        <v>26</v>
      </c>
      <c r="C143" s="15" t="s">
        <v>28</v>
      </c>
      <c r="D143" s="15" t="s">
        <v>29</v>
      </c>
      <c r="E143" s="30">
        <f>H142</f>
        <v>-2207339.5961249773</v>
      </c>
      <c r="F143" s="37">
        <f>IFERROR(SUMIFS('Demand Inputs'!$EO$5:$EO$202,'Demand Inputs'!$A$5:$A$202,"188mg LP",'Demand Inputs'!$B$5:$B$202,"&lt;&gt;AGGREGATE",'Demand Inputs'!$E$5:$E$202,1),0)</f>
        <v>20425.839432955188</v>
      </c>
      <c r="G143" s="37">
        <f t="array" ref="G143">IFERROR(SUMPRODUCT(('Production Inputs'!$A:$A="188mg LP")*('Production Inputs'!$B:$B="TOTAL ACTIVE")*'Production Inputs'!$EU:$EU),0)</f>
        <v>0</v>
      </c>
      <c r="H143" s="30">
        <f t="shared" si="14"/>
        <v>-2227765.4355579326</v>
      </c>
      <c r="I143" s="30">
        <f ca="1">IFERROR(AVERAGEIF(OFFSET(F143,0,0,MIN(Controls!$B$8,COUNTIF(B143:B$1973,B143)),1),"&gt;"&amp;0),0)</f>
        <v>14782.267625200508</v>
      </c>
      <c r="J143" s="38">
        <f t="shared" ca="1" si="15"/>
        <v>-150.70525659812054</v>
      </c>
      <c r="K143" s="30">
        <f t="shared" ca="1" si="19"/>
        <v>2365200</v>
      </c>
      <c r="L143" t="str">
        <f t="shared" si="16"/>
        <v>High</v>
      </c>
      <c r="M143" s="39">
        <f>IFERROR(VLOOKUP("188mg LP",Controls!A:I,7,0),6)</f>
        <v>9</v>
      </c>
      <c r="N143" s="39">
        <f>IFERROR(VLOOKUP("188mg LP",Controls!A:I,8,0),3)</f>
        <v>8</v>
      </c>
      <c r="O143" s="39">
        <f>IFERROR(VLOOKUP("188mg LP",Controls!A:I,9,0),18)</f>
        <v>18</v>
      </c>
      <c r="P143" s="40">
        <f>IFERROR(VLOOKUP("188mg LP",Controls!A:J,5,0),0)</f>
        <v>16200</v>
      </c>
      <c r="Q143" s="39">
        <f>IFERROR(VLOOKUP("188mg LP",Controls!A:J,6,0),3)</f>
        <v>3</v>
      </c>
      <c r="R143" s="21" t="str">
        <f>IFERROR(VLOOKUP("188mg LP",Controls!A:K,10,0),"")</f>
        <v>Fisher / ThermoFisher Allentown</v>
      </c>
      <c r="S143" s="41">
        <f t="shared" si="17"/>
        <v>50192</v>
      </c>
      <c r="T143" s="30">
        <f t="shared" si="18"/>
        <v>0</v>
      </c>
      <c r="AB143">
        <f t="shared" si="20"/>
        <v>2323168.7821203554</v>
      </c>
    </row>
    <row r="144" spans="1:28" ht="13" customHeight="1" x14ac:dyDescent="0.35">
      <c r="A144" s="153">
        <v>50314</v>
      </c>
      <c r="B144" s="36" t="s">
        <v>26</v>
      </c>
      <c r="C144" s="15" t="s">
        <v>28</v>
      </c>
      <c r="D144" s="15" t="s">
        <v>29</v>
      </c>
      <c r="E144" s="30">
        <f>H143</f>
        <v>-2227765.4355579326</v>
      </c>
      <c r="F144" s="37">
        <f>IFERROR(SUMIFS('Demand Inputs'!$EP$5:$EP$202,'Demand Inputs'!$A$5:$A$202,"188mg LP",'Demand Inputs'!$B$5:$B$202,"&lt;&gt;AGGREGATE",'Demand Inputs'!$E$5:$E$202,1),0)</f>
        <v>19445.654103872188</v>
      </c>
      <c r="G144" s="37">
        <f t="array" ref="G144">IFERROR(SUMPRODUCT(('Production Inputs'!$A:$A="188mg LP")*('Production Inputs'!$B:$B="TOTAL ACTIVE")*'Production Inputs'!$EV:$EV),0)</f>
        <v>0</v>
      </c>
      <c r="H144" s="30">
        <f t="shared" si="14"/>
        <v>-2247211.089661805</v>
      </c>
      <c r="I144" s="30">
        <f ca="1">IFERROR(AVERAGEIF(OFFSET(F144,0,0,MIN(Controls!$B$8,COUNTIF(B144:B$1973,B144)),1),"&gt;"&amp;0),0)</f>
        <v>13392.532255817989</v>
      </c>
      <c r="J144" s="38">
        <f t="shared" ca="1" si="15"/>
        <v>-167.79583179167409</v>
      </c>
      <c r="K144" s="30">
        <f t="shared" ca="1" si="19"/>
        <v>2365200</v>
      </c>
      <c r="L144" t="str">
        <f t="shared" si="16"/>
        <v>High</v>
      </c>
      <c r="M144" s="39">
        <f>IFERROR(VLOOKUP("188mg LP",Controls!A:I,7,0),6)</f>
        <v>9</v>
      </c>
      <c r="N144" s="39">
        <f>IFERROR(VLOOKUP("188mg LP",Controls!A:I,8,0),3)</f>
        <v>8</v>
      </c>
      <c r="O144" s="39">
        <f>IFERROR(VLOOKUP("188mg LP",Controls!A:I,9,0),18)</f>
        <v>18</v>
      </c>
      <c r="P144" s="40">
        <f>IFERROR(VLOOKUP("188mg LP",Controls!A:J,5,0),0)</f>
        <v>16200</v>
      </c>
      <c r="Q144" s="39">
        <f>IFERROR(VLOOKUP("188mg LP",Controls!A:J,6,0),3)</f>
        <v>3</v>
      </c>
      <c r="R144" s="21" t="str">
        <f>IFERROR(VLOOKUP("188mg LP",Controls!A:K,10,0),"")</f>
        <v>Fisher / ThermoFisher Allentown</v>
      </c>
      <c r="S144" s="41">
        <f t="shared" si="17"/>
        <v>50222</v>
      </c>
      <c r="T144" s="30">
        <f t="shared" si="18"/>
        <v>0</v>
      </c>
      <c r="AB144">
        <f t="shared" si="20"/>
        <v>2342614.4362242278</v>
      </c>
    </row>
    <row r="145" spans="1:28" ht="13" customHeight="1" x14ac:dyDescent="0.35">
      <c r="A145" s="153">
        <v>50345</v>
      </c>
      <c r="B145" s="36" t="s">
        <v>26</v>
      </c>
      <c r="C145" s="15" t="s">
        <v>28</v>
      </c>
      <c r="D145" s="15" t="s">
        <v>29</v>
      </c>
      <c r="E145" s="30">
        <f>H144</f>
        <v>-2247211.089661805</v>
      </c>
      <c r="F145" s="37">
        <f>IFERROR(SUMIFS('Demand Inputs'!$EQ$5:$EQ$202,'Demand Inputs'!$A$5:$A$202,"188mg LP",'Demand Inputs'!$B$5:$B$202,"&lt;&gt;AGGREGATE",'Demand Inputs'!$E$5:$E$202,1),0)</f>
        <v>17788.284272466728</v>
      </c>
      <c r="G145" s="37">
        <f t="array" ref="G145">IFERROR(SUMPRODUCT(('Production Inputs'!$A:$A="188mg LP")*('Production Inputs'!$B:$B="TOTAL ACTIVE")*'Production Inputs'!$EW:$EW),0)</f>
        <v>0</v>
      </c>
      <c r="H145" s="30">
        <f t="shared" si="14"/>
        <v>-2264999.3739342717</v>
      </c>
      <c r="I145" s="30">
        <f ca="1">IFERROR(AVERAGEIF(OFFSET(F145,0,0,MIN(Controls!$B$8,COUNTIF(B145:B$1973,B145)),1),"&gt;"&amp;0),0)</f>
        <v>12164.792685441775</v>
      </c>
      <c r="J145" s="38">
        <f t="shared" ca="1" si="15"/>
        <v>-186.1930106416784</v>
      </c>
      <c r="K145" s="30">
        <f t="shared" ca="1" si="19"/>
        <v>2381400</v>
      </c>
      <c r="L145" t="str">
        <f t="shared" si="16"/>
        <v>High</v>
      </c>
      <c r="M145" s="39">
        <f>IFERROR(VLOOKUP("188mg LP",Controls!A:I,7,0),6)</f>
        <v>9</v>
      </c>
      <c r="N145" s="39">
        <f>IFERROR(VLOOKUP("188mg LP",Controls!A:I,8,0),3)</f>
        <v>8</v>
      </c>
      <c r="O145" s="39">
        <f>IFERROR(VLOOKUP("188mg LP",Controls!A:I,9,0),18)</f>
        <v>18</v>
      </c>
      <c r="P145" s="40">
        <f>IFERROR(VLOOKUP("188mg LP",Controls!A:J,5,0),0)</f>
        <v>16200</v>
      </c>
      <c r="Q145" s="39">
        <f>IFERROR(VLOOKUP("188mg LP",Controls!A:J,6,0),3)</f>
        <v>3</v>
      </c>
      <c r="R145" s="21" t="str">
        <f>IFERROR(VLOOKUP("188mg LP",Controls!A:K,10,0),"")</f>
        <v>Fisher / ThermoFisher Allentown</v>
      </c>
      <c r="S145" s="41">
        <f t="shared" si="17"/>
        <v>50253</v>
      </c>
      <c r="T145" s="30">
        <f t="shared" si="18"/>
        <v>0</v>
      </c>
      <c r="AB145">
        <f t="shared" si="20"/>
        <v>2360402.7204966946</v>
      </c>
    </row>
    <row r="146" spans="1:28" ht="13" customHeight="1" x14ac:dyDescent="0.35">
      <c r="A146" s="153">
        <v>50375</v>
      </c>
      <c r="B146" s="36" t="s">
        <v>26</v>
      </c>
      <c r="C146" s="15" t="s">
        <v>28</v>
      </c>
      <c r="D146" s="15" t="s">
        <v>29</v>
      </c>
      <c r="E146" s="30">
        <f>H145</f>
        <v>-2264999.3739342717</v>
      </c>
      <c r="F146" s="37">
        <f>IFERROR(SUMIFS('Demand Inputs'!$ER$5:$ER$202,'Demand Inputs'!$A$5:$A$202,"188mg LP",'Demand Inputs'!$B$5:$B$202,"&lt;&gt;AGGREGATE",'Demand Inputs'!$E$5:$E$202,1),0)</f>
        <v>13310.594300415654</v>
      </c>
      <c r="G146" s="37">
        <f t="array" ref="G146">IFERROR(SUMPRODUCT(('Production Inputs'!$A:$A="188mg LP")*('Production Inputs'!$B:$B="TOTAL ACTIVE")*'Production Inputs'!$EX:$EX),0)</f>
        <v>0</v>
      </c>
      <c r="H146" s="30">
        <f t="shared" si="14"/>
        <v>-2278309.9682346876</v>
      </c>
      <c r="I146" s="30">
        <f ca="1">IFERROR(AVERAGEIF(OFFSET(F146,0,0,MIN(Controls!$B$8,COUNTIF(B146:B$1973,B146)),1),"&gt;"&amp;0),0)</f>
        <v>10999.602797987027</v>
      </c>
      <c r="J146" s="38">
        <f t="shared" ca="1" si="15"/>
        <v>-207.126567211284</v>
      </c>
      <c r="K146" s="30">
        <f t="shared" ca="1" si="19"/>
        <v>2381400</v>
      </c>
      <c r="L146" t="str">
        <f t="shared" si="16"/>
        <v>High</v>
      </c>
      <c r="M146" s="39">
        <f>IFERROR(VLOOKUP("188mg LP",Controls!A:I,7,0),6)</f>
        <v>9</v>
      </c>
      <c r="N146" s="39">
        <f>IFERROR(VLOOKUP("188mg LP",Controls!A:I,8,0),3)</f>
        <v>8</v>
      </c>
      <c r="O146" s="39">
        <f>IFERROR(VLOOKUP("188mg LP",Controls!A:I,9,0),18)</f>
        <v>18</v>
      </c>
      <c r="P146" s="40">
        <f>IFERROR(VLOOKUP("188mg LP",Controls!A:J,5,0),0)</f>
        <v>16200</v>
      </c>
      <c r="Q146" s="39">
        <f>IFERROR(VLOOKUP("188mg LP",Controls!A:J,6,0),3)</f>
        <v>3</v>
      </c>
      <c r="R146" s="21" t="str">
        <f>IFERROR(VLOOKUP("188mg LP",Controls!A:K,10,0),"")</f>
        <v>Fisher / ThermoFisher Allentown</v>
      </c>
      <c r="S146" s="41">
        <f t="shared" si="17"/>
        <v>50284</v>
      </c>
      <c r="T146" s="30">
        <f t="shared" si="18"/>
        <v>0</v>
      </c>
      <c r="AB146">
        <f t="shared" si="20"/>
        <v>2373713.3147971104</v>
      </c>
    </row>
    <row r="147" spans="1:28" ht="13" customHeight="1" x14ac:dyDescent="0.35">
      <c r="A147" s="153">
        <v>50406</v>
      </c>
      <c r="B147" s="36" t="s">
        <v>26</v>
      </c>
      <c r="C147" s="15" t="s">
        <v>28</v>
      </c>
      <c r="D147" s="15" t="s">
        <v>29</v>
      </c>
      <c r="E147" s="30">
        <f>H146</f>
        <v>-2278309.9682346876</v>
      </c>
      <c r="F147" s="37">
        <f>IFERROR(SUMIFS('Demand Inputs'!$ES$5:$ES$202,'Demand Inputs'!$A$5:$A$202,"188mg LP",'Demand Inputs'!$B$5:$B$202,"&lt;&gt;AGGREGATE",'Demand Inputs'!$E$5:$E$202,1),0)</f>
        <v>16993.960059672936</v>
      </c>
      <c r="G147" s="37">
        <f t="array" ref="G147">IFERROR(SUMPRODUCT(('Production Inputs'!$A:$A="188mg LP")*('Production Inputs'!$B:$B="TOTAL ACTIVE")*'Production Inputs'!$EY:$EY),0)</f>
        <v>0</v>
      </c>
      <c r="H147" s="30">
        <f t="shared" si="14"/>
        <v>-2295303.9282943606</v>
      </c>
      <c r="I147" s="30">
        <f ca="1">IFERROR(AVERAGEIF(OFFSET(F147,0,0,MIN(Controls!$B$8,COUNTIF(B147:B$1973,B147)),1),"&gt;"&amp;0),0)</f>
        <v>10315.429272994561</v>
      </c>
      <c r="J147" s="38">
        <f t="shared" ca="1" si="15"/>
        <v>-222.51172176647921</v>
      </c>
      <c r="K147" s="30">
        <f t="shared" ca="1" si="19"/>
        <v>2381400</v>
      </c>
      <c r="L147" t="str">
        <f t="shared" si="16"/>
        <v>High</v>
      </c>
      <c r="M147" s="39">
        <f>IFERROR(VLOOKUP("188mg LP",Controls!A:I,7,0),6)</f>
        <v>9</v>
      </c>
      <c r="N147" s="39">
        <f>IFERROR(VLOOKUP("188mg LP",Controls!A:I,8,0),3)</f>
        <v>8</v>
      </c>
      <c r="O147" s="39">
        <f>IFERROR(VLOOKUP("188mg LP",Controls!A:I,9,0),18)</f>
        <v>18</v>
      </c>
      <c r="P147" s="40">
        <f>IFERROR(VLOOKUP("188mg LP",Controls!A:J,5,0),0)</f>
        <v>16200</v>
      </c>
      <c r="Q147" s="39">
        <f>IFERROR(VLOOKUP("188mg LP",Controls!A:J,6,0),3)</f>
        <v>3</v>
      </c>
      <c r="R147" s="21" t="str">
        <f>IFERROR(VLOOKUP("188mg LP",Controls!A:K,10,0),"")</f>
        <v>Fisher / ThermoFisher Allentown</v>
      </c>
      <c r="S147" s="41">
        <f t="shared" si="17"/>
        <v>50314</v>
      </c>
      <c r="T147" s="30">
        <f t="shared" si="18"/>
        <v>0</v>
      </c>
      <c r="AB147">
        <f t="shared" si="20"/>
        <v>2390707.2748567834</v>
      </c>
    </row>
    <row r="148" spans="1:28" ht="13" customHeight="1" x14ac:dyDescent="0.35">
      <c r="A148" s="153">
        <v>50437</v>
      </c>
      <c r="B148" s="36" t="s">
        <v>26</v>
      </c>
      <c r="C148" s="15" t="s">
        <v>28</v>
      </c>
      <c r="D148" s="15" t="s">
        <v>29</v>
      </c>
      <c r="E148" s="30">
        <f>H147</f>
        <v>-2295303.9282943606</v>
      </c>
      <c r="F148" s="37">
        <f>IFERROR(SUMIFS('Demand Inputs'!$ET$5:$ET$202,'Demand Inputs'!$A$5:$A$202,"188mg LP",'Demand Inputs'!$B$5:$B$202,"&lt;&gt;AGGREGATE",'Demand Inputs'!$E$5:$E$202,1),0)</f>
        <v>10552.622516743824</v>
      </c>
      <c r="G148" s="37">
        <f t="array" ref="G148">IFERROR(SUMPRODUCT(('Production Inputs'!$A:$A="188mg LP")*('Production Inputs'!$B:$B="TOTAL ACTIVE")*'Production Inputs'!$EZ:$EZ),0)</f>
        <v>0</v>
      </c>
      <c r="H148" s="30">
        <f t="shared" si="14"/>
        <v>-2305856.5508111045</v>
      </c>
      <c r="I148" s="30">
        <f ca="1">IFERROR(AVERAGEIF(OFFSET(F148,0,0,MIN(Controls!$B$8,COUNTIF(B148:B$1973,B148)),1),"&gt;"&amp;0),0)</f>
        <v>9056.9388810281071</v>
      </c>
      <c r="J148" s="38">
        <f t="shared" ca="1" si="15"/>
        <v>-254.59557374746831</v>
      </c>
      <c r="K148" s="30">
        <f t="shared" ca="1" si="19"/>
        <v>2381400</v>
      </c>
      <c r="L148" t="str">
        <f t="shared" si="16"/>
        <v>High</v>
      </c>
      <c r="M148" s="39">
        <f>IFERROR(VLOOKUP("188mg LP",Controls!A:I,7,0),6)</f>
        <v>9</v>
      </c>
      <c r="N148" s="39">
        <f>IFERROR(VLOOKUP("188mg LP",Controls!A:I,8,0),3)</f>
        <v>8</v>
      </c>
      <c r="O148" s="39">
        <f>IFERROR(VLOOKUP("188mg LP",Controls!A:I,9,0),18)</f>
        <v>18</v>
      </c>
      <c r="P148" s="40">
        <f>IFERROR(VLOOKUP("188mg LP",Controls!A:J,5,0),0)</f>
        <v>16200</v>
      </c>
      <c r="Q148" s="39">
        <f>IFERROR(VLOOKUP("188mg LP",Controls!A:J,6,0),3)</f>
        <v>3</v>
      </c>
      <c r="R148" s="21" t="str">
        <f>IFERROR(VLOOKUP("188mg LP",Controls!A:K,10,0),"")</f>
        <v>Fisher / ThermoFisher Allentown</v>
      </c>
      <c r="S148" s="41">
        <f t="shared" si="17"/>
        <v>50345</v>
      </c>
      <c r="T148" s="30">
        <f t="shared" si="18"/>
        <v>0</v>
      </c>
      <c r="AB148">
        <f t="shared" si="20"/>
        <v>2401259.8973735273</v>
      </c>
    </row>
    <row r="149" spans="1:28" ht="13" customHeight="1" x14ac:dyDescent="0.35">
      <c r="A149" s="153">
        <v>50465</v>
      </c>
      <c r="B149" s="36" t="s">
        <v>26</v>
      </c>
      <c r="C149" s="15" t="s">
        <v>28</v>
      </c>
      <c r="D149" s="15" t="s">
        <v>29</v>
      </c>
      <c r="E149" s="30">
        <f>H148</f>
        <v>-2305856.5508111045</v>
      </c>
      <c r="F149" s="37">
        <f>IFERROR(SUMIFS('Demand Inputs'!$EU$5:$EU$202,'Demand Inputs'!$A$5:$A$202,"188mg LP",'Demand Inputs'!$B$5:$B$202,"&lt;&gt;AGGREGATE",'Demand Inputs'!$E$5:$E$202,1),0)</f>
        <v>10705.38679426521</v>
      </c>
      <c r="G149" s="37">
        <f t="array" ref="G149">IFERROR(SUMPRODUCT(('Production Inputs'!$A:$A="188mg LP")*('Production Inputs'!$B:$B="TOTAL ACTIVE")*'Production Inputs'!$FA:$FA),0)</f>
        <v>0</v>
      </c>
      <c r="H149" s="30">
        <f t="shared" si="14"/>
        <v>-2316561.9376053698</v>
      </c>
      <c r="I149" s="30">
        <f ca="1">IFERROR(AVERAGEIF(OFFSET(F149,0,0,MIN(Controls!$B$8,COUNTIF(B149:B$1973,B149)),1),"&gt;"&amp;0),0)</f>
        <v>8409.9965006945149</v>
      </c>
      <c r="J149" s="38">
        <f t="shared" ca="1" si="15"/>
        <v>-275.45337711068765</v>
      </c>
      <c r="K149" s="30">
        <f t="shared" ca="1" si="19"/>
        <v>2397600</v>
      </c>
      <c r="L149" t="str">
        <f t="shared" si="16"/>
        <v>High</v>
      </c>
      <c r="M149" s="39">
        <f>IFERROR(VLOOKUP("188mg LP",Controls!A:I,7,0),6)</f>
        <v>9</v>
      </c>
      <c r="N149" s="39">
        <f>IFERROR(VLOOKUP("188mg LP",Controls!A:I,8,0),3)</f>
        <v>8</v>
      </c>
      <c r="O149" s="39">
        <f>IFERROR(VLOOKUP("188mg LP",Controls!A:I,9,0),18)</f>
        <v>18</v>
      </c>
      <c r="P149" s="40">
        <f>IFERROR(VLOOKUP("188mg LP",Controls!A:J,5,0),0)</f>
        <v>16200</v>
      </c>
      <c r="Q149" s="39">
        <f>IFERROR(VLOOKUP("188mg LP",Controls!A:J,6,0),3)</f>
        <v>3</v>
      </c>
      <c r="R149" s="21" t="str">
        <f>IFERROR(VLOOKUP("188mg LP",Controls!A:K,10,0),"")</f>
        <v>Fisher / ThermoFisher Allentown</v>
      </c>
      <c r="S149" s="41">
        <f t="shared" si="17"/>
        <v>50375</v>
      </c>
      <c r="T149" s="30">
        <f t="shared" si="18"/>
        <v>0</v>
      </c>
      <c r="AB149">
        <f t="shared" si="20"/>
        <v>2411965.2841677926</v>
      </c>
    </row>
    <row r="150" spans="1:28" ht="13" customHeight="1" x14ac:dyDescent="0.35">
      <c r="A150" s="153">
        <v>50496</v>
      </c>
      <c r="B150" s="36" t="s">
        <v>26</v>
      </c>
      <c r="C150" s="15" t="s">
        <v>28</v>
      </c>
      <c r="D150" s="15" t="s">
        <v>29</v>
      </c>
      <c r="E150" s="30">
        <f>H149</f>
        <v>-2316561.9376053698</v>
      </c>
      <c r="F150" s="37">
        <f>IFERROR(SUMIFS('Demand Inputs'!$EV$5:$EV$202,'Demand Inputs'!$A$5:$A$202,"188mg LP",'Demand Inputs'!$B$5:$B$202,"&lt;&gt;AGGREGATE",'Demand Inputs'!$E$5:$E$202,1),0)</f>
        <v>13610.850914488468</v>
      </c>
      <c r="G150" s="37">
        <f t="array" ref="G150">IFERROR(SUMPRODUCT(('Production Inputs'!$A:$A="188mg LP")*('Production Inputs'!$B:$B="TOTAL ACTIVE")*'Production Inputs'!$FB:$FB),0)</f>
        <v>0</v>
      </c>
      <c r="H150" s="30">
        <f t="shared" si="14"/>
        <v>-2330172.7885198584</v>
      </c>
      <c r="I150" s="30">
        <f ca="1">IFERROR(AVERAGEIF(OFFSET(F150,0,0,MIN(Controls!$B$8,COUNTIF(B150:B$1973,B150)),1),"&gt;"&amp;0),0)</f>
        <v>7699.7640354439018</v>
      </c>
      <c r="J150" s="38">
        <f t="shared" ca="1" si="15"/>
        <v>-302.62911665779649</v>
      </c>
      <c r="K150" s="30">
        <f t="shared" ca="1" si="19"/>
        <v>2397600</v>
      </c>
      <c r="L150" t="str">
        <f t="shared" si="16"/>
        <v>High</v>
      </c>
      <c r="M150" s="39">
        <f>IFERROR(VLOOKUP("188mg LP",Controls!A:I,7,0),6)</f>
        <v>9</v>
      </c>
      <c r="N150" s="39">
        <f>IFERROR(VLOOKUP("188mg LP",Controls!A:I,8,0),3)</f>
        <v>8</v>
      </c>
      <c r="O150" s="39">
        <f>IFERROR(VLOOKUP("188mg LP",Controls!A:I,9,0),18)</f>
        <v>18</v>
      </c>
      <c r="P150" s="40">
        <f>IFERROR(VLOOKUP("188mg LP",Controls!A:J,5,0),0)</f>
        <v>16200</v>
      </c>
      <c r="Q150" s="39">
        <f>IFERROR(VLOOKUP("188mg LP",Controls!A:J,6,0),3)</f>
        <v>3</v>
      </c>
      <c r="R150" s="21" t="str">
        <f>IFERROR(VLOOKUP("188mg LP",Controls!A:K,10,0),"")</f>
        <v>Fisher / ThermoFisher Allentown</v>
      </c>
      <c r="S150" s="41">
        <f t="shared" si="17"/>
        <v>50406</v>
      </c>
      <c r="T150" s="30">
        <f t="shared" si="18"/>
        <v>0</v>
      </c>
      <c r="AB150">
        <f t="shared" si="20"/>
        <v>2425576.1350822812</v>
      </c>
    </row>
    <row r="151" spans="1:28" ht="13" customHeight="1" x14ac:dyDescent="0.35">
      <c r="A151" s="153">
        <v>50526</v>
      </c>
      <c r="B151" s="36" t="s">
        <v>26</v>
      </c>
      <c r="C151" s="15" t="s">
        <v>28</v>
      </c>
      <c r="D151" s="15" t="s">
        <v>29</v>
      </c>
      <c r="E151" s="30">
        <f>H150</f>
        <v>-2330172.7885198584</v>
      </c>
      <c r="F151" s="37">
        <f>IFERROR(SUMIFS('Demand Inputs'!$EW$5:$EW$202,'Demand Inputs'!$A$5:$A$202,"188mg LP",'Demand Inputs'!$B$5:$B$202,"&lt;&gt;AGGREGATE",'Demand Inputs'!$E$5:$E$202,1),0)</f>
        <v>10207.216231924356</v>
      </c>
      <c r="G151" s="37">
        <f t="array" ref="G151">IFERROR(SUMPRODUCT(('Production Inputs'!$A:$A="188mg LP")*('Production Inputs'!$B:$B="TOTAL ACTIVE")*'Production Inputs'!$FC:$FC),0)</f>
        <v>0</v>
      </c>
      <c r="H151" s="30">
        <f t="shared" si="14"/>
        <v>-2340380.0047517829</v>
      </c>
      <c r="I151" s="30">
        <f ca="1">IFERROR(AVERAGEIF(OFFSET(F151,0,0,MIN(Controls!$B$8,COUNTIF(B151:B$1973,B151)),1),"&gt;"&amp;0),0)</f>
        <v>6689.0835322503899</v>
      </c>
      <c r="J151" s="38">
        <f t="shared" ca="1" si="15"/>
        <v>-349.880517034658</v>
      </c>
      <c r="K151" s="30">
        <f t="shared" ca="1" si="19"/>
        <v>2397600</v>
      </c>
      <c r="L151" t="str">
        <f t="shared" si="16"/>
        <v>High</v>
      </c>
      <c r="M151" s="39">
        <f>IFERROR(VLOOKUP("188mg LP",Controls!A:I,7,0),6)</f>
        <v>9</v>
      </c>
      <c r="N151" s="39">
        <f>IFERROR(VLOOKUP("188mg LP",Controls!A:I,8,0),3)</f>
        <v>8</v>
      </c>
      <c r="O151" s="39">
        <f>IFERROR(VLOOKUP("188mg LP",Controls!A:I,9,0),18)</f>
        <v>18</v>
      </c>
      <c r="P151" s="40">
        <f>IFERROR(VLOOKUP("188mg LP",Controls!A:J,5,0),0)</f>
        <v>16200</v>
      </c>
      <c r="Q151" s="39">
        <f>IFERROR(VLOOKUP("188mg LP",Controls!A:J,6,0),3)</f>
        <v>3</v>
      </c>
      <c r="R151" s="21" t="str">
        <f>IFERROR(VLOOKUP("188mg LP",Controls!A:K,10,0),"")</f>
        <v>Fisher / ThermoFisher Allentown</v>
      </c>
      <c r="S151" s="41">
        <f t="shared" si="17"/>
        <v>50437</v>
      </c>
      <c r="T151" s="30">
        <f t="shared" si="18"/>
        <v>0</v>
      </c>
      <c r="AB151">
        <f t="shared" si="20"/>
        <v>2435783.3513142057</v>
      </c>
    </row>
    <row r="152" spans="1:28" ht="13" customHeight="1" x14ac:dyDescent="0.35">
      <c r="A152" s="153">
        <v>50557</v>
      </c>
      <c r="B152" s="36" t="s">
        <v>26</v>
      </c>
      <c r="C152" s="15" t="s">
        <v>28</v>
      </c>
      <c r="D152" s="15" t="s">
        <v>29</v>
      </c>
      <c r="E152" s="30">
        <f>H151</f>
        <v>-2340380.0047517829</v>
      </c>
      <c r="F152" s="37">
        <f>IFERROR(SUMIFS('Demand Inputs'!$EX$5:$EX$202,'Demand Inputs'!$A$5:$A$202,"188mg LP",'Demand Inputs'!$B$5:$B$202,"&lt;&gt;AGGREGATE",'Demand Inputs'!$E$5:$E$202,1),0)</f>
        <v>7918.2211085125127</v>
      </c>
      <c r="G152" s="37">
        <f t="array" ref="G152">IFERROR(SUMPRODUCT(('Production Inputs'!$A:$A="188mg LP")*('Production Inputs'!$B:$B="TOTAL ACTIVE")*'Production Inputs'!$FD:$FD),0)</f>
        <v>0</v>
      </c>
      <c r="H152" s="30">
        <f t="shared" si="14"/>
        <v>-2348298.2258602954</v>
      </c>
      <c r="I152" s="30">
        <f ca="1">IFERROR(AVERAGEIF(OFFSET(F152,0,0,MIN(Controls!$B$8,COUNTIF(B152:B$1973,B152)),1),"&gt;"&amp;0),0)</f>
        <v>5857.0801367328286</v>
      </c>
      <c r="J152" s="38">
        <f t="shared" ca="1" si="15"/>
        <v>-400.93325872953022</v>
      </c>
      <c r="K152" s="30">
        <f t="shared" ca="1" si="19"/>
        <v>2397600</v>
      </c>
      <c r="L152" t="str">
        <f t="shared" si="16"/>
        <v>High</v>
      </c>
      <c r="M152" s="39">
        <f>IFERROR(VLOOKUP("188mg LP",Controls!A:I,7,0),6)</f>
        <v>9</v>
      </c>
      <c r="N152" s="39">
        <f>IFERROR(VLOOKUP("188mg LP",Controls!A:I,8,0),3)</f>
        <v>8</v>
      </c>
      <c r="O152" s="39">
        <f>IFERROR(VLOOKUP("188mg LP",Controls!A:I,9,0),18)</f>
        <v>18</v>
      </c>
      <c r="P152" s="40">
        <f>IFERROR(VLOOKUP("188mg LP",Controls!A:J,5,0),0)</f>
        <v>16200</v>
      </c>
      <c r="Q152" s="39">
        <f>IFERROR(VLOOKUP("188mg LP",Controls!A:J,6,0),3)</f>
        <v>3</v>
      </c>
      <c r="R152" s="21" t="str">
        <f>IFERROR(VLOOKUP("188mg LP",Controls!A:K,10,0),"")</f>
        <v>Fisher / ThermoFisher Allentown</v>
      </c>
      <c r="S152" s="41">
        <f t="shared" si="17"/>
        <v>50465</v>
      </c>
      <c r="T152" s="30">
        <f t="shared" si="18"/>
        <v>0</v>
      </c>
      <c r="AB152">
        <f t="shared" si="20"/>
        <v>2443701.5724227182</v>
      </c>
    </row>
    <row r="153" spans="1:28" ht="13" customHeight="1" x14ac:dyDescent="0.35">
      <c r="A153" s="153">
        <v>50587</v>
      </c>
      <c r="B153" s="36" t="s">
        <v>26</v>
      </c>
      <c r="C153" s="15" t="s">
        <v>28</v>
      </c>
      <c r="D153" s="15" t="s">
        <v>29</v>
      </c>
      <c r="E153" s="30">
        <f>H152</f>
        <v>-2348298.2258602954</v>
      </c>
      <c r="F153" s="37">
        <f>IFERROR(SUMIFS('Demand Inputs'!$EY$5:$EY$202,'Demand Inputs'!$A$5:$A$202,"188mg LP",'Demand Inputs'!$B$5:$B$202,"&lt;&gt;AGGREGATE",'Demand Inputs'!$E$5:$E$202,1),0)</f>
        <v>8395.9979704862744</v>
      </c>
      <c r="G153" s="37">
        <f t="array" ref="G153">IFERROR(SUMPRODUCT(('Production Inputs'!$A:$A="188mg LP")*('Production Inputs'!$B:$B="TOTAL ACTIVE")*'Production Inputs'!$FE:$FE),0)</f>
        <v>0</v>
      </c>
      <c r="H153" s="30">
        <f t="shared" si="14"/>
        <v>-2356694.2238307814</v>
      </c>
      <c r="I153" s="30">
        <f ca="1">IFERROR(AVERAGEIF(OFFSET(F153,0,0,MIN(Controls!$B$8,COUNTIF(B153:B$1973,B153)),1),"&gt;"&amp;0),0)</f>
        <v>5270.5329442389502</v>
      </c>
      <c r="J153" s="38">
        <f t="shared" ca="1" si="15"/>
        <v>-447.14533592030915</v>
      </c>
      <c r="K153" s="30">
        <f t="shared" ca="1" si="19"/>
        <v>2397600</v>
      </c>
      <c r="L153" t="str">
        <f t="shared" si="16"/>
        <v>High</v>
      </c>
      <c r="M153" s="39">
        <f>IFERROR(VLOOKUP("188mg LP",Controls!A:I,7,0),6)</f>
        <v>9</v>
      </c>
      <c r="N153" s="39">
        <f>IFERROR(VLOOKUP("188mg LP",Controls!A:I,8,0),3)</f>
        <v>8</v>
      </c>
      <c r="O153" s="39">
        <f>IFERROR(VLOOKUP("188mg LP",Controls!A:I,9,0),18)</f>
        <v>18</v>
      </c>
      <c r="P153" s="40">
        <f>IFERROR(VLOOKUP("188mg LP",Controls!A:J,5,0),0)</f>
        <v>16200</v>
      </c>
      <c r="Q153" s="39">
        <f>IFERROR(VLOOKUP("188mg LP",Controls!A:J,6,0),3)</f>
        <v>3</v>
      </c>
      <c r="R153" s="21" t="str">
        <f>IFERROR(VLOOKUP("188mg LP",Controls!A:K,10,0),"")</f>
        <v>Fisher / ThermoFisher Allentown</v>
      </c>
      <c r="S153" s="41">
        <f t="shared" si="17"/>
        <v>50496</v>
      </c>
      <c r="T153" s="30">
        <f t="shared" si="18"/>
        <v>0</v>
      </c>
      <c r="AB153">
        <f t="shared" si="20"/>
        <v>2452097.5703932042</v>
      </c>
    </row>
    <row r="154" spans="1:28" ht="13" customHeight="1" x14ac:dyDescent="0.35">
      <c r="A154" s="153">
        <v>50618</v>
      </c>
      <c r="B154" s="36" t="s">
        <v>26</v>
      </c>
      <c r="C154" s="15" t="s">
        <v>28</v>
      </c>
      <c r="D154" s="15" t="s">
        <v>29</v>
      </c>
      <c r="E154" s="30">
        <f>H153</f>
        <v>-2356694.2238307814</v>
      </c>
      <c r="F154" s="37">
        <f>IFERROR(SUMIFS('Demand Inputs'!$EZ$5:$EZ$202,'Demand Inputs'!$A$5:$A$202,"188mg LP",'Demand Inputs'!$B$5:$B$202,"&lt;&gt;AGGREGATE",'Demand Inputs'!$E$5:$E$202,1),0)</f>
        <v>7301.5752853739978</v>
      </c>
      <c r="G154" s="37">
        <f t="array" ref="G154">IFERROR(SUMPRODUCT(('Production Inputs'!$A:$A="188mg LP")*('Production Inputs'!$B:$B="TOTAL ACTIVE")*'Production Inputs'!$FF:$FF),0)</f>
        <v>0</v>
      </c>
      <c r="H154" s="30">
        <f t="shared" si="14"/>
        <v>-2363995.7991161556</v>
      </c>
      <c r="I154" s="30">
        <f ca="1">IFERROR(AVERAGEIF(OFFSET(F154,0,0,MIN(Controls!$B$8,COUNTIF(B154:B$1973,B154)),1),"&gt;"&amp;0),0)</f>
        <v>4691.8141356678225</v>
      </c>
      <c r="J154" s="38">
        <f t="shared" ca="1" si="15"/>
        <v>-503.85538104434517</v>
      </c>
      <c r="K154" s="30">
        <f t="shared" ca="1" si="19"/>
        <v>2413800</v>
      </c>
      <c r="L154" t="str">
        <f t="shared" si="16"/>
        <v>High</v>
      </c>
      <c r="M154" s="39">
        <f>IFERROR(VLOOKUP("188mg LP",Controls!A:I,7,0),6)</f>
        <v>9</v>
      </c>
      <c r="N154" s="39">
        <f>IFERROR(VLOOKUP("188mg LP",Controls!A:I,8,0),3)</f>
        <v>8</v>
      </c>
      <c r="O154" s="39">
        <f>IFERROR(VLOOKUP("188mg LP",Controls!A:I,9,0),18)</f>
        <v>18</v>
      </c>
      <c r="P154" s="40">
        <f>IFERROR(VLOOKUP("188mg LP",Controls!A:J,5,0),0)</f>
        <v>16200</v>
      </c>
      <c r="Q154" s="39">
        <f>IFERROR(VLOOKUP("188mg LP",Controls!A:J,6,0),3)</f>
        <v>3</v>
      </c>
      <c r="R154" s="21" t="str">
        <f>IFERROR(VLOOKUP("188mg LP",Controls!A:K,10,0),"")</f>
        <v>Fisher / ThermoFisher Allentown</v>
      </c>
      <c r="S154" s="41">
        <f t="shared" si="17"/>
        <v>50526</v>
      </c>
      <c r="T154" s="30">
        <f t="shared" si="18"/>
        <v>0</v>
      </c>
      <c r="AB154">
        <f t="shared" si="20"/>
        <v>2459399.1456785784</v>
      </c>
    </row>
    <row r="155" spans="1:28" ht="13" customHeight="1" x14ac:dyDescent="0.35">
      <c r="A155" s="153">
        <v>50649</v>
      </c>
      <c r="B155" s="36" t="s">
        <v>26</v>
      </c>
      <c r="C155" s="15" t="s">
        <v>28</v>
      </c>
      <c r="D155" s="15" t="s">
        <v>29</v>
      </c>
      <c r="E155" s="30">
        <f>H154</f>
        <v>-2363995.7991161556</v>
      </c>
      <c r="F155" s="37">
        <f>IFERROR(SUMIFS('Demand Inputs'!$FA$5:$FA$202,'Demand Inputs'!$A$5:$A$202,"188mg LP",'Demand Inputs'!$B$5:$B$202,"&lt;&gt;AGGREGATE",'Demand Inputs'!$E$5:$E$202,1),0)</f>
        <v>7153.0325754834703</v>
      </c>
      <c r="G155" s="37">
        <f t="array" ref="G155">IFERROR(SUMPRODUCT(('Production Inputs'!$A:$A="188mg LP")*('Production Inputs'!$B:$B="TOTAL ACTIVE")*'Production Inputs'!$FG:$FG),0)</f>
        <v>0</v>
      </c>
      <c r="H155" s="30">
        <f t="shared" si="14"/>
        <v>-2371148.831691639</v>
      </c>
      <c r="I155" s="30">
        <f ca="1">IFERROR(AVERAGEIF(OFFSET(F155,0,0,MIN(Controls!$B$8,COUNTIF(B155:B$1973,B155)),1),"&gt;"&amp;0),0)</f>
        <v>4099.5412967029624</v>
      </c>
      <c r="J155" s="38">
        <f t="shared" ca="1" si="15"/>
        <v>-578.39369336238292</v>
      </c>
      <c r="K155" s="30">
        <f t="shared" ca="1" si="19"/>
        <v>2413800</v>
      </c>
      <c r="L155" t="str">
        <f t="shared" si="16"/>
        <v>High</v>
      </c>
      <c r="M155" s="39">
        <f>IFERROR(VLOOKUP("188mg LP",Controls!A:I,7,0),6)</f>
        <v>9</v>
      </c>
      <c r="N155" s="39">
        <f>IFERROR(VLOOKUP("188mg LP",Controls!A:I,8,0),3)</f>
        <v>8</v>
      </c>
      <c r="O155" s="39">
        <f>IFERROR(VLOOKUP("188mg LP",Controls!A:I,9,0),18)</f>
        <v>18</v>
      </c>
      <c r="P155" s="40">
        <f>IFERROR(VLOOKUP("188mg LP",Controls!A:J,5,0),0)</f>
        <v>16200</v>
      </c>
      <c r="Q155" s="39">
        <f>IFERROR(VLOOKUP("188mg LP",Controls!A:J,6,0),3)</f>
        <v>3</v>
      </c>
      <c r="R155" s="21" t="str">
        <f>IFERROR(VLOOKUP("188mg LP",Controls!A:K,10,0),"")</f>
        <v>Fisher / ThermoFisher Allentown</v>
      </c>
      <c r="S155" s="41">
        <f t="shared" si="17"/>
        <v>50557</v>
      </c>
      <c r="T155" s="30">
        <f t="shared" si="18"/>
        <v>0</v>
      </c>
      <c r="AB155">
        <f t="shared" si="20"/>
        <v>2466552.1782540618</v>
      </c>
    </row>
    <row r="156" spans="1:28" ht="13" customHeight="1" x14ac:dyDescent="0.35">
      <c r="A156" s="153">
        <v>50679</v>
      </c>
      <c r="B156" s="36" t="s">
        <v>26</v>
      </c>
      <c r="C156" s="15" t="s">
        <v>28</v>
      </c>
      <c r="D156" s="15" t="s">
        <v>29</v>
      </c>
      <c r="E156" s="30">
        <f>H155</f>
        <v>-2371148.831691639</v>
      </c>
      <c r="F156" s="37">
        <f>IFERROR(SUMIFS('Demand Inputs'!$FB$5:$FB$202,'Demand Inputs'!$A$5:$A$202,"188mg LP",'Demand Inputs'!$B$5:$B$202,"&lt;&gt;AGGREGATE",'Demand Inputs'!$E$5:$E$202,1),0)</f>
        <v>5667.5465319748319</v>
      </c>
      <c r="G156" s="37">
        <f t="array" ref="G156">IFERROR(SUMPRODUCT(('Production Inputs'!$A:$A="188mg LP")*('Production Inputs'!$B:$B="TOTAL ACTIVE")*'Production Inputs'!$FH:$FH),0)</f>
        <v>0</v>
      </c>
      <c r="H156" s="30">
        <f t="shared" si="14"/>
        <v>-2376816.3782236138</v>
      </c>
      <c r="I156" s="30">
        <f ca="1">IFERROR(AVERAGEIF(OFFSET(F156,0,0,MIN(Controls!$B$8,COUNTIF(B156:B$1973,B156)),1),"&gt;"&amp;0),0)</f>
        <v>3499.6413061040766</v>
      </c>
      <c r="J156" s="38">
        <f t="shared" ca="1" si="15"/>
        <v>-679.15999679109086</v>
      </c>
      <c r="K156" s="30">
        <f t="shared" ca="1" si="19"/>
        <v>2413800</v>
      </c>
      <c r="L156" t="str">
        <f t="shared" si="16"/>
        <v>High</v>
      </c>
      <c r="M156" s="39">
        <f>IFERROR(VLOOKUP("188mg LP",Controls!A:I,7,0),6)</f>
        <v>9</v>
      </c>
      <c r="N156" s="39">
        <f>IFERROR(VLOOKUP("188mg LP",Controls!A:I,8,0),3)</f>
        <v>8</v>
      </c>
      <c r="O156" s="39">
        <f>IFERROR(VLOOKUP("188mg LP",Controls!A:I,9,0),18)</f>
        <v>18</v>
      </c>
      <c r="P156" s="40">
        <f>IFERROR(VLOOKUP("188mg LP",Controls!A:J,5,0),0)</f>
        <v>16200</v>
      </c>
      <c r="Q156" s="39">
        <f>IFERROR(VLOOKUP("188mg LP",Controls!A:J,6,0),3)</f>
        <v>3</v>
      </c>
      <c r="R156" s="21" t="str">
        <f>IFERROR(VLOOKUP("188mg LP",Controls!A:K,10,0),"")</f>
        <v>Fisher / ThermoFisher Allentown</v>
      </c>
      <c r="S156" s="41">
        <f t="shared" si="17"/>
        <v>50587</v>
      </c>
      <c r="T156" s="30">
        <f t="shared" si="18"/>
        <v>0</v>
      </c>
      <c r="AB156">
        <f t="shared" si="20"/>
        <v>2472219.7247860366</v>
      </c>
    </row>
    <row r="157" spans="1:28" ht="13" customHeight="1" x14ac:dyDescent="0.35">
      <c r="A157" s="153">
        <v>50710</v>
      </c>
      <c r="B157" s="36" t="s">
        <v>26</v>
      </c>
      <c r="C157" s="15" t="s">
        <v>28</v>
      </c>
      <c r="D157" s="15" t="s">
        <v>29</v>
      </c>
      <c r="E157" s="30">
        <f>H156</f>
        <v>-2376816.3782236138</v>
      </c>
      <c r="F157" s="37">
        <f>IFERROR(SUMIFS('Demand Inputs'!$FC$5:$FC$202,'Demand Inputs'!$A$5:$A$202,"188mg LP",'Demand Inputs'!$B$5:$B$202,"&lt;&gt;AGGREGATE",'Demand Inputs'!$E$5:$E$202,1),0)</f>
        <v>4730.1410937415039</v>
      </c>
      <c r="G157" s="37">
        <f t="array" ref="G157">IFERROR(SUMPRODUCT(('Production Inputs'!$A:$A="188mg LP")*('Production Inputs'!$B:$B="TOTAL ACTIVE")*'Production Inputs'!$FI:$FI),0)</f>
        <v>0</v>
      </c>
      <c r="H157" s="30">
        <f t="shared" si="14"/>
        <v>-2381546.5193173555</v>
      </c>
      <c r="I157" s="30">
        <f ca="1">IFERROR(AVERAGEIF(OFFSET(F157,0,0,MIN(Controls!$B$8,COUNTIF(B157:B$1973,B157)),1),"&gt;"&amp;0),0)</f>
        <v>3025.6847712931299</v>
      </c>
      <c r="J157" s="38">
        <f t="shared" ca="1" si="15"/>
        <v>-787.1099269536661</v>
      </c>
      <c r="K157" s="30">
        <f t="shared" ca="1" si="19"/>
        <v>2413800</v>
      </c>
      <c r="L157" t="str">
        <f t="shared" si="16"/>
        <v>High</v>
      </c>
      <c r="M157" s="39">
        <f>IFERROR(VLOOKUP("188mg LP",Controls!A:I,7,0),6)</f>
        <v>9</v>
      </c>
      <c r="N157" s="39">
        <f>IFERROR(VLOOKUP("188mg LP",Controls!A:I,8,0),3)</f>
        <v>8</v>
      </c>
      <c r="O157" s="39">
        <f>IFERROR(VLOOKUP("188mg LP",Controls!A:I,9,0),18)</f>
        <v>18</v>
      </c>
      <c r="P157" s="40">
        <f>IFERROR(VLOOKUP("188mg LP",Controls!A:J,5,0),0)</f>
        <v>16200</v>
      </c>
      <c r="Q157" s="39">
        <f>IFERROR(VLOOKUP("188mg LP",Controls!A:J,6,0),3)</f>
        <v>3</v>
      </c>
      <c r="R157" s="21" t="str">
        <f>IFERROR(VLOOKUP("188mg LP",Controls!A:K,10,0),"")</f>
        <v>Fisher / ThermoFisher Allentown</v>
      </c>
      <c r="S157" s="41">
        <f t="shared" si="17"/>
        <v>50618</v>
      </c>
      <c r="T157" s="30">
        <f t="shared" si="18"/>
        <v>0</v>
      </c>
      <c r="AB157">
        <f t="shared" si="20"/>
        <v>2476949.8658797783</v>
      </c>
    </row>
    <row r="158" spans="1:28" ht="13" customHeight="1" x14ac:dyDescent="0.35">
      <c r="A158" s="153">
        <v>50740</v>
      </c>
      <c r="B158" s="36" t="s">
        <v>26</v>
      </c>
      <c r="C158" s="15" t="s">
        <v>28</v>
      </c>
      <c r="D158" s="15" t="s">
        <v>29</v>
      </c>
      <c r="E158" s="30">
        <f>H157</f>
        <v>-2381546.5193173555</v>
      </c>
      <c r="F158" s="37">
        <f>IFERROR(SUMIFS('Demand Inputs'!$FD$5:$FD$202,'Demand Inputs'!$A$5:$A$202,"188mg LP",'Demand Inputs'!$B$5:$B$202,"&lt;&gt;AGGREGATE",'Demand Inputs'!$E$5:$E$202,1),0)</f>
        <v>4313.2946070097005</v>
      </c>
      <c r="G158" s="37">
        <f t="array" ref="G158">IFERROR(SUMPRODUCT(('Production Inputs'!$A:$A="188mg LP")*('Production Inputs'!$B:$B="TOTAL ACTIVE")*'Production Inputs'!$FJ:$FJ),0)</f>
        <v>0</v>
      </c>
      <c r="H158" s="30">
        <f t="shared" si="14"/>
        <v>-2385859.8139243652</v>
      </c>
      <c r="I158" s="30">
        <f ca="1">IFERROR(AVERAGEIF(OFFSET(F158,0,0,MIN(Controls!$B$8,COUNTIF(B158:B$1973,B158)),1),"&gt;"&amp;0),0)</f>
        <v>2607.3902931910143</v>
      </c>
      <c r="J158" s="38">
        <f t="shared" ca="1" si="15"/>
        <v>-915.03746874982323</v>
      </c>
      <c r="K158" s="30">
        <f t="shared" ca="1" si="19"/>
        <v>2413800</v>
      </c>
      <c r="L158" t="str">
        <f t="shared" si="16"/>
        <v>High</v>
      </c>
      <c r="M158" s="39">
        <f>IFERROR(VLOOKUP("188mg LP",Controls!A:I,7,0),6)</f>
        <v>9</v>
      </c>
      <c r="N158" s="39">
        <f>IFERROR(VLOOKUP("188mg LP",Controls!A:I,8,0),3)</f>
        <v>8</v>
      </c>
      <c r="O158" s="39">
        <f>IFERROR(VLOOKUP("188mg LP",Controls!A:I,9,0),18)</f>
        <v>18</v>
      </c>
      <c r="P158" s="40">
        <f>IFERROR(VLOOKUP("188mg LP",Controls!A:J,5,0),0)</f>
        <v>16200</v>
      </c>
      <c r="Q158" s="39">
        <f>IFERROR(VLOOKUP("188mg LP",Controls!A:J,6,0),3)</f>
        <v>3</v>
      </c>
      <c r="R158" s="21" t="str">
        <f>IFERROR(VLOOKUP("188mg LP",Controls!A:K,10,0),"")</f>
        <v>Fisher / ThermoFisher Allentown</v>
      </c>
      <c r="S158" s="41">
        <f t="shared" si="17"/>
        <v>50649</v>
      </c>
      <c r="T158" s="30">
        <f t="shared" si="18"/>
        <v>0</v>
      </c>
      <c r="AB158">
        <f t="shared" si="20"/>
        <v>2481263.160486788</v>
      </c>
    </row>
    <row r="159" spans="1:28" ht="13" customHeight="1" x14ac:dyDescent="0.35">
      <c r="A159" s="153">
        <v>50771</v>
      </c>
      <c r="B159" s="36" t="s">
        <v>26</v>
      </c>
      <c r="C159" s="15" t="s">
        <v>28</v>
      </c>
      <c r="D159" s="15" t="s">
        <v>29</v>
      </c>
      <c r="E159" s="30">
        <f>H158</f>
        <v>-2385859.8139243652</v>
      </c>
      <c r="F159" s="37">
        <f>IFERROR(SUMIFS('Demand Inputs'!$FE$5:$FE$202,'Demand Inputs'!$A$5:$A$202,"188mg LP",'Demand Inputs'!$B$5:$B$202,"&lt;&gt;AGGREGATE",'Demand Inputs'!$E$5:$E$202,1),0)</f>
        <v>4514.7263857468588</v>
      </c>
      <c r="G159" s="37">
        <f t="array" ref="G159">IFERROR(SUMPRODUCT(('Production Inputs'!$A:$A="188mg LP")*('Production Inputs'!$B:$B="TOTAL ACTIVE")*'Production Inputs'!$FK:$FK),0)</f>
        <v>0</v>
      </c>
      <c r="H159" s="30">
        <f t="shared" si="14"/>
        <v>-2390374.5403101123</v>
      </c>
      <c r="I159" s="30">
        <f ca="1">IFERROR(AVERAGEIF(OFFSET(F159,0,0,MIN(Controls!$B$8,COUNTIF(B159:B$1973,B159)),1),"&gt;"&amp;0),0)</f>
        <v>2291.2647686436849</v>
      </c>
      <c r="J159" s="38">
        <f t="shared" ca="1" si="15"/>
        <v>-1043.2554862374527</v>
      </c>
      <c r="K159" s="30">
        <f t="shared" ca="1" si="19"/>
        <v>2413800</v>
      </c>
      <c r="L159" t="str">
        <f t="shared" si="16"/>
        <v>High</v>
      </c>
      <c r="M159" s="39">
        <f>IFERROR(VLOOKUP("188mg LP",Controls!A:I,7,0),6)</f>
        <v>9</v>
      </c>
      <c r="N159" s="39">
        <f>IFERROR(VLOOKUP("188mg LP",Controls!A:I,8,0),3)</f>
        <v>8</v>
      </c>
      <c r="O159" s="39">
        <f>IFERROR(VLOOKUP("188mg LP",Controls!A:I,9,0),18)</f>
        <v>18</v>
      </c>
      <c r="P159" s="40">
        <f>IFERROR(VLOOKUP("188mg LP",Controls!A:J,5,0),0)</f>
        <v>16200</v>
      </c>
      <c r="Q159" s="39">
        <f>IFERROR(VLOOKUP("188mg LP",Controls!A:J,6,0),3)</f>
        <v>3</v>
      </c>
      <c r="R159" s="21" t="str">
        <f>IFERROR(VLOOKUP("188mg LP",Controls!A:K,10,0),"")</f>
        <v>Fisher / ThermoFisher Allentown</v>
      </c>
      <c r="S159" s="41">
        <f t="shared" si="17"/>
        <v>50679</v>
      </c>
      <c r="T159" s="30">
        <f t="shared" si="18"/>
        <v>0</v>
      </c>
      <c r="AB159">
        <f t="shared" si="20"/>
        <v>2485777.8868725351</v>
      </c>
    </row>
    <row r="160" spans="1:28" ht="13" customHeight="1" x14ac:dyDescent="0.35">
      <c r="A160" s="153">
        <v>50802</v>
      </c>
      <c r="B160" s="36" t="s">
        <v>26</v>
      </c>
      <c r="C160" s="15" t="s">
        <v>28</v>
      </c>
      <c r="D160" s="15" t="s">
        <v>29</v>
      </c>
      <c r="E160" s="30">
        <f>H159</f>
        <v>-2390374.5403101123</v>
      </c>
      <c r="F160" s="37">
        <f>IFERROR(SUMIFS('Demand Inputs'!$FF$5:$FF$202,'Demand Inputs'!$A$5:$A$202,"188mg LP",'Demand Inputs'!$B$5:$B$202,"&lt;&gt;AGGREGATE",'Demand Inputs'!$E$5:$E$202,1),0)</f>
        <v>2719.1856722663092</v>
      </c>
      <c r="G160" s="37">
        <f t="array" ref="G160">IFERROR(SUMPRODUCT(('Production Inputs'!$A:$A="188mg LP")*('Production Inputs'!$B:$B="TOTAL ACTIVE")*'Production Inputs'!$FL:$FL),0)</f>
        <v>0</v>
      </c>
      <c r="H160" s="30">
        <f t="shared" si="14"/>
        <v>-2393093.7259823787</v>
      </c>
      <c r="I160" s="30">
        <f ca="1">IFERROR(AVERAGEIF(OFFSET(F160,0,0,MIN(Controls!$B$8,COUNTIF(B160:B$1973,B160)),1),"&gt;"&amp;0),0)</f>
        <v>1920.8821140629743</v>
      </c>
      <c r="J160" s="38">
        <f t="shared" ca="1" si="15"/>
        <v>-1245.8306048363379</v>
      </c>
      <c r="K160" s="30">
        <f t="shared" ca="1" si="19"/>
        <v>2413800</v>
      </c>
      <c r="L160" t="str">
        <f t="shared" si="16"/>
        <v>High</v>
      </c>
      <c r="M160" s="39">
        <f>IFERROR(VLOOKUP("188mg LP",Controls!A:I,7,0),6)</f>
        <v>9</v>
      </c>
      <c r="N160" s="39">
        <f>IFERROR(VLOOKUP("188mg LP",Controls!A:I,8,0),3)</f>
        <v>8</v>
      </c>
      <c r="O160" s="39">
        <f>IFERROR(VLOOKUP("188mg LP",Controls!A:I,9,0),18)</f>
        <v>18</v>
      </c>
      <c r="P160" s="40">
        <f>IFERROR(VLOOKUP("188mg LP",Controls!A:J,5,0),0)</f>
        <v>16200</v>
      </c>
      <c r="Q160" s="39">
        <f>IFERROR(VLOOKUP("188mg LP",Controls!A:J,6,0),3)</f>
        <v>3</v>
      </c>
      <c r="R160" s="21" t="str">
        <f>IFERROR(VLOOKUP("188mg LP",Controls!A:K,10,0),"")</f>
        <v>Fisher / ThermoFisher Allentown</v>
      </c>
      <c r="S160" s="41">
        <f t="shared" si="17"/>
        <v>50710</v>
      </c>
      <c r="T160" s="30">
        <f t="shared" si="18"/>
        <v>0</v>
      </c>
      <c r="AB160">
        <f t="shared" si="20"/>
        <v>2488497.0725448015</v>
      </c>
    </row>
    <row r="161" spans="1:28" ht="13" customHeight="1" x14ac:dyDescent="0.35">
      <c r="A161" s="153">
        <v>50830</v>
      </c>
      <c r="B161" s="36" t="s">
        <v>26</v>
      </c>
      <c r="C161" s="15" t="s">
        <v>28</v>
      </c>
      <c r="D161" s="15" t="s">
        <v>29</v>
      </c>
      <c r="E161" s="30">
        <f>H160</f>
        <v>-2393093.7259823787</v>
      </c>
      <c r="F161" s="37">
        <f>IFERROR(SUMIFS('Demand Inputs'!$FG$5:$FG$202,'Demand Inputs'!$A$5:$A$202,"188mg LP",'Demand Inputs'!$B$5:$B$202,"&lt;&gt;AGGREGATE",'Demand Inputs'!$E$5:$E$202,1),0)</f>
        <v>2639.2963760676057</v>
      </c>
      <c r="G161" s="37">
        <f t="array" ref="G161">IFERROR(SUMPRODUCT(('Production Inputs'!$A:$A="188mg LP")*('Production Inputs'!$B:$B="TOTAL ACTIVE")*'Production Inputs'!$FM:$FM),0)</f>
        <v>0</v>
      </c>
      <c r="H161" s="30">
        <f t="shared" si="14"/>
        <v>-2395733.0223584464</v>
      </c>
      <c r="I161" s="30">
        <f ca="1">IFERROR(AVERAGEIF(OFFSET(F161,0,0,MIN(Controls!$B$8,COUNTIF(B161:B$1973,B161)),1),"&gt;"&amp;0),0)</f>
        <v>1746.2094851947211</v>
      </c>
      <c r="J161" s="38">
        <f t="shared" ca="1" si="15"/>
        <v>-1371.9619797456869</v>
      </c>
      <c r="K161" s="30">
        <f t="shared" ca="1" si="19"/>
        <v>2413800</v>
      </c>
      <c r="L161" t="str">
        <f t="shared" si="16"/>
        <v>High</v>
      </c>
      <c r="M161" s="39">
        <f>IFERROR(VLOOKUP("188mg LP",Controls!A:I,7,0),6)</f>
        <v>9</v>
      </c>
      <c r="N161" s="39">
        <f>IFERROR(VLOOKUP("188mg LP",Controls!A:I,8,0),3)</f>
        <v>8</v>
      </c>
      <c r="O161" s="39">
        <f>IFERROR(VLOOKUP("188mg LP",Controls!A:I,9,0),18)</f>
        <v>18</v>
      </c>
      <c r="P161" s="40">
        <f>IFERROR(VLOOKUP("188mg LP",Controls!A:J,5,0),0)</f>
        <v>16200</v>
      </c>
      <c r="Q161" s="39">
        <f>IFERROR(VLOOKUP("188mg LP",Controls!A:J,6,0),3)</f>
        <v>3</v>
      </c>
      <c r="R161" s="21" t="str">
        <f>IFERROR(VLOOKUP("188mg LP",Controls!A:K,10,0),"")</f>
        <v>Fisher / ThermoFisher Allentown</v>
      </c>
      <c r="S161" s="41">
        <f t="shared" si="17"/>
        <v>50740</v>
      </c>
      <c r="T161" s="30">
        <f t="shared" si="18"/>
        <v>0</v>
      </c>
      <c r="AB161">
        <f t="shared" si="20"/>
        <v>2491136.3689208692</v>
      </c>
    </row>
    <row r="162" spans="1:28" ht="13" customHeight="1" x14ac:dyDescent="0.35">
      <c r="A162" s="153">
        <v>50861</v>
      </c>
      <c r="B162" s="36" t="s">
        <v>26</v>
      </c>
      <c r="C162" s="15" t="s">
        <v>28</v>
      </c>
      <c r="D162" s="15" t="s">
        <v>29</v>
      </c>
      <c r="E162" s="30">
        <f>H161</f>
        <v>-2395733.0223584464</v>
      </c>
      <c r="F162" s="37">
        <f>IFERROR(SUMIFS('Demand Inputs'!$FH$5:$FH$202,'Demand Inputs'!$A$5:$A$202,"188mg LP",'Demand Inputs'!$B$5:$B$202,"&lt;&gt;AGGREGATE",'Demand Inputs'!$E$5:$E$202,1),0)</f>
        <v>3187.5286933461284</v>
      </c>
      <c r="G162" s="37">
        <f t="array" ref="G162">IFERROR(SUMPRODUCT(('Production Inputs'!$A:$A="188mg LP")*('Production Inputs'!$B:$B="TOTAL ACTIVE")*'Production Inputs'!$FN:$FN),0)</f>
        <v>0</v>
      </c>
      <c r="H162" s="30">
        <f t="shared" si="14"/>
        <v>-2398920.5510517927</v>
      </c>
      <c r="I162" s="30">
        <f ca="1">IFERROR(AVERAGEIF(OFFSET(F162,0,0,MIN(Controls!$B$8,COUNTIF(B162:B$1973,B162)),1),"&gt;"&amp;0),0)</f>
        <v>1583.8336199279322</v>
      </c>
      <c r="J162" s="38">
        <f t="shared" ca="1" si="15"/>
        <v>-1514.6291383566847</v>
      </c>
      <c r="K162" s="30">
        <f t="shared" ca="1" si="19"/>
        <v>2413800</v>
      </c>
      <c r="L162" t="str">
        <f t="shared" si="16"/>
        <v>High</v>
      </c>
      <c r="M162" s="39">
        <f>IFERROR(VLOOKUP("188mg LP",Controls!A:I,7,0),6)</f>
        <v>9</v>
      </c>
      <c r="N162" s="39">
        <f>IFERROR(VLOOKUP("188mg LP",Controls!A:I,8,0),3)</f>
        <v>8</v>
      </c>
      <c r="O162" s="39">
        <f>IFERROR(VLOOKUP("188mg LP",Controls!A:I,9,0),18)</f>
        <v>18</v>
      </c>
      <c r="P162" s="40">
        <f>IFERROR(VLOOKUP("188mg LP",Controls!A:J,5,0),0)</f>
        <v>16200</v>
      </c>
      <c r="Q162" s="39">
        <f>IFERROR(VLOOKUP("188mg LP",Controls!A:J,6,0),3)</f>
        <v>3</v>
      </c>
      <c r="R162" s="21" t="str">
        <f>IFERROR(VLOOKUP("188mg LP",Controls!A:K,10,0),"")</f>
        <v>Fisher / ThermoFisher Allentown</v>
      </c>
      <c r="S162" s="41">
        <f t="shared" si="17"/>
        <v>50771</v>
      </c>
      <c r="T162" s="30">
        <f t="shared" si="18"/>
        <v>0</v>
      </c>
      <c r="AB162">
        <f t="shared" si="20"/>
        <v>2494323.8976142155</v>
      </c>
    </row>
    <row r="163" spans="1:28" ht="13" customHeight="1" x14ac:dyDescent="0.35">
      <c r="A163" s="153">
        <v>50891</v>
      </c>
      <c r="B163" s="36" t="s">
        <v>26</v>
      </c>
      <c r="C163" s="15" t="s">
        <v>28</v>
      </c>
      <c r="D163" s="15" t="s">
        <v>29</v>
      </c>
      <c r="E163" s="30">
        <f>H162</f>
        <v>-2398920.5510517927</v>
      </c>
      <c r="F163" s="37">
        <f>IFERROR(SUMIFS('Demand Inputs'!$FI$5:$FI$202,'Demand Inputs'!$A$5:$A$202,"188mg LP",'Demand Inputs'!$B$5:$B$202,"&lt;&gt;AGGREGATE",'Demand Inputs'!$E$5:$E$202,1),0)</f>
        <v>1971.1197346902472</v>
      </c>
      <c r="G163" s="37">
        <f t="array" ref="G163">IFERROR(SUMPRODUCT(('Production Inputs'!$A:$A="188mg LP")*('Production Inputs'!$B:$B="TOTAL ACTIVE")*'Production Inputs'!$FO:$FO),0)</f>
        <v>0</v>
      </c>
      <c r="H163" s="30">
        <f t="shared" si="14"/>
        <v>-2400891.6707864827</v>
      </c>
      <c r="I163" s="30">
        <f ca="1">IFERROR(AVERAGEIF(OFFSET(F163,0,0,MIN(Controls!$B$8,COUNTIF(B163:B$1973,B163)),1),"&gt;"&amp;0),0)</f>
        <v>1371.8562410511024</v>
      </c>
      <c r="J163" s="38">
        <f t="shared" ca="1" si="15"/>
        <v>-1750.1044197947037</v>
      </c>
      <c r="K163" s="30">
        <f t="shared" ca="1" si="19"/>
        <v>2413800</v>
      </c>
      <c r="L163" t="str">
        <f t="shared" si="16"/>
        <v>High</v>
      </c>
      <c r="M163" s="39">
        <f>IFERROR(VLOOKUP("188mg LP",Controls!A:I,7,0),6)</f>
        <v>9</v>
      </c>
      <c r="N163" s="39">
        <f>IFERROR(VLOOKUP("188mg LP",Controls!A:I,8,0),3)</f>
        <v>8</v>
      </c>
      <c r="O163" s="39">
        <f>IFERROR(VLOOKUP("188mg LP",Controls!A:I,9,0),18)</f>
        <v>18</v>
      </c>
      <c r="P163" s="40">
        <f>IFERROR(VLOOKUP("188mg LP",Controls!A:J,5,0),0)</f>
        <v>16200</v>
      </c>
      <c r="Q163" s="39">
        <f>IFERROR(VLOOKUP("188mg LP",Controls!A:J,6,0),3)</f>
        <v>3</v>
      </c>
      <c r="R163" s="21" t="str">
        <f>IFERROR(VLOOKUP("188mg LP",Controls!A:K,10,0),"")</f>
        <v>Fisher / ThermoFisher Allentown</v>
      </c>
      <c r="S163" s="41">
        <f t="shared" si="17"/>
        <v>50802</v>
      </c>
      <c r="T163" s="30">
        <f t="shared" si="18"/>
        <v>0</v>
      </c>
      <c r="AB163">
        <f t="shared" si="20"/>
        <v>2496295.0173489056</v>
      </c>
    </row>
    <row r="164" spans="1:28" ht="13" customHeight="1" x14ac:dyDescent="0.35">
      <c r="A164" s="153">
        <v>50922</v>
      </c>
      <c r="B164" s="36" t="s">
        <v>26</v>
      </c>
      <c r="C164" s="15" t="s">
        <v>28</v>
      </c>
      <c r="D164" s="15" t="s">
        <v>29</v>
      </c>
      <c r="E164" s="30">
        <f>H163</f>
        <v>-2400891.6707864827</v>
      </c>
      <c r="F164" s="37">
        <f>IFERROR(SUMIFS('Demand Inputs'!$FJ$5:$FJ$202,'Demand Inputs'!$A$5:$A$202,"188mg LP",'Demand Inputs'!$B$5:$B$202,"&lt;&gt;AGGREGATE",'Demand Inputs'!$E$5:$E$202,1),0)</f>
        <v>1753.9326600935021</v>
      </c>
      <c r="G164" s="37">
        <f t="array" ref="G164">IFERROR(SUMPRODUCT(('Production Inputs'!$A:$A="188mg LP")*('Production Inputs'!$B:$B="TOTAL ACTIVE")*'Production Inputs'!$FP:$FP),0)</f>
        <v>0</v>
      </c>
      <c r="H164" s="30">
        <f t="shared" si="14"/>
        <v>-2402645.6034465763</v>
      </c>
      <c r="I164" s="30">
        <f ca="1">IFERROR(AVERAGEIF(OFFSET(F164,0,0,MIN(Controls!$B$8,COUNTIF(B164:B$1973,B164)),1),"&gt;"&amp;0),0)</f>
        <v>1279.3937904033037</v>
      </c>
      <c r="J164" s="38">
        <f t="shared" ca="1" si="15"/>
        <v>-1877.9562801295053</v>
      </c>
      <c r="K164" s="30">
        <f t="shared" ca="1" si="19"/>
        <v>2413800</v>
      </c>
      <c r="L164" t="str">
        <f t="shared" si="16"/>
        <v>High</v>
      </c>
      <c r="M164" s="39">
        <f>IFERROR(VLOOKUP("188mg LP",Controls!A:I,7,0),6)</f>
        <v>9</v>
      </c>
      <c r="N164" s="39">
        <f>IFERROR(VLOOKUP("188mg LP",Controls!A:I,8,0),3)</f>
        <v>8</v>
      </c>
      <c r="O164" s="39">
        <f>IFERROR(VLOOKUP("188mg LP",Controls!A:I,9,0),18)</f>
        <v>18</v>
      </c>
      <c r="P164" s="40">
        <f>IFERROR(VLOOKUP("188mg LP",Controls!A:J,5,0),0)</f>
        <v>16200</v>
      </c>
      <c r="Q164" s="39">
        <f>IFERROR(VLOOKUP("188mg LP",Controls!A:J,6,0),3)</f>
        <v>3</v>
      </c>
      <c r="R164" s="21" t="str">
        <f>IFERROR(VLOOKUP("188mg LP",Controls!A:K,10,0),"")</f>
        <v>Fisher / ThermoFisher Allentown</v>
      </c>
      <c r="S164" s="41">
        <f t="shared" si="17"/>
        <v>50830</v>
      </c>
      <c r="T164" s="30">
        <f t="shared" si="18"/>
        <v>0</v>
      </c>
      <c r="AB164">
        <f t="shared" si="20"/>
        <v>2498048.9500089991</v>
      </c>
    </row>
    <row r="165" spans="1:28" ht="13" customHeight="1" x14ac:dyDescent="0.35">
      <c r="A165" s="153">
        <v>50952</v>
      </c>
      <c r="B165" s="36" t="s">
        <v>26</v>
      </c>
      <c r="C165" s="15" t="s">
        <v>28</v>
      </c>
      <c r="D165" s="15" t="s">
        <v>29</v>
      </c>
      <c r="E165" s="30">
        <f>H164</f>
        <v>-2402645.6034465763</v>
      </c>
      <c r="F165" s="37">
        <f>IFERROR(SUMIFS('Demand Inputs'!$FK$5:$FK$202,'Demand Inputs'!$A$5:$A$202,"188mg LP",'Demand Inputs'!$B$5:$B$202,"&lt;&gt;AGGREGATE",'Demand Inputs'!$E$5:$E$202,1),0)</f>
        <v>1401.9377186763127</v>
      </c>
      <c r="G165" s="37">
        <f t="array" ref="G165">IFERROR(SUMPRODUCT(('Production Inputs'!$A:$A="188mg LP")*('Production Inputs'!$B:$B="TOTAL ACTIVE")*'Production Inputs'!$FQ:$FQ),0)</f>
        <v>0</v>
      </c>
      <c r="H165" s="30">
        <f t="shared" si="14"/>
        <v>-2404047.5411652527</v>
      </c>
      <c r="I165" s="30">
        <f ca="1">IFERROR(AVERAGEIF(OFFSET(F165,0,0,MIN(Controls!$B$8,COUNTIF(B165:B$1973,B165)),1),"&gt;"&amp;0),0)</f>
        <v>1214.5008432731963</v>
      </c>
      <c r="J165" s="38">
        <f t="shared" ca="1" si="15"/>
        <v>-1979.453167513753</v>
      </c>
      <c r="K165" s="30">
        <f t="shared" ca="1" si="19"/>
        <v>2413800</v>
      </c>
      <c r="L165" t="str">
        <f t="shared" si="16"/>
        <v>High</v>
      </c>
      <c r="M165" s="39">
        <f>IFERROR(VLOOKUP("188mg LP",Controls!A:I,7,0),6)</f>
        <v>9</v>
      </c>
      <c r="N165" s="39">
        <f>IFERROR(VLOOKUP("188mg LP",Controls!A:I,8,0),3)</f>
        <v>8</v>
      </c>
      <c r="O165" s="39">
        <f>IFERROR(VLOOKUP("188mg LP",Controls!A:I,9,0),18)</f>
        <v>18</v>
      </c>
      <c r="P165" s="40">
        <f>IFERROR(VLOOKUP("188mg LP",Controls!A:J,5,0),0)</f>
        <v>16200</v>
      </c>
      <c r="Q165" s="39">
        <f>IFERROR(VLOOKUP("188mg LP",Controls!A:J,6,0),3)</f>
        <v>3</v>
      </c>
      <c r="R165" s="21" t="str">
        <f>IFERROR(VLOOKUP("188mg LP",Controls!A:K,10,0),"")</f>
        <v>Fisher / ThermoFisher Allentown</v>
      </c>
      <c r="S165" s="41">
        <f t="shared" si="17"/>
        <v>50861</v>
      </c>
      <c r="T165" s="30">
        <f t="shared" si="18"/>
        <v>0</v>
      </c>
      <c r="AB165">
        <f t="shared" si="20"/>
        <v>2499450.8877276755</v>
      </c>
    </row>
    <row r="166" spans="1:28" ht="13" customHeight="1" x14ac:dyDescent="0.35">
      <c r="A166" s="153">
        <v>50983</v>
      </c>
      <c r="B166" s="36" t="s">
        <v>26</v>
      </c>
      <c r="C166" s="15" t="s">
        <v>28</v>
      </c>
      <c r="D166" s="15" t="s">
        <v>29</v>
      </c>
      <c r="E166" s="30">
        <f>H165</f>
        <v>-2404047.5411652527</v>
      </c>
      <c r="F166" s="37">
        <f>IFERROR(SUMIFS('Demand Inputs'!$FL$5:$FL$202,'Demand Inputs'!$A$5:$A$202,"188mg LP",'Demand Inputs'!$B$5:$B$202,"&lt;&gt;AGGREGATE",'Demand Inputs'!$E$5:$E$202,1),0)</f>
        <v>965.49079082246681</v>
      </c>
      <c r="G166" s="37">
        <f t="array" ref="G166">IFERROR(SUMPRODUCT(('Production Inputs'!$A:$A="188mg LP")*('Production Inputs'!$B:$B="TOTAL ACTIVE")*'Production Inputs'!$FR:$FR),0)</f>
        <v>0</v>
      </c>
      <c r="H166" s="30">
        <f t="shared" si="14"/>
        <v>-2405013.0319560752</v>
      </c>
      <c r="I166" s="30">
        <f ca="1">IFERROR(AVERAGEIF(OFFSET(F166,0,0,MIN(Controls!$B$8,COUNTIF(B166:B$1973,B166)),1),"&gt;"&amp;0),0)</f>
        <v>1211.9331925111701</v>
      </c>
      <c r="J166" s="38">
        <f t="shared" ca="1" si="15"/>
        <v>-1984.4435706664653</v>
      </c>
      <c r="K166" s="30">
        <f t="shared" ca="1" si="19"/>
        <v>2413800</v>
      </c>
      <c r="L166" t="str">
        <f t="shared" si="16"/>
        <v>High</v>
      </c>
      <c r="M166" s="39">
        <f>IFERROR(VLOOKUP("188mg LP",Controls!A:I,7,0),6)</f>
        <v>9</v>
      </c>
      <c r="N166" s="39">
        <f>IFERROR(VLOOKUP("188mg LP",Controls!A:I,8,0),3)</f>
        <v>8</v>
      </c>
      <c r="O166" s="39">
        <f>IFERROR(VLOOKUP("188mg LP",Controls!A:I,9,0),18)</f>
        <v>18</v>
      </c>
      <c r="P166" s="40">
        <f>IFERROR(VLOOKUP("188mg LP",Controls!A:J,5,0),0)</f>
        <v>16200</v>
      </c>
      <c r="Q166" s="39">
        <f>IFERROR(VLOOKUP("188mg LP",Controls!A:J,6,0),3)</f>
        <v>3</v>
      </c>
      <c r="R166" s="21" t="str">
        <f>IFERROR(VLOOKUP("188mg LP",Controls!A:K,10,0),"")</f>
        <v>Fisher / ThermoFisher Allentown</v>
      </c>
      <c r="S166" s="41">
        <f t="shared" si="17"/>
        <v>50891</v>
      </c>
      <c r="T166" s="30">
        <f t="shared" si="18"/>
        <v>0</v>
      </c>
      <c r="AB166">
        <f t="shared" si="20"/>
        <v>2500416.378518498</v>
      </c>
    </row>
    <row r="167" spans="1:28" ht="13" customHeight="1" x14ac:dyDescent="0.35">
      <c r="A167" s="153">
        <v>51014</v>
      </c>
      <c r="B167" s="36" t="s">
        <v>26</v>
      </c>
      <c r="C167" s="15" t="s">
        <v>28</v>
      </c>
      <c r="D167" s="15" t="s">
        <v>29</v>
      </c>
      <c r="E167" s="30">
        <f>H166</f>
        <v>-2405013.0319560752</v>
      </c>
      <c r="F167" s="37">
        <f>IFERROR(SUMIFS('Demand Inputs'!$FM$5:$FM$202,'Demand Inputs'!$A$5:$A$202,"188mg LP",'Demand Inputs'!$B$5:$B$202,"&lt;&gt;AGGREGATE",'Demand Inputs'!$E$5:$E$202,1),0)</f>
        <v>1468.1648860837349</v>
      </c>
      <c r="G167" s="37">
        <f t="array" ref="G167">IFERROR(SUMPRODUCT(('Production Inputs'!$A:$A="188mg LP")*('Production Inputs'!$B:$B="TOTAL ACTIVE")*'Production Inputs'!$FS:$FS),0)</f>
        <v>0</v>
      </c>
      <c r="H167" s="30">
        <f t="shared" si="14"/>
        <v>-2406481.1968421591</v>
      </c>
      <c r="I167" s="30">
        <f ca="1">IFERROR(AVERAGEIF(OFFSET(F167,0,0,MIN(Controls!$B$8,COUNTIF(B167:B$1973,B167)),1),"&gt;"&amp;0),0)</f>
        <v>1239.0243515194297</v>
      </c>
      <c r="J167" s="38">
        <f t="shared" ca="1" si="15"/>
        <v>-1942.2388219336156</v>
      </c>
      <c r="K167" s="30">
        <f t="shared" ca="1" si="19"/>
        <v>2413800</v>
      </c>
      <c r="L167" t="str">
        <f t="shared" si="16"/>
        <v>High</v>
      </c>
      <c r="M167" s="39">
        <f>IFERROR(VLOOKUP("188mg LP",Controls!A:I,7,0),6)</f>
        <v>9</v>
      </c>
      <c r="N167" s="39">
        <f>IFERROR(VLOOKUP("188mg LP",Controls!A:I,8,0),3)</f>
        <v>8</v>
      </c>
      <c r="O167" s="39">
        <f>IFERROR(VLOOKUP("188mg LP",Controls!A:I,9,0),18)</f>
        <v>18</v>
      </c>
      <c r="P167" s="40">
        <f>IFERROR(VLOOKUP("188mg LP",Controls!A:J,5,0),0)</f>
        <v>16200</v>
      </c>
      <c r="Q167" s="39">
        <f>IFERROR(VLOOKUP("188mg LP",Controls!A:J,6,0),3)</f>
        <v>3</v>
      </c>
      <c r="R167" s="21" t="str">
        <f>IFERROR(VLOOKUP("188mg LP",Controls!A:K,10,0),"")</f>
        <v>Fisher / ThermoFisher Allentown</v>
      </c>
      <c r="S167" s="41">
        <f t="shared" si="17"/>
        <v>50922</v>
      </c>
      <c r="T167" s="30">
        <f t="shared" si="18"/>
        <v>0</v>
      </c>
      <c r="AB167">
        <f t="shared" si="20"/>
        <v>2501884.543404582</v>
      </c>
    </row>
    <row r="168" spans="1:28" ht="13" customHeight="1" x14ac:dyDescent="0.35">
      <c r="A168" s="153">
        <v>51044</v>
      </c>
      <c r="B168" s="36" t="s">
        <v>26</v>
      </c>
      <c r="C168" s="15" t="s">
        <v>28</v>
      </c>
      <c r="D168" s="15" t="s">
        <v>29</v>
      </c>
      <c r="E168" s="30">
        <f>H167</f>
        <v>-2406481.1968421591</v>
      </c>
      <c r="F168" s="37">
        <f>IFERROR(SUMIFS('Demand Inputs'!$FN$5:$FN$202,'Demand Inputs'!$A$5:$A$202,"188mg LP",'Demand Inputs'!$B$5:$B$202,"&lt;&gt;AGGREGATE",'Demand Inputs'!$E$5:$E$202,1),0)</f>
        <v>1181.2824945204629</v>
      </c>
      <c r="G168" s="37">
        <f t="array" ref="G168">IFERROR(SUMPRODUCT(('Production Inputs'!$A:$A="188mg LP")*('Production Inputs'!$B:$B="TOTAL ACTIVE")*'Production Inputs'!$FT:$FT),0)</f>
        <v>0</v>
      </c>
      <c r="H168" s="30">
        <f t="shared" si="14"/>
        <v>-2407662.4793366794</v>
      </c>
      <c r="I168" s="30">
        <f ca="1">IFERROR(AVERAGEIF(OFFSET(F168,0,0,MIN(Controls!$B$8,COUNTIF(B168:B$1973,B168)),1),"&gt;"&amp;0),0)</f>
        <v>1226.4887348305351</v>
      </c>
      <c r="J168" s="38">
        <f t="shared" ca="1" si="15"/>
        <v>-1963.0530725333958</v>
      </c>
      <c r="K168" s="30">
        <f t="shared" ca="1" si="19"/>
        <v>2413800</v>
      </c>
      <c r="L168" t="str">
        <f t="shared" si="16"/>
        <v>High</v>
      </c>
      <c r="M168" s="39">
        <f>IFERROR(VLOOKUP("188mg LP",Controls!A:I,7,0),6)</f>
        <v>9</v>
      </c>
      <c r="N168" s="39">
        <f>IFERROR(VLOOKUP("188mg LP",Controls!A:I,8,0),3)</f>
        <v>8</v>
      </c>
      <c r="O168" s="39">
        <f>IFERROR(VLOOKUP("188mg LP",Controls!A:I,9,0),18)</f>
        <v>18</v>
      </c>
      <c r="P168" s="40">
        <f>IFERROR(VLOOKUP("188mg LP",Controls!A:J,5,0),0)</f>
        <v>16200</v>
      </c>
      <c r="Q168" s="39">
        <f>IFERROR(VLOOKUP("188mg LP",Controls!A:J,6,0),3)</f>
        <v>3</v>
      </c>
      <c r="R168" s="21" t="str">
        <f>IFERROR(VLOOKUP("188mg LP",Controls!A:K,10,0),"")</f>
        <v>Fisher / ThermoFisher Allentown</v>
      </c>
      <c r="S168" s="41">
        <f t="shared" si="17"/>
        <v>50952</v>
      </c>
      <c r="T168" s="30">
        <f t="shared" si="18"/>
        <v>0</v>
      </c>
      <c r="AB168">
        <f t="shared" si="20"/>
        <v>2503065.8258991023</v>
      </c>
    </row>
    <row r="169" spans="1:28" ht="13" customHeight="1" x14ac:dyDescent="0.35">
      <c r="A169" s="153">
        <v>51075</v>
      </c>
      <c r="B169" s="36" t="s">
        <v>26</v>
      </c>
      <c r="C169" s="15" t="s">
        <v>28</v>
      </c>
      <c r="D169" s="15" t="s">
        <v>29</v>
      </c>
      <c r="E169" s="30">
        <f>H168</f>
        <v>-2407662.4793366794</v>
      </c>
      <c r="F169" s="37">
        <f>IFERROR(SUMIFS('Demand Inputs'!$FO$5:$FO$202,'Demand Inputs'!$A$5:$A$202,"188mg LP",'Demand Inputs'!$B$5:$B$202,"&lt;&gt;AGGREGATE",'Demand Inputs'!$E$5:$E$202,1),0)</f>
        <v>1147.1320124520287</v>
      </c>
      <c r="G169" s="37">
        <f t="array" ref="G169">IFERROR(SUMPRODUCT(('Production Inputs'!$A:$A="188mg LP")*('Production Inputs'!$B:$B="TOTAL ACTIVE")*'Production Inputs'!$FU:$FU),0)</f>
        <v>0</v>
      </c>
      <c r="H169" s="30">
        <f t="shared" si="14"/>
        <v>-2408809.6113491314</v>
      </c>
      <c r="I169" s="30">
        <f ca="1">IFERROR(AVERAGEIF(OFFSET(F169,0,0,MIN(Controls!$B$8,COUNTIF(B169:B$1973,B169)),1),"&gt;"&amp;0),0)</f>
        <v>1218.7826723609699</v>
      </c>
      <c r="J169" s="38">
        <f t="shared" ca="1" si="15"/>
        <v>-1976.4061846095137</v>
      </c>
      <c r="K169" s="30">
        <f t="shared" ca="1" si="19"/>
        <v>2413800</v>
      </c>
      <c r="L169" t="str">
        <f t="shared" si="16"/>
        <v>High</v>
      </c>
      <c r="M169" s="39">
        <f>IFERROR(VLOOKUP("188mg LP",Controls!A:I,7,0),6)</f>
        <v>9</v>
      </c>
      <c r="N169" s="39">
        <f>IFERROR(VLOOKUP("188mg LP",Controls!A:I,8,0),3)</f>
        <v>8</v>
      </c>
      <c r="O169" s="39">
        <f>IFERROR(VLOOKUP("188mg LP",Controls!A:I,9,0),18)</f>
        <v>18</v>
      </c>
      <c r="P169" s="40">
        <f>IFERROR(VLOOKUP("188mg LP",Controls!A:J,5,0),0)</f>
        <v>16200</v>
      </c>
      <c r="Q169" s="39">
        <f>IFERROR(VLOOKUP("188mg LP",Controls!A:J,6,0),3)</f>
        <v>3</v>
      </c>
      <c r="R169" s="21" t="str">
        <f>IFERROR(VLOOKUP("188mg LP",Controls!A:K,10,0),"")</f>
        <v>Fisher / ThermoFisher Allentown</v>
      </c>
      <c r="S169" s="41">
        <f t="shared" si="17"/>
        <v>50983</v>
      </c>
      <c r="T169" s="30">
        <f t="shared" si="18"/>
        <v>0</v>
      </c>
      <c r="AB169">
        <f t="shared" si="20"/>
        <v>2504212.9579115543</v>
      </c>
    </row>
    <row r="170" spans="1:28" ht="13" customHeight="1" x14ac:dyDescent="0.35">
      <c r="A170" s="153">
        <v>51105</v>
      </c>
      <c r="B170" s="36" t="s">
        <v>26</v>
      </c>
      <c r="C170" s="15" t="s">
        <v>28</v>
      </c>
      <c r="D170" s="15" t="s">
        <v>29</v>
      </c>
      <c r="E170" s="30">
        <f>H169</f>
        <v>-2408809.6113491314</v>
      </c>
      <c r="F170" s="37">
        <f>IFERROR(SUMIFS('Demand Inputs'!$FP$5:$FP$202,'Demand Inputs'!$A$5:$A$202,"188mg LP",'Demand Inputs'!$B$5:$B$202,"&lt;&gt;AGGREGATE",'Demand Inputs'!$E$5:$E$202,1),0)</f>
        <v>1177.9135886665074</v>
      </c>
      <c r="G170" s="37">
        <f t="array" ref="G170">IFERROR(SUMPRODUCT(('Production Inputs'!$A:$A="188mg LP")*('Production Inputs'!$B:$B="TOTAL ACTIVE")*'Production Inputs'!$FV:$FV),0)</f>
        <v>0</v>
      </c>
      <c r="H170" s="30">
        <f t="shared" si="14"/>
        <v>-2409987.5249377978</v>
      </c>
      <c r="I170" s="30">
        <f ca="1">IFERROR(AVERAGEIF(OFFSET(F170,0,0,MIN(Controls!$B$8,COUNTIF(B170:B$1973,B170)),1),"&gt;"&amp;0),0)</f>
        <v>1234.2568103316353</v>
      </c>
      <c r="J170" s="38">
        <f t="shared" ca="1" si="15"/>
        <v>-1952.5819138808338</v>
      </c>
      <c r="K170" s="30">
        <f t="shared" ca="1" si="19"/>
        <v>2413800</v>
      </c>
      <c r="L170" t="str">
        <f t="shared" si="16"/>
        <v>High</v>
      </c>
      <c r="M170" s="39">
        <f>IFERROR(VLOOKUP("188mg LP",Controls!A:I,7,0),6)</f>
        <v>9</v>
      </c>
      <c r="N170" s="39">
        <f>IFERROR(VLOOKUP("188mg LP",Controls!A:I,8,0),3)</f>
        <v>8</v>
      </c>
      <c r="O170" s="39">
        <f>IFERROR(VLOOKUP("188mg LP",Controls!A:I,9,0),18)</f>
        <v>18</v>
      </c>
      <c r="P170" s="40">
        <f>IFERROR(VLOOKUP("188mg LP",Controls!A:J,5,0),0)</f>
        <v>16200</v>
      </c>
      <c r="Q170" s="39">
        <f>IFERROR(VLOOKUP("188mg LP",Controls!A:J,6,0),3)</f>
        <v>3</v>
      </c>
      <c r="R170" s="21" t="str">
        <f>IFERROR(VLOOKUP("188mg LP",Controls!A:K,10,0),"")</f>
        <v>Fisher / ThermoFisher Allentown</v>
      </c>
      <c r="S170" s="41">
        <f t="shared" si="17"/>
        <v>51014</v>
      </c>
      <c r="T170" s="30">
        <f t="shared" si="18"/>
        <v>0</v>
      </c>
      <c r="AB170">
        <f t="shared" si="20"/>
        <v>2505390.8715002206</v>
      </c>
    </row>
    <row r="171" spans="1:28" ht="13" customHeight="1" x14ac:dyDescent="0.35">
      <c r="A171" s="153">
        <v>51136</v>
      </c>
      <c r="B171" s="36" t="s">
        <v>26</v>
      </c>
      <c r="C171" s="15" t="s">
        <v>28</v>
      </c>
      <c r="D171" s="15" t="s">
        <v>29</v>
      </c>
      <c r="E171" s="30">
        <f>H170</f>
        <v>-2409987.5249377978</v>
      </c>
      <c r="F171" s="37">
        <f>IFERROR(SUMIFS('Demand Inputs'!$FQ$5:$FQ$202,'Demand Inputs'!$A$5:$A$202,"188mg LP",'Demand Inputs'!$B$5:$B$202,"&lt;&gt;AGGREGATE",'Demand Inputs'!$E$5:$E$202,1),0)</f>
        <v>1279.7322834546603</v>
      </c>
      <c r="G171" s="37">
        <f t="array" ref="G171">IFERROR(SUMPRODUCT(('Production Inputs'!$A:$A="188mg LP")*('Production Inputs'!$B:$B="TOTAL ACTIVE")*'Production Inputs'!$FW:$FW),0)</f>
        <v>0</v>
      </c>
      <c r="H171" s="30">
        <f t="shared" si="14"/>
        <v>-2411267.2572212527</v>
      </c>
      <c r="I171" s="30">
        <f ca="1">IFERROR(AVERAGEIF(OFFSET(F171,0,0,MIN(Controls!$B$8,COUNTIF(B171:B$1973,B171)),1),"&gt;"&amp;0),0)</f>
        <v>1266.853772307124</v>
      </c>
      <c r="J171" s="38">
        <f t="shared" ca="1" si="15"/>
        <v>-1903.3508917370834</v>
      </c>
      <c r="K171" s="30">
        <f t="shared" ca="1" si="19"/>
        <v>2430000</v>
      </c>
      <c r="L171" t="str">
        <f t="shared" si="16"/>
        <v>High</v>
      </c>
      <c r="M171" s="39">
        <f>IFERROR(VLOOKUP("188mg LP",Controls!A:I,7,0),6)</f>
        <v>9</v>
      </c>
      <c r="N171" s="39">
        <f>IFERROR(VLOOKUP("188mg LP",Controls!A:I,8,0),3)</f>
        <v>8</v>
      </c>
      <c r="O171" s="39">
        <f>IFERROR(VLOOKUP("188mg LP",Controls!A:I,9,0),18)</f>
        <v>18</v>
      </c>
      <c r="P171" s="40">
        <f>IFERROR(VLOOKUP("188mg LP",Controls!A:J,5,0),0)</f>
        <v>16200</v>
      </c>
      <c r="Q171" s="39">
        <f>IFERROR(VLOOKUP("188mg LP",Controls!A:J,6,0),3)</f>
        <v>3</v>
      </c>
      <c r="R171" s="21" t="str">
        <f>IFERROR(VLOOKUP("188mg LP",Controls!A:K,10,0),"")</f>
        <v>Fisher / ThermoFisher Allentown</v>
      </c>
      <c r="S171" s="41">
        <f t="shared" si="17"/>
        <v>51044</v>
      </c>
      <c r="T171" s="30">
        <f t="shared" si="18"/>
        <v>0</v>
      </c>
      <c r="AB171">
        <f t="shared" si="20"/>
        <v>2506670.6037836755</v>
      </c>
    </row>
    <row r="172" spans="1:28" ht="13" customHeight="1" x14ac:dyDescent="0.35">
      <c r="A172" s="153">
        <v>51167</v>
      </c>
      <c r="B172" s="36" t="s">
        <v>26</v>
      </c>
      <c r="C172" s="15" t="s">
        <v>28</v>
      </c>
      <c r="D172" s="15" t="s">
        <v>29</v>
      </c>
      <c r="E172" s="30">
        <f>H171</f>
        <v>-2411267.2572212527</v>
      </c>
      <c r="F172" s="37">
        <f>IFERROR(SUMIFS('Demand Inputs'!$FR$5:$FR$202,'Demand Inputs'!$A$5:$A$202,"188mg LP",'Demand Inputs'!$B$5:$B$202,"&lt;&gt;AGGREGATE",'Demand Inputs'!$E$5:$E$202,1),0)</f>
        <v>1138.9576788600573</v>
      </c>
      <c r="G172" s="37">
        <f t="array" ref="G172">IFERROR(SUMPRODUCT(('Production Inputs'!$A:$A="188mg LP")*('Production Inputs'!$B:$B="TOTAL ACTIVE")*'Production Inputs'!$FX:$FX),0)</f>
        <v>0</v>
      </c>
      <c r="H172" s="30">
        <f t="shared" si="14"/>
        <v>-2412406.2149001127</v>
      </c>
      <c r="I172" s="30">
        <f ca="1">IFERROR(AVERAGEIF(OFFSET(F172,0,0,MIN(Controls!$B$8,COUNTIF(B172:B$1973,B172)),1),"&gt;"&amp;0),0)</f>
        <v>1233.3999369198041</v>
      </c>
      <c r="J172" s="38">
        <f t="shared" ca="1" si="15"/>
        <v>-1955.8994148521413</v>
      </c>
      <c r="K172" s="30">
        <f t="shared" ca="1" si="19"/>
        <v>2430000</v>
      </c>
      <c r="L172" t="str">
        <f t="shared" si="16"/>
        <v>High</v>
      </c>
      <c r="M172" s="39">
        <f>IFERROR(VLOOKUP("188mg LP",Controls!A:I,7,0),6)</f>
        <v>9</v>
      </c>
      <c r="N172" s="39">
        <f>IFERROR(VLOOKUP("188mg LP",Controls!A:I,8,0),3)</f>
        <v>8</v>
      </c>
      <c r="O172" s="39">
        <f>IFERROR(VLOOKUP("188mg LP",Controls!A:I,9,0),18)</f>
        <v>18</v>
      </c>
      <c r="P172" s="40">
        <f>IFERROR(VLOOKUP("188mg LP",Controls!A:J,5,0),0)</f>
        <v>16200</v>
      </c>
      <c r="Q172" s="39">
        <f>IFERROR(VLOOKUP("188mg LP",Controls!A:J,6,0),3)</f>
        <v>3</v>
      </c>
      <c r="R172" s="21" t="str">
        <f>IFERROR(VLOOKUP("188mg LP",Controls!A:K,10,0),"")</f>
        <v>Fisher / ThermoFisher Allentown</v>
      </c>
      <c r="S172" s="41">
        <f t="shared" si="17"/>
        <v>51075</v>
      </c>
      <c r="T172" s="30">
        <f t="shared" si="18"/>
        <v>0</v>
      </c>
      <c r="AB172">
        <f t="shared" si="20"/>
        <v>2507809.5614625355</v>
      </c>
    </row>
    <row r="173" spans="1:28" ht="13" customHeight="1" x14ac:dyDescent="0.35">
      <c r="A173" s="153">
        <v>51196</v>
      </c>
      <c r="B173" s="36" t="s">
        <v>26</v>
      </c>
      <c r="C173" s="15" t="s">
        <v>28</v>
      </c>
      <c r="D173" s="15" t="s">
        <v>29</v>
      </c>
      <c r="E173" s="30">
        <f>H172</f>
        <v>-2412406.2149001127</v>
      </c>
      <c r="F173" s="37">
        <f>IFERROR(SUMIFS('Demand Inputs'!$FS$5:$FS$202,'Demand Inputs'!$A$5:$A$202,"188mg LP",'Demand Inputs'!$B$5:$B$202,"&lt;&gt;AGGREGATE",'Demand Inputs'!$E$5:$E$202,1),0)</f>
        <v>1169.8961359225343</v>
      </c>
      <c r="G173" s="37">
        <f t="array" ref="G173">IFERROR(SUMPRODUCT(('Production Inputs'!$A:$A="188mg LP")*('Production Inputs'!$B:$B="TOTAL ACTIVE")*'Production Inputs'!$FY:$FY),0)</f>
        <v>0</v>
      </c>
      <c r="H173" s="30">
        <f t="shared" si="14"/>
        <v>-2413576.1110360352</v>
      </c>
      <c r="I173" s="30">
        <f ca="1">IFERROR(AVERAGEIF(OFFSET(F173,0,0,MIN(Controls!$B$8,COUNTIF(B173:B$1973,B173)),1),"&gt;"&amp;0),0)</f>
        <v>1266.4436540764357</v>
      </c>
      <c r="J173" s="38">
        <f t="shared" ca="1" si="15"/>
        <v>-1905.7903628536519</v>
      </c>
      <c r="K173" s="30">
        <f t="shared" ca="1" si="19"/>
        <v>2430000</v>
      </c>
      <c r="L173" t="str">
        <f t="shared" si="16"/>
        <v>High</v>
      </c>
      <c r="M173" s="39">
        <f>IFERROR(VLOOKUP("188mg LP",Controls!A:I,7,0),6)</f>
        <v>9</v>
      </c>
      <c r="N173" s="39">
        <f>IFERROR(VLOOKUP("188mg LP",Controls!A:I,8,0),3)</f>
        <v>8</v>
      </c>
      <c r="O173" s="39">
        <f>IFERROR(VLOOKUP("188mg LP",Controls!A:I,9,0),18)</f>
        <v>18</v>
      </c>
      <c r="P173" s="40">
        <f>IFERROR(VLOOKUP("188mg LP",Controls!A:J,5,0),0)</f>
        <v>16200</v>
      </c>
      <c r="Q173" s="39">
        <f>IFERROR(VLOOKUP("188mg LP",Controls!A:J,6,0),3)</f>
        <v>3</v>
      </c>
      <c r="R173" s="21" t="str">
        <f>IFERROR(VLOOKUP("188mg LP",Controls!A:K,10,0),"")</f>
        <v>Fisher / ThermoFisher Allentown</v>
      </c>
      <c r="S173" s="41">
        <f t="shared" si="17"/>
        <v>51105</v>
      </c>
      <c r="T173" s="30">
        <f t="shared" si="18"/>
        <v>0</v>
      </c>
      <c r="AB173">
        <f t="shared" si="20"/>
        <v>2508979.457598458</v>
      </c>
    </row>
    <row r="174" spans="1:28" ht="13" customHeight="1" x14ac:dyDescent="0.35">
      <c r="A174" s="153">
        <v>51227</v>
      </c>
      <c r="B174" s="36" t="s">
        <v>26</v>
      </c>
      <c r="C174" s="15" t="s">
        <v>28</v>
      </c>
      <c r="D174" s="15" t="s">
        <v>29</v>
      </c>
      <c r="E174" s="30">
        <f>H173</f>
        <v>-2413576.1110360352</v>
      </c>
      <c r="F174" s="37">
        <f>IFERROR(SUMIFS('Demand Inputs'!$FT$5:$FT$202,'Demand Inputs'!$A$5:$A$202,"188mg LP",'Demand Inputs'!$B$5:$B$202,"&lt;&gt;AGGREGATE",'Demand Inputs'!$E$5:$E$202,1),0)</f>
        <v>1378.828861818077</v>
      </c>
      <c r="G174" s="37">
        <f t="array" ref="G174">IFERROR(SUMPRODUCT(('Production Inputs'!$A:$A="188mg LP")*('Production Inputs'!$B:$B="TOTAL ACTIVE")*'Production Inputs'!$FZ:$FZ),0)</f>
        <v>0</v>
      </c>
      <c r="H174" s="30">
        <f t="shared" si="14"/>
        <v>-2414954.9398978534</v>
      </c>
      <c r="I174" s="30">
        <f ca="1">IFERROR(AVERAGEIF(OFFSET(F174,0,0,MIN(Controls!$B$8,COUNTIF(B174:B$1973,B174)),1),"&gt;"&amp;0),0)</f>
        <v>1260.7928225131341</v>
      </c>
      <c r="J174" s="38">
        <f t="shared" ca="1" si="15"/>
        <v>-1915.425672462294</v>
      </c>
      <c r="K174" s="30">
        <f t="shared" ca="1" si="19"/>
        <v>2430000</v>
      </c>
      <c r="L174" t="str">
        <f t="shared" si="16"/>
        <v>High</v>
      </c>
      <c r="M174" s="39">
        <f>IFERROR(VLOOKUP("188mg LP",Controls!A:I,7,0),6)</f>
        <v>9</v>
      </c>
      <c r="N174" s="39">
        <f>IFERROR(VLOOKUP("188mg LP",Controls!A:I,8,0),3)</f>
        <v>8</v>
      </c>
      <c r="O174" s="39">
        <f>IFERROR(VLOOKUP("188mg LP",Controls!A:I,9,0),18)</f>
        <v>18</v>
      </c>
      <c r="P174" s="40">
        <f>IFERROR(VLOOKUP("188mg LP",Controls!A:J,5,0),0)</f>
        <v>16200</v>
      </c>
      <c r="Q174" s="39">
        <f>IFERROR(VLOOKUP("188mg LP",Controls!A:J,6,0),3)</f>
        <v>3</v>
      </c>
      <c r="R174" s="21" t="str">
        <f>IFERROR(VLOOKUP("188mg LP",Controls!A:K,10,0),"")</f>
        <v>Fisher / ThermoFisher Allentown</v>
      </c>
      <c r="S174" s="41">
        <f t="shared" si="17"/>
        <v>51136</v>
      </c>
      <c r="T174" s="30">
        <f t="shared" si="18"/>
        <v>0</v>
      </c>
      <c r="AB174">
        <f t="shared" si="20"/>
        <v>2510358.2864602762</v>
      </c>
    </row>
    <row r="175" spans="1:28" ht="13" customHeight="1" x14ac:dyDescent="0.35">
      <c r="A175" s="153">
        <v>51257</v>
      </c>
      <c r="B175" s="36" t="s">
        <v>26</v>
      </c>
      <c r="C175" s="15" t="s">
        <v>28</v>
      </c>
      <c r="D175" s="15" t="s">
        <v>29</v>
      </c>
      <c r="E175" s="30">
        <f>H174</f>
        <v>-2414954.9398978534</v>
      </c>
      <c r="F175" s="37">
        <f>IFERROR(SUMIFS('Demand Inputs'!$FU$5:$FU$202,'Demand Inputs'!$A$5:$A$202,"188mg LP",'Demand Inputs'!$B$5:$B$202,"&lt;&gt;AGGREGATE",'Demand Inputs'!$E$5:$E$202,1),0)</f>
        <v>1209.3112218968054</v>
      </c>
      <c r="G175" s="37">
        <f t="array" ref="G175">IFERROR(SUMPRODUCT(('Production Inputs'!$A:$A="188mg LP")*('Production Inputs'!$B:$B="TOTAL ACTIVE")*'Production Inputs'!$GA:$GA),0)</f>
        <v>0</v>
      </c>
      <c r="H175" s="30">
        <f t="shared" si="14"/>
        <v>-2416164.2511197501</v>
      </c>
      <c r="I175" s="30">
        <f ca="1">IFERROR(AVERAGEIF(OFFSET(F175,0,0,MIN(Controls!$B$8,COUNTIF(B175:B$1973,B175)),1),"&gt;"&amp;0),0)</f>
        <v>1246.0383176000164</v>
      </c>
      <c r="J175" s="38">
        <f t="shared" ca="1" si="15"/>
        <v>-1939.0770066955108</v>
      </c>
      <c r="K175" s="30">
        <f t="shared" ca="1" si="19"/>
        <v>2430000</v>
      </c>
      <c r="L175" t="str">
        <f t="shared" si="16"/>
        <v>High</v>
      </c>
      <c r="M175" s="39">
        <f>IFERROR(VLOOKUP("188mg LP",Controls!A:I,7,0),6)</f>
        <v>9</v>
      </c>
      <c r="N175" s="39">
        <f>IFERROR(VLOOKUP("188mg LP",Controls!A:I,8,0),3)</f>
        <v>8</v>
      </c>
      <c r="O175" s="39">
        <f>IFERROR(VLOOKUP("188mg LP",Controls!A:I,9,0),18)</f>
        <v>18</v>
      </c>
      <c r="P175" s="40">
        <f>IFERROR(VLOOKUP("188mg LP",Controls!A:J,5,0),0)</f>
        <v>16200</v>
      </c>
      <c r="Q175" s="39">
        <f>IFERROR(VLOOKUP("188mg LP",Controls!A:J,6,0),3)</f>
        <v>3</v>
      </c>
      <c r="R175" s="21" t="str">
        <f>IFERROR(VLOOKUP("188mg LP",Controls!A:K,10,0),"")</f>
        <v>Fisher / ThermoFisher Allentown</v>
      </c>
      <c r="S175" s="41">
        <f t="shared" si="17"/>
        <v>51167</v>
      </c>
      <c r="T175" s="30">
        <f t="shared" si="18"/>
        <v>0</v>
      </c>
      <c r="AB175">
        <f t="shared" si="20"/>
        <v>2511567.5976821729</v>
      </c>
    </row>
    <row r="176" spans="1:28" ht="13" customHeight="1" x14ac:dyDescent="0.35">
      <c r="A176" s="153">
        <v>51288</v>
      </c>
      <c r="B176" s="36" t="s">
        <v>26</v>
      </c>
      <c r="C176" s="15" t="s">
        <v>28</v>
      </c>
      <c r="D176" s="15" t="s">
        <v>29</v>
      </c>
      <c r="E176" s="30">
        <f>H175</f>
        <v>-2416164.2511197501</v>
      </c>
      <c r="F176" s="37">
        <f>IFERROR(SUMIFS('Demand Inputs'!$FV$5:$FV$202,'Demand Inputs'!$A$5:$A$202,"188mg LP",'Demand Inputs'!$B$5:$B$202,"&lt;&gt;AGGREGATE",'Demand Inputs'!$E$5:$E$202,1),0)</f>
        <v>1355.3443358836835</v>
      </c>
      <c r="G176" s="37">
        <f t="array" ref="G176">IFERROR(SUMPRODUCT(('Production Inputs'!$A:$A="188mg LP")*('Production Inputs'!$B:$B="TOTAL ACTIVE")*'Production Inputs'!$GB:$GB),0)</f>
        <v>0</v>
      </c>
      <c r="H176" s="30">
        <f t="shared" si="14"/>
        <v>-2417519.5954556339</v>
      </c>
      <c r="I176" s="30">
        <f ca="1">IFERROR(AVERAGEIF(OFFSET(F176,0,0,MIN(Controls!$B$8,COUNTIF(B176:B$1973,B176)),1),"&gt;"&amp;0),0)</f>
        <v>1251.2850455576179</v>
      </c>
      <c r="J176" s="38">
        <f t="shared" ca="1" si="15"/>
        <v>-1932.0294796445039</v>
      </c>
      <c r="K176" s="30">
        <f t="shared" ca="1" si="19"/>
        <v>2430000</v>
      </c>
      <c r="L176" t="str">
        <f t="shared" si="16"/>
        <v>High</v>
      </c>
      <c r="M176" s="39">
        <f>IFERROR(VLOOKUP("188mg LP",Controls!A:I,7,0),6)</f>
        <v>9</v>
      </c>
      <c r="N176" s="39">
        <f>IFERROR(VLOOKUP("188mg LP",Controls!A:I,8,0),3)</f>
        <v>8</v>
      </c>
      <c r="O176" s="39">
        <f>IFERROR(VLOOKUP("188mg LP",Controls!A:I,9,0),18)</f>
        <v>18</v>
      </c>
      <c r="P176" s="40">
        <f>IFERROR(VLOOKUP("188mg LP",Controls!A:J,5,0),0)</f>
        <v>16200</v>
      </c>
      <c r="Q176" s="39">
        <f>IFERROR(VLOOKUP("188mg LP",Controls!A:J,6,0),3)</f>
        <v>3</v>
      </c>
      <c r="R176" s="21" t="str">
        <f>IFERROR(VLOOKUP("188mg LP",Controls!A:K,10,0),"")</f>
        <v>Fisher / ThermoFisher Allentown</v>
      </c>
      <c r="S176" s="41">
        <f t="shared" si="17"/>
        <v>51196</v>
      </c>
      <c r="T176" s="30">
        <f t="shared" si="18"/>
        <v>0</v>
      </c>
      <c r="AB176">
        <f t="shared" si="20"/>
        <v>2512922.9420180568</v>
      </c>
    </row>
    <row r="177" spans="1:28" ht="13" customHeight="1" x14ac:dyDescent="0.35">
      <c r="A177" s="153">
        <v>51318</v>
      </c>
      <c r="B177" s="36" t="s">
        <v>26</v>
      </c>
      <c r="C177" s="15" t="s">
        <v>28</v>
      </c>
      <c r="D177" s="15" t="s">
        <v>29</v>
      </c>
      <c r="E177" s="30">
        <f>H176</f>
        <v>-2417519.5954556339</v>
      </c>
      <c r="F177" s="37">
        <f>IFERROR(SUMIFS('Demand Inputs'!$FW$5:$FW$202,'Demand Inputs'!$A$5:$A$202,"188mg LP",'Demand Inputs'!$B$5:$B$202,"&lt;&gt;AGGREGATE",'Demand Inputs'!$E$5:$E$202,1),0)</f>
        <v>1111.9279322943758</v>
      </c>
      <c r="G177" s="37">
        <f t="array" ref="G177">IFERROR(SUMPRODUCT(('Production Inputs'!$A:$A="188mg LP")*('Production Inputs'!$B:$B="TOTAL ACTIVE")*'Production Inputs'!$GC:$GC),0)</f>
        <v>0</v>
      </c>
      <c r="H177" s="30">
        <f t="shared" si="14"/>
        <v>-2418631.5233879285</v>
      </c>
      <c r="I177" s="30">
        <f ca="1">IFERROR(AVERAGEIF(OFFSET(F177,0,0,MIN(Controls!$B$8,COUNTIF(B177:B$1973,B177)),1),"&gt;"&amp;0),0)</f>
        <v>1233.9418305032734</v>
      </c>
      <c r="J177" s="38">
        <f t="shared" ca="1" si="15"/>
        <v>-1960.0855272095521</v>
      </c>
      <c r="K177" s="30">
        <f t="shared" ca="1" si="19"/>
        <v>2430000</v>
      </c>
      <c r="L177" t="str">
        <f t="shared" si="16"/>
        <v>High</v>
      </c>
      <c r="M177" s="39">
        <f>IFERROR(VLOOKUP("188mg LP",Controls!A:I,7,0),6)</f>
        <v>9</v>
      </c>
      <c r="N177" s="39">
        <f>IFERROR(VLOOKUP("188mg LP",Controls!A:I,8,0),3)</f>
        <v>8</v>
      </c>
      <c r="O177" s="39">
        <f>IFERROR(VLOOKUP("188mg LP",Controls!A:I,9,0),18)</f>
        <v>18</v>
      </c>
      <c r="P177" s="40">
        <f>IFERROR(VLOOKUP("188mg LP",Controls!A:J,5,0),0)</f>
        <v>16200</v>
      </c>
      <c r="Q177" s="39">
        <f>IFERROR(VLOOKUP("188mg LP",Controls!A:J,6,0),3)</f>
        <v>3</v>
      </c>
      <c r="R177" s="21" t="str">
        <f>IFERROR(VLOOKUP("188mg LP",Controls!A:K,10,0),"")</f>
        <v>Fisher / ThermoFisher Allentown</v>
      </c>
      <c r="S177" s="41">
        <f t="shared" si="17"/>
        <v>51227</v>
      </c>
      <c r="T177" s="30">
        <f t="shared" si="18"/>
        <v>0</v>
      </c>
      <c r="AB177">
        <f t="shared" si="20"/>
        <v>2514034.8699503513</v>
      </c>
    </row>
    <row r="178" spans="1:28" ht="13" customHeight="1" x14ac:dyDescent="0.35">
      <c r="A178" s="153">
        <v>51349</v>
      </c>
      <c r="B178" s="36" t="s">
        <v>26</v>
      </c>
      <c r="C178" s="15" t="s">
        <v>28</v>
      </c>
      <c r="D178" s="15" t="s">
        <v>29</v>
      </c>
      <c r="E178" s="30">
        <f>H177</f>
        <v>-2418631.5233879285</v>
      </c>
      <c r="F178" s="37">
        <f>IFERROR(SUMIFS('Demand Inputs'!$FX$5:$FX$202,'Demand Inputs'!$A$5:$A$202,"188mg LP",'Demand Inputs'!$B$5:$B$202,"&lt;&gt;AGGREGATE",'Demand Inputs'!$E$5:$E$202,1),0)</f>
        <v>1286.3992541880161</v>
      </c>
      <c r="G178" s="37">
        <f t="array" ref="G178">IFERROR(SUMPRODUCT(('Production Inputs'!$A:$A="188mg LP")*('Production Inputs'!$B:$B="TOTAL ACTIVE")*'Production Inputs'!$GD:$GD),0)</f>
        <v>0</v>
      </c>
      <c r="H178" s="30">
        <f t="shared" si="14"/>
        <v>-2419917.9226421164</v>
      </c>
      <c r="I178" s="30">
        <f ca="1">IFERROR(AVERAGEIF(OFFSET(F178,0,0,MIN(Controls!$B$8,COUNTIF(B178:B$1973,B178)),1),"&gt;"&amp;0),0)</f>
        <v>1258.3446101450531</v>
      </c>
      <c r="J178" s="38">
        <f t="shared" ca="1" si="15"/>
        <v>-1923.0963466861158</v>
      </c>
      <c r="K178" s="30">
        <f t="shared" ca="1" si="19"/>
        <v>2430000</v>
      </c>
      <c r="L178" t="str">
        <f t="shared" si="16"/>
        <v>High</v>
      </c>
      <c r="M178" s="39">
        <f>IFERROR(VLOOKUP("188mg LP",Controls!A:I,7,0),6)</f>
        <v>9</v>
      </c>
      <c r="N178" s="39">
        <f>IFERROR(VLOOKUP("188mg LP",Controls!A:I,8,0),3)</f>
        <v>8</v>
      </c>
      <c r="O178" s="39">
        <f>IFERROR(VLOOKUP("188mg LP",Controls!A:I,9,0),18)</f>
        <v>18</v>
      </c>
      <c r="P178" s="40">
        <f>IFERROR(VLOOKUP("188mg LP",Controls!A:J,5,0),0)</f>
        <v>16200</v>
      </c>
      <c r="Q178" s="39">
        <f>IFERROR(VLOOKUP("188mg LP",Controls!A:J,6,0),3)</f>
        <v>3</v>
      </c>
      <c r="R178" s="21" t="str">
        <f>IFERROR(VLOOKUP("188mg LP",Controls!A:K,10,0),"")</f>
        <v>Fisher / ThermoFisher Allentown</v>
      </c>
      <c r="S178" s="41">
        <f t="shared" si="17"/>
        <v>51257</v>
      </c>
      <c r="T178" s="30">
        <f t="shared" si="18"/>
        <v>0</v>
      </c>
      <c r="AB178">
        <f t="shared" si="20"/>
        <v>2515321.2692045392</v>
      </c>
    </row>
    <row r="179" spans="1:28" ht="13" customHeight="1" x14ac:dyDescent="0.35">
      <c r="A179" s="153">
        <v>51380</v>
      </c>
      <c r="B179" s="36" t="s">
        <v>26</v>
      </c>
      <c r="C179" s="15" t="s">
        <v>28</v>
      </c>
      <c r="D179" s="15" t="s">
        <v>29</v>
      </c>
      <c r="E179" s="30">
        <f>H178</f>
        <v>-2419917.9226421164</v>
      </c>
      <c r="F179" s="37">
        <f>IFERROR(SUMIFS('Demand Inputs'!$FY$5:$FY$202,'Demand Inputs'!$A$5:$A$202,"188mg LP",'Demand Inputs'!$B$5:$B$202,"&lt;&gt;AGGREGATE",'Demand Inputs'!$E$5:$E$202,1),0)</f>
        <v>1471.2862464459088</v>
      </c>
      <c r="G179" s="37">
        <f t="array" ref="G179">IFERROR(SUMPRODUCT(('Production Inputs'!$A:$A="188mg LP")*('Production Inputs'!$B:$B="TOTAL ACTIVE")*'Production Inputs'!$GE:$GE),0)</f>
        <v>0</v>
      </c>
      <c r="H179" s="30">
        <f t="shared" si="14"/>
        <v>-2421389.2088885624</v>
      </c>
      <c r="I179" s="30">
        <f ca="1">IFERROR(AVERAGEIF(OFFSET(F179,0,0,MIN(Controls!$B$8,COUNTIF(B179:B$1973,B179)),1),"&gt;"&amp;0),0)</f>
        <v>1251.3309491343125</v>
      </c>
      <c r="J179" s="38">
        <f t="shared" ca="1" si="15"/>
        <v>-1935.0510035444356</v>
      </c>
      <c r="K179" s="30">
        <f t="shared" ca="1" si="19"/>
        <v>2430000</v>
      </c>
      <c r="L179" t="str">
        <f t="shared" si="16"/>
        <v>High</v>
      </c>
      <c r="M179" s="39">
        <f>IFERROR(VLOOKUP("188mg LP",Controls!A:I,7,0),6)</f>
        <v>9</v>
      </c>
      <c r="N179" s="39">
        <f>IFERROR(VLOOKUP("188mg LP",Controls!A:I,8,0),3)</f>
        <v>8</v>
      </c>
      <c r="O179" s="39">
        <f>IFERROR(VLOOKUP("188mg LP",Controls!A:I,9,0),18)</f>
        <v>18</v>
      </c>
      <c r="P179" s="40">
        <f>IFERROR(VLOOKUP("188mg LP",Controls!A:J,5,0),0)</f>
        <v>16200</v>
      </c>
      <c r="Q179" s="39">
        <f>IFERROR(VLOOKUP("188mg LP",Controls!A:J,6,0),3)</f>
        <v>3</v>
      </c>
      <c r="R179" s="21" t="str">
        <f>IFERROR(VLOOKUP("188mg LP",Controls!A:K,10,0),"")</f>
        <v>Fisher / ThermoFisher Allentown</v>
      </c>
      <c r="S179" s="41">
        <f t="shared" si="17"/>
        <v>51288</v>
      </c>
      <c r="T179" s="30">
        <f t="shared" si="18"/>
        <v>0</v>
      </c>
      <c r="AB179">
        <f t="shared" si="20"/>
        <v>2516792.5554509852</v>
      </c>
    </row>
    <row r="180" spans="1:28" ht="13" customHeight="1" x14ac:dyDescent="0.35">
      <c r="A180" s="153">
        <v>51410</v>
      </c>
      <c r="B180" s="36" t="s">
        <v>26</v>
      </c>
      <c r="C180" s="15" t="s">
        <v>28</v>
      </c>
      <c r="D180" s="15" t="s">
        <v>29</v>
      </c>
      <c r="E180" s="30">
        <f>H179</f>
        <v>-2421389.2088885624</v>
      </c>
      <c r="F180" s="37">
        <f>IFERROR(SUMIFS('Demand Inputs'!$FZ$5:$FZ$202,'Demand Inputs'!$A$5:$A$202,"188mg LP",'Demand Inputs'!$B$5:$B$202,"&lt;&gt;AGGREGATE",'Demand Inputs'!$E$5:$E$202,1),0)</f>
        <v>978.64776496878005</v>
      </c>
      <c r="G180" s="37">
        <f t="array" ref="G180">IFERROR(SUMPRODUCT(('Production Inputs'!$A:$A="188mg LP")*('Production Inputs'!$B:$B="TOTAL ACTIVE")*'Production Inputs'!$GF:$GF),0)</f>
        <v>0</v>
      </c>
      <c r="H180" s="30">
        <f t="shared" si="14"/>
        <v>-2422367.8566535311</v>
      </c>
      <c r="I180" s="30">
        <f ca="1">IFERROR(AVERAGEIF(OFFSET(F180,0,0,MIN(Controls!$B$8,COUNTIF(B180:B$1973,B180)),1),"&gt;"&amp;0),0)</f>
        <v>1178.0125166971136</v>
      </c>
      <c r="J180" s="38">
        <f t="shared" ca="1" si="15"/>
        <v>-2056.3175877326962</v>
      </c>
      <c r="K180" s="30">
        <f t="shared" ca="1" si="19"/>
        <v>2430000</v>
      </c>
      <c r="L180" t="str">
        <f t="shared" si="16"/>
        <v>High</v>
      </c>
      <c r="M180" s="39">
        <f>IFERROR(VLOOKUP("188mg LP",Controls!A:I,7,0),6)</f>
        <v>9</v>
      </c>
      <c r="N180" s="39">
        <f>IFERROR(VLOOKUP("188mg LP",Controls!A:I,8,0),3)</f>
        <v>8</v>
      </c>
      <c r="O180" s="39">
        <f>IFERROR(VLOOKUP("188mg LP",Controls!A:I,9,0),18)</f>
        <v>18</v>
      </c>
      <c r="P180" s="40">
        <f>IFERROR(VLOOKUP("188mg LP",Controls!A:J,5,0),0)</f>
        <v>16200</v>
      </c>
      <c r="Q180" s="39">
        <f>IFERROR(VLOOKUP("188mg LP",Controls!A:J,6,0),3)</f>
        <v>3</v>
      </c>
      <c r="R180" s="21" t="str">
        <f>IFERROR(VLOOKUP("188mg LP",Controls!A:K,10,0),"")</f>
        <v>Fisher / ThermoFisher Allentown</v>
      </c>
      <c r="S180" s="41">
        <f t="shared" si="17"/>
        <v>51318</v>
      </c>
      <c r="T180" s="30">
        <f t="shared" si="18"/>
        <v>0</v>
      </c>
      <c r="AB180">
        <f t="shared" si="20"/>
        <v>2517771.2032159539</v>
      </c>
    </row>
    <row r="181" spans="1:28" ht="13" customHeight="1" x14ac:dyDescent="0.35">
      <c r="A181" s="153">
        <v>51441</v>
      </c>
      <c r="B181" s="36" t="s">
        <v>26</v>
      </c>
      <c r="C181" s="15" t="s">
        <v>28</v>
      </c>
      <c r="D181" s="15" t="s">
        <v>29</v>
      </c>
      <c r="E181" s="30">
        <f>H180</f>
        <v>-2422367.8566535311</v>
      </c>
      <c r="F181" s="37">
        <f>IFERROR(SUMIFS('Demand Inputs'!$GA$5:$GA$202,'Demand Inputs'!$A$5:$A$202,"188mg LP",'Demand Inputs'!$B$5:$B$202,"&lt;&gt;AGGREGATE",'Demand Inputs'!$E$5:$E$202,1),0)</f>
        <v>1436.3511332697394</v>
      </c>
      <c r="G181" s="37">
        <f t="array" ref="G181">IFERROR(SUMPRODUCT(('Production Inputs'!$A:$A="188mg LP")*('Production Inputs'!$B:$B="TOTAL ACTIVE")*'Production Inputs'!$GG:$GG),0)</f>
        <v>0</v>
      </c>
      <c r="H181" s="30">
        <f t="shared" si="14"/>
        <v>-2423804.2077868008</v>
      </c>
      <c r="I181" s="30">
        <f ca="1">IFERROR(AVERAGEIF(OFFSET(F181,0,0,MIN(Controls!$B$8,COUNTIF(B181:B$1973,B181)),1),"&gt;"&amp;0),0)</f>
        <v>1277.6948925612803</v>
      </c>
      <c r="J181" s="38">
        <f t="shared" ca="1" si="15"/>
        <v>-1897.0133025483244</v>
      </c>
      <c r="K181" s="30">
        <f t="shared" ca="1" si="19"/>
        <v>2430000</v>
      </c>
      <c r="L181" t="str">
        <f t="shared" si="16"/>
        <v>High</v>
      </c>
      <c r="M181" s="39">
        <f>IFERROR(VLOOKUP("188mg LP",Controls!A:I,7,0),6)</f>
        <v>9</v>
      </c>
      <c r="N181" s="39">
        <f>IFERROR(VLOOKUP("188mg LP",Controls!A:I,8,0),3)</f>
        <v>8</v>
      </c>
      <c r="O181" s="39">
        <f>IFERROR(VLOOKUP("188mg LP",Controls!A:I,9,0),18)</f>
        <v>18</v>
      </c>
      <c r="P181" s="40">
        <f>IFERROR(VLOOKUP("188mg LP",Controls!A:J,5,0),0)</f>
        <v>16200</v>
      </c>
      <c r="Q181" s="39">
        <f>IFERROR(VLOOKUP("188mg LP",Controls!A:J,6,0),3)</f>
        <v>3</v>
      </c>
      <c r="R181" s="21" t="str">
        <f>IFERROR(VLOOKUP("188mg LP",Controls!A:K,10,0),"")</f>
        <v>Fisher / ThermoFisher Allentown</v>
      </c>
      <c r="S181" s="41">
        <f t="shared" si="17"/>
        <v>51349</v>
      </c>
      <c r="T181" s="30">
        <f t="shared" si="18"/>
        <v>0</v>
      </c>
      <c r="AB181">
        <f t="shared" si="20"/>
        <v>2519207.5543492236</v>
      </c>
    </row>
    <row r="182" spans="1:28" ht="13" customHeight="1" x14ac:dyDescent="0.35">
      <c r="A182" s="153">
        <v>51471</v>
      </c>
      <c r="B182" s="36" t="s">
        <v>26</v>
      </c>
      <c r="C182" s="15" t="s">
        <v>28</v>
      </c>
      <c r="D182" s="15" t="s">
        <v>29</v>
      </c>
      <c r="E182" s="30">
        <f>H181</f>
        <v>-2423804.2077868008</v>
      </c>
      <c r="F182" s="37">
        <f>IFERROR(SUMIFS('Demand Inputs'!$GB$5:$GB$202,'Demand Inputs'!$A$5:$A$202,"188mg LP",'Demand Inputs'!$B$5:$B$202,"&lt;&gt;AGGREGATE",'Demand Inputs'!$E$5:$E$202,1),0)</f>
        <v>1119.0386518528212</v>
      </c>
      <c r="G182" s="37">
        <f t="array" ref="G182">IFERROR(SUMPRODUCT(('Production Inputs'!$A:$A="188mg LP")*('Production Inputs'!$B:$B="TOTAL ACTIVE")*'Production Inputs'!$GH:$GH),0)</f>
        <v>0</v>
      </c>
      <c r="H182" s="30">
        <f t="shared" si="14"/>
        <v>-2424923.2464386537</v>
      </c>
      <c r="I182" s="30">
        <f ca="1">IFERROR(AVERAGEIF(OFFSET(F182,0,0,MIN(Controls!$B$8,COUNTIF(B182:B$1973,B182)),1),"&gt;"&amp;0),0)</f>
        <v>1119.0386518528212</v>
      </c>
      <c r="J182" s="38">
        <f t="shared" ca="1" si="15"/>
        <v>-2166.9700527534465</v>
      </c>
      <c r="K182" s="30">
        <f t="shared" ca="1" si="19"/>
        <v>2430000</v>
      </c>
      <c r="L182" t="str">
        <f t="shared" si="16"/>
        <v>High</v>
      </c>
      <c r="M182" s="39">
        <f>IFERROR(VLOOKUP("188mg LP",Controls!A:I,7,0),6)</f>
        <v>9</v>
      </c>
      <c r="N182" s="39">
        <f>IFERROR(VLOOKUP("188mg LP",Controls!A:I,8,0),3)</f>
        <v>8</v>
      </c>
      <c r="O182" s="39">
        <f>IFERROR(VLOOKUP("188mg LP",Controls!A:I,9,0),18)</f>
        <v>18</v>
      </c>
      <c r="P182" s="40">
        <f>IFERROR(VLOOKUP("188mg LP",Controls!A:J,5,0),0)</f>
        <v>16200</v>
      </c>
      <c r="Q182" s="39">
        <f>IFERROR(VLOOKUP("188mg LP",Controls!A:J,6,0),3)</f>
        <v>3</v>
      </c>
      <c r="R182" s="21" t="str">
        <f>IFERROR(VLOOKUP("188mg LP",Controls!A:K,10,0),"")</f>
        <v>Fisher / ThermoFisher Allentown</v>
      </c>
      <c r="S182" s="41">
        <f t="shared" si="17"/>
        <v>51380</v>
      </c>
      <c r="T182" s="30">
        <f t="shared" si="18"/>
        <v>0</v>
      </c>
      <c r="AB182">
        <f t="shared" si="20"/>
        <v>2520326.5930010765</v>
      </c>
    </row>
    <row r="183" spans="1:28" ht="13" customHeight="1" x14ac:dyDescent="0.35">
      <c r="A183" s="153">
        <v>46054</v>
      </c>
      <c r="B183" s="36" t="s">
        <v>35</v>
      </c>
      <c r="C183" s="15" t="s">
        <v>28</v>
      </c>
      <c r="D183" s="15" t="s">
        <v>29</v>
      </c>
      <c r="E183" s="199">
        <f>IFERROR(VLOOKUP("47mg LP",Controls!A:D,4,0),0)</f>
        <v>39125</v>
      </c>
      <c r="F183" s="199">
        <f>IFERROR(SUMIFS('Demand Inputs'!$F$5:$F$202,'Demand Inputs'!$A$5:$A$202,"47mg LP",'Demand Inputs'!$B$5:$B$202,"&lt;&gt;AGGREGATE",'Demand Inputs'!$E$5:$E$202,1),0)</f>
        <v>735.28479123500347</v>
      </c>
      <c r="G183" s="199">
        <f t="array" ref="G183">IFERROR(SUMPRODUCT(('Production Inputs'!$A:$A="47mg LP")*('Production Inputs'!$B:$B="TOTAL ACTIVE")*'Production Inputs'!$L:$L),0)</f>
        <v>0</v>
      </c>
      <c r="H183" s="199">
        <f t="shared" si="14"/>
        <v>38389.715208764996</v>
      </c>
      <c r="I183" s="30">
        <f ca="1">IFERROR(AVERAGEIF(OFFSET(F183,0,0,MIN(Controls!$B$8,COUNTIF(B183:B$1973,B183)),1),"&gt;"&amp;0),0)</f>
        <v>1043.3726351375999</v>
      </c>
      <c r="J183" s="38">
        <f t="shared" ca="1" si="15"/>
        <v>36.793868188523234</v>
      </c>
      <c r="K183" s="30">
        <f t="shared" ca="1" si="19"/>
        <v>0</v>
      </c>
      <c r="L183" t="str">
        <f t="shared" ca="1" si="16"/>
        <v>Overstock</v>
      </c>
      <c r="M183" s="39">
        <f>IFERROR(VLOOKUP("47mg LP",Controls!A:I,7,0),6)</f>
        <v>9</v>
      </c>
      <c r="N183" s="39">
        <f>IFERROR(VLOOKUP("47mg LP",Controls!A:I,8,0),3)</f>
        <v>8</v>
      </c>
      <c r="O183" s="39">
        <f>IFERROR(VLOOKUP("47mg LP",Controls!A:I,9,0),18)</f>
        <v>18</v>
      </c>
      <c r="P183" s="40">
        <f>IFERROR(VLOOKUP("47mg LP",Controls!A:J,5,0),0)</f>
        <v>10000</v>
      </c>
      <c r="Q183" s="39">
        <f>IFERROR(VLOOKUP("47mg LP",Controls!A:J,6,0),3)</f>
        <v>3</v>
      </c>
      <c r="R183" s="21" t="str">
        <f>IFERROR(VLOOKUP("47mg LP",Controls!A:K,10,0),"")</f>
        <v>Fisher / ThermoFisher Allentown</v>
      </c>
      <c r="S183" s="41">
        <f t="shared" si="17"/>
        <v>45962</v>
      </c>
      <c r="T183" s="30">
        <f t="shared" si="18"/>
        <v>0</v>
      </c>
      <c r="W183" s="205" cm="1">
        <f t="array" ref="W183">IF(0&lt;Controls!$B$7,INDEX(A183:A361,MATCH(Controls!$B$5,A183:A361,1)+0),NA())</f>
        <v>46113</v>
      </c>
      <c r="X183" cm="1">
        <f t="array" ref="X183">IF(0&lt;Controls!$B$7,INDEX(F183:F361,MATCH(Controls!$B$5,A183:A361,1)+0),NA())</f>
        <v>1120.6477072832886</v>
      </c>
      <c r="Y183" cm="1">
        <f t="array" ref="Y183">IF(0&lt;Controls!$B$7,INDEX(G183:G361,MATCH(Controls!$B$5,A183:A361,1)+0),NA())</f>
        <v>3</v>
      </c>
      <c r="Z183" cm="1">
        <f t="array" ref="Z183">IF(0&lt;Controls!$B$7,INDEX(H183:H361,MATCH(Controls!$B$5,A183:A361,1)+0),NA())</f>
        <v>39125</v>
      </c>
      <c r="AA183" cm="1">
        <f t="array" aca="1" ref="AA183" ca="1">IF(0&lt;Controls!$B$7,INDEX(M183:M361,MATCH(Controls!$B$5,A183:A361,1)+0)*INDEX(I183:I361,MATCH(Controls!$B$5,A183:A361,1)+0),NA())</f>
        <v>10194.373864025214</v>
      </c>
      <c r="AB183">
        <f t="shared" si="20"/>
        <v>735.28479123500347</v>
      </c>
    </row>
    <row r="184" spans="1:28" ht="13" customHeight="1" x14ac:dyDescent="0.35">
      <c r="A184" s="153">
        <v>46082</v>
      </c>
      <c r="B184" s="36" t="s">
        <v>35</v>
      </c>
      <c r="C184" s="15" t="s">
        <v>28</v>
      </c>
      <c r="D184" s="15" t="s">
        <v>29</v>
      </c>
      <c r="E184" s="199">
        <f>H183</f>
        <v>38389.715208764996</v>
      </c>
      <c r="F184" s="199">
        <f>IFERROR(SUMIFS('Demand Inputs'!$G$5:$G$202,'Demand Inputs'!$A$5:$A$202,"47mg LP",'Demand Inputs'!$B$5:$B$202,"&lt;&gt;AGGREGATE",'Demand Inputs'!$E$5:$E$202,1),0)</f>
        <v>842.59859910549494</v>
      </c>
      <c r="G184" s="199">
        <f t="array" ref="G184">IFERROR(SUMPRODUCT(('Production Inputs'!$A:$A="47mg LP")*('Production Inputs'!$B:$B="TOTAL ACTIVE")*'Production Inputs'!$M:$M),0)</f>
        <v>0</v>
      </c>
      <c r="H184" s="199">
        <v>40082</v>
      </c>
      <c r="I184" s="30">
        <f ca="1">IFERROR(AVERAGEIF(OFFSET(F184,0,0,MIN(Controls!$B$8,COUNTIF(B184:B$1973,B184)),1),"&gt;"&amp;0),0)</f>
        <v>1103.0492641550304</v>
      </c>
      <c r="J184" s="38">
        <f t="shared" ca="1" si="15"/>
        <v>36.337452281158122</v>
      </c>
      <c r="K184" s="30">
        <f t="shared" ca="1" si="19"/>
        <v>0</v>
      </c>
      <c r="L184" t="str">
        <f t="shared" ca="1" si="16"/>
        <v>Overstock</v>
      </c>
      <c r="M184" s="39">
        <f>IFERROR(VLOOKUP("47mg LP",Controls!A:I,7,0),6)</f>
        <v>9</v>
      </c>
      <c r="N184" s="39">
        <f>IFERROR(VLOOKUP("47mg LP",Controls!A:I,8,0),3)</f>
        <v>8</v>
      </c>
      <c r="O184" s="39">
        <f>IFERROR(VLOOKUP("47mg LP",Controls!A:I,9,0),18)</f>
        <v>18</v>
      </c>
      <c r="P184" s="40">
        <f>IFERROR(VLOOKUP("47mg LP",Controls!A:J,5,0),0)</f>
        <v>10000</v>
      </c>
      <c r="Q184" s="39">
        <f>IFERROR(VLOOKUP("47mg LP",Controls!A:J,6,0),3)</f>
        <v>3</v>
      </c>
      <c r="R184" s="21" t="str">
        <f>IFERROR(VLOOKUP("47mg LP",Controls!A:K,10,0),"")</f>
        <v>Fisher / ThermoFisher Allentown</v>
      </c>
      <c r="S184" s="41">
        <f t="shared" si="17"/>
        <v>45992</v>
      </c>
      <c r="T184" s="30">
        <f t="shared" si="18"/>
        <v>0</v>
      </c>
      <c r="W184" s="205" cm="1">
        <f t="array" ref="W184">IF(1&lt;Controls!$B$7,INDEX(A183:A361,MATCH(Controls!$B$5,A183:A361,1)+1),NA())</f>
        <v>46143</v>
      </c>
      <c r="X184" cm="1">
        <f t="array" ref="X184">IF(1&lt;Controls!$B$7,INDEX(F183:F361,MATCH(Controls!$B$5,A183:A361,1)+1),NA())</f>
        <v>1083.0283168822245</v>
      </c>
      <c r="Y184" cm="1">
        <f t="array" ref="Y184">IF(1&lt;Controls!$B$7,INDEX(G183:G361,MATCH(Controls!$B$5,A183:A361,1)+1),NA())</f>
        <v>2</v>
      </c>
      <c r="Z184" cm="1">
        <f t="array" ref="Z184">IF(1&lt;Controls!$B$7,INDEX(H183:H361,MATCH(Controls!$B$5,A183:A361,1)+1),NA())</f>
        <v>38043.971683117772</v>
      </c>
      <c r="AA184" cm="1">
        <f t="array" aca="1" ref="AA184" ca="1">IF(1&lt;Controls!$B$7,INDEX(M183:M361,MATCH(Controls!$B$5,A183:A361,1)+1)*INDEX(I183:I361,MATCH(Controls!$B$5,A183:A361,1)+1),NA())</f>
        <v>10621.240914167212</v>
      </c>
      <c r="AB184">
        <f t="shared" si="20"/>
        <v>1577.8833903404984</v>
      </c>
    </row>
    <row r="185" spans="1:28" ht="13" customHeight="1" x14ac:dyDescent="0.35">
      <c r="A185" s="153">
        <v>46113</v>
      </c>
      <c r="B185" s="36" t="s">
        <v>35</v>
      </c>
      <c r="C185" s="15" t="s">
        <v>28</v>
      </c>
      <c r="D185" s="15" t="s">
        <v>29</v>
      </c>
      <c r="E185" s="390">
        <f>H184</f>
        <v>40082</v>
      </c>
      <c r="F185" s="391">
        <f>IFERROR(SUMIFS('Demand Inputs'!$H$5:$H$202,'Demand Inputs'!$A$5:$A$202,"47mg LP",'Demand Inputs'!$B$5:$B$202,"&lt;&gt;AGGREGATE",'Demand Inputs'!$E$5:$E$202,1),0)</f>
        <v>1120.6477072832886</v>
      </c>
      <c r="G185" s="391">
        <f t="array" ref="G185">IFERROR(SUMPRODUCT(('Production Inputs'!$A:$A="47mg LP")*('Production Inputs'!$B:$B="TOTAL ACTIVE")*'Production Inputs'!$N:$N),0)</f>
        <v>3</v>
      </c>
      <c r="H185" s="390">
        <v>39125</v>
      </c>
      <c r="I185" s="30">
        <f ca="1">IFERROR(AVERAGEIF(OFFSET(F185,0,0,MIN(Controls!$B$8,COUNTIF(B185:B$1973,B185)),1),"&gt;"&amp;0),0)</f>
        <v>1132.7082071139127</v>
      </c>
      <c r="J185" s="38">
        <f t="shared" ca="1" si="15"/>
        <v>34.541111077219668</v>
      </c>
      <c r="K185" s="30">
        <f t="shared" ca="1" si="19"/>
        <v>0</v>
      </c>
      <c r="L185" t="str">
        <f t="shared" ca="1" si="16"/>
        <v>Overstock</v>
      </c>
      <c r="M185" s="39">
        <f>IFERROR(VLOOKUP("47mg LP",Controls!A:I,7,0),6)</f>
        <v>9</v>
      </c>
      <c r="N185" s="39">
        <f>IFERROR(VLOOKUP("47mg LP",Controls!A:I,8,0),3)</f>
        <v>8</v>
      </c>
      <c r="O185" s="39">
        <f>IFERROR(VLOOKUP("47mg LP",Controls!A:I,9,0),18)</f>
        <v>18</v>
      </c>
      <c r="P185" s="40">
        <f>IFERROR(VLOOKUP("47mg LP",Controls!A:J,5,0),0)</f>
        <v>10000</v>
      </c>
      <c r="Q185" s="39">
        <f>IFERROR(VLOOKUP("47mg LP",Controls!A:J,6,0),3)</f>
        <v>3</v>
      </c>
      <c r="R185" s="21" t="str">
        <f>IFERROR(VLOOKUP("47mg LP",Controls!A:K,10,0),"")</f>
        <v>Fisher / ThermoFisher Allentown</v>
      </c>
      <c r="S185" s="41">
        <f t="shared" si="17"/>
        <v>46023</v>
      </c>
      <c r="T185" s="30">
        <f t="shared" si="18"/>
        <v>3</v>
      </c>
      <c r="W185" s="205" cm="1">
        <f t="array" ref="W185">IF(2&lt;Controls!$B$7,INDEX(A183:A361,MATCH(Controls!$B$5,A183:A361,1)+2),NA())</f>
        <v>46174</v>
      </c>
      <c r="X185" cm="1">
        <f t="array" ref="X185">IF(2&lt;Controls!$B$7,INDEX(F183:F361,MATCH(Controls!$B$5,A183:A361,1)+2),NA())</f>
        <v>943.64148536614266</v>
      </c>
      <c r="Y185" cm="1">
        <f t="array" ref="Y185">IF(2&lt;Controls!$B$7,INDEX(G183:G361,MATCH(Controls!$B$5,A183:A361,1)+2),NA())</f>
        <v>0</v>
      </c>
      <c r="Z185" cm="1">
        <f t="array" ref="Z185">IF(2&lt;Controls!$B$7,INDEX(H183:H361,MATCH(Controls!$B$5,A183:A361,1)+2),NA())</f>
        <v>37100.330197751631</v>
      </c>
      <c r="AA185" cm="1">
        <f t="array" aca="1" ref="AA185" ca="1">IF(2&lt;Controls!$B$7,INDEX(M183:M361,MATCH(Controls!$B$5,A183:A361,1)+2)*INDEX(I183:I361,MATCH(Controls!$B$5,A183:A361,1)+2),NA())</f>
        <v>10720.331540204628</v>
      </c>
      <c r="AB185">
        <f t="shared" si="20"/>
        <v>2698.531097623787</v>
      </c>
    </row>
    <row r="186" spans="1:28" ht="13" customHeight="1" x14ac:dyDescent="0.35">
      <c r="A186" s="153">
        <v>46143</v>
      </c>
      <c r="B186" s="36" t="s">
        <v>35</v>
      </c>
      <c r="C186" s="15" t="s">
        <v>28</v>
      </c>
      <c r="D186" s="15" t="s">
        <v>29</v>
      </c>
      <c r="E186" s="30">
        <f>H185</f>
        <v>39125</v>
      </c>
      <c r="F186" s="37">
        <f>IFERROR(SUMIFS('Demand Inputs'!$I$5:$I$202,'Demand Inputs'!$A$5:$A$202,"47mg LP",'Demand Inputs'!$B$5:$B$202,"&lt;&gt;AGGREGATE",'Demand Inputs'!$E$5:$E$202,1),0)</f>
        <v>1083.0283168822245</v>
      </c>
      <c r="G186" s="37">
        <f t="array" ref="G186">IFERROR(SUMPRODUCT(('Production Inputs'!$A:$A="47mg LP")*('Production Inputs'!$B:$B="TOTAL ACTIVE")*'Production Inputs'!$O:$O),0)</f>
        <v>2</v>
      </c>
      <c r="H186" s="30">
        <f t="shared" si="14"/>
        <v>38043.971683117772</v>
      </c>
      <c r="I186" s="30">
        <f ca="1">IFERROR(AVERAGEIF(OFFSET(F186,0,0,MIN(Controls!$B$8,COUNTIF(B186:B$1973,B186)),1),"&gt;"&amp;0),0)</f>
        <v>1180.1378793519125</v>
      </c>
      <c r="J186" s="38">
        <f t="shared" ca="1" si="15"/>
        <v>32.236887188139491</v>
      </c>
      <c r="K186" s="30">
        <f t="shared" ca="1" si="19"/>
        <v>0</v>
      </c>
      <c r="L186" t="str">
        <f t="shared" ca="1" si="16"/>
        <v>Overstock</v>
      </c>
      <c r="M186" s="39">
        <f>IFERROR(VLOOKUP("47mg LP",Controls!A:I,7,0),6)</f>
        <v>9</v>
      </c>
      <c r="N186" s="39">
        <f>IFERROR(VLOOKUP("47mg LP",Controls!A:I,8,0),3)</f>
        <v>8</v>
      </c>
      <c r="O186" s="39">
        <f>IFERROR(VLOOKUP("47mg LP",Controls!A:I,9,0),18)</f>
        <v>18</v>
      </c>
      <c r="P186" s="40">
        <f>IFERROR(VLOOKUP("47mg LP",Controls!A:J,5,0),0)</f>
        <v>10000</v>
      </c>
      <c r="Q186" s="39">
        <f>IFERROR(VLOOKUP("47mg LP",Controls!A:J,6,0),3)</f>
        <v>3</v>
      </c>
      <c r="R186" s="21" t="str">
        <f>IFERROR(VLOOKUP("47mg LP",Controls!A:K,10,0),"")</f>
        <v>Fisher / ThermoFisher Allentown</v>
      </c>
      <c r="S186" s="41">
        <f t="shared" si="17"/>
        <v>46054</v>
      </c>
      <c r="T186" s="30">
        <f t="shared" si="18"/>
        <v>2</v>
      </c>
      <c r="W186" s="205" cm="1">
        <f t="array" ref="W186">IF(3&lt;Controls!$B$7,INDEX(A183:A361,MATCH(Controls!$B$5,A183:A361,1)+3),NA())</f>
        <v>46204</v>
      </c>
      <c r="X186" cm="1">
        <f t="array" ref="X186">IF(3&lt;Controls!$B$7,INDEX(F183:F361,MATCH(Controls!$B$5,A183:A361,1)+3),NA())</f>
        <v>1108.4869033982282</v>
      </c>
      <c r="Y186" cm="1">
        <f t="array" ref="Y186">IF(3&lt;Controls!$B$7,INDEX(G183:G361,MATCH(Controls!$B$5,A183:A361,1)+3),NA())</f>
        <v>0</v>
      </c>
      <c r="Z186" cm="1">
        <f t="array" ref="Z186">IF(3&lt;Controls!$B$7,INDEX(H183:H361,MATCH(Controls!$B$5,A183:A361,1)+3),NA())</f>
        <v>35991.843294353406</v>
      </c>
      <c r="AA186" cm="1">
        <f t="array" aca="1" ref="AA186" ca="1">IF(3&lt;Controls!$B$7,INDEX(M183:M361,MATCH(Controls!$B$5,A183:A361,1)+3)*INDEX(I183:I361,MATCH(Controls!$B$5,A183:A361,1)+3),NA())</f>
        <v>11110.887400070989</v>
      </c>
      <c r="AB186">
        <f t="shared" si="20"/>
        <v>3781.5594145060113</v>
      </c>
    </row>
    <row r="187" spans="1:28" ht="13" customHeight="1" x14ac:dyDescent="0.35">
      <c r="A187" s="153">
        <v>46174</v>
      </c>
      <c r="B187" s="36" t="s">
        <v>35</v>
      </c>
      <c r="C187" s="15" t="s">
        <v>28</v>
      </c>
      <c r="D187" s="15" t="s">
        <v>29</v>
      </c>
      <c r="E187" s="30">
        <f>H186</f>
        <v>38043.971683117772</v>
      </c>
      <c r="F187" s="37">
        <f>IFERROR(SUMIFS('Demand Inputs'!$J$5:$J$202,'Demand Inputs'!$A$5:$A$202,"47mg LP",'Demand Inputs'!$B$5:$B$202,"&lt;&gt;AGGREGATE",'Demand Inputs'!$E$5:$E$202,1),0)</f>
        <v>943.64148536614266</v>
      </c>
      <c r="G187" s="37">
        <f t="array" ref="G187">IFERROR(SUMPRODUCT(('Production Inputs'!$A:$A="47mg LP")*('Production Inputs'!$B:$B="TOTAL ACTIVE")*'Production Inputs'!$P:$P),0)</f>
        <v>0</v>
      </c>
      <c r="H187" s="30">
        <f t="shared" si="14"/>
        <v>37100.330197751631</v>
      </c>
      <c r="I187" s="30">
        <f ca="1">IFERROR(AVERAGEIF(OFFSET(F187,0,0,MIN(Controls!$B$8,COUNTIF(B187:B$1973,B187)),1),"&gt;"&amp;0),0)</f>
        <v>1191.1479489116255</v>
      </c>
      <c r="J187" s="38">
        <f t="shared" ca="1" si="15"/>
        <v>31.146701995877933</v>
      </c>
      <c r="K187" s="30">
        <f t="shared" ca="1" si="19"/>
        <v>0</v>
      </c>
      <c r="L187" t="str">
        <f t="shared" ca="1" si="16"/>
        <v>Overstock</v>
      </c>
      <c r="M187" s="39">
        <f>IFERROR(VLOOKUP("47mg LP",Controls!A:I,7,0),6)</f>
        <v>9</v>
      </c>
      <c r="N187" s="39">
        <f>IFERROR(VLOOKUP("47mg LP",Controls!A:I,8,0),3)</f>
        <v>8</v>
      </c>
      <c r="O187" s="39">
        <f>IFERROR(VLOOKUP("47mg LP",Controls!A:I,9,0),18)</f>
        <v>18</v>
      </c>
      <c r="P187" s="40">
        <f>IFERROR(VLOOKUP("47mg LP",Controls!A:J,5,0),0)</f>
        <v>10000</v>
      </c>
      <c r="Q187" s="39">
        <f>IFERROR(VLOOKUP("47mg LP",Controls!A:J,6,0),3)</f>
        <v>3</v>
      </c>
      <c r="R187" s="21" t="str">
        <f>IFERROR(VLOOKUP("47mg LP",Controls!A:K,10,0),"")</f>
        <v>Fisher / ThermoFisher Allentown</v>
      </c>
      <c r="S187" s="41">
        <f t="shared" si="17"/>
        <v>46082</v>
      </c>
      <c r="T187" s="30">
        <f t="shared" si="18"/>
        <v>0</v>
      </c>
      <c r="W187" s="205" cm="1">
        <f t="array" ref="W187">IF(4&lt;Controls!$B$7,INDEX(A183:A361,MATCH(Controls!$B$5,A183:A361,1)+4),NA())</f>
        <v>46235</v>
      </c>
      <c r="X187" cm="1">
        <f t="array" ref="X187">IF(4&lt;Controls!$B$7,INDEX(F183:F361,MATCH(Controls!$B$5,A183:A361,1)+4),NA())</f>
        <v>1213.0589248993151</v>
      </c>
      <c r="Y187" cm="1">
        <f t="array" ref="Y187">IF(4&lt;Controls!$B$7,INDEX(G183:G361,MATCH(Controls!$B$5,A183:A361,1)+4),NA())</f>
        <v>0</v>
      </c>
      <c r="Z187" cm="1">
        <f t="array" ref="Z187">IF(4&lt;Controls!$B$7,INDEX(H183:H361,MATCH(Controls!$B$5,A183:A361,1)+4),NA())</f>
        <v>34778.784369454093</v>
      </c>
      <c r="AA187" cm="1">
        <f t="array" aca="1" ref="AA187" ca="1">IF(4&lt;Controls!$B$7,INDEX(M183:M361,MATCH(Controls!$B$5,A183:A361,1)+4)*INDEX(I183:I361,MATCH(Controls!$B$5,A183:A361,1)+4),NA())</f>
        <v>11915.015110741191</v>
      </c>
      <c r="AB187">
        <f t="shared" si="20"/>
        <v>4725.200899872154</v>
      </c>
    </row>
    <row r="188" spans="1:28" ht="13" customHeight="1" x14ac:dyDescent="0.35">
      <c r="A188" s="153">
        <v>46204</v>
      </c>
      <c r="B188" s="36" t="s">
        <v>35</v>
      </c>
      <c r="C188" s="15" t="s">
        <v>28</v>
      </c>
      <c r="D188" s="15" t="s">
        <v>29</v>
      </c>
      <c r="E188" s="30">
        <f>H187</f>
        <v>37100.330197751631</v>
      </c>
      <c r="F188" s="37">
        <f>IFERROR(SUMIFS('Demand Inputs'!$K$5:$K$202,'Demand Inputs'!$A$5:$A$202,"47mg LP",'Demand Inputs'!$B$5:$B$202,"&lt;&gt;AGGREGATE",'Demand Inputs'!$E$5:$E$202,1),0)</f>
        <v>1108.4869033982282</v>
      </c>
      <c r="G188" s="37">
        <f t="array" ref="G188">IFERROR(SUMPRODUCT(('Production Inputs'!$A:$A="47mg LP")*('Production Inputs'!$B:$B="TOTAL ACTIVE")*'Production Inputs'!$Q:$Q),0)</f>
        <v>0</v>
      </c>
      <c r="H188" s="30">
        <f t="shared" si="14"/>
        <v>35991.843294353406</v>
      </c>
      <c r="I188" s="30">
        <f ca="1">IFERROR(AVERAGEIF(OFFSET(F188,0,0,MIN(Controls!$B$8,COUNTIF(B188:B$1973,B188)),1),"&gt;"&amp;0),0)</f>
        <v>1234.5430444523322</v>
      </c>
      <c r="J188" s="38">
        <f t="shared" ca="1" si="15"/>
        <v>29.15398005447441</v>
      </c>
      <c r="K188" s="30">
        <f t="shared" ca="1" si="19"/>
        <v>0</v>
      </c>
      <c r="L188" t="str">
        <f t="shared" ca="1" si="16"/>
        <v>Overstock</v>
      </c>
      <c r="M188" s="39">
        <f>IFERROR(VLOOKUP("47mg LP",Controls!A:I,7,0),6)</f>
        <v>9</v>
      </c>
      <c r="N188" s="39">
        <f>IFERROR(VLOOKUP("47mg LP",Controls!A:I,8,0),3)</f>
        <v>8</v>
      </c>
      <c r="O188" s="39">
        <f>IFERROR(VLOOKUP("47mg LP",Controls!A:I,9,0),18)</f>
        <v>18</v>
      </c>
      <c r="P188" s="40">
        <f>IFERROR(VLOOKUP("47mg LP",Controls!A:J,5,0),0)</f>
        <v>10000</v>
      </c>
      <c r="Q188" s="39">
        <f>IFERROR(VLOOKUP("47mg LP",Controls!A:J,6,0),3)</f>
        <v>3</v>
      </c>
      <c r="R188" s="21" t="str">
        <f>IFERROR(VLOOKUP("47mg LP",Controls!A:K,10,0),"")</f>
        <v>Fisher / ThermoFisher Allentown</v>
      </c>
      <c r="S188" s="41">
        <f t="shared" si="17"/>
        <v>46113</v>
      </c>
      <c r="T188" s="30">
        <f t="shared" si="18"/>
        <v>0</v>
      </c>
      <c r="W188" s="205" cm="1">
        <f t="array" ref="W188">IF(5&lt;Controls!$B$7,INDEX(A183:A361,MATCH(Controls!$B$5,A183:A361,1)+5),NA())</f>
        <v>46266</v>
      </c>
      <c r="X188" cm="1">
        <f t="array" ref="X188">IF(5&lt;Controls!$B$7,INDEX(F183:F361,MATCH(Controls!$B$5,A183:A361,1)+5),NA())</f>
        <v>1137.3123029842027</v>
      </c>
      <c r="Y188" cm="1">
        <f t="array" ref="Y188">IF(5&lt;Controls!$B$7,INDEX(G183:G361,MATCH(Controls!$B$5,A183:A361,1)+5),NA())</f>
        <v>0</v>
      </c>
      <c r="Z188" cm="1">
        <f t="array" ref="Z188">IF(5&lt;Controls!$B$7,INDEX(H183:H361,MATCH(Controls!$B$5,A183:A361,1)+5),NA())</f>
        <v>33641.472066469891</v>
      </c>
      <c r="AA188" cm="1">
        <f t="array" aca="1" ref="AA188" ca="1">IF(5&lt;Controls!$B$7,INDEX(M183:M361,MATCH(Controls!$B$5,A183:A361,1)+5)*INDEX(I183:I361,MATCH(Controls!$B$5,A183:A361,1)+5),NA())</f>
        <v>12450.489678581227</v>
      </c>
      <c r="AB188">
        <f t="shared" si="20"/>
        <v>5833.6878032703826</v>
      </c>
    </row>
    <row r="189" spans="1:28" ht="13" customHeight="1" x14ac:dyDescent="0.35">
      <c r="A189" s="153">
        <v>46235</v>
      </c>
      <c r="B189" s="36" t="s">
        <v>35</v>
      </c>
      <c r="C189" s="15" t="s">
        <v>28</v>
      </c>
      <c r="D189" s="15" t="s">
        <v>29</v>
      </c>
      <c r="E189" s="30">
        <f>H188</f>
        <v>35991.843294353406</v>
      </c>
      <c r="F189" s="37">
        <f>IFERROR(SUMIFS('Demand Inputs'!$L$5:$L$202,'Demand Inputs'!$A$5:$A$202,"47mg LP",'Demand Inputs'!$B$5:$B$202,"&lt;&gt;AGGREGATE",'Demand Inputs'!$E$5:$E$202,1),0)</f>
        <v>1213.0589248993151</v>
      </c>
      <c r="G189" s="37">
        <f t="array" ref="G189">IFERROR(SUMPRODUCT(('Production Inputs'!$A:$A="47mg LP")*('Production Inputs'!$B:$B="TOTAL ACTIVE")*'Production Inputs'!$R:$R),0)</f>
        <v>0</v>
      </c>
      <c r="H189" s="30">
        <f t="shared" si="14"/>
        <v>34778.784369454093</v>
      </c>
      <c r="I189" s="30">
        <f ca="1">IFERROR(AVERAGEIF(OFFSET(F189,0,0,MIN(Controls!$B$8,COUNTIF(B189:B$1973,B189)),1),"&gt;"&amp;0),0)</f>
        <v>1323.8905678601323</v>
      </c>
      <c r="J189" s="38">
        <f t="shared" ca="1" si="15"/>
        <v>26.270135322188079</v>
      </c>
      <c r="K189" s="30">
        <f t="shared" ca="1" si="19"/>
        <v>0</v>
      </c>
      <c r="L189" t="str">
        <f t="shared" ca="1" si="16"/>
        <v>Overstock</v>
      </c>
      <c r="M189" s="39">
        <f>IFERROR(VLOOKUP("47mg LP",Controls!A:I,7,0),6)</f>
        <v>9</v>
      </c>
      <c r="N189" s="39">
        <f>IFERROR(VLOOKUP("47mg LP",Controls!A:I,8,0),3)</f>
        <v>8</v>
      </c>
      <c r="O189" s="39">
        <f>IFERROR(VLOOKUP("47mg LP",Controls!A:I,9,0),18)</f>
        <v>18</v>
      </c>
      <c r="P189" s="40">
        <f>IFERROR(VLOOKUP("47mg LP",Controls!A:J,5,0),0)</f>
        <v>10000</v>
      </c>
      <c r="Q189" s="39">
        <f>IFERROR(VLOOKUP("47mg LP",Controls!A:J,6,0),3)</f>
        <v>3</v>
      </c>
      <c r="R189" s="21" t="str">
        <f>IFERROR(VLOOKUP("47mg LP",Controls!A:K,10,0),"")</f>
        <v>Fisher / ThermoFisher Allentown</v>
      </c>
      <c r="S189" s="41">
        <f t="shared" si="17"/>
        <v>46143</v>
      </c>
      <c r="T189" s="30">
        <f t="shared" si="18"/>
        <v>0</v>
      </c>
      <c r="W189" s="205" cm="1">
        <f t="array" ref="W189">IF(6&lt;Controls!$B$7,INDEX(A183:A361,MATCH(Controls!$B$5,A183:A361,1)+6),NA())</f>
        <v>46296</v>
      </c>
      <c r="X189" cm="1">
        <f t="array" ref="X189">IF(6&lt;Controls!$B$7,INDEX(F183:F361,MATCH(Controls!$B$5,A183:A361,1)+6),NA())</f>
        <v>1206.2946850844983</v>
      </c>
      <c r="Y189" cm="1">
        <f t="array" ref="Y189">IF(6&lt;Controls!$B$7,INDEX(G183:G361,MATCH(Controls!$B$5,A183:A361,1)+6),NA())</f>
        <v>0</v>
      </c>
      <c r="Z189" cm="1">
        <f t="array" ref="Z189">IF(6&lt;Controls!$B$7,INDEX(H183:H361,MATCH(Controls!$B$5,A183:A361,1)+6),NA())</f>
        <v>32435.177381385394</v>
      </c>
      <c r="AA189" cm="1">
        <f t="array" aca="1" ref="AA189" ca="1">IF(6&lt;Controls!$B$7,INDEX(M183:M361,MATCH(Controls!$B$5,A183:A361,1)+6)*INDEX(I183:I361,MATCH(Controls!$B$5,A183:A361,1)+6),NA())</f>
        <v>12925.61210881302</v>
      </c>
      <c r="AB189">
        <f t="shared" si="20"/>
        <v>7046.7467281696972</v>
      </c>
    </row>
    <row r="190" spans="1:28" ht="13" customHeight="1" x14ac:dyDescent="0.35">
      <c r="A190" s="153">
        <v>46266</v>
      </c>
      <c r="B190" s="36" t="s">
        <v>35</v>
      </c>
      <c r="C190" s="15" t="s">
        <v>28</v>
      </c>
      <c r="D190" s="15" t="s">
        <v>29</v>
      </c>
      <c r="E190" s="30">
        <f>H189</f>
        <v>34778.784369454093</v>
      </c>
      <c r="F190" s="37">
        <f>IFERROR(SUMIFS('Demand Inputs'!$M$5:$M$202,'Demand Inputs'!$A$5:$A$202,"47mg LP",'Demand Inputs'!$B$5:$B$202,"&lt;&gt;AGGREGATE",'Demand Inputs'!$E$5:$E$202,1),0)</f>
        <v>1137.3123029842027</v>
      </c>
      <c r="G190" s="37">
        <f t="array" ref="G190">IFERROR(SUMPRODUCT(('Production Inputs'!$A:$A="47mg LP")*('Production Inputs'!$B:$B="TOTAL ACTIVE")*'Production Inputs'!$S:$S),0)</f>
        <v>0</v>
      </c>
      <c r="H190" s="30">
        <f t="shared" si="14"/>
        <v>33641.472066469891</v>
      </c>
      <c r="I190" s="30">
        <f ca="1">IFERROR(AVERAGEIF(OFFSET(F190,0,0,MIN(Controls!$B$8,COUNTIF(B190:B$1973,B190)),1),"&gt;"&amp;0),0)</f>
        <v>1383.3877420645808</v>
      </c>
      <c r="J190" s="38">
        <f t="shared" ca="1" si="15"/>
        <v>24.318179960350843</v>
      </c>
      <c r="K190" s="30">
        <f t="shared" ca="1" si="19"/>
        <v>0</v>
      </c>
      <c r="L190" t="str">
        <f t="shared" ca="1" si="16"/>
        <v>Overstock</v>
      </c>
      <c r="M190" s="39">
        <f>IFERROR(VLOOKUP("47mg LP",Controls!A:I,7,0),6)</f>
        <v>9</v>
      </c>
      <c r="N190" s="39">
        <f>IFERROR(VLOOKUP("47mg LP",Controls!A:I,8,0),3)</f>
        <v>8</v>
      </c>
      <c r="O190" s="39">
        <f>IFERROR(VLOOKUP("47mg LP",Controls!A:I,9,0),18)</f>
        <v>18</v>
      </c>
      <c r="P190" s="40">
        <f>IFERROR(VLOOKUP("47mg LP",Controls!A:J,5,0),0)</f>
        <v>10000</v>
      </c>
      <c r="Q190" s="39">
        <f>IFERROR(VLOOKUP("47mg LP",Controls!A:J,6,0),3)</f>
        <v>3</v>
      </c>
      <c r="R190" s="21" t="str">
        <f>IFERROR(VLOOKUP("47mg LP",Controls!A:K,10,0),"")</f>
        <v>Fisher / ThermoFisher Allentown</v>
      </c>
      <c r="S190" s="41">
        <f t="shared" si="17"/>
        <v>46174</v>
      </c>
      <c r="T190" s="30">
        <f t="shared" si="18"/>
        <v>0</v>
      </c>
      <c r="W190" s="205" cm="1">
        <f t="array" ref="W190">IF(7&lt;Controls!$B$7,INDEX(A183:A361,MATCH(Controls!$B$5,A183:A361,1)+7),NA())</f>
        <v>46327</v>
      </c>
      <c r="X190" cm="1">
        <f t="array" ref="X190">IF(7&lt;Controls!$B$7,INDEX(F183:F361,MATCH(Controls!$B$5,A183:A361,1)+7),NA())</f>
        <v>1272.3744523918795</v>
      </c>
      <c r="Y190" cm="1">
        <f t="array" ref="Y190">IF(7&lt;Controls!$B$7,INDEX(G183:G361,MATCH(Controls!$B$5,A183:A361,1)+7),NA())</f>
        <v>0</v>
      </c>
      <c r="Z190" cm="1">
        <f t="array" ref="Z190">IF(7&lt;Controls!$B$7,INDEX(H183:H361,MATCH(Controls!$B$5,A183:A361,1)+7),NA())</f>
        <v>31162.802928993515</v>
      </c>
      <c r="AA190" cm="1">
        <f t="array" aca="1" ref="AA190" ca="1">IF(7&lt;Controls!$B$7,INDEX(M183:M361,MATCH(Controls!$B$5,A183:A361,1)+7)*INDEX(I183:I361,MATCH(Controls!$B$5,A183:A361,1)+7),NA())</f>
        <v>13674.310626985796</v>
      </c>
      <c r="AB190">
        <f t="shared" si="20"/>
        <v>8184.0590311538999</v>
      </c>
    </row>
    <row r="191" spans="1:28" ht="13" customHeight="1" x14ac:dyDescent="0.35">
      <c r="A191" s="153">
        <v>46296</v>
      </c>
      <c r="B191" s="36" t="s">
        <v>35</v>
      </c>
      <c r="C191" s="15" t="s">
        <v>28</v>
      </c>
      <c r="D191" s="15" t="s">
        <v>29</v>
      </c>
      <c r="E191" s="30">
        <f>H190</f>
        <v>33641.472066469891</v>
      </c>
      <c r="F191" s="37">
        <f>IFERROR(SUMIFS('Demand Inputs'!$N$5:$N$202,'Demand Inputs'!$A$5:$A$202,"47mg LP",'Demand Inputs'!$B$5:$B$202,"&lt;&gt;AGGREGATE",'Demand Inputs'!$E$5:$E$202,1),0)</f>
        <v>1206.2946850844983</v>
      </c>
      <c r="G191" s="37">
        <f t="array" ref="G191">IFERROR(SUMPRODUCT(('Production Inputs'!$A:$A="47mg LP")*('Production Inputs'!$B:$B="TOTAL ACTIVE")*'Production Inputs'!$T:$T),0)</f>
        <v>0</v>
      </c>
      <c r="H191" s="30">
        <f t="shared" si="14"/>
        <v>32435.177381385394</v>
      </c>
      <c r="I191" s="30">
        <f ca="1">IFERROR(AVERAGEIF(OFFSET(F191,0,0,MIN(Controls!$B$8,COUNTIF(B191:B$1973,B191)),1),"&gt;"&amp;0),0)</f>
        <v>1436.1791232014466</v>
      </c>
      <c r="J191" s="38">
        <f t="shared" ca="1" si="15"/>
        <v>22.584353760193082</v>
      </c>
      <c r="K191" s="30">
        <f t="shared" ca="1" si="19"/>
        <v>0</v>
      </c>
      <c r="L191" t="str">
        <f t="shared" ca="1" si="16"/>
        <v>Overstock</v>
      </c>
      <c r="M191" s="39">
        <f>IFERROR(VLOOKUP("47mg LP",Controls!A:I,7,0),6)</f>
        <v>9</v>
      </c>
      <c r="N191" s="39">
        <f>IFERROR(VLOOKUP("47mg LP",Controls!A:I,8,0),3)</f>
        <v>8</v>
      </c>
      <c r="O191" s="39">
        <f>IFERROR(VLOOKUP("47mg LP",Controls!A:I,9,0),18)</f>
        <v>18</v>
      </c>
      <c r="P191" s="40">
        <f>IFERROR(VLOOKUP("47mg LP",Controls!A:J,5,0),0)</f>
        <v>10000</v>
      </c>
      <c r="Q191" s="39">
        <f>IFERROR(VLOOKUP("47mg LP",Controls!A:J,6,0),3)</f>
        <v>3</v>
      </c>
      <c r="R191" s="21" t="str">
        <f>IFERROR(VLOOKUP("47mg LP",Controls!A:K,10,0),"")</f>
        <v>Fisher / ThermoFisher Allentown</v>
      </c>
      <c r="S191" s="41">
        <f t="shared" si="17"/>
        <v>46204</v>
      </c>
      <c r="T191" s="30">
        <f t="shared" si="18"/>
        <v>0</v>
      </c>
      <c r="W191" s="205" cm="1">
        <f t="array" ref="W191">IF(8&lt;Controls!$B$7,INDEX(A183:A361,MATCH(Controls!$B$5,A183:A361,1)+8),NA())</f>
        <v>46357</v>
      </c>
      <c r="X191" cm="1">
        <f t="array" ref="X191">IF(8&lt;Controls!$B$7,INDEX(F183:F361,MATCH(Controls!$B$5,A183:A361,1)+8),NA())</f>
        <v>1109.5290857354362</v>
      </c>
      <c r="Y191" cm="1">
        <f t="array" ref="Y191">IF(8&lt;Controls!$B$7,INDEX(G183:G361,MATCH(Controls!$B$5,A183:A361,1)+8),NA())</f>
        <v>0</v>
      </c>
      <c r="Z191" cm="1">
        <f t="array" ref="Z191">IF(8&lt;Controls!$B$7,INDEX(H183:H361,MATCH(Controls!$B$5,A183:A361,1)+8),NA())</f>
        <v>30053.273843258077</v>
      </c>
      <c r="AA191" cm="1">
        <f t="array" aca="1" ref="AA191" ca="1">IF(8&lt;Controls!$B$7,INDEX(M183:M361,MATCH(Controls!$B$5,A183:A361,1)+8)*INDEX(I183:I361,MATCH(Controls!$B$5,A183:A361,1)+8),NA())</f>
        <v>14447.135495853832</v>
      </c>
      <c r="AB191">
        <f t="shared" si="20"/>
        <v>9390.3537162383982</v>
      </c>
    </row>
    <row r="192" spans="1:28" ht="13" customHeight="1" x14ac:dyDescent="0.35">
      <c r="A192" s="153">
        <v>46327</v>
      </c>
      <c r="B192" s="36" t="s">
        <v>35</v>
      </c>
      <c r="C192" s="15" t="s">
        <v>28</v>
      </c>
      <c r="D192" s="15" t="s">
        <v>29</v>
      </c>
      <c r="E192" s="30">
        <f>H191</f>
        <v>32435.177381385394</v>
      </c>
      <c r="F192" s="37">
        <f>IFERROR(SUMIFS('Demand Inputs'!$O$5:$O$202,'Demand Inputs'!$A$5:$A$202,"47mg LP",'Demand Inputs'!$B$5:$B$202,"&lt;&gt;AGGREGATE",'Demand Inputs'!$E$5:$E$202,1),0)</f>
        <v>1272.3744523918795</v>
      </c>
      <c r="G192" s="37">
        <f t="array" ref="G192">IFERROR(SUMPRODUCT(('Production Inputs'!$A:$A="47mg LP")*('Production Inputs'!$B:$B="TOTAL ACTIVE")*'Production Inputs'!$U:$U),0)</f>
        <v>0</v>
      </c>
      <c r="H192" s="30">
        <f t="shared" si="14"/>
        <v>31162.802928993515</v>
      </c>
      <c r="I192" s="30">
        <f ca="1">IFERROR(AVERAGEIF(OFFSET(F192,0,0,MIN(Controls!$B$8,COUNTIF(B192:B$1973,B192)),1),"&gt;"&amp;0),0)</f>
        <v>1519.3678474428662</v>
      </c>
      <c r="J192" s="38">
        <f t="shared" ca="1" si="15"/>
        <v>20.510374088435061</v>
      </c>
      <c r="K192" s="30">
        <f t="shared" ca="1" si="19"/>
        <v>0</v>
      </c>
      <c r="L192" t="str">
        <f t="shared" ca="1" si="16"/>
        <v>Overstock</v>
      </c>
      <c r="M192" s="39">
        <f>IFERROR(VLOOKUP("47mg LP",Controls!A:I,7,0),6)</f>
        <v>9</v>
      </c>
      <c r="N192" s="39">
        <f>IFERROR(VLOOKUP("47mg LP",Controls!A:I,8,0),3)</f>
        <v>8</v>
      </c>
      <c r="O192" s="39">
        <f>IFERROR(VLOOKUP("47mg LP",Controls!A:I,9,0),18)</f>
        <v>18</v>
      </c>
      <c r="P192" s="40">
        <f>IFERROR(VLOOKUP("47mg LP",Controls!A:J,5,0),0)</f>
        <v>10000</v>
      </c>
      <c r="Q192" s="39">
        <f>IFERROR(VLOOKUP("47mg LP",Controls!A:J,6,0),3)</f>
        <v>3</v>
      </c>
      <c r="R192" s="21" t="str">
        <f>IFERROR(VLOOKUP("47mg LP",Controls!A:K,10,0),"")</f>
        <v>Fisher / ThermoFisher Allentown</v>
      </c>
      <c r="S192" s="41">
        <f t="shared" si="17"/>
        <v>46235</v>
      </c>
      <c r="T192" s="30">
        <f t="shared" si="18"/>
        <v>0</v>
      </c>
      <c r="W192" s="205" cm="1">
        <f t="array" ref="W192">IF(9&lt;Controls!$B$7,INDEX(A183:A361,MATCH(Controls!$B$5,A183:A361,1)+9),NA())</f>
        <v>46388</v>
      </c>
      <c r="X192" cm="1">
        <f t="array" ref="X192">IF(9&lt;Controls!$B$7,INDEX(F183:F361,MATCH(Controls!$B$5,A183:A361,1)+9),NA())</f>
        <v>1547.5147574252862</v>
      </c>
      <c r="Y192" cm="1">
        <f t="array" ref="Y192">IF(9&lt;Controls!$B$7,INDEX(G183:G361,MATCH(Controls!$B$5,A183:A361,1)+9),NA())</f>
        <v>0</v>
      </c>
      <c r="Z192" cm="1">
        <f t="array" ref="Z192">IF(9&lt;Controls!$B$7,INDEX(H183:H361,MATCH(Controls!$B$5,A183:A361,1)+9),NA())</f>
        <v>28505.759085832789</v>
      </c>
      <c r="AA192" cm="1">
        <f t="array" aca="1" ref="AA192" ca="1">IF(9&lt;Controls!$B$7,INDEX(M183:M361,MATCH(Controls!$B$5,A183:A361,1)+9)*INDEX(I183:I361,MATCH(Controls!$B$5,A183:A361,1)+9),NA())</f>
        <v>15721.035604309884</v>
      </c>
      <c r="AB192">
        <f t="shared" si="20"/>
        <v>10662.728168630278</v>
      </c>
    </row>
    <row r="193" spans="1:28" ht="13" customHeight="1" x14ac:dyDescent="0.35">
      <c r="A193" s="153">
        <v>46357</v>
      </c>
      <c r="B193" s="36" t="s">
        <v>35</v>
      </c>
      <c r="C193" s="15" t="s">
        <v>28</v>
      </c>
      <c r="D193" s="15" t="s">
        <v>29</v>
      </c>
      <c r="E193" s="30">
        <f>H192</f>
        <v>31162.802928993515</v>
      </c>
      <c r="F193" s="37">
        <f>IFERROR(SUMIFS('Demand Inputs'!$P$5:$P$202,'Demand Inputs'!$A$5:$A$202,"47mg LP",'Demand Inputs'!$B$5:$B$202,"&lt;&gt;AGGREGATE",'Demand Inputs'!$E$5:$E$202,1),0)</f>
        <v>1109.5290857354362</v>
      </c>
      <c r="G193" s="37">
        <f t="array" ref="G193">IFERROR(SUMPRODUCT(('Production Inputs'!$A:$A="47mg LP")*('Production Inputs'!$B:$B="TOTAL ACTIVE")*'Production Inputs'!$V:$V),0)</f>
        <v>0</v>
      </c>
      <c r="H193" s="30">
        <f t="shared" si="14"/>
        <v>30053.273843258077</v>
      </c>
      <c r="I193" s="30">
        <f ca="1">IFERROR(AVERAGEIF(OFFSET(F193,0,0,MIN(Controls!$B$8,COUNTIF(B193:B$1973,B193)),1),"&gt;"&amp;0),0)</f>
        <v>1605.2372773170925</v>
      </c>
      <c r="J193" s="38">
        <f t="shared" ca="1" si="15"/>
        <v>18.722013416912112</v>
      </c>
      <c r="K193" s="30">
        <f t="shared" ca="1" si="19"/>
        <v>0</v>
      </c>
      <c r="L193" t="str">
        <f t="shared" ca="1" si="16"/>
        <v>Overstock</v>
      </c>
      <c r="M193" s="39">
        <f>IFERROR(VLOOKUP("47mg LP",Controls!A:I,7,0),6)</f>
        <v>9</v>
      </c>
      <c r="N193" s="39">
        <f>IFERROR(VLOOKUP("47mg LP",Controls!A:I,8,0),3)</f>
        <v>8</v>
      </c>
      <c r="O193" s="39">
        <f>IFERROR(VLOOKUP("47mg LP",Controls!A:I,9,0),18)</f>
        <v>18</v>
      </c>
      <c r="P193" s="40">
        <f>IFERROR(VLOOKUP("47mg LP",Controls!A:J,5,0),0)</f>
        <v>10000</v>
      </c>
      <c r="Q193" s="39">
        <f>IFERROR(VLOOKUP("47mg LP",Controls!A:J,6,0),3)</f>
        <v>3</v>
      </c>
      <c r="R193" s="21" t="str">
        <f>IFERROR(VLOOKUP("47mg LP",Controls!A:K,10,0),"")</f>
        <v>Fisher / ThermoFisher Allentown</v>
      </c>
      <c r="S193" s="41">
        <f t="shared" si="17"/>
        <v>46266</v>
      </c>
      <c r="T193" s="30">
        <f t="shared" si="18"/>
        <v>0</v>
      </c>
      <c r="W193" s="205" cm="1">
        <f t="array" ref="W193">IF(10&lt;Controls!$B$7,INDEX(A183:A361,MATCH(Controls!$B$5,A183:A361,1)+10),NA())</f>
        <v>46419</v>
      </c>
      <c r="X193" cm="1">
        <f t="array" ref="X193">IF(10&lt;Controls!$B$7,INDEX(F183:F361,MATCH(Controls!$B$5,A183:A361,1)+10),NA())</f>
        <v>1182.1189429196409</v>
      </c>
      <c r="Y193" cm="1">
        <f t="array" ref="Y193">IF(10&lt;Controls!$B$7,INDEX(G183:G361,MATCH(Controls!$B$5,A183:A361,1)+10),NA())</f>
        <v>0</v>
      </c>
      <c r="Z193" cm="1">
        <f t="array" ref="Z193">IF(10&lt;Controls!$B$7,INDEX(H183:H361,MATCH(Controls!$B$5,A183:A361,1)+10),NA())</f>
        <v>27323.640142913147</v>
      </c>
      <c r="AA193" cm="1">
        <f t="array" aca="1" ref="AA193" ca="1">IF(10&lt;Controls!$B$7,INDEX(M183:M361,MATCH(Controls!$B$5,A183:A361,1)+10)*INDEX(I183:I361,MATCH(Controls!$B$5,A183:A361,1)+10),NA())</f>
        <v>16507.944056813416</v>
      </c>
      <c r="AB193">
        <f t="shared" si="20"/>
        <v>11772.257254365713</v>
      </c>
    </row>
    <row r="194" spans="1:28" ht="13" customHeight="1" x14ac:dyDescent="0.35">
      <c r="A194" s="153">
        <v>46388</v>
      </c>
      <c r="B194" s="36" t="s">
        <v>35</v>
      </c>
      <c r="C194" s="15" t="s">
        <v>28</v>
      </c>
      <c r="D194" s="15" t="s">
        <v>29</v>
      </c>
      <c r="E194" s="30">
        <f>H193</f>
        <v>30053.273843258077</v>
      </c>
      <c r="F194" s="37">
        <f>IFERROR(SUMIFS('Demand Inputs'!$Q$5:$Q$202,'Demand Inputs'!$A$5:$A$202,"47mg LP",'Demand Inputs'!$B$5:$B$202,"&lt;&gt;AGGREGATE",'Demand Inputs'!$E$5:$E$202,1),0)</f>
        <v>1547.5147574252862</v>
      </c>
      <c r="G194" s="37">
        <f t="array" ref="G194">IFERROR(SUMPRODUCT(('Production Inputs'!$A:$A="47mg LP")*('Production Inputs'!$B:$B="TOTAL ACTIVE")*'Production Inputs'!$W:$W),0)</f>
        <v>0</v>
      </c>
      <c r="H194" s="30">
        <f t="shared" si="14"/>
        <v>28505.759085832789</v>
      </c>
      <c r="I194" s="30">
        <f ca="1">IFERROR(AVERAGEIF(OFFSET(F194,0,0,MIN(Controls!$B$8,COUNTIF(B194:B$1973,B194)),1),"&gt;"&amp;0),0)</f>
        <v>1746.7817338122093</v>
      </c>
      <c r="J194" s="38">
        <f t="shared" ca="1" si="15"/>
        <v>16.319016013306531</v>
      </c>
      <c r="K194" s="30">
        <f t="shared" ca="1" si="19"/>
        <v>0</v>
      </c>
      <c r="L194" t="str">
        <f t="shared" ca="1" si="16"/>
        <v>Low</v>
      </c>
      <c r="M194" s="39">
        <f>IFERROR(VLOOKUP("47mg LP",Controls!A:I,7,0),6)</f>
        <v>9</v>
      </c>
      <c r="N194" s="39">
        <f>IFERROR(VLOOKUP("47mg LP",Controls!A:I,8,0),3)</f>
        <v>8</v>
      </c>
      <c r="O194" s="39">
        <f>IFERROR(VLOOKUP("47mg LP",Controls!A:I,9,0),18)</f>
        <v>18</v>
      </c>
      <c r="P194" s="40">
        <f>IFERROR(VLOOKUP("47mg LP",Controls!A:J,5,0),0)</f>
        <v>10000</v>
      </c>
      <c r="Q194" s="39">
        <f>IFERROR(VLOOKUP("47mg LP",Controls!A:J,6,0),3)</f>
        <v>3</v>
      </c>
      <c r="R194" s="21" t="str">
        <f>IFERROR(VLOOKUP("47mg LP",Controls!A:K,10,0),"")</f>
        <v>Fisher / ThermoFisher Allentown</v>
      </c>
      <c r="S194" s="41">
        <f t="shared" si="17"/>
        <v>46296</v>
      </c>
      <c r="T194" s="30">
        <f t="shared" si="18"/>
        <v>0</v>
      </c>
      <c r="W194" s="205" cm="1">
        <f t="array" ref="W194">IF(11&lt;Controls!$B$7,INDEX(A183:A361,MATCH(Controls!$B$5,A183:A361,1)+11),NA())</f>
        <v>46447</v>
      </c>
      <c r="X194" cm="1">
        <f t="array" ref="X194">IF(11&lt;Controls!$B$7,INDEX(F183:F361,MATCH(Controls!$B$5,A183:A361,1)+11),NA())</f>
        <v>1334.1973452325033</v>
      </c>
      <c r="Y194" cm="1">
        <f t="array" ref="Y194">IF(11&lt;Controls!$B$7,INDEX(G183:G361,MATCH(Controls!$B$5,A183:A361,1)+11),NA())</f>
        <v>0</v>
      </c>
      <c r="Z194" cm="1">
        <f t="array" ref="Z194">IF(11&lt;Controls!$B$7,INDEX(H183:H361,MATCH(Controls!$B$5,A183:A361,1)+11),NA())</f>
        <v>25989.442797680644</v>
      </c>
      <c r="AA194" cm="1">
        <f t="array" aca="1" ref="AA194" ca="1">IF(11&lt;Controls!$B$7,INDEX(M183:M361,MATCH(Controls!$B$5,A183:A361,1)+11)*INDEX(I183:I361,MATCH(Controls!$B$5,A183:A361,1)+11),NA())</f>
        <v>17705.937756975618</v>
      </c>
      <c r="AB194">
        <f t="shared" si="20"/>
        <v>13319.772011790999</v>
      </c>
    </row>
    <row r="195" spans="1:28" ht="13" customHeight="1" x14ac:dyDescent="0.35">
      <c r="A195" s="153">
        <v>46419</v>
      </c>
      <c r="B195" s="36" t="s">
        <v>35</v>
      </c>
      <c r="C195" s="15" t="s">
        <v>28</v>
      </c>
      <c r="D195" s="15" t="s">
        <v>29</v>
      </c>
      <c r="E195" s="30">
        <f>H194</f>
        <v>28505.759085832789</v>
      </c>
      <c r="F195" s="37">
        <f>IFERROR(SUMIFS('Demand Inputs'!$R$5:$R$202,'Demand Inputs'!$A$5:$A$202,"47mg LP",'Demand Inputs'!$B$5:$B$202,"&lt;&gt;AGGREGATE",'Demand Inputs'!$E$5:$E$202,1),0)</f>
        <v>1182.1189429196409</v>
      </c>
      <c r="G195" s="37">
        <f t="array" ref="G195">IFERROR(SUMPRODUCT(('Production Inputs'!$A:$A="47mg LP")*('Production Inputs'!$B:$B="TOTAL ACTIVE")*'Production Inputs'!$X:$X),0)</f>
        <v>0</v>
      </c>
      <c r="H195" s="30">
        <f t="shared" si="14"/>
        <v>27323.640142913147</v>
      </c>
      <c r="I195" s="30">
        <f ca="1">IFERROR(AVERAGEIF(OFFSET(F195,0,0,MIN(Controls!$B$8,COUNTIF(B195:B$1973,B195)),1),"&gt;"&amp;0),0)</f>
        <v>1834.2160063126018</v>
      </c>
      <c r="J195" s="38">
        <f t="shared" ca="1" si="15"/>
        <v>14.896631612022054</v>
      </c>
      <c r="K195" s="30">
        <f t="shared" ca="1" si="19"/>
        <v>0</v>
      </c>
      <c r="L195" t="str">
        <f t="shared" ca="1" si="16"/>
        <v>Low</v>
      </c>
      <c r="M195" s="39">
        <f>IFERROR(VLOOKUP("47mg LP",Controls!A:I,7,0),6)</f>
        <v>9</v>
      </c>
      <c r="N195" s="39">
        <f>IFERROR(VLOOKUP("47mg LP",Controls!A:I,8,0),3)</f>
        <v>8</v>
      </c>
      <c r="O195" s="39">
        <f>IFERROR(VLOOKUP("47mg LP",Controls!A:I,9,0),18)</f>
        <v>18</v>
      </c>
      <c r="P195" s="40">
        <f>IFERROR(VLOOKUP("47mg LP",Controls!A:J,5,0),0)</f>
        <v>10000</v>
      </c>
      <c r="Q195" s="39">
        <f>IFERROR(VLOOKUP("47mg LP",Controls!A:J,6,0),3)</f>
        <v>3</v>
      </c>
      <c r="R195" s="21" t="str">
        <f>IFERROR(VLOOKUP("47mg LP",Controls!A:K,10,0),"")</f>
        <v>Fisher / ThermoFisher Allentown</v>
      </c>
      <c r="S195" s="41">
        <f t="shared" si="17"/>
        <v>46327</v>
      </c>
      <c r="T195" s="30">
        <f t="shared" si="18"/>
        <v>0</v>
      </c>
      <c r="W195" s="205" cm="1">
        <f t="array" ref="W195">IF(12&lt;Controls!$B$7,INDEX(A183:A361,MATCH(Controls!$B$5,A183:A361,1)+12),NA())</f>
        <v>46478</v>
      </c>
      <c r="X195" cm="1">
        <f t="array" ref="X195">IF(12&lt;Controls!$B$7,INDEX(F183:F361,MATCH(Controls!$B$5,A183:A361,1)+12),NA())</f>
        <v>1912.6146140684307</v>
      </c>
      <c r="Y195" cm="1">
        <f t="array" ref="Y195">IF(12&lt;Controls!$B$7,INDEX(G183:G361,MATCH(Controls!$B$5,A183:A361,1)+12),NA())</f>
        <v>0</v>
      </c>
      <c r="Z195" cm="1">
        <f t="array" ref="Z195">IF(12&lt;Controls!$B$7,INDEX(H183:H361,MATCH(Controls!$B$5,A183:A361,1)+12),NA())</f>
        <v>24076.828183612211</v>
      </c>
      <c r="AA195" cm="1">
        <f t="array" aca="1" ref="AA195" ca="1">IF(12&lt;Controls!$B$7,INDEX(M183:M361,MATCH(Controls!$B$5,A183:A361,1)+12)*INDEX(I183:I361,MATCH(Controls!$B$5,A183:A361,1)+12),NA())</f>
        <v>19009.507676231893</v>
      </c>
      <c r="AB195">
        <f t="shared" si="20"/>
        <v>14501.89095471064</v>
      </c>
    </row>
    <row r="196" spans="1:28" ht="13" customHeight="1" x14ac:dyDescent="0.35">
      <c r="A196" s="153">
        <v>46447</v>
      </c>
      <c r="B196" s="36" t="s">
        <v>35</v>
      </c>
      <c r="C196" s="15" t="s">
        <v>28</v>
      </c>
      <c r="D196" s="15" t="s">
        <v>29</v>
      </c>
      <c r="E196" s="30">
        <f>H195</f>
        <v>27323.640142913147</v>
      </c>
      <c r="F196" s="37">
        <f>IFERROR(SUMIFS('Demand Inputs'!$S$5:$S$202,'Demand Inputs'!$A$5:$A$202,"47mg LP",'Demand Inputs'!$B$5:$B$202,"&lt;&gt;AGGREGATE",'Demand Inputs'!$E$5:$E$202,1),0)</f>
        <v>1334.1973452325033</v>
      </c>
      <c r="G196" s="37">
        <f t="array" ref="G196">IFERROR(SUMPRODUCT(('Production Inputs'!$A:$A="47mg LP")*('Production Inputs'!$B:$B="TOTAL ACTIVE")*'Production Inputs'!$Y:$Y),0)</f>
        <v>0</v>
      </c>
      <c r="H196" s="30">
        <f t="shared" ref="H196:H259" si="21">E196+G196-F196</f>
        <v>25989.442797680644</v>
      </c>
      <c r="I196" s="30">
        <f ca="1">IFERROR(AVERAGEIF(OFFSET(F196,0,0,MIN(Controls!$B$8,COUNTIF(B196:B$1973,B196)),1),"&gt;"&amp;0),0)</f>
        <v>1967.3264174417354</v>
      </c>
      <c r="J196" s="38">
        <f t="shared" ref="J196:J259" ca="1" si="22">IFERROR(H196/I196,IF(H196&gt;0,999,0))</f>
        <v>13.210539220774912</v>
      </c>
      <c r="K196" s="30">
        <f t="shared" ca="1" si="19"/>
        <v>0</v>
      </c>
      <c r="L196" t="str">
        <f t="shared" ref="L196:L259" ca="1" si="23">IF(H196&lt;=0,"High",IF(J196&lt;N196,"High",IF(J196&lt;M196,"Medium",IF(J196&gt;O196,"Overstock","Low"))))</f>
        <v>Low</v>
      </c>
      <c r="M196" s="39">
        <f>IFERROR(VLOOKUP("47mg LP",Controls!A:I,7,0),6)</f>
        <v>9</v>
      </c>
      <c r="N196" s="39">
        <f>IFERROR(VLOOKUP("47mg LP",Controls!A:I,8,0),3)</f>
        <v>8</v>
      </c>
      <c r="O196" s="39">
        <f>IFERROR(VLOOKUP("47mg LP",Controls!A:I,9,0),18)</f>
        <v>18</v>
      </c>
      <c r="P196" s="40">
        <f>IFERROR(VLOOKUP("47mg LP",Controls!A:J,5,0),0)</f>
        <v>10000</v>
      </c>
      <c r="Q196" s="39">
        <f>IFERROR(VLOOKUP("47mg LP",Controls!A:J,6,0),3)</f>
        <v>3</v>
      </c>
      <c r="R196" s="21" t="str">
        <f>IFERROR(VLOOKUP("47mg LP",Controls!A:K,10,0),"")</f>
        <v>Fisher / ThermoFisher Allentown</v>
      </c>
      <c r="S196" s="41">
        <f t="shared" ref="S196:S259" si="24">IFERROR(EDATE(A196,-Q196),"")</f>
        <v>46357</v>
      </c>
      <c r="T196" s="30">
        <f t="shared" ref="T196:T259" si="25">G196</f>
        <v>0</v>
      </c>
      <c r="W196" s="205" cm="1">
        <f t="array" ref="W196">IF(13&lt;Controls!$B$7,INDEX(A183:A361,MATCH(Controls!$B$5,A183:A361,1)+13),NA())</f>
        <v>46508</v>
      </c>
      <c r="X196" cm="1">
        <f t="array" ref="X196">IF(13&lt;Controls!$B$7,INDEX(F183:F361,MATCH(Controls!$B$5,A183:A361,1)+13),NA())</f>
        <v>1748.533492739351</v>
      </c>
      <c r="Y196" cm="1">
        <f t="array" ref="Y196">IF(13&lt;Controls!$B$7,INDEX(G183:G361,MATCH(Controls!$B$5,A183:A361,1)+13),NA())</f>
        <v>0</v>
      </c>
      <c r="Z196" cm="1">
        <f t="array" ref="Z196">IF(13&lt;Controls!$B$7,INDEX(H183:H361,MATCH(Controls!$B$5,A183:A361,1)+13),NA())</f>
        <v>22328.294690872859</v>
      </c>
      <c r="AA196" cm="1">
        <f t="array" aca="1" ref="AA196" ca="1">IF(13&lt;Controls!$B$7,INDEX(M183:M361,MATCH(Controls!$B$5,A183:A361,1)+13)*INDEX(I183:I361,MATCH(Controls!$B$5,A183:A361,1)+13),NA())</f>
        <v>20448.172999449696</v>
      </c>
      <c r="AB196">
        <f t="shared" si="20"/>
        <v>15836.088299943143</v>
      </c>
    </row>
    <row r="197" spans="1:28" ht="13" customHeight="1" x14ac:dyDescent="0.35">
      <c r="A197" s="153">
        <v>46478</v>
      </c>
      <c r="B197" s="36" t="s">
        <v>35</v>
      </c>
      <c r="C197" s="15" t="s">
        <v>28</v>
      </c>
      <c r="D197" s="15" t="s">
        <v>29</v>
      </c>
      <c r="E197" s="30">
        <f>H196</f>
        <v>25989.442797680644</v>
      </c>
      <c r="F197" s="37">
        <f>IFERROR(SUMIFS('Demand Inputs'!$T$5:$T$202,'Demand Inputs'!$A$5:$A$202,"47mg LP",'Demand Inputs'!$B$5:$B$202,"&lt;&gt;AGGREGATE",'Demand Inputs'!$E$5:$E$202,1),0)</f>
        <v>1912.6146140684307</v>
      </c>
      <c r="G197" s="37">
        <f t="array" ref="G197">IFERROR(SUMPRODUCT(('Production Inputs'!$A:$A="47mg LP")*('Production Inputs'!$B:$B="TOTAL ACTIVE")*'Production Inputs'!$Z:$Z),0)</f>
        <v>0</v>
      </c>
      <c r="H197" s="30">
        <f t="shared" si="21"/>
        <v>24076.828183612211</v>
      </c>
      <c r="I197" s="30">
        <f ca="1">IFERROR(AVERAGEIF(OFFSET(F197,0,0,MIN(Controls!$B$8,COUNTIF(B197:B$1973,B197)),1),"&gt;"&amp;0),0)</f>
        <v>2112.1675195813214</v>
      </c>
      <c r="J197" s="38">
        <f t="shared" ca="1" si="22"/>
        <v>11.399109190157784</v>
      </c>
      <c r="K197" s="30">
        <f t="shared" ref="K197:K260" ca="1" si="26">IFERROR(IF(H197&lt;(N197*I197), CEILING(MAX(0,ROUND((M197*I197-H197)/P197,0)*P197),P197), 0), 0)</f>
        <v>0</v>
      </c>
      <c r="L197" t="str">
        <f t="shared" ca="1" si="23"/>
        <v>Low</v>
      </c>
      <c r="M197" s="39">
        <f>IFERROR(VLOOKUP("47mg LP",Controls!A:I,7,0),6)</f>
        <v>9</v>
      </c>
      <c r="N197" s="39">
        <f>IFERROR(VLOOKUP("47mg LP",Controls!A:I,8,0),3)</f>
        <v>8</v>
      </c>
      <c r="O197" s="39">
        <f>IFERROR(VLOOKUP("47mg LP",Controls!A:I,9,0),18)</f>
        <v>18</v>
      </c>
      <c r="P197" s="40">
        <f>IFERROR(VLOOKUP("47mg LP",Controls!A:J,5,0),0)</f>
        <v>10000</v>
      </c>
      <c r="Q197" s="39">
        <f>IFERROR(VLOOKUP("47mg LP",Controls!A:J,6,0),3)</f>
        <v>3</v>
      </c>
      <c r="R197" s="21" t="str">
        <f>IFERROR(VLOOKUP("47mg LP",Controls!A:K,10,0),"")</f>
        <v>Fisher / ThermoFisher Allentown</v>
      </c>
      <c r="S197" s="41">
        <f t="shared" si="24"/>
        <v>46388</v>
      </c>
      <c r="T197" s="30">
        <f t="shared" si="25"/>
        <v>0</v>
      </c>
      <c r="W197" s="205" cm="1">
        <f t="array" ref="W197">IF(14&lt;Controls!$B$7,INDEX(A183:A361,MATCH(Controls!$B$5,A183:A361,1)+14),NA())</f>
        <v>46539</v>
      </c>
      <c r="X197" cm="1">
        <f t="array" ref="X197">IF(14&lt;Controls!$B$7,INDEX(F183:F361,MATCH(Controls!$B$5,A183:A361,1)+14),NA())</f>
        <v>1612.4347332159941</v>
      </c>
      <c r="Y197" cm="1">
        <f t="array" ref="Y197">IF(14&lt;Controls!$B$7,INDEX(G183:G361,MATCH(Controls!$B$5,A183:A361,1)+14),NA())</f>
        <v>0</v>
      </c>
      <c r="Z197" cm="1">
        <f t="array" ref="Z197">IF(14&lt;Controls!$B$7,INDEX(H183:H361,MATCH(Controls!$B$5,A183:A361,1)+14),NA())</f>
        <v>20715.859957656867</v>
      </c>
      <c r="AA197" cm="1">
        <f t="array" aca="1" ref="AA197" ca="1">IF(14&lt;Controls!$B$7,INDEX(M183:M361,MATCH(Controls!$B$5,A183:A361,1)+14)*INDEX(I183:I361,MATCH(Controls!$B$5,A183:A361,1)+14),NA())</f>
        <v>21387.560830129965</v>
      </c>
      <c r="AB197">
        <f t="shared" ref="AB197:AB260" si="27">SUMIFS($F$4:$F$2331,$B$4:$B$2331,B197,$A$4:$A$2331,"&lt;="&amp;A197)</f>
        <v>17748.702914011574</v>
      </c>
    </row>
    <row r="198" spans="1:28" ht="13" customHeight="1" x14ac:dyDescent="0.35">
      <c r="A198" s="153">
        <v>46508</v>
      </c>
      <c r="B198" s="36" t="s">
        <v>35</v>
      </c>
      <c r="C198" s="15" t="s">
        <v>28</v>
      </c>
      <c r="D198" s="15" t="s">
        <v>29</v>
      </c>
      <c r="E198" s="30">
        <f>H197</f>
        <v>24076.828183612211</v>
      </c>
      <c r="F198" s="37">
        <f>IFERROR(SUMIFS('Demand Inputs'!$U$5:$U$202,'Demand Inputs'!$A$5:$A$202,"47mg LP",'Demand Inputs'!$B$5:$B$202,"&lt;&gt;AGGREGATE",'Demand Inputs'!$E$5:$E$202,1),0)</f>
        <v>1748.533492739351</v>
      </c>
      <c r="G198" s="37">
        <f t="array" ref="G198">IFERROR(SUMPRODUCT(('Production Inputs'!$A:$A="47mg LP")*('Production Inputs'!$B:$B="TOTAL ACTIVE")*'Production Inputs'!$AA:$AA),0)</f>
        <v>0</v>
      </c>
      <c r="H198" s="30">
        <f t="shared" si="21"/>
        <v>22328.294690872859</v>
      </c>
      <c r="I198" s="30">
        <f ca="1">IFERROR(AVERAGEIF(OFFSET(F198,0,0,MIN(Controls!$B$8,COUNTIF(B198:B$1973,B198)),1),"&gt;"&amp;0),0)</f>
        <v>2272.0192221610773</v>
      </c>
      <c r="J198" s="38">
        <f t="shared" ca="1" si="22"/>
        <v>9.8275113489730277</v>
      </c>
      <c r="K198" s="30">
        <f t="shared" ca="1" si="26"/>
        <v>0</v>
      </c>
      <c r="L198" t="str">
        <f t="shared" ca="1" si="23"/>
        <v>Low</v>
      </c>
      <c r="M198" s="39">
        <f>IFERROR(VLOOKUP("47mg LP",Controls!A:I,7,0),6)</f>
        <v>9</v>
      </c>
      <c r="N198" s="39">
        <f>IFERROR(VLOOKUP("47mg LP",Controls!A:I,8,0),3)</f>
        <v>8</v>
      </c>
      <c r="O198" s="39">
        <f>IFERROR(VLOOKUP("47mg LP",Controls!A:I,9,0),18)</f>
        <v>18</v>
      </c>
      <c r="P198" s="40">
        <f>IFERROR(VLOOKUP("47mg LP",Controls!A:J,5,0),0)</f>
        <v>10000</v>
      </c>
      <c r="Q198" s="39">
        <f>IFERROR(VLOOKUP("47mg LP",Controls!A:J,6,0),3)</f>
        <v>3</v>
      </c>
      <c r="R198" s="21" t="str">
        <f>IFERROR(VLOOKUP("47mg LP",Controls!A:K,10,0),"")</f>
        <v>Fisher / ThermoFisher Allentown</v>
      </c>
      <c r="S198" s="41">
        <f t="shared" si="24"/>
        <v>46419</v>
      </c>
      <c r="T198" s="30">
        <f t="shared" si="25"/>
        <v>0</v>
      </c>
      <c r="W198" s="205" cm="1">
        <f t="array" ref="W198">IF(15&lt;Controls!$B$7,INDEX(A183:A361,MATCH(Controls!$B$5,A183:A361,1)+15),NA())</f>
        <v>46569</v>
      </c>
      <c r="X198" cm="1">
        <f t="array" ref="X198">IF(15&lt;Controls!$B$7,INDEX(F183:F361,MATCH(Controls!$B$5,A183:A361,1)+15),NA())</f>
        <v>1954.9932032572733</v>
      </c>
      <c r="Y198" cm="1">
        <f t="array" ref="Y198">IF(15&lt;Controls!$B$7,INDEX(G183:G361,MATCH(Controls!$B$5,A183:A361,1)+15),NA())</f>
        <v>0</v>
      </c>
      <c r="Z198" cm="1">
        <f t="array" ref="Z198">IF(15&lt;Controls!$B$7,INDEX(H183:H361,MATCH(Controls!$B$5,A183:A361,1)+15),NA())</f>
        <v>18760.866754399594</v>
      </c>
      <c r="AA198" cm="1">
        <f t="array" aca="1" ref="AA198" ca="1">IF(15&lt;Controls!$B$7,INDEX(M183:M361,MATCH(Controls!$B$5,A183:A361,1)+15)*INDEX(I183:I361,MATCH(Controls!$B$5,A183:A361,1)+15),NA())</f>
        <v>23187.019585896473</v>
      </c>
      <c r="AB198">
        <f t="shared" si="27"/>
        <v>19497.236406750926</v>
      </c>
    </row>
    <row r="199" spans="1:28" ht="13" customHeight="1" x14ac:dyDescent="0.35">
      <c r="A199" s="153">
        <v>46539</v>
      </c>
      <c r="B199" s="36" t="s">
        <v>35</v>
      </c>
      <c r="C199" s="15" t="s">
        <v>28</v>
      </c>
      <c r="D199" s="15" t="s">
        <v>29</v>
      </c>
      <c r="E199" s="30">
        <f>H198</f>
        <v>22328.294690872859</v>
      </c>
      <c r="F199" s="37">
        <f>IFERROR(SUMIFS('Demand Inputs'!$V$5:$V$202,'Demand Inputs'!$A$5:$A$202,"47mg LP",'Demand Inputs'!$B$5:$B$202,"&lt;&gt;AGGREGATE",'Demand Inputs'!$E$5:$E$202,1),0)</f>
        <v>1612.4347332159941</v>
      </c>
      <c r="G199" s="37">
        <f t="array" ref="G199">IFERROR(SUMPRODUCT(('Production Inputs'!$A:$A="47mg LP")*('Production Inputs'!$B:$B="TOTAL ACTIVE")*'Production Inputs'!$AB:$AB),0)</f>
        <v>0</v>
      </c>
      <c r="H199" s="30">
        <f t="shared" si="21"/>
        <v>20715.859957656867</v>
      </c>
      <c r="I199" s="30">
        <f ca="1">IFERROR(AVERAGEIF(OFFSET(F199,0,0,MIN(Controls!$B$8,COUNTIF(B199:B$1973,B199)),1),"&gt;"&amp;0),0)</f>
        <v>2376.3956477922184</v>
      </c>
      <c r="J199" s="38">
        <f t="shared" ca="1" si="22"/>
        <v>8.7173446799159304</v>
      </c>
      <c r="K199" s="30">
        <f t="shared" ca="1" si="26"/>
        <v>0</v>
      </c>
      <c r="L199" t="str">
        <f t="shared" ca="1" si="23"/>
        <v>Medium</v>
      </c>
      <c r="M199" s="39">
        <f>IFERROR(VLOOKUP("47mg LP",Controls!A:I,7,0),6)</f>
        <v>9</v>
      </c>
      <c r="N199" s="39">
        <f>IFERROR(VLOOKUP("47mg LP",Controls!A:I,8,0),3)</f>
        <v>8</v>
      </c>
      <c r="O199" s="39">
        <f>IFERROR(VLOOKUP("47mg LP",Controls!A:I,9,0),18)</f>
        <v>18</v>
      </c>
      <c r="P199" s="40">
        <f>IFERROR(VLOOKUP("47mg LP",Controls!A:J,5,0),0)</f>
        <v>10000</v>
      </c>
      <c r="Q199" s="39">
        <f>IFERROR(VLOOKUP("47mg LP",Controls!A:J,6,0),3)</f>
        <v>3</v>
      </c>
      <c r="R199" s="21" t="str">
        <f>IFERROR(VLOOKUP("47mg LP",Controls!A:K,10,0),"")</f>
        <v>Fisher / ThermoFisher Allentown</v>
      </c>
      <c r="S199" s="41">
        <f t="shared" si="24"/>
        <v>46447</v>
      </c>
      <c r="T199" s="30">
        <f t="shared" si="25"/>
        <v>0</v>
      </c>
      <c r="W199" s="205" cm="1">
        <f t="array" ref="W199">IF(16&lt;Controls!$B$7,INDEX(A183:A361,MATCH(Controls!$B$5,A183:A361,1)+16),NA())</f>
        <v>46600</v>
      </c>
      <c r="X199" cm="1">
        <f t="array" ref="X199">IF(16&lt;Controls!$B$7,INDEX(F183:F361,MATCH(Controls!$B$5,A183:A361,1)+16),NA())</f>
        <v>2045.199321259915</v>
      </c>
      <c r="Y199" cm="1">
        <f t="array" ref="Y199">IF(16&lt;Controls!$B$7,INDEX(G183:G361,MATCH(Controls!$B$5,A183:A361,1)+16),NA())</f>
        <v>0</v>
      </c>
      <c r="Z199" cm="1">
        <f t="array" ref="Z199">IF(16&lt;Controls!$B$7,INDEX(H183:H361,MATCH(Controls!$B$5,A183:A361,1)+16),NA())</f>
        <v>16715.667433139679</v>
      </c>
      <c r="AA199" cm="1">
        <f t="array" aca="1" ref="AA199" ca="1">IF(16&lt;Controls!$B$7,INDEX(M183:M361,MATCH(Controls!$B$5,A183:A361,1)+16)*INDEX(I183:I361,MATCH(Controls!$B$5,A183:A361,1)+16),NA())</f>
        <v>25731.066591690884</v>
      </c>
      <c r="AB199">
        <f t="shared" si="27"/>
        <v>21109.671139966922</v>
      </c>
    </row>
    <row r="200" spans="1:28" ht="13" customHeight="1" x14ac:dyDescent="0.35">
      <c r="A200" s="153">
        <v>46569</v>
      </c>
      <c r="B200" s="36" t="s">
        <v>35</v>
      </c>
      <c r="C200" s="15" t="s">
        <v>28</v>
      </c>
      <c r="D200" s="15" t="s">
        <v>29</v>
      </c>
      <c r="E200" s="30">
        <f>H199</f>
        <v>20715.859957656867</v>
      </c>
      <c r="F200" s="37">
        <f>IFERROR(SUMIFS('Demand Inputs'!$W$5:$W$202,'Demand Inputs'!$A$5:$A$202,"47mg LP",'Demand Inputs'!$B$5:$B$202,"&lt;&gt;AGGREGATE",'Demand Inputs'!$E$5:$E$202,1),0)</f>
        <v>1954.9932032572733</v>
      </c>
      <c r="G200" s="37">
        <f t="array" ref="G200">IFERROR(SUMPRODUCT(('Production Inputs'!$A:$A="47mg LP")*('Production Inputs'!$B:$B="TOTAL ACTIVE")*'Production Inputs'!$AC:$AC),0)</f>
        <v>0</v>
      </c>
      <c r="H200" s="30">
        <f t="shared" si="21"/>
        <v>18760.866754399594</v>
      </c>
      <c r="I200" s="30">
        <f ca="1">IFERROR(AVERAGEIF(OFFSET(F200,0,0,MIN(Controls!$B$8,COUNTIF(B200:B$1973,B200)),1),"&gt;"&amp;0),0)</f>
        <v>2576.3355095440525</v>
      </c>
      <c r="J200" s="38">
        <f t="shared" ca="1" si="22"/>
        <v>7.2819967294243453</v>
      </c>
      <c r="K200" s="30">
        <f t="shared" ca="1" si="26"/>
        <v>0</v>
      </c>
      <c r="L200" t="str">
        <f t="shared" ca="1" si="23"/>
        <v>High</v>
      </c>
      <c r="M200" s="39">
        <f>IFERROR(VLOOKUP("47mg LP",Controls!A:I,7,0),6)</f>
        <v>9</v>
      </c>
      <c r="N200" s="39">
        <f>IFERROR(VLOOKUP("47mg LP",Controls!A:I,8,0),3)</f>
        <v>8</v>
      </c>
      <c r="O200" s="39">
        <f>IFERROR(VLOOKUP("47mg LP",Controls!A:I,9,0),18)</f>
        <v>18</v>
      </c>
      <c r="P200" s="40">
        <f>IFERROR(VLOOKUP("47mg LP",Controls!A:J,5,0),0)</f>
        <v>10000</v>
      </c>
      <c r="Q200" s="39">
        <f>IFERROR(VLOOKUP("47mg LP",Controls!A:J,6,0),3)</f>
        <v>3</v>
      </c>
      <c r="R200" s="21" t="str">
        <f>IFERROR(VLOOKUP("47mg LP",Controls!A:K,10,0),"")</f>
        <v>Fisher / ThermoFisher Allentown</v>
      </c>
      <c r="S200" s="41">
        <f t="shared" si="24"/>
        <v>46478</v>
      </c>
      <c r="T200" s="30">
        <f t="shared" si="25"/>
        <v>0</v>
      </c>
      <c r="W200" s="205" cm="1">
        <f t="array" ref="W200">IF(17&lt;Controls!$B$7,INDEX(A183:A361,MATCH(Controls!$B$5,A183:A361,1)+17),NA())</f>
        <v>46631</v>
      </c>
      <c r="X200" cm="1">
        <f t="array" ref="X200">IF(17&lt;Controls!$B$7,INDEX(F183:F361,MATCH(Controls!$B$5,A183:A361,1)+17),NA())</f>
        <v>2383.429194191488</v>
      </c>
      <c r="Y200" cm="1">
        <f t="array" ref="Y200">IF(17&lt;Controls!$B$7,INDEX(G183:G361,MATCH(Controls!$B$5,A183:A361,1)+17),NA())</f>
        <v>0</v>
      </c>
      <c r="Z200" cm="1">
        <f t="array" ref="Z200">IF(17&lt;Controls!$B$7,INDEX(H183:H361,MATCH(Controls!$B$5,A183:A361,1)+17),NA())</f>
        <v>14332.23823894819</v>
      </c>
      <c r="AA200" cm="1">
        <f t="array" aca="1" ref="AA200" ca="1">IF(17&lt;Controls!$B$7,INDEX(M183:M361,MATCH(Controls!$B$5,A183:A361,1)+17)*INDEX(I183:I361,MATCH(Controls!$B$5,A183:A361,1)+17),NA())</f>
        <v>27234.093617702867</v>
      </c>
      <c r="AB200">
        <f t="shared" si="27"/>
        <v>23064.664343224194</v>
      </c>
    </row>
    <row r="201" spans="1:28" ht="13" customHeight="1" x14ac:dyDescent="0.35">
      <c r="A201" s="153">
        <v>46600</v>
      </c>
      <c r="B201" s="36" t="s">
        <v>35</v>
      </c>
      <c r="C201" s="15" t="s">
        <v>28</v>
      </c>
      <c r="D201" s="15" t="s">
        <v>29</v>
      </c>
      <c r="E201" s="30">
        <f>H200</f>
        <v>18760.866754399594</v>
      </c>
      <c r="F201" s="37">
        <f>IFERROR(SUMIFS('Demand Inputs'!$X$5:$X$202,'Demand Inputs'!$A$5:$A$202,"47mg LP",'Demand Inputs'!$B$5:$B$202,"&lt;&gt;AGGREGATE",'Demand Inputs'!$E$5:$E$202,1),0)</f>
        <v>2045.199321259915</v>
      </c>
      <c r="G201" s="37">
        <f t="array" ref="G201">IFERROR(SUMPRODUCT(('Production Inputs'!$A:$A="47mg LP")*('Production Inputs'!$B:$B="TOTAL ACTIVE")*'Production Inputs'!$AD:$AD),0)</f>
        <v>0</v>
      </c>
      <c r="H201" s="30">
        <f t="shared" si="21"/>
        <v>16715.667433139679</v>
      </c>
      <c r="I201" s="30">
        <f ca="1">IFERROR(AVERAGEIF(OFFSET(F201,0,0,MIN(Controls!$B$8,COUNTIF(B201:B$1973,B201)),1),"&gt;"&amp;0),0)</f>
        <v>2859.0073990767651</v>
      </c>
      <c r="J201" s="38">
        <f t="shared" ca="1" si="22"/>
        <v>5.8466681263355689</v>
      </c>
      <c r="K201" s="30">
        <f t="shared" ca="1" si="26"/>
        <v>10000</v>
      </c>
      <c r="L201" t="str">
        <f t="shared" ca="1" si="23"/>
        <v>High</v>
      </c>
      <c r="M201" s="39">
        <f>IFERROR(VLOOKUP("47mg LP",Controls!A:I,7,0),6)</f>
        <v>9</v>
      </c>
      <c r="N201" s="39">
        <f>IFERROR(VLOOKUP("47mg LP",Controls!A:I,8,0),3)</f>
        <v>8</v>
      </c>
      <c r="O201" s="39">
        <f>IFERROR(VLOOKUP("47mg LP",Controls!A:I,9,0),18)</f>
        <v>18</v>
      </c>
      <c r="P201" s="40">
        <f>IFERROR(VLOOKUP("47mg LP",Controls!A:J,5,0),0)</f>
        <v>10000</v>
      </c>
      <c r="Q201" s="39">
        <f>IFERROR(VLOOKUP("47mg LP",Controls!A:J,6,0),3)</f>
        <v>3</v>
      </c>
      <c r="R201" s="21" t="str">
        <f>IFERROR(VLOOKUP("47mg LP",Controls!A:K,10,0),"")</f>
        <v>Fisher / ThermoFisher Allentown</v>
      </c>
      <c r="S201" s="41">
        <f t="shared" si="24"/>
        <v>46508</v>
      </c>
      <c r="T201" s="30">
        <f t="shared" si="25"/>
        <v>0</v>
      </c>
      <c r="W201" s="205" t="e" cm="1">
        <f t="array" ref="W201">IF(18&lt;Controls!$B$7,INDEX(A183:A361,MATCH(Controls!$B$5,A183:A361,1)+18),NA())</f>
        <v>#N/A</v>
      </c>
      <c r="X201" t="e" cm="1">
        <f t="array" ref="X201">IF(18&lt;Controls!$B$7,INDEX(F183:F361,MATCH(Controls!$B$5,A183:A361,1)+18),NA())</f>
        <v>#N/A</v>
      </c>
      <c r="Y201" t="e" cm="1">
        <f t="array" ref="Y201">IF(18&lt;Controls!$B$7,INDEX(G183:G361,MATCH(Controls!$B$5,A183:A361,1)+18),NA())</f>
        <v>#N/A</v>
      </c>
      <c r="Z201" t="e" cm="1">
        <f t="array" ref="Z201">IF(18&lt;Controls!$B$7,INDEX(H183:H361,MATCH(Controls!$B$5,A183:A361,1)+18),NA())</f>
        <v>#N/A</v>
      </c>
      <c r="AA201" t="e" cm="1">
        <f t="array" ref="AA201">IF(18&lt;Controls!$B$7,INDEX(M183:M361,MATCH(Controls!$B$5,A183:A361,1)+18)*INDEX(I183:I361,MATCH(Controls!$B$5,A183:A361,1)+18),NA())</f>
        <v>#N/A</v>
      </c>
      <c r="AB201">
        <f t="shared" si="27"/>
        <v>25109.86366448411</v>
      </c>
    </row>
    <row r="202" spans="1:28" ht="13" customHeight="1" x14ac:dyDescent="0.35">
      <c r="A202" s="153">
        <v>46631</v>
      </c>
      <c r="B202" s="36" t="s">
        <v>35</v>
      </c>
      <c r="C202" s="15" t="s">
        <v>28</v>
      </c>
      <c r="D202" s="15" t="s">
        <v>29</v>
      </c>
      <c r="E202" s="30">
        <f>H201</f>
        <v>16715.667433139679</v>
      </c>
      <c r="F202" s="37">
        <f>IFERROR(SUMIFS('Demand Inputs'!$Y$5:$Y$202,'Demand Inputs'!$A$5:$A$202,"47mg LP",'Demand Inputs'!$B$5:$B$202,"&lt;&gt;AGGREGATE",'Demand Inputs'!$E$5:$E$202,1),0)</f>
        <v>2383.429194191488</v>
      </c>
      <c r="G202" s="37">
        <f t="array" ref="G202">IFERROR(SUMPRODUCT(('Production Inputs'!$A:$A="47mg LP")*('Production Inputs'!$B:$B="TOTAL ACTIVE")*'Production Inputs'!$AE:$AE),0)</f>
        <v>0</v>
      </c>
      <c r="H202" s="30">
        <f t="shared" si="21"/>
        <v>14332.23823894819</v>
      </c>
      <c r="I202" s="30">
        <f ca="1">IFERROR(AVERAGEIF(OFFSET(F202,0,0,MIN(Controls!$B$8,COUNTIF(B202:B$1973,B202)),1),"&gt;"&amp;0),0)</f>
        <v>3026.0104019669852</v>
      </c>
      <c r="J202" s="38">
        <f t="shared" ca="1" si="22"/>
        <v>4.7363479747564199</v>
      </c>
      <c r="K202" s="30">
        <f t="shared" ca="1" si="26"/>
        <v>10000</v>
      </c>
      <c r="L202" t="str">
        <f t="shared" ca="1" si="23"/>
        <v>High</v>
      </c>
      <c r="M202" s="39">
        <f>IFERROR(VLOOKUP("47mg LP",Controls!A:I,7,0),6)</f>
        <v>9</v>
      </c>
      <c r="N202" s="39">
        <f>IFERROR(VLOOKUP("47mg LP",Controls!A:I,8,0),3)</f>
        <v>8</v>
      </c>
      <c r="O202" s="39">
        <f>IFERROR(VLOOKUP("47mg LP",Controls!A:I,9,0),18)</f>
        <v>18</v>
      </c>
      <c r="P202" s="40">
        <f>IFERROR(VLOOKUP("47mg LP",Controls!A:J,5,0),0)</f>
        <v>10000</v>
      </c>
      <c r="Q202" s="39">
        <f>IFERROR(VLOOKUP("47mg LP",Controls!A:J,6,0),3)</f>
        <v>3</v>
      </c>
      <c r="R202" s="21" t="str">
        <f>IFERROR(VLOOKUP("47mg LP",Controls!A:K,10,0),"")</f>
        <v>Fisher / ThermoFisher Allentown</v>
      </c>
      <c r="S202" s="41">
        <f t="shared" si="24"/>
        <v>46539</v>
      </c>
      <c r="T202" s="30">
        <f t="shared" si="25"/>
        <v>0</v>
      </c>
      <c r="W202" s="205" t="e" cm="1">
        <f t="array" ref="W202">IF(19&lt;Controls!$B$7,INDEX(A183:A361,MATCH(Controls!$B$5,A183:A361,1)+19),NA())</f>
        <v>#N/A</v>
      </c>
      <c r="X202" t="e" cm="1">
        <f t="array" ref="X202">IF(19&lt;Controls!$B$7,INDEX(F183:F361,MATCH(Controls!$B$5,A183:A361,1)+19),NA())</f>
        <v>#N/A</v>
      </c>
      <c r="Y202" t="e" cm="1">
        <f t="array" ref="Y202">IF(19&lt;Controls!$B$7,INDEX(G183:G361,MATCH(Controls!$B$5,A183:A361,1)+19),NA())</f>
        <v>#N/A</v>
      </c>
      <c r="Z202" t="e" cm="1">
        <f t="array" ref="Z202">IF(19&lt;Controls!$B$7,INDEX(H183:H361,MATCH(Controls!$B$5,A183:A361,1)+19),NA())</f>
        <v>#N/A</v>
      </c>
      <c r="AA202" t="e" cm="1">
        <f t="array" ref="AA202">IF(19&lt;Controls!$B$7,INDEX(M183:M361,MATCH(Controls!$B$5,A183:A361,1)+19)*INDEX(I183:I361,MATCH(Controls!$B$5,A183:A361,1)+19),NA())</f>
        <v>#N/A</v>
      </c>
      <c r="AB202">
        <f t="shared" si="27"/>
        <v>27493.292858675599</v>
      </c>
    </row>
    <row r="203" spans="1:28" ht="13" customHeight="1" x14ac:dyDescent="0.35">
      <c r="A203" s="153">
        <v>46661</v>
      </c>
      <c r="B203" s="36" t="s">
        <v>35</v>
      </c>
      <c r="C203" s="15" t="s">
        <v>28</v>
      </c>
      <c r="D203" s="15" t="s">
        <v>29</v>
      </c>
      <c r="E203" s="30">
        <f>H202</f>
        <v>14332.23823894819</v>
      </c>
      <c r="F203" s="37">
        <f>IFERROR(SUMIFS('Demand Inputs'!$Z$5:$Z$202,'Demand Inputs'!$A$5:$A$202,"47mg LP",'Demand Inputs'!$B$5:$B$202,"&lt;&gt;AGGREGATE",'Demand Inputs'!$E$5:$E$202,1),0)</f>
        <v>2334.4232099288192</v>
      </c>
      <c r="G203" s="37">
        <f t="array" ref="G203">IFERROR(SUMPRODUCT(('Production Inputs'!$A:$A="47mg LP")*('Production Inputs'!$B:$B="TOTAL ACTIVE")*'Production Inputs'!$AF:$AF),0)</f>
        <v>0</v>
      </c>
      <c r="H203" s="30">
        <f t="shared" si="21"/>
        <v>11997.81502901937</v>
      </c>
      <c r="I203" s="30">
        <f ca="1">IFERROR(AVERAGEIF(OFFSET(F203,0,0,MIN(Controls!$B$8,COUNTIF(B203:B$1973,B203)),1),"&gt;"&amp;0),0)</f>
        <v>3289.9860602769818</v>
      </c>
      <c r="J203" s="38">
        <f t="shared" ca="1" si="22"/>
        <v>3.6467677398029101</v>
      </c>
      <c r="K203" s="30">
        <f t="shared" ca="1" si="26"/>
        <v>20000</v>
      </c>
      <c r="L203" t="str">
        <f t="shared" ca="1" si="23"/>
        <v>High</v>
      </c>
      <c r="M203" s="39">
        <f>IFERROR(VLOOKUP("47mg LP",Controls!A:I,7,0),6)</f>
        <v>9</v>
      </c>
      <c r="N203" s="39">
        <f>IFERROR(VLOOKUP("47mg LP",Controls!A:I,8,0),3)</f>
        <v>8</v>
      </c>
      <c r="O203" s="39">
        <f>IFERROR(VLOOKUP("47mg LP",Controls!A:I,9,0),18)</f>
        <v>18</v>
      </c>
      <c r="P203" s="40">
        <f>IFERROR(VLOOKUP("47mg LP",Controls!A:J,5,0),0)</f>
        <v>10000</v>
      </c>
      <c r="Q203" s="39">
        <f>IFERROR(VLOOKUP("47mg LP",Controls!A:J,6,0),3)</f>
        <v>3</v>
      </c>
      <c r="R203" s="21" t="str">
        <f>IFERROR(VLOOKUP("47mg LP",Controls!A:K,10,0),"")</f>
        <v>Fisher / ThermoFisher Allentown</v>
      </c>
      <c r="S203" s="41">
        <f t="shared" si="24"/>
        <v>46569</v>
      </c>
      <c r="T203" s="30">
        <f t="shared" si="25"/>
        <v>0</v>
      </c>
      <c r="W203" s="205" t="e" cm="1">
        <f t="array" ref="W203">IF(20&lt;Controls!$B$7,INDEX(A183:A361,MATCH(Controls!$B$5,A183:A361,1)+20),NA())</f>
        <v>#N/A</v>
      </c>
      <c r="X203" t="e" cm="1">
        <f t="array" ref="X203">IF(20&lt;Controls!$B$7,INDEX(F183:F361,MATCH(Controls!$B$5,A183:A361,1)+20),NA())</f>
        <v>#N/A</v>
      </c>
      <c r="Y203" t="e" cm="1">
        <f t="array" ref="Y203">IF(20&lt;Controls!$B$7,INDEX(G183:G361,MATCH(Controls!$B$5,A183:A361,1)+20),NA())</f>
        <v>#N/A</v>
      </c>
      <c r="Z203" t="e" cm="1">
        <f t="array" ref="Z203">IF(20&lt;Controls!$B$7,INDEX(H183:H361,MATCH(Controls!$B$5,A183:A361,1)+20),NA())</f>
        <v>#N/A</v>
      </c>
      <c r="AA203" t="e" cm="1">
        <f t="array" ref="AA203">IF(20&lt;Controls!$B$7,INDEX(M183:M361,MATCH(Controls!$B$5,A183:A361,1)+20)*INDEX(I183:I361,MATCH(Controls!$B$5,A183:A361,1)+20),NA())</f>
        <v>#N/A</v>
      </c>
      <c r="AB203">
        <f t="shared" si="27"/>
        <v>29827.716068604419</v>
      </c>
    </row>
    <row r="204" spans="1:28" ht="13" customHeight="1" x14ac:dyDescent="0.35">
      <c r="A204" s="153">
        <v>46692</v>
      </c>
      <c r="B204" s="36" t="s">
        <v>35</v>
      </c>
      <c r="C204" s="15" t="s">
        <v>28</v>
      </c>
      <c r="D204" s="15" t="s">
        <v>29</v>
      </c>
      <c r="E204" s="30">
        <f>H203</f>
        <v>11997.81502901937</v>
      </c>
      <c r="F204" s="37">
        <f>IFERROR(SUMIFS('Demand Inputs'!$AA$5:$AA$202,'Demand Inputs'!$A$5:$A$202,"47mg LP",'Demand Inputs'!$B$5:$B$202,"&lt;&gt;AGGREGATE",'Demand Inputs'!$E$5:$E$202,1),0)</f>
        <v>2380.1126430818408</v>
      </c>
      <c r="G204" s="37">
        <f t="array" ref="G204">IFERROR(SUMPRODUCT(('Production Inputs'!$A:$A="47mg LP")*('Production Inputs'!$B:$B="TOTAL ACTIVE")*'Production Inputs'!$AG:$AG),0)</f>
        <v>0</v>
      </c>
      <c r="H204" s="30">
        <f t="shared" si="21"/>
        <v>9617.7023859375295</v>
      </c>
      <c r="I204" s="30">
        <f ca="1">IFERROR(AVERAGEIF(OFFSET(F204,0,0,MIN(Controls!$B$8,COUNTIF(B204:B$1973,B204)),1),"&gt;"&amp;0),0)</f>
        <v>3523.5601493163417</v>
      </c>
      <c r="J204" s="38">
        <f t="shared" ca="1" si="22"/>
        <v>2.7295411397485587</v>
      </c>
      <c r="K204" s="30">
        <f t="shared" ca="1" si="26"/>
        <v>20000</v>
      </c>
      <c r="L204" t="str">
        <f t="shared" ca="1" si="23"/>
        <v>High</v>
      </c>
      <c r="M204" s="39">
        <f>IFERROR(VLOOKUP("47mg LP",Controls!A:I,7,0),6)</f>
        <v>9</v>
      </c>
      <c r="N204" s="39">
        <f>IFERROR(VLOOKUP("47mg LP",Controls!A:I,8,0),3)</f>
        <v>8</v>
      </c>
      <c r="O204" s="39">
        <f>IFERROR(VLOOKUP("47mg LP",Controls!A:I,9,0),18)</f>
        <v>18</v>
      </c>
      <c r="P204" s="40">
        <f>IFERROR(VLOOKUP("47mg LP",Controls!A:J,5,0),0)</f>
        <v>10000</v>
      </c>
      <c r="Q204" s="39">
        <f>IFERROR(VLOOKUP("47mg LP",Controls!A:J,6,0),3)</f>
        <v>3</v>
      </c>
      <c r="R204" s="21" t="str">
        <f>IFERROR(VLOOKUP("47mg LP",Controls!A:K,10,0),"")</f>
        <v>Fisher / ThermoFisher Allentown</v>
      </c>
      <c r="S204" s="41">
        <f t="shared" si="24"/>
        <v>46600</v>
      </c>
      <c r="T204" s="30">
        <f t="shared" si="25"/>
        <v>0</v>
      </c>
      <c r="W204" s="205" t="e" cm="1">
        <f t="array" ref="W204">IF(21&lt;Controls!$B$7,INDEX(A183:A361,MATCH(Controls!$B$5,A183:A361,1)+21),NA())</f>
        <v>#N/A</v>
      </c>
      <c r="X204" t="e" cm="1">
        <f t="array" ref="X204">IF(21&lt;Controls!$B$7,INDEX(F183:F361,MATCH(Controls!$B$5,A183:A361,1)+21),NA())</f>
        <v>#N/A</v>
      </c>
      <c r="Y204" t="e" cm="1">
        <f t="array" ref="Y204">IF(21&lt;Controls!$B$7,INDEX(G183:G361,MATCH(Controls!$B$5,A183:A361,1)+21),NA())</f>
        <v>#N/A</v>
      </c>
      <c r="Z204" t="e" cm="1">
        <f t="array" ref="Z204">IF(21&lt;Controls!$B$7,INDEX(H183:H361,MATCH(Controls!$B$5,A183:A361,1)+21),NA())</f>
        <v>#N/A</v>
      </c>
      <c r="AA204" t="e" cm="1">
        <f t="array" ref="AA204">IF(21&lt;Controls!$B$7,INDEX(M183:M361,MATCH(Controls!$B$5,A183:A361,1)+21)*INDEX(I183:I361,MATCH(Controls!$B$5,A183:A361,1)+21),NA())</f>
        <v>#N/A</v>
      </c>
      <c r="AB204">
        <f t="shared" si="27"/>
        <v>32207.828711686259</v>
      </c>
    </row>
    <row r="205" spans="1:28" ht="13" customHeight="1" x14ac:dyDescent="0.35">
      <c r="A205" s="153">
        <v>46722</v>
      </c>
      <c r="B205" s="36" t="s">
        <v>35</v>
      </c>
      <c r="C205" s="15" t="s">
        <v>28</v>
      </c>
      <c r="D205" s="15" t="s">
        <v>29</v>
      </c>
      <c r="E205" s="30">
        <f>H204</f>
        <v>9617.7023859375295</v>
      </c>
      <c r="F205" s="37">
        <f>IFERROR(SUMIFS('Demand Inputs'!$AB$5:$AB$202,'Demand Inputs'!$A$5:$A$202,"47mg LP",'Demand Inputs'!$B$5:$B$202,"&lt;&gt;AGGREGATE",'Demand Inputs'!$E$5:$E$202,1),0)</f>
        <v>2637.7672644887771</v>
      </c>
      <c r="G205" s="37">
        <f t="array" ref="G205">IFERROR(SUMPRODUCT(('Production Inputs'!$A:$A="47mg LP")*('Production Inputs'!$B:$B="TOTAL ACTIVE")*'Production Inputs'!$AH:$AH),0)</f>
        <v>0</v>
      </c>
      <c r="H205" s="30">
        <f t="shared" si="21"/>
        <v>6979.9351214487524</v>
      </c>
      <c r="I205" s="30">
        <f ca="1">IFERROR(AVERAGEIF(OFFSET(F205,0,0,MIN(Controls!$B$8,COUNTIF(B205:B$1973,B205)),1),"&gt;"&amp;0),0)</f>
        <v>3743.2590465503858</v>
      </c>
      <c r="J205" s="38">
        <f t="shared" ca="1" si="22"/>
        <v>1.8646679363217293</v>
      </c>
      <c r="K205" s="30">
        <f t="shared" ca="1" si="26"/>
        <v>30000</v>
      </c>
      <c r="L205" t="str">
        <f t="shared" ca="1" si="23"/>
        <v>High</v>
      </c>
      <c r="M205" s="39">
        <f>IFERROR(VLOOKUP("47mg LP",Controls!A:I,7,0),6)</f>
        <v>9</v>
      </c>
      <c r="N205" s="39">
        <f>IFERROR(VLOOKUP("47mg LP",Controls!A:I,8,0),3)</f>
        <v>8</v>
      </c>
      <c r="O205" s="39">
        <f>IFERROR(VLOOKUP("47mg LP",Controls!A:I,9,0),18)</f>
        <v>18</v>
      </c>
      <c r="P205" s="40">
        <f>IFERROR(VLOOKUP("47mg LP",Controls!A:J,5,0),0)</f>
        <v>10000</v>
      </c>
      <c r="Q205" s="39">
        <f>IFERROR(VLOOKUP("47mg LP",Controls!A:J,6,0),3)</f>
        <v>3</v>
      </c>
      <c r="R205" s="21" t="str">
        <f>IFERROR(VLOOKUP("47mg LP",Controls!A:K,10,0),"")</f>
        <v>Fisher / ThermoFisher Allentown</v>
      </c>
      <c r="S205" s="41">
        <f t="shared" si="24"/>
        <v>46631</v>
      </c>
      <c r="T205" s="30">
        <f t="shared" si="25"/>
        <v>0</v>
      </c>
      <c r="W205" s="205" t="e" cm="1">
        <f t="array" ref="W205">IF(22&lt;Controls!$B$7,INDEX(A183:A361,MATCH(Controls!$B$5,A183:A361,1)+22),NA())</f>
        <v>#N/A</v>
      </c>
      <c r="X205" t="e" cm="1">
        <f t="array" ref="X205">IF(22&lt;Controls!$B$7,INDEX(F183:F361,MATCH(Controls!$B$5,A183:A361,1)+22),NA())</f>
        <v>#N/A</v>
      </c>
      <c r="Y205" t="e" cm="1">
        <f t="array" ref="Y205">IF(22&lt;Controls!$B$7,INDEX(G183:G361,MATCH(Controls!$B$5,A183:A361,1)+22),NA())</f>
        <v>#N/A</v>
      </c>
      <c r="Z205" t="e" cm="1">
        <f t="array" ref="Z205">IF(22&lt;Controls!$B$7,INDEX(H183:H361,MATCH(Controls!$B$5,A183:A361,1)+22),NA())</f>
        <v>#N/A</v>
      </c>
      <c r="AA205" t="e" cm="1">
        <f t="array" ref="AA205">IF(22&lt;Controls!$B$7,INDEX(M183:M361,MATCH(Controls!$B$5,A183:A361,1)+22)*INDEX(I183:I361,MATCH(Controls!$B$5,A183:A361,1)+22),NA())</f>
        <v>#N/A</v>
      </c>
      <c r="AB205">
        <f t="shared" si="27"/>
        <v>34845.595976175035</v>
      </c>
    </row>
    <row r="206" spans="1:28" ht="13" customHeight="1" x14ac:dyDescent="0.35">
      <c r="A206" s="153">
        <v>46753</v>
      </c>
      <c r="B206" s="36" t="s">
        <v>35</v>
      </c>
      <c r="C206" s="15" t="s">
        <v>28</v>
      </c>
      <c r="D206" s="15" t="s">
        <v>29</v>
      </c>
      <c r="E206" s="30">
        <f>H205</f>
        <v>6979.9351214487524</v>
      </c>
      <c r="F206" s="37">
        <f>IFERROR(SUMIFS('Demand Inputs'!$AC$5:$AC$202,'Demand Inputs'!$A$5:$A$202,"47mg LP",'Demand Inputs'!$B$5:$B$202,"&lt;&gt;AGGREGATE",'Demand Inputs'!$E$5:$E$202,1),0)</f>
        <v>3351.2799372862391</v>
      </c>
      <c r="G206" s="37">
        <f t="array" ref="G206">IFERROR(SUMPRODUCT(('Production Inputs'!$A:$A="47mg LP")*('Production Inputs'!$B:$B="TOTAL ACTIVE")*'Production Inputs'!$AI:$AI),0)</f>
        <v>0</v>
      </c>
      <c r="H206" s="30">
        <f t="shared" si="21"/>
        <v>3628.6551841625133</v>
      </c>
      <c r="I206" s="30">
        <f ca="1">IFERROR(AVERAGEIF(OFFSET(F206,0,0,MIN(Controls!$B$8,COUNTIF(B206:B$1973,B206)),1),"&gt;"&amp;0),0)</f>
        <v>4098.1364506446225</v>
      </c>
      <c r="J206" s="38">
        <f t="shared" ca="1" si="22"/>
        <v>0.8854403038707358</v>
      </c>
      <c r="K206" s="30">
        <f t="shared" ca="1" si="26"/>
        <v>30000</v>
      </c>
      <c r="L206" t="str">
        <f t="shared" ca="1" si="23"/>
        <v>High</v>
      </c>
      <c r="M206" s="39">
        <f>IFERROR(VLOOKUP("47mg LP",Controls!A:I,7,0),6)</f>
        <v>9</v>
      </c>
      <c r="N206" s="39">
        <f>IFERROR(VLOOKUP("47mg LP",Controls!A:I,8,0),3)</f>
        <v>8</v>
      </c>
      <c r="O206" s="39">
        <f>IFERROR(VLOOKUP("47mg LP",Controls!A:I,9,0),18)</f>
        <v>18</v>
      </c>
      <c r="P206" s="40">
        <f>IFERROR(VLOOKUP("47mg LP",Controls!A:J,5,0),0)</f>
        <v>10000</v>
      </c>
      <c r="Q206" s="39">
        <f>IFERROR(VLOOKUP("47mg LP",Controls!A:J,6,0),3)</f>
        <v>3</v>
      </c>
      <c r="R206" s="21" t="str">
        <f>IFERROR(VLOOKUP("47mg LP",Controls!A:K,10,0),"")</f>
        <v>Fisher / ThermoFisher Allentown</v>
      </c>
      <c r="S206" s="41">
        <f t="shared" si="24"/>
        <v>46661</v>
      </c>
      <c r="T206" s="30">
        <f t="shared" si="25"/>
        <v>0</v>
      </c>
      <c r="W206" s="205" t="e" cm="1">
        <f t="array" ref="W206">IF(23&lt;Controls!$B$7,INDEX(A183:A361,MATCH(Controls!$B$5,A183:A361,1)+23),NA())</f>
        <v>#N/A</v>
      </c>
      <c r="X206" t="e" cm="1">
        <f t="array" ref="X206">IF(23&lt;Controls!$B$7,INDEX(F183:F361,MATCH(Controls!$B$5,A183:A361,1)+23),NA())</f>
        <v>#N/A</v>
      </c>
      <c r="Y206" t="e" cm="1">
        <f t="array" ref="Y206">IF(23&lt;Controls!$B$7,INDEX(G183:G361,MATCH(Controls!$B$5,A183:A361,1)+23),NA())</f>
        <v>#N/A</v>
      </c>
      <c r="Z206" t="e" cm="1">
        <f t="array" ref="Z206">IF(23&lt;Controls!$B$7,INDEX(H183:H361,MATCH(Controls!$B$5,A183:A361,1)+23),NA())</f>
        <v>#N/A</v>
      </c>
      <c r="AA206" t="e" cm="1">
        <f t="array" ref="AA206">IF(23&lt;Controls!$B$7,INDEX(M183:M361,MATCH(Controls!$B$5,A183:A361,1)+23)*INDEX(I183:I361,MATCH(Controls!$B$5,A183:A361,1)+23),NA())</f>
        <v>#N/A</v>
      </c>
      <c r="AB206">
        <f t="shared" si="27"/>
        <v>38196.875913461277</v>
      </c>
    </row>
    <row r="207" spans="1:28" ht="13" customHeight="1" x14ac:dyDescent="0.35">
      <c r="A207" s="153">
        <v>46784</v>
      </c>
      <c r="B207" s="36" t="s">
        <v>35</v>
      </c>
      <c r="C207" s="15" t="s">
        <v>28</v>
      </c>
      <c r="D207" s="15" t="s">
        <v>29</v>
      </c>
      <c r="E207" s="30">
        <f>H206</f>
        <v>3628.6551841625133</v>
      </c>
      <c r="F207" s="37">
        <f>IFERROR(SUMIFS('Demand Inputs'!$AD$5:$AD$202,'Demand Inputs'!$A$5:$A$202,"47mg LP",'Demand Inputs'!$B$5:$B$202,"&lt;&gt;AGGREGATE",'Demand Inputs'!$E$5:$E$202,1),0)</f>
        <v>2687.9213234196204</v>
      </c>
      <c r="G207" s="37">
        <f t="array" ref="G207">IFERROR(SUMPRODUCT(('Production Inputs'!$A:$A="47mg LP")*('Production Inputs'!$B:$B="TOTAL ACTIVE")*'Production Inputs'!$AJ:$AJ),0)</f>
        <v>0</v>
      </c>
      <c r="H207" s="30">
        <f t="shared" si="21"/>
        <v>940.73386074289283</v>
      </c>
      <c r="I207" s="30">
        <f ca="1">IFERROR(AVERAGEIF(OFFSET(F207,0,0,MIN(Controls!$B$8,COUNTIF(B207:B$1973,B207)),1),"&gt;"&amp;0),0)</f>
        <v>4219.047685786958</v>
      </c>
      <c r="J207" s="38">
        <f t="shared" ca="1" si="22"/>
        <v>0.22297303344354649</v>
      </c>
      <c r="K207" s="30">
        <f t="shared" ca="1" si="26"/>
        <v>40000</v>
      </c>
      <c r="L207" t="str">
        <f t="shared" ca="1" si="23"/>
        <v>High</v>
      </c>
      <c r="M207" s="39">
        <f>IFERROR(VLOOKUP("47mg LP",Controls!A:I,7,0),6)</f>
        <v>9</v>
      </c>
      <c r="N207" s="39">
        <f>IFERROR(VLOOKUP("47mg LP",Controls!A:I,8,0),3)</f>
        <v>8</v>
      </c>
      <c r="O207" s="39">
        <f>IFERROR(VLOOKUP("47mg LP",Controls!A:I,9,0),18)</f>
        <v>18</v>
      </c>
      <c r="P207" s="40">
        <f>IFERROR(VLOOKUP("47mg LP",Controls!A:J,5,0),0)</f>
        <v>10000</v>
      </c>
      <c r="Q207" s="39">
        <f>IFERROR(VLOOKUP("47mg LP",Controls!A:J,6,0),3)</f>
        <v>3</v>
      </c>
      <c r="R207" s="21" t="str">
        <f>IFERROR(VLOOKUP("47mg LP",Controls!A:K,10,0),"")</f>
        <v>Fisher / ThermoFisher Allentown</v>
      </c>
      <c r="S207" s="41">
        <f t="shared" si="24"/>
        <v>46692</v>
      </c>
      <c r="T207" s="30">
        <f t="shared" si="25"/>
        <v>0</v>
      </c>
      <c r="W207" s="205" t="e" cm="1">
        <f t="array" ref="W207">IF(24&lt;Controls!$B$7,INDEX(A183:A361,MATCH(Controls!$B$5,A183:A361,1)+24),NA())</f>
        <v>#N/A</v>
      </c>
      <c r="X207" t="e" cm="1">
        <f t="array" ref="X207">IF(24&lt;Controls!$B$7,INDEX(F183:F361,MATCH(Controls!$B$5,A183:A361,1)+24),NA())</f>
        <v>#N/A</v>
      </c>
      <c r="Y207" t="e" cm="1">
        <f t="array" ref="Y207">IF(24&lt;Controls!$B$7,INDEX(G183:G361,MATCH(Controls!$B$5,A183:A361,1)+24),NA())</f>
        <v>#N/A</v>
      </c>
      <c r="Z207" t="e" cm="1">
        <f t="array" ref="Z207">IF(24&lt;Controls!$B$7,INDEX(H183:H361,MATCH(Controls!$B$5,A183:A361,1)+24),NA())</f>
        <v>#N/A</v>
      </c>
      <c r="AA207" t="e" cm="1">
        <f t="array" ref="AA207">IF(24&lt;Controls!$B$7,INDEX(M183:M361,MATCH(Controls!$B$5,A183:A361,1)+24)*INDEX(I183:I361,MATCH(Controls!$B$5,A183:A361,1)+24),NA())</f>
        <v>#N/A</v>
      </c>
      <c r="AB207">
        <f t="shared" si="27"/>
        <v>40884.797236880899</v>
      </c>
    </row>
    <row r="208" spans="1:28" ht="13" customHeight="1" x14ac:dyDescent="0.35">
      <c r="A208" s="153">
        <v>46813</v>
      </c>
      <c r="B208" s="36" t="s">
        <v>35</v>
      </c>
      <c r="C208" s="15" t="s">
        <v>28</v>
      </c>
      <c r="D208" s="15" t="s">
        <v>29</v>
      </c>
      <c r="E208" s="30">
        <f>H207</f>
        <v>940.73386074289283</v>
      </c>
      <c r="F208" s="37">
        <f>IFERROR(SUMIFS('Demand Inputs'!$AE$5:$AE$202,'Demand Inputs'!$A$5:$A$202,"47mg LP",'Demand Inputs'!$B$5:$B$202,"&lt;&gt;AGGREGATE",'Demand Inputs'!$E$5:$E$202,1),0)</f>
        <v>3411.8934889824955</v>
      </c>
      <c r="G208" s="37">
        <f t="array" ref="G208">IFERROR(SUMPRODUCT(('Production Inputs'!$A:$A="47mg LP")*('Production Inputs'!$B:$B="TOTAL ACTIVE")*'Production Inputs'!$AK:$AK),0)</f>
        <v>0</v>
      </c>
      <c r="H208" s="30">
        <f t="shared" si="21"/>
        <v>-2471.1596282396026</v>
      </c>
      <c r="I208" s="30">
        <f ca="1">IFERROR(AVERAGEIF(OFFSET(F208,0,0,MIN(Controls!$B$8,COUNTIF(B208:B$1973,B208)),1),"&gt;"&amp;0),0)</f>
        <v>4513.3704355920217</v>
      </c>
      <c r="J208" s="38">
        <f t="shared" ca="1" si="22"/>
        <v>-0.54751978892586928</v>
      </c>
      <c r="K208" s="30">
        <f t="shared" ca="1" si="26"/>
        <v>40000</v>
      </c>
      <c r="L208" t="str">
        <f t="shared" si="23"/>
        <v>High</v>
      </c>
      <c r="M208" s="39">
        <f>IFERROR(VLOOKUP("47mg LP",Controls!A:I,7,0),6)</f>
        <v>9</v>
      </c>
      <c r="N208" s="39">
        <f>IFERROR(VLOOKUP("47mg LP",Controls!A:I,8,0),3)</f>
        <v>8</v>
      </c>
      <c r="O208" s="39">
        <f>IFERROR(VLOOKUP("47mg LP",Controls!A:I,9,0),18)</f>
        <v>18</v>
      </c>
      <c r="P208" s="40">
        <f>IFERROR(VLOOKUP("47mg LP",Controls!A:J,5,0),0)</f>
        <v>10000</v>
      </c>
      <c r="Q208" s="39">
        <f>IFERROR(VLOOKUP("47mg LP",Controls!A:J,6,0),3)</f>
        <v>3</v>
      </c>
      <c r="R208" s="21" t="str">
        <f>IFERROR(VLOOKUP("47mg LP",Controls!A:K,10,0),"")</f>
        <v>Fisher / ThermoFisher Allentown</v>
      </c>
      <c r="S208" s="41">
        <f t="shared" si="24"/>
        <v>46722</v>
      </c>
      <c r="T208" s="30">
        <f t="shared" si="25"/>
        <v>0</v>
      </c>
      <c r="W208" s="205" t="e" cm="1">
        <f t="array" ref="W208">IF(25&lt;Controls!$B$7,INDEX(A183:A361,MATCH(Controls!$B$5,A183:A361,1)+25),NA())</f>
        <v>#N/A</v>
      </c>
      <c r="X208" t="e" cm="1">
        <f t="array" ref="X208">IF(25&lt;Controls!$B$7,INDEX(F183:F361,MATCH(Controls!$B$5,A183:A361,1)+25),NA())</f>
        <v>#N/A</v>
      </c>
      <c r="Y208" t="e" cm="1">
        <f t="array" ref="Y208">IF(25&lt;Controls!$B$7,INDEX(G183:G361,MATCH(Controls!$B$5,A183:A361,1)+25),NA())</f>
        <v>#N/A</v>
      </c>
      <c r="Z208" t="e" cm="1">
        <f t="array" ref="Z208">IF(25&lt;Controls!$B$7,INDEX(H183:H361,MATCH(Controls!$B$5,A183:A361,1)+25),NA())</f>
        <v>#N/A</v>
      </c>
      <c r="AA208" t="e" cm="1">
        <f t="array" ref="AA208">IF(25&lt;Controls!$B$7,INDEX(M183:M361,MATCH(Controls!$B$5,A183:A361,1)+25)*INDEX(I183:I361,MATCH(Controls!$B$5,A183:A361,1)+25),NA())</f>
        <v>#N/A</v>
      </c>
      <c r="AB208">
        <f t="shared" si="27"/>
        <v>44296.690725863395</v>
      </c>
    </row>
    <row r="209" spans="1:28" ht="13" customHeight="1" x14ac:dyDescent="0.35">
      <c r="A209" s="153">
        <v>46844</v>
      </c>
      <c r="B209" s="36" t="s">
        <v>35</v>
      </c>
      <c r="C209" s="15" t="s">
        <v>28</v>
      </c>
      <c r="D209" s="15" t="s">
        <v>29</v>
      </c>
      <c r="E209" s="30">
        <f>H208</f>
        <v>-2471.1596282396026</v>
      </c>
      <c r="F209" s="37">
        <f>IFERROR(SUMIFS('Demand Inputs'!$AF$5:$AF$202,'Demand Inputs'!$A$5:$A$202,"47mg LP",'Demand Inputs'!$B$5:$B$202,"&lt;&gt;AGGREGATE",'Demand Inputs'!$E$5:$E$202,1),0)</f>
        <v>4499.0402090516873</v>
      </c>
      <c r="G209" s="37">
        <f t="array" ref="G209">IFERROR(SUMPRODUCT(('Production Inputs'!$A:$A="47mg LP")*('Production Inputs'!$B:$B="TOTAL ACTIVE")*'Production Inputs'!$AL:$AL),0)</f>
        <v>0</v>
      </c>
      <c r="H209" s="30">
        <f t="shared" si="21"/>
        <v>-6970.1998372912894</v>
      </c>
      <c r="I209" s="30">
        <f ca="1">IFERROR(AVERAGEIF(OFFSET(F209,0,0,MIN(Controls!$B$8,COUNTIF(B209:B$1973,B209)),1),"&gt;"&amp;0),0)</f>
        <v>4677.592856047715</v>
      </c>
      <c r="J209" s="38">
        <f t="shared" ca="1" si="22"/>
        <v>-1.4901253811090966</v>
      </c>
      <c r="K209" s="30">
        <f t="shared" ca="1" si="26"/>
        <v>50000</v>
      </c>
      <c r="L209" t="str">
        <f t="shared" si="23"/>
        <v>High</v>
      </c>
      <c r="M209" s="39">
        <f>IFERROR(VLOOKUP("47mg LP",Controls!A:I,7,0),6)</f>
        <v>9</v>
      </c>
      <c r="N209" s="39">
        <f>IFERROR(VLOOKUP("47mg LP",Controls!A:I,8,0),3)</f>
        <v>8</v>
      </c>
      <c r="O209" s="39">
        <f>IFERROR(VLOOKUP("47mg LP",Controls!A:I,9,0),18)</f>
        <v>18</v>
      </c>
      <c r="P209" s="40">
        <f>IFERROR(VLOOKUP("47mg LP",Controls!A:J,5,0),0)</f>
        <v>10000</v>
      </c>
      <c r="Q209" s="39">
        <f>IFERROR(VLOOKUP("47mg LP",Controls!A:J,6,0),3)</f>
        <v>3</v>
      </c>
      <c r="R209" s="21" t="str">
        <f>IFERROR(VLOOKUP("47mg LP",Controls!A:K,10,0),"")</f>
        <v>Fisher / ThermoFisher Allentown</v>
      </c>
      <c r="S209" s="41">
        <f t="shared" si="24"/>
        <v>46753</v>
      </c>
      <c r="T209" s="30">
        <f t="shared" si="25"/>
        <v>0</v>
      </c>
      <c r="W209" s="205" t="e" cm="1">
        <f t="array" ref="W209">IF(26&lt;Controls!$B$7,INDEX(A183:A361,MATCH(Controls!$B$5,A183:A361,1)+26),NA())</f>
        <v>#N/A</v>
      </c>
      <c r="X209" t="e" cm="1">
        <f t="array" ref="X209">IF(26&lt;Controls!$B$7,INDEX(F183:F361,MATCH(Controls!$B$5,A183:A361,1)+26),NA())</f>
        <v>#N/A</v>
      </c>
      <c r="Y209" t="e" cm="1">
        <f t="array" ref="Y209">IF(26&lt;Controls!$B$7,INDEX(G183:G361,MATCH(Controls!$B$5,A183:A361,1)+26),NA())</f>
        <v>#N/A</v>
      </c>
      <c r="Z209" t="e" cm="1">
        <f t="array" ref="Z209">IF(26&lt;Controls!$B$7,INDEX(H183:H361,MATCH(Controls!$B$5,A183:A361,1)+26),NA())</f>
        <v>#N/A</v>
      </c>
      <c r="AA209" t="e" cm="1">
        <f t="array" ref="AA209">IF(26&lt;Controls!$B$7,INDEX(M183:M361,MATCH(Controls!$B$5,A183:A361,1)+26)*INDEX(I183:I361,MATCH(Controls!$B$5,A183:A361,1)+26),NA())</f>
        <v>#N/A</v>
      </c>
      <c r="AB209">
        <f t="shared" si="27"/>
        <v>48795.730934915082</v>
      </c>
    </row>
    <row r="210" spans="1:28" ht="13" customHeight="1" x14ac:dyDescent="0.35">
      <c r="A210" s="153">
        <v>46874</v>
      </c>
      <c r="B210" s="36" t="s">
        <v>35</v>
      </c>
      <c r="C210" s="15" t="s">
        <v>28</v>
      </c>
      <c r="D210" s="15" t="s">
        <v>29</v>
      </c>
      <c r="E210" s="30">
        <f>H209</f>
        <v>-6970.1998372912894</v>
      </c>
      <c r="F210" s="37">
        <f>IFERROR(SUMIFS('Demand Inputs'!$AG$5:$AG$202,'Demand Inputs'!$A$5:$A$202,"47mg LP",'Demand Inputs'!$B$5:$B$202,"&lt;&gt;AGGREGATE",'Demand Inputs'!$E$5:$E$202,1),0)</f>
        <v>3548.2263472718987</v>
      </c>
      <c r="G210" s="37">
        <f t="array" ref="G210">IFERROR(SUMPRODUCT(('Production Inputs'!$A:$A="47mg LP")*('Production Inputs'!$B:$B="TOTAL ACTIVE")*'Production Inputs'!$AM:$AM),0)</f>
        <v>0</v>
      </c>
      <c r="H210" s="30">
        <f t="shared" si="21"/>
        <v>-10518.426184563188</v>
      </c>
      <c r="I210" s="30">
        <f ca="1">IFERROR(AVERAGEIF(OFFSET(F210,0,0,MIN(Controls!$B$8,COUNTIF(B210:B$1973,B210)),1),"&gt;"&amp;0),0)</f>
        <v>4742.7093620147707</v>
      </c>
      <c r="J210" s="38">
        <f t="shared" ca="1" si="22"/>
        <v>-2.2178095644669256</v>
      </c>
      <c r="K210" s="30">
        <f t="shared" ca="1" si="26"/>
        <v>50000</v>
      </c>
      <c r="L210" t="str">
        <f t="shared" si="23"/>
        <v>High</v>
      </c>
      <c r="M210" s="39">
        <f>IFERROR(VLOOKUP("47mg LP",Controls!A:I,7,0),6)</f>
        <v>9</v>
      </c>
      <c r="N210" s="39">
        <f>IFERROR(VLOOKUP("47mg LP",Controls!A:I,8,0),3)</f>
        <v>8</v>
      </c>
      <c r="O210" s="39">
        <f>IFERROR(VLOOKUP("47mg LP",Controls!A:I,9,0),18)</f>
        <v>18</v>
      </c>
      <c r="P210" s="40">
        <f>IFERROR(VLOOKUP("47mg LP",Controls!A:J,5,0),0)</f>
        <v>10000</v>
      </c>
      <c r="Q210" s="39">
        <f>IFERROR(VLOOKUP("47mg LP",Controls!A:J,6,0),3)</f>
        <v>3</v>
      </c>
      <c r="R210" s="21" t="str">
        <f>IFERROR(VLOOKUP("47mg LP",Controls!A:K,10,0),"")</f>
        <v>Fisher / ThermoFisher Allentown</v>
      </c>
      <c r="S210" s="41">
        <f t="shared" si="24"/>
        <v>46784</v>
      </c>
      <c r="T210" s="30">
        <f t="shared" si="25"/>
        <v>0</v>
      </c>
      <c r="W210" s="205" t="e" cm="1">
        <f t="array" ref="W210">IF(27&lt;Controls!$B$7,INDEX(A183:A361,MATCH(Controls!$B$5,A183:A361,1)+27),NA())</f>
        <v>#N/A</v>
      </c>
      <c r="X210" t="e" cm="1">
        <f t="array" ref="X210">IF(27&lt;Controls!$B$7,INDEX(F183:F361,MATCH(Controls!$B$5,A183:A361,1)+27),NA())</f>
        <v>#N/A</v>
      </c>
      <c r="Y210" t="e" cm="1">
        <f t="array" ref="Y210">IF(27&lt;Controls!$B$7,INDEX(G183:G361,MATCH(Controls!$B$5,A183:A361,1)+27),NA())</f>
        <v>#N/A</v>
      </c>
      <c r="Z210" t="e" cm="1">
        <f t="array" ref="Z210">IF(27&lt;Controls!$B$7,INDEX(H183:H361,MATCH(Controls!$B$5,A183:A361,1)+27),NA())</f>
        <v>#N/A</v>
      </c>
      <c r="AA210" t="e" cm="1">
        <f t="array" ref="AA210">IF(27&lt;Controls!$B$7,INDEX(M183:M361,MATCH(Controls!$B$5,A183:A361,1)+27)*INDEX(I183:I361,MATCH(Controls!$B$5,A183:A361,1)+27),NA())</f>
        <v>#N/A</v>
      </c>
      <c r="AB210">
        <f t="shared" si="27"/>
        <v>52343.957282186981</v>
      </c>
    </row>
    <row r="211" spans="1:28" ht="13" customHeight="1" x14ac:dyDescent="0.35">
      <c r="A211" s="153">
        <v>46905</v>
      </c>
      <c r="B211" s="36" t="s">
        <v>35</v>
      </c>
      <c r="C211" s="15" t="s">
        <v>28</v>
      </c>
      <c r="D211" s="15" t="s">
        <v>29</v>
      </c>
      <c r="E211" s="30">
        <f>H210</f>
        <v>-10518.426184563188</v>
      </c>
      <c r="F211" s="37">
        <f>IFERROR(SUMIFS('Demand Inputs'!$AH$5:$AH$202,'Demand Inputs'!$A$5:$A$202,"47mg LP",'Demand Inputs'!$B$5:$B$202,"&lt;&gt;AGGREGATE",'Demand Inputs'!$E$5:$E$202,1),0)</f>
        <v>4759.2101189814548</v>
      </c>
      <c r="G211" s="37">
        <f t="array" ref="G211">IFERROR(SUMPRODUCT(('Production Inputs'!$A:$A="47mg LP")*('Production Inputs'!$B:$B="TOTAL ACTIVE")*'Production Inputs'!$AN:$AN),0)</f>
        <v>0</v>
      </c>
      <c r="H211" s="30">
        <f t="shared" si="21"/>
        <v>-15277.636303544643</v>
      </c>
      <c r="I211" s="30">
        <f ca="1">IFERROR(AVERAGEIF(OFFSET(F211,0,0,MIN(Controls!$B$8,COUNTIF(B211:B$1973,B211)),1),"&gt;"&amp;0),0)</f>
        <v>4969.8907274485518</v>
      </c>
      <c r="J211" s="38">
        <f t="shared" ca="1" si="22"/>
        <v>-3.0740386743649579</v>
      </c>
      <c r="K211" s="30">
        <f t="shared" ca="1" si="26"/>
        <v>60000</v>
      </c>
      <c r="L211" t="str">
        <f t="shared" si="23"/>
        <v>High</v>
      </c>
      <c r="M211" s="39">
        <f>IFERROR(VLOOKUP("47mg LP",Controls!A:I,7,0),6)</f>
        <v>9</v>
      </c>
      <c r="N211" s="39">
        <f>IFERROR(VLOOKUP("47mg LP",Controls!A:I,8,0),3)</f>
        <v>8</v>
      </c>
      <c r="O211" s="39">
        <f>IFERROR(VLOOKUP("47mg LP",Controls!A:I,9,0),18)</f>
        <v>18</v>
      </c>
      <c r="P211" s="40">
        <f>IFERROR(VLOOKUP("47mg LP",Controls!A:J,5,0),0)</f>
        <v>10000</v>
      </c>
      <c r="Q211" s="39">
        <f>IFERROR(VLOOKUP("47mg LP",Controls!A:J,6,0),3)</f>
        <v>3</v>
      </c>
      <c r="R211" s="21" t="str">
        <f>IFERROR(VLOOKUP("47mg LP",Controls!A:K,10,0),"")</f>
        <v>Fisher / ThermoFisher Allentown</v>
      </c>
      <c r="S211" s="41">
        <f t="shared" si="24"/>
        <v>46813</v>
      </c>
      <c r="T211" s="30">
        <f t="shared" si="25"/>
        <v>0</v>
      </c>
      <c r="W211" s="205" t="e" cm="1">
        <f t="array" ref="W211">IF(28&lt;Controls!$B$7,INDEX(A183:A361,MATCH(Controls!$B$5,A183:A361,1)+28),NA())</f>
        <v>#N/A</v>
      </c>
      <c r="X211" t="e" cm="1">
        <f t="array" ref="X211">IF(28&lt;Controls!$B$7,INDEX(F183:F361,MATCH(Controls!$B$5,A183:A361,1)+28),NA())</f>
        <v>#N/A</v>
      </c>
      <c r="Y211" t="e" cm="1">
        <f t="array" ref="Y211">IF(28&lt;Controls!$B$7,INDEX(G183:G361,MATCH(Controls!$B$5,A183:A361,1)+28),NA())</f>
        <v>#N/A</v>
      </c>
      <c r="Z211" t="e" cm="1">
        <f t="array" ref="Z211">IF(28&lt;Controls!$B$7,INDEX(H183:H361,MATCH(Controls!$B$5,A183:A361,1)+28),NA())</f>
        <v>#N/A</v>
      </c>
      <c r="AA211" t="e" cm="1">
        <f t="array" ref="AA211">IF(28&lt;Controls!$B$7,INDEX(M183:M361,MATCH(Controls!$B$5,A183:A361,1)+28)*INDEX(I183:I361,MATCH(Controls!$B$5,A183:A361,1)+28),NA())</f>
        <v>#N/A</v>
      </c>
      <c r="AB211">
        <f t="shared" si="27"/>
        <v>57103.167401168437</v>
      </c>
    </row>
    <row r="212" spans="1:28" ht="13" customHeight="1" x14ac:dyDescent="0.35">
      <c r="A212" s="153">
        <v>46935</v>
      </c>
      <c r="B212" s="36" t="s">
        <v>35</v>
      </c>
      <c r="C212" s="15" t="s">
        <v>28</v>
      </c>
      <c r="D212" s="15" t="s">
        <v>29</v>
      </c>
      <c r="E212" s="30">
        <f>H211</f>
        <v>-15277.636303544643</v>
      </c>
      <c r="F212" s="37">
        <f>IFERROR(SUMIFS('Demand Inputs'!$AI$5:$AI$202,'Demand Inputs'!$A$5:$A$202,"47mg LP",'Demand Inputs'!$B$5:$B$202,"&lt;&gt;AGGREGATE",'Demand Inputs'!$E$5:$E$202,1),0)</f>
        <v>4436.5900112830604</v>
      </c>
      <c r="G212" s="37">
        <f t="array" ref="G212">IFERROR(SUMPRODUCT(('Production Inputs'!$A:$A="47mg LP")*('Production Inputs'!$B:$B="TOTAL ACTIVE")*'Production Inputs'!$AO:$AO),0)</f>
        <v>0</v>
      </c>
      <c r="H212" s="30">
        <f t="shared" si="21"/>
        <v>-19714.226314827705</v>
      </c>
      <c r="I212" s="30">
        <f ca="1">IFERROR(AVERAGEIF(OFFSET(F212,0,0,MIN(Controls!$B$8,COUNTIF(B212:B$1973,B212)),1),"&gt;"&amp;0),0)</f>
        <v>4957.014729265753</v>
      </c>
      <c r="J212" s="38">
        <f t="shared" ca="1" si="22"/>
        <v>-3.9770360572940708</v>
      </c>
      <c r="K212" s="30">
        <f t="shared" ca="1" si="26"/>
        <v>60000</v>
      </c>
      <c r="L212" t="str">
        <f t="shared" si="23"/>
        <v>High</v>
      </c>
      <c r="M212" s="39">
        <f>IFERROR(VLOOKUP("47mg LP",Controls!A:I,7,0),6)</f>
        <v>9</v>
      </c>
      <c r="N212" s="39">
        <f>IFERROR(VLOOKUP("47mg LP",Controls!A:I,8,0),3)</f>
        <v>8</v>
      </c>
      <c r="O212" s="39">
        <f>IFERROR(VLOOKUP("47mg LP",Controls!A:I,9,0),18)</f>
        <v>18</v>
      </c>
      <c r="P212" s="40">
        <f>IFERROR(VLOOKUP("47mg LP",Controls!A:J,5,0),0)</f>
        <v>10000</v>
      </c>
      <c r="Q212" s="39">
        <f>IFERROR(VLOOKUP("47mg LP",Controls!A:J,6,0),3)</f>
        <v>3</v>
      </c>
      <c r="R212" s="21" t="str">
        <f>IFERROR(VLOOKUP("47mg LP",Controls!A:K,10,0),"")</f>
        <v>Fisher / ThermoFisher Allentown</v>
      </c>
      <c r="S212" s="41">
        <f t="shared" si="24"/>
        <v>46844</v>
      </c>
      <c r="T212" s="30">
        <f t="shared" si="25"/>
        <v>0</v>
      </c>
      <c r="W212" s="205" t="e" cm="1">
        <f t="array" ref="W212">IF(29&lt;Controls!$B$7,INDEX(A183:A361,MATCH(Controls!$B$5,A183:A361,1)+29),NA())</f>
        <v>#N/A</v>
      </c>
      <c r="X212" t="e" cm="1">
        <f t="array" ref="X212">IF(29&lt;Controls!$B$7,INDEX(F183:F361,MATCH(Controls!$B$5,A183:A361,1)+29),NA())</f>
        <v>#N/A</v>
      </c>
      <c r="Y212" t="e" cm="1">
        <f t="array" ref="Y212">IF(29&lt;Controls!$B$7,INDEX(G183:G361,MATCH(Controls!$B$5,A183:A361,1)+29),NA())</f>
        <v>#N/A</v>
      </c>
      <c r="Z212" t="e" cm="1">
        <f t="array" ref="Z212">IF(29&lt;Controls!$B$7,INDEX(H183:H361,MATCH(Controls!$B$5,A183:A361,1)+29),NA())</f>
        <v>#N/A</v>
      </c>
      <c r="AA212" t="e" cm="1">
        <f t="array" ref="AA212">IF(29&lt;Controls!$B$7,INDEX(M183:M361,MATCH(Controls!$B$5,A183:A361,1)+29)*INDEX(I183:I361,MATCH(Controls!$B$5,A183:A361,1)+29),NA())</f>
        <v>#N/A</v>
      </c>
      <c r="AB212">
        <f t="shared" si="27"/>
        <v>61539.757412451494</v>
      </c>
    </row>
    <row r="213" spans="1:28" ht="13" customHeight="1" x14ac:dyDescent="0.35">
      <c r="A213" s="153">
        <v>46966</v>
      </c>
      <c r="B213" s="36" t="s">
        <v>35</v>
      </c>
      <c r="C213" s="15" t="s">
        <v>28</v>
      </c>
      <c r="D213" s="15" t="s">
        <v>29</v>
      </c>
      <c r="E213" s="30">
        <f>H212</f>
        <v>-19714.226314827705</v>
      </c>
      <c r="F213" s="37">
        <f>IFERROR(SUMIFS('Demand Inputs'!$AJ$5:$AJ$202,'Demand Inputs'!$A$5:$A$202,"47mg LP",'Demand Inputs'!$B$5:$B$202,"&lt;&gt;AGGREGATE",'Demand Inputs'!$E$5:$E$202,1),0)</f>
        <v>4357.4027181882375</v>
      </c>
      <c r="G213" s="37">
        <f t="array" ref="G213">IFERROR(SUMPRODUCT(('Production Inputs'!$A:$A="47mg LP")*('Production Inputs'!$B:$B="TOTAL ACTIVE")*'Production Inputs'!$AP:$AP),0)</f>
        <v>0</v>
      </c>
      <c r="H213" s="30">
        <f t="shared" si="21"/>
        <v>-24071.629033015943</v>
      </c>
      <c r="I213" s="30">
        <f ca="1">IFERROR(AVERAGEIF(OFFSET(F213,0,0,MIN(Controls!$B$8,COUNTIF(B213:B$1973,B213)),1),"&gt;"&amp;0),0)</f>
        <v>5163.1644890897614</v>
      </c>
      <c r="J213" s="38">
        <f t="shared" ca="1" si="22"/>
        <v>-4.6621851935729524</v>
      </c>
      <c r="K213" s="30">
        <f t="shared" ca="1" si="26"/>
        <v>70000</v>
      </c>
      <c r="L213" t="str">
        <f t="shared" si="23"/>
        <v>High</v>
      </c>
      <c r="M213" s="39">
        <f>IFERROR(VLOOKUP("47mg LP",Controls!A:I,7,0),6)</f>
        <v>9</v>
      </c>
      <c r="N213" s="39">
        <f>IFERROR(VLOOKUP("47mg LP",Controls!A:I,8,0),3)</f>
        <v>8</v>
      </c>
      <c r="O213" s="39">
        <f>IFERROR(VLOOKUP("47mg LP",Controls!A:I,9,0),18)</f>
        <v>18</v>
      </c>
      <c r="P213" s="40">
        <f>IFERROR(VLOOKUP("47mg LP",Controls!A:J,5,0),0)</f>
        <v>10000</v>
      </c>
      <c r="Q213" s="39">
        <f>IFERROR(VLOOKUP("47mg LP",Controls!A:J,6,0),3)</f>
        <v>3</v>
      </c>
      <c r="R213" s="21" t="str">
        <f>IFERROR(VLOOKUP("47mg LP",Controls!A:K,10,0),"")</f>
        <v>Fisher / ThermoFisher Allentown</v>
      </c>
      <c r="S213" s="41">
        <f t="shared" si="24"/>
        <v>46874</v>
      </c>
      <c r="T213" s="30">
        <f t="shared" si="25"/>
        <v>0</v>
      </c>
      <c r="W213" s="205" t="e" cm="1">
        <f t="array" ref="W213">IF(30&lt;Controls!$B$7,INDEX(A183:A361,MATCH(Controls!$B$5,A183:A361,1)+30),NA())</f>
        <v>#N/A</v>
      </c>
      <c r="X213" t="e" cm="1">
        <f t="array" ref="X213">IF(30&lt;Controls!$B$7,INDEX(F183:F361,MATCH(Controls!$B$5,A183:A361,1)+30),NA())</f>
        <v>#N/A</v>
      </c>
      <c r="Y213" t="e" cm="1">
        <f t="array" ref="Y213">IF(30&lt;Controls!$B$7,INDEX(G183:G361,MATCH(Controls!$B$5,A183:A361,1)+30),NA())</f>
        <v>#N/A</v>
      </c>
      <c r="Z213" t="e" cm="1">
        <f t="array" ref="Z213">IF(30&lt;Controls!$B$7,INDEX(H183:H361,MATCH(Controls!$B$5,A183:A361,1)+30),NA())</f>
        <v>#N/A</v>
      </c>
      <c r="AA213" t="e" cm="1">
        <f t="array" ref="AA213">IF(30&lt;Controls!$B$7,INDEX(M183:M361,MATCH(Controls!$B$5,A183:A361,1)+30)*INDEX(I183:I361,MATCH(Controls!$B$5,A183:A361,1)+30),NA())</f>
        <v>#N/A</v>
      </c>
      <c r="AB213">
        <f t="shared" si="27"/>
        <v>65897.160130639735</v>
      </c>
    </row>
    <row r="214" spans="1:28" ht="13" customHeight="1" x14ac:dyDescent="0.35">
      <c r="A214" s="153">
        <v>46997</v>
      </c>
      <c r="B214" s="36" t="s">
        <v>35</v>
      </c>
      <c r="C214" s="15" t="s">
        <v>28</v>
      </c>
      <c r="D214" s="15" t="s">
        <v>29</v>
      </c>
      <c r="E214" s="30">
        <f>H213</f>
        <v>-24071.629033015943</v>
      </c>
      <c r="F214" s="37">
        <f>IFERROR(SUMIFS('Demand Inputs'!$AK$5:$AK$202,'Demand Inputs'!$A$5:$A$202,"47mg LP",'Demand Inputs'!$B$5:$B$202,"&lt;&gt;AGGREGATE",'Demand Inputs'!$E$5:$E$202,1),0)</f>
        <v>5831.6639013369077</v>
      </c>
      <c r="G214" s="37">
        <f t="array" ref="G214">IFERROR(SUMPRODUCT(('Production Inputs'!$A:$A="47mg LP")*('Production Inputs'!$B:$B="TOTAL ACTIVE")*'Production Inputs'!$AQ:$AQ),0)</f>
        <v>0</v>
      </c>
      <c r="H214" s="30">
        <f t="shared" si="21"/>
        <v>-29903.292934352852</v>
      </c>
      <c r="I214" s="30">
        <f ca="1">IFERROR(AVERAGEIF(OFFSET(F214,0,0,MIN(Controls!$B$8,COUNTIF(B214:B$1973,B214)),1),"&gt;"&amp;0),0)</f>
        <v>5293.4250159617741</v>
      </c>
      <c r="J214" s="38">
        <f t="shared" ca="1" si="22"/>
        <v>-5.6491388551235868</v>
      </c>
      <c r="K214" s="30">
        <f t="shared" ca="1" si="26"/>
        <v>80000</v>
      </c>
      <c r="L214" t="str">
        <f t="shared" si="23"/>
        <v>High</v>
      </c>
      <c r="M214" s="39">
        <f>IFERROR(VLOOKUP("47mg LP",Controls!A:I,7,0),6)</f>
        <v>9</v>
      </c>
      <c r="N214" s="39">
        <f>IFERROR(VLOOKUP("47mg LP",Controls!A:I,8,0),3)</f>
        <v>8</v>
      </c>
      <c r="O214" s="39">
        <f>IFERROR(VLOOKUP("47mg LP",Controls!A:I,9,0),18)</f>
        <v>18</v>
      </c>
      <c r="P214" s="40">
        <f>IFERROR(VLOOKUP("47mg LP",Controls!A:J,5,0),0)</f>
        <v>10000</v>
      </c>
      <c r="Q214" s="39">
        <f>IFERROR(VLOOKUP("47mg LP",Controls!A:J,6,0),3)</f>
        <v>3</v>
      </c>
      <c r="R214" s="21" t="str">
        <f>IFERROR(VLOOKUP("47mg LP",Controls!A:K,10,0),"")</f>
        <v>Fisher / ThermoFisher Allentown</v>
      </c>
      <c r="S214" s="41">
        <f t="shared" si="24"/>
        <v>46905</v>
      </c>
      <c r="T214" s="30">
        <f t="shared" si="25"/>
        <v>0</v>
      </c>
      <c r="W214" s="205" t="e" cm="1">
        <f t="array" ref="W214">IF(31&lt;Controls!$B$7,INDEX(A183:A361,MATCH(Controls!$B$5,A183:A361,1)+31),NA())</f>
        <v>#N/A</v>
      </c>
      <c r="X214" t="e" cm="1">
        <f t="array" ref="X214">IF(31&lt;Controls!$B$7,INDEX(F183:F361,MATCH(Controls!$B$5,A183:A361,1)+31),NA())</f>
        <v>#N/A</v>
      </c>
      <c r="Y214" t="e" cm="1">
        <f t="array" ref="Y214">IF(31&lt;Controls!$B$7,INDEX(G183:G361,MATCH(Controls!$B$5,A183:A361,1)+31),NA())</f>
        <v>#N/A</v>
      </c>
      <c r="Z214" t="e" cm="1">
        <f t="array" ref="Z214">IF(31&lt;Controls!$B$7,INDEX(H183:H361,MATCH(Controls!$B$5,A183:A361,1)+31),NA())</f>
        <v>#N/A</v>
      </c>
      <c r="AA214" t="e" cm="1">
        <f t="array" ref="AA214">IF(31&lt;Controls!$B$7,INDEX(M183:M361,MATCH(Controls!$B$5,A183:A361,1)+31)*INDEX(I183:I361,MATCH(Controls!$B$5,A183:A361,1)+31),NA())</f>
        <v>#N/A</v>
      </c>
      <c r="AB214">
        <f t="shared" si="27"/>
        <v>71728.824031976648</v>
      </c>
    </row>
    <row r="215" spans="1:28" ht="13" customHeight="1" x14ac:dyDescent="0.35">
      <c r="A215" s="153">
        <v>47027</v>
      </c>
      <c r="B215" s="36" t="s">
        <v>35</v>
      </c>
      <c r="C215" s="15" t="s">
        <v>28</v>
      </c>
      <c r="D215" s="15" t="s">
        <v>29</v>
      </c>
      <c r="E215" s="30">
        <f>H214</f>
        <v>-29903.292934352852</v>
      </c>
      <c r="F215" s="37">
        <f>IFERROR(SUMIFS('Demand Inputs'!$AL$5:$AL$202,'Demand Inputs'!$A$5:$A$202,"47mg LP",'Demand Inputs'!$B$5:$B$202,"&lt;&gt;AGGREGATE",'Demand Inputs'!$E$5:$E$202,1),0)</f>
        <v>4439.4810535672605</v>
      </c>
      <c r="G215" s="37">
        <f t="array" ref="G215">IFERROR(SUMPRODUCT(('Production Inputs'!$A:$A="47mg LP")*('Production Inputs'!$B:$B="TOTAL ACTIVE")*'Production Inputs'!$AR:$AR),0)</f>
        <v>0</v>
      </c>
      <c r="H215" s="30">
        <f t="shared" si="21"/>
        <v>-34342.773987920111</v>
      </c>
      <c r="I215" s="30">
        <f ca="1">IFERROR(AVERAGEIF(OFFSET(F215,0,0,MIN(Controls!$B$8,COUNTIF(B215:B$1973,B215)),1),"&gt;"&amp;0),0)</f>
        <v>5336.1588431816608</v>
      </c>
      <c r="J215" s="38">
        <f t="shared" ca="1" si="22"/>
        <v>-6.4358605126236057</v>
      </c>
      <c r="K215" s="30">
        <f t="shared" ca="1" si="26"/>
        <v>80000</v>
      </c>
      <c r="L215" t="str">
        <f t="shared" si="23"/>
        <v>High</v>
      </c>
      <c r="M215" s="39">
        <f>IFERROR(VLOOKUP("47mg LP",Controls!A:I,7,0),6)</f>
        <v>9</v>
      </c>
      <c r="N215" s="39">
        <f>IFERROR(VLOOKUP("47mg LP",Controls!A:I,8,0),3)</f>
        <v>8</v>
      </c>
      <c r="O215" s="39">
        <f>IFERROR(VLOOKUP("47mg LP",Controls!A:I,9,0),18)</f>
        <v>18</v>
      </c>
      <c r="P215" s="40">
        <f>IFERROR(VLOOKUP("47mg LP",Controls!A:J,5,0),0)</f>
        <v>10000</v>
      </c>
      <c r="Q215" s="39">
        <f>IFERROR(VLOOKUP("47mg LP",Controls!A:J,6,0),3)</f>
        <v>3</v>
      </c>
      <c r="R215" s="21" t="str">
        <f>IFERROR(VLOOKUP("47mg LP",Controls!A:K,10,0),"")</f>
        <v>Fisher / ThermoFisher Allentown</v>
      </c>
      <c r="S215" s="41">
        <f t="shared" si="24"/>
        <v>46935</v>
      </c>
      <c r="T215" s="30">
        <f t="shared" si="25"/>
        <v>0</v>
      </c>
      <c r="W215" s="205" t="e" cm="1">
        <f t="array" ref="W215">IF(32&lt;Controls!$B$7,INDEX(A183:A361,MATCH(Controls!$B$5,A183:A361,1)+32),NA())</f>
        <v>#N/A</v>
      </c>
      <c r="X215" t="e" cm="1">
        <f t="array" ref="X215">IF(32&lt;Controls!$B$7,INDEX(F183:F361,MATCH(Controls!$B$5,A183:A361,1)+32),NA())</f>
        <v>#N/A</v>
      </c>
      <c r="Y215" t="e" cm="1">
        <f t="array" ref="Y215">IF(32&lt;Controls!$B$7,INDEX(G183:G361,MATCH(Controls!$B$5,A183:A361,1)+32),NA())</f>
        <v>#N/A</v>
      </c>
      <c r="Z215" t="e" cm="1">
        <f t="array" ref="Z215">IF(32&lt;Controls!$B$7,INDEX(H183:H361,MATCH(Controls!$B$5,A183:A361,1)+32),NA())</f>
        <v>#N/A</v>
      </c>
      <c r="AA215" t="e" cm="1">
        <f t="array" ref="AA215">IF(32&lt;Controls!$B$7,INDEX(M183:M361,MATCH(Controls!$B$5,A183:A361,1)+32)*INDEX(I183:I361,MATCH(Controls!$B$5,A183:A361,1)+32),NA())</f>
        <v>#N/A</v>
      </c>
      <c r="AB215">
        <f t="shared" si="27"/>
        <v>76168.305085543907</v>
      </c>
    </row>
    <row r="216" spans="1:28" ht="13" customHeight="1" x14ac:dyDescent="0.35">
      <c r="A216" s="153">
        <v>47058</v>
      </c>
      <c r="B216" s="36" t="s">
        <v>35</v>
      </c>
      <c r="C216" s="15" t="s">
        <v>28</v>
      </c>
      <c r="D216" s="15" t="s">
        <v>29</v>
      </c>
      <c r="E216" s="30">
        <f>H215</f>
        <v>-34342.773987920111</v>
      </c>
      <c r="F216" s="37">
        <f>IFERROR(SUMIFS('Demand Inputs'!$AM$5:$AM$202,'Demand Inputs'!$A$5:$A$202,"47mg LP",'Demand Inputs'!$B$5:$B$202,"&lt;&gt;AGGREGATE",'Demand Inputs'!$E$5:$E$202,1),0)</f>
        <v>5336.8260716651912</v>
      </c>
      <c r="G216" s="37">
        <f t="array" ref="G216">IFERROR(SUMPRODUCT(('Production Inputs'!$A:$A="47mg LP")*('Production Inputs'!$B:$B="TOTAL ACTIVE")*'Production Inputs'!$AS:$AS),0)</f>
        <v>0</v>
      </c>
      <c r="H216" s="30">
        <f t="shared" si="21"/>
        <v>-39679.600059585304</v>
      </c>
      <c r="I216" s="30">
        <f ca="1">IFERROR(AVERAGEIF(OFFSET(F216,0,0,MIN(Controls!$B$8,COUNTIF(B216:B$1973,B216)),1),"&gt;"&amp;0),0)</f>
        <v>5423.1341398033755</v>
      </c>
      <c r="J216" s="38">
        <f t="shared" ca="1" si="22"/>
        <v>-7.3167284888556994</v>
      </c>
      <c r="K216" s="30">
        <f t="shared" ca="1" si="26"/>
        <v>90000</v>
      </c>
      <c r="L216" t="str">
        <f t="shared" si="23"/>
        <v>High</v>
      </c>
      <c r="M216" s="39">
        <f>IFERROR(VLOOKUP("47mg LP",Controls!A:I,7,0),6)</f>
        <v>9</v>
      </c>
      <c r="N216" s="39">
        <f>IFERROR(VLOOKUP("47mg LP",Controls!A:I,8,0),3)</f>
        <v>8</v>
      </c>
      <c r="O216" s="39">
        <f>IFERROR(VLOOKUP("47mg LP",Controls!A:I,9,0),18)</f>
        <v>18</v>
      </c>
      <c r="P216" s="40">
        <f>IFERROR(VLOOKUP("47mg LP",Controls!A:J,5,0),0)</f>
        <v>10000</v>
      </c>
      <c r="Q216" s="39">
        <f>IFERROR(VLOOKUP("47mg LP",Controls!A:J,6,0),3)</f>
        <v>3</v>
      </c>
      <c r="R216" s="21" t="str">
        <f>IFERROR(VLOOKUP("47mg LP",Controls!A:K,10,0),"")</f>
        <v>Fisher / ThermoFisher Allentown</v>
      </c>
      <c r="S216" s="41">
        <f t="shared" si="24"/>
        <v>46966</v>
      </c>
      <c r="T216" s="30">
        <f t="shared" si="25"/>
        <v>0</v>
      </c>
      <c r="W216" s="205" t="e" cm="1">
        <f t="array" ref="W216">IF(33&lt;Controls!$B$7,INDEX(A183:A361,MATCH(Controls!$B$5,A183:A361,1)+33),NA())</f>
        <v>#N/A</v>
      </c>
      <c r="X216" t="e" cm="1">
        <f t="array" ref="X216">IF(33&lt;Controls!$B$7,INDEX(F183:F361,MATCH(Controls!$B$5,A183:A361,1)+33),NA())</f>
        <v>#N/A</v>
      </c>
      <c r="Y216" t="e" cm="1">
        <f t="array" ref="Y216">IF(33&lt;Controls!$B$7,INDEX(G183:G361,MATCH(Controls!$B$5,A183:A361,1)+33),NA())</f>
        <v>#N/A</v>
      </c>
      <c r="Z216" t="e" cm="1">
        <f t="array" ref="Z216">IF(33&lt;Controls!$B$7,INDEX(H183:H361,MATCH(Controls!$B$5,A183:A361,1)+33),NA())</f>
        <v>#N/A</v>
      </c>
      <c r="AA216" t="e" cm="1">
        <f t="array" ref="AA216">IF(33&lt;Controls!$B$7,INDEX(M183:M361,MATCH(Controls!$B$5,A183:A361,1)+33)*INDEX(I183:I361,MATCH(Controls!$B$5,A183:A361,1)+33),NA())</f>
        <v>#N/A</v>
      </c>
      <c r="AB216">
        <f t="shared" si="27"/>
        <v>81505.131157209093</v>
      </c>
    </row>
    <row r="217" spans="1:28" ht="13" customHeight="1" x14ac:dyDescent="0.35">
      <c r="A217" s="153">
        <v>47088</v>
      </c>
      <c r="B217" s="36" t="s">
        <v>35</v>
      </c>
      <c r="C217" s="15" t="s">
        <v>28</v>
      </c>
      <c r="D217" s="15" t="s">
        <v>29</v>
      </c>
      <c r="E217" s="30">
        <f>H216</f>
        <v>-39679.600059585304</v>
      </c>
      <c r="F217" s="37">
        <f>IFERROR(SUMIFS('Demand Inputs'!$AN$5:$AN$202,'Demand Inputs'!$A$5:$A$202,"47mg LP",'Demand Inputs'!$B$5:$B$202,"&lt;&gt;AGGREGATE",'Demand Inputs'!$E$5:$E$202,1),0)</f>
        <v>4889.8952730837318</v>
      </c>
      <c r="G217" s="37">
        <f t="array" ref="G217">IFERROR(SUMPRODUCT(('Production Inputs'!$A:$A="47mg LP")*('Production Inputs'!$B:$B="TOTAL ACTIVE")*'Production Inputs'!$AT:$AT),0)</f>
        <v>0</v>
      </c>
      <c r="H217" s="30">
        <f t="shared" si="21"/>
        <v>-44569.495332669037</v>
      </c>
      <c r="I217" s="30">
        <f ca="1">IFERROR(AVERAGEIF(OFFSET(F217,0,0,MIN(Controls!$B$8,COUNTIF(B217:B$1973,B217)),1),"&gt;"&amp;0),0)</f>
        <v>5499.4253187358672</v>
      </c>
      <c r="J217" s="38">
        <f t="shared" ca="1" si="22"/>
        <v>-8.1043914135584743</v>
      </c>
      <c r="K217" s="30">
        <f t="shared" ca="1" si="26"/>
        <v>90000</v>
      </c>
      <c r="L217" t="str">
        <f t="shared" si="23"/>
        <v>High</v>
      </c>
      <c r="M217" s="39">
        <f>IFERROR(VLOOKUP("47mg LP",Controls!A:I,7,0),6)</f>
        <v>9</v>
      </c>
      <c r="N217" s="39">
        <f>IFERROR(VLOOKUP("47mg LP",Controls!A:I,8,0),3)</f>
        <v>8</v>
      </c>
      <c r="O217" s="39">
        <f>IFERROR(VLOOKUP("47mg LP",Controls!A:I,9,0),18)</f>
        <v>18</v>
      </c>
      <c r="P217" s="40">
        <f>IFERROR(VLOOKUP("47mg LP",Controls!A:J,5,0),0)</f>
        <v>10000</v>
      </c>
      <c r="Q217" s="39">
        <f>IFERROR(VLOOKUP("47mg LP",Controls!A:J,6,0),3)</f>
        <v>3</v>
      </c>
      <c r="R217" s="21" t="str">
        <f>IFERROR(VLOOKUP("47mg LP",Controls!A:K,10,0),"")</f>
        <v>Fisher / ThermoFisher Allentown</v>
      </c>
      <c r="S217" s="41">
        <f t="shared" si="24"/>
        <v>46997</v>
      </c>
      <c r="T217" s="30">
        <f t="shared" si="25"/>
        <v>0</v>
      </c>
      <c r="W217" s="205" t="e" cm="1">
        <f t="array" ref="W217">IF(34&lt;Controls!$B$7,INDEX(A183:A361,MATCH(Controls!$B$5,A183:A361,1)+34),NA())</f>
        <v>#N/A</v>
      </c>
      <c r="X217" t="e" cm="1">
        <f t="array" ref="X217">IF(34&lt;Controls!$B$7,INDEX(F183:F361,MATCH(Controls!$B$5,A183:A361,1)+34),NA())</f>
        <v>#N/A</v>
      </c>
      <c r="Y217" t="e" cm="1">
        <f t="array" ref="Y217">IF(34&lt;Controls!$B$7,INDEX(G183:G361,MATCH(Controls!$B$5,A183:A361,1)+34),NA())</f>
        <v>#N/A</v>
      </c>
      <c r="Z217" t="e" cm="1">
        <f t="array" ref="Z217">IF(34&lt;Controls!$B$7,INDEX(H183:H361,MATCH(Controls!$B$5,A183:A361,1)+34),NA())</f>
        <v>#N/A</v>
      </c>
      <c r="AA217" t="e" cm="1">
        <f t="array" ref="AA217">IF(34&lt;Controls!$B$7,INDEX(M183:M361,MATCH(Controls!$B$5,A183:A361,1)+34)*INDEX(I183:I361,MATCH(Controls!$B$5,A183:A361,1)+34),NA())</f>
        <v>#N/A</v>
      </c>
      <c r="AB217">
        <f t="shared" si="27"/>
        <v>86395.026430292826</v>
      </c>
    </row>
    <row r="218" spans="1:28" ht="13" customHeight="1" x14ac:dyDescent="0.35">
      <c r="A218" s="153">
        <v>47119</v>
      </c>
      <c r="B218" s="36" t="s">
        <v>35</v>
      </c>
      <c r="C218" s="15" t="s">
        <v>28</v>
      </c>
      <c r="D218" s="15" t="s">
        <v>29</v>
      </c>
      <c r="E218" s="30">
        <f>H217</f>
        <v>-44569.495332669037</v>
      </c>
      <c r="F218" s="37">
        <f>IFERROR(SUMIFS('Demand Inputs'!$AO$5:$AO$202,'Demand Inputs'!$A$5:$A$202,"47mg LP",'Demand Inputs'!$B$5:$B$202,"&lt;&gt;AGGREGATE",'Demand Inputs'!$E$5:$E$202,1),0)</f>
        <v>5085.0887627551965</v>
      </c>
      <c r="G218" s="37">
        <f t="array" ref="G218">IFERROR(SUMPRODUCT(('Production Inputs'!$A:$A="47mg LP")*('Production Inputs'!$B:$B="TOTAL ACTIVE")*'Production Inputs'!$AU:$AU),0)</f>
        <v>0</v>
      </c>
      <c r="H218" s="30">
        <f t="shared" si="21"/>
        <v>-49654.58409542423</v>
      </c>
      <c r="I218" s="30">
        <f ca="1">IFERROR(AVERAGEIF(OFFSET(F218,0,0,MIN(Controls!$B$8,COUNTIF(B218:B$1973,B218)),1),"&gt;"&amp;0),0)</f>
        <v>5728.3460244239423</v>
      </c>
      <c r="J218" s="38">
        <f t="shared" ca="1" si="22"/>
        <v>-8.668223582114635</v>
      </c>
      <c r="K218" s="30">
        <f t="shared" ca="1" si="26"/>
        <v>100000</v>
      </c>
      <c r="L218" t="str">
        <f t="shared" si="23"/>
        <v>High</v>
      </c>
      <c r="M218" s="39">
        <f>IFERROR(VLOOKUP("47mg LP",Controls!A:I,7,0),6)</f>
        <v>9</v>
      </c>
      <c r="N218" s="39">
        <f>IFERROR(VLOOKUP("47mg LP",Controls!A:I,8,0),3)</f>
        <v>8</v>
      </c>
      <c r="O218" s="39">
        <f>IFERROR(VLOOKUP("47mg LP",Controls!A:I,9,0),18)</f>
        <v>18</v>
      </c>
      <c r="P218" s="40">
        <f>IFERROR(VLOOKUP("47mg LP",Controls!A:J,5,0),0)</f>
        <v>10000</v>
      </c>
      <c r="Q218" s="39">
        <f>IFERROR(VLOOKUP("47mg LP",Controls!A:J,6,0),3)</f>
        <v>3</v>
      </c>
      <c r="R218" s="21" t="str">
        <f>IFERROR(VLOOKUP("47mg LP",Controls!A:K,10,0),"")</f>
        <v>Fisher / ThermoFisher Allentown</v>
      </c>
      <c r="S218" s="41">
        <f t="shared" si="24"/>
        <v>47027</v>
      </c>
      <c r="T218" s="30">
        <f t="shared" si="25"/>
        <v>0</v>
      </c>
      <c r="W218" s="205" t="e" cm="1">
        <f t="array" ref="W218">IF(35&lt;Controls!$B$7,INDEX(A183:A361,MATCH(Controls!$B$5,A183:A361,1)+35),NA())</f>
        <v>#N/A</v>
      </c>
      <c r="X218" t="e" cm="1">
        <f t="array" ref="X218">IF(35&lt;Controls!$B$7,INDEX(F183:F361,MATCH(Controls!$B$5,A183:A361,1)+35),NA())</f>
        <v>#N/A</v>
      </c>
      <c r="Y218" t="e" cm="1">
        <f t="array" ref="Y218">IF(35&lt;Controls!$B$7,INDEX(G183:G361,MATCH(Controls!$B$5,A183:A361,1)+35),NA())</f>
        <v>#N/A</v>
      </c>
      <c r="Z218" t="e" cm="1">
        <f t="array" ref="Z218">IF(35&lt;Controls!$B$7,INDEX(H183:H361,MATCH(Controls!$B$5,A183:A361,1)+35),NA())</f>
        <v>#N/A</v>
      </c>
      <c r="AA218" t="e" cm="1">
        <f t="array" ref="AA218">IF(35&lt;Controls!$B$7,INDEX(M183:M361,MATCH(Controls!$B$5,A183:A361,1)+35)*INDEX(I183:I361,MATCH(Controls!$B$5,A183:A361,1)+35),NA())</f>
        <v>#N/A</v>
      </c>
      <c r="AB218">
        <f t="shared" si="27"/>
        <v>91480.115193048026</v>
      </c>
    </row>
    <row r="219" spans="1:28" ht="13" customHeight="1" x14ac:dyDescent="0.35">
      <c r="A219" s="153">
        <v>47150</v>
      </c>
      <c r="B219" s="36" t="s">
        <v>35</v>
      </c>
      <c r="C219" s="15" t="s">
        <v>28</v>
      </c>
      <c r="D219" s="15" t="s">
        <v>29</v>
      </c>
      <c r="E219" s="30">
        <f>H218</f>
        <v>-49654.58409542423</v>
      </c>
      <c r="F219" s="37">
        <f>IFERROR(SUMIFS('Demand Inputs'!$AP$5:$AP$202,'Demand Inputs'!$A$5:$A$202,"47mg LP",'Demand Inputs'!$B$5:$B$202,"&lt;&gt;AGGREGATE",'Demand Inputs'!$E$5:$E$202,1),0)</f>
        <v>5592.8586361759262</v>
      </c>
      <c r="G219" s="37">
        <f t="array" ref="G219">IFERROR(SUMPRODUCT(('Production Inputs'!$A:$A="47mg LP")*('Production Inputs'!$B:$B="TOTAL ACTIVE")*'Production Inputs'!$AV:$AV),0)</f>
        <v>0</v>
      </c>
      <c r="H219" s="30">
        <f t="shared" si="21"/>
        <v>-55247.442731600153</v>
      </c>
      <c r="I219" s="30">
        <f ca="1">IFERROR(AVERAGEIF(OFFSET(F219,0,0,MIN(Controls!$B$8,COUNTIF(B219:B$1973,B219)),1),"&gt;"&amp;0),0)</f>
        <v>5697.7341093219648</v>
      </c>
      <c r="J219" s="38">
        <f t="shared" ca="1" si="22"/>
        <v>-9.6963883662473407</v>
      </c>
      <c r="K219" s="30">
        <f t="shared" ca="1" si="26"/>
        <v>110000</v>
      </c>
      <c r="L219" t="str">
        <f t="shared" si="23"/>
        <v>High</v>
      </c>
      <c r="M219" s="39">
        <f>IFERROR(VLOOKUP("47mg LP",Controls!A:I,7,0),6)</f>
        <v>9</v>
      </c>
      <c r="N219" s="39">
        <f>IFERROR(VLOOKUP("47mg LP",Controls!A:I,8,0),3)</f>
        <v>8</v>
      </c>
      <c r="O219" s="39">
        <f>IFERROR(VLOOKUP("47mg LP",Controls!A:I,9,0),18)</f>
        <v>18</v>
      </c>
      <c r="P219" s="40">
        <f>IFERROR(VLOOKUP("47mg LP",Controls!A:J,5,0),0)</f>
        <v>10000</v>
      </c>
      <c r="Q219" s="39">
        <f>IFERROR(VLOOKUP("47mg LP",Controls!A:J,6,0),3)</f>
        <v>3</v>
      </c>
      <c r="R219" s="21" t="str">
        <f>IFERROR(VLOOKUP("47mg LP",Controls!A:K,10,0),"")</f>
        <v>Fisher / ThermoFisher Allentown</v>
      </c>
      <c r="S219" s="41">
        <f t="shared" si="24"/>
        <v>47058</v>
      </c>
      <c r="T219" s="30">
        <f t="shared" si="25"/>
        <v>0</v>
      </c>
      <c r="AB219">
        <f t="shared" si="27"/>
        <v>97072.973829223949</v>
      </c>
    </row>
    <row r="220" spans="1:28" ht="13" customHeight="1" x14ac:dyDescent="0.35">
      <c r="A220" s="153">
        <v>47178</v>
      </c>
      <c r="B220" s="36" t="s">
        <v>35</v>
      </c>
      <c r="C220" s="15" t="s">
        <v>28</v>
      </c>
      <c r="D220" s="15" t="s">
        <v>29</v>
      </c>
      <c r="E220" s="30">
        <f>H219</f>
        <v>-55247.442731600153</v>
      </c>
      <c r="F220" s="37">
        <f>IFERROR(SUMIFS('Demand Inputs'!$AQ$5:$AQ$202,'Demand Inputs'!$A$5:$A$202,"47mg LP",'Demand Inputs'!$B$5:$B$202,"&lt;&gt;AGGREGATE",'Demand Inputs'!$E$5:$E$202,1),0)</f>
        <v>4643.3261353362632</v>
      </c>
      <c r="G220" s="37">
        <f t="array" ref="G220">IFERROR(SUMPRODUCT(('Production Inputs'!$A:$A="47mg LP")*('Production Inputs'!$B:$B="TOTAL ACTIVE")*'Production Inputs'!$AW:$AW),0)</f>
        <v>0</v>
      </c>
      <c r="H220" s="30">
        <f t="shared" si="21"/>
        <v>-59890.768866936414</v>
      </c>
      <c r="I220" s="30">
        <f ca="1">IFERROR(AVERAGEIF(OFFSET(F220,0,0,MIN(Controls!$B$8,COUNTIF(B220:B$1973,B220)),1),"&gt;"&amp;0),0)</f>
        <v>5845.2278130028972</v>
      </c>
      <c r="J220" s="38">
        <f t="shared" ca="1" si="22"/>
        <v>-10.2460966078529</v>
      </c>
      <c r="K220" s="30">
        <f t="shared" ca="1" si="26"/>
        <v>110000</v>
      </c>
      <c r="L220" t="str">
        <f t="shared" si="23"/>
        <v>High</v>
      </c>
      <c r="M220" s="39">
        <f>IFERROR(VLOOKUP("47mg LP",Controls!A:I,7,0),6)</f>
        <v>9</v>
      </c>
      <c r="N220" s="39">
        <f>IFERROR(VLOOKUP("47mg LP",Controls!A:I,8,0),3)</f>
        <v>8</v>
      </c>
      <c r="O220" s="39">
        <f>IFERROR(VLOOKUP("47mg LP",Controls!A:I,9,0),18)</f>
        <v>18</v>
      </c>
      <c r="P220" s="40">
        <f>IFERROR(VLOOKUP("47mg LP",Controls!A:J,5,0),0)</f>
        <v>10000</v>
      </c>
      <c r="Q220" s="39">
        <f>IFERROR(VLOOKUP("47mg LP",Controls!A:J,6,0),3)</f>
        <v>3</v>
      </c>
      <c r="R220" s="21" t="str">
        <f>IFERROR(VLOOKUP("47mg LP",Controls!A:K,10,0),"")</f>
        <v>Fisher / ThermoFisher Allentown</v>
      </c>
      <c r="S220" s="41">
        <f t="shared" si="24"/>
        <v>47088</v>
      </c>
      <c r="T220" s="30">
        <f t="shared" si="25"/>
        <v>0</v>
      </c>
      <c r="AB220">
        <f t="shared" si="27"/>
        <v>101716.29996456021</v>
      </c>
    </row>
    <row r="221" spans="1:28" ht="13" customHeight="1" x14ac:dyDescent="0.35">
      <c r="A221" s="153">
        <v>47209</v>
      </c>
      <c r="B221" s="36" t="s">
        <v>35</v>
      </c>
      <c r="C221" s="15" t="s">
        <v>28</v>
      </c>
      <c r="D221" s="15" t="s">
        <v>29</v>
      </c>
      <c r="E221" s="30">
        <f>H220</f>
        <v>-59890.768866936414</v>
      </c>
      <c r="F221" s="37">
        <f>IFERROR(SUMIFS('Demand Inputs'!$AR$5:$AR$202,'Demand Inputs'!$A$5:$A$202,"47mg LP",'Demand Inputs'!$B$5:$B$202,"&lt;&gt;AGGREGATE",'Demand Inputs'!$E$5:$E$202,1),0)</f>
        <v>6291.9378496991349</v>
      </c>
      <c r="G221" s="37">
        <f t="array" ref="G221">IFERROR(SUMPRODUCT(('Production Inputs'!$A:$A="47mg LP")*('Production Inputs'!$B:$B="TOTAL ACTIVE")*'Production Inputs'!$AX:$AX),0)</f>
        <v>0</v>
      </c>
      <c r="H221" s="30">
        <f t="shared" si="21"/>
        <v>-66182.706716635555</v>
      </c>
      <c r="I221" s="30">
        <f ca="1">IFERROR(AVERAGEIF(OFFSET(F221,0,0,MIN(Controls!$B$8,COUNTIF(B221:B$1973,B221)),1),"&gt;"&amp;0),0)</f>
        <v>5949.2407960747914</v>
      </c>
      <c r="J221" s="38">
        <f t="shared" ca="1" si="22"/>
        <v>-11.12456345023079</v>
      </c>
      <c r="K221" s="30">
        <f t="shared" ca="1" si="26"/>
        <v>120000</v>
      </c>
      <c r="L221" t="str">
        <f t="shared" si="23"/>
        <v>High</v>
      </c>
      <c r="M221" s="39">
        <f>IFERROR(VLOOKUP("47mg LP",Controls!A:I,7,0),6)</f>
        <v>9</v>
      </c>
      <c r="N221" s="39">
        <f>IFERROR(VLOOKUP("47mg LP",Controls!A:I,8,0),3)</f>
        <v>8</v>
      </c>
      <c r="O221" s="39">
        <f>IFERROR(VLOOKUP("47mg LP",Controls!A:I,9,0),18)</f>
        <v>18</v>
      </c>
      <c r="P221" s="40">
        <f>IFERROR(VLOOKUP("47mg LP",Controls!A:J,5,0),0)</f>
        <v>10000</v>
      </c>
      <c r="Q221" s="39">
        <f>IFERROR(VLOOKUP("47mg LP",Controls!A:J,6,0),3)</f>
        <v>3</v>
      </c>
      <c r="R221" s="21" t="str">
        <f>IFERROR(VLOOKUP("47mg LP",Controls!A:K,10,0),"")</f>
        <v>Fisher / ThermoFisher Allentown</v>
      </c>
      <c r="S221" s="41">
        <f t="shared" si="24"/>
        <v>47119</v>
      </c>
      <c r="T221" s="30">
        <f t="shared" si="25"/>
        <v>0</v>
      </c>
      <c r="AB221">
        <f t="shared" si="27"/>
        <v>108008.23781425935</v>
      </c>
    </row>
    <row r="222" spans="1:28" ht="13" customHeight="1" x14ac:dyDescent="0.35">
      <c r="A222" s="153">
        <v>47239</v>
      </c>
      <c r="B222" s="36" t="s">
        <v>35</v>
      </c>
      <c r="C222" s="15" t="s">
        <v>28</v>
      </c>
      <c r="D222" s="15" t="s">
        <v>29</v>
      </c>
      <c r="E222" s="30">
        <f>H221</f>
        <v>-66182.706716635555</v>
      </c>
      <c r="F222" s="37">
        <f>IFERROR(SUMIFS('Demand Inputs'!$AS$5:$AS$202,'Demand Inputs'!$A$5:$A$202,"47mg LP",'Demand Inputs'!$B$5:$B$202,"&lt;&gt;AGGREGATE",'Demand Inputs'!$E$5:$E$202,1),0)</f>
        <v>5529.7474600363548</v>
      </c>
      <c r="G222" s="37">
        <f t="array" ref="G222">IFERROR(SUMPRODUCT(('Production Inputs'!$A:$A="47mg LP")*('Production Inputs'!$B:$B="TOTAL ACTIVE")*'Production Inputs'!$AY:$AY),0)</f>
        <v>0</v>
      </c>
      <c r="H222" s="30">
        <f t="shared" si="21"/>
        <v>-71712.454176671905</v>
      </c>
      <c r="I222" s="30">
        <f ca="1">IFERROR(AVERAGEIF(OFFSET(F222,0,0,MIN(Controls!$B$8,COUNTIF(B222:B$1973,B222)),1),"&gt;"&amp;0),0)</f>
        <v>5910.5986568506669</v>
      </c>
      <c r="J222" s="38">
        <f t="shared" ca="1" si="22"/>
        <v>-12.132857996296828</v>
      </c>
      <c r="K222" s="30">
        <f t="shared" ca="1" si="26"/>
        <v>120000</v>
      </c>
      <c r="L222" t="str">
        <f t="shared" si="23"/>
        <v>High</v>
      </c>
      <c r="M222" s="39">
        <f>IFERROR(VLOOKUP("47mg LP",Controls!A:I,7,0),6)</f>
        <v>9</v>
      </c>
      <c r="N222" s="39">
        <f>IFERROR(VLOOKUP("47mg LP",Controls!A:I,8,0),3)</f>
        <v>8</v>
      </c>
      <c r="O222" s="39">
        <f>IFERROR(VLOOKUP("47mg LP",Controls!A:I,9,0),18)</f>
        <v>18</v>
      </c>
      <c r="P222" s="40">
        <f>IFERROR(VLOOKUP("47mg LP",Controls!A:J,5,0),0)</f>
        <v>10000</v>
      </c>
      <c r="Q222" s="39">
        <f>IFERROR(VLOOKUP("47mg LP",Controls!A:J,6,0),3)</f>
        <v>3</v>
      </c>
      <c r="R222" s="21" t="str">
        <f>IFERROR(VLOOKUP("47mg LP",Controls!A:K,10,0),"")</f>
        <v>Fisher / ThermoFisher Allentown</v>
      </c>
      <c r="S222" s="41">
        <f t="shared" si="24"/>
        <v>47150</v>
      </c>
      <c r="T222" s="30">
        <f t="shared" si="25"/>
        <v>0</v>
      </c>
      <c r="AB222">
        <f t="shared" si="27"/>
        <v>113537.9852742957</v>
      </c>
    </row>
    <row r="223" spans="1:28" ht="13" customHeight="1" x14ac:dyDescent="0.35">
      <c r="A223" s="153">
        <v>47270</v>
      </c>
      <c r="B223" s="36" t="s">
        <v>35</v>
      </c>
      <c r="C223" s="15" t="s">
        <v>28</v>
      </c>
      <c r="D223" s="15" t="s">
        <v>29</v>
      </c>
      <c r="E223" s="30">
        <f>H222</f>
        <v>-71712.454176671905</v>
      </c>
      <c r="F223" s="37">
        <f>IFERROR(SUMIFS('Demand Inputs'!$AT$5:$AT$202,'Demand Inputs'!$A$5:$A$202,"47mg LP",'Demand Inputs'!$B$5:$B$202,"&lt;&gt;AGGREGATE",'Demand Inputs'!$E$5:$E$202,1),0)</f>
        <v>6216.2683463158919</v>
      </c>
      <c r="G223" s="37">
        <f t="array" ref="G223">IFERROR(SUMPRODUCT(('Production Inputs'!$A:$A="47mg LP")*('Production Inputs'!$B:$B="TOTAL ACTIVE")*'Production Inputs'!$AZ:$AZ),0)</f>
        <v>0</v>
      </c>
      <c r="H223" s="30">
        <f t="shared" si="21"/>
        <v>-77928.722522987795</v>
      </c>
      <c r="I223" s="30">
        <f ca="1">IFERROR(AVERAGEIF(OFFSET(F223,0,0,MIN(Controls!$B$8,COUNTIF(B223:B$1973,B223)),1),"&gt;"&amp;0),0)</f>
        <v>6023.1331703787082</v>
      </c>
      <c r="J223" s="38">
        <f t="shared" ca="1" si="22"/>
        <v>-12.938236681572155</v>
      </c>
      <c r="K223" s="30">
        <f t="shared" ca="1" si="26"/>
        <v>130000</v>
      </c>
      <c r="L223" t="str">
        <f t="shared" si="23"/>
        <v>High</v>
      </c>
      <c r="M223" s="39">
        <f>IFERROR(VLOOKUP("47mg LP",Controls!A:I,7,0),6)</f>
        <v>9</v>
      </c>
      <c r="N223" s="39">
        <f>IFERROR(VLOOKUP("47mg LP",Controls!A:I,8,0),3)</f>
        <v>8</v>
      </c>
      <c r="O223" s="39">
        <f>IFERROR(VLOOKUP("47mg LP",Controls!A:I,9,0),18)</f>
        <v>18</v>
      </c>
      <c r="P223" s="40">
        <f>IFERROR(VLOOKUP("47mg LP",Controls!A:J,5,0),0)</f>
        <v>10000</v>
      </c>
      <c r="Q223" s="39">
        <f>IFERROR(VLOOKUP("47mg LP",Controls!A:J,6,0),3)</f>
        <v>3</v>
      </c>
      <c r="R223" s="21" t="str">
        <f>IFERROR(VLOOKUP("47mg LP",Controls!A:K,10,0),"")</f>
        <v>Fisher / ThermoFisher Allentown</v>
      </c>
      <c r="S223" s="41">
        <f t="shared" si="24"/>
        <v>47178</v>
      </c>
      <c r="T223" s="30">
        <f t="shared" si="25"/>
        <v>0</v>
      </c>
      <c r="AB223">
        <f t="shared" si="27"/>
        <v>119754.25362061159</v>
      </c>
    </row>
    <row r="224" spans="1:28" ht="13" customHeight="1" x14ac:dyDescent="0.35">
      <c r="A224" s="153">
        <v>47300</v>
      </c>
      <c r="B224" s="36" t="s">
        <v>35</v>
      </c>
      <c r="C224" s="15" t="s">
        <v>28</v>
      </c>
      <c r="D224" s="15" t="s">
        <v>29</v>
      </c>
      <c r="E224" s="30">
        <f>H223</f>
        <v>-77928.722522987795</v>
      </c>
      <c r="F224" s="37">
        <f>IFERROR(SUMIFS('Demand Inputs'!$AU$5:$AU$202,'Demand Inputs'!$A$5:$A$202,"47mg LP",'Demand Inputs'!$B$5:$B$202,"&lt;&gt;AGGREGATE",'Demand Inputs'!$E$5:$E$202,1),0)</f>
        <v>5222.2587231626903</v>
      </c>
      <c r="G224" s="37">
        <f t="array" ref="G224">IFERROR(SUMPRODUCT(('Production Inputs'!$A:$A="47mg LP")*('Production Inputs'!$B:$B="TOTAL ACTIVE")*'Production Inputs'!$BA:$BA),0)</f>
        <v>0</v>
      </c>
      <c r="H224" s="30">
        <f t="shared" si="21"/>
        <v>-83150.981246150492</v>
      </c>
      <c r="I224" s="30">
        <f ca="1">IFERROR(AVERAGEIF(OFFSET(F224,0,0,MIN(Controls!$B$8,COUNTIF(B224:B$1973,B224)),1),"&gt;"&amp;0),0)</f>
        <v>5938.186214475234</v>
      </c>
      <c r="J224" s="38">
        <f t="shared" ca="1" si="22"/>
        <v>-14.002757448639334</v>
      </c>
      <c r="K224" s="30">
        <f t="shared" ca="1" si="26"/>
        <v>140000</v>
      </c>
      <c r="L224" t="str">
        <f t="shared" si="23"/>
        <v>High</v>
      </c>
      <c r="M224" s="39">
        <f>IFERROR(VLOOKUP("47mg LP",Controls!A:I,7,0),6)</f>
        <v>9</v>
      </c>
      <c r="N224" s="39">
        <f>IFERROR(VLOOKUP("47mg LP",Controls!A:I,8,0),3)</f>
        <v>8</v>
      </c>
      <c r="O224" s="39">
        <f>IFERROR(VLOOKUP("47mg LP",Controls!A:I,9,0),18)</f>
        <v>18</v>
      </c>
      <c r="P224" s="40">
        <f>IFERROR(VLOOKUP("47mg LP",Controls!A:J,5,0),0)</f>
        <v>10000</v>
      </c>
      <c r="Q224" s="39">
        <f>IFERROR(VLOOKUP("47mg LP",Controls!A:J,6,0),3)</f>
        <v>3</v>
      </c>
      <c r="R224" s="21" t="str">
        <f>IFERROR(VLOOKUP("47mg LP",Controls!A:K,10,0),"")</f>
        <v>Fisher / ThermoFisher Allentown</v>
      </c>
      <c r="S224" s="41">
        <f t="shared" si="24"/>
        <v>47209</v>
      </c>
      <c r="T224" s="30">
        <f t="shared" si="25"/>
        <v>0</v>
      </c>
      <c r="AB224">
        <f t="shared" si="27"/>
        <v>124976.51234377429</v>
      </c>
    </row>
    <row r="225" spans="1:28" ht="13" customHeight="1" x14ac:dyDescent="0.35">
      <c r="A225" s="153">
        <v>47331</v>
      </c>
      <c r="B225" s="36" t="s">
        <v>35</v>
      </c>
      <c r="C225" s="15" t="s">
        <v>28</v>
      </c>
      <c r="D225" s="15" t="s">
        <v>29</v>
      </c>
      <c r="E225" s="30">
        <f>H224</f>
        <v>-83150.981246150492</v>
      </c>
      <c r="F225" s="37">
        <f>IFERROR(SUMIFS('Demand Inputs'!$AV$5:$AV$202,'Demand Inputs'!$A$5:$A$202,"47mg LP",'Demand Inputs'!$B$5:$B$202,"&lt;&gt;AGGREGATE",'Demand Inputs'!$E$5:$E$202,1),0)</f>
        <v>6023.4466820576199</v>
      </c>
      <c r="G225" s="37">
        <f t="array" ref="G225">IFERROR(SUMPRODUCT(('Production Inputs'!$A:$A="47mg LP")*('Production Inputs'!$B:$B="TOTAL ACTIVE")*'Production Inputs'!$BB:$BB),0)</f>
        <v>0</v>
      </c>
      <c r="H225" s="30">
        <f t="shared" si="21"/>
        <v>-89174.427928208112</v>
      </c>
      <c r="I225" s="30">
        <f ca="1">IFERROR(AVERAGEIF(OFFSET(F225,0,0,MIN(Controls!$B$8,COUNTIF(B225:B$1973,B225)),1),"&gt;"&amp;0),0)</f>
        <v>6124.9339736793272</v>
      </c>
      <c r="J225" s="38">
        <f t="shared" ca="1" si="22"/>
        <v>-14.559247219874907</v>
      </c>
      <c r="K225" s="30">
        <f t="shared" ca="1" si="26"/>
        <v>140000</v>
      </c>
      <c r="L225" t="str">
        <f t="shared" si="23"/>
        <v>High</v>
      </c>
      <c r="M225" s="39">
        <f>IFERROR(VLOOKUP("47mg LP",Controls!A:I,7,0),6)</f>
        <v>9</v>
      </c>
      <c r="N225" s="39">
        <f>IFERROR(VLOOKUP("47mg LP",Controls!A:I,8,0),3)</f>
        <v>8</v>
      </c>
      <c r="O225" s="39">
        <f>IFERROR(VLOOKUP("47mg LP",Controls!A:I,9,0),18)</f>
        <v>18</v>
      </c>
      <c r="P225" s="40">
        <f>IFERROR(VLOOKUP("47mg LP",Controls!A:J,5,0),0)</f>
        <v>10000</v>
      </c>
      <c r="Q225" s="39">
        <f>IFERROR(VLOOKUP("47mg LP",Controls!A:J,6,0),3)</f>
        <v>3</v>
      </c>
      <c r="R225" s="21" t="str">
        <f>IFERROR(VLOOKUP("47mg LP",Controls!A:K,10,0),"")</f>
        <v>Fisher / ThermoFisher Allentown</v>
      </c>
      <c r="S225" s="41">
        <f t="shared" si="24"/>
        <v>47239</v>
      </c>
      <c r="T225" s="30">
        <f t="shared" si="25"/>
        <v>0</v>
      </c>
      <c r="AB225">
        <f t="shared" si="27"/>
        <v>130999.95902583191</v>
      </c>
    </row>
    <row r="226" spans="1:28" ht="13" customHeight="1" x14ac:dyDescent="0.35">
      <c r="A226" s="153">
        <v>47362</v>
      </c>
      <c r="B226" s="36" t="s">
        <v>35</v>
      </c>
      <c r="C226" s="15" t="s">
        <v>28</v>
      </c>
      <c r="D226" s="15" t="s">
        <v>29</v>
      </c>
      <c r="E226" s="30">
        <f>H225</f>
        <v>-89174.427928208112</v>
      </c>
      <c r="F226" s="37">
        <f>IFERROR(SUMIFS('Demand Inputs'!$AW$5:$AW$202,'Demand Inputs'!$A$5:$A$202,"47mg LP",'Demand Inputs'!$B$5:$B$202,"&lt;&gt;AGGREGATE",'Demand Inputs'!$E$5:$E$202,1),0)</f>
        <v>6950.1816242764016</v>
      </c>
      <c r="G226" s="37">
        <f t="array" ref="G226">IFERROR(SUMPRODUCT(('Production Inputs'!$A:$A="47mg LP")*('Production Inputs'!$B:$B="TOTAL ACTIVE")*'Production Inputs'!$BC:$BC),0)</f>
        <v>0</v>
      </c>
      <c r="H226" s="30">
        <f t="shared" si="21"/>
        <v>-96124.609552484515</v>
      </c>
      <c r="I226" s="30">
        <f ca="1">IFERROR(AVERAGEIF(OFFSET(F226,0,0,MIN(Controls!$B$8,COUNTIF(B226:B$1973,B226)),1),"&gt;"&amp;0),0)</f>
        <v>6268.1727436662713</v>
      </c>
      <c r="J226" s="38">
        <f t="shared" ca="1" si="22"/>
        <v>-15.33534787304872</v>
      </c>
      <c r="K226" s="30">
        <f t="shared" ca="1" si="26"/>
        <v>150000</v>
      </c>
      <c r="L226" t="str">
        <f t="shared" si="23"/>
        <v>High</v>
      </c>
      <c r="M226" s="39">
        <f>IFERROR(VLOOKUP("47mg LP",Controls!A:I,7,0),6)</f>
        <v>9</v>
      </c>
      <c r="N226" s="39">
        <f>IFERROR(VLOOKUP("47mg LP",Controls!A:I,8,0),3)</f>
        <v>8</v>
      </c>
      <c r="O226" s="39">
        <f>IFERROR(VLOOKUP("47mg LP",Controls!A:I,9,0),18)</f>
        <v>18</v>
      </c>
      <c r="P226" s="40">
        <f>IFERROR(VLOOKUP("47mg LP",Controls!A:J,5,0),0)</f>
        <v>10000</v>
      </c>
      <c r="Q226" s="39">
        <f>IFERROR(VLOOKUP("47mg LP",Controls!A:J,6,0),3)</f>
        <v>3</v>
      </c>
      <c r="R226" s="21" t="str">
        <f>IFERROR(VLOOKUP("47mg LP",Controls!A:K,10,0),"")</f>
        <v>Fisher / ThermoFisher Allentown</v>
      </c>
      <c r="S226" s="41">
        <f t="shared" si="24"/>
        <v>47270</v>
      </c>
      <c r="T226" s="30">
        <f t="shared" si="25"/>
        <v>0</v>
      </c>
      <c r="AB226">
        <f t="shared" si="27"/>
        <v>137950.14065010831</v>
      </c>
    </row>
    <row r="227" spans="1:28" ht="13" customHeight="1" x14ac:dyDescent="0.35">
      <c r="A227" s="153">
        <v>47392</v>
      </c>
      <c r="B227" s="36" t="s">
        <v>35</v>
      </c>
      <c r="C227" s="15" t="s">
        <v>28</v>
      </c>
      <c r="D227" s="15" t="s">
        <v>29</v>
      </c>
      <c r="E227" s="30">
        <f>H226</f>
        <v>-96124.609552484515</v>
      </c>
      <c r="F227" s="37">
        <f>IFERROR(SUMIFS('Demand Inputs'!$AX$5:$AX$202,'Demand Inputs'!$A$5:$A$202,"47mg LP",'Demand Inputs'!$B$5:$B$202,"&lt;&gt;AGGREGATE",'Demand Inputs'!$E$5:$E$202,1),0)</f>
        <v>4809.5815268373999</v>
      </c>
      <c r="G227" s="37">
        <f t="array" ref="G227">IFERROR(SUMPRODUCT(('Production Inputs'!$A:$A="47mg LP")*('Production Inputs'!$B:$B="TOTAL ACTIVE")*'Production Inputs'!$BD:$BD),0)</f>
        <v>0</v>
      </c>
      <c r="H227" s="30">
        <f t="shared" si="21"/>
        <v>-100934.19107932191</v>
      </c>
      <c r="I227" s="30">
        <f ca="1">IFERROR(AVERAGEIF(OFFSET(F227,0,0,MIN(Controls!$B$8,COUNTIF(B227:B$1973,B227)),1),"&gt;"&amp;0),0)</f>
        <v>6316.5054613543662</v>
      </c>
      <c r="J227" s="38">
        <f t="shared" ca="1" si="22"/>
        <v>-15.979435416759681</v>
      </c>
      <c r="K227" s="30">
        <f t="shared" ca="1" si="26"/>
        <v>160000</v>
      </c>
      <c r="L227" t="str">
        <f t="shared" si="23"/>
        <v>High</v>
      </c>
      <c r="M227" s="39">
        <f>IFERROR(VLOOKUP("47mg LP",Controls!A:I,7,0),6)</f>
        <v>9</v>
      </c>
      <c r="N227" s="39">
        <f>IFERROR(VLOOKUP("47mg LP",Controls!A:I,8,0),3)</f>
        <v>8</v>
      </c>
      <c r="O227" s="39">
        <f>IFERROR(VLOOKUP("47mg LP",Controls!A:I,9,0),18)</f>
        <v>18</v>
      </c>
      <c r="P227" s="40">
        <f>IFERROR(VLOOKUP("47mg LP",Controls!A:J,5,0),0)</f>
        <v>10000</v>
      </c>
      <c r="Q227" s="39">
        <f>IFERROR(VLOOKUP("47mg LP",Controls!A:J,6,0),3)</f>
        <v>3</v>
      </c>
      <c r="R227" s="21" t="str">
        <f>IFERROR(VLOOKUP("47mg LP",Controls!A:K,10,0),"")</f>
        <v>Fisher / ThermoFisher Allentown</v>
      </c>
      <c r="S227" s="41">
        <f t="shared" si="24"/>
        <v>47300</v>
      </c>
      <c r="T227" s="30">
        <f t="shared" si="25"/>
        <v>0</v>
      </c>
      <c r="AB227">
        <f t="shared" si="27"/>
        <v>142759.72217694571</v>
      </c>
    </row>
    <row r="228" spans="1:28" ht="13" customHeight="1" x14ac:dyDescent="0.35">
      <c r="A228" s="153">
        <v>47423</v>
      </c>
      <c r="B228" s="36" t="s">
        <v>35</v>
      </c>
      <c r="C228" s="15" t="s">
        <v>28</v>
      </c>
      <c r="D228" s="15" t="s">
        <v>29</v>
      </c>
      <c r="E228" s="30">
        <f>H227</f>
        <v>-100934.19107932191</v>
      </c>
      <c r="F228" s="37">
        <f>IFERROR(SUMIFS('Demand Inputs'!$AY$5:$AY$202,'Demand Inputs'!$A$5:$A$202,"47mg LP",'Demand Inputs'!$B$5:$B$202,"&lt;&gt;AGGREGATE",'Demand Inputs'!$E$5:$E$202,1),0)</f>
        <v>6920.3019693043188</v>
      </c>
      <c r="G228" s="37">
        <f t="array" ref="G228">IFERROR(SUMPRODUCT(('Production Inputs'!$A:$A="47mg LP")*('Production Inputs'!$B:$B="TOTAL ACTIVE")*'Production Inputs'!$BE:$BE),0)</f>
        <v>0</v>
      </c>
      <c r="H228" s="30">
        <f t="shared" si="21"/>
        <v>-107854.49304862623</v>
      </c>
      <c r="I228" s="30">
        <f ca="1">IFERROR(AVERAGEIF(OFFSET(F228,0,0,MIN(Controls!$B$8,COUNTIF(B228:B$1973,B228)),1),"&gt;"&amp;0),0)</f>
        <v>6431.9942921036127</v>
      </c>
      <c r="J228" s="38">
        <f t="shared" ca="1" si="22"/>
        <v>-16.768437307389451</v>
      </c>
      <c r="K228" s="30">
        <f t="shared" ca="1" si="26"/>
        <v>170000</v>
      </c>
      <c r="L228" t="str">
        <f t="shared" si="23"/>
        <v>High</v>
      </c>
      <c r="M228" s="39">
        <f>IFERROR(VLOOKUP("47mg LP",Controls!A:I,7,0),6)</f>
        <v>9</v>
      </c>
      <c r="N228" s="39">
        <f>IFERROR(VLOOKUP("47mg LP",Controls!A:I,8,0),3)</f>
        <v>8</v>
      </c>
      <c r="O228" s="39">
        <f>IFERROR(VLOOKUP("47mg LP",Controls!A:I,9,0),18)</f>
        <v>18</v>
      </c>
      <c r="P228" s="40">
        <f>IFERROR(VLOOKUP("47mg LP",Controls!A:J,5,0),0)</f>
        <v>10000</v>
      </c>
      <c r="Q228" s="39">
        <f>IFERROR(VLOOKUP("47mg LP",Controls!A:J,6,0),3)</f>
        <v>3</v>
      </c>
      <c r="R228" s="21" t="str">
        <f>IFERROR(VLOOKUP("47mg LP",Controls!A:K,10,0),"")</f>
        <v>Fisher / ThermoFisher Allentown</v>
      </c>
      <c r="S228" s="41">
        <f t="shared" si="24"/>
        <v>47331</v>
      </c>
      <c r="T228" s="30">
        <f t="shared" si="25"/>
        <v>0</v>
      </c>
      <c r="AB228">
        <f t="shared" si="27"/>
        <v>149680.02414625004</v>
      </c>
    </row>
    <row r="229" spans="1:28" ht="13" customHeight="1" x14ac:dyDescent="0.35">
      <c r="A229" s="153">
        <v>47453</v>
      </c>
      <c r="B229" s="36" t="s">
        <v>35</v>
      </c>
      <c r="C229" s="15" t="s">
        <v>28</v>
      </c>
      <c r="D229" s="15" t="s">
        <v>29</v>
      </c>
      <c r="E229" s="30">
        <f>H228</f>
        <v>-107854.49304862623</v>
      </c>
      <c r="F229" s="37">
        <f>IFERROR(SUMIFS('Demand Inputs'!$AZ$5:$AZ$202,'Demand Inputs'!$A$5:$A$202,"47mg LP",'Demand Inputs'!$B$5:$B$202,"&lt;&gt;AGGREGATE",'Demand Inputs'!$E$5:$E$202,1),0)</f>
        <v>5579.4429829833189</v>
      </c>
      <c r="G229" s="37">
        <f t="array" ref="G229">IFERROR(SUMPRODUCT(('Production Inputs'!$A:$A="47mg LP")*('Production Inputs'!$B:$B="TOTAL ACTIVE")*'Production Inputs'!$BF:$BF),0)</f>
        <v>0</v>
      </c>
      <c r="H229" s="30">
        <f t="shared" si="21"/>
        <v>-113433.93603160956</v>
      </c>
      <c r="I229" s="30">
        <f ca="1">IFERROR(AVERAGEIF(OFFSET(F229,0,0,MIN(Controls!$B$8,COUNTIF(B229:B$1973,B229)),1),"&gt;"&amp;0),0)</f>
        <v>6587.9165370535748</v>
      </c>
      <c r="J229" s="38">
        <f t="shared" ca="1" si="22"/>
        <v>-17.218484082729823</v>
      </c>
      <c r="K229" s="30">
        <f t="shared" ca="1" si="26"/>
        <v>170000</v>
      </c>
      <c r="L229" t="str">
        <f t="shared" si="23"/>
        <v>High</v>
      </c>
      <c r="M229" s="39">
        <f>IFERROR(VLOOKUP("47mg LP",Controls!A:I,7,0),6)</f>
        <v>9</v>
      </c>
      <c r="N229" s="39">
        <f>IFERROR(VLOOKUP("47mg LP",Controls!A:I,8,0),3)</f>
        <v>8</v>
      </c>
      <c r="O229" s="39">
        <f>IFERROR(VLOOKUP("47mg LP",Controls!A:I,9,0),18)</f>
        <v>18</v>
      </c>
      <c r="P229" s="40">
        <f>IFERROR(VLOOKUP("47mg LP",Controls!A:J,5,0),0)</f>
        <v>10000</v>
      </c>
      <c r="Q229" s="39">
        <f>IFERROR(VLOOKUP("47mg LP",Controls!A:J,6,0),3)</f>
        <v>3</v>
      </c>
      <c r="R229" s="21" t="str">
        <f>IFERROR(VLOOKUP("47mg LP",Controls!A:K,10,0),"")</f>
        <v>Fisher / ThermoFisher Allentown</v>
      </c>
      <c r="S229" s="41">
        <f t="shared" si="24"/>
        <v>47362</v>
      </c>
      <c r="T229" s="30">
        <f t="shared" si="25"/>
        <v>0</v>
      </c>
      <c r="AB229">
        <f t="shared" si="27"/>
        <v>155259.46712923335</v>
      </c>
    </row>
    <row r="230" spans="1:28" ht="13" customHeight="1" x14ac:dyDescent="0.35">
      <c r="A230" s="153">
        <v>47484</v>
      </c>
      <c r="B230" s="36" t="s">
        <v>35</v>
      </c>
      <c r="C230" s="15" t="s">
        <v>28</v>
      </c>
      <c r="D230" s="15" t="s">
        <v>29</v>
      </c>
      <c r="E230" s="30">
        <f>H229</f>
        <v>-113433.93603160956</v>
      </c>
      <c r="F230" s="37">
        <f>IFERROR(SUMIFS('Demand Inputs'!$BA$5:$BA$202,'Demand Inputs'!$A$5:$A$202,"47mg LP",'Demand Inputs'!$B$5:$B$202,"&lt;&gt;AGGREGATE",'Demand Inputs'!$E$5:$E$202,1),0)</f>
        <v>5944.1585966820085</v>
      </c>
      <c r="G230" s="37">
        <f t="array" ref="G230">IFERROR(SUMPRODUCT(('Production Inputs'!$A:$A="47mg LP")*('Production Inputs'!$B:$B="TOTAL ACTIVE")*'Production Inputs'!$BG:$BG),0)</f>
        <v>0</v>
      </c>
      <c r="H230" s="30">
        <f t="shared" si="21"/>
        <v>-119378.09462829157</v>
      </c>
      <c r="I230" s="30">
        <f ca="1">IFERROR(AVERAGEIF(OFFSET(F230,0,0,MIN(Controls!$B$8,COUNTIF(B230:B$1973,B230)),1),"&gt;"&amp;0),0)</f>
        <v>6866.8060776176553</v>
      </c>
      <c r="J230" s="38">
        <f t="shared" ca="1" si="22"/>
        <v>-17.384806455712255</v>
      </c>
      <c r="K230" s="30">
        <f t="shared" ca="1" si="26"/>
        <v>180000</v>
      </c>
      <c r="L230" t="str">
        <f t="shared" si="23"/>
        <v>High</v>
      </c>
      <c r="M230" s="39">
        <f>IFERROR(VLOOKUP("47mg LP",Controls!A:I,7,0),6)</f>
        <v>9</v>
      </c>
      <c r="N230" s="39">
        <f>IFERROR(VLOOKUP("47mg LP",Controls!A:I,8,0),3)</f>
        <v>8</v>
      </c>
      <c r="O230" s="39">
        <f>IFERROR(VLOOKUP("47mg LP",Controls!A:I,9,0),18)</f>
        <v>18</v>
      </c>
      <c r="P230" s="40">
        <f>IFERROR(VLOOKUP("47mg LP",Controls!A:J,5,0),0)</f>
        <v>10000</v>
      </c>
      <c r="Q230" s="39">
        <f>IFERROR(VLOOKUP("47mg LP",Controls!A:J,6,0),3)</f>
        <v>3</v>
      </c>
      <c r="R230" s="21" t="str">
        <f>IFERROR(VLOOKUP("47mg LP",Controls!A:K,10,0),"")</f>
        <v>Fisher / ThermoFisher Allentown</v>
      </c>
      <c r="S230" s="41">
        <f t="shared" si="24"/>
        <v>47392</v>
      </c>
      <c r="T230" s="30">
        <f t="shared" si="25"/>
        <v>0</v>
      </c>
      <c r="AB230">
        <f t="shared" si="27"/>
        <v>161203.62572591536</v>
      </c>
    </row>
    <row r="231" spans="1:28" ht="13" customHeight="1" x14ac:dyDescent="0.35">
      <c r="A231" s="153">
        <v>47515</v>
      </c>
      <c r="B231" s="36" t="s">
        <v>35</v>
      </c>
      <c r="C231" s="15" t="s">
        <v>28</v>
      </c>
      <c r="D231" s="15" t="s">
        <v>29</v>
      </c>
      <c r="E231" s="30">
        <f>H230</f>
        <v>-119378.09462829157</v>
      </c>
      <c r="F231" s="37">
        <f>IFERROR(SUMIFS('Demand Inputs'!$BB$5:$BB$202,'Demand Inputs'!$A$5:$A$202,"47mg LP",'Demand Inputs'!$B$5:$B$202,"&lt;&gt;AGGREGATE",'Demand Inputs'!$E$5:$E$202,1),0)</f>
        <v>6542.558081788733</v>
      </c>
      <c r="G231" s="37">
        <f t="array" ref="G231">IFERROR(SUMPRODUCT(('Production Inputs'!$A:$A="47mg LP")*('Production Inputs'!$B:$B="TOTAL ACTIVE")*'Production Inputs'!$BH:$BH),0)</f>
        <v>0</v>
      </c>
      <c r="H231" s="30">
        <f t="shared" si="21"/>
        <v>-125920.65271008031</v>
      </c>
      <c r="I231" s="30">
        <f ca="1">IFERROR(AVERAGEIF(OFFSET(F231,0,0,MIN(Controls!$B$8,COUNTIF(B231:B$1973,B231)),1),"&gt;"&amp;0),0)</f>
        <v>6993.9235415475596</v>
      </c>
      <c r="J231" s="38">
        <f t="shared" ca="1" si="22"/>
        <v>-18.004293578853964</v>
      </c>
      <c r="K231" s="30">
        <f t="shared" ca="1" si="26"/>
        <v>190000</v>
      </c>
      <c r="L231" t="str">
        <f t="shared" si="23"/>
        <v>High</v>
      </c>
      <c r="M231" s="39">
        <f>IFERROR(VLOOKUP("47mg LP",Controls!A:I,7,0),6)</f>
        <v>9</v>
      </c>
      <c r="N231" s="39">
        <f>IFERROR(VLOOKUP("47mg LP",Controls!A:I,8,0),3)</f>
        <v>8</v>
      </c>
      <c r="O231" s="39">
        <f>IFERROR(VLOOKUP("47mg LP",Controls!A:I,9,0),18)</f>
        <v>18</v>
      </c>
      <c r="P231" s="40">
        <f>IFERROR(VLOOKUP("47mg LP",Controls!A:J,5,0),0)</f>
        <v>10000</v>
      </c>
      <c r="Q231" s="39">
        <f>IFERROR(VLOOKUP("47mg LP",Controls!A:J,6,0),3)</f>
        <v>3</v>
      </c>
      <c r="R231" s="21" t="str">
        <f>IFERROR(VLOOKUP("47mg LP",Controls!A:K,10,0),"")</f>
        <v>Fisher / ThermoFisher Allentown</v>
      </c>
      <c r="S231" s="41">
        <f t="shared" si="24"/>
        <v>47423</v>
      </c>
      <c r="T231" s="30">
        <f t="shared" si="25"/>
        <v>0</v>
      </c>
      <c r="AB231">
        <f t="shared" si="27"/>
        <v>167746.1838077041</v>
      </c>
    </row>
    <row r="232" spans="1:28" ht="13" customHeight="1" x14ac:dyDescent="0.35">
      <c r="A232" s="153">
        <v>47543</v>
      </c>
      <c r="B232" s="36" t="s">
        <v>35</v>
      </c>
      <c r="C232" s="15" t="s">
        <v>28</v>
      </c>
      <c r="D232" s="15" t="s">
        <v>29</v>
      </c>
      <c r="E232" s="30">
        <f>H231</f>
        <v>-125920.65271008031</v>
      </c>
      <c r="F232" s="37">
        <f>IFERROR(SUMIFS('Demand Inputs'!$BC$5:$BC$202,'Demand Inputs'!$A$5:$A$202,"47mg LP",'Demand Inputs'!$B$5:$B$202,"&lt;&gt;AGGREGATE",'Demand Inputs'!$E$5:$E$202,1),0)</f>
        <v>5451.7457431846269</v>
      </c>
      <c r="G232" s="37">
        <f t="array" ref="G232">IFERROR(SUMPRODUCT(('Production Inputs'!$A:$A="47mg LP")*('Production Inputs'!$B:$B="TOTAL ACTIVE")*'Production Inputs'!$BI:$BI),0)</f>
        <v>0</v>
      </c>
      <c r="H232" s="30">
        <f t="shared" si="21"/>
        <v>-131372.39845326493</v>
      </c>
      <c r="I232" s="30">
        <f ca="1">IFERROR(AVERAGEIF(OFFSET(F232,0,0,MIN(Controls!$B$8,COUNTIF(B232:B$1973,B232)),1),"&gt;"&amp;0),0)</f>
        <v>7277.8777968650566</v>
      </c>
      <c r="J232" s="38">
        <f t="shared" ca="1" si="22"/>
        <v>-18.050921177854011</v>
      </c>
      <c r="K232" s="30">
        <f t="shared" ca="1" si="26"/>
        <v>200000</v>
      </c>
      <c r="L232" t="str">
        <f t="shared" si="23"/>
        <v>High</v>
      </c>
      <c r="M232" s="39">
        <f>IFERROR(VLOOKUP("47mg LP",Controls!A:I,7,0),6)</f>
        <v>9</v>
      </c>
      <c r="N232" s="39">
        <f>IFERROR(VLOOKUP("47mg LP",Controls!A:I,8,0),3)</f>
        <v>8</v>
      </c>
      <c r="O232" s="39">
        <f>IFERROR(VLOOKUP("47mg LP",Controls!A:I,9,0),18)</f>
        <v>18</v>
      </c>
      <c r="P232" s="40">
        <f>IFERROR(VLOOKUP("47mg LP",Controls!A:J,5,0),0)</f>
        <v>10000</v>
      </c>
      <c r="Q232" s="39">
        <f>IFERROR(VLOOKUP("47mg LP",Controls!A:J,6,0),3)</f>
        <v>3</v>
      </c>
      <c r="R232" s="21" t="str">
        <f>IFERROR(VLOOKUP("47mg LP",Controls!A:K,10,0),"")</f>
        <v>Fisher / ThermoFisher Allentown</v>
      </c>
      <c r="S232" s="41">
        <f t="shared" si="24"/>
        <v>47453</v>
      </c>
      <c r="T232" s="30">
        <f t="shared" si="25"/>
        <v>0</v>
      </c>
      <c r="AB232">
        <f t="shared" si="27"/>
        <v>173197.92955088872</v>
      </c>
    </row>
    <row r="233" spans="1:28" ht="13" customHeight="1" x14ac:dyDescent="0.35">
      <c r="A233" s="153">
        <v>47574</v>
      </c>
      <c r="B233" s="36" t="s">
        <v>35</v>
      </c>
      <c r="C233" s="15" t="s">
        <v>28</v>
      </c>
      <c r="D233" s="15" t="s">
        <v>29</v>
      </c>
      <c r="E233" s="30">
        <f>H232</f>
        <v>-131372.39845326493</v>
      </c>
      <c r="F233" s="37">
        <f>IFERROR(SUMIFS('Demand Inputs'!$BD$5:$BD$202,'Demand Inputs'!$A$5:$A$202,"47mg LP",'Demand Inputs'!$B$5:$B$202,"&lt;&gt;AGGREGATE",'Demand Inputs'!$E$5:$E$202,1),0)</f>
        <v>6902.98855599952</v>
      </c>
      <c r="G233" s="37">
        <f t="array" ref="G233">IFERROR(SUMPRODUCT(('Production Inputs'!$A:$A="47mg LP")*('Production Inputs'!$B:$B="TOTAL ACTIVE")*'Production Inputs'!$BJ:$BJ),0)</f>
        <v>0</v>
      </c>
      <c r="H233" s="30">
        <f t="shared" si="21"/>
        <v>-138275.38700926446</v>
      </c>
      <c r="I233" s="30">
        <f ca="1">IFERROR(AVERAGEIF(OFFSET(F233,0,0,MIN(Controls!$B$8,COUNTIF(B233:B$1973,B233)),1),"&gt;"&amp;0),0)</f>
        <v>7441.2692597877049</v>
      </c>
      <c r="J233" s="38">
        <f t="shared" ca="1" si="22"/>
        <v>-18.582231361590239</v>
      </c>
      <c r="K233" s="30">
        <f t="shared" ca="1" si="26"/>
        <v>210000</v>
      </c>
      <c r="L233" t="str">
        <f t="shared" si="23"/>
        <v>High</v>
      </c>
      <c r="M233" s="39">
        <f>IFERROR(VLOOKUP("47mg LP",Controls!A:I,7,0),6)</f>
        <v>9</v>
      </c>
      <c r="N233" s="39">
        <f>IFERROR(VLOOKUP("47mg LP",Controls!A:I,8,0),3)</f>
        <v>8</v>
      </c>
      <c r="O233" s="39">
        <f>IFERROR(VLOOKUP("47mg LP",Controls!A:I,9,0),18)</f>
        <v>18</v>
      </c>
      <c r="P233" s="40">
        <f>IFERROR(VLOOKUP("47mg LP",Controls!A:J,5,0),0)</f>
        <v>10000</v>
      </c>
      <c r="Q233" s="39">
        <f>IFERROR(VLOOKUP("47mg LP",Controls!A:J,6,0),3)</f>
        <v>3</v>
      </c>
      <c r="R233" s="21" t="str">
        <f>IFERROR(VLOOKUP("47mg LP",Controls!A:K,10,0),"")</f>
        <v>Fisher / ThermoFisher Allentown</v>
      </c>
      <c r="S233" s="41">
        <f t="shared" si="24"/>
        <v>47484</v>
      </c>
      <c r="T233" s="30">
        <f t="shared" si="25"/>
        <v>0</v>
      </c>
      <c r="AB233">
        <f t="shared" si="27"/>
        <v>180100.91810688825</v>
      </c>
    </row>
    <row r="234" spans="1:28" ht="13" customHeight="1" x14ac:dyDescent="0.35">
      <c r="A234" s="153">
        <v>47604</v>
      </c>
      <c r="B234" s="36" t="s">
        <v>35</v>
      </c>
      <c r="C234" s="15" t="s">
        <v>28</v>
      </c>
      <c r="D234" s="15" t="s">
        <v>29</v>
      </c>
      <c r="E234" s="30">
        <f>H233</f>
        <v>-138275.38700926446</v>
      </c>
      <c r="F234" s="37">
        <f>IFERROR(SUMIFS('Demand Inputs'!$BE$5:$BE$202,'Demand Inputs'!$A$5:$A$202,"47mg LP",'Demand Inputs'!$B$5:$B$202,"&lt;&gt;AGGREGATE",'Demand Inputs'!$E$5:$E$202,1),0)</f>
        <v>7312.5956119401162</v>
      </c>
      <c r="G234" s="37">
        <f t="array" ref="G234">IFERROR(SUMPRODUCT(('Production Inputs'!$A:$A="47mg LP")*('Production Inputs'!$B:$B="TOTAL ACTIVE")*'Production Inputs'!$BK:$BK),0)</f>
        <v>0</v>
      </c>
      <c r="H234" s="30">
        <f t="shared" si="21"/>
        <v>-145587.98262120457</v>
      </c>
      <c r="I234" s="30">
        <f ca="1">IFERROR(AVERAGEIF(OFFSET(F234,0,0,MIN(Controls!$B$8,COUNTIF(B234:B$1973,B234)),1),"&gt;"&amp;0),0)</f>
        <v>7702.9170786409268</v>
      </c>
      <c r="J234" s="38">
        <f t="shared" ca="1" si="22"/>
        <v>-18.900369968268119</v>
      </c>
      <c r="K234" s="30">
        <f t="shared" ca="1" si="26"/>
        <v>210000</v>
      </c>
      <c r="L234" t="str">
        <f t="shared" si="23"/>
        <v>High</v>
      </c>
      <c r="M234" s="39">
        <f>IFERROR(VLOOKUP("47mg LP",Controls!A:I,7,0),6)</f>
        <v>9</v>
      </c>
      <c r="N234" s="39">
        <f>IFERROR(VLOOKUP("47mg LP",Controls!A:I,8,0),3)</f>
        <v>8</v>
      </c>
      <c r="O234" s="39">
        <f>IFERROR(VLOOKUP("47mg LP",Controls!A:I,9,0),18)</f>
        <v>18</v>
      </c>
      <c r="P234" s="40">
        <f>IFERROR(VLOOKUP("47mg LP",Controls!A:J,5,0),0)</f>
        <v>10000</v>
      </c>
      <c r="Q234" s="39">
        <f>IFERROR(VLOOKUP("47mg LP",Controls!A:J,6,0),3)</f>
        <v>3</v>
      </c>
      <c r="R234" s="21" t="str">
        <f>IFERROR(VLOOKUP("47mg LP",Controls!A:K,10,0),"")</f>
        <v>Fisher / ThermoFisher Allentown</v>
      </c>
      <c r="S234" s="41">
        <f t="shared" si="24"/>
        <v>47515</v>
      </c>
      <c r="T234" s="30">
        <f t="shared" si="25"/>
        <v>0</v>
      </c>
      <c r="AB234">
        <f t="shared" si="27"/>
        <v>187413.51371882836</v>
      </c>
    </row>
    <row r="235" spans="1:28" ht="13" customHeight="1" x14ac:dyDescent="0.35">
      <c r="A235" s="153">
        <v>47635</v>
      </c>
      <c r="B235" s="36" t="s">
        <v>35</v>
      </c>
      <c r="C235" s="15" t="s">
        <v>28</v>
      </c>
      <c r="D235" s="15" t="s">
        <v>29</v>
      </c>
      <c r="E235" s="30">
        <f>H234</f>
        <v>-145587.98262120457</v>
      </c>
      <c r="F235" s="37">
        <f>IFERROR(SUMIFS('Demand Inputs'!$BF$5:$BF$202,'Demand Inputs'!$A$5:$A$202,"47mg LP",'Demand Inputs'!$B$5:$B$202,"&lt;&gt;AGGREGATE",'Demand Inputs'!$E$5:$E$202,1),0)</f>
        <v>7385.176083469245</v>
      </c>
      <c r="G235" s="37">
        <f t="array" ref="G235">IFERROR(SUMPRODUCT(('Production Inputs'!$A:$A="47mg LP")*('Production Inputs'!$B:$B="TOTAL ACTIVE")*'Production Inputs'!$BL:$BL),0)</f>
        <v>0</v>
      </c>
      <c r="H235" s="30">
        <f t="shared" si="21"/>
        <v>-152973.15870467381</v>
      </c>
      <c r="I235" s="30">
        <f ca="1">IFERROR(AVERAGEIF(OFFSET(F235,0,0,MIN(Controls!$B$8,COUNTIF(B235:B$1973,B235)),1),"&gt;"&amp;0),0)</f>
        <v>7909.1979374702896</v>
      </c>
      <c r="J235" s="38">
        <f t="shared" ca="1" si="22"/>
        <v>-19.341172128207145</v>
      </c>
      <c r="K235" s="30">
        <f t="shared" ca="1" si="26"/>
        <v>220000</v>
      </c>
      <c r="L235" t="str">
        <f t="shared" si="23"/>
        <v>High</v>
      </c>
      <c r="M235" s="39">
        <f>IFERROR(VLOOKUP("47mg LP",Controls!A:I,7,0),6)</f>
        <v>9</v>
      </c>
      <c r="N235" s="39">
        <f>IFERROR(VLOOKUP("47mg LP",Controls!A:I,8,0),3)</f>
        <v>8</v>
      </c>
      <c r="O235" s="39">
        <f>IFERROR(VLOOKUP("47mg LP",Controls!A:I,9,0),18)</f>
        <v>18</v>
      </c>
      <c r="P235" s="40">
        <f>IFERROR(VLOOKUP("47mg LP",Controls!A:J,5,0),0)</f>
        <v>10000</v>
      </c>
      <c r="Q235" s="39">
        <f>IFERROR(VLOOKUP("47mg LP",Controls!A:J,6,0),3)</f>
        <v>3</v>
      </c>
      <c r="R235" s="21" t="str">
        <f>IFERROR(VLOOKUP("47mg LP",Controls!A:K,10,0),"")</f>
        <v>Fisher / ThermoFisher Allentown</v>
      </c>
      <c r="S235" s="41">
        <f t="shared" si="24"/>
        <v>47543</v>
      </c>
      <c r="T235" s="30">
        <f t="shared" si="25"/>
        <v>0</v>
      </c>
      <c r="AB235">
        <f t="shared" si="27"/>
        <v>194798.68980229759</v>
      </c>
    </row>
    <row r="236" spans="1:28" ht="13" customHeight="1" x14ac:dyDescent="0.35">
      <c r="A236" s="153">
        <v>47665</v>
      </c>
      <c r="B236" s="36" t="s">
        <v>35</v>
      </c>
      <c r="C236" s="15" t="s">
        <v>28</v>
      </c>
      <c r="D236" s="15" t="s">
        <v>29</v>
      </c>
      <c r="E236" s="30">
        <f>H235</f>
        <v>-152973.15870467381</v>
      </c>
      <c r="F236" s="37">
        <f>IFERROR(SUMIFS('Demand Inputs'!$BG$5:$BG$202,'Demand Inputs'!$A$5:$A$202,"47mg LP",'Demand Inputs'!$B$5:$B$202,"&lt;&gt;AGGREGATE",'Demand Inputs'!$E$5:$E$202,1),0)</f>
        <v>5848.9810035806331</v>
      </c>
      <c r="G236" s="37">
        <f t="array" ref="G236">IFERROR(SUMPRODUCT(('Production Inputs'!$A:$A="47mg LP")*('Production Inputs'!$B:$B="TOTAL ACTIVE")*'Production Inputs'!$BM:$BM),0)</f>
        <v>0</v>
      </c>
      <c r="H236" s="30">
        <f t="shared" si="21"/>
        <v>-158822.13970825446</v>
      </c>
      <c r="I236" s="30">
        <f ca="1">IFERROR(AVERAGEIF(OFFSET(F236,0,0,MIN(Controls!$B$8,COUNTIF(B236:B$1973,B236)),1),"&gt;"&amp;0),0)</f>
        <v>7970.9034110661496</v>
      </c>
      <c r="J236" s="38">
        <f t="shared" ca="1" si="22"/>
        <v>-19.925237017394892</v>
      </c>
      <c r="K236" s="30">
        <f t="shared" ca="1" si="26"/>
        <v>230000</v>
      </c>
      <c r="L236" t="str">
        <f t="shared" si="23"/>
        <v>High</v>
      </c>
      <c r="M236" s="39">
        <f>IFERROR(VLOOKUP("47mg LP",Controls!A:I,7,0),6)</f>
        <v>9</v>
      </c>
      <c r="N236" s="39">
        <f>IFERROR(VLOOKUP("47mg LP",Controls!A:I,8,0),3)</f>
        <v>8</v>
      </c>
      <c r="O236" s="39">
        <f>IFERROR(VLOOKUP("47mg LP",Controls!A:I,9,0),18)</f>
        <v>18</v>
      </c>
      <c r="P236" s="40">
        <f>IFERROR(VLOOKUP("47mg LP",Controls!A:J,5,0),0)</f>
        <v>10000</v>
      </c>
      <c r="Q236" s="39">
        <f>IFERROR(VLOOKUP("47mg LP",Controls!A:J,6,0),3)</f>
        <v>3</v>
      </c>
      <c r="R236" s="21" t="str">
        <f>IFERROR(VLOOKUP("47mg LP",Controls!A:K,10,0),"")</f>
        <v>Fisher / ThermoFisher Allentown</v>
      </c>
      <c r="S236" s="41">
        <f t="shared" si="24"/>
        <v>47574</v>
      </c>
      <c r="T236" s="30">
        <f t="shared" si="25"/>
        <v>0</v>
      </c>
      <c r="AB236">
        <f t="shared" si="27"/>
        <v>200647.67080587824</v>
      </c>
    </row>
    <row r="237" spans="1:28" ht="13" customHeight="1" x14ac:dyDescent="0.35">
      <c r="A237" s="153">
        <v>47696</v>
      </c>
      <c r="B237" s="36" t="s">
        <v>35</v>
      </c>
      <c r="C237" s="15" t="s">
        <v>28</v>
      </c>
      <c r="D237" s="15" t="s">
        <v>29</v>
      </c>
      <c r="E237" s="30">
        <f>H236</f>
        <v>-158822.13970825446</v>
      </c>
      <c r="F237" s="37">
        <f>IFERROR(SUMIFS('Demand Inputs'!$BH$5:$BH$202,'Demand Inputs'!$A$5:$A$202,"47mg LP",'Demand Inputs'!$B$5:$B$202,"&lt;&gt;AGGREGATE",'Demand Inputs'!$E$5:$E$202,1),0)</f>
        <v>8323.6021738539639</v>
      </c>
      <c r="G237" s="37">
        <f t="array" ref="G237">IFERROR(SUMPRODUCT(('Production Inputs'!$A:$A="47mg LP")*('Production Inputs'!$B:$B="TOTAL ACTIVE")*'Production Inputs'!$BN:$BN),0)</f>
        <v>0</v>
      </c>
      <c r="H237" s="30">
        <f t="shared" si="21"/>
        <v>-167145.74188210841</v>
      </c>
      <c r="I237" s="30">
        <f ca="1">IFERROR(AVERAGEIF(OFFSET(F237,0,0,MIN(Controls!$B$8,COUNTIF(B237:B$1973,B237)),1),"&gt;"&amp;0),0)</f>
        <v>8467.6531426747333</v>
      </c>
      <c r="J237" s="38">
        <f t="shared" ca="1" si="22"/>
        <v>-19.739323170872229</v>
      </c>
      <c r="K237" s="30">
        <f t="shared" ca="1" si="26"/>
        <v>240000</v>
      </c>
      <c r="L237" t="str">
        <f t="shared" si="23"/>
        <v>High</v>
      </c>
      <c r="M237" s="39">
        <f>IFERROR(VLOOKUP("47mg LP",Controls!A:I,7,0),6)</f>
        <v>9</v>
      </c>
      <c r="N237" s="39">
        <f>IFERROR(VLOOKUP("47mg LP",Controls!A:I,8,0),3)</f>
        <v>8</v>
      </c>
      <c r="O237" s="39">
        <f>IFERROR(VLOOKUP("47mg LP",Controls!A:I,9,0),18)</f>
        <v>18</v>
      </c>
      <c r="P237" s="40">
        <f>IFERROR(VLOOKUP("47mg LP",Controls!A:J,5,0),0)</f>
        <v>10000</v>
      </c>
      <c r="Q237" s="39">
        <f>IFERROR(VLOOKUP("47mg LP",Controls!A:J,6,0),3)</f>
        <v>3</v>
      </c>
      <c r="R237" s="21" t="str">
        <f>IFERROR(VLOOKUP("47mg LP",Controls!A:K,10,0),"")</f>
        <v>Fisher / ThermoFisher Allentown</v>
      </c>
      <c r="S237" s="41">
        <f t="shared" si="24"/>
        <v>47604</v>
      </c>
      <c r="T237" s="30">
        <f t="shared" si="25"/>
        <v>0</v>
      </c>
      <c r="AB237">
        <f t="shared" si="27"/>
        <v>208971.2729797322</v>
      </c>
    </row>
    <row r="238" spans="1:28" ht="13" customHeight="1" x14ac:dyDescent="0.35">
      <c r="A238" s="153">
        <v>47727</v>
      </c>
      <c r="B238" s="36" t="s">
        <v>35</v>
      </c>
      <c r="C238" s="15" t="s">
        <v>28</v>
      </c>
      <c r="D238" s="15" t="s">
        <v>29</v>
      </c>
      <c r="E238" s="30">
        <f>H237</f>
        <v>-167145.74188210841</v>
      </c>
      <c r="F238" s="37">
        <f>IFERROR(SUMIFS('Demand Inputs'!$BI$5:$BI$202,'Demand Inputs'!$A$5:$A$202,"47mg LP",'Demand Inputs'!$B$5:$B$202,"&lt;&gt;AGGREGATE",'Demand Inputs'!$E$5:$E$202,1),0)</f>
        <v>8089.4488480600448</v>
      </c>
      <c r="G238" s="37">
        <f t="array" ref="G238">IFERROR(SUMPRODUCT(('Production Inputs'!$A:$A="47mg LP")*('Production Inputs'!$B:$B="TOTAL ACTIVE")*'Production Inputs'!$BO:$BO),0)</f>
        <v>0</v>
      </c>
      <c r="H238" s="30">
        <f t="shared" si="21"/>
        <v>-175235.19073016846</v>
      </c>
      <c r="I238" s="30">
        <f ca="1">IFERROR(AVERAGEIF(OFFSET(F238,0,0,MIN(Controls!$B$8,COUNTIF(B238:B$1973,B238)),1),"&gt;"&amp;0),0)</f>
        <v>8769.8383163476956</v>
      </c>
      <c r="J238" s="38">
        <f t="shared" ca="1" si="22"/>
        <v>-19.981575989093862</v>
      </c>
      <c r="K238" s="30">
        <f t="shared" ca="1" si="26"/>
        <v>250000</v>
      </c>
      <c r="L238" t="str">
        <f t="shared" si="23"/>
        <v>High</v>
      </c>
      <c r="M238" s="39">
        <f>IFERROR(VLOOKUP("47mg LP",Controls!A:I,7,0),6)</f>
        <v>9</v>
      </c>
      <c r="N238" s="39">
        <f>IFERROR(VLOOKUP("47mg LP",Controls!A:I,8,0),3)</f>
        <v>8</v>
      </c>
      <c r="O238" s="39">
        <f>IFERROR(VLOOKUP("47mg LP",Controls!A:I,9,0),18)</f>
        <v>18</v>
      </c>
      <c r="P238" s="40">
        <f>IFERROR(VLOOKUP("47mg LP",Controls!A:J,5,0),0)</f>
        <v>10000</v>
      </c>
      <c r="Q238" s="39">
        <f>IFERROR(VLOOKUP("47mg LP",Controls!A:J,6,0),3)</f>
        <v>3</v>
      </c>
      <c r="R238" s="21" t="str">
        <f>IFERROR(VLOOKUP("47mg LP",Controls!A:K,10,0),"")</f>
        <v>Fisher / ThermoFisher Allentown</v>
      </c>
      <c r="S238" s="41">
        <f t="shared" si="24"/>
        <v>47635</v>
      </c>
      <c r="T238" s="30">
        <f t="shared" si="25"/>
        <v>0</v>
      </c>
      <c r="AB238">
        <f t="shared" si="27"/>
        <v>217060.72182779224</v>
      </c>
    </row>
    <row r="239" spans="1:28" ht="13" customHeight="1" x14ac:dyDescent="0.35">
      <c r="A239" s="153">
        <v>47757</v>
      </c>
      <c r="B239" s="36" t="s">
        <v>35</v>
      </c>
      <c r="C239" s="15" t="s">
        <v>28</v>
      </c>
      <c r="D239" s="15" t="s">
        <v>29</v>
      </c>
      <c r="E239" s="30">
        <f>H238</f>
        <v>-175235.19073016846</v>
      </c>
      <c r="F239" s="37">
        <f>IFERROR(SUMIFS('Demand Inputs'!$BJ$5:$BJ$202,'Demand Inputs'!$A$5:$A$202,"47mg LP",'Demand Inputs'!$B$5:$B$202,"&lt;&gt;AGGREGATE",'Demand Inputs'!$E$5:$E$202,1),0)</f>
        <v>7088.2157720511514</v>
      </c>
      <c r="G239" s="37">
        <f t="array" ref="G239">IFERROR(SUMPRODUCT(('Production Inputs'!$A:$A="47mg LP")*('Production Inputs'!$B:$B="TOTAL ACTIVE")*'Production Inputs'!$BP:$BP),0)</f>
        <v>0</v>
      </c>
      <c r="H239" s="30">
        <f t="shared" si="21"/>
        <v>-182323.40650221962</v>
      </c>
      <c r="I239" s="30">
        <f ca="1">IFERROR(AVERAGEIF(OFFSET(F239,0,0,MIN(Controls!$B$8,COUNTIF(B239:B$1973,B239)),1),"&gt;"&amp;0),0)</f>
        <v>9014.9161794244501</v>
      </c>
      <c r="J239" s="38">
        <f t="shared" ca="1" si="22"/>
        <v>-20.224636909919656</v>
      </c>
      <c r="K239" s="30">
        <f t="shared" ca="1" si="26"/>
        <v>260000</v>
      </c>
      <c r="L239" t="str">
        <f t="shared" si="23"/>
        <v>High</v>
      </c>
      <c r="M239" s="39">
        <f>IFERROR(VLOOKUP("47mg LP",Controls!A:I,7,0),6)</f>
        <v>9</v>
      </c>
      <c r="N239" s="39">
        <f>IFERROR(VLOOKUP("47mg LP",Controls!A:I,8,0),3)</f>
        <v>8</v>
      </c>
      <c r="O239" s="39">
        <f>IFERROR(VLOOKUP("47mg LP",Controls!A:I,9,0),18)</f>
        <v>18</v>
      </c>
      <c r="P239" s="40">
        <f>IFERROR(VLOOKUP("47mg LP",Controls!A:J,5,0),0)</f>
        <v>10000</v>
      </c>
      <c r="Q239" s="39">
        <f>IFERROR(VLOOKUP("47mg LP",Controls!A:J,6,0),3)</f>
        <v>3</v>
      </c>
      <c r="R239" s="21" t="str">
        <f>IFERROR(VLOOKUP("47mg LP",Controls!A:K,10,0),"")</f>
        <v>Fisher / ThermoFisher Allentown</v>
      </c>
      <c r="S239" s="41">
        <f t="shared" si="24"/>
        <v>47665</v>
      </c>
      <c r="T239" s="30">
        <f t="shared" si="25"/>
        <v>0</v>
      </c>
      <c r="AB239">
        <f t="shared" si="27"/>
        <v>224148.9375998434</v>
      </c>
    </row>
    <row r="240" spans="1:28" ht="13" customHeight="1" x14ac:dyDescent="0.35">
      <c r="A240" s="153">
        <v>47788</v>
      </c>
      <c r="B240" s="36" t="s">
        <v>35</v>
      </c>
      <c r="C240" s="15" t="s">
        <v>28</v>
      </c>
      <c r="D240" s="15" t="s">
        <v>29</v>
      </c>
      <c r="E240" s="30">
        <f>H239</f>
        <v>-182323.40650221962</v>
      </c>
      <c r="F240" s="37">
        <f>IFERROR(SUMIFS('Demand Inputs'!$BK$5:$BK$202,'Demand Inputs'!$A$5:$A$202,"47mg LP",'Demand Inputs'!$B$5:$B$202,"&lt;&gt;AGGREGATE",'Demand Inputs'!$E$5:$E$202,1),0)</f>
        <v>9098.1463796462067</v>
      </c>
      <c r="G240" s="37">
        <f t="array" ref="G240">IFERROR(SUMPRODUCT(('Production Inputs'!$A:$A="47mg LP")*('Production Inputs'!$B:$B="TOTAL ACTIVE")*'Production Inputs'!$BQ:$BQ),0)</f>
        <v>0</v>
      </c>
      <c r="H240" s="30">
        <f t="shared" si="21"/>
        <v>-191421.55288186582</v>
      </c>
      <c r="I240" s="30">
        <f ca="1">IFERROR(AVERAGEIF(OFFSET(F240,0,0,MIN(Controls!$B$8,COUNTIF(B240:B$1973,B240)),1),"&gt;"&amp;0),0)</f>
        <v>9335.8967863730486</v>
      </c>
      <c r="J240" s="38">
        <f t="shared" ca="1" si="22"/>
        <v>-20.503820603637177</v>
      </c>
      <c r="K240" s="30">
        <f t="shared" ca="1" si="26"/>
        <v>280000</v>
      </c>
      <c r="L240" t="str">
        <f t="shared" si="23"/>
        <v>High</v>
      </c>
      <c r="M240" s="39">
        <f>IFERROR(VLOOKUP("47mg LP",Controls!A:I,7,0),6)</f>
        <v>9</v>
      </c>
      <c r="N240" s="39">
        <f>IFERROR(VLOOKUP("47mg LP",Controls!A:I,8,0),3)</f>
        <v>8</v>
      </c>
      <c r="O240" s="39">
        <f>IFERROR(VLOOKUP("47mg LP",Controls!A:I,9,0),18)</f>
        <v>18</v>
      </c>
      <c r="P240" s="40">
        <f>IFERROR(VLOOKUP("47mg LP",Controls!A:J,5,0),0)</f>
        <v>10000</v>
      </c>
      <c r="Q240" s="39">
        <f>IFERROR(VLOOKUP("47mg LP",Controls!A:J,6,0),3)</f>
        <v>3</v>
      </c>
      <c r="R240" s="21" t="str">
        <f>IFERROR(VLOOKUP("47mg LP",Controls!A:K,10,0),"")</f>
        <v>Fisher / ThermoFisher Allentown</v>
      </c>
      <c r="S240" s="41">
        <f t="shared" si="24"/>
        <v>47696</v>
      </c>
      <c r="T240" s="30">
        <f t="shared" si="25"/>
        <v>0</v>
      </c>
      <c r="AB240">
        <f t="shared" si="27"/>
        <v>233247.0839794896</v>
      </c>
    </row>
    <row r="241" spans="1:28" ht="13" customHeight="1" x14ac:dyDescent="0.35">
      <c r="A241" s="153">
        <v>47818</v>
      </c>
      <c r="B241" s="36" t="s">
        <v>35</v>
      </c>
      <c r="C241" s="15" t="s">
        <v>28</v>
      </c>
      <c r="D241" s="15" t="s">
        <v>29</v>
      </c>
      <c r="E241" s="30">
        <f>H240</f>
        <v>-191421.55288186582</v>
      </c>
      <c r="F241" s="37">
        <f>IFERROR(SUMIFS('Demand Inputs'!$BL$5:$BL$202,'Demand Inputs'!$A$5:$A$202,"47mg LP",'Demand Inputs'!$B$5:$B$202,"&lt;&gt;AGGREGATE",'Demand Inputs'!$E$5:$E$202,1),0)</f>
        <v>6922.2689094884681</v>
      </c>
      <c r="G241" s="37">
        <f t="array" ref="G241">IFERROR(SUMPRODUCT(('Production Inputs'!$A:$A="47mg LP")*('Production Inputs'!$B:$B="TOTAL ACTIVE")*'Production Inputs'!$BR:$BR),0)</f>
        <v>0</v>
      </c>
      <c r="H241" s="30">
        <f t="shared" si="21"/>
        <v>-198343.82179135428</v>
      </c>
      <c r="I241" s="30">
        <f ca="1">IFERROR(AVERAGEIF(OFFSET(F241,0,0,MIN(Controls!$B$8,COUNTIF(B241:B$1973,B241)),1),"&gt;"&amp;0),0)</f>
        <v>9703.0193212576814</v>
      </c>
      <c r="J241" s="38">
        <f t="shared" ca="1" si="22"/>
        <v>-20.44145386341923</v>
      </c>
      <c r="K241" s="30">
        <f t="shared" ca="1" si="26"/>
        <v>290000</v>
      </c>
      <c r="L241" t="str">
        <f t="shared" si="23"/>
        <v>High</v>
      </c>
      <c r="M241" s="39">
        <f>IFERROR(VLOOKUP("47mg LP",Controls!A:I,7,0),6)</f>
        <v>9</v>
      </c>
      <c r="N241" s="39">
        <f>IFERROR(VLOOKUP("47mg LP",Controls!A:I,8,0),3)</f>
        <v>8</v>
      </c>
      <c r="O241" s="39">
        <f>IFERROR(VLOOKUP("47mg LP",Controls!A:I,9,0),18)</f>
        <v>18</v>
      </c>
      <c r="P241" s="40">
        <f>IFERROR(VLOOKUP("47mg LP",Controls!A:J,5,0),0)</f>
        <v>10000</v>
      </c>
      <c r="Q241" s="39">
        <f>IFERROR(VLOOKUP("47mg LP",Controls!A:J,6,0),3)</f>
        <v>3</v>
      </c>
      <c r="R241" s="21" t="str">
        <f>IFERROR(VLOOKUP("47mg LP",Controls!A:K,10,0),"")</f>
        <v>Fisher / ThermoFisher Allentown</v>
      </c>
      <c r="S241" s="41">
        <f t="shared" si="24"/>
        <v>47727</v>
      </c>
      <c r="T241" s="30">
        <f t="shared" si="25"/>
        <v>0</v>
      </c>
      <c r="AB241">
        <f t="shared" si="27"/>
        <v>240169.35288897806</v>
      </c>
    </row>
    <row r="242" spans="1:28" ht="13" customHeight="1" x14ac:dyDescent="0.35">
      <c r="A242" s="153">
        <v>47849</v>
      </c>
      <c r="B242" s="36" t="s">
        <v>35</v>
      </c>
      <c r="C242" s="15" t="s">
        <v>28</v>
      </c>
      <c r="D242" s="15" t="s">
        <v>29</v>
      </c>
      <c r="E242" s="30">
        <f>H241</f>
        <v>-198343.82179135428</v>
      </c>
      <c r="F242" s="37">
        <f>IFERROR(SUMIFS('Demand Inputs'!$BM$5:$BM$202,'Demand Inputs'!$A$5:$A$202,"47mg LP",'Demand Inputs'!$B$5:$B$202,"&lt;&gt;AGGREGATE",'Demand Inputs'!$E$5:$E$202,1),0)</f>
        <v>9257.8189256785045</v>
      </c>
      <c r="G242" s="37">
        <f t="array" ref="G242">IFERROR(SUMPRODUCT(('Production Inputs'!$A:$A="47mg LP")*('Production Inputs'!$B:$B="TOTAL ACTIVE")*'Production Inputs'!$BS:$BS),0)</f>
        <v>0</v>
      </c>
      <c r="H242" s="30">
        <f t="shared" si="21"/>
        <v>-207601.64071703277</v>
      </c>
      <c r="I242" s="30">
        <f ca="1">IFERROR(AVERAGEIF(OFFSET(F242,0,0,MIN(Controls!$B$8,COUNTIF(B242:B$1973,B242)),1),"&gt;"&amp;0),0)</f>
        <v>10172.426851431648</v>
      </c>
      <c r="J242" s="38">
        <f t="shared" ca="1" si="22"/>
        <v>-20.408270685948978</v>
      </c>
      <c r="K242" s="30">
        <f t="shared" ca="1" si="26"/>
        <v>300000</v>
      </c>
      <c r="L242" t="str">
        <f t="shared" si="23"/>
        <v>High</v>
      </c>
      <c r="M242" s="39">
        <f>IFERROR(VLOOKUP("47mg LP",Controls!A:I,7,0),6)</f>
        <v>9</v>
      </c>
      <c r="N242" s="39">
        <f>IFERROR(VLOOKUP("47mg LP",Controls!A:I,8,0),3)</f>
        <v>8</v>
      </c>
      <c r="O242" s="39">
        <f>IFERROR(VLOOKUP("47mg LP",Controls!A:I,9,0),18)</f>
        <v>18</v>
      </c>
      <c r="P242" s="40">
        <f>IFERROR(VLOOKUP("47mg LP",Controls!A:J,5,0),0)</f>
        <v>10000</v>
      </c>
      <c r="Q242" s="39">
        <f>IFERROR(VLOOKUP("47mg LP",Controls!A:J,6,0),3)</f>
        <v>3</v>
      </c>
      <c r="R242" s="21" t="str">
        <f>IFERROR(VLOOKUP("47mg LP",Controls!A:K,10,0),"")</f>
        <v>Fisher / ThermoFisher Allentown</v>
      </c>
      <c r="S242" s="41">
        <f t="shared" si="24"/>
        <v>47757</v>
      </c>
      <c r="T242" s="30">
        <f t="shared" si="25"/>
        <v>0</v>
      </c>
      <c r="AB242">
        <f t="shared" si="27"/>
        <v>249427.17181465655</v>
      </c>
    </row>
    <row r="243" spans="1:28" ht="13" customHeight="1" x14ac:dyDescent="0.35">
      <c r="A243" s="153">
        <v>47880</v>
      </c>
      <c r="B243" s="36" t="s">
        <v>35</v>
      </c>
      <c r="C243" s="15" t="s">
        <v>28</v>
      </c>
      <c r="D243" s="15" t="s">
        <v>29</v>
      </c>
      <c r="E243" s="30">
        <f>H242</f>
        <v>-207601.64071703277</v>
      </c>
      <c r="F243" s="37">
        <f>IFERROR(SUMIFS('Demand Inputs'!$BN$5:$BN$202,'Demand Inputs'!$A$5:$A$202,"47mg LP",'Demand Inputs'!$B$5:$B$202,"&lt;&gt;AGGREGATE",'Demand Inputs'!$E$5:$E$202,1),0)</f>
        <v>9169.1233414043982</v>
      </c>
      <c r="G243" s="37">
        <f t="array" ref="G243">IFERROR(SUMPRODUCT(('Production Inputs'!$A:$A="47mg LP")*('Production Inputs'!$B:$B="TOTAL ACTIVE")*'Production Inputs'!$BT:$BT),0)</f>
        <v>0</v>
      </c>
      <c r="H243" s="30">
        <f t="shared" si="21"/>
        <v>-216770.76405843717</v>
      </c>
      <c r="I243" s="30">
        <f ca="1">IFERROR(AVERAGEIF(OFFSET(F243,0,0,MIN(Controls!$B$8,COUNTIF(B243:B$1973,B243)),1),"&gt;"&amp;0),0)</f>
        <v>10443.139439118117</v>
      </c>
      <c r="J243" s="38">
        <f t="shared" ca="1" si="22"/>
        <v>-20.757241184241302</v>
      </c>
      <c r="K243" s="30">
        <f t="shared" ca="1" si="26"/>
        <v>310000</v>
      </c>
      <c r="L243" t="str">
        <f t="shared" si="23"/>
        <v>High</v>
      </c>
      <c r="M243" s="39">
        <f>IFERROR(VLOOKUP("47mg LP",Controls!A:I,7,0),6)</f>
        <v>9</v>
      </c>
      <c r="N243" s="39">
        <f>IFERROR(VLOOKUP("47mg LP",Controls!A:I,8,0),3)</f>
        <v>8</v>
      </c>
      <c r="O243" s="39">
        <f>IFERROR(VLOOKUP("47mg LP",Controls!A:I,9,0),18)</f>
        <v>18</v>
      </c>
      <c r="P243" s="40">
        <f>IFERROR(VLOOKUP("47mg LP",Controls!A:J,5,0),0)</f>
        <v>10000</v>
      </c>
      <c r="Q243" s="39">
        <f>IFERROR(VLOOKUP("47mg LP",Controls!A:J,6,0),3)</f>
        <v>3</v>
      </c>
      <c r="R243" s="21" t="str">
        <f>IFERROR(VLOOKUP("47mg LP",Controls!A:K,10,0),"")</f>
        <v>Fisher / ThermoFisher Allentown</v>
      </c>
      <c r="S243" s="41">
        <f t="shared" si="24"/>
        <v>47788</v>
      </c>
      <c r="T243" s="30">
        <f t="shared" si="25"/>
        <v>0</v>
      </c>
      <c r="AB243">
        <f t="shared" si="27"/>
        <v>258596.29515606095</v>
      </c>
    </row>
    <row r="244" spans="1:28" ht="13" customHeight="1" x14ac:dyDescent="0.35">
      <c r="A244" s="153">
        <v>47908</v>
      </c>
      <c r="B244" s="36" t="s">
        <v>35</v>
      </c>
      <c r="C244" s="15" t="s">
        <v>28</v>
      </c>
      <c r="D244" s="15" t="s">
        <v>29</v>
      </c>
      <c r="E244" s="30">
        <f>H243</f>
        <v>-216770.76405843717</v>
      </c>
      <c r="F244" s="37">
        <f>IFERROR(SUMIFS('Demand Inputs'!$BO$5:$BO$202,'Demand Inputs'!$A$5:$A$202,"47mg LP",'Demand Inputs'!$B$5:$B$202,"&lt;&gt;AGGREGATE",'Demand Inputs'!$E$5:$E$202,1),0)</f>
        <v>7940.5253458319748</v>
      </c>
      <c r="G244" s="37">
        <f t="array" ref="G244">IFERROR(SUMPRODUCT(('Production Inputs'!$A:$A="47mg LP")*('Production Inputs'!$B:$B="TOTAL ACTIVE")*'Production Inputs'!$BU:$BU),0)</f>
        <v>0</v>
      </c>
      <c r="H244" s="30">
        <f t="shared" si="21"/>
        <v>-224711.28940426913</v>
      </c>
      <c r="I244" s="30">
        <f ca="1">IFERROR(AVERAGEIF(OFFSET(F244,0,0,MIN(Controls!$B$8,COUNTIF(B244:B$1973,B244)),1),"&gt;"&amp;0),0)</f>
        <v>10860.320239351257</v>
      </c>
      <c r="J244" s="38">
        <f t="shared" ca="1" si="22"/>
        <v>-20.691037138117789</v>
      </c>
      <c r="K244" s="30">
        <f t="shared" ca="1" si="26"/>
        <v>320000</v>
      </c>
      <c r="L244" t="str">
        <f t="shared" si="23"/>
        <v>High</v>
      </c>
      <c r="M244" s="39">
        <f>IFERROR(VLOOKUP("47mg LP",Controls!A:I,7,0),6)</f>
        <v>9</v>
      </c>
      <c r="N244" s="39">
        <f>IFERROR(VLOOKUP("47mg LP",Controls!A:I,8,0),3)</f>
        <v>8</v>
      </c>
      <c r="O244" s="39">
        <f>IFERROR(VLOOKUP("47mg LP",Controls!A:I,9,0),18)</f>
        <v>18</v>
      </c>
      <c r="P244" s="40">
        <f>IFERROR(VLOOKUP("47mg LP",Controls!A:J,5,0),0)</f>
        <v>10000</v>
      </c>
      <c r="Q244" s="39">
        <f>IFERROR(VLOOKUP("47mg LP",Controls!A:J,6,0),3)</f>
        <v>3</v>
      </c>
      <c r="R244" s="21" t="str">
        <f>IFERROR(VLOOKUP("47mg LP",Controls!A:K,10,0),"")</f>
        <v>Fisher / ThermoFisher Allentown</v>
      </c>
      <c r="S244" s="41">
        <f t="shared" si="24"/>
        <v>47818</v>
      </c>
      <c r="T244" s="30">
        <f t="shared" si="25"/>
        <v>0</v>
      </c>
      <c r="AB244">
        <f t="shared" si="27"/>
        <v>266536.82050189294</v>
      </c>
    </row>
    <row r="245" spans="1:28" ht="13" customHeight="1" x14ac:dyDescent="0.35">
      <c r="A245" s="153">
        <v>47939</v>
      </c>
      <c r="B245" s="36" t="s">
        <v>35</v>
      </c>
      <c r="C245" s="15" t="s">
        <v>28</v>
      </c>
      <c r="D245" s="15" t="s">
        <v>29</v>
      </c>
      <c r="E245" s="30">
        <f>H244</f>
        <v>-224711.28940426913</v>
      </c>
      <c r="F245" s="37">
        <f>IFERROR(SUMIFS('Demand Inputs'!$BP$5:$BP$202,'Demand Inputs'!$A$5:$A$202,"47mg LP",'Demand Inputs'!$B$5:$B$202,"&lt;&gt;AGGREGATE",'Demand Inputs'!$E$5:$E$202,1),0)</f>
        <v>10319.728588057904</v>
      </c>
      <c r="G245" s="37">
        <f t="array" ref="G245">IFERROR(SUMPRODUCT(('Production Inputs'!$A:$A="47mg LP")*('Production Inputs'!$B:$B="TOTAL ACTIVE")*'Production Inputs'!$BV:$BV),0)</f>
        <v>0</v>
      </c>
      <c r="H245" s="30">
        <f t="shared" si="21"/>
        <v>-235031.01799232705</v>
      </c>
      <c r="I245" s="30">
        <f ca="1">IFERROR(AVERAGEIF(OFFSET(F245,0,0,MIN(Controls!$B$8,COUNTIF(B245:B$1973,B245)),1),"&gt;"&amp;0),0)</f>
        <v>10946.098834984707</v>
      </c>
      <c r="J245" s="38">
        <f t="shared" ca="1" si="22"/>
        <v>-21.471669636413932</v>
      </c>
      <c r="K245" s="30">
        <f t="shared" ca="1" si="26"/>
        <v>330000</v>
      </c>
      <c r="L245" t="str">
        <f t="shared" si="23"/>
        <v>High</v>
      </c>
      <c r="M245" s="39">
        <f>IFERROR(VLOOKUP("47mg LP",Controls!A:I,7,0),6)</f>
        <v>9</v>
      </c>
      <c r="N245" s="39">
        <f>IFERROR(VLOOKUP("47mg LP",Controls!A:I,8,0),3)</f>
        <v>8</v>
      </c>
      <c r="O245" s="39">
        <f>IFERROR(VLOOKUP("47mg LP",Controls!A:I,9,0),18)</f>
        <v>18</v>
      </c>
      <c r="P245" s="40">
        <f>IFERROR(VLOOKUP("47mg LP",Controls!A:J,5,0),0)</f>
        <v>10000</v>
      </c>
      <c r="Q245" s="39">
        <f>IFERROR(VLOOKUP("47mg LP",Controls!A:J,6,0),3)</f>
        <v>3</v>
      </c>
      <c r="R245" s="21" t="str">
        <f>IFERROR(VLOOKUP("47mg LP",Controls!A:K,10,0),"")</f>
        <v>Fisher / ThermoFisher Allentown</v>
      </c>
      <c r="S245" s="41">
        <f t="shared" si="24"/>
        <v>47849</v>
      </c>
      <c r="T245" s="30">
        <f t="shared" si="25"/>
        <v>0</v>
      </c>
      <c r="AB245">
        <f t="shared" si="27"/>
        <v>276856.54908995086</v>
      </c>
    </row>
    <row r="246" spans="1:28" ht="13" customHeight="1" x14ac:dyDescent="0.35">
      <c r="A246" s="153">
        <v>47969</v>
      </c>
      <c r="B246" s="36" t="s">
        <v>35</v>
      </c>
      <c r="C246" s="15" t="s">
        <v>28</v>
      </c>
      <c r="D246" s="15" t="s">
        <v>29</v>
      </c>
      <c r="E246" s="30">
        <f>H245</f>
        <v>-235031.01799232705</v>
      </c>
      <c r="F246" s="37">
        <f>IFERROR(SUMIFS('Demand Inputs'!$BQ$5:$BQ$202,'Demand Inputs'!$A$5:$A$202,"47mg LP",'Demand Inputs'!$B$5:$B$202,"&lt;&gt;AGGREGATE",'Demand Inputs'!$E$5:$E$202,1),0)</f>
        <v>11043.26873691061</v>
      </c>
      <c r="G246" s="37">
        <f t="array" ref="G246">IFERROR(SUMPRODUCT(('Production Inputs'!$A:$A="47mg LP")*('Production Inputs'!$B:$B="TOTAL ACTIVE")*'Production Inputs'!$BW:$BW),0)</f>
        <v>0</v>
      </c>
      <c r="H246" s="30">
        <f t="shared" si="21"/>
        <v>-246074.28672923765</v>
      </c>
      <c r="I246" s="30">
        <f ca="1">IFERROR(AVERAGEIF(OFFSET(F246,0,0,MIN(Controls!$B$8,COUNTIF(B246:B$1973,B246)),1),"&gt;"&amp;0),0)</f>
        <v>11369.94682588592</v>
      </c>
      <c r="J246" s="38">
        <f t="shared" ca="1" si="22"/>
        <v>-21.642518694018968</v>
      </c>
      <c r="K246" s="30">
        <f t="shared" ca="1" si="26"/>
        <v>350000</v>
      </c>
      <c r="L246" t="str">
        <f t="shared" si="23"/>
        <v>High</v>
      </c>
      <c r="M246" s="39">
        <f>IFERROR(VLOOKUP("47mg LP",Controls!A:I,7,0),6)</f>
        <v>9</v>
      </c>
      <c r="N246" s="39">
        <f>IFERROR(VLOOKUP("47mg LP",Controls!A:I,8,0),3)</f>
        <v>8</v>
      </c>
      <c r="O246" s="39">
        <f>IFERROR(VLOOKUP("47mg LP",Controls!A:I,9,0),18)</f>
        <v>18</v>
      </c>
      <c r="P246" s="40">
        <f>IFERROR(VLOOKUP("47mg LP",Controls!A:J,5,0),0)</f>
        <v>10000</v>
      </c>
      <c r="Q246" s="39">
        <f>IFERROR(VLOOKUP("47mg LP",Controls!A:J,6,0),3)</f>
        <v>3</v>
      </c>
      <c r="R246" s="21" t="str">
        <f>IFERROR(VLOOKUP("47mg LP",Controls!A:K,10,0),"")</f>
        <v>Fisher / ThermoFisher Allentown</v>
      </c>
      <c r="S246" s="41">
        <f t="shared" si="24"/>
        <v>47880</v>
      </c>
      <c r="T246" s="30">
        <f t="shared" si="25"/>
        <v>0</v>
      </c>
      <c r="AB246">
        <f t="shared" si="27"/>
        <v>287899.81782686146</v>
      </c>
    </row>
    <row r="247" spans="1:28" ht="13" customHeight="1" x14ac:dyDescent="0.35">
      <c r="A247" s="153">
        <v>48000</v>
      </c>
      <c r="B247" s="36" t="s">
        <v>35</v>
      </c>
      <c r="C247" s="15" t="s">
        <v>28</v>
      </c>
      <c r="D247" s="15" t="s">
        <v>29</v>
      </c>
      <c r="E247" s="30">
        <f>H246</f>
        <v>-246074.28672923765</v>
      </c>
      <c r="F247" s="37">
        <f>IFERROR(SUMIFS('Demand Inputs'!$BR$5:$BR$202,'Demand Inputs'!$A$5:$A$202,"47mg LP",'Demand Inputs'!$B$5:$B$202,"&lt;&gt;AGGREGATE",'Demand Inputs'!$E$5:$E$202,1),0)</f>
        <v>10295.149615750834</v>
      </c>
      <c r="G247" s="37">
        <f t="array" ref="G247">IFERROR(SUMPRODUCT(('Production Inputs'!$A:$A="47mg LP")*('Production Inputs'!$B:$B="TOTAL ACTIVE")*'Production Inputs'!$BX:$BX),0)</f>
        <v>0</v>
      </c>
      <c r="H247" s="30">
        <f t="shared" si="21"/>
        <v>-256369.43634498847</v>
      </c>
      <c r="I247" s="30">
        <f ca="1">IFERROR(AVERAGEIF(OFFSET(F247,0,0,MIN(Controls!$B$8,COUNTIF(B247:B$1973,B247)),1),"&gt;"&amp;0),0)</f>
        <v>11350.36558036142</v>
      </c>
      <c r="J247" s="38">
        <f t="shared" ca="1" si="22"/>
        <v>-22.586888019586159</v>
      </c>
      <c r="K247" s="30">
        <f t="shared" ca="1" si="26"/>
        <v>360000</v>
      </c>
      <c r="L247" t="str">
        <f t="shared" si="23"/>
        <v>High</v>
      </c>
      <c r="M247" s="39">
        <f>IFERROR(VLOOKUP("47mg LP",Controls!A:I,7,0),6)</f>
        <v>9</v>
      </c>
      <c r="N247" s="39">
        <f>IFERROR(VLOOKUP("47mg LP",Controls!A:I,8,0),3)</f>
        <v>8</v>
      </c>
      <c r="O247" s="39">
        <f>IFERROR(VLOOKUP("47mg LP",Controls!A:I,9,0),18)</f>
        <v>18</v>
      </c>
      <c r="P247" s="40">
        <f>IFERROR(VLOOKUP("47mg LP",Controls!A:J,5,0),0)</f>
        <v>10000</v>
      </c>
      <c r="Q247" s="39">
        <f>IFERROR(VLOOKUP("47mg LP",Controls!A:J,6,0),3)</f>
        <v>3</v>
      </c>
      <c r="R247" s="21" t="str">
        <f>IFERROR(VLOOKUP("47mg LP",Controls!A:K,10,0),"")</f>
        <v>Fisher / ThermoFisher Allentown</v>
      </c>
      <c r="S247" s="41">
        <f t="shared" si="24"/>
        <v>47908</v>
      </c>
      <c r="T247" s="30">
        <f t="shared" si="25"/>
        <v>0</v>
      </c>
      <c r="AB247">
        <f t="shared" si="27"/>
        <v>298194.96744261228</v>
      </c>
    </row>
    <row r="248" spans="1:28" ht="13" customHeight="1" x14ac:dyDescent="0.35">
      <c r="A248" s="153">
        <v>48030</v>
      </c>
      <c r="B248" s="36" t="s">
        <v>35</v>
      </c>
      <c r="C248" s="15" t="s">
        <v>28</v>
      </c>
      <c r="D248" s="15" t="s">
        <v>29</v>
      </c>
      <c r="E248" s="30">
        <f>H247</f>
        <v>-256369.43634498847</v>
      </c>
      <c r="F248" s="37">
        <f>IFERROR(SUMIFS('Demand Inputs'!$BS$5:$BS$202,'Demand Inputs'!$A$5:$A$202,"47mg LP",'Demand Inputs'!$B$5:$B$202,"&lt;&gt;AGGREGATE",'Demand Inputs'!$E$5:$E$202,1),0)</f>
        <v>9977.0412345885452</v>
      </c>
      <c r="G248" s="37">
        <f t="array" ref="G248">IFERROR(SUMPRODUCT(('Production Inputs'!$A:$A="47mg LP")*('Production Inputs'!$B:$B="TOTAL ACTIVE")*'Production Inputs'!$BY:$BY),0)</f>
        <v>0</v>
      </c>
      <c r="H248" s="30">
        <f t="shared" si="21"/>
        <v>-266346.47757957701</v>
      </c>
      <c r="I248" s="30">
        <f ca="1">IFERROR(AVERAGEIF(OFFSET(F248,0,0,MIN(Controls!$B$8,COUNTIF(B248:B$1973,B248)),1),"&gt;"&amp;0),0)</f>
        <v>11379.170164655392</v>
      </c>
      <c r="J248" s="38">
        <f t="shared" ca="1" si="22"/>
        <v>-23.406493946884666</v>
      </c>
      <c r="K248" s="30">
        <f t="shared" ca="1" si="26"/>
        <v>370000</v>
      </c>
      <c r="L248" t="str">
        <f t="shared" si="23"/>
        <v>High</v>
      </c>
      <c r="M248" s="39">
        <f>IFERROR(VLOOKUP("47mg LP",Controls!A:I,7,0),6)</f>
        <v>9</v>
      </c>
      <c r="N248" s="39">
        <f>IFERROR(VLOOKUP("47mg LP",Controls!A:I,8,0),3)</f>
        <v>8</v>
      </c>
      <c r="O248" s="39">
        <f>IFERROR(VLOOKUP("47mg LP",Controls!A:I,9,0),18)</f>
        <v>18</v>
      </c>
      <c r="P248" s="40">
        <f>IFERROR(VLOOKUP("47mg LP",Controls!A:J,5,0),0)</f>
        <v>10000</v>
      </c>
      <c r="Q248" s="39">
        <f>IFERROR(VLOOKUP("47mg LP",Controls!A:J,6,0),3)</f>
        <v>3</v>
      </c>
      <c r="R248" s="21" t="str">
        <f>IFERROR(VLOOKUP("47mg LP",Controls!A:K,10,0),"")</f>
        <v>Fisher / ThermoFisher Allentown</v>
      </c>
      <c r="S248" s="41">
        <f t="shared" si="24"/>
        <v>47939</v>
      </c>
      <c r="T248" s="30">
        <f t="shared" si="25"/>
        <v>0</v>
      </c>
      <c r="AB248">
        <f t="shared" si="27"/>
        <v>308172.00867720082</v>
      </c>
    </row>
    <row r="249" spans="1:28" ht="13" customHeight="1" x14ac:dyDescent="0.35">
      <c r="A249" s="153">
        <v>48061</v>
      </c>
      <c r="B249" s="36" t="s">
        <v>35</v>
      </c>
      <c r="C249" s="15" t="s">
        <v>28</v>
      </c>
      <c r="D249" s="15" t="s">
        <v>29</v>
      </c>
      <c r="E249" s="30">
        <f>H248</f>
        <v>-266346.47757957701</v>
      </c>
      <c r="F249" s="37">
        <f>IFERROR(SUMIFS('Demand Inputs'!$BT$5:$BT$202,'Demand Inputs'!$A$5:$A$202,"47mg LP",'Demand Inputs'!$B$5:$B$202,"&lt;&gt;AGGREGATE",'Demand Inputs'!$E$5:$E$202,1),0)</f>
        <v>12402.249193607895</v>
      </c>
      <c r="G249" s="37">
        <f t="array" ref="G249">IFERROR(SUMPRODUCT(('Production Inputs'!$A:$A="47mg LP")*('Production Inputs'!$B:$B="TOTAL ACTIVE")*'Production Inputs'!$BZ:$BZ),0)</f>
        <v>0</v>
      </c>
      <c r="H249" s="30">
        <f t="shared" si="21"/>
        <v>-278748.7267731849</v>
      </c>
      <c r="I249" s="30">
        <f ca="1">IFERROR(AVERAGEIF(OFFSET(F249,0,0,MIN(Controls!$B$8,COUNTIF(B249:B$1973,B249)),1),"&gt;"&amp;0),0)</f>
        <v>11948.129035750817</v>
      </c>
      <c r="J249" s="38">
        <f t="shared" ca="1" si="22"/>
        <v>-23.329905957587311</v>
      </c>
      <c r="K249" s="30">
        <f t="shared" ca="1" si="26"/>
        <v>390000</v>
      </c>
      <c r="L249" t="str">
        <f t="shared" si="23"/>
        <v>High</v>
      </c>
      <c r="M249" s="39">
        <f>IFERROR(VLOOKUP("47mg LP",Controls!A:I,7,0),6)</f>
        <v>9</v>
      </c>
      <c r="N249" s="39">
        <f>IFERROR(VLOOKUP("47mg LP",Controls!A:I,8,0),3)</f>
        <v>8</v>
      </c>
      <c r="O249" s="39">
        <f>IFERROR(VLOOKUP("47mg LP",Controls!A:I,9,0),18)</f>
        <v>18</v>
      </c>
      <c r="P249" s="40">
        <f>IFERROR(VLOOKUP("47mg LP",Controls!A:J,5,0),0)</f>
        <v>10000</v>
      </c>
      <c r="Q249" s="39">
        <f>IFERROR(VLOOKUP("47mg LP",Controls!A:J,6,0),3)</f>
        <v>3</v>
      </c>
      <c r="R249" s="21" t="str">
        <f>IFERROR(VLOOKUP("47mg LP",Controls!A:K,10,0),"")</f>
        <v>Fisher / ThermoFisher Allentown</v>
      </c>
      <c r="S249" s="41">
        <f t="shared" si="24"/>
        <v>47969</v>
      </c>
      <c r="T249" s="30">
        <f t="shared" si="25"/>
        <v>0</v>
      </c>
      <c r="AB249">
        <f t="shared" si="27"/>
        <v>320574.25787080871</v>
      </c>
    </row>
    <row r="250" spans="1:28" ht="13" customHeight="1" x14ac:dyDescent="0.35">
      <c r="A250" s="153">
        <v>48092</v>
      </c>
      <c r="B250" s="36" t="s">
        <v>35</v>
      </c>
      <c r="C250" s="15" t="s">
        <v>28</v>
      </c>
      <c r="D250" s="15" t="s">
        <v>29</v>
      </c>
      <c r="E250" s="30">
        <f>H249</f>
        <v>-278748.7267731849</v>
      </c>
      <c r="F250" s="37">
        <f>IFERROR(SUMIFS('Demand Inputs'!$BU$5:$BU$202,'Demand Inputs'!$A$5:$A$202,"47mg LP",'Demand Inputs'!$B$5:$B$202,"&lt;&gt;AGGREGATE",'Demand Inputs'!$E$5:$E$202,1),0)</f>
        <v>11146.936681054176</v>
      </c>
      <c r="G250" s="37">
        <f t="array" ref="G250">IFERROR(SUMPRODUCT(('Production Inputs'!$A:$A="47mg LP")*('Production Inputs'!$B:$B="TOTAL ACTIVE")*'Production Inputs'!$CA:$CA),0)</f>
        <v>0</v>
      </c>
      <c r="H250" s="30">
        <f t="shared" si="21"/>
        <v>-289895.66345423908</v>
      </c>
      <c r="I250" s="30">
        <f ca="1">IFERROR(AVERAGEIF(OFFSET(F250,0,0,MIN(Controls!$B$8,COUNTIF(B250:B$1973,B250)),1),"&gt;"&amp;0),0)</f>
        <v>11998.41824840839</v>
      </c>
      <c r="J250" s="38">
        <f t="shared" ca="1" si="22"/>
        <v>-24.161156700192063</v>
      </c>
      <c r="K250" s="30">
        <f t="shared" ca="1" si="26"/>
        <v>400000</v>
      </c>
      <c r="L250" t="str">
        <f t="shared" si="23"/>
        <v>High</v>
      </c>
      <c r="M250" s="39">
        <f>IFERROR(VLOOKUP("47mg LP",Controls!A:I,7,0),6)</f>
        <v>9</v>
      </c>
      <c r="N250" s="39">
        <f>IFERROR(VLOOKUP("47mg LP",Controls!A:I,8,0),3)</f>
        <v>8</v>
      </c>
      <c r="O250" s="39">
        <f>IFERROR(VLOOKUP("47mg LP",Controls!A:I,9,0),18)</f>
        <v>18</v>
      </c>
      <c r="P250" s="40">
        <f>IFERROR(VLOOKUP("47mg LP",Controls!A:J,5,0),0)</f>
        <v>10000</v>
      </c>
      <c r="Q250" s="39">
        <f>IFERROR(VLOOKUP("47mg LP",Controls!A:J,6,0),3)</f>
        <v>3</v>
      </c>
      <c r="R250" s="21" t="str">
        <f>IFERROR(VLOOKUP("47mg LP",Controls!A:K,10,0),"")</f>
        <v>Fisher / ThermoFisher Allentown</v>
      </c>
      <c r="S250" s="41">
        <f t="shared" si="24"/>
        <v>48000</v>
      </c>
      <c r="T250" s="30">
        <f t="shared" si="25"/>
        <v>0</v>
      </c>
      <c r="AB250">
        <f t="shared" si="27"/>
        <v>331721.19455186289</v>
      </c>
    </row>
    <row r="251" spans="1:28" ht="13" customHeight="1" x14ac:dyDescent="0.35">
      <c r="A251" s="153">
        <v>48122</v>
      </c>
      <c r="B251" s="36" t="s">
        <v>35</v>
      </c>
      <c r="C251" s="15" t="s">
        <v>28</v>
      </c>
      <c r="D251" s="15" t="s">
        <v>29</v>
      </c>
      <c r="E251" s="30">
        <f>H250</f>
        <v>-289895.66345423908</v>
      </c>
      <c r="F251" s="37">
        <f>IFERROR(SUMIFS('Demand Inputs'!$BV$5:$BV$202,'Demand Inputs'!$A$5:$A$202,"47mg LP",'Demand Inputs'!$B$5:$B$202,"&lt;&gt;AGGREGATE",'Demand Inputs'!$E$5:$E$202,1),0)</f>
        <v>11694.232214856709</v>
      </c>
      <c r="G251" s="37">
        <f t="array" ref="G251">IFERROR(SUMPRODUCT(('Production Inputs'!$A:$A="47mg LP")*('Production Inputs'!$B:$B="TOTAL ACTIVE")*'Production Inputs'!$CB:$CB),0)</f>
        <v>0</v>
      </c>
      <c r="H251" s="30">
        <f t="shared" si="21"/>
        <v>-301589.8956690958</v>
      </c>
      <c r="I251" s="30">
        <f ca="1">IFERROR(AVERAGEIF(OFFSET(F251,0,0,MIN(Controls!$B$8,COUNTIF(B251:B$1973,B251)),1),"&gt;"&amp;0),0)</f>
        <v>12001.866494235052</v>
      </c>
      <c r="J251" s="38">
        <f t="shared" ca="1" si="22"/>
        <v>-25.128582776184086</v>
      </c>
      <c r="K251" s="30">
        <f t="shared" ca="1" si="26"/>
        <v>410000</v>
      </c>
      <c r="L251" t="str">
        <f t="shared" si="23"/>
        <v>High</v>
      </c>
      <c r="M251" s="39">
        <f>IFERROR(VLOOKUP("47mg LP",Controls!A:I,7,0),6)</f>
        <v>9</v>
      </c>
      <c r="N251" s="39">
        <f>IFERROR(VLOOKUP("47mg LP",Controls!A:I,8,0),3)</f>
        <v>8</v>
      </c>
      <c r="O251" s="39">
        <f>IFERROR(VLOOKUP("47mg LP",Controls!A:I,9,0),18)</f>
        <v>18</v>
      </c>
      <c r="P251" s="40">
        <f>IFERROR(VLOOKUP("47mg LP",Controls!A:J,5,0),0)</f>
        <v>10000</v>
      </c>
      <c r="Q251" s="39">
        <f>IFERROR(VLOOKUP("47mg LP",Controls!A:J,6,0),3)</f>
        <v>3</v>
      </c>
      <c r="R251" s="21" t="str">
        <f>IFERROR(VLOOKUP("47mg LP",Controls!A:K,10,0),"")</f>
        <v>Fisher / ThermoFisher Allentown</v>
      </c>
      <c r="S251" s="41">
        <f t="shared" si="24"/>
        <v>48030</v>
      </c>
      <c r="T251" s="30">
        <f t="shared" si="25"/>
        <v>0</v>
      </c>
      <c r="AB251">
        <f t="shared" si="27"/>
        <v>343415.42676671961</v>
      </c>
    </row>
    <row r="252" spans="1:28" ht="13" customHeight="1" x14ac:dyDescent="0.35">
      <c r="A252" s="153">
        <v>48153</v>
      </c>
      <c r="B252" s="36" t="s">
        <v>35</v>
      </c>
      <c r="C252" s="15" t="s">
        <v>28</v>
      </c>
      <c r="D252" s="15" t="s">
        <v>29</v>
      </c>
      <c r="E252" s="30">
        <f>H251</f>
        <v>-301589.8956690958</v>
      </c>
      <c r="F252" s="37">
        <f>IFERROR(SUMIFS('Demand Inputs'!$BW$5:$BW$202,'Demand Inputs'!$A$5:$A$202,"47mg LP",'Demand Inputs'!$B$5:$B$202,"&lt;&gt;AGGREGATE",'Demand Inputs'!$E$5:$E$202,1),0)</f>
        <v>12923.750543502676</v>
      </c>
      <c r="G252" s="37">
        <f t="array" ref="G252">IFERROR(SUMPRODUCT(('Production Inputs'!$A:$A="47mg LP")*('Production Inputs'!$B:$B="TOTAL ACTIVE")*'Production Inputs'!$CC:$CC),0)</f>
        <v>0</v>
      </c>
      <c r="H252" s="30">
        <f t="shared" si="21"/>
        <v>-314513.64621259848</v>
      </c>
      <c r="I252" s="30">
        <f ca="1">IFERROR(AVERAGEIF(OFFSET(F252,0,0,MIN(Controls!$B$8,COUNTIF(B252:B$1973,B252)),1),"&gt;"&amp;0),0)</f>
        <v>12143.650829306622</v>
      </c>
      <c r="J252" s="38">
        <f t="shared" ca="1" si="22"/>
        <v>-25.899430956428166</v>
      </c>
      <c r="K252" s="30">
        <f t="shared" ca="1" si="26"/>
        <v>420000</v>
      </c>
      <c r="L252" t="str">
        <f t="shared" si="23"/>
        <v>High</v>
      </c>
      <c r="M252" s="39">
        <f>IFERROR(VLOOKUP("47mg LP",Controls!A:I,7,0),6)</f>
        <v>9</v>
      </c>
      <c r="N252" s="39">
        <f>IFERROR(VLOOKUP("47mg LP",Controls!A:I,8,0),3)</f>
        <v>8</v>
      </c>
      <c r="O252" s="39">
        <f>IFERROR(VLOOKUP("47mg LP",Controls!A:I,9,0),18)</f>
        <v>18</v>
      </c>
      <c r="P252" s="40">
        <f>IFERROR(VLOOKUP("47mg LP",Controls!A:J,5,0),0)</f>
        <v>10000</v>
      </c>
      <c r="Q252" s="39">
        <f>IFERROR(VLOOKUP("47mg LP",Controls!A:J,6,0),3)</f>
        <v>3</v>
      </c>
      <c r="R252" s="21" t="str">
        <f>IFERROR(VLOOKUP("47mg LP",Controls!A:K,10,0),"")</f>
        <v>Fisher / ThermoFisher Allentown</v>
      </c>
      <c r="S252" s="41">
        <f t="shared" si="24"/>
        <v>48061</v>
      </c>
      <c r="T252" s="30">
        <f t="shared" si="25"/>
        <v>0</v>
      </c>
      <c r="AB252">
        <f t="shared" si="27"/>
        <v>356339.17731022229</v>
      </c>
    </row>
    <row r="253" spans="1:28" ht="13" customHeight="1" x14ac:dyDescent="0.35">
      <c r="A253" s="153">
        <v>48183</v>
      </c>
      <c r="B253" s="36" t="s">
        <v>35</v>
      </c>
      <c r="C253" s="15" t="s">
        <v>28</v>
      </c>
      <c r="D253" s="15" t="s">
        <v>29</v>
      </c>
      <c r="E253" s="30">
        <f>H252</f>
        <v>-314513.64621259848</v>
      </c>
      <c r="F253" s="37">
        <f>IFERROR(SUMIFS('Demand Inputs'!$BX$5:$BX$202,'Demand Inputs'!$A$5:$A$202,"47mg LP",'Demand Inputs'!$B$5:$B$202,"&lt;&gt;AGGREGATE",'Demand Inputs'!$E$5:$E$202,1),0)</f>
        <v>8712.5327065330057</v>
      </c>
      <c r="G253" s="37">
        <f t="array" ref="G253">IFERROR(SUMPRODUCT(('Production Inputs'!$A:$A="47mg LP")*('Production Inputs'!$B:$B="TOTAL ACTIVE")*'Production Inputs'!$CD:$CD),0)</f>
        <v>0</v>
      </c>
      <c r="H253" s="30">
        <f t="shared" si="21"/>
        <v>-323226.17891913152</v>
      </c>
      <c r="I253" s="30">
        <f ca="1">IFERROR(AVERAGEIF(OFFSET(F253,0,0,MIN(Controls!$B$8,COUNTIF(B253:B$1973,B253)),1),"&gt;"&amp;0),0)</f>
        <v>12114.544802197714</v>
      </c>
      <c r="J253" s="38">
        <f t="shared" ca="1" si="22"/>
        <v>-26.680835656366938</v>
      </c>
      <c r="K253" s="30">
        <f t="shared" ca="1" si="26"/>
        <v>430000</v>
      </c>
      <c r="L253" t="str">
        <f t="shared" si="23"/>
        <v>High</v>
      </c>
      <c r="M253" s="39">
        <f>IFERROR(VLOOKUP("47mg LP",Controls!A:I,7,0),6)</f>
        <v>9</v>
      </c>
      <c r="N253" s="39">
        <f>IFERROR(VLOOKUP("47mg LP",Controls!A:I,8,0),3)</f>
        <v>8</v>
      </c>
      <c r="O253" s="39">
        <f>IFERROR(VLOOKUP("47mg LP",Controls!A:I,9,0),18)</f>
        <v>18</v>
      </c>
      <c r="P253" s="40">
        <f>IFERROR(VLOOKUP("47mg LP",Controls!A:J,5,0),0)</f>
        <v>10000</v>
      </c>
      <c r="Q253" s="39">
        <f>IFERROR(VLOOKUP("47mg LP",Controls!A:J,6,0),3)</f>
        <v>3</v>
      </c>
      <c r="R253" s="21" t="str">
        <f>IFERROR(VLOOKUP("47mg LP",Controls!A:K,10,0),"")</f>
        <v>Fisher / ThermoFisher Allentown</v>
      </c>
      <c r="S253" s="41">
        <f t="shared" si="24"/>
        <v>48092</v>
      </c>
      <c r="T253" s="30">
        <f t="shared" si="25"/>
        <v>0</v>
      </c>
      <c r="AB253">
        <f t="shared" si="27"/>
        <v>365051.71001675527</v>
      </c>
    </row>
    <row r="254" spans="1:28" ht="13" customHeight="1" x14ac:dyDescent="0.35">
      <c r="A254" s="153">
        <v>48214</v>
      </c>
      <c r="B254" s="36" t="s">
        <v>35</v>
      </c>
      <c r="C254" s="15" t="s">
        <v>28</v>
      </c>
      <c r="D254" s="15" t="s">
        <v>29</v>
      </c>
      <c r="E254" s="30">
        <f>H253</f>
        <v>-323226.17891913152</v>
      </c>
      <c r="F254" s="37">
        <f>IFERROR(SUMIFS('Demand Inputs'!$BY$5:$BY$202,'Demand Inputs'!$A$5:$A$202,"47mg LP",'Demand Inputs'!$B$5:$B$202,"&lt;&gt;AGGREGATE",'Demand Inputs'!$E$5:$E$202,1),0)</f>
        <v>14134.360506168839</v>
      </c>
      <c r="G254" s="37">
        <f t="array" ref="G254">IFERROR(SUMPRODUCT(('Production Inputs'!$A:$A="47mg LP")*('Production Inputs'!$B:$B="TOTAL ACTIVE")*'Production Inputs'!$CE:$CE),0)</f>
        <v>0</v>
      </c>
      <c r="H254" s="30">
        <f t="shared" si="21"/>
        <v>-337360.53942530038</v>
      </c>
      <c r="I254" s="30">
        <f ca="1">IFERROR(AVERAGEIF(OFFSET(F254,0,0,MIN(Controls!$B$8,COUNTIF(B254:B$1973,B254)),1),"&gt;"&amp;0),0)</f>
        <v>12681.181614956131</v>
      </c>
      <c r="J254" s="38">
        <f t="shared" ca="1" si="22"/>
        <v>-26.603241690618074</v>
      </c>
      <c r="K254" s="30">
        <f t="shared" ca="1" si="26"/>
        <v>450000</v>
      </c>
      <c r="L254" t="str">
        <f t="shared" si="23"/>
        <v>High</v>
      </c>
      <c r="M254" s="39">
        <f>IFERROR(VLOOKUP("47mg LP",Controls!A:I,7,0),6)</f>
        <v>9</v>
      </c>
      <c r="N254" s="39">
        <f>IFERROR(VLOOKUP("47mg LP",Controls!A:I,8,0),3)</f>
        <v>8</v>
      </c>
      <c r="O254" s="39">
        <f>IFERROR(VLOOKUP("47mg LP",Controls!A:I,9,0),18)</f>
        <v>18</v>
      </c>
      <c r="P254" s="40">
        <f>IFERROR(VLOOKUP("47mg LP",Controls!A:J,5,0),0)</f>
        <v>10000</v>
      </c>
      <c r="Q254" s="39">
        <f>IFERROR(VLOOKUP("47mg LP",Controls!A:J,6,0),3)</f>
        <v>3</v>
      </c>
      <c r="R254" s="21" t="str">
        <f>IFERROR(VLOOKUP("47mg LP",Controls!A:K,10,0),"")</f>
        <v>Fisher / ThermoFisher Allentown</v>
      </c>
      <c r="S254" s="41">
        <f t="shared" si="24"/>
        <v>48122</v>
      </c>
      <c r="T254" s="30">
        <f t="shared" si="25"/>
        <v>0</v>
      </c>
      <c r="AB254">
        <f t="shared" si="27"/>
        <v>379186.07052292413</v>
      </c>
    </row>
    <row r="255" spans="1:28" ht="13" customHeight="1" x14ac:dyDescent="0.35">
      <c r="A255" s="153">
        <v>48245</v>
      </c>
      <c r="B255" s="36" t="s">
        <v>35</v>
      </c>
      <c r="C255" s="15" t="s">
        <v>28</v>
      </c>
      <c r="D255" s="15" t="s">
        <v>29</v>
      </c>
      <c r="E255" s="30">
        <f>H254</f>
        <v>-337360.53942530038</v>
      </c>
      <c r="F255" s="37">
        <f>IFERROR(SUMIFS('Demand Inputs'!$BZ$5:$BZ$202,'Demand Inputs'!$A$5:$A$202,"47mg LP",'Demand Inputs'!$B$5:$B$202,"&lt;&gt;AGGREGATE",'Demand Inputs'!$E$5:$E$202,1),0)</f>
        <v>10867.037527190096</v>
      </c>
      <c r="G255" s="37">
        <f t="array" ref="G255">IFERROR(SUMPRODUCT(('Production Inputs'!$A:$A="47mg LP")*('Production Inputs'!$B:$B="TOTAL ACTIVE")*'Production Inputs'!$CF:$CF),0)</f>
        <v>0</v>
      </c>
      <c r="H255" s="30">
        <f t="shared" si="21"/>
        <v>-348227.57695249049</v>
      </c>
      <c r="I255" s="30">
        <f ca="1">IFERROR(AVERAGEIF(OFFSET(F255,0,0,MIN(Controls!$B$8,COUNTIF(B255:B$1973,B255)),1),"&gt;"&amp;0),0)</f>
        <v>12493.952733761911</v>
      </c>
      <c r="J255" s="38">
        <f t="shared" ca="1" si="22"/>
        <v>-27.871689958574038</v>
      </c>
      <c r="K255" s="30">
        <f t="shared" ca="1" si="26"/>
        <v>460000</v>
      </c>
      <c r="L255" t="str">
        <f t="shared" si="23"/>
        <v>High</v>
      </c>
      <c r="M255" s="39">
        <f>IFERROR(VLOOKUP("47mg LP",Controls!A:I,7,0),6)</f>
        <v>9</v>
      </c>
      <c r="N255" s="39">
        <f>IFERROR(VLOOKUP("47mg LP",Controls!A:I,8,0),3)</f>
        <v>8</v>
      </c>
      <c r="O255" s="39">
        <f>IFERROR(VLOOKUP("47mg LP",Controls!A:I,9,0),18)</f>
        <v>18</v>
      </c>
      <c r="P255" s="40">
        <f>IFERROR(VLOOKUP("47mg LP",Controls!A:J,5,0),0)</f>
        <v>10000</v>
      </c>
      <c r="Q255" s="39">
        <f>IFERROR(VLOOKUP("47mg LP",Controls!A:J,6,0),3)</f>
        <v>3</v>
      </c>
      <c r="R255" s="21" t="str">
        <f>IFERROR(VLOOKUP("47mg LP",Controls!A:K,10,0),"")</f>
        <v>Fisher / ThermoFisher Allentown</v>
      </c>
      <c r="S255" s="41">
        <f t="shared" si="24"/>
        <v>48153</v>
      </c>
      <c r="T255" s="30">
        <f t="shared" si="25"/>
        <v>0</v>
      </c>
      <c r="AB255">
        <f t="shared" si="27"/>
        <v>390053.10805011424</v>
      </c>
    </row>
    <row r="256" spans="1:28" ht="13" customHeight="1" x14ac:dyDescent="0.35">
      <c r="A256" s="153">
        <v>48274</v>
      </c>
      <c r="B256" s="36" t="s">
        <v>35</v>
      </c>
      <c r="C256" s="15" t="s">
        <v>28</v>
      </c>
      <c r="D256" s="15" t="s">
        <v>29</v>
      </c>
      <c r="E256" s="30">
        <f>H255</f>
        <v>-348227.57695249049</v>
      </c>
      <c r="F256" s="37">
        <f>IFERROR(SUMIFS('Demand Inputs'!$CA$5:$CA$202,'Demand Inputs'!$A$5:$A$202,"47mg LP",'Demand Inputs'!$B$5:$B$202,"&lt;&gt;AGGREGATE",'Demand Inputs'!$E$5:$E$202,1),0)</f>
        <v>10554.390874396569</v>
      </c>
      <c r="G256" s="37">
        <f t="array" ref="G256">IFERROR(SUMPRODUCT(('Production Inputs'!$A:$A="47mg LP")*('Production Inputs'!$B:$B="TOTAL ACTIVE")*'Production Inputs'!$CG:$CG),0)</f>
        <v>0</v>
      </c>
      <c r="H256" s="30">
        <f t="shared" si="21"/>
        <v>-358781.96782688703</v>
      </c>
      <c r="I256" s="30">
        <f ca="1">IFERROR(AVERAGEIF(OFFSET(F256,0,0,MIN(Controls!$B$8,COUNTIF(B256:B$1973,B256)),1),"&gt;"&amp;0),0)</f>
        <v>12591.505598659023</v>
      </c>
      <c r="J256" s="38">
        <f t="shared" ca="1" si="22"/>
        <v>-28.493968812204379</v>
      </c>
      <c r="K256" s="30">
        <f t="shared" ca="1" si="26"/>
        <v>470000</v>
      </c>
      <c r="L256" t="str">
        <f t="shared" si="23"/>
        <v>High</v>
      </c>
      <c r="M256" s="39">
        <f>IFERROR(VLOOKUP("47mg LP",Controls!A:I,7,0),6)</f>
        <v>9</v>
      </c>
      <c r="N256" s="39">
        <f>IFERROR(VLOOKUP("47mg LP",Controls!A:I,8,0),3)</f>
        <v>8</v>
      </c>
      <c r="O256" s="39">
        <f>IFERROR(VLOOKUP("47mg LP",Controls!A:I,9,0),18)</f>
        <v>18</v>
      </c>
      <c r="P256" s="40">
        <f>IFERROR(VLOOKUP("47mg LP",Controls!A:J,5,0),0)</f>
        <v>10000</v>
      </c>
      <c r="Q256" s="39">
        <f>IFERROR(VLOOKUP("47mg LP",Controls!A:J,6,0),3)</f>
        <v>3</v>
      </c>
      <c r="R256" s="21" t="str">
        <f>IFERROR(VLOOKUP("47mg LP",Controls!A:K,10,0),"")</f>
        <v>Fisher / ThermoFisher Allentown</v>
      </c>
      <c r="S256" s="41">
        <f t="shared" si="24"/>
        <v>48183</v>
      </c>
      <c r="T256" s="30">
        <f t="shared" si="25"/>
        <v>0</v>
      </c>
      <c r="AB256">
        <f t="shared" si="27"/>
        <v>400607.49892451079</v>
      </c>
    </row>
    <row r="257" spans="1:28" ht="13" customHeight="1" x14ac:dyDescent="0.35">
      <c r="A257" s="153">
        <v>48305</v>
      </c>
      <c r="B257" s="36" t="s">
        <v>35</v>
      </c>
      <c r="C257" s="15" t="s">
        <v>28</v>
      </c>
      <c r="D257" s="15" t="s">
        <v>29</v>
      </c>
      <c r="E257" s="30">
        <f>H256</f>
        <v>-358781.96782688703</v>
      </c>
      <c r="F257" s="37">
        <f>IFERROR(SUMIFS('Demand Inputs'!$CB$5:$CB$202,'Demand Inputs'!$A$5:$A$202,"47mg LP",'Demand Inputs'!$B$5:$B$202,"&lt;&gt;AGGREGATE",'Demand Inputs'!$E$5:$E$202,1),0)</f>
        <v>15097.671074447366</v>
      </c>
      <c r="G257" s="37">
        <f t="array" ref="G257">IFERROR(SUMPRODUCT(('Production Inputs'!$A:$A="47mg LP")*('Production Inputs'!$B:$B="TOTAL ACTIVE")*'Production Inputs'!$CH:$CH),0)</f>
        <v>0</v>
      </c>
      <c r="H257" s="30">
        <f t="shared" si="21"/>
        <v>-373879.63890133437</v>
      </c>
      <c r="I257" s="30">
        <f ca="1">IFERROR(AVERAGEIF(OFFSET(F257,0,0,MIN(Controls!$B$8,COUNTIF(B257:B$1973,B257)),1),"&gt;"&amp;0),0)</f>
        <v>12760.193489957606</v>
      </c>
      <c r="J257" s="38">
        <f t="shared" ca="1" si="22"/>
        <v>-29.300467833468293</v>
      </c>
      <c r="K257" s="30">
        <f t="shared" ca="1" si="26"/>
        <v>490000</v>
      </c>
      <c r="L257" t="str">
        <f t="shared" si="23"/>
        <v>High</v>
      </c>
      <c r="M257" s="39">
        <f>IFERROR(VLOOKUP("47mg LP",Controls!A:I,7,0),6)</f>
        <v>9</v>
      </c>
      <c r="N257" s="39">
        <f>IFERROR(VLOOKUP("47mg LP",Controls!A:I,8,0),3)</f>
        <v>8</v>
      </c>
      <c r="O257" s="39">
        <f>IFERROR(VLOOKUP("47mg LP",Controls!A:I,9,0),18)</f>
        <v>18</v>
      </c>
      <c r="P257" s="40">
        <f>IFERROR(VLOOKUP("47mg LP",Controls!A:J,5,0),0)</f>
        <v>10000</v>
      </c>
      <c r="Q257" s="39">
        <f>IFERROR(VLOOKUP("47mg LP",Controls!A:J,6,0),3)</f>
        <v>3</v>
      </c>
      <c r="R257" s="21" t="str">
        <f>IFERROR(VLOOKUP("47mg LP",Controls!A:K,10,0),"")</f>
        <v>Fisher / ThermoFisher Allentown</v>
      </c>
      <c r="S257" s="41">
        <f t="shared" si="24"/>
        <v>48214</v>
      </c>
      <c r="T257" s="30">
        <f t="shared" si="25"/>
        <v>0</v>
      </c>
      <c r="AB257">
        <f t="shared" si="27"/>
        <v>415705.16999895812</v>
      </c>
    </row>
    <row r="258" spans="1:28" ht="13" customHeight="1" x14ac:dyDescent="0.35">
      <c r="A258" s="153">
        <v>48335</v>
      </c>
      <c r="B258" s="36" t="s">
        <v>35</v>
      </c>
      <c r="C258" s="15" t="s">
        <v>28</v>
      </c>
      <c r="D258" s="15" t="s">
        <v>29</v>
      </c>
      <c r="E258" s="30">
        <f>H257</f>
        <v>-373879.63890133437</v>
      </c>
      <c r="F258" s="37">
        <f>IFERROR(SUMIFS('Demand Inputs'!$CC$5:$CC$202,'Demand Inputs'!$A$5:$A$202,"47mg LP",'Demand Inputs'!$B$5:$B$202,"&lt;&gt;AGGREGATE",'Demand Inputs'!$E$5:$E$202,1),0)</f>
        <v>12854.852107526072</v>
      </c>
      <c r="G258" s="37">
        <f t="array" ref="G258">IFERROR(SUMPRODUCT(('Production Inputs'!$A:$A="47mg LP")*('Production Inputs'!$B:$B="TOTAL ACTIVE")*'Production Inputs'!$CI:$CI),0)</f>
        <v>0</v>
      </c>
      <c r="H258" s="30">
        <f t="shared" si="21"/>
        <v>-386734.49100886047</v>
      </c>
      <c r="I258" s="30">
        <f ca="1">IFERROR(AVERAGEIF(OFFSET(F258,0,0,MIN(Controls!$B$8,COUNTIF(B258:B$1973,B258)),1),"&gt;"&amp;0),0)</f>
        <v>12664.58696008171</v>
      </c>
      <c r="J258" s="38">
        <f t="shared" ca="1" si="22"/>
        <v>-30.536684080407255</v>
      </c>
      <c r="K258" s="30">
        <f t="shared" ca="1" si="26"/>
        <v>500000</v>
      </c>
      <c r="L258" t="str">
        <f t="shared" si="23"/>
        <v>High</v>
      </c>
      <c r="M258" s="39">
        <f>IFERROR(VLOOKUP("47mg LP",Controls!A:I,7,0),6)</f>
        <v>9</v>
      </c>
      <c r="N258" s="39">
        <f>IFERROR(VLOOKUP("47mg LP",Controls!A:I,8,0),3)</f>
        <v>8</v>
      </c>
      <c r="O258" s="39">
        <f>IFERROR(VLOOKUP("47mg LP",Controls!A:I,9,0),18)</f>
        <v>18</v>
      </c>
      <c r="P258" s="40">
        <f>IFERROR(VLOOKUP("47mg LP",Controls!A:J,5,0),0)</f>
        <v>10000</v>
      </c>
      <c r="Q258" s="39">
        <f>IFERROR(VLOOKUP("47mg LP",Controls!A:J,6,0),3)</f>
        <v>3</v>
      </c>
      <c r="R258" s="21" t="str">
        <f>IFERROR(VLOOKUP("47mg LP",Controls!A:K,10,0),"")</f>
        <v>Fisher / ThermoFisher Allentown</v>
      </c>
      <c r="S258" s="41">
        <f t="shared" si="24"/>
        <v>48245</v>
      </c>
      <c r="T258" s="30">
        <f t="shared" si="25"/>
        <v>0</v>
      </c>
      <c r="AB258">
        <f t="shared" si="27"/>
        <v>428560.02210648422</v>
      </c>
    </row>
    <row r="259" spans="1:28" ht="13" customHeight="1" x14ac:dyDescent="0.35">
      <c r="A259" s="153">
        <v>48366</v>
      </c>
      <c r="B259" s="36" t="s">
        <v>35</v>
      </c>
      <c r="C259" s="15" t="s">
        <v>28</v>
      </c>
      <c r="D259" s="15" t="s">
        <v>29</v>
      </c>
      <c r="E259" s="30">
        <f>H258</f>
        <v>-386734.49100886047</v>
      </c>
      <c r="F259" s="37">
        <f>IFERROR(SUMIFS('Demand Inputs'!$CD$5:$CD$202,'Demand Inputs'!$A$5:$A$202,"47mg LP",'Demand Inputs'!$B$5:$B$202,"&lt;&gt;AGGREGATE",'Demand Inputs'!$E$5:$E$202,1),0)</f>
        <v>11177.970893494115</v>
      </c>
      <c r="G259" s="37">
        <f t="array" ref="G259">IFERROR(SUMPRODUCT(('Production Inputs'!$A:$A="47mg LP")*('Production Inputs'!$B:$B="TOTAL ACTIVE")*'Production Inputs'!$CJ:$CJ),0)</f>
        <v>0</v>
      </c>
      <c r="H259" s="30">
        <f t="shared" si="21"/>
        <v>-397912.46190235461</v>
      </c>
      <c r="I259" s="30">
        <f ca="1">IFERROR(AVERAGEIF(OFFSET(F259,0,0,MIN(Controls!$B$8,COUNTIF(B259:B$1973,B259)),1),"&gt;"&amp;0),0)</f>
        <v>12379.611311458102</v>
      </c>
      <c r="J259" s="38">
        <f t="shared" ca="1" si="22"/>
        <v>-32.142565052431152</v>
      </c>
      <c r="K259" s="30">
        <f t="shared" ca="1" si="26"/>
        <v>510000</v>
      </c>
      <c r="L259" t="str">
        <f t="shared" si="23"/>
        <v>High</v>
      </c>
      <c r="M259" s="39">
        <f>IFERROR(VLOOKUP("47mg LP",Controls!A:I,7,0),6)</f>
        <v>9</v>
      </c>
      <c r="N259" s="39">
        <f>IFERROR(VLOOKUP("47mg LP",Controls!A:I,8,0),3)</f>
        <v>8</v>
      </c>
      <c r="O259" s="39">
        <f>IFERROR(VLOOKUP("47mg LP",Controls!A:I,9,0),18)</f>
        <v>18</v>
      </c>
      <c r="P259" s="40">
        <f>IFERROR(VLOOKUP("47mg LP",Controls!A:J,5,0),0)</f>
        <v>10000</v>
      </c>
      <c r="Q259" s="39">
        <f>IFERROR(VLOOKUP("47mg LP",Controls!A:J,6,0),3)</f>
        <v>3</v>
      </c>
      <c r="R259" s="21" t="str">
        <f>IFERROR(VLOOKUP("47mg LP",Controls!A:K,10,0),"")</f>
        <v>Fisher / ThermoFisher Allentown</v>
      </c>
      <c r="S259" s="41">
        <f t="shared" si="24"/>
        <v>48274</v>
      </c>
      <c r="T259" s="30">
        <f t="shared" si="25"/>
        <v>0</v>
      </c>
      <c r="AB259">
        <f t="shared" si="27"/>
        <v>439737.99299997836</v>
      </c>
    </row>
    <row r="260" spans="1:28" ht="13" customHeight="1" x14ac:dyDescent="0.35">
      <c r="A260" s="153">
        <v>48396</v>
      </c>
      <c r="B260" s="36" t="s">
        <v>35</v>
      </c>
      <c r="C260" s="15" t="s">
        <v>28</v>
      </c>
      <c r="D260" s="15" t="s">
        <v>29</v>
      </c>
      <c r="E260" s="30">
        <f>H259</f>
        <v>-397912.46190235461</v>
      </c>
      <c r="F260" s="37">
        <f>IFERROR(SUMIFS('Demand Inputs'!$CE$5:$CE$202,'Demand Inputs'!$A$5:$A$202,"47mg LP",'Demand Inputs'!$B$5:$B$202,"&lt;&gt;AGGREGATE",'Demand Inputs'!$E$5:$E$202,1),0)</f>
        <v>12970.291230500843</v>
      </c>
      <c r="G260" s="37">
        <f t="array" ref="G260">IFERROR(SUMPRODUCT(('Production Inputs'!$A:$A="47mg LP")*('Production Inputs'!$B:$B="TOTAL ACTIVE")*'Production Inputs'!$CK:$CK),0)</f>
        <v>0</v>
      </c>
      <c r="H260" s="30">
        <f t="shared" ref="H260:H323" si="28">E260+G260-F260</f>
        <v>-410882.75313285546</v>
      </c>
      <c r="I260" s="30">
        <f ca="1">IFERROR(AVERAGEIF(OFFSET(F260,0,0,MIN(Controls!$B$8,COUNTIF(B260:B$1973,B260)),1),"&gt;"&amp;0),0)</f>
        <v>12392.109850085819</v>
      </c>
      <c r="J260" s="38">
        <f t="shared" ref="J260:J323" ca="1" si="29">IFERROR(H260/I260,IF(H260&gt;0,999,0))</f>
        <v>-33.156803651963266</v>
      </c>
      <c r="K260" s="30">
        <f t="shared" ca="1" si="26"/>
        <v>520000</v>
      </c>
      <c r="L260" t="str">
        <f t="shared" ref="L260:L323" si="30">IF(H260&lt;=0,"High",IF(J260&lt;N260,"High",IF(J260&lt;M260,"Medium",IF(J260&gt;O260,"Overstock","Low"))))</f>
        <v>High</v>
      </c>
      <c r="M260" s="39">
        <f>IFERROR(VLOOKUP("47mg LP",Controls!A:I,7,0),6)</f>
        <v>9</v>
      </c>
      <c r="N260" s="39">
        <f>IFERROR(VLOOKUP("47mg LP",Controls!A:I,8,0),3)</f>
        <v>8</v>
      </c>
      <c r="O260" s="39">
        <f>IFERROR(VLOOKUP("47mg LP",Controls!A:I,9,0),18)</f>
        <v>18</v>
      </c>
      <c r="P260" s="40">
        <f>IFERROR(VLOOKUP("47mg LP",Controls!A:J,5,0),0)</f>
        <v>10000</v>
      </c>
      <c r="Q260" s="39">
        <f>IFERROR(VLOOKUP("47mg LP",Controls!A:J,6,0),3)</f>
        <v>3</v>
      </c>
      <c r="R260" s="21" t="str">
        <f>IFERROR(VLOOKUP("47mg LP",Controls!A:K,10,0),"")</f>
        <v>Fisher / ThermoFisher Allentown</v>
      </c>
      <c r="S260" s="41">
        <f t="shared" ref="S260:S323" si="31">IFERROR(EDATE(A260,-Q260),"")</f>
        <v>48305</v>
      </c>
      <c r="T260" s="30">
        <f t="shared" ref="T260:T323" si="32">G260</f>
        <v>0</v>
      </c>
      <c r="AB260">
        <f t="shared" si="27"/>
        <v>452708.28423047921</v>
      </c>
    </row>
    <row r="261" spans="1:28" ht="13" customHeight="1" x14ac:dyDescent="0.35">
      <c r="A261" s="153">
        <v>48427</v>
      </c>
      <c r="B261" s="36" t="s">
        <v>35</v>
      </c>
      <c r="C261" s="15" t="s">
        <v>28</v>
      </c>
      <c r="D261" s="15" t="s">
        <v>29</v>
      </c>
      <c r="E261" s="30">
        <f>H260</f>
        <v>-410882.75313285546</v>
      </c>
      <c r="F261" s="37">
        <f>IFERROR(SUMIFS('Demand Inputs'!$CF$5:$CF$202,'Demand Inputs'!$A$5:$A$202,"47mg LP",'Demand Inputs'!$B$5:$B$202,"&lt;&gt;AGGREGATE",'Demand Inputs'!$E$5:$E$202,1),0)</f>
        <v>12661.796299522501</v>
      </c>
      <c r="G261" s="37">
        <f t="array" ref="G261">IFERROR(SUMPRODUCT(('Production Inputs'!$A:$A="47mg LP")*('Production Inputs'!$B:$B="TOTAL ACTIVE")*'Production Inputs'!$CL:$CL),0)</f>
        <v>0</v>
      </c>
      <c r="H261" s="30">
        <f t="shared" si="28"/>
        <v>-423544.54943237797</v>
      </c>
      <c r="I261" s="30">
        <f ca="1">IFERROR(AVERAGEIF(OFFSET(F261,0,0,MIN(Controls!$B$8,COUNTIF(B261:B$1973,B261)),1),"&gt;"&amp;0),0)</f>
        <v>12679.036952771472</v>
      </c>
      <c r="J261" s="38">
        <f t="shared" ca="1" si="29"/>
        <v>-33.405104110828908</v>
      </c>
      <c r="K261" s="30">
        <f t="shared" ref="K261:K324" ca="1" si="33">IFERROR(IF(H261&lt;(N261*I261), CEILING(MAX(0,ROUND((M261*I261-H261)/P261,0)*P261),P261), 0), 0)</f>
        <v>540000</v>
      </c>
      <c r="L261" t="str">
        <f t="shared" si="30"/>
        <v>High</v>
      </c>
      <c r="M261" s="39">
        <f>IFERROR(VLOOKUP("47mg LP",Controls!A:I,7,0),6)</f>
        <v>9</v>
      </c>
      <c r="N261" s="39">
        <f>IFERROR(VLOOKUP("47mg LP",Controls!A:I,8,0),3)</f>
        <v>8</v>
      </c>
      <c r="O261" s="39">
        <f>IFERROR(VLOOKUP("47mg LP",Controls!A:I,9,0),18)</f>
        <v>18</v>
      </c>
      <c r="P261" s="40">
        <f>IFERROR(VLOOKUP("47mg LP",Controls!A:J,5,0),0)</f>
        <v>10000</v>
      </c>
      <c r="Q261" s="39">
        <f>IFERROR(VLOOKUP("47mg LP",Controls!A:J,6,0),3)</f>
        <v>3</v>
      </c>
      <c r="R261" s="21" t="str">
        <f>IFERROR(VLOOKUP("47mg LP",Controls!A:K,10,0),"")</f>
        <v>Fisher / ThermoFisher Allentown</v>
      </c>
      <c r="S261" s="41">
        <f t="shared" si="31"/>
        <v>48335</v>
      </c>
      <c r="T261" s="30">
        <f t="shared" si="32"/>
        <v>0</v>
      </c>
      <c r="AB261">
        <f t="shared" ref="AB261:AB324" si="34">SUMIFS($F$4:$F$2331,$B$4:$B$2331,B261,$A$4:$A$2331,"&lt;="&amp;A261)</f>
        <v>465370.08053000172</v>
      </c>
    </row>
    <row r="262" spans="1:28" ht="13" customHeight="1" x14ac:dyDescent="0.35">
      <c r="A262" s="153">
        <v>48458</v>
      </c>
      <c r="B262" s="36" t="s">
        <v>35</v>
      </c>
      <c r="C262" s="15" t="s">
        <v>28</v>
      </c>
      <c r="D262" s="15" t="s">
        <v>29</v>
      </c>
      <c r="E262" s="30">
        <f>H261</f>
        <v>-423544.54943237797</v>
      </c>
      <c r="F262" s="37">
        <f>IFERROR(SUMIFS('Demand Inputs'!$CG$5:$CG$202,'Demand Inputs'!$A$5:$A$202,"47mg LP",'Demand Inputs'!$B$5:$B$202,"&lt;&gt;AGGREGATE",'Demand Inputs'!$E$5:$E$202,1),0)</f>
        <v>13812.264021358777</v>
      </c>
      <c r="G262" s="37">
        <f t="array" ref="G262">IFERROR(SUMPRODUCT(('Production Inputs'!$A:$A="47mg LP")*('Production Inputs'!$B:$B="TOTAL ACTIVE")*'Production Inputs'!$CM:$CM),0)</f>
        <v>0</v>
      </c>
      <c r="H262" s="30">
        <f t="shared" si="28"/>
        <v>-437356.81345373677</v>
      </c>
      <c r="I262" s="30">
        <f ca="1">IFERROR(AVERAGEIF(OFFSET(F262,0,0,MIN(Controls!$B$8,COUNTIF(B262:B$1973,B262)),1),"&gt;"&amp;0),0)</f>
        <v>12611.166811141104</v>
      </c>
      <c r="J262" s="38">
        <f t="shared" ca="1" si="29"/>
        <v>-34.680122783512935</v>
      </c>
      <c r="K262" s="30">
        <f t="shared" ca="1" si="33"/>
        <v>550000</v>
      </c>
      <c r="L262" t="str">
        <f t="shared" si="30"/>
        <v>High</v>
      </c>
      <c r="M262" s="39">
        <f>IFERROR(VLOOKUP("47mg LP",Controls!A:I,7,0),6)</f>
        <v>9</v>
      </c>
      <c r="N262" s="39">
        <f>IFERROR(VLOOKUP("47mg LP",Controls!A:I,8,0),3)</f>
        <v>8</v>
      </c>
      <c r="O262" s="39">
        <f>IFERROR(VLOOKUP("47mg LP",Controls!A:I,9,0),18)</f>
        <v>18</v>
      </c>
      <c r="P262" s="40">
        <f>IFERROR(VLOOKUP("47mg LP",Controls!A:J,5,0),0)</f>
        <v>10000</v>
      </c>
      <c r="Q262" s="39">
        <f>IFERROR(VLOOKUP("47mg LP",Controls!A:J,6,0),3)</f>
        <v>3</v>
      </c>
      <c r="R262" s="21" t="str">
        <f>IFERROR(VLOOKUP("47mg LP",Controls!A:K,10,0),"")</f>
        <v>Fisher / ThermoFisher Allentown</v>
      </c>
      <c r="S262" s="41">
        <f t="shared" si="31"/>
        <v>48366</v>
      </c>
      <c r="T262" s="30">
        <f t="shared" si="32"/>
        <v>0</v>
      </c>
      <c r="AB262">
        <f t="shared" si="34"/>
        <v>479182.34455136053</v>
      </c>
    </row>
    <row r="263" spans="1:28" ht="13" customHeight="1" x14ac:dyDescent="0.35">
      <c r="A263" s="153">
        <v>48488</v>
      </c>
      <c r="B263" s="36" t="s">
        <v>35</v>
      </c>
      <c r="C263" s="15" t="s">
        <v>28</v>
      </c>
      <c r="D263" s="15" t="s">
        <v>29</v>
      </c>
      <c r="E263" s="30">
        <f>H262</f>
        <v>-437356.81345373677</v>
      </c>
      <c r="F263" s="37">
        <f>IFERROR(SUMIFS('Demand Inputs'!$CH$5:$CH$202,'Demand Inputs'!$A$5:$A$202,"47mg LP",'Demand Inputs'!$B$5:$B$202,"&lt;&gt;AGGREGATE",'Demand Inputs'!$E$5:$E$202,1),0)</f>
        <v>12449.300575420872</v>
      </c>
      <c r="G263" s="37">
        <f t="array" ref="G263">IFERROR(SUMPRODUCT(('Production Inputs'!$A:$A="47mg LP")*('Production Inputs'!$B:$B="TOTAL ACTIVE")*'Production Inputs'!$CN:$CN),0)</f>
        <v>0</v>
      </c>
      <c r="H263" s="30">
        <f t="shared" si="28"/>
        <v>-449806.11402915767</v>
      </c>
      <c r="I263" s="30">
        <f ca="1">IFERROR(AVERAGEIF(OFFSET(F263,0,0,MIN(Controls!$B$8,COUNTIF(B263:B$1973,B263)),1),"&gt;"&amp;0),0)</f>
        <v>12499.696859481111</v>
      </c>
      <c r="J263" s="38">
        <f t="shared" ca="1" si="29"/>
        <v>-35.985361812032778</v>
      </c>
      <c r="K263" s="30">
        <f t="shared" ca="1" si="33"/>
        <v>560000</v>
      </c>
      <c r="L263" t="str">
        <f t="shared" si="30"/>
        <v>High</v>
      </c>
      <c r="M263" s="39">
        <f>IFERROR(VLOOKUP("47mg LP",Controls!A:I,7,0),6)</f>
        <v>9</v>
      </c>
      <c r="N263" s="39">
        <f>IFERROR(VLOOKUP("47mg LP",Controls!A:I,8,0),3)</f>
        <v>8</v>
      </c>
      <c r="O263" s="39">
        <f>IFERROR(VLOOKUP("47mg LP",Controls!A:I,9,0),18)</f>
        <v>18</v>
      </c>
      <c r="P263" s="40">
        <f>IFERROR(VLOOKUP("47mg LP",Controls!A:J,5,0),0)</f>
        <v>10000</v>
      </c>
      <c r="Q263" s="39">
        <f>IFERROR(VLOOKUP("47mg LP",Controls!A:J,6,0),3)</f>
        <v>3</v>
      </c>
      <c r="R263" s="21" t="str">
        <f>IFERROR(VLOOKUP("47mg LP",Controls!A:K,10,0),"")</f>
        <v>Fisher / ThermoFisher Allentown</v>
      </c>
      <c r="S263" s="41">
        <f t="shared" si="31"/>
        <v>48396</v>
      </c>
      <c r="T263" s="30">
        <f t="shared" si="32"/>
        <v>0</v>
      </c>
      <c r="AB263">
        <f t="shared" si="34"/>
        <v>491631.64512678143</v>
      </c>
    </row>
    <row r="264" spans="1:28" ht="13" customHeight="1" x14ac:dyDescent="0.35">
      <c r="A264" s="153">
        <v>48519</v>
      </c>
      <c r="B264" s="36" t="s">
        <v>35</v>
      </c>
      <c r="C264" s="15" t="s">
        <v>28</v>
      </c>
      <c r="D264" s="15" t="s">
        <v>29</v>
      </c>
      <c r="E264" s="30">
        <f>H263</f>
        <v>-449806.11402915767</v>
      </c>
      <c r="F264" s="37">
        <f>IFERROR(SUMIFS('Demand Inputs'!$CI$5:$CI$202,'Demand Inputs'!$A$5:$A$202,"47mg LP",'Demand Inputs'!$B$5:$B$202,"&lt;&gt;AGGREGATE",'Demand Inputs'!$E$5:$E$202,1),0)</f>
        <v>11745.013311264105</v>
      </c>
      <c r="G264" s="37">
        <f t="array" ref="G264">IFERROR(SUMPRODUCT(('Production Inputs'!$A:$A="47mg LP")*('Production Inputs'!$B:$B="TOTAL ACTIVE")*'Production Inputs'!$CO:$CO),0)</f>
        <v>0</v>
      </c>
      <c r="H264" s="30">
        <f t="shared" si="28"/>
        <v>-461551.12734042178</v>
      </c>
      <c r="I264" s="30">
        <f ca="1">IFERROR(AVERAGEIF(OFFSET(F264,0,0,MIN(Controls!$B$8,COUNTIF(B264:B$1973,B264)),1),"&gt;"&amp;0),0)</f>
        <v>12541.958846022304</v>
      </c>
      <c r="J264" s="38">
        <f t="shared" ca="1" si="29"/>
        <v>-36.800561459887362</v>
      </c>
      <c r="K264" s="30">
        <f t="shared" ca="1" si="33"/>
        <v>570000</v>
      </c>
      <c r="L264" t="str">
        <f t="shared" si="30"/>
        <v>High</v>
      </c>
      <c r="M264" s="39">
        <f>IFERROR(VLOOKUP("47mg LP",Controls!A:I,7,0),6)</f>
        <v>9</v>
      </c>
      <c r="N264" s="39">
        <f>IFERROR(VLOOKUP("47mg LP",Controls!A:I,8,0),3)</f>
        <v>8</v>
      </c>
      <c r="O264" s="39">
        <f>IFERROR(VLOOKUP("47mg LP",Controls!A:I,9,0),18)</f>
        <v>18</v>
      </c>
      <c r="P264" s="40">
        <f>IFERROR(VLOOKUP("47mg LP",Controls!A:J,5,0),0)</f>
        <v>10000</v>
      </c>
      <c r="Q264" s="39">
        <f>IFERROR(VLOOKUP("47mg LP",Controls!A:J,6,0),3)</f>
        <v>3</v>
      </c>
      <c r="R264" s="21" t="str">
        <f>IFERROR(VLOOKUP("47mg LP",Controls!A:K,10,0),"")</f>
        <v>Fisher / ThermoFisher Allentown</v>
      </c>
      <c r="S264" s="41">
        <f t="shared" si="31"/>
        <v>48427</v>
      </c>
      <c r="T264" s="30">
        <f t="shared" si="32"/>
        <v>0</v>
      </c>
      <c r="AB264">
        <f t="shared" si="34"/>
        <v>503376.65843804553</v>
      </c>
    </row>
    <row r="265" spans="1:28" ht="13" customHeight="1" x14ac:dyDescent="0.35">
      <c r="A265" s="153">
        <v>48549</v>
      </c>
      <c r="B265" s="36" t="s">
        <v>35</v>
      </c>
      <c r="C265" s="15" t="s">
        <v>28</v>
      </c>
      <c r="D265" s="15" t="s">
        <v>29</v>
      </c>
      <c r="E265" s="30">
        <f>H264</f>
        <v>-461551.12734042178</v>
      </c>
      <c r="F265" s="37">
        <f>IFERROR(SUMIFS('Demand Inputs'!$CJ$5:$CJ$202,'Demand Inputs'!$A$5:$A$202,"47mg LP",'Demand Inputs'!$B$5:$B$202,"&lt;&gt;AGGREGATE",'Demand Inputs'!$E$5:$E$202,1),0)</f>
        <v>12072.581896083799</v>
      </c>
      <c r="G265" s="37">
        <f t="array" ref="G265">IFERROR(SUMPRODUCT(('Production Inputs'!$A:$A="47mg LP")*('Production Inputs'!$B:$B="TOTAL ACTIVE")*'Production Inputs'!$CP:$CP),0)</f>
        <v>0</v>
      </c>
      <c r="H265" s="30">
        <f t="shared" si="28"/>
        <v>-473623.70923650556</v>
      </c>
      <c r="I265" s="30">
        <f ca="1">IFERROR(AVERAGEIF(OFFSET(F265,0,0,MIN(Controls!$B$8,COUNTIF(B265:B$1973,B265)),1),"&gt;"&amp;0),0)</f>
        <v>12541.915327088789</v>
      </c>
      <c r="J265" s="38">
        <f t="shared" ca="1" si="29"/>
        <v>-37.763267960639503</v>
      </c>
      <c r="K265" s="30">
        <f t="shared" ca="1" si="33"/>
        <v>590000</v>
      </c>
      <c r="L265" t="str">
        <f t="shared" si="30"/>
        <v>High</v>
      </c>
      <c r="M265" s="39">
        <f>IFERROR(VLOOKUP("47mg LP",Controls!A:I,7,0),6)</f>
        <v>9</v>
      </c>
      <c r="N265" s="39">
        <f>IFERROR(VLOOKUP("47mg LP",Controls!A:I,8,0),3)</f>
        <v>8</v>
      </c>
      <c r="O265" s="39">
        <f>IFERROR(VLOOKUP("47mg LP",Controls!A:I,9,0),18)</f>
        <v>18</v>
      </c>
      <c r="P265" s="40">
        <f>IFERROR(VLOOKUP("47mg LP",Controls!A:J,5,0),0)</f>
        <v>10000</v>
      </c>
      <c r="Q265" s="39">
        <f>IFERROR(VLOOKUP("47mg LP",Controls!A:J,6,0),3)</f>
        <v>3</v>
      </c>
      <c r="R265" s="21" t="str">
        <f>IFERROR(VLOOKUP("47mg LP",Controls!A:K,10,0),"")</f>
        <v>Fisher / ThermoFisher Allentown</v>
      </c>
      <c r="S265" s="41">
        <f t="shared" si="31"/>
        <v>48458</v>
      </c>
      <c r="T265" s="30">
        <f t="shared" si="32"/>
        <v>0</v>
      </c>
      <c r="AB265">
        <f t="shared" si="34"/>
        <v>515449.24033412931</v>
      </c>
    </row>
    <row r="266" spans="1:28" ht="13" customHeight="1" x14ac:dyDescent="0.35">
      <c r="A266" s="153">
        <v>48580</v>
      </c>
      <c r="B266" s="36" t="s">
        <v>35</v>
      </c>
      <c r="C266" s="15" t="s">
        <v>28</v>
      </c>
      <c r="D266" s="15" t="s">
        <v>29</v>
      </c>
      <c r="E266" s="30">
        <f>H265</f>
        <v>-473623.70923650556</v>
      </c>
      <c r="F266" s="37">
        <f>IFERROR(SUMIFS('Demand Inputs'!$CK$5:$CK$202,'Demand Inputs'!$A$5:$A$202,"47mg LP",'Demand Inputs'!$B$5:$B$202,"&lt;&gt;AGGREGATE",'Demand Inputs'!$E$5:$E$202,1),0)</f>
        <v>14237.212305564301</v>
      </c>
      <c r="G266" s="37">
        <f t="array" ref="G266">IFERROR(SUMPRODUCT(('Production Inputs'!$A:$A="47mg LP")*('Production Inputs'!$B:$B="TOTAL ACTIVE")*'Production Inputs'!$CQ:$CQ),0)</f>
        <v>0</v>
      </c>
      <c r="H266" s="30">
        <f t="shared" si="28"/>
        <v>-487860.92154206987</v>
      </c>
      <c r="I266" s="30">
        <f ca="1">IFERROR(AVERAGEIF(OFFSET(F266,0,0,MIN(Controls!$B$8,COUNTIF(B266:B$1973,B266)),1),"&gt;"&amp;0),0)</f>
        <v>12912.143278155212</v>
      </c>
      <c r="J266" s="38">
        <f t="shared" ca="1" si="29"/>
        <v>-37.783109359345005</v>
      </c>
      <c r="K266" s="30">
        <f t="shared" ca="1" si="33"/>
        <v>600000</v>
      </c>
      <c r="L266" t="str">
        <f t="shared" si="30"/>
        <v>High</v>
      </c>
      <c r="M266" s="39">
        <f>IFERROR(VLOOKUP("47mg LP",Controls!A:I,7,0),6)</f>
        <v>9</v>
      </c>
      <c r="N266" s="39">
        <f>IFERROR(VLOOKUP("47mg LP",Controls!A:I,8,0),3)</f>
        <v>8</v>
      </c>
      <c r="O266" s="39">
        <f>IFERROR(VLOOKUP("47mg LP",Controls!A:I,9,0),18)</f>
        <v>18</v>
      </c>
      <c r="P266" s="40">
        <f>IFERROR(VLOOKUP("47mg LP",Controls!A:J,5,0),0)</f>
        <v>10000</v>
      </c>
      <c r="Q266" s="39">
        <f>IFERROR(VLOOKUP("47mg LP",Controls!A:J,6,0),3)</f>
        <v>3</v>
      </c>
      <c r="R266" s="21" t="str">
        <f>IFERROR(VLOOKUP("47mg LP",Controls!A:K,10,0),"")</f>
        <v>Fisher / ThermoFisher Allentown</v>
      </c>
      <c r="S266" s="41">
        <f t="shared" si="31"/>
        <v>48488</v>
      </c>
      <c r="T266" s="30">
        <f t="shared" si="32"/>
        <v>0</v>
      </c>
      <c r="AB266">
        <f t="shared" si="34"/>
        <v>529686.45263969363</v>
      </c>
    </row>
    <row r="267" spans="1:28" ht="13" customHeight="1" x14ac:dyDescent="0.35">
      <c r="A267" s="153">
        <v>48611</v>
      </c>
      <c r="B267" s="36" t="s">
        <v>35</v>
      </c>
      <c r="C267" s="15" t="s">
        <v>28</v>
      </c>
      <c r="D267" s="15" t="s">
        <v>29</v>
      </c>
      <c r="E267" s="30">
        <f>H266</f>
        <v>-487860.92154206987</v>
      </c>
      <c r="F267" s="37">
        <f>IFERROR(SUMIFS('Demand Inputs'!$CL$5:$CL$202,'Demand Inputs'!$A$5:$A$202,"47mg LP",'Demand Inputs'!$B$5:$B$202,"&lt;&gt;AGGREGATE",'Demand Inputs'!$E$5:$E$202,1),0)</f>
        <v>10290.071269913618</v>
      </c>
      <c r="G267" s="37">
        <f t="array" ref="G267">IFERROR(SUMPRODUCT(('Production Inputs'!$A:$A="47mg LP")*('Production Inputs'!$B:$B="TOTAL ACTIVE")*'Production Inputs'!$CR:$CR),0)</f>
        <v>0</v>
      </c>
      <c r="H267" s="30">
        <f t="shared" si="28"/>
        <v>-498150.99281198351</v>
      </c>
      <c r="I267" s="30">
        <f ca="1">IFERROR(AVERAGEIF(OFFSET(F267,0,0,MIN(Controls!$B$8,COUNTIF(B267:B$1973,B267)),1),"&gt;"&amp;0),0)</f>
        <v>12687.213835969769</v>
      </c>
      <c r="J267" s="38">
        <f t="shared" ca="1" si="29"/>
        <v>-39.264018030472997</v>
      </c>
      <c r="K267" s="30">
        <f t="shared" ca="1" si="33"/>
        <v>610000</v>
      </c>
      <c r="L267" t="str">
        <f t="shared" si="30"/>
        <v>High</v>
      </c>
      <c r="M267" s="39">
        <f>IFERROR(VLOOKUP("47mg LP",Controls!A:I,7,0),6)</f>
        <v>9</v>
      </c>
      <c r="N267" s="39">
        <f>IFERROR(VLOOKUP("47mg LP",Controls!A:I,8,0),3)</f>
        <v>8</v>
      </c>
      <c r="O267" s="39">
        <f>IFERROR(VLOOKUP("47mg LP",Controls!A:I,9,0),18)</f>
        <v>18</v>
      </c>
      <c r="P267" s="40">
        <f>IFERROR(VLOOKUP("47mg LP",Controls!A:J,5,0),0)</f>
        <v>10000</v>
      </c>
      <c r="Q267" s="39">
        <f>IFERROR(VLOOKUP("47mg LP",Controls!A:J,6,0),3)</f>
        <v>3</v>
      </c>
      <c r="R267" s="21" t="str">
        <f>IFERROR(VLOOKUP("47mg LP",Controls!A:K,10,0),"")</f>
        <v>Fisher / ThermoFisher Allentown</v>
      </c>
      <c r="S267" s="41">
        <f t="shared" si="31"/>
        <v>48519</v>
      </c>
      <c r="T267" s="30">
        <f t="shared" si="32"/>
        <v>0</v>
      </c>
      <c r="AB267">
        <f t="shared" si="34"/>
        <v>539976.5239096072</v>
      </c>
    </row>
    <row r="268" spans="1:28" ht="13" customHeight="1" x14ac:dyDescent="0.35">
      <c r="A268" s="153">
        <v>48639</v>
      </c>
      <c r="B268" s="36" t="s">
        <v>35</v>
      </c>
      <c r="C268" s="15" t="s">
        <v>28</v>
      </c>
      <c r="D268" s="15" t="s">
        <v>29</v>
      </c>
      <c r="E268" s="30">
        <f>H267</f>
        <v>-498150.99281198351</v>
      </c>
      <c r="F268" s="37">
        <f>IFERROR(SUMIFS('Demand Inputs'!$CM$5:$CM$202,'Demand Inputs'!$A$5:$A$202,"47mg LP",'Demand Inputs'!$B$5:$B$202,"&lt;&gt;AGGREGATE",'Demand Inputs'!$E$5:$E$202,1),0)</f>
        <v>11290.457741143553</v>
      </c>
      <c r="G268" s="37">
        <f t="array" ref="G268">IFERROR(SUMPRODUCT(('Production Inputs'!$A:$A="47mg LP")*('Production Inputs'!$B:$B="TOTAL ACTIVE")*'Production Inputs'!$CS:$CS),0)</f>
        <v>0</v>
      </c>
      <c r="H268" s="30">
        <f t="shared" si="28"/>
        <v>-509441.45055312704</v>
      </c>
      <c r="I268" s="30">
        <f ca="1">IFERROR(AVERAGEIF(OFFSET(F268,0,0,MIN(Controls!$B$8,COUNTIF(B268:B$1973,B268)),1),"&gt;"&amp;0),0)</f>
        <v>12861.583939499846</v>
      </c>
      <c r="J268" s="38">
        <f t="shared" ca="1" si="29"/>
        <v>-39.609542102241093</v>
      </c>
      <c r="K268" s="30">
        <f t="shared" ca="1" si="33"/>
        <v>630000</v>
      </c>
      <c r="L268" t="str">
        <f t="shared" si="30"/>
        <v>High</v>
      </c>
      <c r="M268" s="39">
        <f>IFERROR(VLOOKUP("47mg LP",Controls!A:I,7,0),6)</f>
        <v>9</v>
      </c>
      <c r="N268" s="39">
        <f>IFERROR(VLOOKUP("47mg LP",Controls!A:I,8,0),3)</f>
        <v>8</v>
      </c>
      <c r="O268" s="39">
        <f>IFERROR(VLOOKUP("47mg LP",Controls!A:I,9,0),18)</f>
        <v>18</v>
      </c>
      <c r="P268" s="40">
        <f>IFERROR(VLOOKUP("47mg LP",Controls!A:J,5,0),0)</f>
        <v>10000</v>
      </c>
      <c r="Q268" s="39">
        <f>IFERROR(VLOOKUP("47mg LP",Controls!A:J,6,0),3)</f>
        <v>3</v>
      </c>
      <c r="R268" s="21" t="str">
        <f>IFERROR(VLOOKUP("47mg LP",Controls!A:K,10,0),"")</f>
        <v>Fisher / ThermoFisher Allentown</v>
      </c>
      <c r="S268" s="41">
        <f t="shared" si="31"/>
        <v>48549</v>
      </c>
      <c r="T268" s="30">
        <f t="shared" si="32"/>
        <v>0</v>
      </c>
      <c r="AB268">
        <f t="shared" si="34"/>
        <v>551266.98165075073</v>
      </c>
    </row>
    <row r="269" spans="1:28" ht="13" customHeight="1" x14ac:dyDescent="0.35">
      <c r="A269" s="153">
        <v>48670</v>
      </c>
      <c r="B269" s="36" t="s">
        <v>35</v>
      </c>
      <c r="C269" s="15" t="s">
        <v>28</v>
      </c>
      <c r="D269" s="15" t="s">
        <v>29</v>
      </c>
      <c r="E269" s="30">
        <f>H268</f>
        <v>-509441.45055312704</v>
      </c>
      <c r="F269" s="37">
        <f>IFERROR(SUMIFS('Demand Inputs'!$CN$5:$CN$202,'Demand Inputs'!$A$5:$A$202,"47mg LP",'Demand Inputs'!$B$5:$B$202,"&lt;&gt;AGGREGATE",'Demand Inputs'!$E$5:$E$202,1),0)</f>
        <v>15552.63515467172</v>
      </c>
      <c r="G269" s="37">
        <f t="array" ref="G269">IFERROR(SUMPRODUCT(('Production Inputs'!$A:$A="47mg LP")*('Production Inputs'!$B:$B="TOTAL ACTIVE")*'Production Inputs'!$CT:$CT),0)</f>
        <v>0</v>
      </c>
      <c r="H269" s="30">
        <f t="shared" si="28"/>
        <v>-524994.08570779872</v>
      </c>
      <c r="I269" s="30">
        <f ca="1">IFERROR(AVERAGEIF(OFFSET(F269,0,0,MIN(Controls!$B$8,COUNTIF(B269:B$1973,B269)),1),"&gt;"&amp;0),0)</f>
        <v>12960.16659450424</v>
      </c>
      <c r="J269" s="38">
        <f t="shared" ca="1" si="29"/>
        <v>-40.508282195263021</v>
      </c>
      <c r="K269" s="30">
        <f t="shared" ca="1" si="33"/>
        <v>640000</v>
      </c>
      <c r="L269" t="str">
        <f t="shared" si="30"/>
        <v>High</v>
      </c>
      <c r="M269" s="39">
        <f>IFERROR(VLOOKUP("47mg LP",Controls!A:I,7,0),6)</f>
        <v>9</v>
      </c>
      <c r="N269" s="39">
        <f>IFERROR(VLOOKUP("47mg LP",Controls!A:I,8,0),3)</f>
        <v>8</v>
      </c>
      <c r="O269" s="39">
        <f>IFERROR(VLOOKUP("47mg LP",Controls!A:I,9,0),18)</f>
        <v>18</v>
      </c>
      <c r="P269" s="40">
        <f>IFERROR(VLOOKUP("47mg LP",Controls!A:J,5,0),0)</f>
        <v>10000</v>
      </c>
      <c r="Q269" s="39">
        <f>IFERROR(VLOOKUP("47mg LP",Controls!A:J,6,0),3)</f>
        <v>3</v>
      </c>
      <c r="R269" s="21" t="str">
        <f>IFERROR(VLOOKUP("47mg LP",Controls!A:K,10,0),"")</f>
        <v>Fisher / ThermoFisher Allentown</v>
      </c>
      <c r="S269" s="41">
        <f t="shared" si="31"/>
        <v>48580</v>
      </c>
      <c r="T269" s="30">
        <f t="shared" si="32"/>
        <v>0</v>
      </c>
      <c r="AB269">
        <f t="shared" si="34"/>
        <v>566819.61680542247</v>
      </c>
    </row>
    <row r="270" spans="1:28" ht="13" customHeight="1" x14ac:dyDescent="0.35">
      <c r="A270" s="153">
        <v>48700</v>
      </c>
      <c r="B270" s="36" t="s">
        <v>35</v>
      </c>
      <c r="C270" s="15" t="s">
        <v>28</v>
      </c>
      <c r="D270" s="15" t="s">
        <v>29</v>
      </c>
      <c r="E270" s="30">
        <f>H269</f>
        <v>-524994.08570779872</v>
      </c>
      <c r="F270" s="37">
        <f>IFERROR(SUMIFS('Demand Inputs'!$CO$5:$CO$202,'Demand Inputs'!$A$5:$A$202,"47mg LP",'Demand Inputs'!$B$5:$B$202,"&lt;&gt;AGGREGATE",'Demand Inputs'!$E$5:$E$202,1),0)</f>
        <v>12050.965024849196</v>
      </c>
      <c r="G270" s="37">
        <f t="array" ref="G270">IFERROR(SUMPRODUCT(('Production Inputs'!$A:$A="47mg LP")*('Production Inputs'!$B:$B="TOTAL ACTIVE")*'Production Inputs'!$CU:$CU),0)</f>
        <v>0</v>
      </c>
      <c r="H270" s="30">
        <f t="shared" si="28"/>
        <v>-537045.05073264788</v>
      </c>
      <c r="I270" s="30">
        <f ca="1">IFERROR(AVERAGEIF(OFFSET(F270,0,0,MIN(Controls!$B$8,COUNTIF(B270:B$1973,B270)),1),"&gt;"&amp;0),0)</f>
        <v>12702.111954632181</v>
      </c>
      <c r="J270" s="38">
        <f t="shared" ca="1" si="29"/>
        <v>-42.279980892216855</v>
      </c>
      <c r="K270" s="30">
        <f t="shared" ca="1" si="33"/>
        <v>650000</v>
      </c>
      <c r="L270" t="str">
        <f t="shared" si="30"/>
        <v>High</v>
      </c>
      <c r="M270" s="39">
        <f>IFERROR(VLOOKUP("47mg LP",Controls!A:I,7,0),6)</f>
        <v>9</v>
      </c>
      <c r="N270" s="39">
        <f>IFERROR(VLOOKUP("47mg LP",Controls!A:I,8,0),3)</f>
        <v>8</v>
      </c>
      <c r="O270" s="39">
        <f>IFERROR(VLOOKUP("47mg LP",Controls!A:I,9,0),18)</f>
        <v>18</v>
      </c>
      <c r="P270" s="40">
        <f>IFERROR(VLOOKUP("47mg LP",Controls!A:J,5,0),0)</f>
        <v>10000</v>
      </c>
      <c r="Q270" s="39">
        <f>IFERROR(VLOOKUP("47mg LP",Controls!A:J,6,0),3)</f>
        <v>3</v>
      </c>
      <c r="R270" s="21" t="str">
        <f>IFERROR(VLOOKUP("47mg LP",Controls!A:K,10,0),"")</f>
        <v>Fisher / ThermoFisher Allentown</v>
      </c>
      <c r="S270" s="41">
        <f t="shared" si="31"/>
        <v>48611</v>
      </c>
      <c r="T270" s="30">
        <f t="shared" si="32"/>
        <v>0</v>
      </c>
      <c r="AB270">
        <f t="shared" si="34"/>
        <v>578870.58183027164</v>
      </c>
    </row>
    <row r="271" spans="1:28" ht="13" customHeight="1" x14ac:dyDescent="0.35">
      <c r="A271" s="153">
        <v>48731</v>
      </c>
      <c r="B271" s="36" t="s">
        <v>35</v>
      </c>
      <c r="C271" s="15" t="s">
        <v>28</v>
      </c>
      <c r="D271" s="15" t="s">
        <v>29</v>
      </c>
      <c r="E271" s="30">
        <f>H270</f>
        <v>-537045.05073264788</v>
      </c>
      <c r="F271" s="37">
        <f>IFERROR(SUMIFS('Demand Inputs'!$CP$5:$CP$202,'Demand Inputs'!$A$5:$A$202,"47mg LP",'Demand Inputs'!$B$5:$B$202,"&lt;&gt;AGGREGATE",'Demand Inputs'!$E$5:$E$202,1),0)</f>
        <v>12809.03445641882</v>
      </c>
      <c r="G271" s="37">
        <f t="array" ref="G271">IFERROR(SUMPRODUCT(('Production Inputs'!$A:$A="47mg LP")*('Production Inputs'!$B:$B="TOTAL ACTIVE")*'Production Inputs'!$CV:$CV),0)</f>
        <v>0</v>
      </c>
      <c r="H271" s="30">
        <f t="shared" si="28"/>
        <v>-549854.08518906671</v>
      </c>
      <c r="I271" s="30">
        <f ca="1">IFERROR(AVERAGEIF(OFFSET(F271,0,0,MIN(Controls!$B$8,COUNTIF(B271:B$1973,B271)),1),"&gt;"&amp;0),0)</f>
        <v>12671.132280875259</v>
      </c>
      <c r="J271" s="38">
        <f t="shared" ca="1" si="29"/>
        <v>-43.394234469398619</v>
      </c>
      <c r="K271" s="30">
        <f t="shared" ca="1" si="33"/>
        <v>660000</v>
      </c>
      <c r="L271" t="str">
        <f t="shared" si="30"/>
        <v>High</v>
      </c>
      <c r="M271" s="39">
        <f>IFERROR(VLOOKUP("47mg LP",Controls!A:I,7,0),6)</f>
        <v>9</v>
      </c>
      <c r="N271" s="39">
        <f>IFERROR(VLOOKUP("47mg LP",Controls!A:I,8,0),3)</f>
        <v>8</v>
      </c>
      <c r="O271" s="39">
        <f>IFERROR(VLOOKUP("47mg LP",Controls!A:I,9,0),18)</f>
        <v>18</v>
      </c>
      <c r="P271" s="40">
        <f>IFERROR(VLOOKUP("47mg LP",Controls!A:J,5,0),0)</f>
        <v>10000</v>
      </c>
      <c r="Q271" s="39">
        <f>IFERROR(VLOOKUP("47mg LP",Controls!A:J,6,0),3)</f>
        <v>3</v>
      </c>
      <c r="R271" s="21" t="str">
        <f>IFERROR(VLOOKUP("47mg LP",Controls!A:K,10,0),"")</f>
        <v>Fisher / ThermoFisher Allentown</v>
      </c>
      <c r="S271" s="41">
        <f t="shared" si="31"/>
        <v>48639</v>
      </c>
      <c r="T271" s="30">
        <f t="shared" si="32"/>
        <v>0</v>
      </c>
      <c r="AB271">
        <f t="shared" si="34"/>
        <v>591679.61628669046</v>
      </c>
    </row>
    <row r="272" spans="1:28" ht="13" customHeight="1" x14ac:dyDescent="0.35">
      <c r="A272" s="153">
        <v>48761</v>
      </c>
      <c r="B272" s="36" t="s">
        <v>35</v>
      </c>
      <c r="C272" s="15" t="s">
        <v>28</v>
      </c>
      <c r="D272" s="15" t="s">
        <v>29</v>
      </c>
      <c r="E272" s="30">
        <f>H271</f>
        <v>-549854.08518906671</v>
      </c>
      <c r="F272" s="37">
        <f>IFERROR(SUMIFS('Demand Inputs'!$CQ$5:$CQ$202,'Demand Inputs'!$A$5:$A$202,"47mg LP",'Demand Inputs'!$B$5:$B$202,"&lt;&gt;AGGREGATE",'Demand Inputs'!$E$5:$E$202,1),0)</f>
        <v>12829.658454291603</v>
      </c>
      <c r="G272" s="37">
        <f t="array" ref="G272">IFERROR(SUMPRODUCT(('Production Inputs'!$A:$A="47mg LP")*('Production Inputs'!$B:$B="TOTAL ACTIVE")*'Production Inputs'!$CW:$CW),0)</f>
        <v>0</v>
      </c>
      <c r="H272" s="30">
        <f t="shared" si="28"/>
        <v>-562683.74364335835</v>
      </c>
      <c r="I272" s="30">
        <f ca="1">IFERROR(AVERAGEIF(OFFSET(F272,0,0,MIN(Controls!$B$8,COUNTIF(B272:B$1973,B272)),1),"&gt;"&amp;0),0)</f>
        <v>12470.377766910045</v>
      </c>
      <c r="J272" s="38">
        <f t="shared" ca="1" si="29"/>
        <v>-45.121627761464531</v>
      </c>
      <c r="K272" s="30">
        <f t="shared" ca="1" si="33"/>
        <v>670000</v>
      </c>
      <c r="L272" t="str">
        <f t="shared" si="30"/>
        <v>High</v>
      </c>
      <c r="M272" s="39">
        <f>IFERROR(VLOOKUP("47mg LP",Controls!A:I,7,0),6)</f>
        <v>9</v>
      </c>
      <c r="N272" s="39">
        <f>IFERROR(VLOOKUP("47mg LP",Controls!A:I,8,0),3)</f>
        <v>8</v>
      </c>
      <c r="O272" s="39">
        <f>IFERROR(VLOOKUP("47mg LP",Controls!A:I,9,0),18)</f>
        <v>18</v>
      </c>
      <c r="P272" s="40">
        <f>IFERROR(VLOOKUP("47mg LP",Controls!A:J,5,0),0)</f>
        <v>10000</v>
      </c>
      <c r="Q272" s="39">
        <f>IFERROR(VLOOKUP("47mg LP",Controls!A:J,6,0),3)</f>
        <v>3</v>
      </c>
      <c r="R272" s="21" t="str">
        <f>IFERROR(VLOOKUP("47mg LP",Controls!A:K,10,0),"")</f>
        <v>Fisher / ThermoFisher Allentown</v>
      </c>
      <c r="S272" s="41">
        <f t="shared" si="31"/>
        <v>48670</v>
      </c>
      <c r="T272" s="30">
        <f t="shared" si="32"/>
        <v>0</v>
      </c>
      <c r="AB272">
        <f t="shared" si="34"/>
        <v>604509.2747409821</v>
      </c>
    </row>
    <row r="273" spans="1:28" ht="13" customHeight="1" x14ac:dyDescent="0.35">
      <c r="A273" s="153">
        <v>48792</v>
      </c>
      <c r="B273" s="36" t="s">
        <v>35</v>
      </c>
      <c r="C273" s="15" t="s">
        <v>28</v>
      </c>
      <c r="D273" s="15" t="s">
        <v>29</v>
      </c>
      <c r="E273" s="30">
        <f>H272</f>
        <v>-562683.74364335835</v>
      </c>
      <c r="F273" s="37">
        <f>IFERROR(SUMIFS('Demand Inputs'!$CR$5:$CR$202,'Demand Inputs'!$A$5:$A$202,"47mg LP",'Demand Inputs'!$B$5:$B$202,"&lt;&gt;AGGREGATE",'Demand Inputs'!$E$5:$E$202,1),0)</f>
        <v>11744.621640862471</v>
      </c>
      <c r="G273" s="37">
        <f t="array" ref="G273">IFERROR(SUMPRODUCT(('Production Inputs'!$A:$A="47mg LP")*('Production Inputs'!$B:$B="TOTAL ACTIVE")*'Production Inputs'!$CX:$CX),0)</f>
        <v>0</v>
      </c>
      <c r="H273" s="30">
        <f t="shared" si="28"/>
        <v>-574428.36528422078</v>
      </c>
      <c r="I273" s="30">
        <f ca="1">IFERROR(AVERAGEIF(OFFSET(F273,0,0,MIN(Controls!$B$8,COUNTIF(B273:B$1973,B273)),1),"&gt;"&amp;0),0)</f>
        <v>12784.309578838389</v>
      </c>
      <c r="J273" s="38">
        <f t="shared" ca="1" si="29"/>
        <v>-44.932294680587248</v>
      </c>
      <c r="K273" s="30">
        <f t="shared" ca="1" si="33"/>
        <v>690000</v>
      </c>
      <c r="L273" t="str">
        <f t="shared" si="30"/>
        <v>High</v>
      </c>
      <c r="M273" s="39">
        <f>IFERROR(VLOOKUP("47mg LP",Controls!A:I,7,0),6)</f>
        <v>9</v>
      </c>
      <c r="N273" s="39">
        <f>IFERROR(VLOOKUP("47mg LP",Controls!A:I,8,0),3)</f>
        <v>8</v>
      </c>
      <c r="O273" s="39">
        <f>IFERROR(VLOOKUP("47mg LP",Controls!A:I,9,0),18)</f>
        <v>18</v>
      </c>
      <c r="P273" s="40">
        <f>IFERROR(VLOOKUP("47mg LP",Controls!A:J,5,0),0)</f>
        <v>10000</v>
      </c>
      <c r="Q273" s="39">
        <f>IFERROR(VLOOKUP("47mg LP",Controls!A:J,6,0),3)</f>
        <v>3</v>
      </c>
      <c r="R273" s="21" t="str">
        <f>IFERROR(VLOOKUP("47mg LP",Controls!A:K,10,0),"")</f>
        <v>Fisher / ThermoFisher Allentown</v>
      </c>
      <c r="S273" s="41">
        <f t="shared" si="31"/>
        <v>48700</v>
      </c>
      <c r="T273" s="30">
        <f t="shared" si="32"/>
        <v>0</v>
      </c>
      <c r="AB273">
        <f t="shared" si="34"/>
        <v>616253.89638184453</v>
      </c>
    </row>
    <row r="274" spans="1:28" ht="13" customHeight="1" x14ac:dyDescent="0.35">
      <c r="A274" s="153">
        <v>48823</v>
      </c>
      <c r="B274" s="36" t="s">
        <v>35</v>
      </c>
      <c r="C274" s="15" t="s">
        <v>28</v>
      </c>
      <c r="D274" s="15" t="s">
        <v>29</v>
      </c>
      <c r="E274" s="30">
        <f>H273</f>
        <v>-574428.36528422078</v>
      </c>
      <c r="F274" s="37">
        <f>IFERROR(SUMIFS('Demand Inputs'!$CS$5:$CS$202,'Demand Inputs'!$A$5:$A$202,"47mg LP",'Demand Inputs'!$B$5:$B$202,"&lt;&gt;AGGREGATE",'Demand Inputs'!$E$5:$E$202,1),0)</f>
        <v>15404.633455681611</v>
      </c>
      <c r="G274" s="37">
        <f t="array" ref="G274">IFERROR(SUMPRODUCT(('Production Inputs'!$A:$A="47mg LP")*('Production Inputs'!$B:$B="TOTAL ACTIVE")*'Production Inputs'!$CY:$CY),0)</f>
        <v>0</v>
      </c>
      <c r="H274" s="30">
        <f t="shared" si="28"/>
        <v>-589832.9987399024</v>
      </c>
      <c r="I274" s="30">
        <f ca="1">IFERROR(AVERAGEIF(OFFSET(F274,0,0,MIN(Controls!$B$8,COUNTIF(B274:B$1973,B274)),1),"&gt;"&amp;0),0)</f>
        <v>12704.038845393381</v>
      </c>
      <c r="J274" s="38">
        <f t="shared" ca="1" si="29"/>
        <v>-46.428777959363849</v>
      </c>
      <c r="K274" s="30">
        <f t="shared" ca="1" si="33"/>
        <v>700000</v>
      </c>
      <c r="L274" t="str">
        <f t="shared" si="30"/>
        <v>High</v>
      </c>
      <c r="M274" s="39">
        <f>IFERROR(VLOOKUP("47mg LP",Controls!A:I,7,0),6)</f>
        <v>9</v>
      </c>
      <c r="N274" s="39">
        <f>IFERROR(VLOOKUP("47mg LP",Controls!A:I,8,0),3)</f>
        <v>8</v>
      </c>
      <c r="O274" s="39">
        <f>IFERROR(VLOOKUP("47mg LP",Controls!A:I,9,0),18)</f>
        <v>18</v>
      </c>
      <c r="P274" s="40">
        <f>IFERROR(VLOOKUP("47mg LP",Controls!A:J,5,0),0)</f>
        <v>10000</v>
      </c>
      <c r="Q274" s="39">
        <f>IFERROR(VLOOKUP("47mg LP",Controls!A:J,6,0),3)</f>
        <v>3</v>
      </c>
      <c r="R274" s="21" t="str">
        <f>IFERROR(VLOOKUP("47mg LP",Controls!A:K,10,0),"")</f>
        <v>Fisher / ThermoFisher Allentown</v>
      </c>
      <c r="S274" s="41">
        <f t="shared" si="31"/>
        <v>48731</v>
      </c>
      <c r="T274" s="30">
        <f t="shared" si="32"/>
        <v>0</v>
      </c>
      <c r="AB274">
        <f t="shared" si="34"/>
        <v>631658.52983752615</v>
      </c>
    </row>
    <row r="275" spans="1:28" ht="13" customHeight="1" x14ac:dyDescent="0.35">
      <c r="A275" s="153">
        <v>48853</v>
      </c>
      <c r="B275" s="36" t="s">
        <v>35</v>
      </c>
      <c r="C275" s="15" t="s">
        <v>28</v>
      </c>
      <c r="D275" s="15" t="s">
        <v>29</v>
      </c>
      <c r="E275" s="30">
        <f>H274</f>
        <v>-589832.9987399024</v>
      </c>
      <c r="F275" s="37">
        <f>IFERROR(SUMIFS('Demand Inputs'!$CT$5:$CT$202,'Demand Inputs'!$A$5:$A$202,"47mg LP",'Demand Inputs'!$B$5:$B$202,"&lt;&gt;AGGREGATE",'Demand Inputs'!$E$5:$E$202,1),0)</f>
        <v>12212.847325895331</v>
      </c>
      <c r="G275" s="37">
        <f t="array" ref="G275">IFERROR(SUMPRODUCT(('Production Inputs'!$A:$A="47mg LP")*('Production Inputs'!$B:$B="TOTAL ACTIVE")*'Production Inputs'!$CZ:$CZ),0)</f>
        <v>0</v>
      </c>
      <c r="H275" s="30">
        <f t="shared" si="28"/>
        <v>-602045.84606579773</v>
      </c>
      <c r="I275" s="30">
        <f ca="1">IFERROR(AVERAGEIF(OFFSET(F275,0,0,MIN(Controls!$B$8,COUNTIF(B275:B$1973,B275)),1),"&gt;"&amp;0),0)</f>
        <v>12581.281765250247</v>
      </c>
      <c r="J275" s="38">
        <f t="shared" ca="1" si="29"/>
        <v>-47.852504800318556</v>
      </c>
      <c r="K275" s="30">
        <f t="shared" ca="1" si="33"/>
        <v>720000</v>
      </c>
      <c r="L275" t="str">
        <f t="shared" si="30"/>
        <v>High</v>
      </c>
      <c r="M275" s="39">
        <f>IFERROR(VLOOKUP("47mg LP",Controls!A:I,7,0),6)</f>
        <v>9</v>
      </c>
      <c r="N275" s="39">
        <f>IFERROR(VLOOKUP("47mg LP",Controls!A:I,8,0),3)</f>
        <v>8</v>
      </c>
      <c r="O275" s="39">
        <f>IFERROR(VLOOKUP("47mg LP",Controls!A:I,9,0),18)</f>
        <v>18</v>
      </c>
      <c r="P275" s="40">
        <f>IFERROR(VLOOKUP("47mg LP",Controls!A:J,5,0),0)</f>
        <v>10000</v>
      </c>
      <c r="Q275" s="39">
        <f>IFERROR(VLOOKUP("47mg LP",Controls!A:J,6,0),3)</f>
        <v>3</v>
      </c>
      <c r="R275" s="21" t="str">
        <f>IFERROR(VLOOKUP("47mg LP",Controls!A:K,10,0),"")</f>
        <v>Fisher / ThermoFisher Allentown</v>
      </c>
      <c r="S275" s="41">
        <f t="shared" si="31"/>
        <v>48761</v>
      </c>
      <c r="T275" s="30">
        <f t="shared" si="32"/>
        <v>0</v>
      </c>
      <c r="AB275">
        <f t="shared" si="34"/>
        <v>643871.37716342148</v>
      </c>
    </row>
    <row r="276" spans="1:28" ht="13" customHeight="1" x14ac:dyDescent="0.35">
      <c r="A276" s="153">
        <v>48884</v>
      </c>
      <c r="B276" s="36" t="s">
        <v>35</v>
      </c>
      <c r="C276" s="15" t="s">
        <v>28</v>
      </c>
      <c r="D276" s="15" t="s">
        <v>29</v>
      </c>
      <c r="E276" s="30">
        <f>H275</f>
        <v>-602045.84606579773</v>
      </c>
      <c r="F276" s="37">
        <f>IFERROR(SUMIFS('Demand Inputs'!$CU$5:$CU$202,'Demand Inputs'!$A$5:$A$202,"47mg LP",'Demand Inputs'!$B$5:$B$202,"&lt;&gt;AGGREGATE",'Demand Inputs'!$E$5:$E$202,1),0)</f>
        <v>11859.402201684301</v>
      </c>
      <c r="G276" s="37">
        <f t="array" ref="G276">IFERROR(SUMPRODUCT(('Production Inputs'!$A:$A="47mg LP")*('Production Inputs'!$B:$B="TOTAL ACTIVE")*'Production Inputs'!$DA:$DA),0)</f>
        <v>0</v>
      </c>
      <c r="H276" s="30">
        <f t="shared" si="28"/>
        <v>-613905.24826748203</v>
      </c>
      <c r="I276" s="30">
        <f ca="1">IFERROR(AVERAGEIF(OFFSET(F276,0,0,MIN(Controls!$B$8,COUNTIF(B276:B$1973,B276)),1),"&gt;"&amp;0),0)</f>
        <v>12617.583483008057</v>
      </c>
      <c r="J276" s="38">
        <f t="shared" ca="1" si="29"/>
        <v>-48.654740354539413</v>
      </c>
      <c r="K276" s="30">
        <f t="shared" ca="1" si="33"/>
        <v>730000</v>
      </c>
      <c r="L276" t="str">
        <f t="shared" si="30"/>
        <v>High</v>
      </c>
      <c r="M276" s="39">
        <f>IFERROR(VLOOKUP("47mg LP",Controls!A:I,7,0),6)</f>
        <v>9</v>
      </c>
      <c r="N276" s="39">
        <f>IFERROR(VLOOKUP("47mg LP",Controls!A:I,8,0),3)</f>
        <v>8</v>
      </c>
      <c r="O276" s="39">
        <f>IFERROR(VLOOKUP("47mg LP",Controls!A:I,9,0),18)</f>
        <v>18</v>
      </c>
      <c r="P276" s="40">
        <f>IFERROR(VLOOKUP("47mg LP",Controls!A:J,5,0),0)</f>
        <v>10000</v>
      </c>
      <c r="Q276" s="39">
        <f>IFERROR(VLOOKUP("47mg LP",Controls!A:J,6,0),3)</f>
        <v>3</v>
      </c>
      <c r="R276" s="21" t="str">
        <f>IFERROR(VLOOKUP("47mg LP",Controls!A:K,10,0),"")</f>
        <v>Fisher / ThermoFisher Allentown</v>
      </c>
      <c r="S276" s="41">
        <f t="shared" si="31"/>
        <v>48792</v>
      </c>
      <c r="T276" s="30">
        <f t="shared" si="32"/>
        <v>0</v>
      </c>
      <c r="AB276">
        <f t="shared" si="34"/>
        <v>655730.77936510579</v>
      </c>
    </row>
    <row r="277" spans="1:28" ht="13" customHeight="1" x14ac:dyDescent="0.35">
      <c r="A277" s="153">
        <v>48914</v>
      </c>
      <c r="B277" s="36" t="s">
        <v>35</v>
      </c>
      <c r="C277" s="15" t="s">
        <v>28</v>
      </c>
      <c r="D277" s="15" t="s">
        <v>29</v>
      </c>
      <c r="E277" s="30">
        <f>H276</f>
        <v>-613905.24826748203</v>
      </c>
      <c r="F277" s="37">
        <f>IFERROR(SUMIFS('Demand Inputs'!$CV$5:$CV$202,'Demand Inputs'!$A$5:$A$202,"47mg LP",'Demand Inputs'!$B$5:$B$202,"&lt;&gt;AGGREGATE",'Demand Inputs'!$E$5:$E$202,1),0)</f>
        <v>12177.701636183097</v>
      </c>
      <c r="G277" s="37">
        <f t="array" ref="G277">IFERROR(SUMPRODUCT(('Production Inputs'!$A:$A="47mg LP")*('Production Inputs'!$B:$B="TOTAL ACTIVE")*'Production Inputs'!$DB:$DB),0)</f>
        <v>0</v>
      </c>
      <c r="H277" s="30">
        <f t="shared" si="28"/>
        <v>-626082.94990366511</v>
      </c>
      <c r="I277" s="30">
        <f ca="1">IFERROR(AVERAGEIF(OFFSET(F277,0,0,MIN(Controls!$B$8,COUNTIF(B277:B$1973,B277)),1),"&gt;"&amp;0),0)</f>
        <v>12613.109563790795</v>
      </c>
      <c r="J277" s="38">
        <f t="shared" ca="1" si="29"/>
        <v>-49.637478112534495</v>
      </c>
      <c r="K277" s="30">
        <f t="shared" ca="1" si="33"/>
        <v>740000</v>
      </c>
      <c r="L277" t="str">
        <f t="shared" si="30"/>
        <v>High</v>
      </c>
      <c r="M277" s="39">
        <f>IFERROR(VLOOKUP("47mg LP",Controls!A:I,7,0),6)</f>
        <v>9</v>
      </c>
      <c r="N277" s="39">
        <f>IFERROR(VLOOKUP("47mg LP",Controls!A:I,8,0),3)</f>
        <v>8</v>
      </c>
      <c r="O277" s="39">
        <f>IFERROR(VLOOKUP("47mg LP",Controls!A:I,9,0),18)</f>
        <v>18</v>
      </c>
      <c r="P277" s="40">
        <f>IFERROR(VLOOKUP("47mg LP",Controls!A:J,5,0),0)</f>
        <v>10000</v>
      </c>
      <c r="Q277" s="39">
        <f>IFERROR(VLOOKUP("47mg LP",Controls!A:J,6,0),3)</f>
        <v>3</v>
      </c>
      <c r="R277" s="21" t="str">
        <f>IFERROR(VLOOKUP("47mg LP",Controls!A:K,10,0),"")</f>
        <v>Fisher / ThermoFisher Allentown</v>
      </c>
      <c r="S277" s="41">
        <f t="shared" si="31"/>
        <v>48823</v>
      </c>
      <c r="T277" s="30">
        <f t="shared" si="32"/>
        <v>0</v>
      </c>
      <c r="AB277">
        <f t="shared" si="34"/>
        <v>667908.48100128886</v>
      </c>
    </row>
    <row r="278" spans="1:28" ht="13" customHeight="1" x14ac:dyDescent="0.35">
      <c r="A278" s="153">
        <v>48945</v>
      </c>
      <c r="B278" s="36" t="s">
        <v>35</v>
      </c>
      <c r="C278" s="15" t="s">
        <v>28</v>
      </c>
      <c r="D278" s="15" t="s">
        <v>29</v>
      </c>
      <c r="E278" s="30">
        <f>H277</f>
        <v>-626082.94990366511</v>
      </c>
      <c r="F278" s="37">
        <f>IFERROR(SUMIFS('Demand Inputs'!$CW$5:$CW$202,'Demand Inputs'!$A$5:$A$202,"47mg LP",'Demand Inputs'!$B$5:$B$202,"&lt;&gt;AGGREGATE",'Demand Inputs'!$E$5:$E$202,1),0)</f>
        <v>13230.143395823185</v>
      </c>
      <c r="G278" s="37">
        <f t="array" ref="G278">IFERROR(SUMPRODUCT(('Production Inputs'!$A:$A="47mg LP")*('Production Inputs'!$B:$B="TOTAL ACTIVE")*'Production Inputs'!$DC:$DC),0)</f>
        <v>0</v>
      </c>
      <c r="H278" s="30">
        <f t="shared" si="28"/>
        <v>-639313.0932994883</v>
      </c>
      <c r="I278" s="30">
        <f ca="1">IFERROR(AVERAGEIF(OFFSET(F278,0,0,MIN(Controls!$B$8,COUNTIF(B278:B$1973,B278)),1),"&gt;"&amp;0),0)</f>
        <v>12982.290077236165</v>
      </c>
      <c r="J278" s="38">
        <f t="shared" ca="1" si="29"/>
        <v>-49.24501682646067</v>
      </c>
      <c r="K278" s="30">
        <f t="shared" ca="1" si="33"/>
        <v>760000</v>
      </c>
      <c r="L278" t="str">
        <f t="shared" si="30"/>
        <v>High</v>
      </c>
      <c r="M278" s="39">
        <f>IFERROR(VLOOKUP("47mg LP",Controls!A:I,7,0),6)</f>
        <v>9</v>
      </c>
      <c r="N278" s="39">
        <f>IFERROR(VLOOKUP("47mg LP",Controls!A:I,8,0),3)</f>
        <v>8</v>
      </c>
      <c r="O278" s="39">
        <f>IFERROR(VLOOKUP("47mg LP",Controls!A:I,9,0),18)</f>
        <v>18</v>
      </c>
      <c r="P278" s="40">
        <f>IFERROR(VLOOKUP("47mg LP",Controls!A:J,5,0),0)</f>
        <v>10000</v>
      </c>
      <c r="Q278" s="39">
        <f>IFERROR(VLOOKUP("47mg LP",Controls!A:J,6,0),3)</f>
        <v>3</v>
      </c>
      <c r="R278" s="21" t="str">
        <f>IFERROR(VLOOKUP("47mg LP",Controls!A:K,10,0),"")</f>
        <v>Fisher / ThermoFisher Allentown</v>
      </c>
      <c r="S278" s="41">
        <f t="shared" si="31"/>
        <v>48853</v>
      </c>
      <c r="T278" s="30">
        <f t="shared" si="32"/>
        <v>0</v>
      </c>
      <c r="AB278">
        <f t="shared" si="34"/>
        <v>681138.62439711206</v>
      </c>
    </row>
    <row r="279" spans="1:28" ht="13" customHeight="1" x14ac:dyDescent="0.35">
      <c r="A279" s="153">
        <v>48976</v>
      </c>
      <c r="B279" s="36" t="s">
        <v>35</v>
      </c>
      <c r="C279" s="15" t="s">
        <v>28</v>
      </c>
      <c r="D279" s="15" t="s">
        <v>29</v>
      </c>
      <c r="E279" s="30">
        <f>H278</f>
        <v>-639313.0932994883</v>
      </c>
      <c r="F279" s="37">
        <f>IFERROR(SUMIFS('Demand Inputs'!$CX$5:$CX$202,'Demand Inputs'!$A$5:$A$202,"47mg LP",'Demand Inputs'!$B$5:$B$202,"&lt;&gt;AGGREGATE",'Demand Inputs'!$E$5:$E$202,1),0)</f>
        <v>11772.147961036906</v>
      </c>
      <c r="G279" s="37">
        <f t="array" ref="G279">IFERROR(SUMPRODUCT(('Production Inputs'!$A:$A="47mg LP")*('Production Inputs'!$B:$B="TOTAL ACTIVE")*'Production Inputs'!$DD:$DD),0)</f>
        <v>0</v>
      </c>
      <c r="H279" s="30">
        <f t="shared" si="28"/>
        <v>-651085.24126052519</v>
      </c>
      <c r="I279" s="30">
        <f ca="1">IFERROR(AVERAGEIF(OFFSET(F279,0,0,MIN(Controls!$B$8,COUNTIF(B279:B$1973,B279)),1),"&gt;"&amp;0),0)</f>
        <v>12753.522696560087</v>
      </c>
      <c r="J279" s="38">
        <f t="shared" ca="1" si="29"/>
        <v>-51.051404129788985</v>
      </c>
      <c r="K279" s="30">
        <f t="shared" ca="1" si="33"/>
        <v>770000</v>
      </c>
      <c r="L279" t="str">
        <f t="shared" si="30"/>
        <v>High</v>
      </c>
      <c r="M279" s="39">
        <f>IFERROR(VLOOKUP("47mg LP",Controls!A:I,7,0),6)</f>
        <v>9</v>
      </c>
      <c r="N279" s="39">
        <f>IFERROR(VLOOKUP("47mg LP",Controls!A:I,8,0),3)</f>
        <v>8</v>
      </c>
      <c r="O279" s="39">
        <f>IFERROR(VLOOKUP("47mg LP",Controls!A:I,9,0),18)</f>
        <v>18</v>
      </c>
      <c r="P279" s="40">
        <f>IFERROR(VLOOKUP("47mg LP",Controls!A:J,5,0),0)</f>
        <v>10000</v>
      </c>
      <c r="Q279" s="39">
        <f>IFERROR(VLOOKUP("47mg LP",Controls!A:J,6,0),3)</f>
        <v>3</v>
      </c>
      <c r="R279" s="21" t="str">
        <f>IFERROR(VLOOKUP("47mg LP",Controls!A:K,10,0),"")</f>
        <v>Fisher / ThermoFisher Allentown</v>
      </c>
      <c r="S279" s="41">
        <f t="shared" si="31"/>
        <v>48884</v>
      </c>
      <c r="T279" s="30">
        <f t="shared" si="32"/>
        <v>0</v>
      </c>
      <c r="AB279">
        <f t="shared" si="34"/>
        <v>692910.77235814894</v>
      </c>
    </row>
    <row r="280" spans="1:28" ht="13" customHeight="1" x14ac:dyDescent="0.35">
      <c r="A280" s="153">
        <v>49004</v>
      </c>
      <c r="B280" s="36" t="s">
        <v>35</v>
      </c>
      <c r="C280" s="15" t="s">
        <v>28</v>
      </c>
      <c r="D280" s="15" t="s">
        <v>29</v>
      </c>
      <c r="E280" s="30">
        <f>H279</f>
        <v>-651085.24126052519</v>
      </c>
      <c r="F280" s="37">
        <f>IFERROR(SUMIFS('Demand Inputs'!$CY$5:$CY$202,'Demand Inputs'!$A$5:$A$202,"47mg LP",'Demand Inputs'!$B$5:$B$202,"&lt;&gt;AGGREGATE",'Demand Inputs'!$E$5:$E$202,1),0)</f>
        <v>11002.243830731892</v>
      </c>
      <c r="G280" s="37">
        <f t="array" ref="G280">IFERROR(SUMPRODUCT(('Production Inputs'!$A:$A="47mg LP")*('Production Inputs'!$B:$B="TOTAL ACTIVE")*'Production Inputs'!$DE:$DE),0)</f>
        <v>0</v>
      </c>
      <c r="H280" s="30">
        <f t="shared" si="28"/>
        <v>-662087.48509125703</v>
      </c>
      <c r="I280" s="30">
        <f ca="1">IFERROR(AVERAGEIF(OFFSET(F280,0,0,MIN(Controls!$B$8,COUNTIF(B280:B$1973,B280)),1),"&gt;"&amp;0),0)</f>
        <v>12929.944056313718</v>
      </c>
      <c r="J280" s="38">
        <f t="shared" ca="1" si="29"/>
        <v>-51.205750172442421</v>
      </c>
      <c r="K280" s="30">
        <f t="shared" ca="1" si="33"/>
        <v>780000</v>
      </c>
      <c r="L280" t="str">
        <f t="shared" si="30"/>
        <v>High</v>
      </c>
      <c r="M280" s="39">
        <f>IFERROR(VLOOKUP("47mg LP",Controls!A:I,7,0),6)</f>
        <v>9</v>
      </c>
      <c r="N280" s="39">
        <f>IFERROR(VLOOKUP("47mg LP",Controls!A:I,8,0),3)</f>
        <v>8</v>
      </c>
      <c r="O280" s="39">
        <f>IFERROR(VLOOKUP("47mg LP",Controls!A:I,9,0),18)</f>
        <v>18</v>
      </c>
      <c r="P280" s="40">
        <f>IFERROR(VLOOKUP("47mg LP",Controls!A:J,5,0),0)</f>
        <v>10000</v>
      </c>
      <c r="Q280" s="39">
        <f>IFERROR(VLOOKUP("47mg LP",Controls!A:J,6,0),3)</f>
        <v>3</v>
      </c>
      <c r="R280" s="21" t="str">
        <f>IFERROR(VLOOKUP("47mg LP",Controls!A:K,10,0),"")</f>
        <v>Fisher / ThermoFisher Allentown</v>
      </c>
      <c r="S280" s="41">
        <f t="shared" si="31"/>
        <v>48914</v>
      </c>
      <c r="T280" s="30">
        <f t="shared" si="32"/>
        <v>0</v>
      </c>
      <c r="AB280">
        <f t="shared" si="34"/>
        <v>703913.01618888078</v>
      </c>
    </row>
    <row r="281" spans="1:28" ht="13" customHeight="1" x14ac:dyDescent="0.35">
      <c r="A281" s="153">
        <v>49035</v>
      </c>
      <c r="B281" s="36" t="s">
        <v>35</v>
      </c>
      <c r="C281" s="15" t="s">
        <v>28</v>
      </c>
      <c r="D281" s="15" t="s">
        <v>29</v>
      </c>
      <c r="E281" s="30">
        <f>H280</f>
        <v>-662087.48509125703</v>
      </c>
      <c r="F281" s="37">
        <f>IFERROR(SUMIFS('Demand Inputs'!$CZ$5:$CZ$202,'Demand Inputs'!$A$5:$A$202,"47mg LP",'Demand Inputs'!$B$5:$B$202,"&lt;&gt;AGGREGATE",'Demand Inputs'!$E$5:$E$202,1),0)</f>
        <v>15655.044761646721</v>
      </c>
      <c r="G281" s="37">
        <f t="array" ref="G281">IFERROR(SUMPRODUCT(('Production Inputs'!$A:$A="47mg LP")*('Production Inputs'!$B:$B="TOTAL ACTIVE")*'Production Inputs'!$DF:$DF),0)</f>
        <v>0</v>
      </c>
      <c r="H281" s="30">
        <f t="shared" si="28"/>
        <v>-677742.5298529038</v>
      </c>
      <c r="I281" s="30">
        <f ca="1">IFERROR(AVERAGEIF(OFFSET(F281,0,0,MIN(Controls!$B$8,COUNTIF(B281:B$1973,B281)),1),"&gt;"&amp;0),0)</f>
        <v>13028.259632362018</v>
      </c>
      <c r="J281" s="38">
        <f t="shared" ca="1" si="29"/>
        <v>-52.020956672478391</v>
      </c>
      <c r="K281" s="30">
        <f t="shared" ca="1" si="33"/>
        <v>790000</v>
      </c>
      <c r="L281" t="str">
        <f t="shared" si="30"/>
        <v>High</v>
      </c>
      <c r="M281" s="39">
        <f>IFERROR(VLOOKUP("47mg LP",Controls!A:I,7,0),6)</f>
        <v>9</v>
      </c>
      <c r="N281" s="39">
        <f>IFERROR(VLOOKUP("47mg LP",Controls!A:I,8,0),3)</f>
        <v>8</v>
      </c>
      <c r="O281" s="39">
        <f>IFERROR(VLOOKUP("47mg LP",Controls!A:I,9,0),18)</f>
        <v>18</v>
      </c>
      <c r="P281" s="40">
        <f>IFERROR(VLOOKUP("47mg LP",Controls!A:J,5,0),0)</f>
        <v>10000</v>
      </c>
      <c r="Q281" s="39">
        <f>IFERROR(VLOOKUP("47mg LP",Controls!A:J,6,0),3)</f>
        <v>3</v>
      </c>
      <c r="R281" s="21" t="str">
        <f>IFERROR(VLOOKUP("47mg LP",Controls!A:K,10,0),"")</f>
        <v>Fisher / ThermoFisher Allentown</v>
      </c>
      <c r="S281" s="41">
        <f t="shared" si="31"/>
        <v>48945</v>
      </c>
      <c r="T281" s="30">
        <f t="shared" si="32"/>
        <v>0</v>
      </c>
      <c r="AB281">
        <f t="shared" si="34"/>
        <v>719568.06095052755</v>
      </c>
    </row>
    <row r="282" spans="1:28" ht="13" customHeight="1" x14ac:dyDescent="0.35">
      <c r="A282" s="153">
        <v>49065</v>
      </c>
      <c r="B282" s="36" t="s">
        <v>35</v>
      </c>
      <c r="C282" s="15" t="s">
        <v>28</v>
      </c>
      <c r="D282" s="15" t="s">
        <v>29</v>
      </c>
      <c r="E282" s="30">
        <f>H281</f>
        <v>-677742.5298529038</v>
      </c>
      <c r="F282" s="37">
        <f>IFERROR(SUMIFS('Demand Inputs'!$DA$5:$DA$202,'Demand Inputs'!$A$5:$A$202,"47mg LP",'Demand Inputs'!$B$5:$B$202,"&lt;&gt;AGGREGATE",'Demand Inputs'!$E$5:$E$202,1),0)</f>
        <v>11022.185039857384</v>
      </c>
      <c r="G282" s="37">
        <f t="array" ref="G282">IFERROR(SUMPRODUCT(('Production Inputs'!$A:$A="47mg LP")*('Production Inputs'!$B:$B="TOTAL ACTIVE")*'Production Inputs'!$DG:$DG),0)</f>
        <v>0</v>
      </c>
      <c r="H282" s="30">
        <f t="shared" si="28"/>
        <v>-688764.7148927612</v>
      </c>
      <c r="I282" s="30">
        <f ca="1">IFERROR(AVERAGEIF(OFFSET(F282,0,0,MIN(Controls!$B$8,COUNTIF(B282:B$1973,B282)),1),"&gt;"&amp;0),0)</f>
        <v>12645.288621186204</v>
      </c>
      <c r="J282" s="38">
        <f t="shared" ca="1" si="29"/>
        <v>-54.468089699335856</v>
      </c>
      <c r="K282" s="30">
        <f t="shared" ca="1" si="33"/>
        <v>800000</v>
      </c>
      <c r="L282" t="str">
        <f t="shared" si="30"/>
        <v>High</v>
      </c>
      <c r="M282" s="39">
        <f>IFERROR(VLOOKUP("47mg LP",Controls!A:I,7,0),6)</f>
        <v>9</v>
      </c>
      <c r="N282" s="39">
        <f>IFERROR(VLOOKUP("47mg LP",Controls!A:I,8,0),3)</f>
        <v>8</v>
      </c>
      <c r="O282" s="39">
        <f>IFERROR(VLOOKUP("47mg LP",Controls!A:I,9,0),18)</f>
        <v>18</v>
      </c>
      <c r="P282" s="40">
        <f>IFERROR(VLOOKUP("47mg LP",Controls!A:J,5,0),0)</f>
        <v>10000</v>
      </c>
      <c r="Q282" s="39">
        <f>IFERROR(VLOOKUP("47mg LP",Controls!A:J,6,0),3)</f>
        <v>3</v>
      </c>
      <c r="R282" s="21" t="str">
        <f>IFERROR(VLOOKUP("47mg LP",Controls!A:K,10,0),"")</f>
        <v>Fisher / ThermoFisher Allentown</v>
      </c>
      <c r="S282" s="41">
        <f t="shared" si="31"/>
        <v>48976</v>
      </c>
      <c r="T282" s="30">
        <f t="shared" si="32"/>
        <v>0</v>
      </c>
      <c r="AB282">
        <f t="shared" si="34"/>
        <v>730590.24599038495</v>
      </c>
    </row>
    <row r="283" spans="1:28" ht="13" customHeight="1" x14ac:dyDescent="0.35">
      <c r="A283" s="153">
        <v>49096</v>
      </c>
      <c r="B283" s="36" t="s">
        <v>35</v>
      </c>
      <c r="C283" s="15" t="s">
        <v>28</v>
      </c>
      <c r="D283" s="15" t="s">
        <v>29</v>
      </c>
      <c r="E283" s="30">
        <f>H282</f>
        <v>-688764.7148927612</v>
      </c>
      <c r="F283" s="37">
        <f>IFERROR(SUMIFS('Demand Inputs'!$DB$5:$DB$202,'Demand Inputs'!$A$5:$A$202,"47mg LP",'Demand Inputs'!$B$5:$B$202,"&lt;&gt;AGGREGATE",'Demand Inputs'!$E$5:$E$202,1),0)</f>
        <v>14299.819734393408</v>
      </c>
      <c r="G283" s="37">
        <f t="array" ref="G283">IFERROR(SUMPRODUCT(('Production Inputs'!$A:$A="47mg LP")*('Production Inputs'!$B:$B="TOTAL ACTIVE")*'Production Inputs'!$DH:$DH),0)</f>
        <v>0</v>
      </c>
      <c r="H283" s="30">
        <f t="shared" si="28"/>
        <v>-703064.53462715459</v>
      </c>
      <c r="I283" s="30">
        <f ca="1">IFERROR(AVERAGEIF(OFFSET(F283,0,0,MIN(Controls!$B$8,COUNTIF(B283:B$1973,B283)),1),"&gt;"&amp;0),0)</f>
        <v>12894.866109284918</v>
      </c>
      <c r="J283" s="38">
        <f t="shared" ca="1" si="29"/>
        <v>-54.522825492613265</v>
      </c>
      <c r="K283" s="30">
        <f t="shared" ca="1" si="33"/>
        <v>820000</v>
      </c>
      <c r="L283" t="str">
        <f t="shared" si="30"/>
        <v>High</v>
      </c>
      <c r="M283" s="39">
        <f>IFERROR(VLOOKUP("47mg LP",Controls!A:I,7,0),6)</f>
        <v>9</v>
      </c>
      <c r="N283" s="39">
        <f>IFERROR(VLOOKUP("47mg LP",Controls!A:I,8,0),3)</f>
        <v>8</v>
      </c>
      <c r="O283" s="39">
        <f>IFERROR(VLOOKUP("47mg LP",Controls!A:I,9,0),18)</f>
        <v>18</v>
      </c>
      <c r="P283" s="40">
        <f>IFERROR(VLOOKUP("47mg LP",Controls!A:J,5,0),0)</f>
        <v>10000</v>
      </c>
      <c r="Q283" s="39">
        <f>IFERROR(VLOOKUP("47mg LP",Controls!A:J,6,0),3)</f>
        <v>3</v>
      </c>
      <c r="R283" s="21" t="str">
        <f>IFERROR(VLOOKUP("47mg LP",Controls!A:K,10,0),"")</f>
        <v>Fisher / ThermoFisher Allentown</v>
      </c>
      <c r="S283" s="41">
        <f t="shared" si="31"/>
        <v>49004</v>
      </c>
      <c r="T283" s="30">
        <f t="shared" si="32"/>
        <v>0</v>
      </c>
      <c r="AB283">
        <f t="shared" si="34"/>
        <v>744890.06572477834</v>
      </c>
    </row>
    <row r="284" spans="1:28" ht="13" customHeight="1" x14ac:dyDescent="0.35">
      <c r="A284" s="153">
        <v>49126</v>
      </c>
      <c r="B284" s="36" t="s">
        <v>35</v>
      </c>
      <c r="C284" s="15" t="s">
        <v>28</v>
      </c>
      <c r="D284" s="15" t="s">
        <v>29</v>
      </c>
      <c r="E284" s="30">
        <f>H283</f>
        <v>-703064.53462715459</v>
      </c>
      <c r="F284" s="37">
        <f>IFERROR(SUMIFS('Demand Inputs'!$DC$5:$DC$202,'Demand Inputs'!$A$5:$A$202,"47mg LP",'Demand Inputs'!$B$5:$B$202,"&lt;&gt;AGGREGATE",'Demand Inputs'!$E$5:$E$202,1),0)</f>
        <v>12539.562785715629</v>
      </c>
      <c r="G284" s="37">
        <f t="array" ref="G284">IFERROR(SUMPRODUCT(('Production Inputs'!$A:$A="47mg LP")*('Production Inputs'!$B:$B="TOTAL ACTIVE")*'Production Inputs'!$DI:$DI),0)</f>
        <v>0</v>
      </c>
      <c r="H284" s="30">
        <f t="shared" si="28"/>
        <v>-715604.09741287027</v>
      </c>
      <c r="I284" s="30">
        <f ca="1">IFERROR(AVERAGEIF(OFFSET(F284,0,0,MIN(Controls!$B$8,COUNTIF(B284:B$1973,B284)),1),"&gt;"&amp;0),0)</f>
        <v>12496.288037974169</v>
      </c>
      <c r="J284" s="38">
        <f t="shared" ca="1" si="29"/>
        <v>-57.265333132388342</v>
      </c>
      <c r="K284" s="30">
        <f t="shared" ca="1" si="33"/>
        <v>830000</v>
      </c>
      <c r="L284" t="str">
        <f t="shared" si="30"/>
        <v>High</v>
      </c>
      <c r="M284" s="39">
        <f>IFERROR(VLOOKUP("47mg LP",Controls!A:I,7,0),6)</f>
        <v>9</v>
      </c>
      <c r="N284" s="39">
        <f>IFERROR(VLOOKUP("47mg LP",Controls!A:I,8,0),3)</f>
        <v>8</v>
      </c>
      <c r="O284" s="39">
        <f>IFERROR(VLOOKUP("47mg LP",Controls!A:I,9,0),18)</f>
        <v>18</v>
      </c>
      <c r="P284" s="40">
        <f>IFERROR(VLOOKUP("47mg LP",Controls!A:J,5,0),0)</f>
        <v>10000</v>
      </c>
      <c r="Q284" s="39">
        <f>IFERROR(VLOOKUP("47mg LP",Controls!A:J,6,0),3)</f>
        <v>3</v>
      </c>
      <c r="R284" s="21" t="str">
        <f>IFERROR(VLOOKUP("47mg LP",Controls!A:K,10,0),"")</f>
        <v>Fisher / ThermoFisher Allentown</v>
      </c>
      <c r="S284" s="41">
        <f t="shared" si="31"/>
        <v>49035</v>
      </c>
      <c r="T284" s="30">
        <f t="shared" si="32"/>
        <v>0</v>
      </c>
      <c r="AB284">
        <f t="shared" si="34"/>
        <v>757429.62851049402</v>
      </c>
    </row>
    <row r="285" spans="1:28" ht="13" customHeight="1" x14ac:dyDescent="0.35">
      <c r="A285" s="153">
        <v>49157</v>
      </c>
      <c r="B285" s="36" t="s">
        <v>35</v>
      </c>
      <c r="C285" s="15" t="s">
        <v>28</v>
      </c>
      <c r="D285" s="15" t="s">
        <v>29</v>
      </c>
      <c r="E285" s="30">
        <f>H284</f>
        <v>-715604.09741287027</v>
      </c>
      <c r="F285" s="37">
        <f>IFERROR(SUMIFS('Demand Inputs'!$DD$5:$DD$202,'Demand Inputs'!$A$5:$A$202,"47mg LP",'Demand Inputs'!$B$5:$B$202,"&lt;&gt;AGGREGATE",'Demand Inputs'!$E$5:$E$202,1),0)</f>
        <v>11819.13692872896</v>
      </c>
      <c r="G285" s="37">
        <f t="array" ref="G285">IFERROR(SUMPRODUCT(('Production Inputs'!$A:$A="47mg LP")*('Production Inputs'!$B:$B="TOTAL ACTIVE")*'Production Inputs'!$DJ:$DJ),0)</f>
        <v>0</v>
      </c>
      <c r="H285" s="30">
        <f t="shared" si="28"/>
        <v>-727423.23434159928</v>
      </c>
      <c r="I285" s="30">
        <f ca="1">IFERROR(AVERAGEIF(OFFSET(F285,0,0,MIN(Controls!$B$8,COUNTIF(B285:B$1973,B285)),1),"&gt;"&amp;0),0)</f>
        <v>12730.182467627015</v>
      </c>
      <c r="J285" s="38">
        <f t="shared" ca="1" si="29"/>
        <v>-57.141618841005936</v>
      </c>
      <c r="K285" s="30">
        <f t="shared" ca="1" si="33"/>
        <v>840000</v>
      </c>
      <c r="L285" t="str">
        <f t="shared" si="30"/>
        <v>High</v>
      </c>
      <c r="M285" s="39">
        <f>IFERROR(VLOOKUP("47mg LP",Controls!A:I,7,0),6)</f>
        <v>9</v>
      </c>
      <c r="N285" s="39">
        <f>IFERROR(VLOOKUP("47mg LP",Controls!A:I,8,0),3)</f>
        <v>8</v>
      </c>
      <c r="O285" s="39">
        <f>IFERROR(VLOOKUP("47mg LP",Controls!A:I,9,0),18)</f>
        <v>18</v>
      </c>
      <c r="P285" s="40">
        <f>IFERROR(VLOOKUP("47mg LP",Controls!A:J,5,0),0)</f>
        <v>10000</v>
      </c>
      <c r="Q285" s="39">
        <f>IFERROR(VLOOKUP("47mg LP",Controls!A:J,6,0),3)</f>
        <v>3</v>
      </c>
      <c r="R285" s="21" t="str">
        <f>IFERROR(VLOOKUP("47mg LP",Controls!A:K,10,0),"")</f>
        <v>Fisher / ThermoFisher Allentown</v>
      </c>
      <c r="S285" s="41">
        <f t="shared" si="31"/>
        <v>49065</v>
      </c>
      <c r="T285" s="30">
        <f t="shared" si="32"/>
        <v>0</v>
      </c>
      <c r="AB285">
        <f t="shared" si="34"/>
        <v>769248.76543922303</v>
      </c>
    </row>
    <row r="286" spans="1:28" ht="13" customHeight="1" x14ac:dyDescent="0.35">
      <c r="A286" s="153">
        <v>49188</v>
      </c>
      <c r="B286" s="36" t="s">
        <v>35</v>
      </c>
      <c r="C286" s="15" t="s">
        <v>28</v>
      </c>
      <c r="D286" s="15" t="s">
        <v>29</v>
      </c>
      <c r="E286" s="30">
        <f>H285</f>
        <v>-727423.23434159928</v>
      </c>
      <c r="F286" s="37">
        <f>IFERROR(SUMIFS('Demand Inputs'!$DE$5:$DE$202,'Demand Inputs'!$A$5:$A$202,"47mg LP",'Demand Inputs'!$B$5:$B$202,"&lt;&gt;AGGREGATE",'Demand Inputs'!$E$5:$E$202,1),0)</f>
        <v>15500.326257191398</v>
      </c>
      <c r="G286" s="37">
        <f t="array" ref="G286">IFERROR(SUMPRODUCT(('Production Inputs'!$A:$A="47mg LP")*('Production Inputs'!$B:$B="TOTAL ACTIVE")*'Production Inputs'!$DK:$DK),0)</f>
        <v>0</v>
      </c>
      <c r="H286" s="30">
        <f t="shared" si="28"/>
        <v>-742923.56059879065</v>
      </c>
      <c r="I286" s="30">
        <f ca="1">IFERROR(AVERAGEIF(OFFSET(F286,0,0,MIN(Controls!$B$8,COUNTIF(B286:B$1973,B286)),1),"&gt;"&amp;0),0)</f>
        <v>12808.671059132619</v>
      </c>
      <c r="J286" s="38">
        <f t="shared" ca="1" si="29"/>
        <v>-58.001611343519045</v>
      </c>
      <c r="K286" s="30">
        <f t="shared" ca="1" si="33"/>
        <v>860000</v>
      </c>
      <c r="L286" t="str">
        <f t="shared" si="30"/>
        <v>High</v>
      </c>
      <c r="M286" s="39">
        <f>IFERROR(VLOOKUP("47mg LP",Controls!A:I,7,0),6)</f>
        <v>9</v>
      </c>
      <c r="N286" s="39">
        <f>IFERROR(VLOOKUP("47mg LP",Controls!A:I,8,0),3)</f>
        <v>8</v>
      </c>
      <c r="O286" s="39">
        <f>IFERROR(VLOOKUP("47mg LP",Controls!A:I,9,0),18)</f>
        <v>18</v>
      </c>
      <c r="P286" s="40">
        <f>IFERROR(VLOOKUP("47mg LP",Controls!A:J,5,0),0)</f>
        <v>10000</v>
      </c>
      <c r="Q286" s="39">
        <f>IFERROR(VLOOKUP("47mg LP",Controls!A:J,6,0),3)</f>
        <v>3</v>
      </c>
      <c r="R286" s="21" t="str">
        <f>IFERROR(VLOOKUP("47mg LP",Controls!A:K,10,0),"")</f>
        <v>Fisher / ThermoFisher Allentown</v>
      </c>
      <c r="S286" s="41">
        <f t="shared" si="31"/>
        <v>49096</v>
      </c>
      <c r="T286" s="30">
        <f t="shared" si="32"/>
        <v>0</v>
      </c>
      <c r="AB286">
        <f t="shared" si="34"/>
        <v>784749.0916964144</v>
      </c>
    </row>
    <row r="287" spans="1:28" ht="13" customHeight="1" x14ac:dyDescent="0.35">
      <c r="A287" s="153">
        <v>49218</v>
      </c>
      <c r="B287" s="36" t="s">
        <v>35</v>
      </c>
      <c r="C287" s="15" t="s">
        <v>28</v>
      </c>
      <c r="D287" s="15" t="s">
        <v>29</v>
      </c>
      <c r="E287" s="30">
        <f>H286</f>
        <v>-742923.56059879065</v>
      </c>
      <c r="F287" s="37">
        <f>IFERROR(SUMIFS('Demand Inputs'!$DF$5:$DF$202,'Demand Inputs'!$A$5:$A$202,"47mg LP",'Demand Inputs'!$B$5:$B$202,"&lt;&gt;AGGREGATE",'Demand Inputs'!$E$5:$E$202,1),0)</f>
        <v>11171.236969738489</v>
      </c>
      <c r="G287" s="37">
        <f t="array" ref="G287">IFERROR(SUMPRODUCT(('Production Inputs'!$A:$A="47mg LP")*('Production Inputs'!$B:$B="TOTAL ACTIVE")*'Production Inputs'!$DL:$DL),0)</f>
        <v>0</v>
      </c>
      <c r="H287" s="30">
        <f t="shared" si="28"/>
        <v>-754094.79756852915</v>
      </c>
      <c r="I287" s="30">
        <f ca="1">IFERROR(AVERAGEIF(OFFSET(F287,0,0,MIN(Controls!$B$8,COUNTIF(B287:B$1973,B287)),1),"&gt;"&amp;0),0)</f>
        <v>12646.695045792856</v>
      </c>
      <c r="J287" s="38">
        <f t="shared" ca="1" si="29"/>
        <v>-59.627815396670925</v>
      </c>
      <c r="K287" s="30">
        <f t="shared" ca="1" si="33"/>
        <v>870000</v>
      </c>
      <c r="L287" t="str">
        <f t="shared" si="30"/>
        <v>High</v>
      </c>
      <c r="M287" s="39">
        <f>IFERROR(VLOOKUP("47mg LP",Controls!A:I,7,0),6)</f>
        <v>9</v>
      </c>
      <c r="N287" s="39">
        <f>IFERROR(VLOOKUP("47mg LP",Controls!A:I,8,0),3)</f>
        <v>8</v>
      </c>
      <c r="O287" s="39">
        <f>IFERROR(VLOOKUP("47mg LP",Controls!A:I,9,0),18)</f>
        <v>18</v>
      </c>
      <c r="P287" s="40">
        <f>IFERROR(VLOOKUP("47mg LP",Controls!A:J,5,0),0)</f>
        <v>10000</v>
      </c>
      <c r="Q287" s="39">
        <f>IFERROR(VLOOKUP("47mg LP",Controls!A:J,6,0),3)</f>
        <v>3</v>
      </c>
      <c r="R287" s="21" t="str">
        <f>IFERROR(VLOOKUP("47mg LP",Controls!A:K,10,0),"")</f>
        <v>Fisher / ThermoFisher Allentown</v>
      </c>
      <c r="S287" s="41">
        <f t="shared" si="31"/>
        <v>49126</v>
      </c>
      <c r="T287" s="30">
        <f t="shared" si="32"/>
        <v>0</v>
      </c>
      <c r="AB287">
        <f t="shared" si="34"/>
        <v>795920.3286661529</v>
      </c>
    </row>
    <row r="288" spans="1:28" ht="13" customHeight="1" x14ac:dyDescent="0.35">
      <c r="A288" s="153">
        <v>49249</v>
      </c>
      <c r="B288" s="36" t="s">
        <v>35</v>
      </c>
      <c r="C288" s="15" t="s">
        <v>28</v>
      </c>
      <c r="D288" s="15" t="s">
        <v>29</v>
      </c>
      <c r="E288" s="30">
        <f>H287</f>
        <v>-754094.79756852915</v>
      </c>
      <c r="F288" s="37">
        <f>IFERROR(SUMIFS('Demand Inputs'!$DG$5:$DG$202,'Demand Inputs'!$A$5:$A$202,"47mg LP",'Demand Inputs'!$B$5:$B$202,"&lt;&gt;AGGREGATE",'Demand Inputs'!$E$5:$E$202,1),0)</f>
        <v>13359.940198819595</v>
      </c>
      <c r="G288" s="37">
        <f t="array" ref="G288">IFERROR(SUMPRODUCT(('Production Inputs'!$A:$A="47mg LP")*('Production Inputs'!$B:$B="TOTAL ACTIVE")*'Production Inputs'!$DM:$DM),0)</f>
        <v>0</v>
      </c>
      <c r="H288" s="30">
        <f t="shared" si="28"/>
        <v>-767454.73776734876</v>
      </c>
      <c r="I288" s="30">
        <f ca="1">IFERROR(AVERAGEIF(OFFSET(F288,0,0,MIN(Controls!$B$8,COUNTIF(B288:B$1973,B288)),1),"&gt;"&amp;0),0)</f>
        <v>12685.830902687549</v>
      </c>
      <c r="J288" s="38">
        <f t="shared" ca="1" si="29"/>
        <v>-60.497002021740663</v>
      </c>
      <c r="K288" s="30">
        <f t="shared" ca="1" si="33"/>
        <v>880000</v>
      </c>
      <c r="L288" t="str">
        <f t="shared" si="30"/>
        <v>High</v>
      </c>
      <c r="M288" s="39">
        <f>IFERROR(VLOOKUP("47mg LP",Controls!A:I,7,0),6)</f>
        <v>9</v>
      </c>
      <c r="N288" s="39">
        <f>IFERROR(VLOOKUP("47mg LP",Controls!A:I,8,0),3)</f>
        <v>8</v>
      </c>
      <c r="O288" s="39">
        <f>IFERROR(VLOOKUP("47mg LP",Controls!A:I,9,0),18)</f>
        <v>18</v>
      </c>
      <c r="P288" s="40">
        <f>IFERROR(VLOOKUP("47mg LP",Controls!A:J,5,0),0)</f>
        <v>10000</v>
      </c>
      <c r="Q288" s="39">
        <f>IFERROR(VLOOKUP("47mg LP",Controls!A:J,6,0),3)</f>
        <v>3</v>
      </c>
      <c r="R288" s="21" t="str">
        <f>IFERROR(VLOOKUP("47mg LP",Controls!A:K,10,0),"")</f>
        <v>Fisher / ThermoFisher Allentown</v>
      </c>
      <c r="S288" s="41">
        <f t="shared" si="31"/>
        <v>49157</v>
      </c>
      <c r="T288" s="30">
        <f t="shared" si="32"/>
        <v>0</v>
      </c>
      <c r="AB288">
        <f t="shared" si="34"/>
        <v>809280.26886497252</v>
      </c>
    </row>
    <row r="289" spans="1:28" ht="13" customHeight="1" x14ac:dyDescent="0.35">
      <c r="A289" s="153">
        <v>49279</v>
      </c>
      <c r="B289" s="36" t="s">
        <v>35</v>
      </c>
      <c r="C289" s="15" t="s">
        <v>28</v>
      </c>
      <c r="D289" s="15" t="s">
        <v>29</v>
      </c>
      <c r="E289" s="30">
        <f>H288</f>
        <v>-767454.73776734876</v>
      </c>
      <c r="F289" s="37">
        <f>IFERROR(SUMIFS('Demand Inputs'!$DH$5:$DH$202,'Demand Inputs'!$A$5:$A$202,"47mg LP",'Demand Inputs'!$B$5:$B$202,"&lt;&gt;AGGREGATE",'Demand Inputs'!$E$5:$E$202,1),0)</f>
        <v>11887.084015166591</v>
      </c>
      <c r="G289" s="37">
        <f t="array" ref="G289">IFERROR(SUMPRODUCT(('Production Inputs'!$A:$A="47mg LP")*('Production Inputs'!$B:$B="TOTAL ACTIVE")*'Production Inputs'!$DN:$DN),0)</f>
        <v>0</v>
      </c>
      <c r="H289" s="30">
        <f t="shared" si="28"/>
        <v>-779341.82178251538</v>
      </c>
      <c r="I289" s="30">
        <f ca="1">IFERROR(AVERAGEIF(OFFSET(F289,0,0,MIN(Controls!$B$8,COUNTIF(B289:B$1973,B289)),1),"&gt;"&amp;0),0)</f>
        <v>12683.240878594997</v>
      </c>
      <c r="J289" s="38">
        <f t="shared" ca="1" si="29"/>
        <v>-61.446583664414959</v>
      </c>
      <c r="K289" s="30">
        <f t="shared" ca="1" si="33"/>
        <v>890000</v>
      </c>
      <c r="L289" t="str">
        <f t="shared" si="30"/>
        <v>High</v>
      </c>
      <c r="M289" s="39">
        <f>IFERROR(VLOOKUP("47mg LP",Controls!A:I,7,0),6)</f>
        <v>9</v>
      </c>
      <c r="N289" s="39">
        <f>IFERROR(VLOOKUP("47mg LP",Controls!A:I,8,0),3)</f>
        <v>8</v>
      </c>
      <c r="O289" s="39">
        <f>IFERROR(VLOOKUP("47mg LP",Controls!A:I,9,0),18)</f>
        <v>18</v>
      </c>
      <c r="P289" s="40">
        <f>IFERROR(VLOOKUP("47mg LP",Controls!A:J,5,0),0)</f>
        <v>10000</v>
      </c>
      <c r="Q289" s="39">
        <f>IFERROR(VLOOKUP("47mg LP",Controls!A:J,6,0),3)</f>
        <v>3</v>
      </c>
      <c r="R289" s="21" t="str">
        <f>IFERROR(VLOOKUP("47mg LP",Controls!A:K,10,0),"")</f>
        <v>Fisher / ThermoFisher Allentown</v>
      </c>
      <c r="S289" s="41">
        <f t="shared" si="31"/>
        <v>49188</v>
      </c>
      <c r="T289" s="30">
        <f t="shared" si="32"/>
        <v>0</v>
      </c>
      <c r="AB289">
        <f t="shared" si="34"/>
        <v>821167.35288013914</v>
      </c>
    </row>
    <row r="290" spans="1:28" ht="13" customHeight="1" x14ac:dyDescent="0.35">
      <c r="A290" s="153">
        <v>49310</v>
      </c>
      <c r="B290" s="36" t="s">
        <v>35</v>
      </c>
      <c r="C290" s="15" t="s">
        <v>28</v>
      </c>
      <c r="D290" s="15" t="s">
        <v>29</v>
      </c>
      <c r="E290" s="30">
        <f>H289</f>
        <v>-779341.82178251538</v>
      </c>
      <c r="F290" s="37">
        <f>IFERROR(SUMIFS('Demand Inputs'!$DI$5:$DI$202,'Demand Inputs'!$A$5:$A$202,"47mg LP",'Demand Inputs'!$B$5:$B$202,"&lt;&gt;AGGREGATE",'Demand Inputs'!$E$5:$E$202,1),0)</f>
        <v>12208.305661064394</v>
      </c>
      <c r="G290" s="37">
        <f t="array" ref="G290">IFERROR(SUMPRODUCT(('Production Inputs'!$A:$A="47mg LP")*('Production Inputs'!$B:$B="TOTAL ACTIVE")*'Production Inputs'!$DO:$DO),0)</f>
        <v>0</v>
      </c>
      <c r="H290" s="30">
        <f t="shared" si="28"/>
        <v>-791550.12744357972</v>
      </c>
      <c r="I290" s="30">
        <f ca="1">IFERROR(AVERAGEIF(OFFSET(F290,0,0,MIN(Controls!$B$8,COUNTIF(B290:B$1973,B290)),1),"&gt;"&amp;0),0)</f>
        <v>13057.936061475884</v>
      </c>
      <c r="J290" s="38">
        <f t="shared" ca="1" si="29"/>
        <v>-60.618318524230396</v>
      </c>
      <c r="K290" s="30">
        <f t="shared" ca="1" si="33"/>
        <v>910000</v>
      </c>
      <c r="L290" t="str">
        <f t="shared" si="30"/>
        <v>High</v>
      </c>
      <c r="M290" s="39">
        <f>IFERROR(VLOOKUP("47mg LP",Controls!A:I,7,0),6)</f>
        <v>9</v>
      </c>
      <c r="N290" s="39">
        <f>IFERROR(VLOOKUP("47mg LP",Controls!A:I,8,0),3)</f>
        <v>8</v>
      </c>
      <c r="O290" s="39">
        <f>IFERROR(VLOOKUP("47mg LP",Controls!A:I,9,0),18)</f>
        <v>18</v>
      </c>
      <c r="P290" s="40">
        <f>IFERROR(VLOOKUP("47mg LP",Controls!A:J,5,0),0)</f>
        <v>10000</v>
      </c>
      <c r="Q290" s="39">
        <f>IFERROR(VLOOKUP("47mg LP",Controls!A:J,6,0),3)</f>
        <v>3</v>
      </c>
      <c r="R290" s="21" t="str">
        <f>IFERROR(VLOOKUP("47mg LP",Controls!A:K,10,0),"")</f>
        <v>Fisher / ThermoFisher Allentown</v>
      </c>
      <c r="S290" s="41">
        <f t="shared" si="31"/>
        <v>49218</v>
      </c>
      <c r="T290" s="30">
        <f t="shared" si="32"/>
        <v>0</v>
      </c>
      <c r="AB290">
        <f t="shared" si="34"/>
        <v>833375.65854120348</v>
      </c>
    </row>
    <row r="291" spans="1:28" ht="13" customHeight="1" x14ac:dyDescent="0.35">
      <c r="A291" s="153">
        <v>49341</v>
      </c>
      <c r="B291" s="36" t="s">
        <v>35</v>
      </c>
      <c r="C291" s="15" t="s">
        <v>28</v>
      </c>
      <c r="D291" s="15" t="s">
        <v>29</v>
      </c>
      <c r="E291" s="30">
        <f>H290</f>
        <v>-791550.12744357972</v>
      </c>
      <c r="F291" s="37">
        <f>IFERROR(SUMIFS('Demand Inputs'!$DJ$5:$DJ$202,'Demand Inputs'!$A$5:$A$202,"47mg LP",'Demand Inputs'!$B$5:$B$202,"&lt;&gt;AGGREGATE",'Demand Inputs'!$E$5:$E$202,1),0)</f>
        <v>13268.382432745819</v>
      </c>
      <c r="G291" s="37">
        <f t="array" ref="G291">IFERROR(SUMPRODUCT(('Production Inputs'!$A:$A="47mg LP")*('Production Inputs'!$B:$B="TOTAL ACTIVE")*'Production Inputs'!$DP:$DP),0)</f>
        <v>0</v>
      </c>
      <c r="H291" s="30">
        <f t="shared" si="28"/>
        <v>-804818.50987632549</v>
      </c>
      <c r="I291" s="30">
        <f ca="1">IFERROR(AVERAGEIF(OFFSET(F291,0,0,MIN(Controls!$B$8,COUNTIF(B291:B$1973,B291)),1),"&gt;"&amp;0),0)</f>
        <v>12829.459598401163</v>
      </c>
      <c r="J291" s="38">
        <f t="shared" ca="1" si="29"/>
        <v>-62.73206628100094</v>
      </c>
      <c r="K291" s="30">
        <f t="shared" ca="1" si="33"/>
        <v>920000</v>
      </c>
      <c r="L291" t="str">
        <f t="shared" si="30"/>
        <v>High</v>
      </c>
      <c r="M291" s="39">
        <f>IFERROR(VLOOKUP("47mg LP",Controls!A:I,7,0),6)</f>
        <v>9</v>
      </c>
      <c r="N291" s="39">
        <f>IFERROR(VLOOKUP("47mg LP",Controls!A:I,8,0),3)</f>
        <v>8</v>
      </c>
      <c r="O291" s="39">
        <f>IFERROR(VLOOKUP("47mg LP",Controls!A:I,9,0),18)</f>
        <v>18</v>
      </c>
      <c r="P291" s="40">
        <f>IFERROR(VLOOKUP("47mg LP",Controls!A:J,5,0),0)</f>
        <v>10000</v>
      </c>
      <c r="Q291" s="39">
        <f>IFERROR(VLOOKUP("47mg LP",Controls!A:J,6,0),3)</f>
        <v>3</v>
      </c>
      <c r="R291" s="21" t="str">
        <f>IFERROR(VLOOKUP("47mg LP",Controls!A:K,10,0),"")</f>
        <v>Fisher / ThermoFisher Allentown</v>
      </c>
      <c r="S291" s="41">
        <f t="shared" si="31"/>
        <v>49249</v>
      </c>
      <c r="T291" s="30">
        <f t="shared" si="32"/>
        <v>0</v>
      </c>
      <c r="AB291">
        <f t="shared" si="34"/>
        <v>846644.04097394925</v>
      </c>
    </row>
    <row r="292" spans="1:28" ht="13" customHeight="1" x14ac:dyDescent="0.35">
      <c r="A292" s="153">
        <v>49369</v>
      </c>
      <c r="B292" s="36" t="s">
        <v>35</v>
      </c>
      <c r="C292" s="15" t="s">
        <v>28</v>
      </c>
      <c r="D292" s="15" t="s">
        <v>29</v>
      </c>
      <c r="E292" s="30">
        <f>H291</f>
        <v>-804818.50987632549</v>
      </c>
      <c r="F292" s="37">
        <f>IFERROR(SUMIFS('Demand Inputs'!$DK$5:$DK$202,'Demand Inputs'!$A$5:$A$202,"47mg LP",'Demand Inputs'!$B$5:$B$202,"&lt;&gt;AGGREGATE",'Demand Inputs'!$E$5:$E$202,1),0)</f>
        <v>10712.617092596653</v>
      </c>
      <c r="G292" s="37">
        <f t="array" ref="G292">IFERROR(SUMPRODUCT(('Production Inputs'!$A:$A="47mg LP")*('Production Inputs'!$B:$B="TOTAL ACTIVE")*'Production Inputs'!$DQ:$DQ),0)</f>
        <v>0</v>
      </c>
      <c r="H292" s="30">
        <f t="shared" si="28"/>
        <v>-815531.12696892209</v>
      </c>
      <c r="I292" s="30">
        <f ca="1">IFERROR(AVERAGEIF(OFFSET(F292,0,0,MIN(Controls!$B$8,COUNTIF(B292:B$1973,B292)),1),"&gt;"&amp;0),0)</f>
        <v>13011.458111171594</v>
      </c>
      <c r="J292" s="38">
        <f t="shared" ca="1" si="29"/>
        <v>-62.677919722825671</v>
      </c>
      <c r="K292" s="30">
        <f t="shared" ca="1" si="33"/>
        <v>930000</v>
      </c>
      <c r="L292" t="str">
        <f t="shared" si="30"/>
        <v>High</v>
      </c>
      <c r="M292" s="39">
        <f>IFERROR(VLOOKUP("47mg LP",Controls!A:I,7,0),6)</f>
        <v>9</v>
      </c>
      <c r="N292" s="39">
        <f>IFERROR(VLOOKUP("47mg LP",Controls!A:I,8,0),3)</f>
        <v>8</v>
      </c>
      <c r="O292" s="39">
        <f>IFERROR(VLOOKUP("47mg LP",Controls!A:I,9,0),18)</f>
        <v>18</v>
      </c>
      <c r="P292" s="40">
        <f>IFERROR(VLOOKUP("47mg LP",Controls!A:J,5,0),0)</f>
        <v>10000</v>
      </c>
      <c r="Q292" s="39">
        <f>IFERROR(VLOOKUP("47mg LP",Controls!A:J,6,0),3)</f>
        <v>3</v>
      </c>
      <c r="R292" s="21" t="str">
        <f>IFERROR(VLOOKUP("47mg LP",Controls!A:K,10,0),"")</f>
        <v>Fisher / ThermoFisher Allentown</v>
      </c>
      <c r="S292" s="41">
        <f t="shared" si="31"/>
        <v>49279</v>
      </c>
      <c r="T292" s="30">
        <f t="shared" si="32"/>
        <v>0</v>
      </c>
      <c r="AB292">
        <f t="shared" si="34"/>
        <v>857356.65806654585</v>
      </c>
    </row>
    <row r="293" spans="1:28" ht="13" customHeight="1" x14ac:dyDescent="0.35">
      <c r="A293" s="153">
        <v>49400</v>
      </c>
      <c r="B293" s="36" t="s">
        <v>35</v>
      </c>
      <c r="C293" s="15" t="s">
        <v>28</v>
      </c>
      <c r="D293" s="15" t="s">
        <v>29</v>
      </c>
      <c r="E293" s="30">
        <f>H292</f>
        <v>-815531.12696892209</v>
      </c>
      <c r="F293" s="37">
        <f>IFERROR(SUMIFS('Demand Inputs'!$DL$5:$DL$202,'Demand Inputs'!$A$5:$A$202,"47mg LP",'Demand Inputs'!$B$5:$B$202,"&lt;&gt;AGGREGATE",'Demand Inputs'!$E$5:$E$202,1),0)</f>
        <v>14644.612652591233</v>
      </c>
      <c r="G293" s="37">
        <f t="array" ref="G293">IFERROR(SUMPRODUCT(('Production Inputs'!$A:$A="47mg LP")*('Production Inputs'!$B:$B="TOTAL ACTIVE")*'Production Inputs'!$DR:$DR),0)</f>
        <v>0</v>
      </c>
      <c r="H293" s="30">
        <f t="shared" si="28"/>
        <v>-830175.73962151329</v>
      </c>
      <c r="I293" s="30">
        <f ca="1">IFERROR(AVERAGEIF(OFFSET(F293,0,0,MIN(Controls!$B$8,COUNTIF(B293:B$1973,B293)),1),"&gt;"&amp;0),0)</f>
        <v>13111.929202406745</v>
      </c>
      <c r="J293" s="38">
        <f t="shared" ca="1" si="29"/>
        <v>-63.314537991032722</v>
      </c>
      <c r="K293" s="30">
        <f t="shared" ca="1" si="33"/>
        <v>950000</v>
      </c>
      <c r="L293" t="str">
        <f t="shared" si="30"/>
        <v>High</v>
      </c>
      <c r="M293" s="39">
        <f>IFERROR(VLOOKUP("47mg LP",Controls!A:I,7,0),6)</f>
        <v>9</v>
      </c>
      <c r="N293" s="39">
        <f>IFERROR(VLOOKUP("47mg LP",Controls!A:I,8,0),3)</f>
        <v>8</v>
      </c>
      <c r="O293" s="39">
        <f>IFERROR(VLOOKUP("47mg LP",Controls!A:I,9,0),18)</f>
        <v>18</v>
      </c>
      <c r="P293" s="40">
        <f>IFERROR(VLOOKUP("47mg LP",Controls!A:J,5,0),0)</f>
        <v>10000</v>
      </c>
      <c r="Q293" s="39">
        <f>IFERROR(VLOOKUP("47mg LP",Controls!A:J,6,0),3)</f>
        <v>3</v>
      </c>
      <c r="R293" s="21" t="str">
        <f>IFERROR(VLOOKUP("47mg LP",Controls!A:K,10,0),"")</f>
        <v>Fisher / ThermoFisher Allentown</v>
      </c>
      <c r="S293" s="41">
        <f t="shared" si="31"/>
        <v>49310</v>
      </c>
      <c r="T293" s="30">
        <f t="shared" si="32"/>
        <v>0</v>
      </c>
      <c r="AB293">
        <f t="shared" si="34"/>
        <v>872001.27071913704</v>
      </c>
    </row>
    <row r="294" spans="1:28" ht="13" customHeight="1" x14ac:dyDescent="0.35">
      <c r="A294" s="153">
        <v>49430</v>
      </c>
      <c r="B294" s="36" t="s">
        <v>35</v>
      </c>
      <c r="C294" s="15" t="s">
        <v>28</v>
      </c>
      <c r="D294" s="15" t="s">
        <v>29</v>
      </c>
      <c r="E294" s="30">
        <f>H293</f>
        <v>-830175.73962151329</v>
      </c>
      <c r="F294" s="37">
        <f>IFERROR(SUMIFS('Demand Inputs'!$DM$5:$DM$202,'Demand Inputs'!$A$5:$A$202,"47mg LP",'Demand Inputs'!$B$5:$B$202,"&lt;&gt;AGGREGATE",'Demand Inputs'!$E$5:$E$202,1),0)</f>
        <v>12525.534252279394</v>
      </c>
      <c r="G294" s="37">
        <f t="array" ref="G294">IFERROR(SUMPRODUCT(('Production Inputs'!$A:$A="47mg LP")*('Production Inputs'!$B:$B="TOTAL ACTIVE")*'Production Inputs'!$DS:$DS),0)</f>
        <v>0</v>
      </c>
      <c r="H294" s="30">
        <f t="shared" si="28"/>
        <v>-842701.27387379273</v>
      </c>
      <c r="I294" s="30">
        <f ca="1">IFERROR(AVERAGEIF(OFFSET(F294,0,0,MIN(Controls!$B$8,COUNTIF(B294:B$1973,B294)),1),"&gt;"&amp;0),0)</f>
        <v>12853.44755200309</v>
      </c>
      <c r="J294" s="38">
        <f t="shared" ca="1" si="29"/>
        <v>-65.562275838007807</v>
      </c>
      <c r="K294" s="30">
        <f t="shared" ca="1" si="33"/>
        <v>960000</v>
      </c>
      <c r="L294" t="str">
        <f t="shared" si="30"/>
        <v>High</v>
      </c>
      <c r="M294" s="39">
        <f>IFERROR(VLOOKUP("47mg LP",Controls!A:I,7,0),6)</f>
        <v>9</v>
      </c>
      <c r="N294" s="39">
        <f>IFERROR(VLOOKUP("47mg LP",Controls!A:I,8,0),3)</f>
        <v>8</v>
      </c>
      <c r="O294" s="39">
        <f>IFERROR(VLOOKUP("47mg LP",Controls!A:I,9,0),18)</f>
        <v>18</v>
      </c>
      <c r="P294" s="40">
        <f>IFERROR(VLOOKUP("47mg LP",Controls!A:J,5,0),0)</f>
        <v>10000</v>
      </c>
      <c r="Q294" s="39">
        <f>IFERROR(VLOOKUP("47mg LP",Controls!A:J,6,0),3)</f>
        <v>3</v>
      </c>
      <c r="R294" s="21" t="str">
        <f>IFERROR(VLOOKUP("47mg LP",Controls!A:K,10,0),"")</f>
        <v>Fisher / ThermoFisher Allentown</v>
      </c>
      <c r="S294" s="41">
        <f t="shared" si="31"/>
        <v>49341</v>
      </c>
      <c r="T294" s="30">
        <f t="shared" si="32"/>
        <v>0</v>
      </c>
      <c r="AB294">
        <f t="shared" si="34"/>
        <v>884526.80497141648</v>
      </c>
    </row>
    <row r="295" spans="1:28" ht="13" customHeight="1" x14ac:dyDescent="0.35">
      <c r="A295" s="153">
        <v>49461</v>
      </c>
      <c r="B295" s="36" t="s">
        <v>35</v>
      </c>
      <c r="C295" s="15" t="s">
        <v>28</v>
      </c>
      <c r="D295" s="15" t="s">
        <v>29</v>
      </c>
      <c r="E295" s="30">
        <f>H294</f>
        <v>-842701.27387379273</v>
      </c>
      <c r="F295" s="37">
        <f>IFERROR(SUMIFS('Demand Inputs'!$DN$5:$DN$202,'Demand Inputs'!$A$5:$A$202,"47mg LP",'Demand Inputs'!$B$5:$B$202,"&lt;&gt;AGGREGATE",'Demand Inputs'!$E$5:$E$202,1),0)</f>
        <v>14042.542137133547</v>
      </c>
      <c r="G295" s="37">
        <f t="array" ref="G295">IFERROR(SUMPRODUCT(('Production Inputs'!$A:$A="47mg LP")*('Production Inputs'!$B:$B="TOTAL ACTIVE")*'Production Inputs'!$DT:$DT),0)</f>
        <v>0</v>
      </c>
      <c r="H295" s="30">
        <f t="shared" si="28"/>
        <v>-856743.81601092627</v>
      </c>
      <c r="I295" s="30">
        <f ca="1">IFERROR(AVERAGEIF(OFFSET(F295,0,0,MIN(Controls!$B$8,COUNTIF(B295:B$1973,B295)),1),"&gt;"&amp;0),0)</f>
        <v>12949.30215331959</v>
      </c>
      <c r="J295" s="38">
        <f t="shared" ca="1" si="29"/>
        <v>-66.161388920197339</v>
      </c>
      <c r="K295" s="30">
        <f t="shared" ca="1" si="33"/>
        <v>970000</v>
      </c>
      <c r="L295" t="str">
        <f t="shared" si="30"/>
        <v>High</v>
      </c>
      <c r="M295" s="39">
        <f>IFERROR(VLOOKUP("47mg LP",Controls!A:I,7,0),6)</f>
        <v>9</v>
      </c>
      <c r="N295" s="39">
        <f>IFERROR(VLOOKUP("47mg LP",Controls!A:I,8,0),3)</f>
        <v>8</v>
      </c>
      <c r="O295" s="39">
        <f>IFERROR(VLOOKUP("47mg LP",Controls!A:I,9,0),18)</f>
        <v>18</v>
      </c>
      <c r="P295" s="40">
        <f>IFERROR(VLOOKUP("47mg LP",Controls!A:J,5,0),0)</f>
        <v>10000</v>
      </c>
      <c r="Q295" s="39">
        <f>IFERROR(VLOOKUP("47mg LP",Controls!A:J,6,0),3)</f>
        <v>3</v>
      </c>
      <c r="R295" s="21" t="str">
        <f>IFERROR(VLOOKUP("47mg LP",Controls!A:K,10,0),"")</f>
        <v>Fisher / ThermoFisher Allentown</v>
      </c>
      <c r="S295" s="41">
        <f t="shared" si="31"/>
        <v>49369</v>
      </c>
      <c r="T295" s="30">
        <f t="shared" si="32"/>
        <v>0</v>
      </c>
      <c r="AB295">
        <f t="shared" si="34"/>
        <v>898569.34710855002</v>
      </c>
    </row>
    <row r="296" spans="1:28" ht="13" customHeight="1" x14ac:dyDescent="0.35">
      <c r="A296" s="153">
        <v>49491</v>
      </c>
      <c r="B296" s="36" t="s">
        <v>35</v>
      </c>
      <c r="C296" s="15" t="s">
        <v>28</v>
      </c>
      <c r="D296" s="15" t="s">
        <v>29</v>
      </c>
      <c r="E296" s="30">
        <f>H295</f>
        <v>-856743.81601092627</v>
      </c>
      <c r="F296" s="37">
        <f>IFERROR(SUMIFS('Demand Inputs'!$DO$5:$DO$202,'Demand Inputs'!$A$5:$A$202,"47mg LP",'Demand Inputs'!$B$5:$B$202,"&lt;&gt;AGGREGATE",'Demand Inputs'!$E$5:$E$202,1),0)</f>
        <v>11523.459681790708</v>
      </c>
      <c r="G296" s="37">
        <f t="array" ref="G296">IFERROR(SUMPRODUCT(('Production Inputs'!$A:$A="47mg LP")*('Production Inputs'!$B:$B="TOTAL ACTIVE")*'Production Inputs'!$DU:$DU),0)</f>
        <v>0</v>
      </c>
      <c r="H296" s="30">
        <f t="shared" si="28"/>
        <v>-868267.27569271694</v>
      </c>
      <c r="I296" s="30">
        <f ca="1">IFERROR(AVERAGEIF(OFFSET(F296,0,0,MIN(Controls!$B$8,COUNTIF(B296:B$1973,B296)),1),"&gt;"&amp;0),0)</f>
        <v>12713.151289251262</v>
      </c>
      <c r="J296" s="38">
        <f t="shared" ca="1" si="29"/>
        <v>-68.29677834690925</v>
      </c>
      <c r="K296" s="30">
        <f t="shared" ca="1" si="33"/>
        <v>980000</v>
      </c>
      <c r="L296" t="str">
        <f t="shared" si="30"/>
        <v>High</v>
      </c>
      <c r="M296" s="39">
        <f>IFERROR(VLOOKUP("47mg LP",Controls!A:I,7,0),6)</f>
        <v>9</v>
      </c>
      <c r="N296" s="39">
        <f>IFERROR(VLOOKUP("47mg LP",Controls!A:I,8,0),3)</f>
        <v>8</v>
      </c>
      <c r="O296" s="39">
        <f>IFERROR(VLOOKUP("47mg LP",Controls!A:I,9,0),18)</f>
        <v>18</v>
      </c>
      <c r="P296" s="40">
        <f>IFERROR(VLOOKUP("47mg LP",Controls!A:J,5,0),0)</f>
        <v>10000</v>
      </c>
      <c r="Q296" s="39">
        <f>IFERROR(VLOOKUP("47mg LP",Controls!A:J,6,0),3)</f>
        <v>3</v>
      </c>
      <c r="R296" s="21" t="str">
        <f>IFERROR(VLOOKUP("47mg LP",Controls!A:K,10,0),"")</f>
        <v>Fisher / ThermoFisher Allentown</v>
      </c>
      <c r="S296" s="41">
        <f t="shared" si="31"/>
        <v>49400</v>
      </c>
      <c r="T296" s="30">
        <f t="shared" si="32"/>
        <v>0</v>
      </c>
      <c r="AB296">
        <f t="shared" si="34"/>
        <v>910092.80679034069</v>
      </c>
    </row>
    <row r="297" spans="1:28" ht="13" customHeight="1" x14ac:dyDescent="0.35">
      <c r="A297" s="153">
        <v>49522</v>
      </c>
      <c r="B297" s="36" t="s">
        <v>35</v>
      </c>
      <c r="C297" s="15" t="s">
        <v>28</v>
      </c>
      <c r="D297" s="15" t="s">
        <v>29</v>
      </c>
      <c r="E297" s="30">
        <f>H296</f>
        <v>-868267.27569271694</v>
      </c>
      <c r="F297" s="37">
        <f>IFERROR(SUMIFS('Demand Inputs'!$DP$5:$DP$202,'Demand Inputs'!$A$5:$A$202,"47mg LP",'Demand Inputs'!$B$5:$B$202,"&lt;&gt;AGGREGATE",'Demand Inputs'!$E$5:$E$202,1),0)</f>
        <v>13336.629981986658</v>
      </c>
      <c r="G297" s="37">
        <f t="array" ref="G297">IFERROR(SUMPRODUCT(('Production Inputs'!$A:$A="47mg LP")*('Production Inputs'!$B:$B="TOTAL ACTIVE")*'Production Inputs'!$DV:$DV),0)</f>
        <v>0</v>
      </c>
      <c r="H297" s="30">
        <f t="shared" si="28"/>
        <v>-881603.90567470365</v>
      </c>
      <c r="I297" s="30">
        <f ca="1">IFERROR(AVERAGEIF(OFFSET(F297,0,0,MIN(Controls!$B$8,COUNTIF(B297:B$1973,B297)),1),"&gt;"&amp;0),0)</f>
        <v>12917.136779959377</v>
      </c>
      <c r="J297" s="38">
        <f t="shared" ca="1" si="29"/>
        <v>-68.250721556381649</v>
      </c>
      <c r="K297" s="30">
        <f t="shared" ca="1" si="33"/>
        <v>1000000</v>
      </c>
      <c r="L297" t="str">
        <f t="shared" si="30"/>
        <v>High</v>
      </c>
      <c r="M297" s="39">
        <f>IFERROR(VLOOKUP("47mg LP",Controls!A:I,7,0),6)</f>
        <v>9</v>
      </c>
      <c r="N297" s="39">
        <f>IFERROR(VLOOKUP("47mg LP",Controls!A:I,8,0),3)</f>
        <v>8</v>
      </c>
      <c r="O297" s="39">
        <f>IFERROR(VLOOKUP("47mg LP",Controls!A:I,9,0),18)</f>
        <v>18</v>
      </c>
      <c r="P297" s="40">
        <f>IFERROR(VLOOKUP("47mg LP",Controls!A:J,5,0),0)</f>
        <v>10000</v>
      </c>
      <c r="Q297" s="39">
        <f>IFERROR(VLOOKUP("47mg LP",Controls!A:J,6,0),3)</f>
        <v>3</v>
      </c>
      <c r="R297" s="21" t="str">
        <f>IFERROR(VLOOKUP("47mg LP",Controls!A:K,10,0),"")</f>
        <v>Fisher / ThermoFisher Allentown</v>
      </c>
      <c r="S297" s="41">
        <f t="shared" si="31"/>
        <v>49430</v>
      </c>
      <c r="T297" s="30">
        <f t="shared" si="32"/>
        <v>0</v>
      </c>
      <c r="AB297">
        <f t="shared" si="34"/>
        <v>923429.4367723274</v>
      </c>
    </row>
    <row r="298" spans="1:28" ht="13" customHeight="1" x14ac:dyDescent="0.35">
      <c r="A298" s="153">
        <v>49553</v>
      </c>
      <c r="B298" s="36" t="s">
        <v>35</v>
      </c>
      <c r="C298" s="15" t="s">
        <v>28</v>
      </c>
      <c r="D298" s="15" t="s">
        <v>29</v>
      </c>
      <c r="E298" s="30">
        <f>H297</f>
        <v>-881603.90567470365</v>
      </c>
      <c r="F298" s="37">
        <f>IFERROR(SUMIFS('Demand Inputs'!$DQ$5:$DQ$202,'Demand Inputs'!$A$5:$A$202,"47mg LP",'Demand Inputs'!$B$5:$B$202,"&lt;&gt;AGGREGATE",'Demand Inputs'!$E$5:$E$202,1),0)</f>
        <v>15259.340661094569</v>
      </c>
      <c r="G298" s="37">
        <f t="array" ref="G298">IFERROR(SUMPRODUCT(('Production Inputs'!$A:$A="47mg LP")*('Production Inputs'!$B:$B="TOTAL ACTIVE")*'Production Inputs'!$DW:$DW),0)</f>
        <v>0</v>
      </c>
      <c r="H298" s="30">
        <f t="shared" si="28"/>
        <v>-896863.24633579818</v>
      </c>
      <c r="I298" s="30">
        <f ca="1">IFERROR(AVERAGEIF(OFFSET(F298,0,0,MIN(Controls!$B$8,COUNTIF(B298:B$1973,B298)),1),"&gt;"&amp;0),0)</f>
        <v>13006.617000615079</v>
      </c>
      <c r="J298" s="38">
        <f t="shared" ca="1" si="29"/>
        <v>-68.954382703310614</v>
      </c>
      <c r="K298" s="30">
        <f t="shared" ca="1" si="33"/>
        <v>1010000</v>
      </c>
      <c r="L298" t="str">
        <f t="shared" si="30"/>
        <v>High</v>
      </c>
      <c r="M298" s="39">
        <f>IFERROR(VLOOKUP("47mg LP",Controls!A:I,7,0),6)</f>
        <v>9</v>
      </c>
      <c r="N298" s="39">
        <f>IFERROR(VLOOKUP("47mg LP",Controls!A:I,8,0),3)</f>
        <v>8</v>
      </c>
      <c r="O298" s="39">
        <f>IFERROR(VLOOKUP("47mg LP",Controls!A:I,9,0),18)</f>
        <v>18</v>
      </c>
      <c r="P298" s="40">
        <f>IFERROR(VLOOKUP("47mg LP",Controls!A:J,5,0),0)</f>
        <v>10000</v>
      </c>
      <c r="Q298" s="39">
        <f>IFERROR(VLOOKUP("47mg LP",Controls!A:J,6,0),3)</f>
        <v>3</v>
      </c>
      <c r="R298" s="21" t="str">
        <f>IFERROR(VLOOKUP("47mg LP",Controls!A:K,10,0),"")</f>
        <v>Fisher / ThermoFisher Allentown</v>
      </c>
      <c r="S298" s="41">
        <f t="shared" si="31"/>
        <v>49461</v>
      </c>
      <c r="T298" s="30">
        <f t="shared" si="32"/>
        <v>0</v>
      </c>
      <c r="AB298">
        <f t="shared" si="34"/>
        <v>938688.77743342193</v>
      </c>
    </row>
    <row r="299" spans="1:28" ht="13" customHeight="1" x14ac:dyDescent="0.35">
      <c r="A299" s="153">
        <v>49583</v>
      </c>
      <c r="B299" s="36" t="s">
        <v>35</v>
      </c>
      <c r="C299" s="15" t="s">
        <v>28</v>
      </c>
      <c r="D299" s="15" t="s">
        <v>29</v>
      </c>
      <c r="E299" s="30">
        <f>H298</f>
        <v>-896863.24633579818</v>
      </c>
      <c r="F299" s="37">
        <f>IFERROR(SUMIFS('Demand Inputs'!$DR$5:$DR$202,'Demand Inputs'!$A$5:$A$202,"47mg LP",'Demand Inputs'!$B$5:$B$202,"&lt;&gt;AGGREGATE",'Demand Inputs'!$E$5:$E$202,1),0)</f>
        <v>10152.017493391886</v>
      </c>
      <c r="G299" s="37">
        <f t="array" ref="G299">IFERROR(SUMPRODUCT(('Production Inputs'!$A:$A="47mg LP")*('Production Inputs'!$B:$B="TOTAL ACTIVE")*'Production Inputs'!$DX:$DX),0)</f>
        <v>0</v>
      </c>
      <c r="H299" s="30">
        <f t="shared" si="28"/>
        <v>-907015.26382919005</v>
      </c>
      <c r="I299" s="30">
        <f ca="1">IFERROR(AVERAGEIF(OFFSET(F299,0,0,MIN(Controls!$B$8,COUNTIF(B299:B$1973,B299)),1),"&gt;"&amp;0),0)</f>
        <v>12725.630091103978</v>
      </c>
      <c r="J299" s="38">
        <f t="shared" ca="1" si="29"/>
        <v>-71.274684030243122</v>
      </c>
      <c r="K299" s="30">
        <f t="shared" ca="1" si="33"/>
        <v>1020000</v>
      </c>
      <c r="L299" t="str">
        <f t="shared" si="30"/>
        <v>High</v>
      </c>
      <c r="M299" s="39">
        <f>IFERROR(VLOOKUP("47mg LP",Controls!A:I,7,0),6)</f>
        <v>9</v>
      </c>
      <c r="N299" s="39">
        <f>IFERROR(VLOOKUP("47mg LP",Controls!A:I,8,0),3)</f>
        <v>8</v>
      </c>
      <c r="O299" s="39">
        <f>IFERROR(VLOOKUP("47mg LP",Controls!A:I,9,0),18)</f>
        <v>18</v>
      </c>
      <c r="P299" s="40">
        <f>IFERROR(VLOOKUP("47mg LP",Controls!A:J,5,0),0)</f>
        <v>10000</v>
      </c>
      <c r="Q299" s="39">
        <f>IFERROR(VLOOKUP("47mg LP",Controls!A:J,6,0),3)</f>
        <v>3</v>
      </c>
      <c r="R299" s="21" t="str">
        <f>IFERROR(VLOOKUP("47mg LP",Controls!A:K,10,0),"")</f>
        <v>Fisher / ThermoFisher Allentown</v>
      </c>
      <c r="S299" s="41">
        <f t="shared" si="31"/>
        <v>49491</v>
      </c>
      <c r="T299" s="30">
        <f t="shared" si="32"/>
        <v>0</v>
      </c>
      <c r="AB299">
        <f t="shared" si="34"/>
        <v>948840.7949268138</v>
      </c>
    </row>
    <row r="300" spans="1:28" ht="13" customHeight="1" x14ac:dyDescent="0.35">
      <c r="A300" s="153">
        <v>49614</v>
      </c>
      <c r="B300" s="36" t="s">
        <v>35</v>
      </c>
      <c r="C300" s="15" t="s">
        <v>28</v>
      </c>
      <c r="D300" s="15" t="s">
        <v>29</v>
      </c>
      <c r="E300" s="30">
        <f>H299</f>
        <v>-907015.26382919005</v>
      </c>
      <c r="F300" s="37">
        <f>IFERROR(SUMIFS('Demand Inputs'!$DS$5:$DS$202,'Demand Inputs'!$A$5:$A$202,"47mg LP",'Demand Inputs'!$B$5:$B$202,"&lt;&gt;AGGREGATE",'Demand Inputs'!$E$5:$E$202,1),0)</f>
        <v>14906.369047679702</v>
      </c>
      <c r="G300" s="37">
        <f t="array" ref="G300">IFERROR(SUMPRODUCT(('Production Inputs'!$A:$A="47mg LP")*('Production Inputs'!$B:$B="TOTAL ACTIVE")*'Production Inputs'!$DY:$DY),0)</f>
        <v>0</v>
      </c>
      <c r="H300" s="30">
        <f t="shared" si="28"/>
        <v>-921921.63287686976</v>
      </c>
      <c r="I300" s="30">
        <f ca="1">IFERROR(AVERAGEIF(OFFSET(F300,0,0,MIN(Controls!$B$8,COUNTIF(B300:B$1973,B300)),1),"&gt;"&amp;0),0)</f>
        <v>12931.020677046574</v>
      </c>
      <c r="J300" s="38">
        <f t="shared" ca="1" si="29"/>
        <v>-71.295349060367855</v>
      </c>
      <c r="K300" s="30">
        <f t="shared" ca="1" si="33"/>
        <v>1040000</v>
      </c>
      <c r="L300" t="str">
        <f t="shared" si="30"/>
        <v>High</v>
      </c>
      <c r="M300" s="39">
        <f>IFERROR(VLOOKUP("47mg LP",Controls!A:I,7,0),6)</f>
        <v>9</v>
      </c>
      <c r="N300" s="39">
        <f>IFERROR(VLOOKUP("47mg LP",Controls!A:I,8,0),3)</f>
        <v>8</v>
      </c>
      <c r="O300" s="39">
        <f>IFERROR(VLOOKUP("47mg LP",Controls!A:I,9,0),18)</f>
        <v>18</v>
      </c>
      <c r="P300" s="40">
        <f>IFERROR(VLOOKUP("47mg LP",Controls!A:J,5,0),0)</f>
        <v>10000</v>
      </c>
      <c r="Q300" s="39">
        <f>IFERROR(VLOOKUP("47mg LP",Controls!A:J,6,0),3)</f>
        <v>3</v>
      </c>
      <c r="R300" s="21" t="str">
        <f>IFERROR(VLOOKUP("47mg LP",Controls!A:K,10,0),"")</f>
        <v>Fisher / ThermoFisher Allentown</v>
      </c>
      <c r="S300" s="41">
        <f t="shared" si="31"/>
        <v>49522</v>
      </c>
      <c r="T300" s="30">
        <f t="shared" si="32"/>
        <v>0</v>
      </c>
      <c r="AB300">
        <f t="shared" si="34"/>
        <v>963747.16397449351</v>
      </c>
    </row>
    <row r="301" spans="1:28" ht="13" customHeight="1" x14ac:dyDescent="0.35">
      <c r="A301" s="153">
        <v>49644</v>
      </c>
      <c r="B301" s="36" t="s">
        <v>35</v>
      </c>
      <c r="C301" s="15" t="s">
        <v>28</v>
      </c>
      <c r="D301" s="15" t="s">
        <v>29</v>
      </c>
      <c r="E301" s="30">
        <f>H300</f>
        <v>-921921.63287686976</v>
      </c>
      <c r="F301" s="37">
        <f>IFERROR(SUMIFS('Demand Inputs'!$DT$5:$DT$202,'Demand Inputs'!$A$5:$A$202,"47mg LP",'Demand Inputs'!$B$5:$B$202,"&lt;&gt;AGGREGATE",'Demand Inputs'!$E$5:$E$202,1),0)</f>
        <v>11616.856913712998</v>
      </c>
      <c r="G301" s="37">
        <f t="array" ref="G301">IFERROR(SUMPRODUCT(('Production Inputs'!$A:$A="47mg LP")*('Production Inputs'!$B:$B="TOTAL ACTIVE")*'Production Inputs'!$DZ:$DZ),0)</f>
        <v>0</v>
      </c>
      <c r="H301" s="30">
        <f t="shared" si="28"/>
        <v>-933538.4897905828</v>
      </c>
      <c r="I301" s="30">
        <f ca="1">IFERROR(AVERAGEIF(OFFSET(F301,0,0,MIN(Controls!$B$8,COUNTIF(B301:B$1973,B301)),1),"&gt;"&amp;0),0)</f>
        <v>12895.537904849496</v>
      </c>
      <c r="J301" s="38">
        <f t="shared" ca="1" si="29"/>
        <v>-72.392365225766682</v>
      </c>
      <c r="K301" s="30">
        <f t="shared" ca="1" si="33"/>
        <v>1050000</v>
      </c>
      <c r="L301" t="str">
        <f t="shared" si="30"/>
        <v>High</v>
      </c>
      <c r="M301" s="39">
        <f>IFERROR(VLOOKUP("47mg LP",Controls!A:I,7,0),6)</f>
        <v>9</v>
      </c>
      <c r="N301" s="39">
        <f>IFERROR(VLOOKUP("47mg LP",Controls!A:I,8,0),3)</f>
        <v>8</v>
      </c>
      <c r="O301" s="39">
        <f>IFERROR(VLOOKUP("47mg LP",Controls!A:I,9,0),18)</f>
        <v>18</v>
      </c>
      <c r="P301" s="40">
        <f>IFERROR(VLOOKUP("47mg LP",Controls!A:J,5,0),0)</f>
        <v>10000</v>
      </c>
      <c r="Q301" s="39">
        <f>IFERROR(VLOOKUP("47mg LP",Controls!A:J,6,0),3)</f>
        <v>3</v>
      </c>
      <c r="R301" s="21" t="str">
        <f>IFERROR(VLOOKUP("47mg LP",Controls!A:K,10,0),"")</f>
        <v>Fisher / ThermoFisher Allentown</v>
      </c>
      <c r="S301" s="41">
        <f t="shared" si="31"/>
        <v>49553</v>
      </c>
      <c r="T301" s="30">
        <f t="shared" si="32"/>
        <v>0</v>
      </c>
      <c r="AB301">
        <f t="shared" si="34"/>
        <v>975364.02088820655</v>
      </c>
    </row>
    <row r="302" spans="1:28" ht="13" customHeight="1" x14ac:dyDescent="0.35">
      <c r="A302" s="153">
        <v>49675</v>
      </c>
      <c r="B302" s="36" t="s">
        <v>35</v>
      </c>
      <c r="C302" s="15" t="s">
        <v>28</v>
      </c>
      <c r="D302" s="15" t="s">
        <v>29</v>
      </c>
      <c r="E302" s="30">
        <f>H301</f>
        <v>-933538.4897905828</v>
      </c>
      <c r="F302" s="37">
        <f>IFERROR(SUMIFS('Demand Inputs'!$DU$5:$DU$202,'Demand Inputs'!$A$5:$A$202,"47mg LP",'Demand Inputs'!$B$5:$B$202,"&lt;&gt;AGGREGATE",'Demand Inputs'!$E$5:$E$202,1),0)</f>
        <v>12318.277798958348</v>
      </c>
      <c r="G302" s="37">
        <f t="array" ref="G302">IFERROR(SUMPRODUCT(('Production Inputs'!$A:$A="47mg LP")*('Production Inputs'!$B:$B="TOTAL ACTIVE")*'Production Inputs'!$EA:$EA),0)</f>
        <v>0</v>
      </c>
      <c r="H302" s="30">
        <f t="shared" si="28"/>
        <v>-945856.76758954115</v>
      </c>
      <c r="I302" s="30">
        <f ca="1">IFERROR(AVERAGEIF(OFFSET(F302,0,0,MIN(Controls!$B$8,COUNTIF(B302:B$1973,B302)),1),"&gt;"&amp;0),0)</f>
        <v>13026.189134610766</v>
      </c>
      <c r="J302" s="38">
        <f t="shared" ca="1" si="29"/>
        <v>-72.611932608623547</v>
      </c>
      <c r="K302" s="30">
        <f t="shared" ca="1" si="33"/>
        <v>1060000</v>
      </c>
      <c r="L302" t="str">
        <f t="shared" si="30"/>
        <v>High</v>
      </c>
      <c r="M302" s="39">
        <f>IFERROR(VLOOKUP("47mg LP",Controls!A:I,7,0),6)</f>
        <v>9</v>
      </c>
      <c r="N302" s="39">
        <f>IFERROR(VLOOKUP("47mg LP",Controls!A:I,8,0),3)</f>
        <v>8</v>
      </c>
      <c r="O302" s="39">
        <f>IFERROR(VLOOKUP("47mg LP",Controls!A:I,9,0),18)</f>
        <v>18</v>
      </c>
      <c r="P302" s="40">
        <f>IFERROR(VLOOKUP("47mg LP",Controls!A:J,5,0),0)</f>
        <v>10000</v>
      </c>
      <c r="Q302" s="39">
        <f>IFERROR(VLOOKUP("47mg LP",Controls!A:J,6,0),3)</f>
        <v>3</v>
      </c>
      <c r="R302" s="21" t="str">
        <f>IFERROR(VLOOKUP("47mg LP",Controls!A:K,10,0),"")</f>
        <v>Fisher / ThermoFisher Allentown</v>
      </c>
      <c r="S302" s="41">
        <f t="shared" si="31"/>
        <v>49583</v>
      </c>
      <c r="T302" s="30">
        <f t="shared" si="32"/>
        <v>0</v>
      </c>
      <c r="AB302">
        <f t="shared" si="34"/>
        <v>987682.2986871649</v>
      </c>
    </row>
    <row r="303" spans="1:28" ht="13" customHeight="1" x14ac:dyDescent="0.35">
      <c r="A303" s="153">
        <v>49706</v>
      </c>
      <c r="B303" s="36" t="s">
        <v>35</v>
      </c>
      <c r="C303" s="15" t="s">
        <v>28</v>
      </c>
      <c r="D303" s="15" t="s">
        <v>29</v>
      </c>
      <c r="E303" s="30">
        <f>H302</f>
        <v>-945856.76758954115</v>
      </c>
      <c r="F303" s="37">
        <f>IFERROR(SUMIFS('Demand Inputs'!$DV$5:$DV$202,'Demand Inputs'!$A$5:$A$202,"47mg LP",'Demand Inputs'!$B$5:$B$202,"&lt;&gt;AGGREGATE",'Demand Inputs'!$E$5:$E$202,1),0)</f>
        <v>13388.225664127878</v>
      </c>
      <c r="G303" s="37">
        <f t="array" ref="G303">IFERROR(SUMPRODUCT(('Production Inputs'!$A:$A="47mg LP")*('Production Inputs'!$B:$B="TOTAL ACTIVE")*'Production Inputs'!$EB:$EB),0)</f>
        <v>0</v>
      </c>
      <c r="H303" s="30">
        <f t="shared" si="28"/>
        <v>-959244.993253669</v>
      </c>
      <c r="I303" s="30">
        <f ca="1">IFERROR(AVERAGEIF(OFFSET(F303,0,0,MIN(Controls!$B$8,COUNTIF(B303:B$1973,B303)),1),"&gt;"&amp;0),0)</f>
        <v>13123.03417216488</v>
      </c>
      <c r="J303" s="38">
        <f t="shared" ca="1" si="29"/>
        <v>-73.096280987236383</v>
      </c>
      <c r="K303" s="30">
        <f t="shared" ca="1" si="33"/>
        <v>1080000</v>
      </c>
      <c r="L303" t="str">
        <f t="shared" si="30"/>
        <v>High</v>
      </c>
      <c r="M303" s="39">
        <f>IFERROR(VLOOKUP("47mg LP",Controls!A:I,7,0),6)</f>
        <v>9</v>
      </c>
      <c r="N303" s="39">
        <f>IFERROR(VLOOKUP("47mg LP",Controls!A:I,8,0),3)</f>
        <v>8</v>
      </c>
      <c r="O303" s="39">
        <f>IFERROR(VLOOKUP("47mg LP",Controls!A:I,9,0),18)</f>
        <v>18</v>
      </c>
      <c r="P303" s="40">
        <f>IFERROR(VLOOKUP("47mg LP",Controls!A:J,5,0),0)</f>
        <v>10000</v>
      </c>
      <c r="Q303" s="39">
        <f>IFERROR(VLOOKUP("47mg LP",Controls!A:J,6,0),3)</f>
        <v>3</v>
      </c>
      <c r="R303" s="21" t="str">
        <f>IFERROR(VLOOKUP("47mg LP",Controls!A:K,10,0),"")</f>
        <v>Fisher / ThermoFisher Allentown</v>
      </c>
      <c r="S303" s="41">
        <f t="shared" si="31"/>
        <v>49614</v>
      </c>
      <c r="T303" s="30">
        <f t="shared" si="32"/>
        <v>0</v>
      </c>
      <c r="AB303">
        <f t="shared" si="34"/>
        <v>1001070.5243512928</v>
      </c>
    </row>
    <row r="304" spans="1:28" ht="13" customHeight="1" x14ac:dyDescent="0.35">
      <c r="A304" s="153">
        <v>49735</v>
      </c>
      <c r="B304" s="36" t="s">
        <v>35</v>
      </c>
      <c r="C304" s="15" t="s">
        <v>28</v>
      </c>
      <c r="D304" s="15" t="s">
        <v>29</v>
      </c>
      <c r="E304" s="30">
        <f>H303</f>
        <v>-959244.993253669</v>
      </c>
      <c r="F304" s="37">
        <f>IFERROR(SUMIFS('Demand Inputs'!$DW$5:$DW$202,'Demand Inputs'!$A$5:$A$202,"47mg LP",'Demand Inputs'!$B$5:$B$202,"&lt;&gt;AGGREGATE",'Demand Inputs'!$E$5:$E$202,1),0)</f>
        <v>11917.184360518606</v>
      </c>
      <c r="G304" s="37">
        <f t="array" ref="G304">IFERROR(SUMPRODUCT(('Production Inputs'!$A:$A="47mg LP")*('Production Inputs'!$B:$B="TOTAL ACTIVE")*'Production Inputs'!$EC:$EC),0)</f>
        <v>0</v>
      </c>
      <c r="H304" s="30">
        <f t="shared" si="28"/>
        <v>-971162.17761418759</v>
      </c>
      <c r="I304" s="30">
        <f ca="1">IFERROR(AVERAGEIF(OFFSET(F304,0,0,MIN(Controls!$B$8,COUNTIF(B304:B$1973,B304)),1),"&gt;"&amp;0),0)</f>
        <v>13230.576738091791</v>
      </c>
      <c r="J304" s="38">
        <f t="shared" ca="1" si="29"/>
        <v>-73.402860422413866</v>
      </c>
      <c r="K304" s="30">
        <f t="shared" ca="1" si="33"/>
        <v>1090000</v>
      </c>
      <c r="L304" t="str">
        <f t="shared" si="30"/>
        <v>High</v>
      </c>
      <c r="M304" s="39">
        <f>IFERROR(VLOOKUP("47mg LP",Controls!A:I,7,0),6)</f>
        <v>9</v>
      </c>
      <c r="N304" s="39">
        <f>IFERROR(VLOOKUP("47mg LP",Controls!A:I,8,0),3)</f>
        <v>8</v>
      </c>
      <c r="O304" s="39">
        <f>IFERROR(VLOOKUP("47mg LP",Controls!A:I,9,0),18)</f>
        <v>18</v>
      </c>
      <c r="P304" s="40">
        <f>IFERROR(VLOOKUP("47mg LP",Controls!A:J,5,0),0)</f>
        <v>10000</v>
      </c>
      <c r="Q304" s="39">
        <f>IFERROR(VLOOKUP("47mg LP",Controls!A:J,6,0),3)</f>
        <v>3</v>
      </c>
      <c r="R304" s="21" t="str">
        <f>IFERROR(VLOOKUP("47mg LP",Controls!A:K,10,0),"")</f>
        <v>Fisher / ThermoFisher Allentown</v>
      </c>
      <c r="S304" s="41">
        <f t="shared" si="31"/>
        <v>49644</v>
      </c>
      <c r="T304" s="30">
        <f t="shared" si="32"/>
        <v>0</v>
      </c>
      <c r="AB304">
        <f t="shared" si="34"/>
        <v>1012987.7087118113</v>
      </c>
    </row>
    <row r="305" spans="1:28" ht="13" customHeight="1" x14ac:dyDescent="0.35">
      <c r="A305" s="153">
        <v>49766</v>
      </c>
      <c r="B305" s="36" t="s">
        <v>35</v>
      </c>
      <c r="C305" s="15" t="s">
        <v>28</v>
      </c>
      <c r="D305" s="15" t="s">
        <v>29</v>
      </c>
      <c r="E305" s="30">
        <f>H304</f>
        <v>-971162.17761418759</v>
      </c>
      <c r="F305" s="37">
        <f>IFERROR(SUMIFS('Demand Inputs'!$DX$5:$DX$202,'Demand Inputs'!$A$5:$A$202,"47mg LP",'Demand Inputs'!$B$5:$B$202,"&lt;&gt;AGGREGATE",'Demand Inputs'!$E$5:$E$202,1),0)</f>
        <v>13359.329098163755</v>
      </c>
      <c r="G305" s="37">
        <f t="array" ref="G305">IFERROR(SUMPRODUCT(('Production Inputs'!$A:$A="47mg LP")*('Production Inputs'!$B:$B="TOTAL ACTIVE")*'Production Inputs'!$ED:$ED),0)</f>
        <v>0</v>
      </c>
      <c r="H305" s="30">
        <f t="shared" si="28"/>
        <v>-984521.50671235134</v>
      </c>
      <c r="I305" s="30">
        <f ca="1">IFERROR(AVERAGEIF(OFFSET(F305,0,0,MIN(Controls!$B$8,COUNTIF(B305:B$1973,B305)),1),"&gt;"&amp;0),0)</f>
        <v>12965.401587148535</v>
      </c>
      <c r="J305" s="38">
        <f t="shared" ca="1" si="29"/>
        <v>-75.934516959985345</v>
      </c>
      <c r="K305" s="30">
        <f t="shared" ca="1" si="33"/>
        <v>1100000</v>
      </c>
      <c r="L305" t="str">
        <f t="shared" si="30"/>
        <v>High</v>
      </c>
      <c r="M305" s="39">
        <f>IFERROR(VLOOKUP("47mg LP",Controls!A:I,7,0),6)</f>
        <v>9</v>
      </c>
      <c r="N305" s="39">
        <f>IFERROR(VLOOKUP("47mg LP",Controls!A:I,8,0),3)</f>
        <v>8</v>
      </c>
      <c r="O305" s="39">
        <f>IFERROR(VLOOKUP("47mg LP",Controls!A:I,9,0),18)</f>
        <v>18</v>
      </c>
      <c r="P305" s="40">
        <f>IFERROR(VLOOKUP("47mg LP",Controls!A:J,5,0),0)</f>
        <v>10000</v>
      </c>
      <c r="Q305" s="39">
        <f>IFERROR(VLOOKUP("47mg LP",Controls!A:J,6,0),3)</f>
        <v>3</v>
      </c>
      <c r="R305" s="21" t="str">
        <f>IFERROR(VLOOKUP("47mg LP",Controls!A:K,10,0),"")</f>
        <v>Fisher / ThermoFisher Allentown</v>
      </c>
      <c r="S305" s="41">
        <f t="shared" si="31"/>
        <v>49675</v>
      </c>
      <c r="T305" s="30">
        <f t="shared" si="32"/>
        <v>0</v>
      </c>
      <c r="AB305">
        <f t="shared" si="34"/>
        <v>1026347.0378099751</v>
      </c>
    </row>
    <row r="306" spans="1:28" ht="13" customHeight="1" x14ac:dyDescent="0.35">
      <c r="A306" s="153">
        <v>49796</v>
      </c>
      <c r="B306" s="36" t="s">
        <v>35</v>
      </c>
      <c r="C306" s="15" t="s">
        <v>28</v>
      </c>
      <c r="D306" s="15" t="s">
        <v>29</v>
      </c>
      <c r="E306" s="30">
        <f>H305</f>
        <v>-984521.50671235134</v>
      </c>
      <c r="F306" s="37">
        <f>IFERROR(SUMIFS('Demand Inputs'!$DY$5:$DY$202,'Demand Inputs'!$A$5:$A$202,"47mg LP",'Demand Inputs'!$B$5:$B$202,"&lt;&gt;AGGREGATE",'Demand Inputs'!$E$5:$E$202,1),0)</f>
        <v>14141.951967887968</v>
      </c>
      <c r="G306" s="37">
        <f t="array" ref="G306">IFERROR(SUMPRODUCT(('Production Inputs'!$A:$A="47mg LP")*('Production Inputs'!$B:$B="TOTAL ACTIVE")*'Production Inputs'!$EE:$EE),0)</f>
        <v>0</v>
      </c>
      <c r="H306" s="30">
        <f t="shared" si="28"/>
        <v>-998663.45868023927</v>
      </c>
      <c r="I306" s="30">
        <f ca="1">IFERROR(AVERAGEIF(OFFSET(F306,0,0,MIN(Controls!$B$8,COUNTIF(B306:B$1973,B306)),1),"&gt;"&amp;0),0)</f>
        <v>13187.173987235388</v>
      </c>
      <c r="J306" s="38">
        <f t="shared" ca="1" si="29"/>
        <v>-75.729906926753387</v>
      </c>
      <c r="K306" s="30">
        <f t="shared" ca="1" si="33"/>
        <v>1120000</v>
      </c>
      <c r="L306" t="str">
        <f t="shared" si="30"/>
        <v>High</v>
      </c>
      <c r="M306" s="39">
        <f>IFERROR(VLOOKUP("47mg LP",Controls!A:I,7,0),6)</f>
        <v>9</v>
      </c>
      <c r="N306" s="39">
        <f>IFERROR(VLOOKUP("47mg LP",Controls!A:I,8,0),3)</f>
        <v>8</v>
      </c>
      <c r="O306" s="39">
        <f>IFERROR(VLOOKUP("47mg LP",Controls!A:I,9,0),18)</f>
        <v>18</v>
      </c>
      <c r="P306" s="40">
        <f>IFERROR(VLOOKUP("47mg LP",Controls!A:J,5,0),0)</f>
        <v>10000</v>
      </c>
      <c r="Q306" s="39">
        <f>IFERROR(VLOOKUP("47mg LP",Controls!A:J,6,0),3)</f>
        <v>3</v>
      </c>
      <c r="R306" s="21" t="str">
        <f>IFERROR(VLOOKUP("47mg LP",Controls!A:K,10,0),"")</f>
        <v>Fisher / ThermoFisher Allentown</v>
      </c>
      <c r="S306" s="41">
        <f t="shared" si="31"/>
        <v>49706</v>
      </c>
      <c r="T306" s="30">
        <f t="shared" si="32"/>
        <v>0</v>
      </c>
      <c r="AB306">
        <f t="shared" si="34"/>
        <v>1040488.989777863</v>
      </c>
    </row>
    <row r="307" spans="1:28" ht="13" customHeight="1" x14ac:dyDescent="0.35">
      <c r="A307" s="153">
        <v>49827</v>
      </c>
      <c r="B307" s="36" t="s">
        <v>35</v>
      </c>
      <c r="C307" s="15" t="s">
        <v>28</v>
      </c>
      <c r="D307" s="15" t="s">
        <v>29</v>
      </c>
      <c r="E307" s="30">
        <f>H306</f>
        <v>-998663.45868023927</v>
      </c>
      <c r="F307" s="37">
        <f>IFERROR(SUMIFS('Demand Inputs'!$DZ$5:$DZ$202,'Demand Inputs'!$A$5:$A$202,"47mg LP",'Demand Inputs'!$B$5:$B$202,"&lt;&gt;AGGREGATE",'Demand Inputs'!$E$5:$E$202,1),0)</f>
        <v>12730.458475494661</v>
      </c>
      <c r="G307" s="37">
        <f t="array" ref="G307">IFERROR(SUMPRODUCT(('Production Inputs'!$A:$A="47mg LP")*('Production Inputs'!$B:$B="TOTAL ACTIVE")*'Production Inputs'!$EF:$EF),0)</f>
        <v>0</v>
      </c>
      <c r="H307" s="30">
        <f t="shared" si="28"/>
        <v>-1011393.9171557339</v>
      </c>
      <c r="I307" s="30">
        <f ca="1">IFERROR(AVERAGEIF(OFFSET(F307,0,0,MIN(Controls!$B$8,COUNTIF(B307:B$1973,B307)),1),"&gt;"&amp;0),0)</f>
        <v>12913.174074904115</v>
      </c>
      <c r="J307" s="38">
        <f t="shared" ca="1" si="29"/>
        <v>-78.322642542340532</v>
      </c>
      <c r="K307" s="30">
        <f t="shared" ca="1" si="33"/>
        <v>1130000</v>
      </c>
      <c r="L307" t="str">
        <f t="shared" si="30"/>
        <v>High</v>
      </c>
      <c r="M307" s="39">
        <f>IFERROR(VLOOKUP("47mg LP",Controls!A:I,7,0),6)</f>
        <v>9</v>
      </c>
      <c r="N307" s="39">
        <f>IFERROR(VLOOKUP("47mg LP",Controls!A:I,8,0),3)</f>
        <v>8</v>
      </c>
      <c r="O307" s="39">
        <f>IFERROR(VLOOKUP("47mg LP",Controls!A:I,9,0),18)</f>
        <v>18</v>
      </c>
      <c r="P307" s="40">
        <f>IFERROR(VLOOKUP("47mg LP",Controls!A:J,5,0),0)</f>
        <v>10000</v>
      </c>
      <c r="Q307" s="39">
        <f>IFERROR(VLOOKUP("47mg LP",Controls!A:J,6,0),3)</f>
        <v>3</v>
      </c>
      <c r="R307" s="21" t="str">
        <f>IFERROR(VLOOKUP("47mg LP",Controls!A:K,10,0),"")</f>
        <v>Fisher / ThermoFisher Allentown</v>
      </c>
      <c r="S307" s="41">
        <f t="shared" si="31"/>
        <v>49735</v>
      </c>
      <c r="T307" s="30">
        <f t="shared" si="32"/>
        <v>0</v>
      </c>
      <c r="AB307">
        <f t="shared" si="34"/>
        <v>1053219.4482533578</v>
      </c>
    </row>
    <row r="308" spans="1:28" ht="13" customHeight="1" x14ac:dyDescent="0.35">
      <c r="A308" s="153">
        <v>49857</v>
      </c>
      <c r="B308" s="36" t="s">
        <v>35</v>
      </c>
      <c r="C308" s="15" t="s">
        <v>28</v>
      </c>
      <c r="D308" s="15" t="s">
        <v>29</v>
      </c>
      <c r="E308" s="30">
        <f>H307</f>
        <v>-1011393.9171557339</v>
      </c>
      <c r="F308" s="37">
        <f>IFERROR(SUMIFS('Demand Inputs'!$EA$5:$EA$202,'Demand Inputs'!$A$5:$A$202,"47mg LP",'Demand Inputs'!$B$5:$B$202,"&lt;&gt;AGGREGATE",'Demand Inputs'!$E$5:$E$202,1),0)</f>
        <v>12000.532766875243</v>
      </c>
      <c r="G308" s="37">
        <f t="array" ref="G308">IFERROR(SUMPRODUCT(('Production Inputs'!$A:$A="47mg LP")*('Production Inputs'!$B:$B="TOTAL ACTIVE")*'Production Inputs'!$EG:$EG),0)</f>
        <v>0</v>
      </c>
      <c r="H308" s="30">
        <f t="shared" si="28"/>
        <v>-1023394.4499226091</v>
      </c>
      <c r="I308" s="30">
        <f ca="1">IFERROR(AVERAGEIF(OFFSET(F308,0,0,MIN(Controls!$B$8,COUNTIF(B308:B$1973,B308)),1),"&gt;"&amp;0),0)</f>
        <v>12750.460189891475</v>
      </c>
      <c r="J308" s="38">
        <f t="shared" ca="1" si="29"/>
        <v>-80.263334395879539</v>
      </c>
      <c r="K308" s="30">
        <f t="shared" ca="1" si="33"/>
        <v>1140000</v>
      </c>
      <c r="L308" t="str">
        <f t="shared" si="30"/>
        <v>High</v>
      </c>
      <c r="M308" s="39">
        <f>IFERROR(VLOOKUP("47mg LP",Controls!A:I,7,0),6)</f>
        <v>9</v>
      </c>
      <c r="N308" s="39">
        <f>IFERROR(VLOOKUP("47mg LP",Controls!A:I,8,0),3)</f>
        <v>8</v>
      </c>
      <c r="O308" s="39">
        <f>IFERROR(VLOOKUP("47mg LP",Controls!A:I,9,0),18)</f>
        <v>18</v>
      </c>
      <c r="P308" s="40">
        <f>IFERROR(VLOOKUP("47mg LP",Controls!A:J,5,0),0)</f>
        <v>10000</v>
      </c>
      <c r="Q308" s="39">
        <f>IFERROR(VLOOKUP("47mg LP",Controls!A:J,6,0),3)</f>
        <v>3</v>
      </c>
      <c r="R308" s="21" t="str">
        <f>IFERROR(VLOOKUP("47mg LP",Controls!A:K,10,0),"")</f>
        <v>Fisher / ThermoFisher Allentown</v>
      </c>
      <c r="S308" s="41">
        <f t="shared" si="31"/>
        <v>49766</v>
      </c>
      <c r="T308" s="30">
        <f t="shared" si="32"/>
        <v>0</v>
      </c>
      <c r="AB308">
        <f t="shared" si="34"/>
        <v>1065219.9810202331</v>
      </c>
    </row>
    <row r="309" spans="1:28" ht="13" customHeight="1" x14ac:dyDescent="0.35">
      <c r="A309" s="153">
        <v>49888</v>
      </c>
      <c r="B309" s="36" t="s">
        <v>35</v>
      </c>
      <c r="C309" s="15" t="s">
        <v>28</v>
      </c>
      <c r="D309" s="15" t="s">
        <v>29</v>
      </c>
      <c r="E309" s="30">
        <f>H308</f>
        <v>-1023394.4499226091</v>
      </c>
      <c r="F309" s="37">
        <f>IFERROR(SUMIFS('Demand Inputs'!$EB$5:$EB$202,'Demand Inputs'!$A$5:$A$202,"47mg LP",'Demand Inputs'!$B$5:$B$202,"&lt;&gt;AGGREGATE",'Demand Inputs'!$E$5:$E$202,1),0)</f>
        <v>14587.024097906</v>
      </c>
      <c r="G309" s="37">
        <f t="array" ref="G309">IFERROR(SUMPRODUCT(('Production Inputs'!$A:$A="47mg LP")*('Production Inputs'!$B:$B="TOTAL ACTIVE")*'Production Inputs'!$EH:$EH),0)</f>
        <v>0</v>
      </c>
      <c r="H309" s="30">
        <f t="shared" si="28"/>
        <v>-1037981.4740205151</v>
      </c>
      <c r="I309" s="30">
        <f ca="1">IFERROR(AVERAGEIF(OFFSET(F309,0,0,MIN(Controls!$B$8,COUNTIF(B309:B$1973,B309)),1),"&gt;"&amp;0),0)</f>
        <v>13070.755757753161</v>
      </c>
      <c r="J309" s="38">
        <f t="shared" ca="1" si="29"/>
        <v>-79.412506304757258</v>
      </c>
      <c r="K309" s="30">
        <f t="shared" ca="1" si="33"/>
        <v>1160000</v>
      </c>
      <c r="L309" t="str">
        <f t="shared" si="30"/>
        <v>High</v>
      </c>
      <c r="M309" s="39">
        <f>IFERROR(VLOOKUP("47mg LP",Controls!A:I,7,0),6)</f>
        <v>9</v>
      </c>
      <c r="N309" s="39">
        <f>IFERROR(VLOOKUP("47mg LP",Controls!A:I,8,0),3)</f>
        <v>8</v>
      </c>
      <c r="O309" s="39">
        <f>IFERROR(VLOOKUP("47mg LP",Controls!A:I,9,0),18)</f>
        <v>18</v>
      </c>
      <c r="P309" s="40">
        <f>IFERROR(VLOOKUP("47mg LP",Controls!A:J,5,0),0)</f>
        <v>10000</v>
      </c>
      <c r="Q309" s="39">
        <f>IFERROR(VLOOKUP("47mg LP",Controls!A:J,6,0),3)</f>
        <v>3</v>
      </c>
      <c r="R309" s="21" t="str">
        <f>IFERROR(VLOOKUP("47mg LP",Controls!A:K,10,0),"")</f>
        <v>Fisher / ThermoFisher Allentown</v>
      </c>
      <c r="S309" s="41">
        <f t="shared" si="31"/>
        <v>49796</v>
      </c>
      <c r="T309" s="30">
        <f t="shared" si="32"/>
        <v>0</v>
      </c>
      <c r="AB309">
        <f t="shared" si="34"/>
        <v>1079807.0051181391</v>
      </c>
    </row>
    <row r="310" spans="1:28" ht="13" customHeight="1" x14ac:dyDescent="0.35">
      <c r="A310" s="153">
        <v>49919</v>
      </c>
      <c r="B310" s="36" t="s">
        <v>35</v>
      </c>
      <c r="C310" s="15" t="s">
        <v>28</v>
      </c>
      <c r="D310" s="15" t="s">
        <v>29</v>
      </c>
      <c r="E310" s="30">
        <f>H309</f>
        <v>-1037981.4740205151</v>
      </c>
      <c r="F310" s="37">
        <f>IFERROR(SUMIFS('Demand Inputs'!$EC$5:$EC$202,'Demand Inputs'!$A$5:$A$202,"47mg LP",'Demand Inputs'!$B$5:$B$202,"&lt;&gt;AGGREGATE",'Demand Inputs'!$E$5:$E$202,1),0)</f>
        <v>12792.717981564436</v>
      </c>
      <c r="G310" s="37">
        <f t="array" ref="G310">IFERROR(SUMPRODUCT(('Production Inputs'!$A:$A="47mg LP")*('Production Inputs'!$B:$B="TOTAL ACTIVE")*'Production Inputs'!$EI:$EI),0)</f>
        <v>0</v>
      </c>
      <c r="H310" s="30">
        <f t="shared" si="28"/>
        <v>-1050774.1920020794</v>
      </c>
      <c r="I310" s="30">
        <f ca="1">IFERROR(AVERAGEIF(OFFSET(F310,0,0,MIN(Controls!$B$8,COUNTIF(B310:B$1973,B310)),1),"&gt;"&amp;0),0)</f>
        <v>12990.763568523062</v>
      </c>
      <c r="J310" s="38">
        <f t="shared" ca="1" si="29"/>
        <v>-80.886253256747054</v>
      </c>
      <c r="K310" s="30">
        <f t="shared" ca="1" si="33"/>
        <v>1170000</v>
      </c>
      <c r="L310" t="str">
        <f t="shared" si="30"/>
        <v>High</v>
      </c>
      <c r="M310" s="39">
        <f>IFERROR(VLOOKUP("47mg LP",Controls!A:I,7,0),6)</f>
        <v>9</v>
      </c>
      <c r="N310" s="39">
        <f>IFERROR(VLOOKUP("47mg LP",Controls!A:I,8,0),3)</f>
        <v>8</v>
      </c>
      <c r="O310" s="39">
        <f>IFERROR(VLOOKUP("47mg LP",Controls!A:I,9,0),18)</f>
        <v>18</v>
      </c>
      <c r="P310" s="40">
        <f>IFERROR(VLOOKUP("47mg LP",Controls!A:J,5,0),0)</f>
        <v>10000</v>
      </c>
      <c r="Q310" s="39">
        <f>IFERROR(VLOOKUP("47mg LP",Controls!A:J,6,0),3)</f>
        <v>3</v>
      </c>
      <c r="R310" s="21" t="str">
        <f>IFERROR(VLOOKUP("47mg LP",Controls!A:K,10,0),"")</f>
        <v>Fisher / ThermoFisher Allentown</v>
      </c>
      <c r="S310" s="41">
        <f t="shared" si="31"/>
        <v>49827</v>
      </c>
      <c r="T310" s="30">
        <f t="shared" si="32"/>
        <v>0</v>
      </c>
      <c r="AB310">
        <f t="shared" si="34"/>
        <v>1092599.7230997034</v>
      </c>
    </row>
    <row r="311" spans="1:28" ht="13" customHeight="1" x14ac:dyDescent="0.35">
      <c r="A311" s="153">
        <v>49949</v>
      </c>
      <c r="B311" s="36" t="s">
        <v>35</v>
      </c>
      <c r="C311" s="15" t="s">
        <v>28</v>
      </c>
      <c r="D311" s="15" t="s">
        <v>29</v>
      </c>
      <c r="E311" s="30">
        <f>H310</f>
        <v>-1050774.1920020794</v>
      </c>
      <c r="F311" s="37">
        <f>IFERROR(SUMIFS('Demand Inputs'!$ED$5:$ED$202,'Demand Inputs'!$A$5:$A$202,"47mg LP",'Demand Inputs'!$B$5:$B$202,"&lt;&gt;AGGREGATE",'Demand Inputs'!$E$5:$E$202,1),0)</f>
        <v>13189.883136945376</v>
      </c>
      <c r="G311" s="37">
        <f t="array" ref="G311">IFERROR(SUMPRODUCT(('Production Inputs'!$A:$A="47mg LP")*('Production Inputs'!$B:$B="TOTAL ACTIVE")*'Production Inputs'!$EJ:$EJ),0)</f>
        <v>0</v>
      </c>
      <c r="H311" s="30">
        <f t="shared" si="28"/>
        <v>-1063964.0751390248</v>
      </c>
      <c r="I311" s="30">
        <f ca="1">IFERROR(AVERAGEIF(OFFSET(F311,0,0,MIN(Controls!$B$8,COUNTIF(B311:B$1973,B311)),1),"&gt;"&amp;0),0)</f>
        <v>12867.852103557343</v>
      </c>
      <c r="J311" s="38">
        <f t="shared" ca="1" si="29"/>
        <v>-82.683890565146442</v>
      </c>
      <c r="K311" s="30">
        <f t="shared" ca="1" si="33"/>
        <v>1180000</v>
      </c>
      <c r="L311" t="str">
        <f t="shared" si="30"/>
        <v>High</v>
      </c>
      <c r="M311" s="39">
        <f>IFERROR(VLOOKUP("47mg LP",Controls!A:I,7,0),6)</f>
        <v>9</v>
      </c>
      <c r="N311" s="39">
        <f>IFERROR(VLOOKUP("47mg LP",Controls!A:I,8,0),3)</f>
        <v>8</v>
      </c>
      <c r="O311" s="39">
        <f>IFERROR(VLOOKUP("47mg LP",Controls!A:I,9,0),18)</f>
        <v>18</v>
      </c>
      <c r="P311" s="40">
        <f>IFERROR(VLOOKUP("47mg LP",Controls!A:J,5,0),0)</f>
        <v>10000</v>
      </c>
      <c r="Q311" s="39">
        <f>IFERROR(VLOOKUP("47mg LP",Controls!A:J,6,0),3)</f>
        <v>3</v>
      </c>
      <c r="R311" s="21" t="str">
        <f>IFERROR(VLOOKUP("47mg LP",Controls!A:K,10,0),"")</f>
        <v>Fisher / ThermoFisher Allentown</v>
      </c>
      <c r="S311" s="41">
        <f t="shared" si="31"/>
        <v>49857</v>
      </c>
      <c r="T311" s="30">
        <f t="shared" si="32"/>
        <v>0</v>
      </c>
      <c r="AB311">
        <f t="shared" si="34"/>
        <v>1105789.6062366487</v>
      </c>
    </row>
    <row r="312" spans="1:28" ht="13" customHeight="1" x14ac:dyDescent="0.35">
      <c r="A312" s="153">
        <v>49980</v>
      </c>
      <c r="B312" s="36" t="s">
        <v>35</v>
      </c>
      <c r="C312" s="15" t="s">
        <v>28</v>
      </c>
      <c r="D312" s="15" t="s">
        <v>29</v>
      </c>
      <c r="E312" s="30">
        <f>H311</f>
        <v>-1063964.0751390248</v>
      </c>
      <c r="F312" s="37">
        <f>IFERROR(SUMIFS('Demand Inputs'!$EE$5:$EE$202,'Demand Inputs'!$A$5:$A$202,"47mg LP",'Demand Inputs'!$B$5:$B$202,"&lt;&gt;AGGREGATE",'Demand Inputs'!$E$5:$E$202,1),0)</f>
        <v>14356.108757470076</v>
      </c>
      <c r="G312" s="37">
        <f t="array" ref="G312">IFERROR(SUMPRODUCT(('Production Inputs'!$A:$A="47mg LP")*('Production Inputs'!$B:$B="TOTAL ACTIVE")*'Production Inputs'!$EK:$EK),0)</f>
        <v>0</v>
      </c>
      <c r="H312" s="30">
        <f t="shared" si="28"/>
        <v>-1078320.1838964948</v>
      </c>
      <c r="I312" s="30">
        <f ca="1">IFERROR(AVERAGEIF(OFFSET(F312,0,0,MIN(Controls!$B$8,COUNTIF(B312:B$1973,B312)),1),"&gt;"&amp;0),0)</f>
        <v>12904.851698198754</v>
      </c>
      <c r="J312" s="38">
        <f t="shared" ca="1" si="29"/>
        <v>-83.559285229678821</v>
      </c>
      <c r="K312" s="30">
        <f t="shared" ca="1" si="33"/>
        <v>1190000</v>
      </c>
      <c r="L312" t="str">
        <f t="shared" si="30"/>
        <v>High</v>
      </c>
      <c r="M312" s="39">
        <f>IFERROR(VLOOKUP("47mg LP",Controls!A:I,7,0),6)</f>
        <v>9</v>
      </c>
      <c r="N312" s="39">
        <f>IFERROR(VLOOKUP("47mg LP",Controls!A:I,8,0),3)</f>
        <v>8</v>
      </c>
      <c r="O312" s="39">
        <f>IFERROR(VLOOKUP("47mg LP",Controls!A:I,9,0),18)</f>
        <v>18</v>
      </c>
      <c r="P312" s="40">
        <f>IFERROR(VLOOKUP("47mg LP",Controls!A:J,5,0),0)</f>
        <v>10000</v>
      </c>
      <c r="Q312" s="39">
        <f>IFERROR(VLOOKUP("47mg LP",Controls!A:J,6,0),3)</f>
        <v>3</v>
      </c>
      <c r="R312" s="21" t="str">
        <f>IFERROR(VLOOKUP("47mg LP",Controls!A:K,10,0),"")</f>
        <v>Fisher / ThermoFisher Allentown</v>
      </c>
      <c r="S312" s="41">
        <f t="shared" si="31"/>
        <v>49888</v>
      </c>
      <c r="T312" s="30">
        <f t="shared" si="32"/>
        <v>0</v>
      </c>
      <c r="AB312">
        <f t="shared" si="34"/>
        <v>1120145.7149941188</v>
      </c>
    </row>
    <row r="313" spans="1:28" ht="13" customHeight="1" x14ac:dyDescent="0.35">
      <c r="A313" s="153">
        <v>50010</v>
      </c>
      <c r="B313" s="36" t="s">
        <v>35</v>
      </c>
      <c r="C313" s="15" t="s">
        <v>28</v>
      </c>
      <c r="D313" s="15" t="s">
        <v>29</v>
      </c>
      <c r="E313" s="30">
        <f>H312</f>
        <v>-1078320.1838964948</v>
      </c>
      <c r="F313" s="37">
        <f>IFERROR(SUMIFS('Demand Inputs'!$EF$5:$EF$202,'Demand Inputs'!$A$5:$A$202,"47mg LP",'Demand Inputs'!$B$5:$B$202,"&lt;&gt;AGGREGATE",'Demand Inputs'!$E$5:$E$202,1),0)</f>
        <v>9530.6080020293066</v>
      </c>
      <c r="G313" s="37">
        <f t="array" ref="G313">IFERROR(SUMPRODUCT(('Production Inputs'!$A:$A="47mg LP")*('Production Inputs'!$B:$B="TOTAL ACTIVE")*'Production Inputs'!$EL:$EL),0)</f>
        <v>0</v>
      </c>
      <c r="H313" s="30">
        <f t="shared" si="28"/>
        <v>-1087850.7918985242</v>
      </c>
      <c r="I313" s="30">
        <f ca="1">IFERROR(AVERAGEIF(OFFSET(F313,0,0,MIN(Controls!$B$8,COUNTIF(B313:B$1973,B313)),1),"&gt;"&amp;0),0)</f>
        <v>12899.871257560872</v>
      </c>
      <c r="J313" s="38">
        <f t="shared" ca="1" si="29"/>
        <v>-84.330360371690773</v>
      </c>
      <c r="K313" s="30">
        <f t="shared" ca="1" si="33"/>
        <v>1200000</v>
      </c>
      <c r="L313" t="str">
        <f t="shared" si="30"/>
        <v>High</v>
      </c>
      <c r="M313" s="39">
        <f>IFERROR(VLOOKUP("47mg LP",Controls!A:I,7,0),6)</f>
        <v>9</v>
      </c>
      <c r="N313" s="39">
        <f>IFERROR(VLOOKUP("47mg LP",Controls!A:I,8,0),3)</f>
        <v>8</v>
      </c>
      <c r="O313" s="39">
        <f>IFERROR(VLOOKUP("47mg LP",Controls!A:I,9,0),18)</f>
        <v>18</v>
      </c>
      <c r="P313" s="40">
        <f>IFERROR(VLOOKUP("47mg LP",Controls!A:J,5,0),0)</f>
        <v>10000</v>
      </c>
      <c r="Q313" s="39">
        <f>IFERROR(VLOOKUP("47mg LP",Controls!A:J,6,0),3)</f>
        <v>3</v>
      </c>
      <c r="R313" s="21" t="str">
        <f>IFERROR(VLOOKUP("47mg LP",Controls!A:K,10,0),"")</f>
        <v>Fisher / ThermoFisher Allentown</v>
      </c>
      <c r="S313" s="41">
        <f t="shared" si="31"/>
        <v>49919</v>
      </c>
      <c r="T313" s="30">
        <f t="shared" si="32"/>
        <v>0</v>
      </c>
      <c r="AB313">
        <f t="shared" si="34"/>
        <v>1129676.3229961481</v>
      </c>
    </row>
    <row r="314" spans="1:28" ht="13" customHeight="1" x14ac:dyDescent="0.35">
      <c r="A314" s="153">
        <v>50041</v>
      </c>
      <c r="B314" s="36" t="s">
        <v>35</v>
      </c>
      <c r="C314" s="15" t="s">
        <v>28</v>
      </c>
      <c r="D314" s="15" t="s">
        <v>29</v>
      </c>
      <c r="E314" s="30">
        <f>H313</f>
        <v>-1087850.7918985242</v>
      </c>
      <c r="F314" s="37">
        <f>IFERROR(SUMIFS('Demand Inputs'!$EG$5:$EG$202,'Demand Inputs'!$A$5:$A$202,"47mg LP",'Demand Inputs'!$B$5:$B$202,"&lt;&gt;AGGREGATE",'Demand Inputs'!$E$5:$E$202,1),0)</f>
        <v>15355.280698945444</v>
      </c>
      <c r="G314" s="37">
        <f t="array" ref="G314">IFERROR(SUMPRODUCT(('Production Inputs'!$A:$A="47mg LP")*('Production Inputs'!$B:$B="TOTAL ACTIVE")*'Production Inputs'!$EM:$EM),0)</f>
        <v>0</v>
      </c>
      <c r="H314" s="30">
        <f t="shared" si="28"/>
        <v>-1103206.0725974697</v>
      </c>
      <c r="I314" s="30">
        <f ca="1">IFERROR(AVERAGEIF(OFFSET(F314,0,0,MIN(Controls!$B$8,COUNTIF(B314:B$1973,B314)),1),"&gt;"&amp;0),0)</f>
        <v>13060.281521088395</v>
      </c>
      <c r="J314" s="38">
        <f t="shared" ca="1" si="29"/>
        <v>-84.470313355506647</v>
      </c>
      <c r="K314" s="30">
        <f t="shared" ca="1" si="33"/>
        <v>1220000</v>
      </c>
      <c r="L314" t="str">
        <f t="shared" si="30"/>
        <v>High</v>
      </c>
      <c r="M314" s="39">
        <f>IFERROR(VLOOKUP("47mg LP",Controls!A:I,7,0),6)</f>
        <v>9</v>
      </c>
      <c r="N314" s="39">
        <f>IFERROR(VLOOKUP("47mg LP",Controls!A:I,8,0),3)</f>
        <v>8</v>
      </c>
      <c r="O314" s="39">
        <f>IFERROR(VLOOKUP("47mg LP",Controls!A:I,9,0),18)</f>
        <v>18</v>
      </c>
      <c r="P314" s="40">
        <f>IFERROR(VLOOKUP("47mg LP",Controls!A:J,5,0),0)</f>
        <v>10000</v>
      </c>
      <c r="Q314" s="39">
        <f>IFERROR(VLOOKUP("47mg LP",Controls!A:J,6,0),3)</f>
        <v>3</v>
      </c>
      <c r="R314" s="21" t="str">
        <f>IFERROR(VLOOKUP("47mg LP",Controls!A:K,10,0),"")</f>
        <v>Fisher / ThermoFisher Allentown</v>
      </c>
      <c r="S314" s="41">
        <f t="shared" si="31"/>
        <v>49949</v>
      </c>
      <c r="T314" s="30">
        <f t="shared" si="32"/>
        <v>0</v>
      </c>
      <c r="AB314">
        <f t="shared" si="34"/>
        <v>1145031.6036950937</v>
      </c>
    </row>
    <row r="315" spans="1:28" ht="13" customHeight="1" x14ac:dyDescent="0.35">
      <c r="A315" s="153">
        <v>50072</v>
      </c>
      <c r="B315" s="36" t="s">
        <v>35</v>
      </c>
      <c r="C315" s="15" t="s">
        <v>28</v>
      </c>
      <c r="D315" s="15" t="s">
        <v>29</v>
      </c>
      <c r="E315" s="30">
        <f>H314</f>
        <v>-1103206.0725974697</v>
      </c>
      <c r="F315" s="37">
        <f>IFERROR(SUMIFS('Demand Inputs'!$EH$5:$EH$202,'Demand Inputs'!$A$5:$A$202,"47mg LP",'Demand Inputs'!$B$5:$B$202,"&lt;&gt;AGGREGATE",'Demand Inputs'!$E$5:$E$202,1),0)</f>
        <v>11675.952756906507</v>
      </c>
      <c r="G315" s="37">
        <f t="array" ref="G315">IFERROR(SUMPRODUCT(('Production Inputs'!$A:$A="47mg LP")*('Production Inputs'!$B:$B="TOTAL ACTIVE")*'Production Inputs'!$EN:$EN),0)</f>
        <v>0</v>
      </c>
      <c r="H315" s="30">
        <f t="shared" si="28"/>
        <v>-1114882.0253543761</v>
      </c>
      <c r="I315" s="30">
        <f ca="1">IFERROR(AVERAGEIF(OFFSET(F315,0,0,MIN(Controls!$B$8,COUNTIF(B315:B$1973,B315)),1),"&gt;"&amp;0),0)</f>
        <v>12514.981313094766</v>
      </c>
      <c r="J315" s="38">
        <f t="shared" ca="1" si="29"/>
        <v>-89.083794650803398</v>
      </c>
      <c r="K315" s="30">
        <f t="shared" ca="1" si="33"/>
        <v>1230000</v>
      </c>
      <c r="L315" t="str">
        <f t="shared" si="30"/>
        <v>High</v>
      </c>
      <c r="M315" s="39">
        <f>IFERROR(VLOOKUP("47mg LP",Controls!A:I,7,0),6)</f>
        <v>9</v>
      </c>
      <c r="N315" s="39">
        <f>IFERROR(VLOOKUP("47mg LP",Controls!A:I,8,0),3)</f>
        <v>8</v>
      </c>
      <c r="O315" s="39">
        <f>IFERROR(VLOOKUP("47mg LP",Controls!A:I,9,0),18)</f>
        <v>18</v>
      </c>
      <c r="P315" s="40">
        <f>IFERROR(VLOOKUP("47mg LP",Controls!A:J,5,0),0)</f>
        <v>10000</v>
      </c>
      <c r="Q315" s="39">
        <f>IFERROR(VLOOKUP("47mg LP",Controls!A:J,6,0),3)</f>
        <v>3</v>
      </c>
      <c r="R315" s="21" t="str">
        <f>IFERROR(VLOOKUP("47mg LP",Controls!A:K,10,0),"")</f>
        <v>Fisher / ThermoFisher Allentown</v>
      </c>
      <c r="S315" s="41">
        <f t="shared" si="31"/>
        <v>49980</v>
      </c>
      <c r="T315" s="30">
        <f t="shared" si="32"/>
        <v>0</v>
      </c>
      <c r="AB315">
        <f t="shared" si="34"/>
        <v>1156707.556452</v>
      </c>
    </row>
    <row r="316" spans="1:28" ht="13" customHeight="1" x14ac:dyDescent="0.35">
      <c r="A316" s="153">
        <v>50100</v>
      </c>
      <c r="B316" s="36" t="s">
        <v>35</v>
      </c>
      <c r="C316" s="15" t="s">
        <v>28</v>
      </c>
      <c r="D316" s="15" t="s">
        <v>29</v>
      </c>
      <c r="E316" s="30">
        <f>H315</f>
        <v>-1114882.0253543761</v>
      </c>
      <c r="F316" s="37">
        <f>IFERROR(SUMIFS('Demand Inputs'!$EI$5:$EI$202,'Demand Inputs'!$A$5:$A$202,"47mg LP",'Demand Inputs'!$B$5:$B$202,"&lt;&gt;AGGREGATE",'Demand Inputs'!$E$5:$E$202,1),0)</f>
        <v>11266.033510380894</v>
      </c>
      <c r="G316" s="37">
        <f t="array" ref="G316">IFERROR(SUMPRODUCT(('Production Inputs'!$A:$A="47mg LP")*('Production Inputs'!$B:$B="TOTAL ACTIVE")*'Production Inputs'!$EO:$EO),0)</f>
        <v>0</v>
      </c>
      <c r="H316" s="30">
        <f t="shared" si="28"/>
        <v>-1126148.058864757</v>
      </c>
      <c r="I316" s="30">
        <f ca="1">IFERROR(AVERAGEIF(OFFSET(F316,0,0,MIN(Controls!$B$8,COUNTIF(B316:B$1973,B316)),1),"&gt;"&amp;0),0)</f>
        <v>12279.55611321898</v>
      </c>
      <c r="J316" s="38">
        <f t="shared" ca="1" si="29"/>
        <v>-91.709183009673708</v>
      </c>
      <c r="K316" s="30">
        <f t="shared" ca="1" si="33"/>
        <v>1240000</v>
      </c>
      <c r="L316" t="str">
        <f t="shared" si="30"/>
        <v>High</v>
      </c>
      <c r="M316" s="39">
        <f>IFERROR(VLOOKUP("47mg LP",Controls!A:I,7,0),6)</f>
        <v>9</v>
      </c>
      <c r="N316" s="39">
        <f>IFERROR(VLOOKUP("47mg LP",Controls!A:I,8,0),3)</f>
        <v>8</v>
      </c>
      <c r="O316" s="39">
        <f>IFERROR(VLOOKUP("47mg LP",Controls!A:I,9,0),18)</f>
        <v>18</v>
      </c>
      <c r="P316" s="40">
        <f>IFERROR(VLOOKUP("47mg LP",Controls!A:J,5,0),0)</f>
        <v>10000</v>
      </c>
      <c r="Q316" s="39">
        <f>IFERROR(VLOOKUP("47mg LP",Controls!A:J,6,0),3)</f>
        <v>3</v>
      </c>
      <c r="R316" s="21" t="str">
        <f>IFERROR(VLOOKUP("47mg LP",Controls!A:K,10,0),"")</f>
        <v>Fisher / ThermoFisher Allentown</v>
      </c>
      <c r="S316" s="41">
        <f t="shared" si="31"/>
        <v>50010</v>
      </c>
      <c r="T316" s="30">
        <f t="shared" si="32"/>
        <v>0</v>
      </c>
      <c r="AB316">
        <f t="shared" si="34"/>
        <v>1167973.5899623809</v>
      </c>
    </row>
    <row r="317" spans="1:28" ht="13" customHeight="1" x14ac:dyDescent="0.35">
      <c r="A317" s="153">
        <v>50131</v>
      </c>
      <c r="B317" s="36" t="s">
        <v>35</v>
      </c>
      <c r="C317" s="15" t="s">
        <v>28</v>
      </c>
      <c r="D317" s="15" t="s">
        <v>29</v>
      </c>
      <c r="E317" s="30">
        <f>H316</f>
        <v>-1126148.058864757</v>
      </c>
      <c r="F317" s="37">
        <f>IFERROR(SUMIFS('Demand Inputs'!$EJ$5:$EJ$202,'Demand Inputs'!$A$5:$A$202,"47mg LP",'Demand Inputs'!$B$5:$B$202,"&lt;&gt;AGGREGATE",'Demand Inputs'!$E$5:$E$202,1),0)</f>
        <v>14883.192877630398</v>
      </c>
      <c r="G317" s="37">
        <f t="array" ref="G317">IFERROR(SUMPRODUCT(('Production Inputs'!$A:$A="47mg LP")*('Production Inputs'!$B:$B="TOTAL ACTIVE")*'Production Inputs'!$EP:$EP),0)</f>
        <v>0</v>
      </c>
      <c r="H317" s="30">
        <f t="shared" si="28"/>
        <v>-1141031.2517423874</v>
      </c>
      <c r="I317" s="30">
        <f ca="1">IFERROR(AVERAGEIF(OFFSET(F317,0,0,MIN(Controls!$B$8,COUNTIF(B317:B$1973,B317)),1),"&gt;"&amp;0),0)</f>
        <v>11822.389652889024</v>
      </c>
      <c r="J317" s="38">
        <f t="shared" ca="1" si="29"/>
        <v>-96.514434496206519</v>
      </c>
      <c r="K317" s="30">
        <f t="shared" ca="1" si="33"/>
        <v>1250000</v>
      </c>
      <c r="L317" t="str">
        <f t="shared" si="30"/>
        <v>High</v>
      </c>
      <c r="M317" s="39">
        <f>IFERROR(VLOOKUP("47mg LP",Controls!A:I,7,0),6)</f>
        <v>9</v>
      </c>
      <c r="N317" s="39">
        <f>IFERROR(VLOOKUP("47mg LP",Controls!A:I,8,0),3)</f>
        <v>8</v>
      </c>
      <c r="O317" s="39">
        <f>IFERROR(VLOOKUP("47mg LP",Controls!A:I,9,0),18)</f>
        <v>18</v>
      </c>
      <c r="P317" s="40">
        <f>IFERROR(VLOOKUP("47mg LP",Controls!A:J,5,0),0)</f>
        <v>10000</v>
      </c>
      <c r="Q317" s="39">
        <f>IFERROR(VLOOKUP("47mg LP",Controls!A:J,6,0),3)</f>
        <v>3</v>
      </c>
      <c r="R317" s="21" t="str">
        <f>IFERROR(VLOOKUP("47mg LP",Controls!A:K,10,0),"")</f>
        <v>Fisher / ThermoFisher Allentown</v>
      </c>
      <c r="S317" s="41">
        <f t="shared" si="31"/>
        <v>50041</v>
      </c>
      <c r="T317" s="30">
        <f t="shared" si="32"/>
        <v>0</v>
      </c>
      <c r="AB317">
        <f t="shared" si="34"/>
        <v>1182856.7828400114</v>
      </c>
    </row>
    <row r="318" spans="1:28" ht="13" customHeight="1" x14ac:dyDescent="0.35">
      <c r="A318" s="153">
        <v>50161</v>
      </c>
      <c r="B318" s="36" t="s">
        <v>35</v>
      </c>
      <c r="C318" s="15" t="s">
        <v>28</v>
      </c>
      <c r="D318" s="15" t="s">
        <v>29</v>
      </c>
      <c r="E318" s="30">
        <f>H317</f>
        <v>-1141031.2517423874</v>
      </c>
      <c r="F318" s="37">
        <f>IFERROR(SUMIFS('Demand Inputs'!$EK$5:$EK$202,'Demand Inputs'!$A$5:$A$202,"47mg LP",'Demand Inputs'!$B$5:$B$202,"&lt;&gt;AGGREGATE",'Demand Inputs'!$E$5:$E$202,1),0)</f>
        <v>13867.09439483512</v>
      </c>
      <c r="G318" s="37">
        <f t="array" ref="G318">IFERROR(SUMPRODUCT(('Production Inputs'!$A:$A="47mg LP")*('Production Inputs'!$B:$B="TOTAL ACTIVE")*'Production Inputs'!$EQ:$EQ),0)</f>
        <v>0</v>
      </c>
      <c r="H318" s="30">
        <f t="shared" si="28"/>
        <v>-1154898.3461372226</v>
      </c>
      <c r="I318" s="30">
        <f ca="1">IFERROR(AVERAGEIF(OFFSET(F318,0,0,MIN(Controls!$B$8,COUNTIF(B318:B$1973,B318)),1),"&gt;"&amp;0),0)</f>
        <v>11183.166323255502</v>
      </c>
      <c r="J318" s="38">
        <f t="shared" ca="1" si="29"/>
        <v>-103.2711409948004</v>
      </c>
      <c r="K318" s="30">
        <f t="shared" ca="1" si="33"/>
        <v>1260000</v>
      </c>
      <c r="L318" t="str">
        <f t="shared" si="30"/>
        <v>High</v>
      </c>
      <c r="M318" s="39">
        <f>IFERROR(VLOOKUP("47mg LP",Controls!A:I,7,0),6)</f>
        <v>9</v>
      </c>
      <c r="N318" s="39">
        <f>IFERROR(VLOOKUP("47mg LP",Controls!A:I,8,0),3)</f>
        <v>8</v>
      </c>
      <c r="O318" s="39">
        <f>IFERROR(VLOOKUP("47mg LP",Controls!A:I,9,0),18)</f>
        <v>18</v>
      </c>
      <c r="P318" s="40">
        <f>IFERROR(VLOOKUP("47mg LP",Controls!A:J,5,0),0)</f>
        <v>10000</v>
      </c>
      <c r="Q318" s="39">
        <f>IFERROR(VLOOKUP("47mg LP",Controls!A:J,6,0),3)</f>
        <v>3</v>
      </c>
      <c r="R318" s="21" t="str">
        <f>IFERROR(VLOOKUP("47mg LP",Controls!A:K,10,0),"")</f>
        <v>Fisher / ThermoFisher Allentown</v>
      </c>
      <c r="S318" s="41">
        <f t="shared" si="31"/>
        <v>50072</v>
      </c>
      <c r="T318" s="30">
        <f t="shared" si="32"/>
        <v>0</v>
      </c>
      <c r="AB318">
        <f t="shared" si="34"/>
        <v>1196723.8772348466</v>
      </c>
    </row>
    <row r="319" spans="1:28" ht="13" customHeight="1" x14ac:dyDescent="0.35">
      <c r="A319" s="153">
        <v>50192</v>
      </c>
      <c r="B319" s="36" t="s">
        <v>35</v>
      </c>
      <c r="C319" s="15" t="s">
        <v>28</v>
      </c>
      <c r="D319" s="15" t="s">
        <v>29</v>
      </c>
      <c r="E319" s="30">
        <f>H318</f>
        <v>-1154898.3461372226</v>
      </c>
      <c r="F319" s="37">
        <f>IFERROR(SUMIFS('Demand Inputs'!$EL$5:$EL$202,'Demand Inputs'!$A$5:$A$202,"47mg LP",'Demand Inputs'!$B$5:$B$202,"&lt;&gt;AGGREGATE",'Demand Inputs'!$E$5:$E$202,1),0)</f>
        <v>11686.514796872963</v>
      </c>
      <c r="G319" s="37">
        <f t="array" ref="G319">IFERROR(SUMPRODUCT(('Production Inputs'!$A:$A="47mg LP")*('Production Inputs'!$B:$B="TOTAL ACTIVE")*'Production Inputs'!$ER:$ER),0)</f>
        <v>0</v>
      </c>
      <c r="H319" s="30">
        <f t="shared" si="28"/>
        <v>-1166584.8609340955</v>
      </c>
      <c r="I319" s="30">
        <f ca="1">IFERROR(AVERAGEIF(OFFSET(F319,0,0,MIN(Controls!$B$8,COUNTIF(B319:B$1973,B319)),1),"&gt;"&amp;0),0)</f>
        <v>10272.355096053023</v>
      </c>
      <c r="J319" s="38">
        <f t="shared" ca="1" si="29"/>
        <v>-113.565472574282</v>
      </c>
      <c r="K319" s="30">
        <f t="shared" ca="1" si="33"/>
        <v>1260000</v>
      </c>
      <c r="L319" t="str">
        <f t="shared" si="30"/>
        <v>High</v>
      </c>
      <c r="M319" s="39">
        <f>IFERROR(VLOOKUP("47mg LP",Controls!A:I,7,0),6)</f>
        <v>9</v>
      </c>
      <c r="N319" s="39">
        <f>IFERROR(VLOOKUP("47mg LP",Controls!A:I,8,0),3)</f>
        <v>8</v>
      </c>
      <c r="O319" s="39">
        <f>IFERROR(VLOOKUP("47mg LP",Controls!A:I,9,0),18)</f>
        <v>18</v>
      </c>
      <c r="P319" s="40">
        <f>IFERROR(VLOOKUP("47mg LP",Controls!A:J,5,0),0)</f>
        <v>10000</v>
      </c>
      <c r="Q319" s="39">
        <f>IFERROR(VLOOKUP("47mg LP",Controls!A:J,6,0),3)</f>
        <v>3</v>
      </c>
      <c r="R319" s="21" t="str">
        <f>IFERROR(VLOOKUP("47mg LP",Controls!A:K,10,0),"")</f>
        <v>Fisher / ThermoFisher Allentown</v>
      </c>
      <c r="S319" s="41">
        <f t="shared" si="31"/>
        <v>50100</v>
      </c>
      <c r="T319" s="30">
        <f t="shared" si="32"/>
        <v>0</v>
      </c>
      <c r="AB319">
        <f t="shared" si="34"/>
        <v>1208410.3920317194</v>
      </c>
    </row>
    <row r="320" spans="1:28" ht="13" customHeight="1" x14ac:dyDescent="0.35">
      <c r="A320" s="153">
        <v>50222</v>
      </c>
      <c r="B320" s="36" t="s">
        <v>35</v>
      </c>
      <c r="C320" s="15" t="s">
        <v>28</v>
      </c>
      <c r="D320" s="15" t="s">
        <v>29</v>
      </c>
      <c r="E320" s="30">
        <f>H319</f>
        <v>-1166584.8609340955</v>
      </c>
      <c r="F320" s="37">
        <f>IFERROR(SUMIFS('Demand Inputs'!$EM$5:$EM$202,'Demand Inputs'!$A$5:$A$202,"47mg LP",'Demand Inputs'!$B$5:$B$202,"&lt;&gt;AGGREGATE",'Demand Inputs'!$E$5:$E$202,1),0)</f>
        <v>13522.879488718085</v>
      </c>
      <c r="G320" s="37">
        <f t="array" ref="G320">IFERROR(SUMPRODUCT(('Production Inputs'!$A:$A="47mg LP")*('Production Inputs'!$B:$B="TOTAL ACTIVE")*'Production Inputs'!$ES:$ES),0)</f>
        <v>0</v>
      </c>
      <c r="H320" s="30">
        <f t="shared" si="28"/>
        <v>-1180107.7404228135</v>
      </c>
      <c r="I320" s="30">
        <f ca="1">IFERROR(AVERAGEIF(OFFSET(F320,0,0,MIN(Controls!$B$8,COUNTIF(B320:B$1973,B320)),1),"&gt;"&amp;0),0)</f>
        <v>9612.9317807162042</v>
      </c>
      <c r="J320" s="38">
        <f t="shared" ca="1" si="29"/>
        <v>-122.76252108541338</v>
      </c>
      <c r="K320" s="30">
        <f t="shared" ca="1" si="33"/>
        <v>1270000</v>
      </c>
      <c r="L320" t="str">
        <f t="shared" si="30"/>
        <v>High</v>
      </c>
      <c r="M320" s="39">
        <f>IFERROR(VLOOKUP("47mg LP",Controls!A:I,7,0),6)</f>
        <v>9</v>
      </c>
      <c r="N320" s="39">
        <f>IFERROR(VLOOKUP("47mg LP",Controls!A:I,8,0),3)</f>
        <v>8</v>
      </c>
      <c r="O320" s="39">
        <f>IFERROR(VLOOKUP("47mg LP",Controls!A:I,9,0),18)</f>
        <v>18</v>
      </c>
      <c r="P320" s="40">
        <f>IFERROR(VLOOKUP("47mg LP",Controls!A:J,5,0),0)</f>
        <v>10000</v>
      </c>
      <c r="Q320" s="39">
        <f>IFERROR(VLOOKUP("47mg LP",Controls!A:J,6,0),3)</f>
        <v>3</v>
      </c>
      <c r="R320" s="21" t="str">
        <f>IFERROR(VLOOKUP("47mg LP",Controls!A:K,10,0),"")</f>
        <v>Fisher / ThermoFisher Allentown</v>
      </c>
      <c r="S320" s="41">
        <f t="shared" si="31"/>
        <v>50131</v>
      </c>
      <c r="T320" s="30">
        <f t="shared" si="32"/>
        <v>0</v>
      </c>
      <c r="AB320">
        <f t="shared" si="34"/>
        <v>1221933.2715204374</v>
      </c>
    </row>
    <row r="321" spans="1:28" ht="13" customHeight="1" x14ac:dyDescent="0.35">
      <c r="A321" s="153">
        <v>50253</v>
      </c>
      <c r="B321" s="36" t="s">
        <v>35</v>
      </c>
      <c r="C321" s="15" t="s">
        <v>28</v>
      </c>
      <c r="D321" s="15" t="s">
        <v>29</v>
      </c>
      <c r="E321" s="30">
        <f>H320</f>
        <v>-1180107.7404228135</v>
      </c>
      <c r="F321" s="37">
        <f>IFERROR(SUMIFS('Demand Inputs'!$EN$5:$EN$202,'Demand Inputs'!$A$5:$A$202,"47mg LP",'Demand Inputs'!$B$5:$B$202,"&lt;&gt;AGGREGATE",'Demand Inputs'!$E$5:$E$202,1),0)</f>
        <v>14311.284791729129</v>
      </c>
      <c r="G321" s="37">
        <f t="array" ref="G321">IFERROR(SUMPRODUCT(('Production Inputs'!$A:$A="47mg LP")*('Production Inputs'!$B:$B="TOTAL ACTIVE")*'Production Inputs'!$ET:$ET),0)</f>
        <v>0</v>
      </c>
      <c r="H321" s="30">
        <f t="shared" si="28"/>
        <v>-1194419.0252145426</v>
      </c>
      <c r="I321" s="30">
        <f ca="1">IFERROR(AVERAGEIF(OFFSET(F321,0,0,MIN(Controls!$B$8,COUNTIF(B321:B$1973,B321)),1),"&gt;"&amp;0),0)</f>
        <v>8922.8945238809592</v>
      </c>
      <c r="J321" s="38">
        <f t="shared" ca="1" si="29"/>
        <v>-133.86004082171277</v>
      </c>
      <c r="K321" s="30">
        <f t="shared" ca="1" si="33"/>
        <v>1270000</v>
      </c>
      <c r="L321" t="str">
        <f t="shared" si="30"/>
        <v>High</v>
      </c>
      <c r="M321" s="39">
        <f>IFERROR(VLOOKUP("47mg LP",Controls!A:I,7,0),6)</f>
        <v>9</v>
      </c>
      <c r="N321" s="39">
        <f>IFERROR(VLOOKUP("47mg LP",Controls!A:I,8,0),3)</f>
        <v>8</v>
      </c>
      <c r="O321" s="39">
        <f>IFERROR(VLOOKUP("47mg LP",Controls!A:I,9,0),18)</f>
        <v>18</v>
      </c>
      <c r="P321" s="40">
        <f>IFERROR(VLOOKUP("47mg LP",Controls!A:J,5,0),0)</f>
        <v>10000</v>
      </c>
      <c r="Q321" s="39">
        <f>IFERROR(VLOOKUP("47mg LP",Controls!A:J,6,0),3)</f>
        <v>3</v>
      </c>
      <c r="R321" s="21" t="str">
        <f>IFERROR(VLOOKUP("47mg LP",Controls!A:K,10,0),"")</f>
        <v>Fisher / ThermoFisher Allentown</v>
      </c>
      <c r="S321" s="41">
        <f t="shared" si="31"/>
        <v>50161</v>
      </c>
      <c r="T321" s="30">
        <f t="shared" si="32"/>
        <v>0</v>
      </c>
      <c r="AB321">
        <f t="shared" si="34"/>
        <v>1236244.5563121666</v>
      </c>
    </row>
    <row r="322" spans="1:28" ht="13" customHeight="1" x14ac:dyDescent="0.35">
      <c r="A322" s="153">
        <v>50284</v>
      </c>
      <c r="B322" s="36" t="s">
        <v>35</v>
      </c>
      <c r="C322" s="15" t="s">
        <v>28</v>
      </c>
      <c r="D322" s="15" t="s">
        <v>29</v>
      </c>
      <c r="E322" s="30">
        <f>H321</f>
        <v>-1194419.0252145426</v>
      </c>
      <c r="F322" s="37">
        <f>IFERROR(SUMIFS('Demand Inputs'!$EO$5:$EO$202,'Demand Inputs'!$A$5:$A$202,"47mg LP",'Demand Inputs'!$B$5:$B$202,"&lt;&gt;AGGREGATE",'Demand Inputs'!$E$5:$E$202,1),0)</f>
        <v>10974.30037377702</v>
      </c>
      <c r="G322" s="37">
        <f t="array" ref="G322">IFERROR(SUMPRODUCT(('Production Inputs'!$A:$A="47mg LP")*('Production Inputs'!$B:$B="TOTAL ACTIVE")*'Production Inputs'!$EU:$EU),0)</f>
        <v>0</v>
      </c>
      <c r="H322" s="30">
        <f t="shared" si="28"/>
        <v>-1205393.3255883197</v>
      </c>
      <c r="I322" s="30">
        <f ca="1">IFERROR(AVERAGEIF(OFFSET(F322,0,0,MIN(Controls!$B$8,COUNTIF(B322:B$1973,B322)),1),"&gt;"&amp;0),0)</f>
        <v>7942.0951637635917</v>
      </c>
      <c r="J322" s="38">
        <f t="shared" ca="1" si="29"/>
        <v>-151.77271245603021</v>
      </c>
      <c r="K322" s="30">
        <f t="shared" ca="1" si="33"/>
        <v>1280000</v>
      </c>
      <c r="L322" t="str">
        <f t="shared" si="30"/>
        <v>High</v>
      </c>
      <c r="M322" s="39">
        <f>IFERROR(VLOOKUP("47mg LP",Controls!A:I,7,0),6)</f>
        <v>9</v>
      </c>
      <c r="N322" s="39">
        <f>IFERROR(VLOOKUP("47mg LP",Controls!A:I,8,0),3)</f>
        <v>8</v>
      </c>
      <c r="O322" s="39">
        <f>IFERROR(VLOOKUP("47mg LP",Controls!A:I,9,0),18)</f>
        <v>18</v>
      </c>
      <c r="P322" s="40">
        <f>IFERROR(VLOOKUP("47mg LP",Controls!A:J,5,0),0)</f>
        <v>10000</v>
      </c>
      <c r="Q322" s="39">
        <f>IFERROR(VLOOKUP("47mg LP",Controls!A:J,6,0),3)</f>
        <v>3</v>
      </c>
      <c r="R322" s="21" t="str">
        <f>IFERROR(VLOOKUP("47mg LP",Controls!A:K,10,0),"")</f>
        <v>Fisher / ThermoFisher Allentown</v>
      </c>
      <c r="S322" s="41">
        <f t="shared" si="31"/>
        <v>50192</v>
      </c>
      <c r="T322" s="30">
        <f t="shared" si="32"/>
        <v>0</v>
      </c>
      <c r="AB322">
        <f t="shared" si="34"/>
        <v>1247218.8566859437</v>
      </c>
    </row>
    <row r="323" spans="1:28" ht="13" customHeight="1" x14ac:dyDescent="0.35">
      <c r="A323" s="153">
        <v>50314</v>
      </c>
      <c r="B323" s="36" t="s">
        <v>35</v>
      </c>
      <c r="C323" s="15" t="s">
        <v>28</v>
      </c>
      <c r="D323" s="15" t="s">
        <v>29</v>
      </c>
      <c r="E323" s="30">
        <f>H322</f>
        <v>-1205393.3255883197</v>
      </c>
      <c r="F323" s="37">
        <f>IFERROR(SUMIFS('Demand Inputs'!$EP$5:$EP$202,'Demand Inputs'!$A$5:$A$202,"47mg LP",'Demand Inputs'!$B$5:$B$202,"&lt;&gt;AGGREGATE",'Demand Inputs'!$E$5:$E$202,1),0)</f>
        <v>10447.578827002784</v>
      </c>
      <c r="G323" s="37">
        <f t="array" ref="G323">IFERROR(SUMPRODUCT(('Production Inputs'!$A:$A="47mg LP")*('Production Inputs'!$B:$B="TOTAL ACTIVE")*'Production Inputs'!$EV:$EV),0)</f>
        <v>0</v>
      </c>
      <c r="H323" s="30">
        <f t="shared" si="28"/>
        <v>-1215840.9044153225</v>
      </c>
      <c r="I323" s="30">
        <f ca="1">IFERROR(AVERAGEIF(OFFSET(F323,0,0,MIN(Controls!$B$8,COUNTIF(B323:B$1973,B323)),1),"&gt;"&amp;0),0)</f>
        <v>7195.4303826024343</v>
      </c>
      <c r="J323" s="38">
        <f t="shared" ca="1" si="29"/>
        <v>-168.97403487567044</v>
      </c>
      <c r="K323" s="30">
        <f t="shared" ca="1" si="33"/>
        <v>1280000</v>
      </c>
      <c r="L323" t="str">
        <f t="shared" si="30"/>
        <v>High</v>
      </c>
      <c r="M323" s="39">
        <f>IFERROR(VLOOKUP("47mg LP",Controls!A:I,7,0),6)</f>
        <v>9</v>
      </c>
      <c r="N323" s="39">
        <f>IFERROR(VLOOKUP("47mg LP",Controls!A:I,8,0),3)</f>
        <v>8</v>
      </c>
      <c r="O323" s="39">
        <f>IFERROR(VLOOKUP("47mg LP",Controls!A:I,9,0),18)</f>
        <v>18</v>
      </c>
      <c r="P323" s="40">
        <f>IFERROR(VLOOKUP("47mg LP",Controls!A:J,5,0),0)</f>
        <v>10000</v>
      </c>
      <c r="Q323" s="39">
        <f>IFERROR(VLOOKUP("47mg LP",Controls!A:J,6,0),3)</f>
        <v>3</v>
      </c>
      <c r="R323" s="21" t="str">
        <f>IFERROR(VLOOKUP("47mg LP",Controls!A:K,10,0),"")</f>
        <v>Fisher / ThermoFisher Allentown</v>
      </c>
      <c r="S323" s="41">
        <f t="shared" si="31"/>
        <v>50222</v>
      </c>
      <c r="T323" s="30">
        <f t="shared" si="32"/>
        <v>0</v>
      </c>
      <c r="AB323">
        <f t="shared" si="34"/>
        <v>1257666.4355129465</v>
      </c>
    </row>
    <row r="324" spans="1:28" ht="13" customHeight="1" x14ac:dyDescent="0.35">
      <c r="A324" s="153">
        <v>50345</v>
      </c>
      <c r="B324" s="36" t="s">
        <v>35</v>
      </c>
      <c r="C324" s="15" t="s">
        <v>28</v>
      </c>
      <c r="D324" s="15" t="s">
        <v>29</v>
      </c>
      <c r="E324" s="30">
        <f>H323</f>
        <v>-1215840.9044153225</v>
      </c>
      <c r="F324" s="37">
        <f>IFERROR(SUMIFS('Demand Inputs'!$EQ$5:$EQ$202,'Demand Inputs'!$A$5:$A$202,"47mg LP",'Demand Inputs'!$B$5:$B$202,"&lt;&gt;AGGREGATE",'Demand Inputs'!$E$5:$E$202,1),0)</f>
        <v>9557.1259580244187</v>
      </c>
      <c r="G324" s="37">
        <f t="array" ref="G324">IFERROR(SUMPRODUCT(('Production Inputs'!$A:$A="47mg LP")*('Production Inputs'!$B:$B="TOTAL ACTIVE")*'Production Inputs'!$EW:$EW),0)</f>
        <v>0</v>
      </c>
      <c r="H324" s="30">
        <f t="shared" ref="H324:H387" si="35">E324+G324-F324</f>
        <v>-1225398.030373347</v>
      </c>
      <c r="I324" s="30">
        <f ca="1">IFERROR(AVERAGEIF(OFFSET(F324,0,0,MIN(Controls!$B$8,COUNTIF(B324:B$1973,B324)),1),"&gt;"&amp;0),0)</f>
        <v>6535.7998854984053</v>
      </c>
      <c r="J324" s="38">
        <f t="shared" ref="J324:J387" ca="1" si="36">IFERROR(H324/I324,IF(H324&gt;0,999,0))</f>
        <v>-187.49013920885997</v>
      </c>
      <c r="K324" s="30">
        <f t="shared" ca="1" si="33"/>
        <v>1280000</v>
      </c>
      <c r="L324" t="str">
        <f t="shared" ref="L324:L387" si="37">IF(H324&lt;=0,"High",IF(J324&lt;N324,"High",IF(J324&lt;M324,"Medium",IF(J324&gt;O324,"Overstock","Low"))))</f>
        <v>High</v>
      </c>
      <c r="M324" s="39">
        <f>IFERROR(VLOOKUP("47mg LP",Controls!A:I,7,0),6)</f>
        <v>9</v>
      </c>
      <c r="N324" s="39">
        <f>IFERROR(VLOOKUP("47mg LP",Controls!A:I,8,0),3)</f>
        <v>8</v>
      </c>
      <c r="O324" s="39">
        <f>IFERROR(VLOOKUP("47mg LP",Controls!A:I,9,0),18)</f>
        <v>18</v>
      </c>
      <c r="P324" s="40">
        <f>IFERROR(VLOOKUP("47mg LP",Controls!A:J,5,0),0)</f>
        <v>10000</v>
      </c>
      <c r="Q324" s="39">
        <f>IFERROR(VLOOKUP("47mg LP",Controls!A:J,6,0),3)</f>
        <v>3</v>
      </c>
      <c r="R324" s="21" t="str">
        <f>IFERROR(VLOOKUP("47mg LP",Controls!A:K,10,0),"")</f>
        <v>Fisher / ThermoFisher Allentown</v>
      </c>
      <c r="S324" s="41">
        <f t="shared" ref="S324:S387" si="38">IFERROR(EDATE(A324,-Q324),"")</f>
        <v>50253</v>
      </c>
      <c r="T324" s="30">
        <f t="shared" ref="T324:T387" si="39">G324</f>
        <v>0</v>
      </c>
      <c r="AB324">
        <f t="shared" si="34"/>
        <v>1267223.561470971</v>
      </c>
    </row>
    <row r="325" spans="1:28" ht="13" customHeight="1" x14ac:dyDescent="0.35">
      <c r="A325" s="153">
        <v>50375</v>
      </c>
      <c r="B325" s="36" t="s">
        <v>35</v>
      </c>
      <c r="C325" s="15" t="s">
        <v>28</v>
      </c>
      <c r="D325" s="15" t="s">
        <v>29</v>
      </c>
      <c r="E325" s="30">
        <f>H324</f>
        <v>-1225398.030373347</v>
      </c>
      <c r="F325" s="37">
        <f>IFERROR(SUMIFS('Demand Inputs'!$ER$5:$ER$202,'Demand Inputs'!$A$5:$A$202,"47mg LP",'Demand Inputs'!$B$5:$B$202,"&lt;&gt;AGGREGATE",'Demand Inputs'!$E$5:$E$202,1),0)</f>
        <v>7151.5353674112857</v>
      </c>
      <c r="G325" s="37">
        <f t="array" ref="G325">IFERROR(SUMPRODUCT(('Production Inputs'!$A:$A="47mg LP")*('Production Inputs'!$B:$B="TOTAL ACTIVE")*'Production Inputs'!$EX:$EX),0)</f>
        <v>0</v>
      </c>
      <c r="H325" s="30">
        <f t="shared" si="35"/>
        <v>-1232549.5657407583</v>
      </c>
      <c r="I325" s="30">
        <f ca="1">IFERROR(AVERAGEIF(OFFSET(F325,0,0,MIN(Controls!$B$8,COUNTIF(B325:B$1973,B325)),1),"&gt;"&amp;0),0)</f>
        <v>5909.7789828987097</v>
      </c>
      <c r="J325" s="38">
        <f t="shared" ca="1" si="36"/>
        <v>-208.56102559967488</v>
      </c>
      <c r="K325" s="30">
        <f t="shared" ref="K325:K388" ca="1" si="40">IFERROR(IF(H325&lt;(N325*I325), CEILING(MAX(0,ROUND((M325*I325-H325)/P325,0)*P325),P325), 0), 0)</f>
        <v>1290000</v>
      </c>
      <c r="L325" t="str">
        <f t="shared" si="37"/>
        <v>High</v>
      </c>
      <c r="M325" s="39">
        <f>IFERROR(VLOOKUP("47mg LP",Controls!A:I,7,0),6)</f>
        <v>9</v>
      </c>
      <c r="N325" s="39">
        <f>IFERROR(VLOOKUP("47mg LP",Controls!A:I,8,0),3)</f>
        <v>8</v>
      </c>
      <c r="O325" s="39">
        <f>IFERROR(VLOOKUP("47mg LP",Controls!A:I,9,0),18)</f>
        <v>18</v>
      </c>
      <c r="P325" s="40">
        <f>IFERROR(VLOOKUP("47mg LP",Controls!A:J,5,0),0)</f>
        <v>10000</v>
      </c>
      <c r="Q325" s="39">
        <f>IFERROR(VLOOKUP("47mg LP",Controls!A:J,6,0),3)</f>
        <v>3</v>
      </c>
      <c r="R325" s="21" t="str">
        <f>IFERROR(VLOOKUP("47mg LP",Controls!A:K,10,0),"")</f>
        <v>Fisher / ThermoFisher Allentown</v>
      </c>
      <c r="S325" s="41">
        <f t="shared" si="38"/>
        <v>50284</v>
      </c>
      <c r="T325" s="30">
        <f t="shared" si="39"/>
        <v>0</v>
      </c>
      <c r="AB325">
        <f t="shared" ref="AB325:AB388" si="41">SUMIFS($F$4:$F$2331,$B$4:$B$2331,B325,$A$4:$A$2331,"&lt;="&amp;A325)</f>
        <v>1274375.0968383823</v>
      </c>
    </row>
    <row r="326" spans="1:28" ht="13" customHeight="1" x14ac:dyDescent="0.35">
      <c r="A326" s="153">
        <v>50406</v>
      </c>
      <c r="B326" s="36" t="s">
        <v>35</v>
      </c>
      <c r="C326" s="15" t="s">
        <v>28</v>
      </c>
      <c r="D326" s="15" t="s">
        <v>29</v>
      </c>
      <c r="E326" s="30">
        <f>H325</f>
        <v>-1232549.5657407583</v>
      </c>
      <c r="F326" s="37">
        <f>IFERROR(SUMIFS('Demand Inputs'!$ES$5:$ES$202,'Demand Inputs'!$A$5:$A$202,"47mg LP",'Demand Inputs'!$B$5:$B$202,"&lt;&gt;AGGREGATE",'Demand Inputs'!$E$5:$E$202,1),0)</f>
        <v>9130.1829109287028</v>
      </c>
      <c r="G326" s="37">
        <f t="array" ref="G326">IFERROR(SUMPRODUCT(('Production Inputs'!$A:$A="47mg LP")*('Production Inputs'!$B:$B="TOTAL ACTIVE")*'Production Inputs'!$EY:$EY),0)</f>
        <v>0</v>
      </c>
      <c r="H326" s="30">
        <f t="shared" si="35"/>
        <v>-1241679.7486516871</v>
      </c>
      <c r="I326" s="30">
        <f ca="1">IFERROR(AVERAGEIF(OFFSET(F326,0,0,MIN(Controls!$B$8,COUNTIF(B326:B$1973,B326)),1),"&gt;"&amp;0),0)</f>
        <v>5542.1754015352763</v>
      </c>
      <c r="J326" s="38">
        <f t="shared" ca="1" si="36"/>
        <v>-224.04194358549546</v>
      </c>
      <c r="K326" s="30">
        <f t="shared" ca="1" si="40"/>
        <v>1290000</v>
      </c>
      <c r="L326" t="str">
        <f t="shared" si="37"/>
        <v>High</v>
      </c>
      <c r="M326" s="39">
        <f>IFERROR(VLOOKUP("47mg LP",Controls!A:I,7,0),6)</f>
        <v>9</v>
      </c>
      <c r="N326" s="39">
        <f>IFERROR(VLOOKUP("47mg LP",Controls!A:I,8,0),3)</f>
        <v>8</v>
      </c>
      <c r="O326" s="39">
        <f>IFERROR(VLOOKUP("47mg LP",Controls!A:I,9,0),18)</f>
        <v>18</v>
      </c>
      <c r="P326" s="40">
        <f>IFERROR(VLOOKUP("47mg LP",Controls!A:J,5,0),0)</f>
        <v>10000</v>
      </c>
      <c r="Q326" s="39">
        <f>IFERROR(VLOOKUP("47mg LP",Controls!A:J,6,0),3)</f>
        <v>3</v>
      </c>
      <c r="R326" s="21" t="str">
        <f>IFERROR(VLOOKUP("47mg LP",Controls!A:K,10,0),"")</f>
        <v>Fisher / ThermoFisher Allentown</v>
      </c>
      <c r="S326" s="41">
        <f t="shared" si="38"/>
        <v>50314</v>
      </c>
      <c r="T326" s="30">
        <f t="shared" si="39"/>
        <v>0</v>
      </c>
      <c r="AB326">
        <f t="shared" si="41"/>
        <v>1283505.279749311</v>
      </c>
    </row>
    <row r="327" spans="1:28" ht="13" customHeight="1" x14ac:dyDescent="0.35">
      <c r="A327" s="153">
        <v>50437</v>
      </c>
      <c r="B327" s="36" t="s">
        <v>35</v>
      </c>
      <c r="C327" s="15" t="s">
        <v>28</v>
      </c>
      <c r="D327" s="15" t="s">
        <v>29</v>
      </c>
      <c r="E327" s="30">
        <f>H326</f>
        <v>-1241679.7486516871</v>
      </c>
      <c r="F327" s="37">
        <f>IFERROR(SUMIFS('Demand Inputs'!$ET$5:$ET$202,'Demand Inputs'!$A$5:$A$202,"47mg LP",'Demand Inputs'!$B$5:$B$202,"&lt;&gt;AGGREGATE",'Demand Inputs'!$E$5:$E$202,1),0)</f>
        <v>5669.7933500128183</v>
      </c>
      <c r="G327" s="37">
        <f t="array" ref="G327">IFERROR(SUMPRODUCT(('Production Inputs'!$A:$A="47mg LP")*('Production Inputs'!$B:$B="TOTAL ACTIVE")*'Production Inputs'!$EZ:$EZ),0)</f>
        <v>0</v>
      </c>
      <c r="H327" s="30">
        <f t="shared" si="35"/>
        <v>-1247349.5420016998</v>
      </c>
      <c r="I327" s="30">
        <f ca="1">IFERROR(AVERAGEIF(OFFSET(F327,0,0,MIN(Controls!$B$8,COUNTIF(B327:B$1973,B327)),1),"&gt;"&amp;0),0)</f>
        <v>4866.0493056932437</v>
      </c>
      <c r="J327" s="38">
        <f t="shared" ca="1" si="36"/>
        <v>-256.33721806770632</v>
      </c>
      <c r="K327" s="30">
        <f t="shared" ca="1" si="40"/>
        <v>1290000</v>
      </c>
      <c r="L327" t="str">
        <f t="shared" si="37"/>
        <v>High</v>
      </c>
      <c r="M327" s="39">
        <f>IFERROR(VLOOKUP("47mg LP",Controls!A:I,7,0),6)</f>
        <v>9</v>
      </c>
      <c r="N327" s="39">
        <f>IFERROR(VLOOKUP("47mg LP",Controls!A:I,8,0),3)</f>
        <v>8</v>
      </c>
      <c r="O327" s="39">
        <f>IFERROR(VLOOKUP("47mg LP",Controls!A:I,9,0),18)</f>
        <v>18</v>
      </c>
      <c r="P327" s="40">
        <f>IFERROR(VLOOKUP("47mg LP",Controls!A:J,5,0),0)</f>
        <v>10000</v>
      </c>
      <c r="Q327" s="39">
        <f>IFERROR(VLOOKUP("47mg LP",Controls!A:J,6,0),3)</f>
        <v>3</v>
      </c>
      <c r="R327" s="21" t="str">
        <f>IFERROR(VLOOKUP("47mg LP",Controls!A:K,10,0),"")</f>
        <v>Fisher / ThermoFisher Allentown</v>
      </c>
      <c r="S327" s="41">
        <f t="shared" si="38"/>
        <v>50345</v>
      </c>
      <c r="T327" s="30">
        <f t="shared" si="39"/>
        <v>0</v>
      </c>
      <c r="AB327">
        <f t="shared" si="41"/>
        <v>1289175.0730993238</v>
      </c>
    </row>
    <row r="328" spans="1:28" ht="13" customHeight="1" x14ac:dyDescent="0.35">
      <c r="A328" s="153">
        <v>50465</v>
      </c>
      <c r="B328" s="36" t="s">
        <v>35</v>
      </c>
      <c r="C328" s="15" t="s">
        <v>28</v>
      </c>
      <c r="D328" s="15" t="s">
        <v>29</v>
      </c>
      <c r="E328" s="30">
        <f>H327</f>
        <v>-1247349.5420016998</v>
      </c>
      <c r="F328" s="37">
        <f>IFERROR(SUMIFS('Demand Inputs'!$EU$5:$EU$202,'Demand Inputs'!$A$5:$A$202,"47mg LP",'Demand Inputs'!$B$5:$B$202,"&lt;&gt;AGGREGATE",'Demand Inputs'!$E$5:$E$202,1),0)</f>
        <v>5751.7049588416003</v>
      </c>
      <c r="G328" s="37">
        <f t="array" ref="G328">IFERROR(SUMPRODUCT(('Production Inputs'!$A:$A="47mg LP")*('Production Inputs'!$B:$B="TOTAL ACTIVE")*'Production Inputs'!$FA:$FA),0)</f>
        <v>0</v>
      </c>
      <c r="H328" s="30">
        <f t="shared" si="35"/>
        <v>-1253101.2469605415</v>
      </c>
      <c r="I328" s="30">
        <f ca="1">IFERROR(AVERAGEIF(OFFSET(F328,0,0,MIN(Controls!$B$8,COUNTIF(B328:B$1973,B328)),1),"&gt;"&amp;0),0)</f>
        <v>4518.4506887454518</v>
      </c>
      <c r="J328" s="38">
        <f t="shared" ca="1" si="36"/>
        <v>-277.32984894175422</v>
      </c>
      <c r="K328" s="30">
        <f t="shared" ca="1" si="40"/>
        <v>1290000</v>
      </c>
      <c r="L328" t="str">
        <f t="shared" si="37"/>
        <v>High</v>
      </c>
      <c r="M328" s="39">
        <f>IFERROR(VLOOKUP("47mg LP",Controls!A:I,7,0),6)</f>
        <v>9</v>
      </c>
      <c r="N328" s="39">
        <f>IFERROR(VLOOKUP("47mg LP",Controls!A:I,8,0),3)</f>
        <v>8</v>
      </c>
      <c r="O328" s="39">
        <f>IFERROR(VLOOKUP("47mg LP",Controls!A:I,9,0),18)</f>
        <v>18</v>
      </c>
      <c r="P328" s="40">
        <f>IFERROR(VLOOKUP("47mg LP",Controls!A:J,5,0),0)</f>
        <v>10000</v>
      </c>
      <c r="Q328" s="39">
        <f>IFERROR(VLOOKUP("47mg LP",Controls!A:J,6,0),3)</f>
        <v>3</v>
      </c>
      <c r="R328" s="21" t="str">
        <f>IFERROR(VLOOKUP("47mg LP",Controls!A:K,10,0),"")</f>
        <v>Fisher / ThermoFisher Allentown</v>
      </c>
      <c r="S328" s="41">
        <f t="shared" si="38"/>
        <v>50375</v>
      </c>
      <c r="T328" s="30">
        <f t="shared" si="39"/>
        <v>0</v>
      </c>
      <c r="AB328">
        <f t="shared" si="41"/>
        <v>1294926.7780581655</v>
      </c>
    </row>
    <row r="329" spans="1:28" ht="13" customHeight="1" x14ac:dyDescent="0.35">
      <c r="A329" s="153">
        <v>50496</v>
      </c>
      <c r="B329" s="36" t="s">
        <v>35</v>
      </c>
      <c r="C329" s="15" t="s">
        <v>28</v>
      </c>
      <c r="D329" s="15" t="s">
        <v>29</v>
      </c>
      <c r="E329" s="30">
        <f>H328</f>
        <v>-1253101.2469605415</v>
      </c>
      <c r="F329" s="37">
        <f>IFERROR(SUMIFS('Demand Inputs'!$EV$5:$EV$202,'Demand Inputs'!$A$5:$A$202,"47mg LP",'Demand Inputs'!$B$5:$B$202,"&lt;&gt;AGGREGATE",'Demand Inputs'!$E$5:$E$202,1),0)</f>
        <v>7312.5441772008708</v>
      </c>
      <c r="G329" s="37">
        <f t="array" ref="G329">IFERROR(SUMPRODUCT(('Production Inputs'!$A:$A="47mg LP")*('Production Inputs'!$B:$B="TOTAL ACTIVE")*'Production Inputs'!$FB:$FB),0)</f>
        <v>0</v>
      </c>
      <c r="H329" s="30">
        <f t="shared" si="35"/>
        <v>-1260413.7911377423</v>
      </c>
      <c r="I329" s="30">
        <f ca="1">IFERROR(AVERAGEIF(OFFSET(F329,0,0,MIN(Controls!$B$8,COUNTIF(B329:B$1973,B329)),1),"&gt;"&amp;0),0)</f>
        <v>4136.8639938660745</v>
      </c>
      <c r="J329" s="38">
        <f t="shared" ca="1" si="36"/>
        <v>-304.67856642292759</v>
      </c>
      <c r="K329" s="30">
        <f t="shared" ca="1" si="40"/>
        <v>1300000</v>
      </c>
      <c r="L329" t="str">
        <f t="shared" si="37"/>
        <v>High</v>
      </c>
      <c r="M329" s="39">
        <f>IFERROR(VLOOKUP("47mg LP",Controls!A:I,7,0),6)</f>
        <v>9</v>
      </c>
      <c r="N329" s="39">
        <f>IFERROR(VLOOKUP("47mg LP",Controls!A:I,8,0),3)</f>
        <v>8</v>
      </c>
      <c r="O329" s="39">
        <f>IFERROR(VLOOKUP("47mg LP",Controls!A:I,9,0),18)</f>
        <v>18</v>
      </c>
      <c r="P329" s="40">
        <f>IFERROR(VLOOKUP("47mg LP",Controls!A:J,5,0),0)</f>
        <v>10000</v>
      </c>
      <c r="Q329" s="39">
        <f>IFERROR(VLOOKUP("47mg LP",Controls!A:J,6,0),3)</f>
        <v>3</v>
      </c>
      <c r="R329" s="21" t="str">
        <f>IFERROR(VLOOKUP("47mg LP",Controls!A:K,10,0),"")</f>
        <v>Fisher / ThermoFisher Allentown</v>
      </c>
      <c r="S329" s="41">
        <f t="shared" si="38"/>
        <v>50406</v>
      </c>
      <c r="T329" s="30">
        <f t="shared" si="39"/>
        <v>0</v>
      </c>
      <c r="AB329">
        <f t="shared" si="41"/>
        <v>1302239.3222353663</v>
      </c>
    </row>
    <row r="330" spans="1:28" ht="13" customHeight="1" x14ac:dyDescent="0.35">
      <c r="A330" s="153">
        <v>50526</v>
      </c>
      <c r="B330" s="36" t="s">
        <v>35</v>
      </c>
      <c r="C330" s="15" t="s">
        <v>28</v>
      </c>
      <c r="D330" s="15" t="s">
        <v>29</v>
      </c>
      <c r="E330" s="30">
        <f>H329</f>
        <v>-1260413.7911377423</v>
      </c>
      <c r="F330" s="37">
        <f>IFERROR(SUMIFS('Demand Inputs'!$EW$5:$EW$202,'Demand Inputs'!$A$5:$A$202,"47mg LP",'Demand Inputs'!$B$5:$B$202,"&lt;&gt;AGGREGATE",'Demand Inputs'!$E$5:$E$202,1),0)</f>
        <v>5484.0905506728177</v>
      </c>
      <c r="G330" s="37">
        <f t="array" ref="G330">IFERROR(SUMPRODUCT(('Production Inputs'!$A:$A="47mg LP")*('Production Inputs'!$B:$B="TOTAL ACTIVE")*'Production Inputs'!$FC:$FC),0)</f>
        <v>0</v>
      </c>
      <c r="H330" s="30">
        <f t="shared" si="35"/>
        <v>-1265897.8816884151</v>
      </c>
      <c r="I330" s="30">
        <f ca="1">IFERROR(AVERAGEIF(OFFSET(F330,0,0,MIN(Controls!$B$8,COUNTIF(B330:B$1973,B330)),1),"&gt;"&amp;0),0)</f>
        <v>3593.8717884876073</v>
      </c>
      <c r="J330" s="38">
        <f t="shared" ca="1" si="36"/>
        <v>-352.23790835931214</v>
      </c>
      <c r="K330" s="30">
        <f t="shared" ca="1" si="40"/>
        <v>1300000</v>
      </c>
      <c r="L330" t="str">
        <f t="shared" si="37"/>
        <v>High</v>
      </c>
      <c r="M330" s="39">
        <f>IFERROR(VLOOKUP("47mg LP",Controls!A:I,7,0),6)</f>
        <v>9</v>
      </c>
      <c r="N330" s="39">
        <f>IFERROR(VLOOKUP("47mg LP",Controls!A:I,8,0),3)</f>
        <v>8</v>
      </c>
      <c r="O330" s="39">
        <f>IFERROR(VLOOKUP("47mg LP",Controls!A:I,9,0),18)</f>
        <v>18</v>
      </c>
      <c r="P330" s="40">
        <f>IFERROR(VLOOKUP("47mg LP",Controls!A:J,5,0),0)</f>
        <v>10000</v>
      </c>
      <c r="Q330" s="39">
        <f>IFERROR(VLOOKUP("47mg LP",Controls!A:J,6,0),3)</f>
        <v>3</v>
      </c>
      <c r="R330" s="21" t="str">
        <f>IFERROR(VLOOKUP("47mg LP",Controls!A:K,10,0),"")</f>
        <v>Fisher / ThermoFisher Allentown</v>
      </c>
      <c r="S330" s="41">
        <f t="shared" si="38"/>
        <v>50437</v>
      </c>
      <c r="T330" s="30">
        <f t="shared" si="39"/>
        <v>0</v>
      </c>
      <c r="AB330">
        <f t="shared" si="41"/>
        <v>1307723.4127860391</v>
      </c>
    </row>
    <row r="331" spans="1:28" ht="13" customHeight="1" x14ac:dyDescent="0.35">
      <c r="A331" s="153">
        <v>50557</v>
      </c>
      <c r="B331" s="36" t="s">
        <v>35</v>
      </c>
      <c r="C331" s="15" t="s">
        <v>28</v>
      </c>
      <c r="D331" s="15" t="s">
        <v>29</v>
      </c>
      <c r="E331" s="30">
        <f>H330</f>
        <v>-1265897.8816884151</v>
      </c>
      <c r="F331" s="37">
        <f>IFERROR(SUMIFS('Demand Inputs'!$EX$5:$EX$202,'Demand Inputs'!$A$5:$A$202,"47mg LP",'Demand Inputs'!$B$5:$B$202,"&lt;&gt;AGGREGATE",'Demand Inputs'!$E$5:$E$202,1),0)</f>
        <v>4254.3173433266165</v>
      </c>
      <c r="G331" s="37">
        <f t="array" ref="G331">IFERROR(SUMPRODUCT(('Production Inputs'!$A:$A="47mg LP")*('Production Inputs'!$B:$B="TOTAL ACTIVE")*'Production Inputs'!$FD:$FD),0)</f>
        <v>0</v>
      </c>
      <c r="H331" s="30">
        <f t="shared" si="35"/>
        <v>-1270152.1990317416</v>
      </c>
      <c r="I331" s="30">
        <f ca="1">IFERROR(AVERAGEIF(OFFSET(F331,0,0,MIN(Controls!$B$8,COUNTIF(B331:B$1973,B331)),1),"&gt;"&amp;0),0)</f>
        <v>3146.8620604958282</v>
      </c>
      <c r="J331" s="38">
        <f t="shared" ca="1" si="36"/>
        <v>-403.62499995681821</v>
      </c>
      <c r="K331" s="30">
        <f t="shared" ca="1" si="40"/>
        <v>1300000</v>
      </c>
      <c r="L331" t="str">
        <f t="shared" si="37"/>
        <v>High</v>
      </c>
      <c r="M331" s="39">
        <f>IFERROR(VLOOKUP("47mg LP",Controls!A:I,7,0),6)</f>
        <v>9</v>
      </c>
      <c r="N331" s="39">
        <f>IFERROR(VLOOKUP("47mg LP",Controls!A:I,8,0),3)</f>
        <v>8</v>
      </c>
      <c r="O331" s="39">
        <f>IFERROR(VLOOKUP("47mg LP",Controls!A:I,9,0),18)</f>
        <v>18</v>
      </c>
      <c r="P331" s="40">
        <f>IFERROR(VLOOKUP("47mg LP",Controls!A:J,5,0),0)</f>
        <v>10000</v>
      </c>
      <c r="Q331" s="39">
        <f>IFERROR(VLOOKUP("47mg LP",Controls!A:J,6,0),3)</f>
        <v>3</v>
      </c>
      <c r="R331" s="21" t="str">
        <f>IFERROR(VLOOKUP("47mg LP",Controls!A:K,10,0),"")</f>
        <v>Fisher / ThermoFisher Allentown</v>
      </c>
      <c r="S331" s="41">
        <f t="shared" si="38"/>
        <v>50465</v>
      </c>
      <c r="T331" s="30">
        <f t="shared" si="39"/>
        <v>0</v>
      </c>
      <c r="AB331">
        <f t="shared" si="41"/>
        <v>1311977.7301293656</v>
      </c>
    </row>
    <row r="332" spans="1:28" ht="13" customHeight="1" x14ac:dyDescent="0.35">
      <c r="A332" s="153">
        <v>50587</v>
      </c>
      <c r="B332" s="36" t="s">
        <v>35</v>
      </c>
      <c r="C332" s="15" t="s">
        <v>28</v>
      </c>
      <c r="D332" s="15" t="s">
        <v>29</v>
      </c>
      <c r="E332" s="30">
        <f>H331</f>
        <v>-1270152.1990317416</v>
      </c>
      <c r="F332" s="37">
        <f>IFERROR(SUMIFS('Demand Inputs'!$EY$5:$EY$202,'Demand Inputs'!$A$5:$A$202,"47mg LP",'Demand Inputs'!$B$5:$B$202,"&lt;&gt;AGGREGATE",'Demand Inputs'!$E$5:$E$202,1),0)</f>
        <v>4510.9043530665185</v>
      </c>
      <c r="G332" s="37">
        <f t="array" ref="G332">IFERROR(SUMPRODUCT(('Production Inputs'!$A:$A="47mg LP")*('Production Inputs'!$B:$B="TOTAL ACTIVE")*'Production Inputs'!$FE:$FE),0)</f>
        <v>0</v>
      </c>
      <c r="H332" s="30">
        <f t="shared" si="35"/>
        <v>-1274663.1033848082</v>
      </c>
      <c r="I332" s="30">
        <f ca="1">IFERROR(AVERAGEIF(OFFSET(F332,0,0,MIN(Controls!$B$8,COUNTIF(B332:B$1973,B332)),1),"&gt;"&amp;0),0)</f>
        <v>2831.7195498669012</v>
      </c>
      <c r="J332" s="38">
        <f t="shared" ca="1" si="36"/>
        <v>-450.13748040293075</v>
      </c>
      <c r="K332" s="30">
        <f t="shared" ca="1" si="40"/>
        <v>1300000</v>
      </c>
      <c r="L332" t="str">
        <f t="shared" si="37"/>
        <v>High</v>
      </c>
      <c r="M332" s="39">
        <f>IFERROR(VLOOKUP("47mg LP",Controls!A:I,7,0),6)</f>
        <v>9</v>
      </c>
      <c r="N332" s="39">
        <f>IFERROR(VLOOKUP("47mg LP",Controls!A:I,8,0),3)</f>
        <v>8</v>
      </c>
      <c r="O332" s="39">
        <f>IFERROR(VLOOKUP("47mg LP",Controls!A:I,9,0),18)</f>
        <v>18</v>
      </c>
      <c r="P332" s="40">
        <f>IFERROR(VLOOKUP("47mg LP",Controls!A:J,5,0),0)</f>
        <v>10000</v>
      </c>
      <c r="Q332" s="39">
        <f>IFERROR(VLOOKUP("47mg LP",Controls!A:J,6,0),3)</f>
        <v>3</v>
      </c>
      <c r="R332" s="21" t="str">
        <f>IFERROR(VLOOKUP("47mg LP",Controls!A:K,10,0),"")</f>
        <v>Fisher / ThermoFisher Allentown</v>
      </c>
      <c r="S332" s="41">
        <f t="shared" si="38"/>
        <v>50496</v>
      </c>
      <c r="T332" s="30">
        <f t="shared" si="39"/>
        <v>0</v>
      </c>
      <c r="AB332">
        <f t="shared" si="41"/>
        <v>1316488.6344824322</v>
      </c>
    </row>
    <row r="333" spans="1:28" ht="13" customHeight="1" x14ac:dyDescent="0.35">
      <c r="A333" s="153">
        <v>50618</v>
      </c>
      <c r="B333" s="36" t="s">
        <v>35</v>
      </c>
      <c r="C333" s="15" t="s">
        <v>28</v>
      </c>
      <c r="D333" s="15" t="s">
        <v>29</v>
      </c>
      <c r="E333" s="30">
        <f>H332</f>
        <v>-1274663.1033848082</v>
      </c>
      <c r="F333" s="37">
        <f>IFERROR(SUMIFS('Demand Inputs'!$EZ$5:$EZ$202,'Demand Inputs'!$A$5:$A$202,"47mg LP",'Demand Inputs'!$B$5:$B$202,"&lt;&gt;AGGREGATE",'Demand Inputs'!$E$5:$E$202,1),0)</f>
        <v>3922.937834627146</v>
      </c>
      <c r="G333" s="37">
        <f t="array" ref="G333">IFERROR(SUMPRODUCT(('Production Inputs'!$A:$A="47mg LP")*('Production Inputs'!$B:$B="TOTAL ACTIVE")*'Production Inputs'!$FF:$FF),0)</f>
        <v>0</v>
      </c>
      <c r="H333" s="30">
        <f t="shared" si="35"/>
        <v>-1278586.0412194354</v>
      </c>
      <c r="I333" s="30">
        <f ca="1">IFERROR(AVERAGEIF(OFFSET(F333,0,0,MIN(Controls!$B$8,COUNTIF(B333:B$1973,B333)),1),"&gt;"&amp;0),0)</f>
        <v>2520.7902094437268</v>
      </c>
      <c r="J333" s="38">
        <f t="shared" ca="1" si="36"/>
        <v>-507.21636272206337</v>
      </c>
      <c r="K333" s="30">
        <f t="shared" ca="1" si="40"/>
        <v>1300000</v>
      </c>
      <c r="L333" t="str">
        <f t="shared" si="37"/>
        <v>High</v>
      </c>
      <c r="M333" s="39">
        <f>IFERROR(VLOOKUP("47mg LP",Controls!A:I,7,0),6)</f>
        <v>9</v>
      </c>
      <c r="N333" s="39">
        <f>IFERROR(VLOOKUP("47mg LP",Controls!A:I,8,0),3)</f>
        <v>8</v>
      </c>
      <c r="O333" s="39">
        <f>IFERROR(VLOOKUP("47mg LP",Controls!A:I,9,0),18)</f>
        <v>18</v>
      </c>
      <c r="P333" s="40">
        <f>IFERROR(VLOOKUP("47mg LP",Controls!A:J,5,0),0)</f>
        <v>10000</v>
      </c>
      <c r="Q333" s="39">
        <f>IFERROR(VLOOKUP("47mg LP",Controls!A:J,6,0),3)</f>
        <v>3</v>
      </c>
      <c r="R333" s="21" t="str">
        <f>IFERROR(VLOOKUP("47mg LP",Controls!A:K,10,0),"")</f>
        <v>Fisher / ThermoFisher Allentown</v>
      </c>
      <c r="S333" s="41">
        <f t="shared" si="38"/>
        <v>50526</v>
      </c>
      <c r="T333" s="30">
        <f t="shared" si="39"/>
        <v>0</v>
      </c>
      <c r="AB333">
        <f t="shared" si="41"/>
        <v>1320411.5723170594</v>
      </c>
    </row>
    <row r="334" spans="1:28" ht="13" customHeight="1" x14ac:dyDescent="0.35">
      <c r="A334" s="153">
        <v>50649</v>
      </c>
      <c r="B334" s="36" t="s">
        <v>35</v>
      </c>
      <c r="C334" s="15" t="s">
        <v>28</v>
      </c>
      <c r="D334" s="15" t="s">
        <v>29</v>
      </c>
      <c r="E334" s="30">
        <f>H333</f>
        <v>-1278586.0412194354</v>
      </c>
      <c r="F334" s="37">
        <f>IFERROR(SUMIFS('Demand Inputs'!$FA$5:$FA$202,'Demand Inputs'!$A$5:$A$202,"47mg LP",'Demand Inputs'!$B$5:$B$202,"&lt;&gt;AGGREGATE",'Demand Inputs'!$E$5:$E$202,1),0)</f>
        <v>3843.1031351403908</v>
      </c>
      <c r="G334" s="37">
        <f t="array" ref="G334">IFERROR(SUMPRODUCT(('Production Inputs'!$A:$A="47mg LP")*('Production Inputs'!$B:$B="TOTAL ACTIVE")*'Production Inputs'!$FG:$FG),0)</f>
        <v>0</v>
      </c>
      <c r="H334" s="30">
        <f t="shared" si="35"/>
        <v>-1282429.1443545758</v>
      </c>
      <c r="I334" s="30">
        <f ca="1">IFERROR(AVERAGEIF(OFFSET(F334,0,0,MIN(Controls!$B$8,COUNTIF(B334:B$1973,B334)),1),"&gt;"&amp;0),0)</f>
        <v>2202.5819481494223</v>
      </c>
      <c r="J334" s="38">
        <f t="shared" ca="1" si="36"/>
        <v>-582.239015184908</v>
      </c>
      <c r="K334" s="30">
        <f t="shared" ca="1" si="40"/>
        <v>1300000</v>
      </c>
      <c r="L334" t="str">
        <f t="shared" si="37"/>
        <v>High</v>
      </c>
      <c r="M334" s="39">
        <f>IFERROR(VLOOKUP("47mg LP",Controls!A:I,7,0),6)</f>
        <v>9</v>
      </c>
      <c r="N334" s="39">
        <f>IFERROR(VLOOKUP("47mg LP",Controls!A:I,8,0),3)</f>
        <v>8</v>
      </c>
      <c r="O334" s="39">
        <f>IFERROR(VLOOKUP("47mg LP",Controls!A:I,9,0),18)</f>
        <v>18</v>
      </c>
      <c r="P334" s="40">
        <f>IFERROR(VLOOKUP("47mg LP",Controls!A:J,5,0),0)</f>
        <v>10000</v>
      </c>
      <c r="Q334" s="39">
        <f>IFERROR(VLOOKUP("47mg LP",Controls!A:J,6,0),3)</f>
        <v>3</v>
      </c>
      <c r="R334" s="21" t="str">
        <f>IFERROR(VLOOKUP("47mg LP",Controls!A:K,10,0),"")</f>
        <v>Fisher / ThermoFisher Allentown</v>
      </c>
      <c r="S334" s="41">
        <f t="shared" si="38"/>
        <v>50557</v>
      </c>
      <c r="T334" s="30">
        <f t="shared" si="39"/>
        <v>0</v>
      </c>
      <c r="AB334">
        <f t="shared" si="41"/>
        <v>1324254.6754521998</v>
      </c>
    </row>
    <row r="335" spans="1:28" ht="13" customHeight="1" x14ac:dyDescent="0.35">
      <c r="A335" s="153">
        <v>50679</v>
      </c>
      <c r="B335" s="36" t="s">
        <v>35</v>
      </c>
      <c r="C335" s="15" t="s">
        <v>28</v>
      </c>
      <c r="D335" s="15" t="s">
        <v>29</v>
      </c>
      <c r="E335" s="30">
        <f>H334</f>
        <v>-1282429.1443545758</v>
      </c>
      <c r="F335" s="37">
        <f>IFERROR(SUMIFS('Demand Inputs'!$FB$5:$FB$202,'Demand Inputs'!$A$5:$A$202,"47mg LP",'Demand Inputs'!$B$5:$B$202,"&lt;&gt;AGGREGATE",'Demand Inputs'!$E$5:$E$202,1),0)</f>
        <v>3045.048048350413</v>
      </c>
      <c r="G335" s="37">
        <f t="array" ref="G335">IFERROR(SUMPRODUCT(('Production Inputs'!$A:$A="47mg LP")*('Production Inputs'!$B:$B="TOTAL ACTIVE")*'Production Inputs'!$FH:$FH),0)</f>
        <v>0</v>
      </c>
      <c r="H335" s="30">
        <f t="shared" si="35"/>
        <v>-1285474.1924029263</v>
      </c>
      <c r="I335" s="30">
        <f ca="1">IFERROR(AVERAGEIF(OFFSET(F335,0,0,MIN(Controls!$B$8,COUNTIF(B335:B$1973,B335)),1),"&gt;"&amp;0),0)</f>
        <v>1880.2766779267279</v>
      </c>
      <c r="J335" s="38">
        <f t="shared" ca="1" si="36"/>
        <v>-683.66225433394413</v>
      </c>
      <c r="K335" s="30">
        <f t="shared" ca="1" si="40"/>
        <v>1300000</v>
      </c>
      <c r="L335" t="str">
        <f t="shared" si="37"/>
        <v>High</v>
      </c>
      <c r="M335" s="39">
        <f>IFERROR(VLOOKUP("47mg LP",Controls!A:I,7,0),6)</f>
        <v>9</v>
      </c>
      <c r="N335" s="39">
        <f>IFERROR(VLOOKUP("47mg LP",Controls!A:I,8,0),3)</f>
        <v>8</v>
      </c>
      <c r="O335" s="39">
        <f>IFERROR(VLOOKUP("47mg LP",Controls!A:I,9,0),18)</f>
        <v>18</v>
      </c>
      <c r="P335" s="40">
        <f>IFERROR(VLOOKUP("47mg LP",Controls!A:J,5,0),0)</f>
        <v>10000</v>
      </c>
      <c r="Q335" s="39">
        <f>IFERROR(VLOOKUP("47mg LP",Controls!A:J,6,0),3)</f>
        <v>3</v>
      </c>
      <c r="R335" s="21" t="str">
        <f>IFERROR(VLOOKUP("47mg LP",Controls!A:K,10,0),"")</f>
        <v>Fisher / ThermoFisher Allentown</v>
      </c>
      <c r="S335" s="41">
        <f t="shared" si="38"/>
        <v>50587</v>
      </c>
      <c r="T335" s="30">
        <f t="shared" si="39"/>
        <v>0</v>
      </c>
      <c r="AB335">
        <f t="shared" si="41"/>
        <v>1327299.7235005503</v>
      </c>
    </row>
    <row r="336" spans="1:28" ht="13" customHeight="1" x14ac:dyDescent="0.35">
      <c r="A336" s="153">
        <v>50710</v>
      </c>
      <c r="B336" s="36" t="s">
        <v>35</v>
      </c>
      <c r="C336" s="15" t="s">
        <v>28</v>
      </c>
      <c r="D336" s="15" t="s">
        <v>29</v>
      </c>
      <c r="E336" s="30">
        <f>H335</f>
        <v>-1285474.1924029263</v>
      </c>
      <c r="F336" s="37">
        <f>IFERROR(SUMIFS('Demand Inputs'!$FC$5:$FC$202,'Demand Inputs'!$A$5:$A$202,"47mg LP",'Demand Inputs'!$B$5:$B$202,"&lt;&gt;AGGREGATE",'Demand Inputs'!$E$5:$E$202,1),0)</f>
        <v>2541.4057974826815</v>
      </c>
      <c r="G336" s="37">
        <f t="array" ref="G336">IFERROR(SUMPRODUCT(('Production Inputs'!$A:$A="47mg LP")*('Production Inputs'!$B:$B="TOTAL ACTIVE")*'Production Inputs'!$FI:$FI),0)</f>
        <v>0</v>
      </c>
      <c r="H336" s="30">
        <f t="shared" si="35"/>
        <v>-1288015.598200409</v>
      </c>
      <c r="I336" s="30">
        <f ca="1">IFERROR(AVERAGEIF(OFFSET(F336,0,0,MIN(Controls!$B$8,COUNTIF(B336:B$1973,B336)),1),"&gt;"&amp;0),0)</f>
        <v>1625.6312550583641</v>
      </c>
      <c r="J336" s="38">
        <f t="shared" ca="1" si="36"/>
        <v>-792.31719628456949</v>
      </c>
      <c r="K336" s="30">
        <f t="shared" ca="1" si="40"/>
        <v>1300000</v>
      </c>
      <c r="L336" t="str">
        <f t="shared" si="37"/>
        <v>High</v>
      </c>
      <c r="M336" s="39">
        <f>IFERROR(VLOOKUP("47mg LP",Controls!A:I,7,0),6)</f>
        <v>9</v>
      </c>
      <c r="N336" s="39">
        <f>IFERROR(VLOOKUP("47mg LP",Controls!A:I,8,0),3)</f>
        <v>8</v>
      </c>
      <c r="O336" s="39">
        <f>IFERROR(VLOOKUP("47mg LP",Controls!A:I,9,0),18)</f>
        <v>18</v>
      </c>
      <c r="P336" s="40">
        <f>IFERROR(VLOOKUP("47mg LP",Controls!A:J,5,0),0)</f>
        <v>10000</v>
      </c>
      <c r="Q336" s="39">
        <f>IFERROR(VLOOKUP("47mg LP",Controls!A:J,6,0),3)</f>
        <v>3</v>
      </c>
      <c r="R336" s="21" t="str">
        <f>IFERROR(VLOOKUP("47mg LP",Controls!A:K,10,0),"")</f>
        <v>Fisher / ThermoFisher Allentown</v>
      </c>
      <c r="S336" s="41">
        <f t="shared" si="38"/>
        <v>50618</v>
      </c>
      <c r="T336" s="30">
        <f t="shared" si="39"/>
        <v>0</v>
      </c>
      <c r="AB336">
        <f t="shared" si="41"/>
        <v>1329841.129298033</v>
      </c>
    </row>
    <row r="337" spans="1:28" ht="13" customHeight="1" x14ac:dyDescent="0.35">
      <c r="A337" s="153">
        <v>50740</v>
      </c>
      <c r="B337" s="36" t="s">
        <v>35</v>
      </c>
      <c r="C337" s="15" t="s">
        <v>28</v>
      </c>
      <c r="D337" s="15" t="s">
        <v>29</v>
      </c>
      <c r="E337" s="30">
        <f>H336</f>
        <v>-1288015.598200409</v>
      </c>
      <c r="F337" s="37">
        <f>IFERROR(SUMIFS('Demand Inputs'!$FD$5:$FD$202,'Demand Inputs'!$A$5:$A$202,"47mg LP",'Demand Inputs'!$B$5:$B$202,"&lt;&gt;AGGREGATE",'Demand Inputs'!$E$5:$E$202,1),0)</f>
        <v>2317.424704927213</v>
      </c>
      <c r="G337" s="37">
        <f t="array" ref="G337">IFERROR(SUMPRODUCT(('Production Inputs'!$A:$A="47mg LP")*('Production Inputs'!$B:$B="TOTAL ACTIVE")*'Production Inputs'!$FJ:$FJ),0)</f>
        <v>0</v>
      </c>
      <c r="H337" s="30">
        <f t="shared" si="35"/>
        <v>-1290333.0229053362</v>
      </c>
      <c r="I337" s="30">
        <f ca="1">IFERROR(AVERAGEIF(OFFSET(F337,0,0,MIN(Controls!$B$8,COUNTIF(B337:B$1973,B337)),1),"&gt;"&amp;0),0)</f>
        <v>1400.8921917885514</v>
      </c>
      <c r="J337" s="38">
        <f t="shared" ca="1" si="36"/>
        <v>-921.07945955351374</v>
      </c>
      <c r="K337" s="30">
        <f t="shared" ca="1" si="40"/>
        <v>1300000</v>
      </c>
      <c r="L337" t="str">
        <f t="shared" si="37"/>
        <v>High</v>
      </c>
      <c r="M337" s="39">
        <f>IFERROR(VLOOKUP("47mg LP",Controls!A:I,7,0),6)</f>
        <v>9</v>
      </c>
      <c r="N337" s="39">
        <f>IFERROR(VLOOKUP("47mg LP",Controls!A:I,8,0),3)</f>
        <v>8</v>
      </c>
      <c r="O337" s="39">
        <f>IFERROR(VLOOKUP("47mg LP",Controls!A:I,9,0),18)</f>
        <v>18</v>
      </c>
      <c r="P337" s="40">
        <f>IFERROR(VLOOKUP("47mg LP",Controls!A:J,5,0),0)</f>
        <v>10000</v>
      </c>
      <c r="Q337" s="39">
        <f>IFERROR(VLOOKUP("47mg LP",Controls!A:J,6,0),3)</f>
        <v>3</v>
      </c>
      <c r="R337" s="21" t="str">
        <f>IFERROR(VLOOKUP("47mg LP",Controls!A:K,10,0),"")</f>
        <v>Fisher / ThermoFisher Allentown</v>
      </c>
      <c r="S337" s="41">
        <f t="shared" si="38"/>
        <v>50649</v>
      </c>
      <c r="T337" s="30">
        <f t="shared" si="39"/>
        <v>0</v>
      </c>
      <c r="AB337">
        <f t="shared" si="41"/>
        <v>1332158.5540029602</v>
      </c>
    </row>
    <row r="338" spans="1:28" ht="13" customHeight="1" x14ac:dyDescent="0.35">
      <c r="A338" s="153">
        <v>50771</v>
      </c>
      <c r="B338" s="36" t="s">
        <v>35</v>
      </c>
      <c r="C338" s="15" t="s">
        <v>28</v>
      </c>
      <c r="D338" s="15" t="s">
        <v>29</v>
      </c>
      <c r="E338" s="30">
        <f>H337</f>
        <v>-1290333.0229053362</v>
      </c>
      <c r="F338" s="37">
        <f>IFERROR(SUMIFS('Demand Inputs'!$FE$5:$FE$202,'Demand Inputs'!$A$5:$A$202,"47mg LP",'Demand Inputs'!$B$5:$B$202,"&lt;&gt;AGGREGATE",'Demand Inputs'!$E$5:$E$202,1),0)</f>
        <v>2425.6143287946657</v>
      </c>
      <c r="G338" s="37">
        <f t="array" ref="G338">IFERROR(SUMPRODUCT(('Production Inputs'!$A:$A="47mg LP")*('Production Inputs'!$B:$B="TOTAL ACTIVE")*'Production Inputs'!$FK:$FK),0)</f>
        <v>0</v>
      </c>
      <c r="H338" s="30">
        <f t="shared" si="35"/>
        <v>-1292758.6372341309</v>
      </c>
      <c r="I338" s="30">
        <f ca="1">IFERROR(AVERAGEIF(OFFSET(F338,0,0,MIN(Controls!$B$8,COUNTIF(B338:B$1973,B338)),1),"&gt;"&amp;0),0)</f>
        <v>1231.0431000060582</v>
      </c>
      <c r="J338" s="38">
        <f t="shared" ca="1" si="36"/>
        <v>-1050.1327185277014</v>
      </c>
      <c r="K338" s="30">
        <f t="shared" ca="1" si="40"/>
        <v>1300000</v>
      </c>
      <c r="L338" t="str">
        <f t="shared" si="37"/>
        <v>High</v>
      </c>
      <c r="M338" s="39">
        <f>IFERROR(VLOOKUP("47mg LP",Controls!A:I,7,0),6)</f>
        <v>9</v>
      </c>
      <c r="N338" s="39">
        <f>IFERROR(VLOOKUP("47mg LP",Controls!A:I,8,0),3)</f>
        <v>8</v>
      </c>
      <c r="O338" s="39">
        <f>IFERROR(VLOOKUP("47mg LP",Controls!A:I,9,0),18)</f>
        <v>18</v>
      </c>
      <c r="P338" s="40">
        <f>IFERROR(VLOOKUP("47mg LP",Controls!A:J,5,0),0)</f>
        <v>10000</v>
      </c>
      <c r="Q338" s="39">
        <f>IFERROR(VLOOKUP("47mg LP",Controls!A:J,6,0),3)</f>
        <v>3</v>
      </c>
      <c r="R338" s="21" t="str">
        <f>IFERROR(VLOOKUP("47mg LP",Controls!A:K,10,0),"")</f>
        <v>Fisher / ThermoFisher Allentown</v>
      </c>
      <c r="S338" s="41">
        <f t="shared" si="38"/>
        <v>50679</v>
      </c>
      <c r="T338" s="30">
        <f t="shared" si="39"/>
        <v>0</v>
      </c>
      <c r="AB338">
        <f t="shared" si="41"/>
        <v>1334584.1683317549</v>
      </c>
    </row>
    <row r="339" spans="1:28" ht="13" customHeight="1" x14ac:dyDescent="0.35">
      <c r="A339" s="153">
        <v>50802</v>
      </c>
      <c r="B339" s="36" t="s">
        <v>35</v>
      </c>
      <c r="C339" s="15" t="s">
        <v>28</v>
      </c>
      <c r="D339" s="15" t="s">
        <v>29</v>
      </c>
      <c r="E339" s="30">
        <f>H338</f>
        <v>-1292758.6372341309</v>
      </c>
      <c r="F339" s="37">
        <f>IFERROR(SUMIFS('Demand Inputs'!$FF$5:$FF$202,'Demand Inputs'!$A$5:$A$202,"47mg LP",'Demand Inputs'!$B$5:$B$202,"&lt;&gt;AGGREGATE",'Demand Inputs'!$E$5:$E$202,1),0)</f>
        <v>1461.002998746809</v>
      </c>
      <c r="G339" s="37">
        <f t="array" ref="G339">IFERROR(SUMPRODUCT(('Production Inputs'!$A:$A="47mg LP")*('Production Inputs'!$B:$B="TOTAL ACTIVE")*'Production Inputs'!$FL:$FL),0)</f>
        <v>0</v>
      </c>
      <c r="H339" s="30">
        <f t="shared" si="35"/>
        <v>-1294219.6402328776</v>
      </c>
      <c r="I339" s="30">
        <f ca="1">IFERROR(AVERAGEIF(OFFSET(F339,0,0,MIN(Controls!$B$8,COUNTIF(B339:B$1973,B339)),1),"&gt;"&amp;0),0)</f>
        <v>1032.0491716308013</v>
      </c>
      <c r="J339" s="38">
        <f t="shared" ca="1" si="36"/>
        <v>-1254.0290480421638</v>
      </c>
      <c r="K339" s="30">
        <f t="shared" ca="1" si="40"/>
        <v>1300000</v>
      </c>
      <c r="L339" t="str">
        <f t="shared" si="37"/>
        <v>High</v>
      </c>
      <c r="M339" s="39">
        <f>IFERROR(VLOOKUP("47mg LP",Controls!A:I,7,0),6)</f>
        <v>9</v>
      </c>
      <c r="N339" s="39">
        <f>IFERROR(VLOOKUP("47mg LP",Controls!A:I,8,0),3)</f>
        <v>8</v>
      </c>
      <c r="O339" s="39">
        <f>IFERROR(VLOOKUP("47mg LP",Controls!A:I,9,0),18)</f>
        <v>18</v>
      </c>
      <c r="P339" s="40">
        <f>IFERROR(VLOOKUP("47mg LP",Controls!A:J,5,0),0)</f>
        <v>10000</v>
      </c>
      <c r="Q339" s="39">
        <f>IFERROR(VLOOKUP("47mg LP",Controls!A:J,6,0),3)</f>
        <v>3</v>
      </c>
      <c r="R339" s="21" t="str">
        <f>IFERROR(VLOOKUP("47mg LP",Controls!A:K,10,0),"")</f>
        <v>Fisher / ThermoFisher Allentown</v>
      </c>
      <c r="S339" s="41">
        <f t="shared" si="38"/>
        <v>50710</v>
      </c>
      <c r="T339" s="30">
        <f t="shared" si="39"/>
        <v>0</v>
      </c>
      <c r="AB339">
        <f t="shared" si="41"/>
        <v>1336045.1713305016</v>
      </c>
    </row>
    <row r="340" spans="1:28" ht="13" customHeight="1" x14ac:dyDescent="0.35">
      <c r="A340" s="153">
        <v>50830</v>
      </c>
      <c r="B340" s="36" t="s">
        <v>35</v>
      </c>
      <c r="C340" s="15" t="s">
        <v>28</v>
      </c>
      <c r="D340" s="15" t="s">
        <v>29</v>
      </c>
      <c r="E340" s="30">
        <f>H339</f>
        <v>-1294219.6402328776</v>
      </c>
      <c r="F340" s="37">
        <f>IFERROR(SUMIFS('Demand Inputs'!$FG$5:$FG$202,'Demand Inputs'!$A$5:$A$202,"47mg LP",'Demand Inputs'!$B$5:$B$202,"&lt;&gt;AGGREGATE",'Demand Inputs'!$E$5:$E$202,1),0)</f>
        <v>1418.0347476662746</v>
      </c>
      <c r="G340" s="37">
        <f t="array" ref="G340">IFERROR(SUMPRODUCT(('Production Inputs'!$A:$A="47mg LP")*('Production Inputs'!$B:$B="TOTAL ACTIVE")*'Production Inputs'!$FM:$FM),0)</f>
        <v>0</v>
      </c>
      <c r="H340" s="30">
        <f t="shared" si="35"/>
        <v>-1295637.6749805438</v>
      </c>
      <c r="I340" s="30">
        <f ca="1">IFERROR(AVERAGEIF(OFFSET(F340,0,0,MIN(Controls!$B$8,COUNTIF(B340:B$1973,B340)),1),"&gt;"&amp;0),0)</f>
        <v>938.19519382878627</v>
      </c>
      <c r="J340" s="38">
        <f t="shared" ca="1" si="36"/>
        <v>-1380.9894609383259</v>
      </c>
      <c r="K340" s="30">
        <f t="shared" ca="1" si="40"/>
        <v>1300000</v>
      </c>
      <c r="L340" t="str">
        <f t="shared" si="37"/>
        <v>High</v>
      </c>
      <c r="M340" s="39">
        <f>IFERROR(VLOOKUP("47mg LP",Controls!A:I,7,0),6)</f>
        <v>9</v>
      </c>
      <c r="N340" s="39">
        <f>IFERROR(VLOOKUP("47mg LP",Controls!A:I,8,0),3)</f>
        <v>8</v>
      </c>
      <c r="O340" s="39">
        <f>IFERROR(VLOOKUP("47mg LP",Controls!A:I,9,0),18)</f>
        <v>18</v>
      </c>
      <c r="P340" s="40">
        <f>IFERROR(VLOOKUP("47mg LP",Controls!A:J,5,0),0)</f>
        <v>10000</v>
      </c>
      <c r="Q340" s="39">
        <f>IFERROR(VLOOKUP("47mg LP",Controls!A:J,6,0),3)</f>
        <v>3</v>
      </c>
      <c r="R340" s="21" t="str">
        <f>IFERROR(VLOOKUP("47mg LP",Controls!A:K,10,0),"")</f>
        <v>Fisher / ThermoFisher Allentown</v>
      </c>
      <c r="S340" s="41">
        <f t="shared" si="38"/>
        <v>50740</v>
      </c>
      <c r="T340" s="30">
        <f t="shared" si="39"/>
        <v>0</v>
      </c>
      <c r="AB340">
        <f t="shared" si="41"/>
        <v>1337463.2060781678</v>
      </c>
    </row>
    <row r="341" spans="1:28" ht="13" customHeight="1" x14ac:dyDescent="0.35">
      <c r="A341" s="153">
        <v>50861</v>
      </c>
      <c r="B341" s="36" t="s">
        <v>35</v>
      </c>
      <c r="C341" s="15" t="s">
        <v>28</v>
      </c>
      <c r="D341" s="15" t="s">
        <v>29</v>
      </c>
      <c r="E341" s="30">
        <f>H340</f>
        <v>-1295637.6749805438</v>
      </c>
      <c r="F341" s="37">
        <f>IFERROR(SUMIFS('Demand Inputs'!$FH$5:$FH$202,'Demand Inputs'!$A$5:$A$202,"47mg LP",'Demand Inputs'!$B$5:$B$202,"&lt;&gt;AGGREGATE",'Demand Inputs'!$E$5:$E$202,1),0)</f>
        <v>1712.5402892579468</v>
      </c>
      <c r="G341" s="37">
        <f t="array" ref="G341">IFERROR(SUMPRODUCT(('Production Inputs'!$A:$A="47mg LP")*('Production Inputs'!$B:$B="TOTAL ACTIVE")*'Production Inputs'!$FN:$FN),0)</f>
        <v>0</v>
      </c>
      <c r="H341" s="30">
        <f t="shared" si="35"/>
        <v>-1297350.2152698017</v>
      </c>
      <c r="I341" s="30">
        <f ca="1">IFERROR(AVERAGEIF(OFFSET(F341,0,0,MIN(Controls!$B$8,COUNTIF(B341:B$1973,B341)),1),"&gt;"&amp;0),0)</f>
        <v>850.95255742658378</v>
      </c>
      <c r="J341" s="38">
        <f t="shared" ca="1" si="36"/>
        <v>-1524.5858349532382</v>
      </c>
      <c r="K341" s="30">
        <f t="shared" ca="1" si="40"/>
        <v>1310000</v>
      </c>
      <c r="L341" t="str">
        <f t="shared" si="37"/>
        <v>High</v>
      </c>
      <c r="M341" s="39">
        <f>IFERROR(VLOOKUP("47mg LP",Controls!A:I,7,0),6)</f>
        <v>9</v>
      </c>
      <c r="N341" s="39">
        <f>IFERROR(VLOOKUP("47mg LP",Controls!A:I,8,0),3)</f>
        <v>8</v>
      </c>
      <c r="O341" s="39">
        <f>IFERROR(VLOOKUP("47mg LP",Controls!A:I,9,0),18)</f>
        <v>18</v>
      </c>
      <c r="P341" s="40">
        <f>IFERROR(VLOOKUP("47mg LP",Controls!A:J,5,0),0)</f>
        <v>10000</v>
      </c>
      <c r="Q341" s="39">
        <f>IFERROR(VLOOKUP("47mg LP",Controls!A:J,6,0),3)</f>
        <v>3</v>
      </c>
      <c r="R341" s="21" t="str">
        <f>IFERROR(VLOOKUP("47mg LP",Controls!A:K,10,0),"")</f>
        <v>Fisher / ThermoFisher Allentown</v>
      </c>
      <c r="S341" s="41">
        <f t="shared" si="38"/>
        <v>50771</v>
      </c>
      <c r="T341" s="30">
        <f t="shared" si="39"/>
        <v>0</v>
      </c>
      <c r="AB341">
        <f t="shared" si="41"/>
        <v>1339175.7463674257</v>
      </c>
    </row>
    <row r="342" spans="1:28" ht="13" customHeight="1" x14ac:dyDescent="0.35">
      <c r="A342" s="153">
        <v>50891</v>
      </c>
      <c r="B342" s="36" t="s">
        <v>35</v>
      </c>
      <c r="C342" s="15" t="s">
        <v>28</v>
      </c>
      <c r="D342" s="15" t="s">
        <v>29</v>
      </c>
      <c r="E342" s="30">
        <f>H341</f>
        <v>-1297350.2152698017</v>
      </c>
      <c r="F342" s="37">
        <f>IFERROR(SUMIFS('Demand Inputs'!$FI$5:$FI$202,'Demand Inputs'!$A$5:$A$202,"47mg LP",'Demand Inputs'!$B$5:$B$202,"&lt;&gt;AGGREGATE",'Demand Inputs'!$E$5:$E$202,1),0)</f>
        <v>1059.0634829784076</v>
      </c>
      <c r="G342" s="37">
        <f t="array" ref="G342">IFERROR(SUMPRODUCT(('Production Inputs'!$A:$A="47mg LP")*('Production Inputs'!$B:$B="TOTAL ACTIVE")*'Production Inputs'!$FO:$FO),0)</f>
        <v>0</v>
      </c>
      <c r="H342" s="30">
        <f t="shared" si="35"/>
        <v>-1298409.2787527801</v>
      </c>
      <c r="I342" s="30">
        <f ca="1">IFERROR(AVERAGEIF(OFFSET(F342,0,0,MIN(Controls!$B$8,COUNTIF(B342:B$1973,B342)),1),"&gt;"&amp;0),0)</f>
        <v>737.06480640240068</v>
      </c>
      <c r="J342" s="38">
        <f t="shared" ca="1" si="36"/>
        <v>-1761.5944588241719</v>
      </c>
      <c r="K342" s="30">
        <f t="shared" ca="1" si="40"/>
        <v>1310000</v>
      </c>
      <c r="L342" t="str">
        <f t="shared" si="37"/>
        <v>High</v>
      </c>
      <c r="M342" s="39">
        <f>IFERROR(VLOOKUP("47mg LP",Controls!A:I,7,0),6)</f>
        <v>9</v>
      </c>
      <c r="N342" s="39">
        <f>IFERROR(VLOOKUP("47mg LP",Controls!A:I,8,0),3)</f>
        <v>8</v>
      </c>
      <c r="O342" s="39">
        <f>IFERROR(VLOOKUP("47mg LP",Controls!A:I,9,0),18)</f>
        <v>18</v>
      </c>
      <c r="P342" s="40">
        <f>IFERROR(VLOOKUP("47mg LP",Controls!A:J,5,0),0)</f>
        <v>10000</v>
      </c>
      <c r="Q342" s="39">
        <f>IFERROR(VLOOKUP("47mg LP",Controls!A:J,6,0),3)</f>
        <v>3</v>
      </c>
      <c r="R342" s="21" t="str">
        <f>IFERROR(VLOOKUP("47mg LP",Controls!A:K,10,0),"")</f>
        <v>Fisher / ThermoFisher Allentown</v>
      </c>
      <c r="S342" s="41">
        <f t="shared" si="38"/>
        <v>50802</v>
      </c>
      <c r="T342" s="30">
        <f t="shared" si="39"/>
        <v>0</v>
      </c>
      <c r="AB342">
        <f t="shared" si="41"/>
        <v>1340234.809850404</v>
      </c>
    </row>
    <row r="343" spans="1:28" ht="13" customHeight="1" x14ac:dyDescent="0.35">
      <c r="A343" s="153">
        <v>50922</v>
      </c>
      <c r="B343" s="36" t="s">
        <v>35</v>
      </c>
      <c r="C343" s="15" t="s">
        <v>28</v>
      </c>
      <c r="D343" s="15" t="s">
        <v>29</v>
      </c>
      <c r="E343" s="30">
        <f>H342</f>
        <v>-1298409.2787527801</v>
      </c>
      <c r="F343" s="37">
        <f>IFERROR(SUMIFS('Demand Inputs'!$FJ$5:$FJ$202,'Demand Inputs'!$A$5:$A$202,"47mg LP",'Demand Inputs'!$B$5:$B$202,"&lt;&gt;AGGREGATE",'Demand Inputs'!$E$5:$E$202,1),0)</f>
        <v>942.35570313613619</v>
      </c>
      <c r="G343" s="37">
        <f t="array" ref="G343">IFERROR(SUMPRODUCT(('Production Inputs'!$A:$A="47mg LP")*('Production Inputs'!$B:$B="TOTAL ACTIVE")*'Production Inputs'!$FP:$FP),0)</f>
        <v>0</v>
      </c>
      <c r="H343" s="30">
        <f t="shared" si="35"/>
        <v>-1299351.6344559162</v>
      </c>
      <c r="I343" s="30">
        <f ca="1">IFERROR(AVERAGEIF(OFFSET(F343,0,0,MIN(Controls!$B$8,COUNTIF(B343:B$1973,B343)),1),"&gt;"&amp;0),0)</f>
        <v>687.38282793515498</v>
      </c>
      <c r="J343" s="38">
        <f t="shared" ca="1" si="36"/>
        <v>-1890.2881795273652</v>
      </c>
      <c r="K343" s="30">
        <f t="shared" ca="1" si="40"/>
        <v>1310000</v>
      </c>
      <c r="L343" t="str">
        <f t="shared" si="37"/>
        <v>High</v>
      </c>
      <c r="M343" s="39">
        <f>IFERROR(VLOOKUP("47mg LP",Controls!A:I,7,0),6)</f>
        <v>9</v>
      </c>
      <c r="N343" s="39">
        <f>IFERROR(VLOOKUP("47mg LP",Controls!A:I,8,0),3)</f>
        <v>8</v>
      </c>
      <c r="O343" s="39">
        <f>IFERROR(VLOOKUP("47mg LP",Controls!A:I,9,0),18)</f>
        <v>18</v>
      </c>
      <c r="P343" s="40">
        <f>IFERROR(VLOOKUP("47mg LP",Controls!A:J,5,0),0)</f>
        <v>10000</v>
      </c>
      <c r="Q343" s="39">
        <f>IFERROR(VLOOKUP("47mg LP",Controls!A:J,6,0),3)</f>
        <v>3</v>
      </c>
      <c r="R343" s="21" t="str">
        <f>IFERROR(VLOOKUP("47mg LP",Controls!A:K,10,0),"")</f>
        <v>Fisher / ThermoFisher Allentown</v>
      </c>
      <c r="S343" s="41">
        <f t="shared" si="38"/>
        <v>50830</v>
      </c>
      <c r="T343" s="30">
        <f t="shared" si="39"/>
        <v>0</v>
      </c>
      <c r="AB343">
        <f t="shared" si="41"/>
        <v>1341177.1655535402</v>
      </c>
    </row>
    <row r="344" spans="1:28" ht="13" customHeight="1" x14ac:dyDescent="0.35">
      <c r="A344" s="153">
        <v>50952</v>
      </c>
      <c r="B344" s="36" t="s">
        <v>35</v>
      </c>
      <c r="C344" s="15" t="s">
        <v>28</v>
      </c>
      <c r="D344" s="15" t="s">
        <v>29</v>
      </c>
      <c r="E344" s="30">
        <f>H343</f>
        <v>-1299351.6344559162</v>
      </c>
      <c r="F344" s="37">
        <f>IFERROR(SUMIFS('Demand Inputs'!$FK$5:$FK$202,'Demand Inputs'!$A$5:$A$202,"47mg LP",'Demand Inputs'!$B$5:$B$202,"&lt;&gt;AGGREGATE",'Demand Inputs'!$E$5:$E$202,1),0)</f>
        <v>753.23924253514224</v>
      </c>
      <c r="G344" s="37">
        <f t="array" ref="G344">IFERROR(SUMPRODUCT(('Production Inputs'!$A:$A="47mg LP")*('Production Inputs'!$B:$B="TOTAL ACTIVE")*'Production Inputs'!$FQ:$FQ),0)</f>
        <v>0</v>
      </c>
      <c r="H344" s="30">
        <f t="shared" si="35"/>
        <v>-1300104.8736984513</v>
      </c>
      <c r="I344" s="30">
        <f ca="1">IFERROR(AVERAGEIF(OFFSET(F344,0,0,MIN(Controls!$B$8,COUNTIF(B344:B$1973,B344)),1),"&gt;"&amp;0),0)</f>
        <v>652.5148326688759</v>
      </c>
      <c r="J344" s="38">
        <f t="shared" ca="1" si="36"/>
        <v>-1992.4525981744241</v>
      </c>
      <c r="K344" s="30">
        <f t="shared" ca="1" si="40"/>
        <v>1310000</v>
      </c>
      <c r="L344" t="str">
        <f t="shared" si="37"/>
        <v>High</v>
      </c>
      <c r="M344" s="39">
        <f>IFERROR(VLOOKUP("47mg LP",Controls!A:I,7,0),6)</f>
        <v>9</v>
      </c>
      <c r="N344" s="39">
        <f>IFERROR(VLOOKUP("47mg LP",Controls!A:I,8,0),3)</f>
        <v>8</v>
      </c>
      <c r="O344" s="39">
        <f>IFERROR(VLOOKUP("47mg LP",Controls!A:I,9,0),18)</f>
        <v>18</v>
      </c>
      <c r="P344" s="40">
        <f>IFERROR(VLOOKUP("47mg LP",Controls!A:J,5,0),0)</f>
        <v>10000</v>
      </c>
      <c r="Q344" s="39">
        <f>IFERROR(VLOOKUP("47mg LP",Controls!A:J,6,0),3)</f>
        <v>3</v>
      </c>
      <c r="R344" s="21" t="str">
        <f>IFERROR(VLOOKUP("47mg LP",Controls!A:K,10,0),"")</f>
        <v>Fisher / ThermoFisher Allentown</v>
      </c>
      <c r="S344" s="41">
        <f t="shared" si="38"/>
        <v>50861</v>
      </c>
      <c r="T344" s="30">
        <f t="shared" si="39"/>
        <v>0</v>
      </c>
      <c r="AB344">
        <f t="shared" si="41"/>
        <v>1341930.4047960753</v>
      </c>
    </row>
    <row r="345" spans="1:28" ht="13" customHeight="1" x14ac:dyDescent="0.35">
      <c r="A345" s="153">
        <v>50983</v>
      </c>
      <c r="B345" s="36" t="s">
        <v>35</v>
      </c>
      <c r="C345" s="15" t="s">
        <v>28</v>
      </c>
      <c r="D345" s="15" t="s">
        <v>29</v>
      </c>
      <c r="E345" s="30">
        <f>H344</f>
        <v>-1300104.8736984513</v>
      </c>
      <c r="F345" s="37">
        <f>IFERROR(SUMIFS('Demand Inputs'!$FL$5:$FL$202,'Demand Inputs'!$A$5:$A$202,"47mg LP",'Demand Inputs'!$B$5:$B$202,"&lt;&gt;AGGREGATE",'Demand Inputs'!$E$5:$E$202,1),0)</f>
        <v>518.75422805436813</v>
      </c>
      <c r="G345" s="37">
        <f t="array" ref="G345">IFERROR(SUMPRODUCT(('Production Inputs'!$A:$A="47mg LP")*('Production Inputs'!$B:$B="TOTAL ACTIVE")*'Production Inputs'!$FR:$FR),0)</f>
        <v>0</v>
      </c>
      <c r="H345" s="30">
        <f t="shared" si="35"/>
        <v>-1300623.6279265056</v>
      </c>
      <c r="I345" s="30">
        <f ca="1">IFERROR(AVERAGEIF(OFFSET(F345,0,0,MIN(Controls!$B$8,COUNTIF(B345:B$1973,B345)),1),"&gt;"&amp;0),0)</f>
        <v>651.13132493064643</v>
      </c>
      <c r="J345" s="38">
        <f t="shared" ca="1" si="36"/>
        <v>-1997.4828089633656</v>
      </c>
      <c r="K345" s="30">
        <f t="shared" ca="1" si="40"/>
        <v>1310000</v>
      </c>
      <c r="L345" t="str">
        <f t="shared" si="37"/>
        <v>High</v>
      </c>
      <c r="M345" s="39">
        <f>IFERROR(VLOOKUP("47mg LP",Controls!A:I,7,0),6)</f>
        <v>9</v>
      </c>
      <c r="N345" s="39">
        <f>IFERROR(VLOOKUP("47mg LP",Controls!A:I,8,0),3)</f>
        <v>8</v>
      </c>
      <c r="O345" s="39">
        <f>IFERROR(VLOOKUP("47mg LP",Controls!A:I,9,0),18)</f>
        <v>18</v>
      </c>
      <c r="P345" s="40">
        <f>IFERROR(VLOOKUP("47mg LP",Controls!A:J,5,0),0)</f>
        <v>10000</v>
      </c>
      <c r="Q345" s="39">
        <f>IFERROR(VLOOKUP("47mg LP",Controls!A:J,6,0),3)</f>
        <v>3</v>
      </c>
      <c r="R345" s="21" t="str">
        <f>IFERROR(VLOOKUP("47mg LP",Controls!A:K,10,0),"")</f>
        <v>Fisher / ThermoFisher Allentown</v>
      </c>
      <c r="S345" s="41">
        <f t="shared" si="38"/>
        <v>50891</v>
      </c>
      <c r="T345" s="30">
        <f t="shared" si="39"/>
        <v>0</v>
      </c>
      <c r="AB345">
        <f t="shared" si="41"/>
        <v>1342449.1590241296</v>
      </c>
    </row>
    <row r="346" spans="1:28" ht="13" customHeight="1" x14ac:dyDescent="0.35">
      <c r="A346" s="153">
        <v>51014</v>
      </c>
      <c r="B346" s="36" t="s">
        <v>35</v>
      </c>
      <c r="C346" s="15" t="s">
        <v>28</v>
      </c>
      <c r="D346" s="15" t="s">
        <v>29</v>
      </c>
      <c r="E346" s="30">
        <f>H345</f>
        <v>-1300623.6279265056</v>
      </c>
      <c r="F346" s="37">
        <f>IFERROR(SUMIFS('Demand Inputs'!$FM$5:$FM$202,'Demand Inputs'!$A$5:$A$202,"47mg LP",'Demand Inputs'!$B$5:$B$202,"&lt;&gt;AGGREGATE",'Demand Inputs'!$E$5:$E$202,1),0)</f>
        <v>788.78287888477337</v>
      </c>
      <c r="G346" s="37">
        <f t="array" ref="G346">IFERROR(SUMPRODUCT(('Production Inputs'!$A:$A="47mg LP")*('Production Inputs'!$B:$B="TOTAL ACTIVE")*'Production Inputs'!$FS:$FS),0)</f>
        <v>0</v>
      </c>
      <c r="H346" s="30">
        <f t="shared" si="35"/>
        <v>-1301412.4108053904</v>
      </c>
      <c r="I346" s="30">
        <f ca="1">IFERROR(AVERAGEIF(OFFSET(F346,0,0,MIN(Controls!$B$8,COUNTIF(B346:B$1973,B346)),1),"&gt;"&amp;0),0)</f>
        <v>665.68353020944789</v>
      </c>
      <c r="J346" s="38">
        <f t="shared" ca="1" si="36"/>
        <v>-1955.0016663262188</v>
      </c>
      <c r="K346" s="30">
        <f t="shared" ca="1" si="40"/>
        <v>1310000</v>
      </c>
      <c r="L346" t="str">
        <f t="shared" si="37"/>
        <v>High</v>
      </c>
      <c r="M346" s="39">
        <f>IFERROR(VLOOKUP("47mg LP",Controls!A:I,7,0),6)</f>
        <v>9</v>
      </c>
      <c r="N346" s="39">
        <f>IFERROR(VLOOKUP("47mg LP",Controls!A:I,8,0),3)</f>
        <v>8</v>
      </c>
      <c r="O346" s="39">
        <f>IFERROR(VLOOKUP("47mg LP",Controls!A:I,9,0),18)</f>
        <v>18</v>
      </c>
      <c r="P346" s="40">
        <f>IFERROR(VLOOKUP("47mg LP",Controls!A:J,5,0),0)</f>
        <v>10000</v>
      </c>
      <c r="Q346" s="39">
        <f>IFERROR(VLOOKUP("47mg LP",Controls!A:J,6,0),3)</f>
        <v>3</v>
      </c>
      <c r="R346" s="21" t="str">
        <f>IFERROR(VLOOKUP("47mg LP",Controls!A:K,10,0),"")</f>
        <v>Fisher / ThermoFisher Allentown</v>
      </c>
      <c r="S346" s="41">
        <f t="shared" si="38"/>
        <v>50922</v>
      </c>
      <c r="T346" s="30">
        <f t="shared" si="39"/>
        <v>0</v>
      </c>
      <c r="AB346">
        <f t="shared" si="41"/>
        <v>1343237.9419030144</v>
      </c>
    </row>
    <row r="347" spans="1:28" ht="13" customHeight="1" x14ac:dyDescent="0.35">
      <c r="A347" s="153">
        <v>51044</v>
      </c>
      <c r="B347" s="36" t="s">
        <v>35</v>
      </c>
      <c r="C347" s="15" t="s">
        <v>28</v>
      </c>
      <c r="D347" s="15" t="s">
        <v>29</v>
      </c>
      <c r="E347" s="30">
        <f>H346</f>
        <v>-1301412.4108053904</v>
      </c>
      <c r="F347" s="37">
        <f>IFERROR(SUMIFS('Demand Inputs'!$FN$5:$FN$202,'Demand Inputs'!$A$5:$A$202,"47mg LP",'Demand Inputs'!$B$5:$B$202,"&lt;&gt;AGGREGATE",'Demand Inputs'!$E$5:$E$202,1),0)</f>
        <v>634.66897341735171</v>
      </c>
      <c r="G347" s="37">
        <f t="array" ref="G347">IFERROR(SUMPRODUCT(('Production Inputs'!$A:$A="47mg LP")*('Production Inputs'!$B:$B="TOTAL ACTIVE")*'Production Inputs'!$FT:$FT),0)</f>
        <v>0</v>
      </c>
      <c r="H347" s="30">
        <f t="shared" si="35"/>
        <v>-1302047.0797788077</v>
      </c>
      <c r="I347" s="30">
        <f ca="1">IFERROR(AVERAGEIF(OFFSET(F347,0,0,MIN(Controls!$B$8,COUNTIF(B347:B$1973,B347)),1),"&gt;"&amp;0),0)</f>
        <v>658.94923502499489</v>
      </c>
      <c r="J347" s="38">
        <f t="shared" ca="1" si="36"/>
        <v>-1975.9444439288548</v>
      </c>
      <c r="K347" s="30">
        <f t="shared" ca="1" si="40"/>
        <v>1310000</v>
      </c>
      <c r="L347" t="str">
        <f t="shared" si="37"/>
        <v>High</v>
      </c>
      <c r="M347" s="39">
        <f>IFERROR(VLOOKUP("47mg LP",Controls!A:I,7,0),6)</f>
        <v>9</v>
      </c>
      <c r="N347" s="39">
        <f>IFERROR(VLOOKUP("47mg LP",Controls!A:I,8,0),3)</f>
        <v>8</v>
      </c>
      <c r="O347" s="39">
        <f>IFERROR(VLOOKUP("47mg LP",Controls!A:I,9,0),18)</f>
        <v>18</v>
      </c>
      <c r="P347" s="40">
        <f>IFERROR(VLOOKUP("47mg LP",Controls!A:J,5,0),0)</f>
        <v>10000</v>
      </c>
      <c r="Q347" s="39">
        <f>IFERROR(VLOOKUP("47mg LP",Controls!A:J,6,0),3)</f>
        <v>3</v>
      </c>
      <c r="R347" s="21" t="str">
        <f>IFERROR(VLOOKUP("47mg LP",Controls!A:K,10,0),"")</f>
        <v>Fisher / ThermoFisher Allentown</v>
      </c>
      <c r="S347" s="41">
        <f t="shared" si="38"/>
        <v>50952</v>
      </c>
      <c r="T347" s="30">
        <f t="shared" si="39"/>
        <v>0</v>
      </c>
      <c r="AB347">
        <f t="shared" si="41"/>
        <v>1343872.6108764317</v>
      </c>
    </row>
    <row r="348" spans="1:28" ht="13" customHeight="1" x14ac:dyDescent="0.35">
      <c r="A348" s="153">
        <v>51075</v>
      </c>
      <c r="B348" s="36" t="s">
        <v>35</v>
      </c>
      <c r="C348" s="15" t="s">
        <v>28</v>
      </c>
      <c r="D348" s="15" t="s">
        <v>29</v>
      </c>
      <c r="E348" s="30">
        <f>H347</f>
        <v>-1302047.0797788077</v>
      </c>
      <c r="F348" s="37">
        <f>IFERROR(SUMIFS('Demand Inputs'!$FO$5:$FO$202,'Demand Inputs'!$A$5:$A$202,"47mg LP",'Demand Inputs'!$B$5:$B$202,"&lt;&gt;AGGREGATE",'Demand Inputs'!$E$5:$E$202,1),0)</f>
        <v>616.31719852867707</v>
      </c>
      <c r="G348" s="37">
        <f t="array" ref="G348">IFERROR(SUMPRODUCT(('Production Inputs'!$A:$A="47mg LP")*('Production Inputs'!$B:$B="TOTAL ACTIVE")*'Production Inputs'!$FU:$FU),0)</f>
        <v>0</v>
      </c>
      <c r="H348" s="30">
        <f t="shared" si="35"/>
        <v>-1302663.3969773364</v>
      </c>
      <c r="I348" s="30">
        <f ca="1">IFERROR(AVERAGEIF(OFFSET(F348,0,0,MIN(Controls!$B$8,COUNTIF(B348:B$1973,B348)),1),"&gt;"&amp;0),0)</f>
        <v>654.80909517032183</v>
      </c>
      <c r="J348" s="38">
        <f t="shared" ca="1" si="36"/>
        <v>-1989.3788992630009</v>
      </c>
      <c r="K348" s="30">
        <f t="shared" ca="1" si="40"/>
        <v>1310000</v>
      </c>
      <c r="L348" t="str">
        <f t="shared" si="37"/>
        <v>High</v>
      </c>
      <c r="M348" s="39">
        <f>IFERROR(VLOOKUP("47mg LP",Controls!A:I,7,0),6)</f>
        <v>9</v>
      </c>
      <c r="N348" s="39">
        <f>IFERROR(VLOOKUP("47mg LP",Controls!A:I,8,0),3)</f>
        <v>8</v>
      </c>
      <c r="O348" s="39">
        <f>IFERROR(VLOOKUP("47mg LP",Controls!A:I,9,0),18)</f>
        <v>18</v>
      </c>
      <c r="P348" s="40">
        <f>IFERROR(VLOOKUP("47mg LP",Controls!A:J,5,0),0)</f>
        <v>10000</v>
      </c>
      <c r="Q348" s="39">
        <f>IFERROR(VLOOKUP("47mg LP",Controls!A:J,6,0),3)</f>
        <v>3</v>
      </c>
      <c r="R348" s="21" t="str">
        <f>IFERROR(VLOOKUP("47mg LP",Controls!A:K,10,0),"")</f>
        <v>Fisher / ThermoFisher Allentown</v>
      </c>
      <c r="S348" s="41">
        <f t="shared" si="38"/>
        <v>50983</v>
      </c>
      <c r="T348" s="30">
        <f t="shared" si="39"/>
        <v>0</v>
      </c>
      <c r="AB348">
        <f t="shared" si="41"/>
        <v>1344488.9280749604</v>
      </c>
    </row>
    <row r="349" spans="1:28" ht="13" customHeight="1" x14ac:dyDescent="0.35">
      <c r="A349" s="153">
        <v>51105</v>
      </c>
      <c r="B349" s="36" t="s">
        <v>35</v>
      </c>
      <c r="C349" s="15" t="s">
        <v>28</v>
      </c>
      <c r="D349" s="15" t="s">
        <v>29</v>
      </c>
      <c r="E349" s="30">
        <f>H348</f>
        <v>-1302663.3969773364</v>
      </c>
      <c r="F349" s="37">
        <f>IFERROR(SUMIFS('Demand Inputs'!$FP$5:$FP$202,'Demand Inputs'!$A$5:$A$202,"47mg LP",'Demand Inputs'!$B$5:$B$202,"&lt;&gt;AGGREGATE",'Demand Inputs'!$E$5:$E$202,1),0)</f>
        <v>632.85102004645</v>
      </c>
      <c r="G349" s="37">
        <f t="array" ref="G349">IFERROR(SUMPRODUCT(('Production Inputs'!$A:$A="47mg LP")*('Production Inputs'!$B:$B="TOTAL ACTIVE")*'Production Inputs'!$FV:$FV),0)</f>
        <v>0</v>
      </c>
      <c r="H349" s="30">
        <f t="shared" si="35"/>
        <v>-1303296.2479973829</v>
      </c>
      <c r="I349" s="30">
        <f ca="1">IFERROR(AVERAGEIF(OFFSET(F349,0,0,MIN(Controls!$B$8,COUNTIF(B349:B$1973,B349)),1),"&gt;"&amp;0),0)</f>
        <v>663.12191256272479</v>
      </c>
      <c r="J349" s="38">
        <f t="shared" ca="1" si="36"/>
        <v>-1965.3946330330382</v>
      </c>
      <c r="K349" s="30">
        <f t="shared" ca="1" si="40"/>
        <v>1310000</v>
      </c>
      <c r="L349" t="str">
        <f t="shared" si="37"/>
        <v>High</v>
      </c>
      <c r="M349" s="39">
        <f>IFERROR(VLOOKUP("47mg LP",Controls!A:I,7,0),6)</f>
        <v>9</v>
      </c>
      <c r="N349" s="39">
        <f>IFERROR(VLOOKUP("47mg LP",Controls!A:I,8,0),3)</f>
        <v>8</v>
      </c>
      <c r="O349" s="39">
        <f>IFERROR(VLOOKUP("47mg LP",Controls!A:I,9,0),18)</f>
        <v>18</v>
      </c>
      <c r="P349" s="40">
        <f>IFERROR(VLOOKUP("47mg LP",Controls!A:J,5,0),0)</f>
        <v>10000</v>
      </c>
      <c r="Q349" s="39">
        <f>IFERROR(VLOOKUP("47mg LP",Controls!A:J,6,0),3)</f>
        <v>3</v>
      </c>
      <c r="R349" s="21" t="str">
        <f>IFERROR(VLOOKUP("47mg LP",Controls!A:K,10,0),"")</f>
        <v>Fisher / ThermoFisher Allentown</v>
      </c>
      <c r="S349" s="41">
        <f t="shared" si="38"/>
        <v>51014</v>
      </c>
      <c r="T349" s="30">
        <f t="shared" si="39"/>
        <v>0</v>
      </c>
      <c r="AB349">
        <f t="shared" si="41"/>
        <v>1345121.7790950069</v>
      </c>
    </row>
    <row r="350" spans="1:28" ht="13" customHeight="1" x14ac:dyDescent="0.35">
      <c r="A350" s="153">
        <v>51136</v>
      </c>
      <c r="B350" s="36" t="s">
        <v>35</v>
      </c>
      <c r="C350" s="15" t="s">
        <v>28</v>
      </c>
      <c r="D350" s="15" t="s">
        <v>29</v>
      </c>
      <c r="E350" s="30">
        <f>H349</f>
        <v>-1303296.2479973829</v>
      </c>
      <c r="F350" s="37">
        <f>IFERROR(SUMIFS('Demand Inputs'!$FQ$5:$FQ$202,'Demand Inputs'!$A$5:$A$202,"47mg LP",'Demand Inputs'!$B$5:$B$202,"&lt;&gt;AGGREGATE",'Demand Inputs'!$E$5:$E$202,1),0)</f>
        <v>687.55053004029992</v>
      </c>
      <c r="G350" s="37">
        <f t="array" ref="G350">IFERROR(SUMPRODUCT(('Production Inputs'!$A:$A="47mg LP")*('Production Inputs'!$B:$B="TOTAL ACTIVE")*'Production Inputs'!$FW:$FW),0)</f>
        <v>0</v>
      </c>
      <c r="H350" s="30">
        <f t="shared" si="35"/>
        <v>-1303983.7985274233</v>
      </c>
      <c r="I350" s="30">
        <f ca="1">IFERROR(AVERAGEIF(OFFSET(F350,0,0,MIN(Controls!$B$8,COUNTIF(B350:B$1973,B350)),1),"&gt;"&amp;0),0)</f>
        <v>680.63420346238127</v>
      </c>
      <c r="J350" s="38">
        <f t="shared" ca="1" si="36"/>
        <v>-1915.8364241674415</v>
      </c>
      <c r="K350" s="30">
        <f t="shared" ca="1" si="40"/>
        <v>1310000</v>
      </c>
      <c r="L350" t="str">
        <f t="shared" si="37"/>
        <v>High</v>
      </c>
      <c r="M350" s="39">
        <f>IFERROR(VLOOKUP("47mg LP",Controls!A:I,7,0),6)</f>
        <v>9</v>
      </c>
      <c r="N350" s="39">
        <f>IFERROR(VLOOKUP("47mg LP",Controls!A:I,8,0),3)</f>
        <v>8</v>
      </c>
      <c r="O350" s="39">
        <f>IFERROR(VLOOKUP("47mg LP",Controls!A:I,9,0),18)</f>
        <v>18</v>
      </c>
      <c r="P350" s="40">
        <f>IFERROR(VLOOKUP("47mg LP",Controls!A:J,5,0),0)</f>
        <v>10000</v>
      </c>
      <c r="Q350" s="39">
        <f>IFERROR(VLOOKUP("47mg LP",Controls!A:J,6,0),3)</f>
        <v>3</v>
      </c>
      <c r="R350" s="21" t="str">
        <f>IFERROR(VLOOKUP("47mg LP",Controls!A:K,10,0),"")</f>
        <v>Fisher / ThermoFisher Allentown</v>
      </c>
      <c r="S350" s="41">
        <f t="shared" si="38"/>
        <v>51044</v>
      </c>
      <c r="T350" s="30">
        <f t="shared" si="39"/>
        <v>0</v>
      </c>
      <c r="AB350">
        <f t="shared" si="41"/>
        <v>1345809.3296250473</v>
      </c>
    </row>
    <row r="351" spans="1:28" ht="13" customHeight="1" x14ac:dyDescent="0.35">
      <c r="A351" s="153">
        <v>51167</v>
      </c>
      <c r="B351" s="36" t="s">
        <v>35</v>
      </c>
      <c r="C351" s="15" t="s">
        <v>28</v>
      </c>
      <c r="D351" s="15" t="s">
        <v>29</v>
      </c>
      <c r="E351" s="30">
        <f>H350</f>
        <v>-1303983.7985274233</v>
      </c>
      <c r="F351" s="37">
        <f>IFERROR(SUMIFS('Demand Inputs'!$FR$5:$FR$202,'Demand Inputs'!$A$5:$A$202,"47mg LP",'Demand Inputs'!$B$5:$B$202,"&lt;&gt;AGGREGATE",'Demand Inputs'!$E$5:$E$202,1),0)</f>
        <v>611.92567677319585</v>
      </c>
      <c r="G351" s="37">
        <f t="array" ref="G351">IFERROR(SUMPRODUCT(('Production Inputs'!$A:$A="47mg LP")*('Production Inputs'!$B:$B="TOTAL ACTIVE")*'Production Inputs'!$FX:$FX),0)</f>
        <v>0</v>
      </c>
      <c r="H351" s="30">
        <f t="shared" si="35"/>
        <v>-1304595.7242041966</v>
      </c>
      <c r="I351" s="30">
        <f ca="1">IFERROR(AVERAGEIF(OFFSET(F351,0,0,MIN(Controls!$B$8,COUNTIF(B351:B$1973,B351)),1),"&gt;"&amp;0),0)</f>
        <v>662.66299090942937</v>
      </c>
      <c r="J351" s="38">
        <f t="shared" ca="1" si="36"/>
        <v>-1968.716741542768</v>
      </c>
      <c r="K351" s="30">
        <f t="shared" ca="1" si="40"/>
        <v>1310000</v>
      </c>
      <c r="L351" t="str">
        <f t="shared" si="37"/>
        <v>High</v>
      </c>
      <c r="M351" s="39">
        <f>IFERROR(VLOOKUP("47mg LP",Controls!A:I,7,0),6)</f>
        <v>9</v>
      </c>
      <c r="N351" s="39">
        <f>IFERROR(VLOOKUP("47mg LP",Controls!A:I,8,0),3)</f>
        <v>8</v>
      </c>
      <c r="O351" s="39">
        <f>IFERROR(VLOOKUP("47mg LP",Controls!A:I,9,0),18)</f>
        <v>18</v>
      </c>
      <c r="P351" s="40">
        <f>IFERROR(VLOOKUP("47mg LP",Controls!A:J,5,0),0)</f>
        <v>10000</v>
      </c>
      <c r="Q351" s="39">
        <f>IFERROR(VLOOKUP("47mg LP",Controls!A:J,6,0),3)</f>
        <v>3</v>
      </c>
      <c r="R351" s="21" t="str">
        <f>IFERROR(VLOOKUP("47mg LP",Controls!A:K,10,0),"")</f>
        <v>Fisher / ThermoFisher Allentown</v>
      </c>
      <c r="S351" s="41">
        <f t="shared" si="38"/>
        <v>51075</v>
      </c>
      <c r="T351" s="30">
        <f t="shared" si="39"/>
        <v>0</v>
      </c>
      <c r="AB351">
        <f t="shared" si="41"/>
        <v>1346421.2553018206</v>
      </c>
    </row>
    <row r="352" spans="1:28" ht="13" customHeight="1" x14ac:dyDescent="0.35">
      <c r="A352" s="153">
        <v>51196</v>
      </c>
      <c r="B352" s="36" t="s">
        <v>35</v>
      </c>
      <c r="C352" s="15" t="s">
        <v>28</v>
      </c>
      <c r="D352" s="15" t="s">
        <v>29</v>
      </c>
      <c r="E352" s="30">
        <f>H351</f>
        <v>-1304595.7242041966</v>
      </c>
      <c r="F352" s="37">
        <f>IFERROR(SUMIFS('Demand Inputs'!$FS$5:$FS$202,'Demand Inputs'!$A$5:$A$202,"47mg LP",'Demand Inputs'!$B$5:$B$202,"&lt;&gt;AGGREGATE",'Demand Inputs'!$E$5:$E$202,1),0)</f>
        <v>628.54374573962502</v>
      </c>
      <c r="G352" s="37">
        <f t="array" ref="G352">IFERROR(SUMPRODUCT(('Production Inputs'!$A:$A="47mg LP")*('Production Inputs'!$B:$B="TOTAL ACTIVE")*'Production Inputs'!$FY:$FY),0)</f>
        <v>0</v>
      </c>
      <c r="H352" s="30">
        <f t="shared" si="35"/>
        <v>-1305224.2679499362</v>
      </c>
      <c r="I352" s="30">
        <f ca="1">IFERROR(AVERAGEIF(OFFSET(F352,0,0,MIN(Controls!$B$8,COUNTIF(B352:B$1973,B352)),1),"&gt;"&amp;0),0)</f>
        <v>680.4143744746558</v>
      </c>
      <c r="J352" s="38">
        <f t="shared" ca="1" si="36"/>
        <v>-1918.2785033865468</v>
      </c>
      <c r="K352" s="30">
        <f t="shared" ca="1" si="40"/>
        <v>1310000</v>
      </c>
      <c r="L352" t="str">
        <f t="shared" si="37"/>
        <v>High</v>
      </c>
      <c r="M352" s="39">
        <f>IFERROR(VLOOKUP("47mg LP",Controls!A:I,7,0),6)</f>
        <v>9</v>
      </c>
      <c r="N352" s="39">
        <f>IFERROR(VLOOKUP("47mg LP",Controls!A:I,8,0),3)</f>
        <v>8</v>
      </c>
      <c r="O352" s="39">
        <f>IFERROR(VLOOKUP("47mg LP",Controls!A:I,9,0),18)</f>
        <v>18</v>
      </c>
      <c r="P352" s="40">
        <f>IFERROR(VLOOKUP("47mg LP",Controls!A:J,5,0),0)</f>
        <v>10000</v>
      </c>
      <c r="Q352" s="39">
        <f>IFERROR(VLOOKUP("47mg LP",Controls!A:J,6,0),3)</f>
        <v>3</v>
      </c>
      <c r="R352" s="21" t="str">
        <f>IFERROR(VLOOKUP("47mg LP",Controls!A:K,10,0),"")</f>
        <v>Fisher / ThermoFisher Allentown</v>
      </c>
      <c r="S352" s="41">
        <f t="shared" si="38"/>
        <v>51105</v>
      </c>
      <c r="T352" s="30">
        <f t="shared" si="39"/>
        <v>0</v>
      </c>
      <c r="AB352">
        <f t="shared" si="41"/>
        <v>1347049.7990475602</v>
      </c>
    </row>
    <row r="353" spans="1:28" ht="13" customHeight="1" x14ac:dyDescent="0.35">
      <c r="A353" s="153">
        <v>51227</v>
      </c>
      <c r="B353" s="36" t="s">
        <v>35</v>
      </c>
      <c r="C353" s="15" t="s">
        <v>28</v>
      </c>
      <c r="D353" s="15" t="s">
        <v>29</v>
      </c>
      <c r="E353" s="30">
        <f>H352</f>
        <v>-1305224.2679499362</v>
      </c>
      <c r="F353" s="37">
        <f>IFERROR(SUMIFS('Demand Inputs'!$FT$5:$FT$202,'Demand Inputs'!$A$5:$A$202,"47mg LP",'Demand Inputs'!$B$5:$B$202,"&lt;&gt;AGGREGATE",'Demand Inputs'!$E$5:$E$202,1),0)</f>
        <v>740.78767289107702</v>
      </c>
      <c r="G353" s="37">
        <f t="array" ref="G353">IFERROR(SUMPRODUCT(('Production Inputs'!$A:$A="47mg LP")*('Production Inputs'!$B:$B="TOTAL ACTIVE")*'Production Inputs'!$FZ:$FZ),0)</f>
        <v>0</v>
      </c>
      <c r="H353" s="30">
        <f t="shared" si="35"/>
        <v>-1305965.0556228273</v>
      </c>
      <c r="I353" s="30">
        <f ca="1">IFERROR(AVERAGEIF(OFFSET(F353,0,0,MIN(Controls!$B$8,COUNTIF(B353:B$1973,B353)),1),"&gt;"&amp;0),0)</f>
        <v>677.37932618715593</v>
      </c>
      <c r="J353" s="38">
        <f t="shared" ca="1" si="36"/>
        <v>-1927.9671007585443</v>
      </c>
      <c r="K353" s="30">
        <f t="shared" ca="1" si="40"/>
        <v>1310000</v>
      </c>
      <c r="L353" t="str">
        <f t="shared" si="37"/>
        <v>High</v>
      </c>
      <c r="M353" s="39">
        <f>IFERROR(VLOOKUP("47mg LP",Controls!A:I,7,0),6)</f>
        <v>9</v>
      </c>
      <c r="N353" s="39">
        <f>IFERROR(VLOOKUP("47mg LP",Controls!A:I,8,0),3)</f>
        <v>8</v>
      </c>
      <c r="O353" s="39">
        <f>IFERROR(VLOOKUP("47mg LP",Controls!A:I,9,0),18)</f>
        <v>18</v>
      </c>
      <c r="P353" s="40">
        <f>IFERROR(VLOOKUP("47mg LP",Controls!A:J,5,0),0)</f>
        <v>10000</v>
      </c>
      <c r="Q353" s="39">
        <f>IFERROR(VLOOKUP("47mg LP",Controls!A:J,6,0),3)</f>
        <v>3</v>
      </c>
      <c r="R353" s="21" t="str">
        <f>IFERROR(VLOOKUP("47mg LP",Controls!A:K,10,0),"")</f>
        <v>Fisher / ThermoFisher Allentown</v>
      </c>
      <c r="S353" s="41">
        <f t="shared" si="38"/>
        <v>51136</v>
      </c>
      <c r="T353" s="30">
        <f t="shared" si="39"/>
        <v>0</v>
      </c>
      <c r="AB353">
        <f t="shared" si="41"/>
        <v>1347790.5867204512</v>
      </c>
    </row>
    <row r="354" spans="1:28" ht="13" customHeight="1" x14ac:dyDescent="0.35">
      <c r="A354" s="153">
        <v>51257</v>
      </c>
      <c r="B354" s="36" t="s">
        <v>35</v>
      </c>
      <c r="C354" s="15" t="s">
        <v>28</v>
      </c>
      <c r="D354" s="15" t="s">
        <v>29</v>
      </c>
      <c r="E354" s="30">
        <f>H353</f>
        <v>-1305965.0556228273</v>
      </c>
      <c r="F354" s="37">
        <f>IFERROR(SUMIFS('Demand Inputs'!$FU$5:$FU$202,'Demand Inputs'!$A$5:$A$202,"47mg LP",'Demand Inputs'!$B$5:$B$202,"&lt;&gt;AGGREGATE",'Demand Inputs'!$E$5:$E$202,1),0)</f>
        <v>649.72407556358132</v>
      </c>
      <c r="G354" s="37">
        <f t="array" ref="G354">IFERROR(SUMPRODUCT(('Production Inputs'!$A:$A="47mg LP")*('Production Inputs'!$B:$B="TOTAL ACTIVE")*'Production Inputs'!$GA:$GA),0)</f>
        <v>0</v>
      </c>
      <c r="H354" s="30">
        <f t="shared" si="35"/>
        <v>-1306614.7796983907</v>
      </c>
      <c r="I354" s="30">
        <f ca="1">IFERROR(AVERAGEIF(OFFSET(F354,0,0,MIN(Controls!$B$8,COUNTIF(B354:B$1973,B354)),1),"&gt;"&amp;0),0)</f>
        <v>669.45328284916582</v>
      </c>
      <c r="J354" s="38">
        <f t="shared" ca="1" si="36"/>
        <v>-1951.7639440611772</v>
      </c>
      <c r="K354" s="30">
        <f t="shared" ca="1" si="40"/>
        <v>1310000</v>
      </c>
      <c r="L354" t="str">
        <f t="shared" si="37"/>
        <v>High</v>
      </c>
      <c r="M354" s="39">
        <f>IFERROR(VLOOKUP("47mg LP",Controls!A:I,7,0),6)</f>
        <v>9</v>
      </c>
      <c r="N354" s="39">
        <f>IFERROR(VLOOKUP("47mg LP",Controls!A:I,8,0),3)</f>
        <v>8</v>
      </c>
      <c r="O354" s="39">
        <f>IFERROR(VLOOKUP("47mg LP",Controls!A:I,9,0),18)</f>
        <v>18</v>
      </c>
      <c r="P354" s="40">
        <f>IFERROR(VLOOKUP("47mg LP",Controls!A:J,5,0),0)</f>
        <v>10000</v>
      </c>
      <c r="Q354" s="39">
        <f>IFERROR(VLOOKUP("47mg LP",Controls!A:J,6,0),3)</f>
        <v>3</v>
      </c>
      <c r="R354" s="21" t="str">
        <f>IFERROR(VLOOKUP("47mg LP",Controls!A:K,10,0),"")</f>
        <v>Fisher / ThermoFisher Allentown</v>
      </c>
      <c r="S354" s="41">
        <f t="shared" si="38"/>
        <v>51167</v>
      </c>
      <c r="T354" s="30">
        <f t="shared" si="39"/>
        <v>0</v>
      </c>
      <c r="AB354">
        <f t="shared" si="41"/>
        <v>1348440.3107960147</v>
      </c>
    </row>
    <row r="355" spans="1:28" ht="13" customHeight="1" x14ac:dyDescent="0.35">
      <c r="A355" s="153">
        <v>51288</v>
      </c>
      <c r="B355" s="36" t="s">
        <v>35</v>
      </c>
      <c r="C355" s="15" t="s">
        <v>28</v>
      </c>
      <c r="D355" s="15" t="s">
        <v>29</v>
      </c>
      <c r="E355" s="30">
        <f>H354</f>
        <v>-1306614.7796983907</v>
      </c>
      <c r="F355" s="37">
        <f>IFERROR(SUMIFS('Demand Inputs'!$FV$5:$FV$202,'Demand Inputs'!$A$5:$A$202,"47mg LP",'Demand Inputs'!$B$5:$B$202,"&lt;&gt;AGGREGATE",'Demand Inputs'!$E$5:$E$202,1),0)</f>
        <v>728.174222224696</v>
      </c>
      <c r="G355" s="37">
        <f t="array" ref="G355">IFERROR(SUMPRODUCT(('Production Inputs'!$A:$A="47mg LP")*('Production Inputs'!$B:$B="TOTAL ACTIVE")*'Production Inputs'!$GB:$GB),0)</f>
        <v>0</v>
      </c>
      <c r="H355" s="30">
        <f t="shared" si="35"/>
        <v>-1307342.9539206154</v>
      </c>
      <c r="I355" s="30">
        <f ca="1">IFERROR(AVERAGEIF(OFFSET(F355,0,0,MIN(Controls!$B$8,COUNTIF(B355:B$1973,B355)),1),"&gt;"&amp;0),0)</f>
        <v>672.27174103282073</v>
      </c>
      <c r="J355" s="38">
        <f t="shared" ca="1" si="36"/>
        <v>-1944.6644476118029</v>
      </c>
      <c r="K355" s="30">
        <f t="shared" ca="1" si="40"/>
        <v>1310000</v>
      </c>
      <c r="L355" t="str">
        <f t="shared" si="37"/>
        <v>High</v>
      </c>
      <c r="M355" s="39">
        <f>IFERROR(VLOOKUP("47mg LP",Controls!A:I,7,0),6)</f>
        <v>9</v>
      </c>
      <c r="N355" s="39">
        <f>IFERROR(VLOOKUP("47mg LP",Controls!A:I,8,0),3)</f>
        <v>8</v>
      </c>
      <c r="O355" s="39">
        <f>IFERROR(VLOOKUP("47mg LP",Controls!A:I,9,0),18)</f>
        <v>18</v>
      </c>
      <c r="P355" s="40">
        <f>IFERROR(VLOOKUP("47mg LP",Controls!A:J,5,0),0)</f>
        <v>10000</v>
      </c>
      <c r="Q355" s="39">
        <f>IFERROR(VLOOKUP("47mg LP",Controls!A:J,6,0),3)</f>
        <v>3</v>
      </c>
      <c r="R355" s="21" t="str">
        <f>IFERROR(VLOOKUP("47mg LP",Controls!A:K,10,0),"")</f>
        <v>Fisher / ThermoFisher Allentown</v>
      </c>
      <c r="S355" s="41">
        <f t="shared" si="38"/>
        <v>51196</v>
      </c>
      <c r="T355" s="30">
        <f t="shared" si="39"/>
        <v>0</v>
      </c>
      <c r="AB355">
        <f t="shared" si="41"/>
        <v>1349168.4850182394</v>
      </c>
    </row>
    <row r="356" spans="1:28" ht="13" customHeight="1" x14ac:dyDescent="0.35">
      <c r="A356" s="153">
        <v>51318</v>
      </c>
      <c r="B356" s="36" t="s">
        <v>35</v>
      </c>
      <c r="C356" s="15" t="s">
        <v>28</v>
      </c>
      <c r="D356" s="15" t="s">
        <v>29</v>
      </c>
      <c r="E356" s="30">
        <f>H355</f>
        <v>-1307342.9539206154</v>
      </c>
      <c r="F356" s="37">
        <f>IFERROR(SUMIFS('Demand Inputs'!$FW$5:$FW$202,'Demand Inputs'!$A$5:$A$202,"47mg LP",'Demand Inputs'!$B$5:$B$202,"&lt;&gt;AGGREGATE",'Demand Inputs'!$E$5:$E$202,1),0)</f>
        <v>597.407714725294</v>
      </c>
      <c r="G356" s="37">
        <f t="array" ref="G356">IFERROR(SUMPRODUCT(('Production Inputs'!$A:$A="47mg LP")*('Production Inputs'!$B:$B="TOTAL ACTIVE")*'Production Inputs'!$GC:$GC),0)</f>
        <v>0</v>
      </c>
      <c r="H356" s="30">
        <f t="shared" si="35"/>
        <v>-1307940.3616353406</v>
      </c>
      <c r="I356" s="30">
        <f ca="1">IFERROR(AVERAGEIF(OFFSET(F356,0,0,MIN(Controls!$B$8,COUNTIF(B356:B$1973,B356)),1),"&gt;"&amp;0),0)</f>
        <v>662.95466083417489</v>
      </c>
      <c r="J356" s="38">
        <f t="shared" ca="1" si="36"/>
        <v>-1972.8956426516418</v>
      </c>
      <c r="K356" s="30">
        <f t="shared" ca="1" si="40"/>
        <v>1310000</v>
      </c>
      <c r="L356" t="str">
        <f t="shared" si="37"/>
        <v>High</v>
      </c>
      <c r="M356" s="39">
        <f>IFERROR(VLOOKUP("47mg LP",Controls!A:I,7,0),6)</f>
        <v>9</v>
      </c>
      <c r="N356" s="39">
        <f>IFERROR(VLOOKUP("47mg LP",Controls!A:I,8,0),3)</f>
        <v>8</v>
      </c>
      <c r="O356" s="39">
        <f>IFERROR(VLOOKUP("47mg LP",Controls!A:I,9,0),18)</f>
        <v>18</v>
      </c>
      <c r="P356" s="40">
        <f>IFERROR(VLOOKUP("47mg LP",Controls!A:J,5,0),0)</f>
        <v>10000</v>
      </c>
      <c r="Q356" s="39">
        <f>IFERROR(VLOOKUP("47mg LP",Controls!A:J,6,0),3)</f>
        <v>3</v>
      </c>
      <c r="R356" s="21" t="str">
        <f>IFERROR(VLOOKUP("47mg LP",Controls!A:K,10,0),"")</f>
        <v>Fisher / ThermoFisher Allentown</v>
      </c>
      <c r="S356" s="41">
        <f t="shared" si="38"/>
        <v>51227</v>
      </c>
      <c r="T356" s="30">
        <f t="shared" si="39"/>
        <v>0</v>
      </c>
      <c r="AB356">
        <f t="shared" si="41"/>
        <v>1349765.8927329646</v>
      </c>
    </row>
    <row r="357" spans="1:28" ht="13" customHeight="1" x14ac:dyDescent="0.35">
      <c r="A357" s="153">
        <v>51349</v>
      </c>
      <c r="B357" s="36" t="s">
        <v>35</v>
      </c>
      <c r="C357" s="15" t="s">
        <v>28</v>
      </c>
      <c r="D357" s="15" t="s">
        <v>29</v>
      </c>
      <c r="E357" s="30">
        <f>H356</f>
        <v>-1307940.3616353406</v>
      </c>
      <c r="F357" s="37">
        <f>IFERROR(SUMIFS('Demand Inputs'!$FX$5:$FX$202,'Demand Inputs'!$A$5:$A$202,"47mg LP",'Demand Inputs'!$B$5:$B$202,"&lt;&gt;AGGREGATE",'Demand Inputs'!$E$5:$E$202,1),0)</f>
        <v>691.13255506030441</v>
      </c>
      <c r="G357" s="37">
        <f t="array" ref="G357">IFERROR(SUMPRODUCT(('Production Inputs'!$A:$A="47mg LP")*('Production Inputs'!$B:$B="TOTAL ACTIVE")*'Production Inputs'!$GD:$GD),0)</f>
        <v>0</v>
      </c>
      <c r="H357" s="30">
        <f t="shared" si="35"/>
        <v>-1308631.4941904009</v>
      </c>
      <c r="I357" s="30">
        <f ca="1">IFERROR(AVERAGEIF(OFFSET(F357,0,0,MIN(Controls!$B$8,COUNTIF(B357:B$1973,B357)),1),"&gt;"&amp;0),0)</f>
        <v>676.06405005595116</v>
      </c>
      <c r="J357" s="38">
        <f t="shared" ca="1" si="36"/>
        <v>-1935.6620043353857</v>
      </c>
      <c r="K357" s="30">
        <f t="shared" ca="1" si="40"/>
        <v>1310000</v>
      </c>
      <c r="L357" t="str">
        <f t="shared" si="37"/>
        <v>High</v>
      </c>
      <c r="M357" s="39">
        <f>IFERROR(VLOOKUP("47mg LP",Controls!A:I,7,0),6)</f>
        <v>9</v>
      </c>
      <c r="N357" s="39">
        <f>IFERROR(VLOOKUP("47mg LP",Controls!A:I,8,0),3)</f>
        <v>8</v>
      </c>
      <c r="O357" s="39">
        <f>IFERROR(VLOOKUP("47mg LP",Controls!A:I,9,0),18)</f>
        <v>18</v>
      </c>
      <c r="P357" s="40">
        <f>IFERROR(VLOOKUP("47mg LP",Controls!A:J,5,0),0)</f>
        <v>10000</v>
      </c>
      <c r="Q357" s="39">
        <f>IFERROR(VLOOKUP("47mg LP",Controls!A:J,6,0),3)</f>
        <v>3</v>
      </c>
      <c r="R357" s="21" t="str">
        <f>IFERROR(VLOOKUP("47mg LP",Controls!A:K,10,0),"")</f>
        <v>Fisher / ThermoFisher Allentown</v>
      </c>
      <c r="S357" s="41">
        <f t="shared" si="38"/>
        <v>51257</v>
      </c>
      <c r="T357" s="30">
        <f t="shared" si="39"/>
        <v>0</v>
      </c>
      <c r="AB357">
        <f t="shared" si="41"/>
        <v>1350457.0252880249</v>
      </c>
    </row>
    <row r="358" spans="1:28" ht="13" customHeight="1" x14ac:dyDescent="0.35">
      <c r="A358" s="153">
        <v>51380</v>
      </c>
      <c r="B358" s="36" t="s">
        <v>35</v>
      </c>
      <c r="C358" s="15" t="s">
        <v>28</v>
      </c>
      <c r="D358" s="15" t="s">
        <v>29</v>
      </c>
      <c r="E358" s="30">
        <f>H357</f>
        <v>-1308631.4941904009</v>
      </c>
      <c r="F358" s="37">
        <f>IFERROR(SUMIFS('Demand Inputs'!$FY$5:$FY$202,'Demand Inputs'!$A$5:$A$202,"47mg LP",'Demand Inputs'!$B$5:$B$202,"&lt;&gt;AGGREGATE",'Demand Inputs'!$E$5:$E$202,1),0)</f>
        <v>790.4616381433591</v>
      </c>
      <c r="G358" s="37">
        <f t="array" ref="G358">IFERROR(SUMPRODUCT(('Production Inputs'!$A:$A="47mg LP")*('Production Inputs'!$B:$B="TOTAL ACTIVE")*'Production Inputs'!$GE:$GE),0)</f>
        <v>0</v>
      </c>
      <c r="H358" s="30">
        <f t="shared" si="35"/>
        <v>-1309421.9558285442</v>
      </c>
      <c r="I358" s="30">
        <f ca="1">IFERROR(AVERAGEIF(OFFSET(F358,0,0,MIN(Controls!$B$8,COUNTIF(B358:B$1973,B358)),1),"&gt;"&amp;0),0)</f>
        <v>672.2969238048629</v>
      </c>
      <c r="J358" s="38">
        <f t="shared" ca="1" si="36"/>
        <v>-1947.6839912011997</v>
      </c>
      <c r="K358" s="30">
        <f t="shared" ca="1" si="40"/>
        <v>1320000</v>
      </c>
      <c r="L358" t="str">
        <f t="shared" si="37"/>
        <v>High</v>
      </c>
      <c r="M358" s="39">
        <f>IFERROR(VLOOKUP("47mg LP",Controls!A:I,7,0),6)</f>
        <v>9</v>
      </c>
      <c r="N358" s="39">
        <f>IFERROR(VLOOKUP("47mg LP",Controls!A:I,8,0),3)</f>
        <v>8</v>
      </c>
      <c r="O358" s="39">
        <f>IFERROR(VLOOKUP("47mg LP",Controls!A:I,9,0),18)</f>
        <v>18</v>
      </c>
      <c r="P358" s="40">
        <f>IFERROR(VLOOKUP("47mg LP",Controls!A:J,5,0),0)</f>
        <v>10000</v>
      </c>
      <c r="Q358" s="39">
        <f>IFERROR(VLOOKUP("47mg LP",Controls!A:J,6,0),3)</f>
        <v>3</v>
      </c>
      <c r="R358" s="21" t="str">
        <f>IFERROR(VLOOKUP("47mg LP",Controls!A:K,10,0),"")</f>
        <v>Fisher / ThermoFisher Allentown</v>
      </c>
      <c r="S358" s="41">
        <f t="shared" si="38"/>
        <v>51288</v>
      </c>
      <c r="T358" s="30">
        <f t="shared" si="39"/>
        <v>0</v>
      </c>
      <c r="AB358">
        <f t="shared" si="41"/>
        <v>1351247.4869261682</v>
      </c>
    </row>
    <row r="359" spans="1:28" ht="13" customHeight="1" x14ac:dyDescent="0.35">
      <c r="A359" s="153">
        <v>51410</v>
      </c>
      <c r="B359" s="36" t="s">
        <v>35</v>
      </c>
      <c r="C359" s="15" t="s">
        <v>28</v>
      </c>
      <c r="D359" s="15" t="s">
        <v>29</v>
      </c>
      <c r="E359" s="30">
        <f>H358</f>
        <v>-1309421.9558285442</v>
      </c>
      <c r="F359" s="37">
        <f>IFERROR(SUMIFS('Demand Inputs'!$FZ$5:$FZ$202,'Demand Inputs'!$A$5:$A$202,"47mg LP",'Demand Inputs'!$B$5:$B$202,"&lt;&gt;AGGREGATE",'Demand Inputs'!$E$5:$E$202,1),0)</f>
        <v>525.80961706373205</v>
      </c>
      <c r="G359" s="37">
        <f t="array" ref="G359">IFERROR(SUMPRODUCT(('Production Inputs'!$A:$A="47mg LP")*('Production Inputs'!$B:$B="TOTAL ACTIVE")*'Production Inputs'!$GF:$GF),0)</f>
        <v>0</v>
      </c>
      <c r="H359" s="30">
        <f t="shared" si="35"/>
        <v>-1309947.7654456079</v>
      </c>
      <c r="I359" s="30">
        <f ca="1">IFERROR(AVERAGEIF(OFFSET(F359,0,0,MIN(Controls!$B$8,COUNTIF(B359:B$1973,B359)),1),"&gt;"&amp;0),0)</f>
        <v>632.90868569203076</v>
      </c>
      <c r="J359" s="38">
        <f t="shared" ca="1" si="36"/>
        <v>-2069.7263208092863</v>
      </c>
      <c r="K359" s="30">
        <f t="shared" ca="1" si="40"/>
        <v>1320000</v>
      </c>
      <c r="L359" t="str">
        <f t="shared" si="37"/>
        <v>High</v>
      </c>
      <c r="M359" s="39">
        <f>IFERROR(VLOOKUP("47mg LP",Controls!A:I,7,0),6)</f>
        <v>9</v>
      </c>
      <c r="N359" s="39">
        <f>IFERROR(VLOOKUP("47mg LP",Controls!A:I,8,0),3)</f>
        <v>8</v>
      </c>
      <c r="O359" s="39">
        <f>IFERROR(VLOOKUP("47mg LP",Controls!A:I,9,0),18)</f>
        <v>18</v>
      </c>
      <c r="P359" s="40">
        <f>IFERROR(VLOOKUP("47mg LP",Controls!A:J,5,0),0)</f>
        <v>10000</v>
      </c>
      <c r="Q359" s="39">
        <f>IFERROR(VLOOKUP("47mg LP",Controls!A:J,6,0),3)</f>
        <v>3</v>
      </c>
      <c r="R359" s="21" t="str">
        <f>IFERROR(VLOOKUP("47mg LP",Controls!A:K,10,0),"")</f>
        <v>Fisher / ThermoFisher Allentown</v>
      </c>
      <c r="S359" s="41">
        <f t="shared" si="38"/>
        <v>51318</v>
      </c>
      <c r="T359" s="30">
        <f t="shared" si="39"/>
        <v>0</v>
      </c>
      <c r="AB359">
        <f t="shared" si="41"/>
        <v>1351773.2965432319</v>
      </c>
    </row>
    <row r="360" spans="1:28" ht="13" customHeight="1" x14ac:dyDescent="0.35">
      <c r="A360" s="153">
        <v>51441</v>
      </c>
      <c r="B360" s="36" t="s">
        <v>35</v>
      </c>
      <c r="C360" s="15" t="s">
        <v>28</v>
      </c>
      <c r="D360" s="15" t="s">
        <v>29</v>
      </c>
      <c r="E360" s="30">
        <f>H359</f>
        <v>-1309947.7654456079</v>
      </c>
      <c r="F360" s="37">
        <f>IFERROR(SUMIFS('Demand Inputs'!$GA$5:$GA$202,'Demand Inputs'!$A$5:$A$202,"47mg LP",'Demand Inputs'!$B$5:$B$202,"&lt;&gt;AGGREGATE",'Demand Inputs'!$E$5:$E$202,1),0)</f>
        <v>771.68812886023466</v>
      </c>
      <c r="G360" s="37">
        <f t="array" ref="G360">IFERROR(SUMPRODUCT(('Production Inputs'!$A:$A="47mg LP")*('Production Inputs'!$B:$B="TOTAL ACTIVE")*'Production Inputs'!$GG:$GG),0)</f>
        <v>0</v>
      </c>
      <c r="H360" s="30">
        <f t="shared" si="35"/>
        <v>-1310719.4535744681</v>
      </c>
      <c r="I360" s="30">
        <f ca="1">IFERROR(AVERAGEIF(OFFSET(F360,0,0,MIN(Controls!$B$8,COUNTIF(B360:B$1973,B360)),1),"&gt;"&amp;0),0)</f>
        <v>686.45822000618011</v>
      </c>
      <c r="J360" s="38">
        <f t="shared" ca="1" si="36"/>
        <v>-1909.3943598820447</v>
      </c>
      <c r="K360" s="30">
        <f t="shared" ca="1" si="40"/>
        <v>1320000</v>
      </c>
      <c r="L360" t="str">
        <f t="shared" si="37"/>
        <v>High</v>
      </c>
      <c r="M360" s="39">
        <f>IFERROR(VLOOKUP("47mg LP",Controls!A:I,7,0),6)</f>
        <v>9</v>
      </c>
      <c r="N360" s="39">
        <f>IFERROR(VLOOKUP("47mg LP",Controls!A:I,8,0),3)</f>
        <v>8</v>
      </c>
      <c r="O360" s="39">
        <f>IFERROR(VLOOKUP("47mg LP",Controls!A:I,9,0),18)</f>
        <v>18</v>
      </c>
      <c r="P360" s="40">
        <f>IFERROR(VLOOKUP("47mg LP",Controls!A:J,5,0),0)</f>
        <v>10000</v>
      </c>
      <c r="Q360" s="39">
        <f>IFERROR(VLOOKUP("47mg LP",Controls!A:J,6,0),3)</f>
        <v>3</v>
      </c>
      <c r="R360" s="21" t="str">
        <f>IFERROR(VLOOKUP("47mg LP",Controls!A:K,10,0),"")</f>
        <v>Fisher / ThermoFisher Allentown</v>
      </c>
      <c r="S360" s="41">
        <f t="shared" si="38"/>
        <v>51349</v>
      </c>
      <c r="T360" s="30">
        <f t="shared" si="39"/>
        <v>0</v>
      </c>
      <c r="AB360">
        <f t="shared" si="41"/>
        <v>1352544.9846720921</v>
      </c>
    </row>
    <row r="361" spans="1:28" ht="13" customHeight="1" x14ac:dyDescent="0.35">
      <c r="A361" s="153">
        <v>51471</v>
      </c>
      <c r="B361" s="36" t="s">
        <v>35</v>
      </c>
      <c r="C361" s="15" t="s">
        <v>28</v>
      </c>
      <c r="D361" s="15" t="s">
        <v>29</v>
      </c>
      <c r="E361" s="30">
        <f>H360</f>
        <v>-1310719.4535744681</v>
      </c>
      <c r="F361" s="37">
        <f>IFERROR(SUMIFS('Demand Inputs'!$GB$5:$GB$202,'Demand Inputs'!$A$5:$A$202,"47mg LP",'Demand Inputs'!$B$5:$B$202,"&lt;&gt;AGGREGATE",'Demand Inputs'!$E$5:$E$202,1),0)</f>
        <v>601.22831115212557</v>
      </c>
      <c r="G361" s="37">
        <f t="array" ref="G361">IFERROR(SUMPRODUCT(('Production Inputs'!$A:$A="47mg LP")*('Production Inputs'!$B:$B="TOTAL ACTIVE")*'Production Inputs'!$GH:$GH),0)</f>
        <v>0</v>
      </c>
      <c r="H361" s="30">
        <f t="shared" si="35"/>
        <v>-1311320.6818856203</v>
      </c>
      <c r="I361" s="30">
        <f ca="1">IFERROR(AVERAGEIF(OFFSET(F361,0,0,MIN(Controls!$B$8,COUNTIF(B361:B$1973,B361)),1),"&gt;"&amp;0),0)</f>
        <v>601.22831115212557</v>
      </c>
      <c r="J361" s="38">
        <f t="shared" ca="1" si="36"/>
        <v>-2181.0694166626226</v>
      </c>
      <c r="K361" s="30">
        <f t="shared" ca="1" si="40"/>
        <v>1320000</v>
      </c>
      <c r="L361" t="str">
        <f t="shared" si="37"/>
        <v>High</v>
      </c>
      <c r="M361" s="39">
        <f>IFERROR(VLOOKUP("47mg LP",Controls!A:I,7,0),6)</f>
        <v>9</v>
      </c>
      <c r="N361" s="39">
        <f>IFERROR(VLOOKUP("47mg LP",Controls!A:I,8,0),3)</f>
        <v>8</v>
      </c>
      <c r="O361" s="39">
        <f>IFERROR(VLOOKUP("47mg LP",Controls!A:I,9,0),18)</f>
        <v>18</v>
      </c>
      <c r="P361" s="40">
        <f>IFERROR(VLOOKUP("47mg LP",Controls!A:J,5,0),0)</f>
        <v>10000</v>
      </c>
      <c r="Q361" s="39">
        <f>IFERROR(VLOOKUP("47mg LP",Controls!A:J,6,0),3)</f>
        <v>3</v>
      </c>
      <c r="R361" s="21" t="str">
        <f>IFERROR(VLOOKUP("47mg LP",Controls!A:K,10,0),"")</f>
        <v>Fisher / ThermoFisher Allentown</v>
      </c>
      <c r="S361" s="41">
        <f t="shared" si="38"/>
        <v>51380</v>
      </c>
      <c r="T361" s="30">
        <f t="shared" si="39"/>
        <v>0</v>
      </c>
      <c r="AB361">
        <f t="shared" si="41"/>
        <v>1353146.2129832443</v>
      </c>
    </row>
    <row r="362" spans="1:28" ht="13" customHeight="1" x14ac:dyDescent="0.35">
      <c r="A362" s="153">
        <v>46054</v>
      </c>
      <c r="B362" s="36" t="s">
        <v>36</v>
      </c>
      <c r="C362" s="15" t="s">
        <v>38</v>
      </c>
      <c r="D362" s="15" t="s">
        <v>29</v>
      </c>
      <c r="E362" s="199">
        <f>IFERROR(VLOOKUP("200mg DP",Controls!A:D,4,0),0)</f>
        <v>21528</v>
      </c>
      <c r="F362" s="199" cm="1">
        <f t="array" ref="F362">IFERROR((SUMPRODUCT(('Production Inputs'!$A:$A="188mg LP")*('Production Inputs'!$B:$B="TOTAL ACTIVE")*'Production Inputs'!$L:$L)+SUMPRODUCT(('Production Inputs'!$A:$A="188mg LP - EU Stock")*('Production Inputs'!$B:$B="TOTAL ACTIVE")*'Production Inputs'!$L:$L))*Dependencies!$D$4,0)</f>
        <v>0</v>
      </c>
      <c r="G362" s="199">
        <f t="array" ref="G362">IFERROR(SUMPRODUCT(('Production Inputs'!$A:$A="200mg DP")*('Production Inputs'!$B:$B="TOTAL ACTIVE")*'Production Inputs'!$L:$L),0)</f>
        <v>0</v>
      </c>
      <c r="H362" s="199">
        <f t="shared" si="35"/>
        <v>21528</v>
      </c>
      <c r="I362" s="30">
        <f ca="1">IFERROR(AVERAGEIF(OFFSET(F362,0,0,MIN(Controls!$B$8,COUNTIF(B362:B$1973,B362)),1),"&gt;"&amp;0),0)</f>
        <v>17550</v>
      </c>
      <c r="J362" s="38">
        <f t="shared" ca="1" si="36"/>
        <v>1.2266666666666666</v>
      </c>
      <c r="K362" s="30">
        <f t="shared" ca="1" si="40"/>
        <v>129600</v>
      </c>
      <c r="L362" t="str">
        <f t="shared" ca="1" si="37"/>
        <v>High</v>
      </c>
      <c r="M362" s="39">
        <f>IFERROR(VLOOKUP("200mg DP",Controls!A:I,7,0),6)</f>
        <v>9</v>
      </c>
      <c r="N362" s="39">
        <f>IFERROR(VLOOKUP("200mg DP",Controls!A:I,8,0),3)</f>
        <v>8</v>
      </c>
      <c r="O362" s="39">
        <f>IFERROR(VLOOKUP("200mg DP",Controls!A:I,9,0),18)</f>
        <v>18</v>
      </c>
      <c r="P362" s="40">
        <f>IFERROR(VLOOKUP("200mg DP",Controls!A:J,5,0),0)</f>
        <v>16200</v>
      </c>
      <c r="Q362" s="39">
        <f>IFERROR(VLOOKUP("200mg DP",Controls!A:J,6,0),3)</f>
        <v>5</v>
      </c>
      <c r="R362" s="21" t="str">
        <f>IFERROR(VLOOKUP("200mg DP",Controls!A:K,10,0),"")</f>
        <v>Catalent</v>
      </c>
      <c r="S362" s="41">
        <f t="shared" si="38"/>
        <v>45901</v>
      </c>
      <c r="T362" s="30">
        <f t="shared" si="39"/>
        <v>0</v>
      </c>
      <c r="W362" s="205" cm="1">
        <f t="array" ref="W362">IF(0&lt;Controls!$B$7,INDEX(A362:A540,MATCH(Controls!$B$5,A362:A540,1)+0),NA())</f>
        <v>46113</v>
      </c>
      <c r="X362" cm="1">
        <f t="array" ref="X362">IF(0&lt;Controls!$B$7,INDEX(F362:F540,MATCH(Controls!$B$5,A362:A540,1)+0),NA())</f>
        <v>0</v>
      </c>
      <c r="Y362" cm="1">
        <f t="array" ref="Y362">IF(0&lt;Controls!$B$7,INDEX(G362:G540,MATCH(Controls!$B$5,A362:A540,1)+0),NA())</f>
        <v>16200</v>
      </c>
      <c r="Z362" cm="1">
        <f t="array" ref="Z362">IF(0&lt;Controls!$B$7,INDEX(H362:H540,MATCH(Controls!$B$5,A362:A540,1)+0),NA())</f>
        <v>21528</v>
      </c>
      <c r="AA362" cm="1">
        <f t="array" aca="1" ref="AA362" ca="1">IF(0&lt;Controls!$B$7,INDEX(M362:M540,MATCH(Controls!$B$5,A362:A540,1)+0)*INDEX(I362:I540,MATCH(Controls!$B$5,A362:A540,1)+0),NA())</f>
        <v>157950</v>
      </c>
      <c r="AB362">
        <f t="shared" si="41"/>
        <v>0</v>
      </c>
    </row>
    <row r="363" spans="1:28" ht="13" customHeight="1" x14ac:dyDescent="0.35">
      <c r="A363" s="153">
        <v>46082</v>
      </c>
      <c r="B363" s="36" t="s">
        <v>36</v>
      </c>
      <c r="C363" s="15" t="s">
        <v>38</v>
      </c>
      <c r="D363" s="15" t="s">
        <v>29</v>
      </c>
      <c r="E363" s="199">
        <f>H362</f>
        <v>21528</v>
      </c>
      <c r="F363" s="199" cm="1">
        <f t="array" ref="F363">IFERROR((SUMPRODUCT(('Production Inputs'!$A:$A="188mg LP")*('Production Inputs'!$B:$B="TOTAL ACTIVE")*'Production Inputs'!$M:$M)+SUMPRODUCT(('Production Inputs'!$A:$A="188mg LP - EU Stock")*('Production Inputs'!$B:$B="TOTAL ACTIVE")*'Production Inputs'!$M:$M))*Dependencies!$D$4,0)</f>
        <v>0</v>
      </c>
      <c r="G363" s="199">
        <f t="array" ref="G363">IFERROR(SUMPRODUCT(('Production Inputs'!$A:$A="200mg DP")*('Production Inputs'!$B:$B="TOTAL ACTIVE")*'Production Inputs'!$M:$M),0)</f>
        <v>0</v>
      </c>
      <c r="H363" s="199">
        <v>20902</v>
      </c>
      <c r="I363" s="30">
        <f ca="1">IFERROR(AVERAGEIF(OFFSET(F363,0,0,MIN(Controls!$B$8,COUNTIF(B363:B$1973,B363)),1),"&gt;"&amp;0),0)</f>
        <v>17550</v>
      </c>
      <c r="J363" s="38">
        <f t="shared" ca="1" si="36"/>
        <v>1.1909971509971511</v>
      </c>
      <c r="K363" s="30">
        <f t="shared" ca="1" si="40"/>
        <v>129600</v>
      </c>
      <c r="L363" t="str">
        <f t="shared" ca="1" si="37"/>
        <v>High</v>
      </c>
      <c r="M363" s="39">
        <f>IFERROR(VLOOKUP("200mg DP",Controls!A:I,7,0),6)</f>
        <v>9</v>
      </c>
      <c r="N363" s="39">
        <f>IFERROR(VLOOKUP("200mg DP",Controls!A:I,8,0),3)</f>
        <v>8</v>
      </c>
      <c r="O363" s="39">
        <f>IFERROR(VLOOKUP("200mg DP",Controls!A:I,9,0),18)</f>
        <v>18</v>
      </c>
      <c r="P363" s="40">
        <f>IFERROR(VLOOKUP("200mg DP",Controls!A:J,5,0),0)</f>
        <v>16200</v>
      </c>
      <c r="Q363" s="39">
        <f>IFERROR(VLOOKUP("200mg DP",Controls!A:J,6,0),3)</f>
        <v>5</v>
      </c>
      <c r="R363" s="21" t="str">
        <f>IFERROR(VLOOKUP("200mg DP",Controls!A:K,10,0),"")</f>
        <v>Catalent</v>
      </c>
      <c r="S363" s="41">
        <f t="shared" si="38"/>
        <v>45931</v>
      </c>
      <c r="T363" s="30">
        <f t="shared" si="39"/>
        <v>0</v>
      </c>
      <c r="W363" s="205" cm="1">
        <f t="array" ref="W363">IF(1&lt;Controls!$B$7,INDEX(A362:A540,MATCH(Controls!$B$5,A362:A540,1)+1),NA())</f>
        <v>46143</v>
      </c>
      <c r="X363" cm="1">
        <f t="array" ref="X363">IF(1&lt;Controls!$B$7,INDEX(F362:F540,MATCH(Controls!$B$5,A362:A540,1)+1),NA())</f>
        <v>0</v>
      </c>
      <c r="Y363" cm="1">
        <f t="array" ref="Y363">IF(1&lt;Controls!$B$7,INDEX(G362:G540,MATCH(Controls!$B$5,A362:A540,1)+1),NA())</f>
        <v>0</v>
      </c>
      <c r="Z363" cm="1">
        <f t="array" ref="Z363">IF(1&lt;Controls!$B$7,INDEX(H362:H540,MATCH(Controls!$B$5,A362:A540,1)+1),NA())</f>
        <v>21528</v>
      </c>
      <c r="AA363" cm="1">
        <f t="array" aca="1" ref="AA363" ca="1">IF(1&lt;Controls!$B$7,INDEX(M362:M540,MATCH(Controls!$B$5,A362:A540,1)+1)*INDEX(I362:I540,MATCH(Controls!$B$5,A362:A540,1)+1),NA())</f>
        <v>157950</v>
      </c>
      <c r="AB363">
        <f t="shared" si="41"/>
        <v>0</v>
      </c>
    </row>
    <row r="364" spans="1:28" ht="13" customHeight="1" x14ac:dyDescent="0.35">
      <c r="A364" s="153">
        <v>46113</v>
      </c>
      <c r="B364" s="36" t="s">
        <v>36</v>
      </c>
      <c r="C364" s="15" t="s">
        <v>38</v>
      </c>
      <c r="D364" s="15" t="s">
        <v>29</v>
      </c>
      <c r="E364" s="390">
        <f>H363</f>
        <v>20902</v>
      </c>
      <c r="F364" s="391" cm="1">
        <f t="array" ref="F364">IFERROR((SUMPRODUCT(('Production Inputs'!$A:$A="188mg LP")*('Production Inputs'!$B:$B="TOTAL ACTIVE")*'Production Inputs'!$N:$N)+SUMPRODUCT(('Production Inputs'!$A:$A="188mg LP - EU Stock")*('Production Inputs'!$B:$B="TOTAL ACTIVE")*'Production Inputs'!$N:$N))*Dependencies!$D$4,0)</f>
        <v>0</v>
      </c>
      <c r="G364" s="391">
        <f t="array" ref="G364">IFERROR(SUMPRODUCT(('Production Inputs'!$A:$A="200mg DP")*('Production Inputs'!$B:$B="TOTAL ACTIVE")*'Production Inputs'!$N:$N),0)</f>
        <v>16200</v>
      </c>
      <c r="H364" s="390">
        <v>21528</v>
      </c>
      <c r="I364" s="30">
        <f ca="1">IFERROR(AVERAGEIF(OFFSET(F364,0,0,MIN(Controls!$B$8,COUNTIF(B364:B$1973,B364)),1),"&gt;"&amp;0),0)</f>
        <v>17550</v>
      </c>
      <c r="J364" s="38">
        <f t="shared" ca="1" si="36"/>
        <v>1.2266666666666666</v>
      </c>
      <c r="K364" s="30">
        <f t="shared" ca="1" si="40"/>
        <v>129600</v>
      </c>
      <c r="L364" t="str">
        <f t="shared" ca="1" si="37"/>
        <v>High</v>
      </c>
      <c r="M364" s="39">
        <f>IFERROR(VLOOKUP("200mg DP",Controls!A:I,7,0),6)</f>
        <v>9</v>
      </c>
      <c r="N364" s="39">
        <f>IFERROR(VLOOKUP("200mg DP",Controls!A:I,8,0),3)</f>
        <v>8</v>
      </c>
      <c r="O364" s="39">
        <f>IFERROR(VLOOKUP("200mg DP",Controls!A:I,9,0),18)</f>
        <v>18</v>
      </c>
      <c r="P364" s="40">
        <f>IFERROR(VLOOKUP("200mg DP",Controls!A:J,5,0),0)</f>
        <v>16200</v>
      </c>
      <c r="Q364" s="39">
        <f>IFERROR(VLOOKUP("200mg DP",Controls!A:J,6,0),3)</f>
        <v>5</v>
      </c>
      <c r="R364" s="21" t="str">
        <f>IFERROR(VLOOKUP("200mg DP",Controls!A:K,10,0),"")</f>
        <v>Catalent</v>
      </c>
      <c r="S364" s="41">
        <f t="shared" si="38"/>
        <v>45962</v>
      </c>
      <c r="T364" s="30">
        <f t="shared" si="39"/>
        <v>16200</v>
      </c>
      <c r="W364" s="205" cm="1">
        <f t="array" ref="W364">IF(2&lt;Controls!$B$7,INDEX(A362:A540,MATCH(Controls!$B$5,A362:A540,1)+2),NA())</f>
        <v>46174</v>
      </c>
      <c r="X364" cm="1">
        <f t="array" ref="X364">IF(2&lt;Controls!$B$7,INDEX(F362:F540,MATCH(Controls!$B$5,A362:A540,1)+2),NA())</f>
        <v>2700</v>
      </c>
      <c r="Y364" cm="1">
        <f t="array" ref="Y364">IF(2&lt;Controls!$B$7,INDEX(G362:G540,MATCH(Controls!$B$5,A362:A540,1)+2),NA())</f>
        <v>16200</v>
      </c>
      <c r="Z364" cm="1">
        <f t="array" ref="Z364">IF(2&lt;Controls!$B$7,INDEX(H362:H540,MATCH(Controls!$B$5,A362:A540,1)+2),NA())</f>
        <v>35028</v>
      </c>
      <c r="AA364" cm="1">
        <f t="array" aca="1" ref="AA364" ca="1">IF(2&lt;Controls!$B$7,INDEX(M362:M540,MATCH(Controls!$B$5,A362:A540,1)+2)*INDEX(I362:I540,MATCH(Controls!$B$5,A362:A540,1)+2),NA())</f>
        <v>157950</v>
      </c>
      <c r="AB364">
        <f t="shared" si="41"/>
        <v>0</v>
      </c>
    </row>
    <row r="365" spans="1:28" ht="13" customHeight="1" x14ac:dyDescent="0.35">
      <c r="A365" s="153">
        <v>46143</v>
      </c>
      <c r="B365" s="36" t="s">
        <v>36</v>
      </c>
      <c r="C365" s="15" t="s">
        <v>38</v>
      </c>
      <c r="D365" s="15" t="s">
        <v>29</v>
      </c>
      <c r="E365" s="30">
        <f>H364</f>
        <v>21528</v>
      </c>
      <c r="F365" s="37" cm="1">
        <f t="array" ref="F365">IFERROR((SUMPRODUCT(('Production Inputs'!$A:$A="188mg LP")*('Production Inputs'!$B:$B="TOTAL ACTIVE")*'Production Inputs'!$O:$O)+SUMPRODUCT(('Production Inputs'!$A:$A="188mg LP - EU Stock")*('Production Inputs'!$B:$B="TOTAL ACTIVE")*'Production Inputs'!$O:$O))*Dependencies!$D$4,0)</f>
        <v>0</v>
      </c>
      <c r="G365" s="37">
        <f t="array" ref="G365">IFERROR(SUMPRODUCT(('Production Inputs'!$A:$A="200mg DP")*('Production Inputs'!$B:$B="TOTAL ACTIVE")*'Production Inputs'!$O:$O),0)</f>
        <v>0</v>
      </c>
      <c r="H365" s="30">
        <f t="shared" si="35"/>
        <v>21528</v>
      </c>
      <c r="I365" s="30">
        <f ca="1">IFERROR(AVERAGEIF(OFFSET(F365,0,0,MIN(Controls!$B$8,COUNTIF(B365:B$1973,B365)),1),"&gt;"&amp;0),0)</f>
        <v>17550</v>
      </c>
      <c r="J365" s="38">
        <f t="shared" ca="1" si="36"/>
        <v>1.2266666666666666</v>
      </c>
      <c r="K365" s="30">
        <f t="shared" ca="1" si="40"/>
        <v>129600</v>
      </c>
      <c r="L365" t="str">
        <f t="shared" ca="1" si="37"/>
        <v>High</v>
      </c>
      <c r="M365" s="39">
        <f>IFERROR(VLOOKUP("200mg DP",Controls!A:I,7,0),6)</f>
        <v>9</v>
      </c>
      <c r="N365" s="39">
        <f>IFERROR(VLOOKUP("200mg DP",Controls!A:I,8,0),3)</f>
        <v>8</v>
      </c>
      <c r="O365" s="39">
        <f>IFERROR(VLOOKUP("200mg DP",Controls!A:I,9,0),18)</f>
        <v>18</v>
      </c>
      <c r="P365" s="40">
        <f>IFERROR(VLOOKUP("200mg DP",Controls!A:J,5,0),0)</f>
        <v>16200</v>
      </c>
      <c r="Q365" s="39">
        <f>IFERROR(VLOOKUP("200mg DP",Controls!A:J,6,0),3)</f>
        <v>5</v>
      </c>
      <c r="R365" s="21" t="str">
        <f>IFERROR(VLOOKUP("200mg DP",Controls!A:K,10,0),"")</f>
        <v>Catalent</v>
      </c>
      <c r="S365" s="41">
        <f t="shared" si="38"/>
        <v>45992</v>
      </c>
      <c r="T365" s="30">
        <f t="shared" si="39"/>
        <v>0</v>
      </c>
      <c r="W365" s="205" cm="1">
        <f t="array" ref="W365">IF(3&lt;Controls!$B$7,INDEX(A362:A540,MATCH(Controls!$B$5,A362:A540,1)+3),NA())</f>
        <v>46204</v>
      </c>
      <c r="X365" cm="1">
        <f t="array" ref="X365">IF(3&lt;Controls!$B$7,INDEX(F362:F540,MATCH(Controls!$B$5,A362:A540,1)+3),NA())</f>
        <v>0</v>
      </c>
      <c r="Y365" cm="1">
        <f t="array" ref="Y365">IF(3&lt;Controls!$B$7,INDEX(G362:G540,MATCH(Controls!$B$5,A362:A540,1)+3),NA())</f>
        <v>0</v>
      </c>
      <c r="Z365" cm="1">
        <f t="array" ref="Z365">IF(3&lt;Controls!$B$7,INDEX(H362:H540,MATCH(Controls!$B$5,A362:A540,1)+3),NA())</f>
        <v>35028</v>
      </c>
      <c r="AA365" cm="1">
        <f t="array" aca="1" ref="AA365" ca="1">IF(3&lt;Controls!$B$7,INDEX(M362:M540,MATCH(Controls!$B$5,A362:A540,1)+3)*INDEX(I362:I540,MATCH(Controls!$B$5,A362:A540,1)+3),NA())</f>
        <v>291600</v>
      </c>
      <c r="AB365">
        <f t="shared" si="41"/>
        <v>0</v>
      </c>
    </row>
    <row r="366" spans="1:28" ht="13" customHeight="1" x14ac:dyDescent="0.35">
      <c r="A366" s="153">
        <v>46174</v>
      </c>
      <c r="B366" s="36" t="s">
        <v>36</v>
      </c>
      <c r="C366" s="15" t="s">
        <v>38</v>
      </c>
      <c r="D366" s="15" t="s">
        <v>29</v>
      </c>
      <c r="E366" s="30">
        <f>H365</f>
        <v>21528</v>
      </c>
      <c r="F366" s="37" cm="1">
        <f t="array" ref="F366">IFERROR((SUMPRODUCT(('Production Inputs'!$A:$A="188mg LP")*('Production Inputs'!$B:$B="TOTAL ACTIVE")*'Production Inputs'!$P:$P)+SUMPRODUCT(('Production Inputs'!$A:$A="188mg LP - EU Stock")*('Production Inputs'!$B:$B="TOTAL ACTIVE")*'Production Inputs'!$P:$P))*Dependencies!$D$4,0)</f>
        <v>2700</v>
      </c>
      <c r="G366" s="37">
        <f t="array" ref="G366">IFERROR(SUMPRODUCT(('Production Inputs'!$A:$A="200mg DP")*('Production Inputs'!$B:$B="TOTAL ACTIVE")*'Production Inputs'!$P:$P),0)</f>
        <v>16200</v>
      </c>
      <c r="H366" s="30">
        <f t="shared" si="35"/>
        <v>35028</v>
      </c>
      <c r="I366" s="30">
        <f ca="1">IFERROR(AVERAGEIF(OFFSET(F366,0,0,MIN(Controls!$B$8,COUNTIF(B366:B$1973,B366)),1),"&gt;"&amp;0),0)</f>
        <v>17550</v>
      </c>
      <c r="J366" s="38">
        <f t="shared" ca="1" si="36"/>
        <v>1.995897435897436</v>
      </c>
      <c r="K366" s="30">
        <f t="shared" ca="1" si="40"/>
        <v>129600</v>
      </c>
      <c r="L366" t="str">
        <f t="shared" ca="1" si="37"/>
        <v>High</v>
      </c>
      <c r="M366" s="39">
        <f>IFERROR(VLOOKUP("200mg DP",Controls!A:I,7,0),6)</f>
        <v>9</v>
      </c>
      <c r="N366" s="39">
        <f>IFERROR(VLOOKUP("200mg DP",Controls!A:I,8,0),3)</f>
        <v>8</v>
      </c>
      <c r="O366" s="39">
        <f>IFERROR(VLOOKUP("200mg DP",Controls!A:I,9,0),18)</f>
        <v>18</v>
      </c>
      <c r="P366" s="40">
        <f>IFERROR(VLOOKUP("200mg DP",Controls!A:J,5,0),0)</f>
        <v>16200</v>
      </c>
      <c r="Q366" s="39">
        <f>IFERROR(VLOOKUP("200mg DP",Controls!A:J,6,0),3)</f>
        <v>5</v>
      </c>
      <c r="R366" s="21" t="str">
        <f>IFERROR(VLOOKUP("200mg DP",Controls!A:K,10,0),"")</f>
        <v>Catalent</v>
      </c>
      <c r="S366" s="41">
        <f t="shared" si="38"/>
        <v>46023</v>
      </c>
      <c r="T366" s="30">
        <f t="shared" si="39"/>
        <v>16200</v>
      </c>
      <c r="W366" s="205" cm="1">
        <f t="array" ref="W366">IF(4&lt;Controls!$B$7,INDEX(A362:A540,MATCH(Controls!$B$5,A362:A540,1)+4),NA())</f>
        <v>46235</v>
      </c>
      <c r="X366" cm="1">
        <f t="array" ref="X366">IF(4&lt;Controls!$B$7,INDEX(F362:F540,MATCH(Controls!$B$5,A362:A540,1)+4),NA())</f>
        <v>0</v>
      </c>
      <c r="Y366" cm="1">
        <f t="array" ref="Y366">IF(4&lt;Controls!$B$7,INDEX(G362:G540,MATCH(Controls!$B$5,A362:A540,1)+4),NA())</f>
        <v>0</v>
      </c>
      <c r="Z366" cm="1">
        <f t="array" ref="Z366">IF(4&lt;Controls!$B$7,INDEX(H362:H540,MATCH(Controls!$B$5,A362:A540,1)+4),NA())</f>
        <v>35028</v>
      </c>
      <c r="AA366" cm="1">
        <f t="array" aca="1" ref="AA366" ca="1">IF(4&lt;Controls!$B$7,INDEX(M362:M540,MATCH(Controls!$B$5,A362:A540,1)+4)*INDEX(I362:I540,MATCH(Controls!$B$5,A362:A540,1)+4),NA())</f>
        <v>291600</v>
      </c>
      <c r="AB366">
        <f t="shared" si="41"/>
        <v>2700</v>
      </c>
    </row>
    <row r="367" spans="1:28" ht="13" customHeight="1" x14ac:dyDescent="0.35">
      <c r="A367" s="153">
        <v>46204</v>
      </c>
      <c r="B367" s="36" t="s">
        <v>36</v>
      </c>
      <c r="C367" s="15" t="s">
        <v>38</v>
      </c>
      <c r="D367" s="15" t="s">
        <v>29</v>
      </c>
      <c r="E367" s="30">
        <f>H366</f>
        <v>35028</v>
      </c>
      <c r="F367" s="37" cm="1">
        <f t="array" ref="F367">IFERROR((SUMPRODUCT(('Production Inputs'!$A:$A="188mg LP")*('Production Inputs'!$B:$B="TOTAL ACTIVE")*'Production Inputs'!$Q:$Q)+SUMPRODUCT(('Production Inputs'!$A:$A="188mg LP - EU Stock")*('Production Inputs'!$B:$B="TOTAL ACTIVE")*'Production Inputs'!$Q:$Q))*Dependencies!$D$4,0)</f>
        <v>0</v>
      </c>
      <c r="G367" s="37">
        <f t="array" ref="G367">IFERROR(SUMPRODUCT(('Production Inputs'!$A:$A="200mg DP")*('Production Inputs'!$B:$B="TOTAL ACTIVE")*'Production Inputs'!$Q:$Q),0)</f>
        <v>0</v>
      </c>
      <c r="H367" s="30">
        <f t="shared" si="35"/>
        <v>35028</v>
      </c>
      <c r="I367" s="30">
        <f ca="1">IFERROR(AVERAGEIF(OFFSET(F367,0,0,MIN(Controls!$B$8,COUNTIF(B367:B$1973,B367)),1),"&gt;"&amp;0),0)</f>
        <v>32400</v>
      </c>
      <c r="J367" s="38">
        <f t="shared" ca="1" si="36"/>
        <v>1.0811111111111111</v>
      </c>
      <c r="K367" s="30">
        <f t="shared" ca="1" si="40"/>
        <v>259200</v>
      </c>
      <c r="L367" t="str">
        <f t="shared" ca="1" si="37"/>
        <v>High</v>
      </c>
      <c r="M367" s="39">
        <f>IFERROR(VLOOKUP("200mg DP",Controls!A:I,7,0),6)</f>
        <v>9</v>
      </c>
      <c r="N367" s="39">
        <f>IFERROR(VLOOKUP("200mg DP",Controls!A:I,8,0),3)</f>
        <v>8</v>
      </c>
      <c r="O367" s="39">
        <f>IFERROR(VLOOKUP("200mg DP",Controls!A:I,9,0),18)</f>
        <v>18</v>
      </c>
      <c r="P367" s="40">
        <f>IFERROR(VLOOKUP("200mg DP",Controls!A:J,5,0),0)</f>
        <v>16200</v>
      </c>
      <c r="Q367" s="39">
        <f>IFERROR(VLOOKUP("200mg DP",Controls!A:J,6,0),3)</f>
        <v>5</v>
      </c>
      <c r="R367" s="21" t="str">
        <f>IFERROR(VLOOKUP("200mg DP",Controls!A:K,10,0),"")</f>
        <v>Catalent</v>
      </c>
      <c r="S367" s="41">
        <f t="shared" si="38"/>
        <v>46054</v>
      </c>
      <c r="T367" s="30">
        <f t="shared" si="39"/>
        <v>0</v>
      </c>
      <c r="W367" s="205" cm="1">
        <f t="array" ref="W367">IF(5&lt;Controls!$B$7,INDEX(A362:A540,MATCH(Controls!$B$5,A362:A540,1)+5),NA())</f>
        <v>46266</v>
      </c>
      <c r="X367" cm="1">
        <f t="array" ref="X367">IF(5&lt;Controls!$B$7,INDEX(F362:F540,MATCH(Controls!$B$5,A362:A540,1)+5),NA())</f>
        <v>0</v>
      </c>
      <c r="Y367" cm="1">
        <f t="array" ref="Y367">IF(5&lt;Controls!$B$7,INDEX(G362:G540,MATCH(Controls!$B$5,A362:A540,1)+5),NA())</f>
        <v>0</v>
      </c>
      <c r="Z367" cm="1">
        <f t="array" ref="Z367">IF(5&lt;Controls!$B$7,INDEX(H362:H540,MATCH(Controls!$B$5,A362:A540,1)+5),NA())</f>
        <v>35028</v>
      </c>
      <c r="AA367" cm="1">
        <f t="array" aca="1" ref="AA367" ca="1">IF(5&lt;Controls!$B$7,INDEX(M362:M540,MATCH(Controls!$B$5,A362:A540,1)+5)*INDEX(I362:I540,MATCH(Controls!$B$5,A362:A540,1)+5),NA())</f>
        <v>291600</v>
      </c>
      <c r="AB367">
        <f t="shared" si="41"/>
        <v>2700</v>
      </c>
    </row>
    <row r="368" spans="1:28" ht="13" customHeight="1" x14ac:dyDescent="0.35">
      <c r="A368" s="153">
        <v>46235</v>
      </c>
      <c r="B368" s="36" t="s">
        <v>36</v>
      </c>
      <c r="C368" s="15" t="s">
        <v>38</v>
      </c>
      <c r="D368" s="15" t="s">
        <v>29</v>
      </c>
      <c r="E368" s="30">
        <f>H367</f>
        <v>35028</v>
      </c>
      <c r="F368" s="37" cm="1">
        <f t="array" ref="F368">IFERROR((SUMPRODUCT(('Production Inputs'!$A:$A="188mg LP")*('Production Inputs'!$B:$B="TOTAL ACTIVE")*'Production Inputs'!$R:$R)+SUMPRODUCT(('Production Inputs'!$A:$A="188mg LP - EU Stock")*('Production Inputs'!$B:$B="TOTAL ACTIVE")*'Production Inputs'!$R:$R))*Dependencies!$D$4,0)</f>
        <v>0</v>
      </c>
      <c r="G368" s="37">
        <f t="array" ref="G368">IFERROR(SUMPRODUCT(('Production Inputs'!$A:$A="200mg DP")*('Production Inputs'!$B:$B="TOTAL ACTIVE")*'Production Inputs'!$R:$R),0)</f>
        <v>0</v>
      </c>
      <c r="H368" s="30">
        <f t="shared" si="35"/>
        <v>35028</v>
      </c>
      <c r="I368" s="30">
        <f ca="1">IFERROR(AVERAGEIF(OFFSET(F368,0,0,MIN(Controls!$B$8,COUNTIF(B368:B$1973,B368)),1),"&gt;"&amp;0),0)</f>
        <v>32400</v>
      </c>
      <c r="J368" s="38">
        <f t="shared" ca="1" si="36"/>
        <v>1.0811111111111111</v>
      </c>
      <c r="K368" s="30">
        <f t="shared" ca="1" si="40"/>
        <v>259200</v>
      </c>
      <c r="L368" t="str">
        <f t="shared" ca="1" si="37"/>
        <v>High</v>
      </c>
      <c r="M368" s="39">
        <f>IFERROR(VLOOKUP("200mg DP",Controls!A:I,7,0),6)</f>
        <v>9</v>
      </c>
      <c r="N368" s="39">
        <f>IFERROR(VLOOKUP("200mg DP",Controls!A:I,8,0),3)</f>
        <v>8</v>
      </c>
      <c r="O368" s="39">
        <f>IFERROR(VLOOKUP("200mg DP",Controls!A:I,9,0),18)</f>
        <v>18</v>
      </c>
      <c r="P368" s="40">
        <f>IFERROR(VLOOKUP("200mg DP",Controls!A:J,5,0),0)</f>
        <v>16200</v>
      </c>
      <c r="Q368" s="39">
        <f>IFERROR(VLOOKUP("200mg DP",Controls!A:J,6,0),3)</f>
        <v>5</v>
      </c>
      <c r="R368" s="21" t="str">
        <f>IFERROR(VLOOKUP("200mg DP",Controls!A:K,10,0),"")</f>
        <v>Catalent</v>
      </c>
      <c r="S368" s="41">
        <f t="shared" si="38"/>
        <v>46082</v>
      </c>
      <c r="T368" s="30">
        <f t="shared" si="39"/>
        <v>0</v>
      </c>
      <c r="W368" s="205" cm="1">
        <f t="array" ref="W368">IF(6&lt;Controls!$B$7,INDEX(A362:A540,MATCH(Controls!$B$5,A362:A540,1)+6),NA())</f>
        <v>46296</v>
      </c>
      <c r="X368" cm="1">
        <f t="array" ref="X368">IF(6&lt;Controls!$B$7,INDEX(F362:F540,MATCH(Controls!$B$5,A362:A540,1)+6),NA())</f>
        <v>32400</v>
      </c>
      <c r="Y368" cm="1">
        <f t="array" ref="Y368">IF(6&lt;Controls!$B$7,INDEX(G362:G540,MATCH(Controls!$B$5,A362:A540,1)+6),NA())</f>
        <v>0</v>
      </c>
      <c r="Z368" cm="1">
        <f t="array" ref="Z368">IF(6&lt;Controls!$B$7,INDEX(H362:H540,MATCH(Controls!$B$5,A362:A540,1)+6),NA())</f>
        <v>2628</v>
      </c>
      <c r="AA368" cm="1">
        <f t="array" aca="1" ref="AA368" ca="1">IF(6&lt;Controls!$B$7,INDEX(M362:M540,MATCH(Controls!$B$5,A362:A540,1)+6)*INDEX(I362:I540,MATCH(Controls!$B$5,A362:A540,1)+6),NA())</f>
        <v>291600</v>
      </c>
      <c r="AB368">
        <f t="shared" si="41"/>
        <v>2700</v>
      </c>
    </row>
    <row r="369" spans="1:28" ht="13" customHeight="1" x14ac:dyDescent="0.35">
      <c r="A369" s="153">
        <v>46266</v>
      </c>
      <c r="B369" s="36" t="s">
        <v>36</v>
      </c>
      <c r="C369" s="15" t="s">
        <v>38</v>
      </c>
      <c r="D369" s="15" t="s">
        <v>29</v>
      </c>
      <c r="E369" s="30">
        <f>H368</f>
        <v>35028</v>
      </c>
      <c r="F369" s="37" cm="1">
        <f t="array" ref="F369">IFERROR((SUMPRODUCT(('Production Inputs'!$A:$A="188mg LP")*('Production Inputs'!$B:$B="TOTAL ACTIVE")*'Production Inputs'!$S:$S)+SUMPRODUCT(('Production Inputs'!$A:$A="188mg LP - EU Stock")*('Production Inputs'!$B:$B="TOTAL ACTIVE")*'Production Inputs'!$S:$S))*Dependencies!$D$4,0)</f>
        <v>0</v>
      </c>
      <c r="G369" s="37">
        <f t="array" ref="G369">IFERROR(SUMPRODUCT(('Production Inputs'!$A:$A="200mg DP")*('Production Inputs'!$B:$B="TOTAL ACTIVE")*'Production Inputs'!$S:$S),0)</f>
        <v>0</v>
      </c>
      <c r="H369" s="30">
        <f t="shared" si="35"/>
        <v>35028</v>
      </c>
      <c r="I369" s="30">
        <f ca="1">IFERROR(AVERAGEIF(OFFSET(F369,0,0,MIN(Controls!$B$8,COUNTIF(B369:B$1973,B369)),1),"&gt;"&amp;0),0)</f>
        <v>32400</v>
      </c>
      <c r="J369" s="38">
        <f t="shared" ca="1" si="36"/>
        <v>1.0811111111111111</v>
      </c>
      <c r="K369" s="30">
        <f t="shared" ca="1" si="40"/>
        <v>259200</v>
      </c>
      <c r="L369" t="str">
        <f t="shared" ca="1" si="37"/>
        <v>High</v>
      </c>
      <c r="M369" s="39">
        <f>IFERROR(VLOOKUP("200mg DP",Controls!A:I,7,0),6)</f>
        <v>9</v>
      </c>
      <c r="N369" s="39">
        <f>IFERROR(VLOOKUP("200mg DP",Controls!A:I,8,0),3)</f>
        <v>8</v>
      </c>
      <c r="O369" s="39">
        <f>IFERROR(VLOOKUP("200mg DP",Controls!A:I,9,0),18)</f>
        <v>18</v>
      </c>
      <c r="P369" s="40">
        <f>IFERROR(VLOOKUP("200mg DP",Controls!A:J,5,0),0)</f>
        <v>16200</v>
      </c>
      <c r="Q369" s="39">
        <f>IFERROR(VLOOKUP("200mg DP",Controls!A:J,6,0),3)</f>
        <v>5</v>
      </c>
      <c r="R369" s="21" t="str">
        <f>IFERROR(VLOOKUP("200mg DP",Controls!A:K,10,0),"")</f>
        <v>Catalent</v>
      </c>
      <c r="S369" s="41">
        <f t="shared" si="38"/>
        <v>46113</v>
      </c>
      <c r="T369" s="30">
        <f t="shared" si="39"/>
        <v>0</v>
      </c>
      <c r="W369" s="205" cm="1">
        <f t="array" ref="W369">IF(7&lt;Controls!$B$7,INDEX(A362:A540,MATCH(Controls!$B$5,A362:A540,1)+7),NA())</f>
        <v>46327</v>
      </c>
      <c r="X369" cm="1">
        <f t="array" ref="X369">IF(7&lt;Controls!$B$7,INDEX(F362:F540,MATCH(Controls!$B$5,A362:A540,1)+7),NA())</f>
        <v>0</v>
      </c>
      <c r="Y369" cm="1">
        <f t="array" ref="Y369">IF(7&lt;Controls!$B$7,INDEX(G362:G540,MATCH(Controls!$B$5,A362:A540,1)+7),NA())</f>
        <v>0</v>
      </c>
      <c r="Z369" cm="1">
        <f t="array" ref="Z369">IF(7&lt;Controls!$B$7,INDEX(H362:H540,MATCH(Controls!$B$5,A362:A540,1)+7),NA())</f>
        <v>2628</v>
      </c>
      <c r="AA369" cm="1">
        <f t="array" aca="1" ref="AA369" ca="1">IF(7&lt;Controls!$B$7,INDEX(M362:M540,MATCH(Controls!$B$5,A362:A540,1)+7)*INDEX(I362:I540,MATCH(Controls!$B$5,A362:A540,1)+7),NA())</f>
        <v>0</v>
      </c>
      <c r="AB369">
        <f t="shared" si="41"/>
        <v>2700</v>
      </c>
    </row>
    <row r="370" spans="1:28" ht="13" customHeight="1" x14ac:dyDescent="0.35">
      <c r="A370" s="153">
        <v>46296</v>
      </c>
      <c r="B370" s="36" t="s">
        <v>36</v>
      </c>
      <c r="C370" s="15" t="s">
        <v>38</v>
      </c>
      <c r="D370" s="15" t="s">
        <v>29</v>
      </c>
      <c r="E370" s="30">
        <f>H369</f>
        <v>35028</v>
      </c>
      <c r="F370" s="37" cm="1">
        <f t="array" ref="F370">IFERROR((SUMPRODUCT(('Production Inputs'!$A:$A="188mg LP")*('Production Inputs'!$B:$B="TOTAL ACTIVE")*'Production Inputs'!$T:$T)+SUMPRODUCT(('Production Inputs'!$A:$A="188mg LP - EU Stock")*('Production Inputs'!$B:$B="TOTAL ACTIVE")*'Production Inputs'!$T:$T))*Dependencies!$D$4,0)</f>
        <v>32400</v>
      </c>
      <c r="G370" s="37">
        <f t="array" ref="G370">IFERROR(SUMPRODUCT(('Production Inputs'!$A:$A="200mg DP")*('Production Inputs'!$B:$B="TOTAL ACTIVE")*'Production Inputs'!$T:$T),0)</f>
        <v>0</v>
      </c>
      <c r="H370" s="30">
        <f t="shared" si="35"/>
        <v>2628</v>
      </c>
      <c r="I370" s="30">
        <f ca="1">IFERROR(AVERAGEIF(OFFSET(F370,0,0,MIN(Controls!$B$8,COUNTIF(B370:B$1973,B370)),1),"&gt;"&amp;0),0)</f>
        <v>32400</v>
      </c>
      <c r="J370" s="38">
        <f t="shared" ca="1" si="36"/>
        <v>8.1111111111111106E-2</v>
      </c>
      <c r="K370" s="30">
        <f t="shared" ca="1" si="40"/>
        <v>291600</v>
      </c>
      <c r="L370" t="str">
        <f t="shared" ca="1" si="37"/>
        <v>High</v>
      </c>
      <c r="M370" s="39">
        <f>IFERROR(VLOOKUP("200mg DP",Controls!A:I,7,0),6)</f>
        <v>9</v>
      </c>
      <c r="N370" s="39">
        <f>IFERROR(VLOOKUP("200mg DP",Controls!A:I,8,0),3)</f>
        <v>8</v>
      </c>
      <c r="O370" s="39">
        <f>IFERROR(VLOOKUP("200mg DP",Controls!A:I,9,0),18)</f>
        <v>18</v>
      </c>
      <c r="P370" s="40">
        <f>IFERROR(VLOOKUP("200mg DP",Controls!A:J,5,0),0)</f>
        <v>16200</v>
      </c>
      <c r="Q370" s="39">
        <f>IFERROR(VLOOKUP("200mg DP",Controls!A:J,6,0),3)</f>
        <v>5</v>
      </c>
      <c r="R370" s="21" t="str">
        <f>IFERROR(VLOOKUP("200mg DP",Controls!A:K,10,0),"")</f>
        <v>Catalent</v>
      </c>
      <c r="S370" s="41">
        <f t="shared" si="38"/>
        <v>46143</v>
      </c>
      <c r="T370" s="30">
        <f t="shared" si="39"/>
        <v>0</v>
      </c>
      <c r="W370" s="205" cm="1">
        <f t="array" ref="W370">IF(8&lt;Controls!$B$7,INDEX(A362:A540,MATCH(Controls!$B$5,A362:A540,1)+8),NA())</f>
        <v>46357</v>
      </c>
      <c r="X370" cm="1">
        <f t="array" ref="X370">IF(8&lt;Controls!$B$7,INDEX(F362:F540,MATCH(Controls!$B$5,A362:A540,1)+8),NA())</f>
        <v>0</v>
      </c>
      <c r="Y370" cm="1">
        <f t="array" ref="Y370">IF(8&lt;Controls!$B$7,INDEX(G362:G540,MATCH(Controls!$B$5,A362:A540,1)+8),NA())</f>
        <v>0</v>
      </c>
      <c r="Z370" cm="1">
        <f t="array" ref="Z370">IF(8&lt;Controls!$B$7,INDEX(H362:H540,MATCH(Controls!$B$5,A362:A540,1)+8),NA())</f>
        <v>2628</v>
      </c>
      <c r="AA370" cm="1">
        <f t="array" aca="1" ref="AA370" ca="1">IF(8&lt;Controls!$B$7,INDEX(M362:M540,MATCH(Controls!$B$5,A362:A540,1)+8)*INDEX(I362:I540,MATCH(Controls!$B$5,A362:A540,1)+8),NA())</f>
        <v>0</v>
      </c>
      <c r="AB370">
        <f t="shared" si="41"/>
        <v>35100</v>
      </c>
    </row>
    <row r="371" spans="1:28" ht="13" customHeight="1" x14ac:dyDescent="0.35">
      <c r="A371" s="153">
        <v>46327</v>
      </c>
      <c r="B371" s="36" t="s">
        <v>36</v>
      </c>
      <c r="C371" s="15" t="s">
        <v>38</v>
      </c>
      <c r="D371" s="15" t="s">
        <v>29</v>
      </c>
      <c r="E371" s="30">
        <f>H370</f>
        <v>2628</v>
      </c>
      <c r="F371" s="37" cm="1">
        <f t="array" ref="F371">IFERROR((SUMPRODUCT(('Production Inputs'!$A:$A="188mg LP")*('Production Inputs'!$B:$B="TOTAL ACTIVE")*'Production Inputs'!$U:$U)+SUMPRODUCT(('Production Inputs'!$A:$A="188mg LP - EU Stock")*('Production Inputs'!$B:$B="TOTAL ACTIVE")*'Production Inputs'!$U:$U))*Dependencies!$D$4,0)</f>
        <v>0</v>
      </c>
      <c r="G371" s="37">
        <f t="array" ref="G371">IFERROR(SUMPRODUCT(('Production Inputs'!$A:$A="200mg DP")*('Production Inputs'!$B:$B="TOTAL ACTIVE")*'Production Inputs'!$U:$U),0)</f>
        <v>0</v>
      </c>
      <c r="H371" s="30">
        <f t="shared" si="35"/>
        <v>2628</v>
      </c>
      <c r="I371" s="30">
        <f ca="1">IFERROR(AVERAGEIF(OFFSET(F371,0,0,MIN(Controls!$B$8,COUNTIF(B371:B$1973,B371)),1),"&gt;"&amp;0),0)</f>
        <v>0</v>
      </c>
      <c r="J371" s="38">
        <f t="shared" ca="1" si="36"/>
        <v>999</v>
      </c>
      <c r="K371" s="30">
        <f t="shared" ca="1" si="40"/>
        <v>0</v>
      </c>
      <c r="L371" t="str">
        <f t="shared" ca="1" si="37"/>
        <v>Overstock</v>
      </c>
      <c r="M371" s="39">
        <f>IFERROR(VLOOKUP("200mg DP",Controls!A:I,7,0),6)</f>
        <v>9</v>
      </c>
      <c r="N371" s="39">
        <f>IFERROR(VLOOKUP("200mg DP",Controls!A:I,8,0),3)</f>
        <v>8</v>
      </c>
      <c r="O371" s="39">
        <f>IFERROR(VLOOKUP("200mg DP",Controls!A:I,9,0),18)</f>
        <v>18</v>
      </c>
      <c r="P371" s="40">
        <f>IFERROR(VLOOKUP("200mg DP",Controls!A:J,5,0),0)</f>
        <v>16200</v>
      </c>
      <c r="Q371" s="39">
        <f>IFERROR(VLOOKUP("200mg DP",Controls!A:J,6,0),3)</f>
        <v>5</v>
      </c>
      <c r="R371" s="21" t="str">
        <f>IFERROR(VLOOKUP("200mg DP",Controls!A:K,10,0),"")</f>
        <v>Catalent</v>
      </c>
      <c r="S371" s="41">
        <f t="shared" si="38"/>
        <v>46174</v>
      </c>
      <c r="T371" s="30">
        <f t="shared" si="39"/>
        <v>0</v>
      </c>
      <c r="W371" s="205" cm="1">
        <f t="array" ref="W371">IF(9&lt;Controls!$B$7,INDEX(A362:A540,MATCH(Controls!$B$5,A362:A540,1)+9),NA())</f>
        <v>46388</v>
      </c>
      <c r="X371" cm="1">
        <f t="array" ref="X371">IF(9&lt;Controls!$B$7,INDEX(F362:F540,MATCH(Controls!$B$5,A362:A540,1)+9),NA())</f>
        <v>0</v>
      </c>
      <c r="Y371" cm="1">
        <f t="array" ref="Y371">IF(9&lt;Controls!$B$7,INDEX(G362:G540,MATCH(Controls!$B$5,A362:A540,1)+9),NA())</f>
        <v>0</v>
      </c>
      <c r="Z371" cm="1">
        <f t="array" ref="Z371">IF(9&lt;Controls!$B$7,INDEX(H362:H540,MATCH(Controls!$B$5,A362:A540,1)+9),NA())</f>
        <v>2628</v>
      </c>
      <c r="AA371" cm="1">
        <f t="array" aca="1" ref="AA371" ca="1">IF(9&lt;Controls!$B$7,INDEX(M362:M540,MATCH(Controls!$B$5,A362:A540,1)+9)*INDEX(I362:I540,MATCH(Controls!$B$5,A362:A540,1)+9),NA())</f>
        <v>0</v>
      </c>
      <c r="AB371">
        <f t="shared" si="41"/>
        <v>35100</v>
      </c>
    </row>
    <row r="372" spans="1:28" ht="13" customHeight="1" x14ac:dyDescent="0.35">
      <c r="A372" s="153">
        <v>46357</v>
      </c>
      <c r="B372" s="36" t="s">
        <v>36</v>
      </c>
      <c r="C372" s="15" t="s">
        <v>38</v>
      </c>
      <c r="D372" s="15" t="s">
        <v>29</v>
      </c>
      <c r="E372" s="30">
        <f>H371</f>
        <v>2628</v>
      </c>
      <c r="F372" s="37" cm="1">
        <f t="array" ref="F372">IFERROR((SUMPRODUCT(('Production Inputs'!$A:$A="188mg LP")*('Production Inputs'!$B:$B="TOTAL ACTIVE")*'Production Inputs'!$V:$V)+SUMPRODUCT(('Production Inputs'!$A:$A="188mg LP - EU Stock")*('Production Inputs'!$B:$B="TOTAL ACTIVE")*'Production Inputs'!$V:$V))*Dependencies!$D$4,0)</f>
        <v>0</v>
      </c>
      <c r="G372" s="37">
        <f t="array" ref="G372">IFERROR(SUMPRODUCT(('Production Inputs'!$A:$A="200mg DP")*('Production Inputs'!$B:$B="TOTAL ACTIVE")*'Production Inputs'!$V:$V),0)</f>
        <v>0</v>
      </c>
      <c r="H372" s="30">
        <f t="shared" si="35"/>
        <v>2628</v>
      </c>
      <c r="I372" s="30">
        <f ca="1">IFERROR(AVERAGEIF(OFFSET(F372,0,0,MIN(Controls!$B$8,COUNTIF(B372:B$1973,B372)),1),"&gt;"&amp;0),0)</f>
        <v>0</v>
      </c>
      <c r="J372" s="38">
        <f t="shared" ca="1" si="36"/>
        <v>999</v>
      </c>
      <c r="K372" s="30">
        <f t="shared" ca="1" si="40"/>
        <v>0</v>
      </c>
      <c r="L372" t="str">
        <f t="shared" ca="1" si="37"/>
        <v>Overstock</v>
      </c>
      <c r="M372" s="39">
        <f>IFERROR(VLOOKUP("200mg DP",Controls!A:I,7,0),6)</f>
        <v>9</v>
      </c>
      <c r="N372" s="39">
        <f>IFERROR(VLOOKUP("200mg DP",Controls!A:I,8,0),3)</f>
        <v>8</v>
      </c>
      <c r="O372" s="39">
        <f>IFERROR(VLOOKUP("200mg DP",Controls!A:I,9,0),18)</f>
        <v>18</v>
      </c>
      <c r="P372" s="40">
        <f>IFERROR(VLOOKUP("200mg DP",Controls!A:J,5,0),0)</f>
        <v>16200</v>
      </c>
      <c r="Q372" s="39">
        <f>IFERROR(VLOOKUP("200mg DP",Controls!A:J,6,0),3)</f>
        <v>5</v>
      </c>
      <c r="R372" s="21" t="str">
        <f>IFERROR(VLOOKUP("200mg DP",Controls!A:K,10,0),"")</f>
        <v>Catalent</v>
      </c>
      <c r="S372" s="41">
        <f t="shared" si="38"/>
        <v>46204</v>
      </c>
      <c r="T372" s="30">
        <f t="shared" si="39"/>
        <v>0</v>
      </c>
      <c r="W372" s="205" cm="1">
        <f t="array" ref="W372">IF(10&lt;Controls!$B$7,INDEX(A362:A540,MATCH(Controls!$B$5,A362:A540,1)+10),NA())</f>
        <v>46419</v>
      </c>
      <c r="X372" cm="1">
        <f t="array" ref="X372">IF(10&lt;Controls!$B$7,INDEX(F362:F540,MATCH(Controls!$B$5,A362:A540,1)+10),NA())</f>
        <v>0</v>
      </c>
      <c r="Y372" cm="1">
        <f t="array" ref="Y372">IF(10&lt;Controls!$B$7,INDEX(G362:G540,MATCH(Controls!$B$5,A362:A540,1)+10),NA())</f>
        <v>0</v>
      </c>
      <c r="Z372" cm="1">
        <f t="array" ref="Z372">IF(10&lt;Controls!$B$7,INDEX(H362:H540,MATCH(Controls!$B$5,A362:A540,1)+10),NA())</f>
        <v>2628</v>
      </c>
      <c r="AA372" cm="1">
        <f t="array" aca="1" ref="AA372" ca="1">IF(10&lt;Controls!$B$7,INDEX(M362:M540,MATCH(Controls!$B$5,A362:A540,1)+10)*INDEX(I362:I540,MATCH(Controls!$B$5,A362:A540,1)+10),NA())</f>
        <v>0</v>
      </c>
      <c r="AB372">
        <f t="shared" si="41"/>
        <v>35100</v>
      </c>
    </row>
    <row r="373" spans="1:28" ht="13" customHeight="1" x14ac:dyDescent="0.35">
      <c r="A373" s="153">
        <v>46388</v>
      </c>
      <c r="B373" s="36" t="s">
        <v>36</v>
      </c>
      <c r="C373" s="15" t="s">
        <v>38</v>
      </c>
      <c r="D373" s="15" t="s">
        <v>29</v>
      </c>
      <c r="E373" s="30">
        <f>H372</f>
        <v>2628</v>
      </c>
      <c r="F373" s="37" cm="1">
        <f t="array" ref="F373">IFERROR((SUMPRODUCT(('Production Inputs'!$A:$A="188mg LP")*('Production Inputs'!$B:$B="TOTAL ACTIVE")*'Production Inputs'!$W:$W)+SUMPRODUCT(('Production Inputs'!$A:$A="188mg LP - EU Stock")*('Production Inputs'!$B:$B="TOTAL ACTIVE")*'Production Inputs'!$W:$W))*Dependencies!$D$4,0)</f>
        <v>0</v>
      </c>
      <c r="G373" s="37">
        <f t="array" ref="G373">IFERROR(SUMPRODUCT(('Production Inputs'!$A:$A="200mg DP")*('Production Inputs'!$B:$B="TOTAL ACTIVE")*'Production Inputs'!$W:$W),0)</f>
        <v>0</v>
      </c>
      <c r="H373" s="30">
        <f t="shared" si="35"/>
        <v>2628</v>
      </c>
      <c r="I373" s="30">
        <f ca="1">IFERROR(AVERAGEIF(OFFSET(F373,0,0,MIN(Controls!$B$8,COUNTIF(B373:B$1973,B373)),1),"&gt;"&amp;0),0)</f>
        <v>0</v>
      </c>
      <c r="J373" s="38">
        <f t="shared" ca="1" si="36"/>
        <v>999</v>
      </c>
      <c r="K373" s="30">
        <f t="shared" ca="1" si="40"/>
        <v>0</v>
      </c>
      <c r="L373" t="str">
        <f t="shared" ca="1" si="37"/>
        <v>Overstock</v>
      </c>
      <c r="M373" s="39">
        <f>IFERROR(VLOOKUP("200mg DP",Controls!A:I,7,0),6)</f>
        <v>9</v>
      </c>
      <c r="N373" s="39">
        <f>IFERROR(VLOOKUP("200mg DP",Controls!A:I,8,0),3)</f>
        <v>8</v>
      </c>
      <c r="O373" s="39">
        <f>IFERROR(VLOOKUP("200mg DP",Controls!A:I,9,0),18)</f>
        <v>18</v>
      </c>
      <c r="P373" s="40">
        <f>IFERROR(VLOOKUP("200mg DP",Controls!A:J,5,0),0)</f>
        <v>16200</v>
      </c>
      <c r="Q373" s="39">
        <f>IFERROR(VLOOKUP("200mg DP",Controls!A:J,6,0),3)</f>
        <v>5</v>
      </c>
      <c r="R373" s="21" t="str">
        <f>IFERROR(VLOOKUP("200mg DP",Controls!A:K,10,0),"")</f>
        <v>Catalent</v>
      </c>
      <c r="S373" s="41">
        <f t="shared" si="38"/>
        <v>46235</v>
      </c>
      <c r="T373" s="30">
        <f t="shared" si="39"/>
        <v>0</v>
      </c>
      <c r="W373" s="205" cm="1">
        <f t="array" ref="W373">IF(11&lt;Controls!$B$7,INDEX(A362:A540,MATCH(Controls!$B$5,A362:A540,1)+11),NA())</f>
        <v>46447</v>
      </c>
      <c r="X373" cm="1">
        <f t="array" ref="X373">IF(11&lt;Controls!$B$7,INDEX(F362:F540,MATCH(Controls!$B$5,A362:A540,1)+11),NA())</f>
        <v>0</v>
      </c>
      <c r="Y373" cm="1">
        <f t="array" ref="Y373">IF(11&lt;Controls!$B$7,INDEX(G362:G540,MATCH(Controls!$B$5,A362:A540,1)+11),NA())</f>
        <v>0</v>
      </c>
      <c r="Z373" cm="1">
        <f t="array" ref="Z373">IF(11&lt;Controls!$B$7,INDEX(H362:H540,MATCH(Controls!$B$5,A362:A540,1)+11),NA())</f>
        <v>2628</v>
      </c>
      <c r="AA373" cm="1">
        <f t="array" aca="1" ref="AA373" ca="1">IF(11&lt;Controls!$B$7,INDEX(M362:M540,MATCH(Controls!$B$5,A362:A540,1)+11)*INDEX(I362:I540,MATCH(Controls!$B$5,A362:A540,1)+11),NA())</f>
        <v>0</v>
      </c>
      <c r="AB373">
        <f t="shared" si="41"/>
        <v>35100</v>
      </c>
    </row>
    <row r="374" spans="1:28" ht="13" customHeight="1" x14ac:dyDescent="0.35">
      <c r="A374" s="153">
        <v>46419</v>
      </c>
      <c r="B374" s="36" t="s">
        <v>36</v>
      </c>
      <c r="C374" s="15" t="s">
        <v>38</v>
      </c>
      <c r="D374" s="15" t="s">
        <v>29</v>
      </c>
      <c r="E374" s="30">
        <f>H373</f>
        <v>2628</v>
      </c>
      <c r="F374" s="37" cm="1">
        <f t="array" ref="F374">IFERROR((SUMPRODUCT(('Production Inputs'!$A:$A="188mg LP")*('Production Inputs'!$B:$B="TOTAL ACTIVE")*'Production Inputs'!$X:$X)+SUMPRODUCT(('Production Inputs'!$A:$A="188mg LP - EU Stock")*('Production Inputs'!$B:$B="TOTAL ACTIVE")*'Production Inputs'!$X:$X))*Dependencies!$D$4,0)</f>
        <v>0</v>
      </c>
      <c r="G374" s="37">
        <f t="array" ref="G374">IFERROR(SUMPRODUCT(('Production Inputs'!$A:$A="200mg DP")*('Production Inputs'!$B:$B="TOTAL ACTIVE")*'Production Inputs'!$X:$X),0)</f>
        <v>0</v>
      </c>
      <c r="H374" s="30">
        <f t="shared" si="35"/>
        <v>2628</v>
      </c>
      <c r="I374" s="30">
        <f ca="1">IFERROR(AVERAGEIF(OFFSET(F374,0,0,MIN(Controls!$B$8,COUNTIF(B374:B$1973,B374)),1),"&gt;"&amp;0),0)</f>
        <v>0</v>
      </c>
      <c r="J374" s="38">
        <f t="shared" ca="1" si="36"/>
        <v>999</v>
      </c>
      <c r="K374" s="30">
        <f t="shared" ca="1" si="40"/>
        <v>0</v>
      </c>
      <c r="L374" t="str">
        <f t="shared" ca="1" si="37"/>
        <v>Overstock</v>
      </c>
      <c r="M374" s="39">
        <f>IFERROR(VLOOKUP("200mg DP",Controls!A:I,7,0),6)</f>
        <v>9</v>
      </c>
      <c r="N374" s="39">
        <f>IFERROR(VLOOKUP("200mg DP",Controls!A:I,8,0),3)</f>
        <v>8</v>
      </c>
      <c r="O374" s="39">
        <f>IFERROR(VLOOKUP("200mg DP",Controls!A:I,9,0),18)</f>
        <v>18</v>
      </c>
      <c r="P374" s="40">
        <f>IFERROR(VLOOKUP("200mg DP",Controls!A:J,5,0),0)</f>
        <v>16200</v>
      </c>
      <c r="Q374" s="39">
        <f>IFERROR(VLOOKUP("200mg DP",Controls!A:J,6,0),3)</f>
        <v>5</v>
      </c>
      <c r="R374" s="21" t="str">
        <f>IFERROR(VLOOKUP("200mg DP",Controls!A:K,10,0),"")</f>
        <v>Catalent</v>
      </c>
      <c r="S374" s="41">
        <f t="shared" si="38"/>
        <v>46266</v>
      </c>
      <c r="T374" s="30">
        <f t="shared" si="39"/>
        <v>0</v>
      </c>
      <c r="W374" s="205" cm="1">
        <f t="array" ref="W374">IF(12&lt;Controls!$B$7,INDEX(A362:A540,MATCH(Controls!$B$5,A362:A540,1)+12),NA())</f>
        <v>46478</v>
      </c>
      <c r="X374" cm="1">
        <f t="array" ref="X374">IF(12&lt;Controls!$B$7,INDEX(F362:F540,MATCH(Controls!$B$5,A362:A540,1)+12),NA())</f>
        <v>0</v>
      </c>
      <c r="Y374" cm="1">
        <f t="array" ref="Y374">IF(12&lt;Controls!$B$7,INDEX(G362:G540,MATCH(Controls!$B$5,A362:A540,1)+12),NA())</f>
        <v>0</v>
      </c>
      <c r="Z374" cm="1">
        <f t="array" ref="Z374">IF(12&lt;Controls!$B$7,INDEX(H362:H540,MATCH(Controls!$B$5,A362:A540,1)+12),NA())</f>
        <v>2628</v>
      </c>
      <c r="AA374" cm="1">
        <f t="array" aca="1" ref="AA374" ca="1">IF(12&lt;Controls!$B$7,INDEX(M362:M540,MATCH(Controls!$B$5,A362:A540,1)+12)*INDEX(I362:I540,MATCH(Controls!$B$5,A362:A540,1)+12),NA())</f>
        <v>0</v>
      </c>
      <c r="AB374">
        <f t="shared" si="41"/>
        <v>35100</v>
      </c>
    </row>
    <row r="375" spans="1:28" ht="13" customHeight="1" x14ac:dyDescent="0.35">
      <c r="A375" s="153">
        <v>46447</v>
      </c>
      <c r="B375" s="36" t="s">
        <v>36</v>
      </c>
      <c r="C375" s="15" t="s">
        <v>38</v>
      </c>
      <c r="D375" s="15" t="s">
        <v>29</v>
      </c>
      <c r="E375" s="30">
        <f>H374</f>
        <v>2628</v>
      </c>
      <c r="F375" s="37" cm="1">
        <f t="array" ref="F375">IFERROR((SUMPRODUCT(('Production Inputs'!$A:$A="188mg LP")*('Production Inputs'!$B:$B="TOTAL ACTIVE")*'Production Inputs'!$Y:$Y)+SUMPRODUCT(('Production Inputs'!$A:$A="188mg LP - EU Stock")*('Production Inputs'!$B:$B="TOTAL ACTIVE")*'Production Inputs'!$Y:$Y))*Dependencies!$D$4,0)</f>
        <v>0</v>
      </c>
      <c r="G375" s="37">
        <f t="array" ref="G375">IFERROR(SUMPRODUCT(('Production Inputs'!$A:$A="200mg DP")*('Production Inputs'!$B:$B="TOTAL ACTIVE")*'Production Inputs'!$Y:$Y),0)</f>
        <v>0</v>
      </c>
      <c r="H375" s="30">
        <f t="shared" si="35"/>
        <v>2628</v>
      </c>
      <c r="I375" s="30">
        <f ca="1">IFERROR(AVERAGEIF(OFFSET(F375,0,0,MIN(Controls!$B$8,COUNTIF(B375:B$1973,B375)),1),"&gt;"&amp;0),0)</f>
        <v>0</v>
      </c>
      <c r="J375" s="38">
        <f t="shared" ca="1" si="36"/>
        <v>999</v>
      </c>
      <c r="K375" s="30">
        <f t="shared" ca="1" si="40"/>
        <v>0</v>
      </c>
      <c r="L375" t="str">
        <f t="shared" ca="1" si="37"/>
        <v>Overstock</v>
      </c>
      <c r="M375" s="39">
        <f>IFERROR(VLOOKUP("200mg DP",Controls!A:I,7,0),6)</f>
        <v>9</v>
      </c>
      <c r="N375" s="39">
        <f>IFERROR(VLOOKUP("200mg DP",Controls!A:I,8,0),3)</f>
        <v>8</v>
      </c>
      <c r="O375" s="39">
        <f>IFERROR(VLOOKUP("200mg DP",Controls!A:I,9,0),18)</f>
        <v>18</v>
      </c>
      <c r="P375" s="40">
        <f>IFERROR(VLOOKUP("200mg DP",Controls!A:J,5,0),0)</f>
        <v>16200</v>
      </c>
      <c r="Q375" s="39">
        <f>IFERROR(VLOOKUP("200mg DP",Controls!A:J,6,0),3)</f>
        <v>5</v>
      </c>
      <c r="R375" s="21" t="str">
        <f>IFERROR(VLOOKUP("200mg DP",Controls!A:K,10,0),"")</f>
        <v>Catalent</v>
      </c>
      <c r="S375" s="41">
        <f t="shared" si="38"/>
        <v>46296</v>
      </c>
      <c r="T375" s="30">
        <f t="shared" si="39"/>
        <v>0</v>
      </c>
      <c r="W375" s="205" cm="1">
        <f t="array" ref="W375">IF(13&lt;Controls!$B$7,INDEX(A362:A540,MATCH(Controls!$B$5,A362:A540,1)+13),NA())</f>
        <v>46508</v>
      </c>
      <c r="X375" cm="1">
        <f t="array" ref="X375">IF(13&lt;Controls!$B$7,INDEX(F362:F540,MATCH(Controls!$B$5,A362:A540,1)+13),NA())</f>
        <v>0</v>
      </c>
      <c r="Y375" cm="1">
        <f t="array" ref="Y375">IF(13&lt;Controls!$B$7,INDEX(G362:G540,MATCH(Controls!$B$5,A362:A540,1)+13),NA())</f>
        <v>0</v>
      </c>
      <c r="Z375" cm="1">
        <f t="array" ref="Z375">IF(13&lt;Controls!$B$7,INDEX(H362:H540,MATCH(Controls!$B$5,A362:A540,1)+13),NA())</f>
        <v>2628</v>
      </c>
      <c r="AA375" cm="1">
        <f t="array" aca="1" ref="AA375" ca="1">IF(13&lt;Controls!$B$7,INDEX(M362:M540,MATCH(Controls!$B$5,A362:A540,1)+13)*INDEX(I362:I540,MATCH(Controls!$B$5,A362:A540,1)+13),NA())</f>
        <v>0</v>
      </c>
      <c r="AB375">
        <f t="shared" si="41"/>
        <v>35100</v>
      </c>
    </row>
    <row r="376" spans="1:28" ht="13" customHeight="1" x14ac:dyDescent="0.35">
      <c r="A376" s="153">
        <v>46478</v>
      </c>
      <c r="B376" s="36" t="s">
        <v>36</v>
      </c>
      <c r="C376" s="15" t="s">
        <v>38</v>
      </c>
      <c r="D376" s="15" t="s">
        <v>29</v>
      </c>
      <c r="E376" s="30">
        <f>H375</f>
        <v>2628</v>
      </c>
      <c r="F376" s="37" cm="1">
        <f t="array" ref="F376">IFERROR((SUMPRODUCT(('Production Inputs'!$A:$A="188mg LP")*('Production Inputs'!$B:$B="TOTAL ACTIVE")*'Production Inputs'!$Z:$Z)+SUMPRODUCT(('Production Inputs'!$A:$A="188mg LP - EU Stock")*('Production Inputs'!$B:$B="TOTAL ACTIVE")*'Production Inputs'!$Z:$Z))*Dependencies!$D$4,0)</f>
        <v>0</v>
      </c>
      <c r="G376" s="37">
        <f t="array" ref="G376">IFERROR(SUMPRODUCT(('Production Inputs'!$A:$A="200mg DP")*('Production Inputs'!$B:$B="TOTAL ACTIVE")*'Production Inputs'!$Z:$Z),0)</f>
        <v>0</v>
      </c>
      <c r="H376" s="30">
        <f t="shared" si="35"/>
        <v>2628</v>
      </c>
      <c r="I376" s="30">
        <f ca="1">IFERROR(AVERAGEIF(OFFSET(F376,0,0,MIN(Controls!$B$8,COUNTIF(B376:B$1973,B376)),1),"&gt;"&amp;0),0)</f>
        <v>0</v>
      </c>
      <c r="J376" s="38">
        <f t="shared" ca="1" si="36"/>
        <v>999</v>
      </c>
      <c r="K376" s="30">
        <f t="shared" ca="1" si="40"/>
        <v>0</v>
      </c>
      <c r="L376" t="str">
        <f t="shared" ca="1" si="37"/>
        <v>Overstock</v>
      </c>
      <c r="M376" s="39">
        <f>IFERROR(VLOOKUP("200mg DP",Controls!A:I,7,0),6)</f>
        <v>9</v>
      </c>
      <c r="N376" s="39">
        <f>IFERROR(VLOOKUP("200mg DP",Controls!A:I,8,0),3)</f>
        <v>8</v>
      </c>
      <c r="O376" s="39">
        <f>IFERROR(VLOOKUP("200mg DP",Controls!A:I,9,0),18)</f>
        <v>18</v>
      </c>
      <c r="P376" s="40">
        <f>IFERROR(VLOOKUP("200mg DP",Controls!A:J,5,0),0)</f>
        <v>16200</v>
      </c>
      <c r="Q376" s="39">
        <f>IFERROR(VLOOKUP("200mg DP",Controls!A:J,6,0),3)</f>
        <v>5</v>
      </c>
      <c r="R376" s="21" t="str">
        <f>IFERROR(VLOOKUP("200mg DP",Controls!A:K,10,0),"")</f>
        <v>Catalent</v>
      </c>
      <c r="S376" s="41">
        <f t="shared" si="38"/>
        <v>46327</v>
      </c>
      <c r="T376" s="30">
        <f t="shared" si="39"/>
        <v>0</v>
      </c>
      <c r="W376" s="205" cm="1">
        <f t="array" ref="W376">IF(14&lt;Controls!$B$7,INDEX(A362:A540,MATCH(Controls!$B$5,A362:A540,1)+14),NA())</f>
        <v>46539</v>
      </c>
      <c r="X376" cm="1">
        <f t="array" ref="X376">IF(14&lt;Controls!$B$7,INDEX(F362:F540,MATCH(Controls!$B$5,A362:A540,1)+14),NA())</f>
        <v>0</v>
      </c>
      <c r="Y376" cm="1">
        <f t="array" ref="Y376">IF(14&lt;Controls!$B$7,INDEX(G362:G540,MATCH(Controls!$B$5,A362:A540,1)+14),NA())</f>
        <v>0</v>
      </c>
      <c r="Z376" cm="1">
        <f t="array" ref="Z376">IF(14&lt;Controls!$B$7,INDEX(H362:H540,MATCH(Controls!$B$5,A362:A540,1)+14),NA())</f>
        <v>2628</v>
      </c>
      <c r="AA376" cm="1">
        <f t="array" aca="1" ref="AA376" ca="1">IF(14&lt;Controls!$B$7,INDEX(M362:M540,MATCH(Controls!$B$5,A362:A540,1)+14)*INDEX(I362:I540,MATCH(Controls!$B$5,A362:A540,1)+14),NA())</f>
        <v>0</v>
      </c>
      <c r="AB376">
        <f t="shared" si="41"/>
        <v>35100</v>
      </c>
    </row>
    <row r="377" spans="1:28" ht="13" customHeight="1" x14ac:dyDescent="0.35">
      <c r="A377" s="153">
        <v>46508</v>
      </c>
      <c r="B377" s="36" t="s">
        <v>36</v>
      </c>
      <c r="C377" s="15" t="s">
        <v>38</v>
      </c>
      <c r="D377" s="15" t="s">
        <v>29</v>
      </c>
      <c r="E377" s="30">
        <f>H376</f>
        <v>2628</v>
      </c>
      <c r="F377" s="37" cm="1">
        <f t="array" ref="F377">IFERROR((SUMPRODUCT(('Production Inputs'!$A:$A="188mg LP")*('Production Inputs'!$B:$B="TOTAL ACTIVE")*'Production Inputs'!$AA:$AA)+SUMPRODUCT(('Production Inputs'!$A:$A="188mg LP - EU Stock")*('Production Inputs'!$B:$B="TOTAL ACTIVE")*'Production Inputs'!$AA:$AA))*Dependencies!$D$4,0)</f>
        <v>0</v>
      </c>
      <c r="G377" s="37">
        <f t="array" ref="G377">IFERROR(SUMPRODUCT(('Production Inputs'!$A:$A="200mg DP")*('Production Inputs'!$B:$B="TOTAL ACTIVE")*'Production Inputs'!$AA:$AA),0)</f>
        <v>0</v>
      </c>
      <c r="H377" s="30">
        <f t="shared" si="35"/>
        <v>2628</v>
      </c>
      <c r="I377" s="30">
        <f ca="1">IFERROR(AVERAGEIF(OFFSET(F377,0,0,MIN(Controls!$B$8,COUNTIF(B377:B$1973,B377)),1),"&gt;"&amp;0),0)</f>
        <v>0</v>
      </c>
      <c r="J377" s="38">
        <f t="shared" ca="1" si="36"/>
        <v>999</v>
      </c>
      <c r="K377" s="30">
        <f t="shared" ca="1" si="40"/>
        <v>0</v>
      </c>
      <c r="L377" t="str">
        <f t="shared" ca="1" si="37"/>
        <v>Overstock</v>
      </c>
      <c r="M377" s="39">
        <f>IFERROR(VLOOKUP("200mg DP",Controls!A:I,7,0),6)</f>
        <v>9</v>
      </c>
      <c r="N377" s="39">
        <f>IFERROR(VLOOKUP("200mg DP",Controls!A:I,8,0),3)</f>
        <v>8</v>
      </c>
      <c r="O377" s="39">
        <f>IFERROR(VLOOKUP("200mg DP",Controls!A:I,9,0),18)</f>
        <v>18</v>
      </c>
      <c r="P377" s="40">
        <f>IFERROR(VLOOKUP("200mg DP",Controls!A:J,5,0),0)</f>
        <v>16200</v>
      </c>
      <c r="Q377" s="39">
        <f>IFERROR(VLOOKUP("200mg DP",Controls!A:J,6,0),3)</f>
        <v>5</v>
      </c>
      <c r="R377" s="21" t="str">
        <f>IFERROR(VLOOKUP("200mg DP",Controls!A:K,10,0),"")</f>
        <v>Catalent</v>
      </c>
      <c r="S377" s="41">
        <f t="shared" si="38"/>
        <v>46357</v>
      </c>
      <c r="T377" s="30">
        <f t="shared" si="39"/>
        <v>0</v>
      </c>
      <c r="W377" s="205" cm="1">
        <f t="array" ref="W377">IF(15&lt;Controls!$B$7,INDEX(A362:A540,MATCH(Controls!$B$5,A362:A540,1)+15),NA())</f>
        <v>46569</v>
      </c>
      <c r="X377" cm="1">
        <f t="array" ref="X377">IF(15&lt;Controls!$B$7,INDEX(F362:F540,MATCH(Controls!$B$5,A362:A540,1)+15),NA())</f>
        <v>0</v>
      </c>
      <c r="Y377" cm="1">
        <f t="array" ref="Y377">IF(15&lt;Controls!$B$7,INDEX(G362:G540,MATCH(Controls!$B$5,A362:A540,1)+15),NA())</f>
        <v>0</v>
      </c>
      <c r="Z377" cm="1">
        <f t="array" ref="Z377">IF(15&lt;Controls!$B$7,INDEX(H362:H540,MATCH(Controls!$B$5,A362:A540,1)+15),NA())</f>
        <v>2628</v>
      </c>
      <c r="AA377" cm="1">
        <f t="array" aca="1" ref="AA377" ca="1">IF(15&lt;Controls!$B$7,INDEX(M362:M540,MATCH(Controls!$B$5,A362:A540,1)+15)*INDEX(I362:I540,MATCH(Controls!$B$5,A362:A540,1)+15),NA())</f>
        <v>0</v>
      </c>
      <c r="AB377">
        <f t="shared" si="41"/>
        <v>35100</v>
      </c>
    </row>
    <row r="378" spans="1:28" ht="13" customHeight="1" x14ac:dyDescent="0.35">
      <c r="A378" s="153">
        <v>46539</v>
      </c>
      <c r="B378" s="36" t="s">
        <v>36</v>
      </c>
      <c r="C378" s="15" t="s">
        <v>38</v>
      </c>
      <c r="D378" s="15" t="s">
        <v>29</v>
      </c>
      <c r="E378" s="30">
        <f>H377</f>
        <v>2628</v>
      </c>
      <c r="F378" s="37" cm="1">
        <f t="array" ref="F378">IFERROR((SUMPRODUCT(('Production Inputs'!$A:$A="188mg LP")*('Production Inputs'!$B:$B="TOTAL ACTIVE")*'Production Inputs'!$AB:$AB)+SUMPRODUCT(('Production Inputs'!$A:$A="188mg LP - EU Stock")*('Production Inputs'!$B:$B="TOTAL ACTIVE")*'Production Inputs'!$AB:$AB))*Dependencies!$D$4,0)</f>
        <v>0</v>
      </c>
      <c r="G378" s="37">
        <f t="array" ref="G378">IFERROR(SUMPRODUCT(('Production Inputs'!$A:$A="200mg DP")*('Production Inputs'!$B:$B="TOTAL ACTIVE")*'Production Inputs'!$AB:$AB),0)</f>
        <v>0</v>
      </c>
      <c r="H378" s="30">
        <f t="shared" si="35"/>
        <v>2628</v>
      </c>
      <c r="I378" s="30">
        <f ca="1">IFERROR(AVERAGEIF(OFFSET(F378,0,0,MIN(Controls!$B$8,COUNTIF(B378:B$1973,B378)),1),"&gt;"&amp;0),0)</f>
        <v>0</v>
      </c>
      <c r="J378" s="38">
        <f t="shared" ca="1" si="36"/>
        <v>999</v>
      </c>
      <c r="K378" s="30">
        <f t="shared" ca="1" si="40"/>
        <v>0</v>
      </c>
      <c r="L378" t="str">
        <f t="shared" ca="1" si="37"/>
        <v>Overstock</v>
      </c>
      <c r="M378" s="39">
        <f>IFERROR(VLOOKUP("200mg DP",Controls!A:I,7,0),6)</f>
        <v>9</v>
      </c>
      <c r="N378" s="39">
        <f>IFERROR(VLOOKUP("200mg DP",Controls!A:I,8,0),3)</f>
        <v>8</v>
      </c>
      <c r="O378" s="39">
        <f>IFERROR(VLOOKUP("200mg DP",Controls!A:I,9,0),18)</f>
        <v>18</v>
      </c>
      <c r="P378" s="40">
        <f>IFERROR(VLOOKUP("200mg DP",Controls!A:J,5,0),0)</f>
        <v>16200</v>
      </c>
      <c r="Q378" s="39">
        <f>IFERROR(VLOOKUP("200mg DP",Controls!A:J,6,0),3)</f>
        <v>5</v>
      </c>
      <c r="R378" s="21" t="str">
        <f>IFERROR(VLOOKUP("200mg DP",Controls!A:K,10,0),"")</f>
        <v>Catalent</v>
      </c>
      <c r="S378" s="41">
        <f t="shared" si="38"/>
        <v>46388</v>
      </c>
      <c r="T378" s="30">
        <f t="shared" si="39"/>
        <v>0</v>
      </c>
      <c r="W378" s="205" cm="1">
        <f t="array" ref="W378">IF(16&lt;Controls!$B$7,INDEX(A362:A540,MATCH(Controls!$B$5,A362:A540,1)+16),NA())</f>
        <v>46600</v>
      </c>
      <c r="X378" cm="1">
        <f t="array" ref="X378">IF(16&lt;Controls!$B$7,INDEX(F362:F540,MATCH(Controls!$B$5,A362:A540,1)+16),NA())</f>
        <v>0</v>
      </c>
      <c r="Y378" cm="1">
        <f t="array" ref="Y378">IF(16&lt;Controls!$B$7,INDEX(G362:G540,MATCH(Controls!$B$5,A362:A540,1)+16),NA())</f>
        <v>0</v>
      </c>
      <c r="Z378" cm="1">
        <f t="array" ref="Z378">IF(16&lt;Controls!$B$7,INDEX(H362:H540,MATCH(Controls!$B$5,A362:A540,1)+16),NA())</f>
        <v>2628</v>
      </c>
      <c r="AA378" cm="1">
        <f t="array" aca="1" ref="AA378" ca="1">IF(16&lt;Controls!$B$7,INDEX(M362:M540,MATCH(Controls!$B$5,A362:A540,1)+16)*INDEX(I362:I540,MATCH(Controls!$B$5,A362:A540,1)+16),NA())</f>
        <v>0</v>
      </c>
      <c r="AB378">
        <f t="shared" si="41"/>
        <v>35100</v>
      </c>
    </row>
    <row r="379" spans="1:28" ht="13" customHeight="1" x14ac:dyDescent="0.35">
      <c r="A379" s="153">
        <v>46569</v>
      </c>
      <c r="B379" s="36" t="s">
        <v>36</v>
      </c>
      <c r="C379" s="15" t="s">
        <v>38</v>
      </c>
      <c r="D379" s="15" t="s">
        <v>29</v>
      </c>
      <c r="E379" s="30">
        <f>H378</f>
        <v>2628</v>
      </c>
      <c r="F379" s="37" cm="1">
        <f t="array" ref="F379">IFERROR((SUMPRODUCT(('Production Inputs'!$A:$A="188mg LP")*('Production Inputs'!$B:$B="TOTAL ACTIVE")*'Production Inputs'!$AC:$AC)+SUMPRODUCT(('Production Inputs'!$A:$A="188mg LP - EU Stock")*('Production Inputs'!$B:$B="TOTAL ACTIVE")*'Production Inputs'!$AC:$AC))*Dependencies!$D$4,0)</f>
        <v>0</v>
      </c>
      <c r="G379" s="37">
        <f t="array" ref="G379">IFERROR(SUMPRODUCT(('Production Inputs'!$A:$A="200mg DP")*('Production Inputs'!$B:$B="TOTAL ACTIVE")*'Production Inputs'!$AC:$AC),0)</f>
        <v>0</v>
      </c>
      <c r="H379" s="30">
        <f t="shared" si="35"/>
        <v>2628</v>
      </c>
      <c r="I379" s="30">
        <f ca="1">IFERROR(AVERAGEIF(OFFSET(F379,0,0,MIN(Controls!$B$8,COUNTIF(B379:B$1973,B379)),1),"&gt;"&amp;0),0)</f>
        <v>0</v>
      </c>
      <c r="J379" s="38">
        <f t="shared" ca="1" si="36"/>
        <v>999</v>
      </c>
      <c r="K379" s="30">
        <f t="shared" ca="1" si="40"/>
        <v>0</v>
      </c>
      <c r="L379" t="str">
        <f t="shared" ca="1" si="37"/>
        <v>Overstock</v>
      </c>
      <c r="M379" s="39">
        <f>IFERROR(VLOOKUP("200mg DP",Controls!A:I,7,0),6)</f>
        <v>9</v>
      </c>
      <c r="N379" s="39">
        <f>IFERROR(VLOOKUP("200mg DP",Controls!A:I,8,0),3)</f>
        <v>8</v>
      </c>
      <c r="O379" s="39">
        <f>IFERROR(VLOOKUP("200mg DP",Controls!A:I,9,0),18)</f>
        <v>18</v>
      </c>
      <c r="P379" s="40">
        <f>IFERROR(VLOOKUP("200mg DP",Controls!A:J,5,0),0)</f>
        <v>16200</v>
      </c>
      <c r="Q379" s="39">
        <f>IFERROR(VLOOKUP("200mg DP",Controls!A:J,6,0),3)</f>
        <v>5</v>
      </c>
      <c r="R379" s="21" t="str">
        <f>IFERROR(VLOOKUP("200mg DP",Controls!A:K,10,0),"")</f>
        <v>Catalent</v>
      </c>
      <c r="S379" s="41">
        <f t="shared" si="38"/>
        <v>46419</v>
      </c>
      <c r="T379" s="30">
        <f t="shared" si="39"/>
        <v>0</v>
      </c>
      <c r="W379" s="205" cm="1">
        <f t="array" ref="W379">IF(17&lt;Controls!$B$7,INDEX(A362:A540,MATCH(Controls!$B$5,A362:A540,1)+17),NA())</f>
        <v>46631</v>
      </c>
      <c r="X379" cm="1">
        <f t="array" ref="X379">IF(17&lt;Controls!$B$7,INDEX(F362:F540,MATCH(Controls!$B$5,A362:A540,1)+17),NA())</f>
        <v>0</v>
      </c>
      <c r="Y379" cm="1">
        <f t="array" ref="Y379">IF(17&lt;Controls!$B$7,INDEX(G362:G540,MATCH(Controls!$B$5,A362:A540,1)+17),NA())</f>
        <v>0</v>
      </c>
      <c r="Z379" cm="1">
        <f t="array" ref="Z379">IF(17&lt;Controls!$B$7,INDEX(H362:H540,MATCH(Controls!$B$5,A362:A540,1)+17),NA())</f>
        <v>2628</v>
      </c>
      <c r="AA379" cm="1">
        <f t="array" aca="1" ref="AA379" ca="1">IF(17&lt;Controls!$B$7,INDEX(M362:M540,MATCH(Controls!$B$5,A362:A540,1)+17)*INDEX(I362:I540,MATCH(Controls!$B$5,A362:A540,1)+17),NA())</f>
        <v>0</v>
      </c>
      <c r="AB379">
        <f t="shared" si="41"/>
        <v>35100</v>
      </c>
    </row>
    <row r="380" spans="1:28" ht="13" customHeight="1" x14ac:dyDescent="0.35">
      <c r="A380" s="153">
        <v>46600</v>
      </c>
      <c r="B380" s="36" t="s">
        <v>36</v>
      </c>
      <c r="C380" s="15" t="s">
        <v>38</v>
      </c>
      <c r="D380" s="15" t="s">
        <v>29</v>
      </c>
      <c r="E380" s="30">
        <f>H379</f>
        <v>2628</v>
      </c>
      <c r="F380" s="37" cm="1">
        <f t="array" ref="F380">IFERROR((SUMPRODUCT(('Production Inputs'!$A:$A="188mg LP")*('Production Inputs'!$B:$B="TOTAL ACTIVE")*'Production Inputs'!$AD:$AD)+SUMPRODUCT(('Production Inputs'!$A:$A="188mg LP - EU Stock")*('Production Inputs'!$B:$B="TOTAL ACTIVE")*'Production Inputs'!$AD:$AD))*Dependencies!$D$4,0)</f>
        <v>0</v>
      </c>
      <c r="G380" s="37">
        <f t="array" ref="G380">IFERROR(SUMPRODUCT(('Production Inputs'!$A:$A="200mg DP")*('Production Inputs'!$B:$B="TOTAL ACTIVE")*'Production Inputs'!$AD:$AD),0)</f>
        <v>0</v>
      </c>
      <c r="H380" s="30">
        <f t="shared" si="35"/>
        <v>2628</v>
      </c>
      <c r="I380" s="30">
        <f ca="1">IFERROR(AVERAGEIF(OFFSET(F380,0,0,MIN(Controls!$B$8,COUNTIF(B380:B$1973,B380)),1),"&gt;"&amp;0),0)</f>
        <v>0</v>
      </c>
      <c r="J380" s="38">
        <f t="shared" ca="1" si="36"/>
        <v>999</v>
      </c>
      <c r="K380" s="30">
        <f t="shared" ca="1" si="40"/>
        <v>0</v>
      </c>
      <c r="L380" t="str">
        <f t="shared" ca="1" si="37"/>
        <v>Overstock</v>
      </c>
      <c r="M380" s="39">
        <f>IFERROR(VLOOKUP("200mg DP",Controls!A:I,7,0),6)</f>
        <v>9</v>
      </c>
      <c r="N380" s="39">
        <f>IFERROR(VLOOKUP("200mg DP",Controls!A:I,8,0),3)</f>
        <v>8</v>
      </c>
      <c r="O380" s="39">
        <f>IFERROR(VLOOKUP("200mg DP",Controls!A:I,9,0),18)</f>
        <v>18</v>
      </c>
      <c r="P380" s="40">
        <f>IFERROR(VLOOKUP("200mg DP",Controls!A:J,5,0),0)</f>
        <v>16200</v>
      </c>
      <c r="Q380" s="39">
        <f>IFERROR(VLOOKUP("200mg DP",Controls!A:J,6,0),3)</f>
        <v>5</v>
      </c>
      <c r="R380" s="21" t="str">
        <f>IFERROR(VLOOKUP("200mg DP",Controls!A:K,10,0),"")</f>
        <v>Catalent</v>
      </c>
      <c r="S380" s="41">
        <f t="shared" si="38"/>
        <v>46447</v>
      </c>
      <c r="T380" s="30">
        <f t="shared" si="39"/>
        <v>0</v>
      </c>
      <c r="W380" s="205" t="e" cm="1">
        <f t="array" ref="W380">IF(18&lt;Controls!$B$7,INDEX(A362:A540,MATCH(Controls!$B$5,A362:A540,1)+18),NA())</f>
        <v>#N/A</v>
      </c>
      <c r="X380" t="e" cm="1">
        <f t="array" ref="X380">IF(18&lt;Controls!$B$7,INDEX(F362:F540,MATCH(Controls!$B$5,A362:A540,1)+18),NA())</f>
        <v>#N/A</v>
      </c>
      <c r="Y380" t="e" cm="1">
        <f t="array" ref="Y380">IF(18&lt;Controls!$B$7,INDEX(G362:G540,MATCH(Controls!$B$5,A362:A540,1)+18),NA())</f>
        <v>#N/A</v>
      </c>
      <c r="Z380" t="e" cm="1">
        <f t="array" ref="Z380">IF(18&lt;Controls!$B$7,INDEX(H362:H540,MATCH(Controls!$B$5,A362:A540,1)+18),NA())</f>
        <v>#N/A</v>
      </c>
      <c r="AA380" t="e" cm="1">
        <f t="array" ref="AA380">IF(18&lt;Controls!$B$7,INDEX(M362:M540,MATCH(Controls!$B$5,A362:A540,1)+18)*INDEX(I362:I540,MATCH(Controls!$B$5,A362:A540,1)+18),NA())</f>
        <v>#N/A</v>
      </c>
      <c r="AB380">
        <f t="shared" si="41"/>
        <v>35100</v>
      </c>
    </row>
    <row r="381" spans="1:28" ht="13" customHeight="1" x14ac:dyDescent="0.35">
      <c r="A381" s="153">
        <v>46631</v>
      </c>
      <c r="B381" s="36" t="s">
        <v>36</v>
      </c>
      <c r="C381" s="15" t="s">
        <v>38</v>
      </c>
      <c r="D381" s="15" t="s">
        <v>29</v>
      </c>
      <c r="E381" s="30">
        <f>H380</f>
        <v>2628</v>
      </c>
      <c r="F381" s="37" cm="1">
        <f t="array" ref="F381">IFERROR((SUMPRODUCT(('Production Inputs'!$A:$A="188mg LP")*('Production Inputs'!$B:$B="TOTAL ACTIVE")*'Production Inputs'!$AE:$AE)+SUMPRODUCT(('Production Inputs'!$A:$A="188mg LP - EU Stock")*('Production Inputs'!$B:$B="TOTAL ACTIVE")*'Production Inputs'!$AE:$AE))*Dependencies!$D$4,0)</f>
        <v>0</v>
      </c>
      <c r="G381" s="37">
        <f t="array" ref="G381">IFERROR(SUMPRODUCT(('Production Inputs'!$A:$A="200mg DP")*('Production Inputs'!$B:$B="TOTAL ACTIVE")*'Production Inputs'!$AE:$AE),0)</f>
        <v>0</v>
      </c>
      <c r="H381" s="30">
        <f t="shared" si="35"/>
        <v>2628</v>
      </c>
      <c r="I381" s="30">
        <f ca="1">IFERROR(AVERAGEIF(OFFSET(F381,0,0,MIN(Controls!$B$8,COUNTIF(B381:B$1973,B381)),1),"&gt;"&amp;0),0)</f>
        <v>0</v>
      </c>
      <c r="J381" s="38">
        <f t="shared" ca="1" si="36"/>
        <v>999</v>
      </c>
      <c r="K381" s="30">
        <f t="shared" ca="1" si="40"/>
        <v>0</v>
      </c>
      <c r="L381" t="str">
        <f t="shared" ca="1" si="37"/>
        <v>Overstock</v>
      </c>
      <c r="M381" s="39">
        <f>IFERROR(VLOOKUP("200mg DP",Controls!A:I,7,0),6)</f>
        <v>9</v>
      </c>
      <c r="N381" s="39">
        <f>IFERROR(VLOOKUP("200mg DP",Controls!A:I,8,0),3)</f>
        <v>8</v>
      </c>
      <c r="O381" s="39">
        <f>IFERROR(VLOOKUP("200mg DP",Controls!A:I,9,0),18)</f>
        <v>18</v>
      </c>
      <c r="P381" s="40">
        <f>IFERROR(VLOOKUP("200mg DP",Controls!A:J,5,0),0)</f>
        <v>16200</v>
      </c>
      <c r="Q381" s="39">
        <f>IFERROR(VLOOKUP("200mg DP",Controls!A:J,6,0),3)</f>
        <v>5</v>
      </c>
      <c r="R381" s="21" t="str">
        <f>IFERROR(VLOOKUP("200mg DP",Controls!A:K,10,0),"")</f>
        <v>Catalent</v>
      </c>
      <c r="S381" s="41">
        <f t="shared" si="38"/>
        <v>46478</v>
      </c>
      <c r="T381" s="30">
        <f t="shared" si="39"/>
        <v>0</v>
      </c>
      <c r="W381" s="205" t="e" cm="1">
        <f t="array" ref="W381">IF(19&lt;Controls!$B$7,INDEX(A362:A540,MATCH(Controls!$B$5,A362:A540,1)+19),NA())</f>
        <v>#N/A</v>
      </c>
      <c r="X381" t="e" cm="1">
        <f t="array" ref="X381">IF(19&lt;Controls!$B$7,INDEX(F362:F540,MATCH(Controls!$B$5,A362:A540,1)+19),NA())</f>
        <v>#N/A</v>
      </c>
      <c r="Y381" t="e" cm="1">
        <f t="array" ref="Y381">IF(19&lt;Controls!$B$7,INDEX(G362:G540,MATCH(Controls!$B$5,A362:A540,1)+19),NA())</f>
        <v>#N/A</v>
      </c>
      <c r="Z381" t="e" cm="1">
        <f t="array" ref="Z381">IF(19&lt;Controls!$B$7,INDEX(H362:H540,MATCH(Controls!$B$5,A362:A540,1)+19),NA())</f>
        <v>#N/A</v>
      </c>
      <c r="AA381" t="e" cm="1">
        <f t="array" ref="AA381">IF(19&lt;Controls!$B$7,INDEX(M362:M540,MATCH(Controls!$B$5,A362:A540,1)+19)*INDEX(I362:I540,MATCH(Controls!$B$5,A362:A540,1)+19),NA())</f>
        <v>#N/A</v>
      </c>
      <c r="AB381">
        <f t="shared" si="41"/>
        <v>35100</v>
      </c>
    </row>
    <row r="382" spans="1:28" ht="13" customHeight="1" x14ac:dyDescent="0.35">
      <c r="A382" s="153">
        <v>46661</v>
      </c>
      <c r="B382" s="36" t="s">
        <v>36</v>
      </c>
      <c r="C382" s="15" t="s">
        <v>38</v>
      </c>
      <c r="D382" s="15" t="s">
        <v>29</v>
      </c>
      <c r="E382" s="30">
        <f>H381</f>
        <v>2628</v>
      </c>
      <c r="F382" s="37" cm="1">
        <f t="array" ref="F382">IFERROR((SUMPRODUCT(('Production Inputs'!$A:$A="188mg LP")*('Production Inputs'!$B:$B="TOTAL ACTIVE")*'Production Inputs'!$AF:$AF)+SUMPRODUCT(('Production Inputs'!$A:$A="188mg LP - EU Stock")*('Production Inputs'!$B:$B="TOTAL ACTIVE")*'Production Inputs'!$AF:$AF))*Dependencies!$D$4,0)</f>
        <v>0</v>
      </c>
      <c r="G382" s="37">
        <f t="array" ref="G382">IFERROR(SUMPRODUCT(('Production Inputs'!$A:$A="200mg DP")*('Production Inputs'!$B:$B="TOTAL ACTIVE")*'Production Inputs'!$AF:$AF),0)</f>
        <v>0</v>
      </c>
      <c r="H382" s="30">
        <f t="shared" si="35"/>
        <v>2628</v>
      </c>
      <c r="I382" s="30">
        <f ca="1">IFERROR(AVERAGEIF(OFFSET(F382,0,0,MIN(Controls!$B$8,COUNTIF(B382:B$1973,B382)),1),"&gt;"&amp;0),0)</f>
        <v>0</v>
      </c>
      <c r="J382" s="38">
        <f t="shared" ca="1" si="36"/>
        <v>999</v>
      </c>
      <c r="K382" s="30">
        <f t="shared" ca="1" si="40"/>
        <v>0</v>
      </c>
      <c r="L382" t="str">
        <f t="shared" ca="1" si="37"/>
        <v>Overstock</v>
      </c>
      <c r="M382" s="39">
        <f>IFERROR(VLOOKUP("200mg DP",Controls!A:I,7,0),6)</f>
        <v>9</v>
      </c>
      <c r="N382" s="39">
        <f>IFERROR(VLOOKUP("200mg DP",Controls!A:I,8,0),3)</f>
        <v>8</v>
      </c>
      <c r="O382" s="39">
        <f>IFERROR(VLOOKUP("200mg DP",Controls!A:I,9,0),18)</f>
        <v>18</v>
      </c>
      <c r="P382" s="40">
        <f>IFERROR(VLOOKUP("200mg DP",Controls!A:J,5,0),0)</f>
        <v>16200</v>
      </c>
      <c r="Q382" s="39">
        <f>IFERROR(VLOOKUP("200mg DP",Controls!A:J,6,0),3)</f>
        <v>5</v>
      </c>
      <c r="R382" s="21" t="str">
        <f>IFERROR(VLOOKUP("200mg DP",Controls!A:K,10,0),"")</f>
        <v>Catalent</v>
      </c>
      <c r="S382" s="41">
        <f t="shared" si="38"/>
        <v>46508</v>
      </c>
      <c r="T382" s="30">
        <f t="shared" si="39"/>
        <v>0</v>
      </c>
      <c r="W382" s="205" t="e" cm="1">
        <f t="array" ref="W382">IF(20&lt;Controls!$B$7,INDEX(A362:A540,MATCH(Controls!$B$5,A362:A540,1)+20),NA())</f>
        <v>#N/A</v>
      </c>
      <c r="X382" t="e" cm="1">
        <f t="array" ref="X382">IF(20&lt;Controls!$B$7,INDEX(F362:F540,MATCH(Controls!$B$5,A362:A540,1)+20),NA())</f>
        <v>#N/A</v>
      </c>
      <c r="Y382" t="e" cm="1">
        <f t="array" ref="Y382">IF(20&lt;Controls!$B$7,INDEX(G362:G540,MATCH(Controls!$B$5,A362:A540,1)+20),NA())</f>
        <v>#N/A</v>
      </c>
      <c r="Z382" t="e" cm="1">
        <f t="array" ref="Z382">IF(20&lt;Controls!$B$7,INDEX(H362:H540,MATCH(Controls!$B$5,A362:A540,1)+20),NA())</f>
        <v>#N/A</v>
      </c>
      <c r="AA382" t="e" cm="1">
        <f t="array" ref="AA382">IF(20&lt;Controls!$B$7,INDEX(M362:M540,MATCH(Controls!$B$5,A362:A540,1)+20)*INDEX(I362:I540,MATCH(Controls!$B$5,A362:A540,1)+20),NA())</f>
        <v>#N/A</v>
      </c>
      <c r="AB382">
        <f t="shared" si="41"/>
        <v>35100</v>
      </c>
    </row>
    <row r="383" spans="1:28" ht="13" customHeight="1" x14ac:dyDescent="0.35">
      <c r="A383" s="153">
        <v>46692</v>
      </c>
      <c r="B383" s="36" t="s">
        <v>36</v>
      </c>
      <c r="C383" s="15" t="s">
        <v>38</v>
      </c>
      <c r="D383" s="15" t="s">
        <v>29</v>
      </c>
      <c r="E383" s="30">
        <f>H382</f>
        <v>2628</v>
      </c>
      <c r="F383" s="37" cm="1">
        <f t="array" ref="F383">IFERROR((SUMPRODUCT(('Production Inputs'!$A:$A="188mg LP")*('Production Inputs'!$B:$B="TOTAL ACTIVE")*'Production Inputs'!$AG:$AG)+SUMPRODUCT(('Production Inputs'!$A:$A="188mg LP - EU Stock")*('Production Inputs'!$B:$B="TOTAL ACTIVE")*'Production Inputs'!$AG:$AG))*Dependencies!$D$4,0)</f>
        <v>0</v>
      </c>
      <c r="G383" s="37">
        <f t="array" ref="G383">IFERROR(SUMPRODUCT(('Production Inputs'!$A:$A="200mg DP")*('Production Inputs'!$B:$B="TOTAL ACTIVE")*'Production Inputs'!$AG:$AG),0)</f>
        <v>0</v>
      </c>
      <c r="H383" s="30">
        <f t="shared" si="35"/>
        <v>2628</v>
      </c>
      <c r="I383" s="30">
        <f ca="1">IFERROR(AVERAGEIF(OFFSET(F383,0,0,MIN(Controls!$B$8,COUNTIF(B383:B$1973,B383)),1),"&gt;"&amp;0),0)</f>
        <v>0</v>
      </c>
      <c r="J383" s="38">
        <f t="shared" ca="1" si="36"/>
        <v>999</v>
      </c>
      <c r="K383" s="30">
        <f t="shared" ca="1" si="40"/>
        <v>0</v>
      </c>
      <c r="L383" t="str">
        <f t="shared" ca="1" si="37"/>
        <v>Overstock</v>
      </c>
      <c r="M383" s="39">
        <f>IFERROR(VLOOKUP("200mg DP",Controls!A:I,7,0),6)</f>
        <v>9</v>
      </c>
      <c r="N383" s="39">
        <f>IFERROR(VLOOKUP("200mg DP",Controls!A:I,8,0),3)</f>
        <v>8</v>
      </c>
      <c r="O383" s="39">
        <f>IFERROR(VLOOKUP("200mg DP",Controls!A:I,9,0),18)</f>
        <v>18</v>
      </c>
      <c r="P383" s="40">
        <f>IFERROR(VLOOKUP("200mg DP",Controls!A:J,5,0),0)</f>
        <v>16200</v>
      </c>
      <c r="Q383" s="39">
        <f>IFERROR(VLOOKUP("200mg DP",Controls!A:J,6,0),3)</f>
        <v>5</v>
      </c>
      <c r="R383" s="21" t="str">
        <f>IFERROR(VLOOKUP("200mg DP",Controls!A:K,10,0),"")</f>
        <v>Catalent</v>
      </c>
      <c r="S383" s="41">
        <f t="shared" si="38"/>
        <v>46539</v>
      </c>
      <c r="T383" s="30">
        <f t="shared" si="39"/>
        <v>0</v>
      </c>
      <c r="W383" s="205" t="e" cm="1">
        <f t="array" ref="W383">IF(21&lt;Controls!$B$7,INDEX(A362:A540,MATCH(Controls!$B$5,A362:A540,1)+21),NA())</f>
        <v>#N/A</v>
      </c>
      <c r="X383" t="e" cm="1">
        <f t="array" ref="X383">IF(21&lt;Controls!$B$7,INDEX(F362:F540,MATCH(Controls!$B$5,A362:A540,1)+21),NA())</f>
        <v>#N/A</v>
      </c>
      <c r="Y383" t="e" cm="1">
        <f t="array" ref="Y383">IF(21&lt;Controls!$B$7,INDEX(G362:G540,MATCH(Controls!$B$5,A362:A540,1)+21),NA())</f>
        <v>#N/A</v>
      </c>
      <c r="Z383" t="e" cm="1">
        <f t="array" ref="Z383">IF(21&lt;Controls!$B$7,INDEX(H362:H540,MATCH(Controls!$B$5,A362:A540,1)+21),NA())</f>
        <v>#N/A</v>
      </c>
      <c r="AA383" t="e" cm="1">
        <f t="array" ref="AA383">IF(21&lt;Controls!$B$7,INDEX(M362:M540,MATCH(Controls!$B$5,A362:A540,1)+21)*INDEX(I362:I540,MATCH(Controls!$B$5,A362:A540,1)+21),NA())</f>
        <v>#N/A</v>
      </c>
      <c r="AB383">
        <f t="shared" si="41"/>
        <v>35100</v>
      </c>
    </row>
    <row r="384" spans="1:28" ht="13" customHeight="1" x14ac:dyDescent="0.35">
      <c r="A384" s="153">
        <v>46722</v>
      </c>
      <c r="B384" s="36" t="s">
        <v>36</v>
      </c>
      <c r="C384" s="15" t="s">
        <v>38</v>
      </c>
      <c r="D384" s="15" t="s">
        <v>29</v>
      </c>
      <c r="E384" s="30">
        <f>H383</f>
        <v>2628</v>
      </c>
      <c r="F384" s="37" cm="1">
        <f t="array" ref="F384">IFERROR((SUMPRODUCT(('Production Inputs'!$A:$A="188mg LP")*('Production Inputs'!$B:$B="TOTAL ACTIVE")*'Production Inputs'!$AH:$AH)+SUMPRODUCT(('Production Inputs'!$A:$A="188mg LP - EU Stock")*('Production Inputs'!$B:$B="TOTAL ACTIVE")*'Production Inputs'!$AH:$AH))*Dependencies!$D$4,0)</f>
        <v>0</v>
      </c>
      <c r="G384" s="37">
        <f t="array" ref="G384">IFERROR(SUMPRODUCT(('Production Inputs'!$A:$A="200mg DP")*('Production Inputs'!$B:$B="TOTAL ACTIVE")*'Production Inputs'!$AH:$AH),0)</f>
        <v>0</v>
      </c>
      <c r="H384" s="30">
        <f t="shared" si="35"/>
        <v>2628</v>
      </c>
      <c r="I384" s="30">
        <f ca="1">IFERROR(AVERAGEIF(OFFSET(F384,0,0,MIN(Controls!$B$8,COUNTIF(B384:B$1973,B384)),1),"&gt;"&amp;0),0)</f>
        <v>0</v>
      </c>
      <c r="J384" s="38">
        <f t="shared" ca="1" si="36"/>
        <v>999</v>
      </c>
      <c r="K384" s="30">
        <f t="shared" ca="1" si="40"/>
        <v>0</v>
      </c>
      <c r="L384" t="str">
        <f t="shared" ca="1" si="37"/>
        <v>Overstock</v>
      </c>
      <c r="M384" s="39">
        <f>IFERROR(VLOOKUP("200mg DP",Controls!A:I,7,0),6)</f>
        <v>9</v>
      </c>
      <c r="N384" s="39">
        <f>IFERROR(VLOOKUP("200mg DP",Controls!A:I,8,0),3)</f>
        <v>8</v>
      </c>
      <c r="O384" s="39">
        <f>IFERROR(VLOOKUP("200mg DP",Controls!A:I,9,0),18)</f>
        <v>18</v>
      </c>
      <c r="P384" s="40">
        <f>IFERROR(VLOOKUP("200mg DP",Controls!A:J,5,0),0)</f>
        <v>16200</v>
      </c>
      <c r="Q384" s="39">
        <f>IFERROR(VLOOKUP("200mg DP",Controls!A:J,6,0),3)</f>
        <v>5</v>
      </c>
      <c r="R384" s="21" t="str">
        <f>IFERROR(VLOOKUP("200mg DP",Controls!A:K,10,0),"")</f>
        <v>Catalent</v>
      </c>
      <c r="S384" s="41">
        <f t="shared" si="38"/>
        <v>46569</v>
      </c>
      <c r="T384" s="30">
        <f t="shared" si="39"/>
        <v>0</v>
      </c>
      <c r="W384" s="205" t="e" cm="1">
        <f t="array" ref="W384">IF(22&lt;Controls!$B$7,INDEX(A362:A540,MATCH(Controls!$B$5,A362:A540,1)+22),NA())</f>
        <v>#N/A</v>
      </c>
      <c r="X384" t="e" cm="1">
        <f t="array" ref="X384">IF(22&lt;Controls!$B$7,INDEX(F362:F540,MATCH(Controls!$B$5,A362:A540,1)+22),NA())</f>
        <v>#N/A</v>
      </c>
      <c r="Y384" t="e" cm="1">
        <f t="array" ref="Y384">IF(22&lt;Controls!$B$7,INDEX(G362:G540,MATCH(Controls!$B$5,A362:A540,1)+22),NA())</f>
        <v>#N/A</v>
      </c>
      <c r="Z384" t="e" cm="1">
        <f t="array" ref="Z384">IF(22&lt;Controls!$B$7,INDEX(H362:H540,MATCH(Controls!$B$5,A362:A540,1)+22),NA())</f>
        <v>#N/A</v>
      </c>
      <c r="AA384" t="e" cm="1">
        <f t="array" ref="AA384">IF(22&lt;Controls!$B$7,INDEX(M362:M540,MATCH(Controls!$B$5,A362:A540,1)+22)*INDEX(I362:I540,MATCH(Controls!$B$5,A362:A540,1)+22),NA())</f>
        <v>#N/A</v>
      </c>
      <c r="AB384">
        <f t="shared" si="41"/>
        <v>35100</v>
      </c>
    </row>
    <row r="385" spans="1:28" ht="13" customHeight="1" x14ac:dyDescent="0.35">
      <c r="A385" s="153">
        <v>46753</v>
      </c>
      <c r="B385" s="36" t="s">
        <v>36</v>
      </c>
      <c r="C385" s="15" t="s">
        <v>38</v>
      </c>
      <c r="D385" s="15" t="s">
        <v>29</v>
      </c>
      <c r="E385" s="30">
        <f>H384</f>
        <v>2628</v>
      </c>
      <c r="F385" s="37" cm="1">
        <f t="array" ref="F385">IFERROR((SUMPRODUCT(('Production Inputs'!$A:$A="188mg LP")*('Production Inputs'!$B:$B="TOTAL ACTIVE")*'Production Inputs'!$AI:$AI)+SUMPRODUCT(('Production Inputs'!$A:$A="188mg LP - EU Stock")*('Production Inputs'!$B:$B="TOTAL ACTIVE")*'Production Inputs'!$AI:$AI))*Dependencies!$D$4,0)</f>
        <v>0</v>
      </c>
      <c r="G385" s="37">
        <f t="array" ref="G385">IFERROR(SUMPRODUCT(('Production Inputs'!$A:$A="200mg DP")*('Production Inputs'!$B:$B="TOTAL ACTIVE")*'Production Inputs'!$AI:$AI),0)</f>
        <v>0</v>
      </c>
      <c r="H385" s="30">
        <f t="shared" si="35"/>
        <v>2628</v>
      </c>
      <c r="I385" s="30">
        <f ca="1">IFERROR(AVERAGEIF(OFFSET(F385,0,0,MIN(Controls!$B$8,COUNTIF(B385:B$1973,B385)),1),"&gt;"&amp;0),0)</f>
        <v>0</v>
      </c>
      <c r="J385" s="38">
        <f t="shared" ca="1" si="36"/>
        <v>999</v>
      </c>
      <c r="K385" s="30">
        <f t="shared" ca="1" si="40"/>
        <v>0</v>
      </c>
      <c r="L385" t="str">
        <f t="shared" ca="1" si="37"/>
        <v>Overstock</v>
      </c>
      <c r="M385" s="39">
        <f>IFERROR(VLOOKUP("200mg DP",Controls!A:I,7,0),6)</f>
        <v>9</v>
      </c>
      <c r="N385" s="39">
        <f>IFERROR(VLOOKUP("200mg DP",Controls!A:I,8,0),3)</f>
        <v>8</v>
      </c>
      <c r="O385" s="39">
        <f>IFERROR(VLOOKUP("200mg DP",Controls!A:I,9,0),18)</f>
        <v>18</v>
      </c>
      <c r="P385" s="40">
        <f>IFERROR(VLOOKUP("200mg DP",Controls!A:J,5,0),0)</f>
        <v>16200</v>
      </c>
      <c r="Q385" s="39">
        <f>IFERROR(VLOOKUP("200mg DP",Controls!A:J,6,0),3)</f>
        <v>5</v>
      </c>
      <c r="R385" s="21" t="str">
        <f>IFERROR(VLOOKUP("200mg DP",Controls!A:K,10,0),"")</f>
        <v>Catalent</v>
      </c>
      <c r="S385" s="41">
        <f t="shared" si="38"/>
        <v>46600</v>
      </c>
      <c r="T385" s="30">
        <f t="shared" si="39"/>
        <v>0</v>
      </c>
      <c r="W385" s="205" t="e" cm="1">
        <f t="array" ref="W385">IF(23&lt;Controls!$B$7,INDEX(A362:A540,MATCH(Controls!$B$5,A362:A540,1)+23),NA())</f>
        <v>#N/A</v>
      </c>
      <c r="X385" t="e" cm="1">
        <f t="array" ref="X385">IF(23&lt;Controls!$B$7,INDEX(F362:F540,MATCH(Controls!$B$5,A362:A540,1)+23),NA())</f>
        <v>#N/A</v>
      </c>
      <c r="Y385" t="e" cm="1">
        <f t="array" ref="Y385">IF(23&lt;Controls!$B$7,INDEX(G362:G540,MATCH(Controls!$B$5,A362:A540,1)+23),NA())</f>
        <v>#N/A</v>
      </c>
      <c r="Z385" t="e" cm="1">
        <f t="array" ref="Z385">IF(23&lt;Controls!$B$7,INDEX(H362:H540,MATCH(Controls!$B$5,A362:A540,1)+23),NA())</f>
        <v>#N/A</v>
      </c>
      <c r="AA385" t="e" cm="1">
        <f t="array" ref="AA385">IF(23&lt;Controls!$B$7,INDEX(M362:M540,MATCH(Controls!$B$5,A362:A540,1)+23)*INDEX(I362:I540,MATCH(Controls!$B$5,A362:A540,1)+23),NA())</f>
        <v>#N/A</v>
      </c>
      <c r="AB385">
        <f t="shared" si="41"/>
        <v>35100</v>
      </c>
    </row>
    <row r="386" spans="1:28" ht="13" customHeight="1" x14ac:dyDescent="0.35">
      <c r="A386" s="153">
        <v>46784</v>
      </c>
      <c r="B386" s="36" t="s">
        <v>36</v>
      </c>
      <c r="C386" s="15" t="s">
        <v>38</v>
      </c>
      <c r="D386" s="15" t="s">
        <v>29</v>
      </c>
      <c r="E386" s="30">
        <f>H385</f>
        <v>2628</v>
      </c>
      <c r="F386" s="37" cm="1">
        <f t="array" ref="F386">IFERROR((SUMPRODUCT(('Production Inputs'!$A:$A="188mg LP")*('Production Inputs'!$B:$B="TOTAL ACTIVE")*'Production Inputs'!$AJ:$AJ)+SUMPRODUCT(('Production Inputs'!$A:$A="188mg LP - EU Stock")*('Production Inputs'!$B:$B="TOTAL ACTIVE")*'Production Inputs'!$AJ:$AJ))*Dependencies!$D$4,0)</f>
        <v>0</v>
      </c>
      <c r="G386" s="37">
        <f t="array" ref="G386">IFERROR(SUMPRODUCT(('Production Inputs'!$A:$A="200mg DP")*('Production Inputs'!$B:$B="TOTAL ACTIVE")*'Production Inputs'!$AJ:$AJ),0)</f>
        <v>0</v>
      </c>
      <c r="H386" s="30">
        <f t="shared" si="35"/>
        <v>2628</v>
      </c>
      <c r="I386" s="30">
        <f ca="1">IFERROR(AVERAGEIF(OFFSET(F386,0,0,MIN(Controls!$B$8,COUNTIF(B386:B$1973,B386)),1),"&gt;"&amp;0),0)</f>
        <v>0</v>
      </c>
      <c r="J386" s="38">
        <f t="shared" ca="1" si="36"/>
        <v>999</v>
      </c>
      <c r="K386" s="30">
        <f t="shared" ca="1" si="40"/>
        <v>0</v>
      </c>
      <c r="L386" t="str">
        <f t="shared" ca="1" si="37"/>
        <v>Overstock</v>
      </c>
      <c r="M386" s="39">
        <f>IFERROR(VLOOKUP("200mg DP",Controls!A:I,7,0),6)</f>
        <v>9</v>
      </c>
      <c r="N386" s="39">
        <f>IFERROR(VLOOKUP("200mg DP",Controls!A:I,8,0),3)</f>
        <v>8</v>
      </c>
      <c r="O386" s="39">
        <f>IFERROR(VLOOKUP("200mg DP",Controls!A:I,9,0),18)</f>
        <v>18</v>
      </c>
      <c r="P386" s="40">
        <f>IFERROR(VLOOKUP("200mg DP",Controls!A:J,5,0),0)</f>
        <v>16200</v>
      </c>
      <c r="Q386" s="39">
        <f>IFERROR(VLOOKUP("200mg DP",Controls!A:J,6,0),3)</f>
        <v>5</v>
      </c>
      <c r="R386" s="21" t="str">
        <f>IFERROR(VLOOKUP("200mg DP",Controls!A:K,10,0),"")</f>
        <v>Catalent</v>
      </c>
      <c r="S386" s="41">
        <f t="shared" si="38"/>
        <v>46631</v>
      </c>
      <c r="T386" s="30">
        <f t="shared" si="39"/>
        <v>0</v>
      </c>
      <c r="W386" s="205" t="e" cm="1">
        <f t="array" ref="W386">IF(24&lt;Controls!$B$7,INDEX(A362:A540,MATCH(Controls!$B$5,A362:A540,1)+24),NA())</f>
        <v>#N/A</v>
      </c>
      <c r="X386" t="e" cm="1">
        <f t="array" ref="X386">IF(24&lt;Controls!$B$7,INDEX(F362:F540,MATCH(Controls!$B$5,A362:A540,1)+24),NA())</f>
        <v>#N/A</v>
      </c>
      <c r="Y386" t="e" cm="1">
        <f t="array" ref="Y386">IF(24&lt;Controls!$B$7,INDEX(G362:G540,MATCH(Controls!$B$5,A362:A540,1)+24),NA())</f>
        <v>#N/A</v>
      </c>
      <c r="Z386" t="e" cm="1">
        <f t="array" ref="Z386">IF(24&lt;Controls!$B$7,INDEX(H362:H540,MATCH(Controls!$B$5,A362:A540,1)+24),NA())</f>
        <v>#N/A</v>
      </c>
      <c r="AA386" t="e" cm="1">
        <f t="array" ref="AA386">IF(24&lt;Controls!$B$7,INDEX(M362:M540,MATCH(Controls!$B$5,A362:A540,1)+24)*INDEX(I362:I540,MATCH(Controls!$B$5,A362:A540,1)+24),NA())</f>
        <v>#N/A</v>
      </c>
      <c r="AB386">
        <f t="shared" si="41"/>
        <v>35100</v>
      </c>
    </row>
    <row r="387" spans="1:28" ht="13" customHeight="1" x14ac:dyDescent="0.35">
      <c r="A387" s="153">
        <v>46813</v>
      </c>
      <c r="B387" s="36" t="s">
        <v>36</v>
      </c>
      <c r="C387" s="15" t="s">
        <v>38</v>
      </c>
      <c r="D387" s="15" t="s">
        <v>29</v>
      </c>
      <c r="E387" s="30">
        <f>H386</f>
        <v>2628</v>
      </c>
      <c r="F387" s="37" cm="1">
        <f t="array" ref="F387">IFERROR((SUMPRODUCT(('Production Inputs'!$A:$A="188mg LP")*('Production Inputs'!$B:$B="TOTAL ACTIVE")*'Production Inputs'!$AK:$AK)+SUMPRODUCT(('Production Inputs'!$A:$A="188mg LP - EU Stock")*('Production Inputs'!$B:$B="TOTAL ACTIVE")*'Production Inputs'!$AK:$AK))*Dependencies!$D$4,0)</f>
        <v>0</v>
      </c>
      <c r="G387" s="37">
        <f t="array" ref="G387">IFERROR(SUMPRODUCT(('Production Inputs'!$A:$A="200mg DP")*('Production Inputs'!$B:$B="TOTAL ACTIVE")*'Production Inputs'!$AK:$AK),0)</f>
        <v>0</v>
      </c>
      <c r="H387" s="30">
        <f t="shared" si="35"/>
        <v>2628</v>
      </c>
      <c r="I387" s="30">
        <f ca="1">IFERROR(AVERAGEIF(OFFSET(F387,0,0,MIN(Controls!$B$8,COUNTIF(B387:B$1973,B387)),1),"&gt;"&amp;0),0)</f>
        <v>0</v>
      </c>
      <c r="J387" s="38">
        <f t="shared" ca="1" si="36"/>
        <v>999</v>
      </c>
      <c r="K387" s="30">
        <f t="shared" ca="1" si="40"/>
        <v>0</v>
      </c>
      <c r="L387" t="str">
        <f t="shared" ca="1" si="37"/>
        <v>Overstock</v>
      </c>
      <c r="M387" s="39">
        <f>IFERROR(VLOOKUP("200mg DP",Controls!A:I,7,0),6)</f>
        <v>9</v>
      </c>
      <c r="N387" s="39">
        <f>IFERROR(VLOOKUP("200mg DP",Controls!A:I,8,0),3)</f>
        <v>8</v>
      </c>
      <c r="O387" s="39">
        <f>IFERROR(VLOOKUP("200mg DP",Controls!A:I,9,0),18)</f>
        <v>18</v>
      </c>
      <c r="P387" s="40">
        <f>IFERROR(VLOOKUP("200mg DP",Controls!A:J,5,0),0)</f>
        <v>16200</v>
      </c>
      <c r="Q387" s="39">
        <f>IFERROR(VLOOKUP("200mg DP",Controls!A:J,6,0),3)</f>
        <v>5</v>
      </c>
      <c r="R387" s="21" t="str">
        <f>IFERROR(VLOOKUP("200mg DP",Controls!A:K,10,0),"")</f>
        <v>Catalent</v>
      </c>
      <c r="S387" s="41">
        <f t="shared" si="38"/>
        <v>46661</v>
      </c>
      <c r="T387" s="30">
        <f t="shared" si="39"/>
        <v>0</v>
      </c>
      <c r="W387" s="205" t="e" cm="1">
        <f t="array" ref="W387">IF(25&lt;Controls!$B$7,INDEX(A362:A540,MATCH(Controls!$B$5,A362:A540,1)+25),NA())</f>
        <v>#N/A</v>
      </c>
      <c r="X387" t="e" cm="1">
        <f t="array" ref="X387">IF(25&lt;Controls!$B$7,INDEX(F362:F540,MATCH(Controls!$B$5,A362:A540,1)+25),NA())</f>
        <v>#N/A</v>
      </c>
      <c r="Y387" t="e" cm="1">
        <f t="array" ref="Y387">IF(25&lt;Controls!$B$7,INDEX(G362:G540,MATCH(Controls!$B$5,A362:A540,1)+25),NA())</f>
        <v>#N/A</v>
      </c>
      <c r="Z387" t="e" cm="1">
        <f t="array" ref="Z387">IF(25&lt;Controls!$B$7,INDEX(H362:H540,MATCH(Controls!$B$5,A362:A540,1)+25),NA())</f>
        <v>#N/A</v>
      </c>
      <c r="AA387" t="e" cm="1">
        <f t="array" ref="AA387">IF(25&lt;Controls!$B$7,INDEX(M362:M540,MATCH(Controls!$B$5,A362:A540,1)+25)*INDEX(I362:I540,MATCH(Controls!$B$5,A362:A540,1)+25),NA())</f>
        <v>#N/A</v>
      </c>
      <c r="AB387">
        <f t="shared" si="41"/>
        <v>35100</v>
      </c>
    </row>
    <row r="388" spans="1:28" ht="13" customHeight="1" x14ac:dyDescent="0.35">
      <c r="A388" s="153">
        <v>46844</v>
      </c>
      <c r="B388" s="36" t="s">
        <v>36</v>
      </c>
      <c r="C388" s="15" t="s">
        <v>38</v>
      </c>
      <c r="D388" s="15" t="s">
        <v>29</v>
      </c>
      <c r="E388" s="30">
        <f>H387</f>
        <v>2628</v>
      </c>
      <c r="F388" s="37" cm="1">
        <f t="array" ref="F388">IFERROR((SUMPRODUCT(('Production Inputs'!$A:$A="188mg LP")*('Production Inputs'!$B:$B="TOTAL ACTIVE")*'Production Inputs'!$AL:$AL)+SUMPRODUCT(('Production Inputs'!$A:$A="188mg LP - EU Stock")*('Production Inputs'!$B:$B="TOTAL ACTIVE")*'Production Inputs'!$AL:$AL))*Dependencies!$D$4,0)</f>
        <v>0</v>
      </c>
      <c r="G388" s="37">
        <f t="array" ref="G388">IFERROR(SUMPRODUCT(('Production Inputs'!$A:$A="200mg DP")*('Production Inputs'!$B:$B="TOTAL ACTIVE")*'Production Inputs'!$AL:$AL),0)</f>
        <v>0</v>
      </c>
      <c r="H388" s="30">
        <f t="shared" ref="H388:H451" si="42">E388+G388-F388</f>
        <v>2628</v>
      </c>
      <c r="I388" s="30">
        <f ca="1">IFERROR(AVERAGEIF(OFFSET(F388,0,0,MIN(Controls!$B$8,COUNTIF(B388:B$1973,B388)),1),"&gt;"&amp;0),0)</f>
        <v>0</v>
      </c>
      <c r="J388" s="38">
        <f t="shared" ref="J388:J451" ca="1" si="43">IFERROR(H388/I388,IF(H388&gt;0,999,0))</f>
        <v>999</v>
      </c>
      <c r="K388" s="30">
        <f t="shared" ca="1" si="40"/>
        <v>0</v>
      </c>
      <c r="L388" t="str">
        <f t="shared" ref="L388:L451" ca="1" si="44">IF(H388&lt;=0,"High",IF(J388&lt;N388,"High",IF(J388&lt;M388,"Medium",IF(J388&gt;O388,"Overstock","Low"))))</f>
        <v>Overstock</v>
      </c>
      <c r="M388" s="39">
        <f>IFERROR(VLOOKUP("200mg DP",Controls!A:I,7,0),6)</f>
        <v>9</v>
      </c>
      <c r="N388" s="39">
        <f>IFERROR(VLOOKUP("200mg DP",Controls!A:I,8,0),3)</f>
        <v>8</v>
      </c>
      <c r="O388" s="39">
        <f>IFERROR(VLOOKUP("200mg DP",Controls!A:I,9,0),18)</f>
        <v>18</v>
      </c>
      <c r="P388" s="40">
        <f>IFERROR(VLOOKUP("200mg DP",Controls!A:J,5,0),0)</f>
        <v>16200</v>
      </c>
      <c r="Q388" s="39">
        <f>IFERROR(VLOOKUP("200mg DP",Controls!A:J,6,0),3)</f>
        <v>5</v>
      </c>
      <c r="R388" s="21" t="str">
        <f>IFERROR(VLOOKUP("200mg DP",Controls!A:K,10,0),"")</f>
        <v>Catalent</v>
      </c>
      <c r="S388" s="41">
        <f t="shared" ref="S388:S451" si="45">IFERROR(EDATE(A388,-Q388),"")</f>
        <v>46692</v>
      </c>
      <c r="T388" s="30">
        <f t="shared" ref="T388:T451" si="46">G388</f>
        <v>0</v>
      </c>
      <c r="W388" s="205" t="e" cm="1">
        <f t="array" ref="W388">IF(26&lt;Controls!$B$7,INDEX(A362:A540,MATCH(Controls!$B$5,A362:A540,1)+26),NA())</f>
        <v>#N/A</v>
      </c>
      <c r="X388" t="e" cm="1">
        <f t="array" ref="X388">IF(26&lt;Controls!$B$7,INDEX(F362:F540,MATCH(Controls!$B$5,A362:A540,1)+26),NA())</f>
        <v>#N/A</v>
      </c>
      <c r="Y388" t="e" cm="1">
        <f t="array" ref="Y388">IF(26&lt;Controls!$B$7,INDEX(G362:G540,MATCH(Controls!$B$5,A362:A540,1)+26),NA())</f>
        <v>#N/A</v>
      </c>
      <c r="Z388" t="e" cm="1">
        <f t="array" ref="Z388">IF(26&lt;Controls!$B$7,INDEX(H362:H540,MATCH(Controls!$B$5,A362:A540,1)+26),NA())</f>
        <v>#N/A</v>
      </c>
      <c r="AA388" t="e" cm="1">
        <f t="array" ref="AA388">IF(26&lt;Controls!$B$7,INDEX(M362:M540,MATCH(Controls!$B$5,A362:A540,1)+26)*INDEX(I362:I540,MATCH(Controls!$B$5,A362:A540,1)+26),NA())</f>
        <v>#N/A</v>
      </c>
      <c r="AB388">
        <f t="shared" si="41"/>
        <v>35100</v>
      </c>
    </row>
    <row r="389" spans="1:28" ht="13" customHeight="1" x14ac:dyDescent="0.35">
      <c r="A389" s="153">
        <v>46874</v>
      </c>
      <c r="B389" s="36" t="s">
        <v>36</v>
      </c>
      <c r="C389" s="15" t="s">
        <v>38</v>
      </c>
      <c r="D389" s="15" t="s">
        <v>29</v>
      </c>
      <c r="E389" s="30">
        <f>H388</f>
        <v>2628</v>
      </c>
      <c r="F389" s="37" cm="1">
        <f t="array" ref="F389">IFERROR((SUMPRODUCT(('Production Inputs'!$A:$A="188mg LP")*('Production Inputs'!$B:$B="TOTAL ACTIVE")*'Production Inputs'!$AM:$AM)+SUMPRODUCT(('Production Inputs'!$A:$A="188mg LP - EU Stock")*('Production Inputs'!$B:$B="TOTAL ACTIVE")*'Production Inputs'!$AM:$AM))*Dependencies!$D$4,0)</f>
        <v>0</v>
      </c>
      <c r="G389" s="37">
        <f t="array" ref="G389">IFERROR(SUMPRODUCT(('Production Inputs'!$A:$A="200mg DP")*('Production Inputs'!$B:$B="TOTAL ACTIVE")*'Production Inputs'!$AM:$AM),0)</f>
        <v>0</v>
      </c>
      <c r="H389" s="30">
        <f t="shared" si="42"/>
        <v>2628</v>
      </c>
      <c r="I389" s="30">
        <f ca="1">IFERROR(AVERAGEIF(OFFSET(F389,0,0,MIN(Controls!$B$8,COUNTIF(B389:B$1973,B389)),1),"&gt;"&amp;0),0)</f>
        <v>0</v>
      </c>
      <c r="J389" s="38">
        <f t="shared" ca="1" si="43"/>
        <v>999</v>
      </c>
      <c r="K389" s="30">
        <f t="shared" ref="K389:K452" ca="1" si="47">IFERROR(IF(H389&lt;(N389*I389), CEILING(MAX(0,ROUND((M389*I389-H389)/P389,0)*P389),P389), 0), 0)</f>
        <v>0</v>
      </c>
      <c r="L389" t="str">
        <f t="shared" ca="1" si="44"/>
        <v>Overstock</v>
      </c>
      <c r="M389" s="39">
        <f>IFERROR(VLOOKUP("200mg DP",Controls!A:I,7,0),6)</f>
        <v>9</v>
      </c>
      <c r="N389" s="39">
        <f>IFERROR(VLOOKUP("200mg DP",Controls!A:I,8,0),3)</f>
        <v>8</v>
      </c>
      <c r="O389" s="39">
        <f>IFERROR(VLOOKUP("200mg DP",Controls!A:I,9,0),18)</f>
        <v>18</v>
      </c>
      <c r="P389" s="40">
        <f>IFERROR(VLOOKUP("200mg DP",Controls!A:J,5,0),0)</f>
        <v>16200</v>
      </c>
      <c r="Q389" s="39">
        <f>IFERROR(VLOOKUP("200mg DP",Controls!A:J,6,0),3)</f>
        <v>5</v>
      </c>
      <c r="R389" s="21" t="str">
        <f>IFERROR(VLOOKUP("200mg DP",Controls!A:K,10,0),"")</f>
        <v>Catalent</v>
      </c>
      <c r="S389" s="41">
        <f t="shared" si="45"/>
        <v>46722</v>
      </c>
      <c r="T389" s="30">
        <f t="shared" si="46"/>
        <v>0</v>
      </c>
      <c r="W389" s="205" t="e" cm="1">
        <f t="array" ref="W389">IF(27&lt;Controls!$B$7,INDEX(A362:A540,MATCH(Controls!$B$5,A362:A540,1)+27),NA())</f>
        <v>#N/A</v>
      </c>
      <c r="X389" t="e" cm="1">
        <f t="array" ref="X389">IF(27&lt;Controls!$B$7,INDEX(F362:F540,MATCH(Controls!$B$5,A362:A540,1)+27),NA())</f>
        <v>#N/A</v>
      </c>
      <c r="Y389" t="e" cm="1">
        <f t="array" ref="Y389">IF(27&lt;Controls!$B$7,INDEX(G362:G540,MATCH(Controls!$B$5,A362:A540,1)+27),NA())</f>
        <v>#N/A</v>
      </c>
      <c r="Z389" t="e" cm="1">
        <f t="array" ref="Z389">IF(27&lt;Controls!$B$7,INDEX(H362:H540,MATCH(Controls!$B$5,A362:A540,1)+27),NA())</f>
        <v>#N/A</v>
      </c>
      <c r="AA389" t="e" cm="1">
        <f t="array" ref="AA389">IF(27&lt;Controls!$B$7,INDEX(M362:M540,MATCH(Controls!$B$5,A362:A540,1)+27)*INDEX(I362:I540,MATCH(Controls!$B$5,A362:A540,1)+27),NA())</f>
        <v>#N/A</v>
      </c>
      <c r="AB389">
        <f t="shared" ref="AB389:AB452" si="48">SUMIFS($F$4:$F$2331,$B$4:$B$2331,B389,$A$4:$A$2331,"&lt;="&amp;A389)</f>
        <v>35100</v>
      </c>
    </row>
    <row r="390" spans="1:28" ht="13" customHeight="1" x14ac:dyDescent="0.35">
      <c r="A390" s="153">
        <v>46905</v>
      </c>
      <c r="B390" s="36" t="s">
        <v>36</v>
      </c>
      <c r="C390" s="15" t="s">
        <v>38</v>
      </c>
      <c r="D390" s="15" t="s">
        <v>29</v>
      </c>
      <c r="E390" s="30">
        <f>H389</f>
        <v>2628</v>
      </c>
      <c r="F390" s="37" cm="1">
        <f t="array" ref="F390">IFERROR((SUMPRODUCT(('Production Inputs'!$A:$A="188mg LP")*('Production Inputs'!$B:$B="TOTAL ACTIVE")*'Production Inputs'!$AN:$AN)+SUMPRODUCT(('Production Inputs'!$A:$A="188mg LP - EU Stock")*('Production Inputs'!$B:$B="TOTAL ACTIVE")*'Production Inputs'!$AN:$AN))*Dependencies!$D$4,0)</f>
        <v>0</v>
      </c>
      <c r="G390" s="37">
        <f t="array" ref="G390">IFERROR(SUMPRODUCT(('Production Inputs'!$A:$A="200mg DP")*('Production Inputs'!$B:$B="TOTAL ACTIVE")*'Production Inputs'!$AN:$AN),0)</f>
        <v>0</v>
      </c>
      <c r="H390" s="30">
        <f t="shared" si="42"/>
        <v>2628</v>
      </c>
      <c r="I390" s="30">
        <f ca="1">IFERROR(AVERAGEIF(OFFSET(F390,0,0,MIN(Controls!$B$8,COUNTIF(B390:B$1973,B390)),1),"&gt;"&amp;0),0)</f>
        <v>0</v>
      </c>
      <c r="J390" s="38">
        <f t="shared" ca="1" si="43"/>
        <v>999</v>
      </c>
      <c r="K390" s="30">
        <f t="shared" ca="1" si="47"/>
        <v>0</v>
      </c>
      <c r="L390" t="str">
        <f t="shared" ca="1" si="44"/>
        <v>Overstock</v>
      </c>
      <c r="M390" s="39">
        <f>IFERROR(VLOOKUP("200mg DP",Controls!A:I,7,0),6)</f>
        <v>9</v>
      </c>
      <c r="N390" s="39">
        <f>IFERROR(VLOOKUP("200mg DP",Controls!A:I,8,0),3)</f>
        <v>8</v>
      </c>
      <c r="O390" s="39">
        <f>IFERROR(VLOOKUP("200mg DP",Controls!A:I,9,0),18)</f>
        <v>18</v>
      </c>
      <c r="P390" s="40">
        <f>IFERROR(VLOOKUP("200mg DP",Controls!A:J,5,0),0)</f>
        <v>16200</v>
      </c>
      <c r="Q390" s="39">
        <f>IFERROR(VLOOKUP("200mg DP",Controls!A:J,6,0),3)</f>
        <v>5</v>
      </c>
      <c r="R390" s="21" t="str">
        <f>IFERROR(VLOOKUP("200mg DP",Controls!A:K,10,0),"")</f>
        <v>Catalent</v>
      </c>
      <c r="S390" s="41">
        <f t="shared" si="45"/>
        <v>46753</v>
      </c>
      <c r="T390" s="30">
        <f t="shared" si="46"/>
        <v>0</v>
      </c>
      <c r="W390" s="205" t="e" cm="1">
        <f t="array" ref="W390">IF(28&lt;Controls!$B$7,INDEX(A362:A540,MATCH(Controls!$B$5,A362:A540,1)+28),NA())</f>
        <v>#N/A</v>
      </c>
      <c r="X390" t="e" cm="1">
        <f t="array" ref="X390">IF(28&lt;Controls!$B$7,INDEX(F362:F540,MATCH(Controls!$B$5,A362:A540,1)+28),NA())</f>
        <v>#N/A</v>
      </c>
      <c r="Y390" t="e" cm="1">
        <f t="array" ref="Y390">IF(28&lt;Controls!$B$7,INDEX(G362:G540,MATCH(Controls!$B$5,A362:A540,1)+28),NA())</f>
        <v>#N/A</v>
      </c>
      <c r="Z390" t="e" cm="1">
        <f t="array" ref="Z390">IF(28&lt;Controls!$B$7,INDEX(H362:H540,MATCH(Controls!$B$5,A362:A540,1)+28),NA())</f>
        <v>#N/A</v>
      </c>
      <c r="AA390" t="e" cm="1">
        <f t="array" ref="AA390">IF(28&lt;Controls!$B$7,INDEX(M362:M540,MATCH(Controls!$B$5,A362:A540,1)+28)*INDEX(I362:I540,MATCH(Controls!$B$5,A362:A540,1)+28),NA())</f>
        <v>#N/A</v>
      </c>
      <c r="AB390">
        <f t="shared" si="48"/>
        <v>35100</v>
      </c>
    </row>
    <row r="391" spans="1:28" ht="13" customHeight="1" x14ac:dyDescent="0.35">
      <c r="A391" s="153">
        <v>46935</v>
      </c>
      <c r="B391" s="36" t="s">
        <v>36</v>
      </c>
      <c r="C391" s="15" t="s">
        <v>38</v>
      </c>
      <c r="D391" s="15" t="s">
        <v>29</v>
      </c>
      <c r="E391" s="30">
        <f>H390</f>
        <v>2628</v>
      </c>
      <c r="F391" s="37" cm="1">
        <f t="array" ref="F391">IFERROR((SUMPRODUCT(('Production Inputs'!$A:$A="188mg LP")*('Production Inputs'!$B:$B="TOTAL ACTIVE")*'Production Inputs'!$AO:$AO)+SUMPRODUCT(('Production Inputs'!$A:$A="188mg LP - EU Stock")*('Production Inputs'!$B:$B="TOTAL ACTIVE")*'Production Inputs'!$AO:$AO))*Dependencies!$D$4,0)</f>
        <v>0</v>
      </c>
      <c r="G391" s="37">
        <f t="array" ref="G391">IFERROR(SUMPRODUCT(('Production Inputs'!$A:$A="200mg DP")*('Production Inputs'!$B:$B="TOTAL ACTIVE")*'Production Inputs'!$AO:$AO),0)</f>
        <v>0</v>
      </c>
      <c r="H391" s="30">
        <f t="shared" si="42"/>
        <v>2628</v>
      </c>
      <c r="I391" s="30">
        <f ca="1">IFERROR(AVERAGEIF(OFFSET(F391,0,0,MIN(Controls!$B$8,COUNTIF(B391:B$1973,B391)),1),"&gt;"&amp;0),0)</f>
        <v>0</v>
      </c>
      <c r="J391" s="38">
        <f t="shared" ca="1" si="43"/>
        <v>999</v>
      </c>
      <c r="K391" s="30">
        <f t="shared" ca="1" si="47"/>
        <v>0</v>
      </c>
      <c r="L391" t="str">
        <f t="shared" ca="1" si="44"/>
        <v>Overstock</v>
      </c>
      <c r="M391" s="39">
        <f>IFERROR(VLOOKUP("200mg DP",Controls!A:I,7,0),6)</f>
        <v>9</v>
      </c>
      <c r="N391" s="39">
        <f>IFERROR(VLOOKUP("200mg DP",Controls!A:I,8,0),3)</f>
        <v>8</v>
      </c>
      <c r="O391" s="39">
        <f>IFERROR(VLOOKUP("200mg DP",Controls!A:I,9,0),18)</f>
        <v>18</v>
      </c>
      <c r="P391" s="40">
        <f>IFERROR(VLOOKUP("200mg DP",Controls!A:J,5,0),0)</f>
        <v>16200</v>
      </c>
      <c r="Q391" s="39">
        <f>IFERROR(VLOOKUP("200mg DP",Controls!A:J,6,0),3)</f>
        <v>5</v>
      </c>
      <c r="R391" s="21" t="str">
        <f>IFERROR(VLOOKUP("200mg DP",Controls!A:K,10,0),"")</f>
        <v>Catalent</v>
      </c>
      <c r="S391" s="41">
        <f t="shared" si="45"/>
        <v>46784</v>
      </c>
      <c r="T391" s="30">
        <f t="shared" si="46"/>
        <v>0</v>
      </c>
      <c r="W391" s="205" t="e" cm="1">
        <f t="array" ref="W391">IF(29&lt;Controls!$B$7,INDEX(A362:A540,MATCH(Controls!$B$5,A362:A540,1)+29),NA())</f>
        <v>#N/A</v>
      </c>
      <c r="X391" t="e" cm="1">
        <f t="array" ref="X391">IF(29&lt;Controls!$B$7,INDEX(F362:F540,MATCH(Controls!$B$5,A362:A540,1)+29),NA())</f>
        <v>#N/A</v>
      </c>
      <c r="Y391" t="e" cm="1">
        <f t="array" ref="Y391">IF(29&lt;Controls!$B$7,INDEX(G362:G540,MATCH(Controls!$B$5,A362:A540,1)+29),NA())</f>
        <v>#N/A</v>
      </c>
      <c r="Z391" t="e" cm="1">
        <f t="array" ref="Z391">IF(29&lt;Controls!$B$7,INDEX(H362:H540,MATCH(Controls!$B$5,A362:A540,1)+29),NA())</f>
        <v>#N/A</v>
      </c>
      <c r="AA391" t="e" cm="1">
        <f t="array" ref="AA391">IF(29&lt;Controls!$B$7,INDEX(M362:M540,MATCH(Controls!$B$5,A362:A540,1)+29)*INDEX(I362:I540,MATCH(Controls!$B$5,A362:A540,1)+29),NA())</f>
        <v>#N/A</v>
      </c>
      <c r="AB391">
        <f t="shared" si="48"/>
        <v>35100</v>
      </c>
    </row>
    <row r="392" spans="1:28" ht="13" customHeight="1" x14ac:dyDescent="0.35">
      <c r="A392" s="153">
        <v>46966</v>
      </c>
      <c r="B392" s="36" t="s">
        <v>36</v>
      </c>
      <c r="C392" s="15" t="s">
        <v>38</v>
      </c>
      <c r="D392" s="15" t="s">
        <v>29</v>
      </c>
      <c r="E392" s="30">
        <f>H391</f>
        <v>2628</v>
      </c>
      <c r="F392" s="37" cm="1">
        <f t="array" ref="F392">IFERROR((SUMPRODUCT(('Production Inputs'!$A:$A="188mg LP")*('Production Inputs'!$B:$B="TOTAL ACTIVE")*'Production Inputs'!$AP:$AP)+SUMPRODUCT(('Production Inputs'!$A:$A="188mg LP - EU Stock")*('Production Inputs'!$B:$B="TOTAL ACTIVE")*'Production Inputs'!$AP:$AP))*Dependencies!$D$4,0)</f>
        <v>0</v>
      </c>
      <c r="G392" s="37">
        <f t="array" ref="G392">IFERROR(SUMPRODUCT(('Production Inputs'!$A:$A="200mg DP")*('Production Inputs'!$B:$B="TOTAL ACTIVE")*'Production Inputs'!$AP:$AP),0)</f>
        <v>85200</v>
      </c>
      <c r="H392" s="30">
        <f t="shared" si="42"/>
        <v>87828</v>
      </c>
      <c r="I392" s="30">
        <f ca="1">IFERROR(AVERAGEIF(OFFSET(F392,0,0,MIN(Controls!$B$8,COUNTIF(B392:B$1973,B392)),1),"&gt;"&amp;0),0)</f>
        <v>0</v>
      </c>
      <c r="J392" s="38">
        <f t="shared" ca="1" si="43"/>
        <v>999</v>
      </c>
      <c r="K392" s="30">
        <f t="shared" ca="1" si="47"/>
        <v>0</v>
      </c>
      <c r="L392" t="str">
        <f t="shared" ca="1" si="44"/>
        <v>Overstock</v>
      </c>
      <c r="M392" s="39">
        <f>IFERROR(VLOOKUP("200mg DP",Controls!A:I,7,0),6)</f>
        <v>9</v>
      </c>
      <c r="N392" s="39">
        <f>IFERROR(VLOOKUP("200mg DP",Controls!A:I,8,0),3)</f>
        <v>8</v>
      </c>
      <c r="O392" s="39">
        <f>IFERROR(VLOOKUP("200mg DP",Controls!A:I,9,0),18)</f>
        <v>18</v>
      </c>
      <c r="P392" s="40">
        <f>IFERROR(VLOOKUP("200mg DP",Controls!A:J,5,0),0)</f>
        <v>16200</v>
      </c>
      <c r="Q392" s="39">
        <f>IFERROR(VLOOKUP("200mg DP",Controls!A:J,6,0),3)</f>
        <v>5</v>
      </c>
      <c r="R392" s="21" t="str">
        <f>IFERROR(VLOOKUP("200mg DP",Controls!A:K,10,0),"")</f>
        <v>Catalent</v>
      </c>
      <c r="S392" s="41">
        <f t="shared" si="45"/>
        <v>46813</v>
      </c>
      <c r="T392" s="30">
        <f t="shared" si="46"/>
        <v>85200</v>
      </c>
      <c r="W392" s="205" t="e" cm="1">
        <f t="array" ref="W392">IF(30&lt;Controls!$B$7,INDEX(A362:A540,MATCH(Controls!$B$5,A362:A540,1)+30),NA())</f>
        <v>#N/A</v>
      </c>
      <c r="X392" t="e" cm="1">
        <f t="array" ref="X392">IF(30&lt;Controls!$B$7,INDEX(F362:F540,MATCH(Controls!$B$5,A362:A540,1)+30),NA())</f>
        <v>#N/A</v>
      </c>
      <c r="Y392" t="e" cm="1">
        <f t="array" ref="Y392">IF(30&lt;Controls!$B$7,INDEX(G362:G540,MATCH(Controls!$B$5,A362:A540,1)+30),NA())</f>
        <v>#N/A</v>
      </c>
      <c r="Z392" t="e" cm="1">
        <f t="array" ref="Z392">IF(30&lt;Controls!$B$7,INDEX(H362:H540,MATCH(Controls!$B$5,A362:A540,1)+30),NA())</f>
        <v>#N/A</v>
      </c>
      <c r="AA392" t="e" cm="1">
        <f t="array" ref="AA392">IF(30&lt;Controls!$B$7,INDEX(M362:M540,MATCH(Controls!$B$5,A362:A540,1)+30)*INDEX(I362:I540,MATCH(Controls!$B$5,A362:A540,1)+30),NA())</f>
        <v>#N/A</v>
      </c>
      <c r="AB392">
        <f t="shared" si="48"/>
        <v>35100</v>
      </c>
    </row>
    <row r="393" spans="1:28" ht="13" customHeight="1" x14ac:dyDescent="0.35">
      <c r="A393" s="153">
        <v>46997</v>
      </c>
      <c r="B393" s="36" t="s">
        <v>36</v>
      </c>
      <c r="C393" s="15" t="s">
        <v>38</v>
      </c>
      <c r="D393" s="15" t="s">
        <v>29</v>
      </c>
      <c r="E393" s="30">
        <f>H392</f>
        <v>87828</v>
      </c>
      <c r="F393" s="37" cm="1">
        <f t="array" ref="F393">IFERROR((SUMPRODUCT(('Production Inputs'!$A:$A="188mg LP")*('Production Inputs'!$B:$B="TOTAL ACTIVE")*'Production Inputs'!$AQ:$AQ)+SUMPRODUCT(('Production Inputs'!$A:$A="188mg LP - EU Stock")*('Production Inputs'!$B:$B="TOTAL ACTIVE")*'Production Inputs'!$AQ:$AQ))*Dependencies!$D$4,0)</f>
        <v>0</v>
      </c>
      <c r="G393" s="37">
        <f t="array" ref="G393">IFERROR(SUMPRODUCT(('Production Inputs'!$A:$A="200mg DP")*('Production Inputs'!$B:$B="TOTAL ACTIVE")*'Production Inputs'!$AQ:$AQ),0)</f>
        <v>0</v>
      </c>
      <c r="H393" s="30">
        <f t="shared" si="42"/>
        <v>87828</v>
      </c>
      <c r="I393" s="30">
        <f ca="1">IFERROR(AVERAGEIF(OFFSET(F393,0,0,MIN(Controls!$B$8,COUNTIF(B393:B$1973,B393)),1),"&gt;"&amp;0),0)</f>
        <v>0</v>
      </c>
      <c r="J393" s="38">
        <f t="shared" ca="1" si="43"/>
        <v>999</v>
      </c>
      <c r="K393" s="30">
        <f t="shared" ca="1" si="47"/>
        <v>0</v>
      </c>
      <c r="L393" t="str">
        <f t="shared" ca="1" si="44"/>
        <v>Overstock</v>
      </c>
      <c r="M393" s="39">
        <f>IFERROR(VLOOKUP("200mg DP",Controls!A:I,7,0),6)</f>
        <v>9</v>
      </c>
      <c r="N393" s="39">
        <f>IFERROR(VLOOKUP("200mg DP",Controls!A:I,8,0),3)</f>
        <v>8</v>
      </c>
      <c r="O393" s="39">
        <f>IFERROR(VLOOKUP("200mg DP",Controls!A:I,9,0),18)</f>
        <v>18</v>
      </c>
      <c r="P393" s="40">
        <f>IFERROR(VLOOKUP("200mg DP",Controls!A:J,5,0),0)</f>
        <v>16200</v>
      </c>
      <c r="Q393" s="39">
        <f>IFERROR(VLOOKUP("200mg DP",Controls!A:J,6,0),3)</f>
        <v>5</v>
      </c>
      <c r="R393" s="21" t="str">
        <f>IFERROR(VLOOKUP("200mg DP",Controls!A:K,10,0),"")</f>
        <v>Catalent</v>
      </c>
      <c r="S393" s="41">
        <f t="shared" si="45"/>
        <v>46844</v>
      </c>
      <c r="T393" s="30">
        <f t="shared" si="46"/>
        <v>0</v>
      </c>
      <c r="W393" s="205" t="e" cm="1">
        <f t="array" ref="W393">IF(31&lt;Controls!$B$7,INDEX(A362:A540,MATCH(Controls!$B$5,A362:A540,1)+31),NA())</f>
        <v>#N/A</v>
      </c>
      <c r="X393" t="e" cm="1">
        <f t="array" ref="X393">IF(31&lt;Controls!$B$7,INDEX(F362:F540,MATCH(Controls!$B$5,A362:A540,1)+31),NA())</f>
        <v>#N/A</v>
      </c>
      <c r="Y393" t="e" cm="1">
        <f t="array" ref="Y393">IF(31&lt;Controls!$B$7,INDEX(G362:G540,MATCH(Controls!$B$5,A362:A540,1)+31),NA())</f>
        <v>#N/A</v>
      </c>
      <c r="Z393" t="e" cm="1">
        <f t="array" ref="Z393">IF(31&lt;Controls!$B$7,INDEX(H362:H540,MATCH(Controls!$B$5,A362:A540,1)+31),NA())</f>
        <v>#N/A</v>
      </c>
      <c r="AA393" t="e" cm="1">
        <f t="array" ref="AA393">IF(31&lt;Controls!$B$7,INDEX(M362:M540,MATCH(Controls!$B$5,A362:A540,1)+31)*INDEX(I362:I540,MATCH(Controls!$B$5,A362:A540,1)+31),NA())</f>
        <v>#N/A</v>
      </c>
      <c r="AB393">
        <f t="shared" si="48"/>
        <v>35100</v>
      </c>
    </row>
    <row r="394" spans="1:28" ht="13" customHeight="1" x14ac:dyDescent="0.35">
      <c r="A394" s="153">
        <v>47027</v>
      </c>
      <c r="B394" s="36" t="s">
        <v>36</v>
      </c>
      <c r="C394" s="15" t="s">
        <v>38</v>
      </c>
      <c r="D394" s="15" t="s">
        <v>29</v>
      </c>
      <c r="E394" s="30">
        <f>H393</f>
        <v>87828</v>
      </c>
      <c r="F394" s="37" cm="1">
        <f t="array" ref="F394">IFERROR((SUMPRODUCT(('Production Inputs'!$A:$A="188mg LP")*('Production Inputs'!$B:$B="TOTAL ACTIVE")*'Production Inputs'!$AR:$AR)+SUMPRODUCT(('Production Inputs'!$A:$A="188mg LP - EU Stock")*('Production Inputs'!$B:$B="TOTAL ACTIVE")*'Production Inputs'!$AR:$AR))*Dependencies!$D$4,0)</f>
        <v>0</v>
      </c>
      <c r="G394" s="37">
        <f t="array" ref="G394">IFERROR(SUMPRODUCT(('Production Inputs'!$A:$A="200mg DP")*('Production Inputs'!$B:$B="TOTAL ACTIVE")*'Production Inputs'!$AR:$AR),0)</f>
        <v>0</v>
      </c>
      <c r="H394" s="30">
        <f t="shared" si="42"/>
        <v>87828</v>
      </c>
      <c r="I394" s="30">
        <f ca="1">IFERROR(AVERAGEIF(OFFSET(F394,0,0,MIN(Controls!$B$8,COUNTIF(B394:B$1973,B394)),1),"&gt;"&amp;0),0)</f>
        <v>0</v>
      </c>
      <c r="J394" s="38">
        <f t="shared" ca="1" si="43"/>
        <v>999</v>
      </c>
      <c r="K394" s="30">
        <f t="shared" ca="1" si="47"/>
        <v>0</v>
      </c>
      <c r="L394" t="str">
        <f t="shared" ca="1" si="44"/>
        <v>Overstock</v>
      </c>
      <c r="M394" s="39">
        <f>IFERROR(VLOOKUP("200mg DP",Controls!A:I,7,0),6)</f>
        <v>9</v>
      </c>
      <c r="N394" s="39">
        <f>IFERROR(VLOOKUP("200mg DP",Controls!A:I,8,0),3)</f>
        <v>8</v>
      </c>
      <c r="O394" s="39">
        <f>IFERROR(VLOOKUP("200mg DP",Controls!A:I,9,0),18)</f>
        <v>18</v>
      </c>
      <c r="P394" s="40">
        <f>IFERROR(VLOOKUP("200mg DP",Controls!A:J,5,0),0)</f>
        <v>16200</v>
      </c>
      <c r="Q394" s="39">
        <f>IFERROR(VLOOKUP("200mg DP",Controls!A:J,6,0),3)</f>
        <v>5</v>
      </c>
      <c r="R394" s="21" t="str">
        <f>IFERROR(VLOOKUP("200mg DP",Controls!A:K,10,0),"")</f>
        <v>Catalent</v>
      </c>
      <c r="S394" s="41">
        <f t="shared" si="45"/>
        <v>46874</v>
      </c>
      <c r="T394" s="30">
        <f t="shared" si="46"/>
        <v>0</v>
      </c>
      <c r="W394" s="205" t="e" cm="1">
        <f t="array" ref="W394">IF(32&lt;Controls!$B$7,INDEX(A362:A540,MATCH(Controls!$B$5,A362:A540,1)+32),NA())</f>
        <v>#N/A</v>
      </c>
      <c r="X394" t="e" cm="1">
        <f t="array" ref="X394">IF(32&lt;Controls!$B$7,INDEX(F362:F540,MATCH(Controls!$B$5,A362:A540,1)+32),NA())</f>
        <v>#N/A</v>
      </c>
      <c r="Y394" t="e" cm="1">
        <f t="array" ref="Y394">IF(32&lt;Controls!$B$7,INDEX(G362:G540,MATCH(Controls!$B$5,A362:A540,1)+32),NA())</f>
        <v>#N/A</v>
      </c>
      <c r="Z394" t="e" cm="1">
        <f t="array" ref="Z394">IF(32&lt;Controls!$B$7,INDEX(H362:H540,MATCH(Controls!$B$5,A362:A540,1)+32),NA())</f>
        <v>#N/A</v>
      </c>
      <c r="AA394" t="e" cm="1">
        <f t="array" ref="AA394">IF(32&lt;Controls!$B$7,INDEX(M362:M540,MATCH(Controls!$B$5,A362:A540,1)+32)*INDEX(I362:I540,MATCH(Controls!$B$5,A362:A540,1)+32),NA())</f>
        <v>#N/A</v>
      </c>
      <c r="AB394">
        <f t="shared" si="48"/>
        <v>35100</v>
      </c>
    </row>
    <row r="395" spans="1:28" ht="13" customHeight="1" x14ac:dyDescent="0.35">
      <c r="A395" s="153">
        <v>47058</v>
      </c>
      <c r="B395" s="36" t="s">
        <v>36</v>
      </c>
      <c r="C395" s="15" t="s">
        <v>38</v>
      </c>
      <c r="D395" s="15" t="s">
        <v>29</v>
      </c>
      <c r="E395" s="30">
        <f>H394</f>
        <v>87828</v>
      </c>
      <c r="F395" s="37" cm="1">
        <f t="array" ref="F395">IFERROR((SUMPRODUCT(('Production Inputs'!$A:$A="188mg LP")*('Production Inputs'!$B:$B="TOTAL ACTIVE")*'Production Inputs'!$AS:$AS)+SUMPRODUCT(('Production Inputs'!$A:$A="188mg LP - EU Stock")*('Production Inputs'!$B:$B="TOTAL ACTIVE")*'Production Inputs'!$AS:$AS))*Dependencies!$D$4,0)</f>
        <v>0</v>
      </c>
      <c r="G395" s="37">
        <f t="array" ref="G395">IFERROR(SUMPRODUCT(('Production Inputs'!$A:$A="200mg DP")*('Production Inputs'!$B:$B="TOTAL ACTIVE")*'Production Inputs'!$AS:$AS),0)</f>
        <v>0</v>
      </c>
      <c r="H395" s="30">
        <f t="shared" si="42"/>
        <v>87828</v>
      </c>
      <c r="I395" s="30">
        <f ca="1">IFERROR(AVERAGEIF(OFFSET(F395,0,0,MIN(Controls!$B$8,COUNTIF(B395:B$1973,B395)),1),"&gt;"&amp;0),0)</f>
        <v>0</v>
      </c>
      <c r="J395" s="38">
        <f t="shared" ca="1" si="43"/>
        <v>999</v>
      </c>
      <c r="K395" s="30">
        <f t="shared" ca="1" si="47"/>
        <v>0</v>
      </c>
      <c r="L395" t="str">
        <f t="shared" ca="1" si="44"/>
        <v>Overstock</v>
      </c>
      <c r="M395" s="39">
        <f>IFERROR(VLOOKUP("200mg DP",Controls!A:I,7,0),6)</f>
        <v>9</v>
      </c>
      <c r="N395" s="39">
        <f>IFERROR(VLOOKUP("200mg DP",Controls!A:I,8,0),3)</f>
        <v>8</v>
      </c>
      <c r="O395" s="39">
        <f>IFERROR(VLOOKUP("200mg DP",Controls!A:I,9,0),18)</f>
        <v>18</v>
      </c>
      <c r="P395" s="40">
        <f>IFERROR(VLOOKUP("200mg DP",Controls!A:J,5,0),0)</f>
        <v>16200</v>
      </c>
      <c r="Q395" s="39">
        <f>IFERROR(VLOOKUP("200mg DP",Controls!A:J,6,0),3)</f>
        <v>5</v>
      </c>
      <c r="R395" s="21" t="str">
        <f>IFERROR(VLOOKUP("200mg DP",Controls!A:K,10,0),"")</f>
        <v>Catalent</v>
      </c>
      <c r="S395" s="41">
        <f t="shared" si="45"/>
        <v>46905</v>
      </c>
      <c r="T395" s="30">
        <f t="shared" si="46"/>
        <v>0</v>
      </c>
      <c r="W395" s="205" t="e" cm="1">
        <f t="array" ref="W395">IF(33&lt;Controls!$B$7,INDEX(A362:A540,MATCH(Controls!$B$5,A362:A540,1)+33),NA())</f>
        <v>#N/A</v>
      </c>
      <c r="X395" t="e" cm="1">
        <f t="array" ref="X395">IF(33&lt;Controls!$B$7,INDEX(F362:F540,MATCH(Controls!$B$5,A362:A540,1)+33),NA())</f>
        <v>#N/A</v>
      </c>
      <c r="Y395" t="e" cm="1">
        <f t="array" ref="Y395">IF(33&lt;Controls!$B$7,INDEX(G362:G540,MATCH(Controls!$B$5,A362:A540,1)+33),NA())</f>
        <v>#N/A</v>
      </c>
      <c r="Z395" t="e" cm="1">
        <f t="array" ref="Z395">IF(33&lt;Controls!$B$7,INDEX(H362:H540,MATCH(Controls!$B$5,A362:A540,1)+33),NA())</f>
        <v>#N/A</v>
      </c>
      <c r="AA395" t="e" cm="1">
        <f t="array" ref="AA395">IF(33&lt;Controls!$B$7,INDEX(M362:M540,MATCH(Controls!$B$5,A362:A540,1)+33)*INDEX(I362:I540,MATCH(Controls!$B$5,A362:A540,1)+33),NA())</f>
        <v>#N/A</v>
      </c>
      <c r="AB395">
        <f t="shared" si="48"/>
        <v>35100</v>
      </c>
    </row>
    <row r="396" spans="1:28" ht="13" customHeight="1" x14ac:dyDescent="0.35">
      <c r="A396" s="153">
        <v>47088</v>
      </c>
      <c r="B396" s="36" t="s">
        <v>36</v>
      </c>
      <c r="C396" s="15" t="s">
        <v>38</v>
      </c>
      <c r="D396" s="15" t="s">
        <v>29</v>
      </c>
      <c r="E396" s="30">
        <f>H395</f>
        <v>87828</v>
      </c>
      <c r="F396" s="37" cm="1">
        <f t="array" ref="F396">IFERROR((SUMPRODUCT(('Production Inputs'!$A:$A="188mg LP")*('Production Inputs'!$B:$B="TOTAL ACTIVE")*'Production Inputs'!$AT:$AT)+SUMPRODUCT(('Production Inputs'!$A:$A="188mg LP - EU Stock")*('Production Inputs'!$B:$B="TOTAL ACTIVE")*'Production Inputs'!$AT:$AT))*Dependencies!$D$4,0)</f>
        <v>0</v>
      </c>
      <c r="G396" s="37">
        <f t="array" ref="G396">IFERROR(SUMPRODUCT(('Production Inputs'!$A:$A="200mg DP")*('Production Inputs'!$B:$B="TOTAL ACTIVE")*'Production Inputs'!$AT:$AT),0)</f>
        <v>0</v>
      </c>
      <c r="H396" s="30">
        <f t="shared" si="42"/>
        <v>87828</v>
      </c>
      <c r="I396" s="30">
        <f ca="1">IFERROR(AVERAGEIF(OFFSET(F396,0,0,MIN(Controls!$B$8,COUNTIF(B396:B$1973,B396)),1),"&gt;"&amp;0),0)</f>
        <v>0</v>
      </c>
      <c r="J396" s="38">
        <f t="shared" ca="1" si="43"/>
        <v>999</v>
      </c>
      <c r="K396" s="30">
        <f t="shared" ca="1" si="47"/>
        <v>0</v>
      </c>
      <c r="L396" t="str">
        <f t="shared" ca="1" si="44"/>
        <v>Overstock</v>
      </c>
      <c r="M396" s="39">
        <f>IFERROR(VLOOKUP("200mg DP",Controls!A:I,7,0),6)</f>
        <v>9</v>
      </c>
      <c r="N396" s="39">
        <f>IFERROR(VLOOKUP("200mg DP",Controls!A:I,8,0),3)</f>
        <v>8</v>
      </c>
      <c r="O396" s="39">
        <f>IFERROR(VLOOKUP("200mg DP",Controls!A:I,9,0),18)</f>
        <v>18</v>
      </c>
      <c r="P396" s="40">
        <f>IFERROR(VLOOKUP("200mg DP",Controls!A:J,5,0),0)</f>
        <v>16200</v>
      </c>
      <c r="Q396" s="39">
        <f>IFERROR(VLOOKUP("200mg DP",Controls!A:J,6,0),3)</f>
        <v>5</v>
      </c>
      <c r="R396" s="21" t="str">
        <f>IFERROR(VLOOKUP("200mg DP",Controls!A:K,10,0),"")</f>
        <v>Catalent</v>
      </c>
      <c r="S396" s="41">
        <f t="shared" si="45"/>
        <v>46935</v>
      </c>
      <c r="T396" s="30">
        <f t="shared" si="46"/>
        <v>0</v>
      </c>
      <c r="W396" s="205" t="e" cm="1">
        <f t="array" ref="W396">IF(34&lt;Controls!$B$7,INDEX(A362:A540,MATCH(Controls!$B$5,A362:A540,1)+34),NA())</f>
        <v>#N/A</v>
      </c>
      <c r="X396" t="e" cm="1">
        <f t="array" ref="X396">IF(34&lt;Controls!$B$7,INDEX(F362:F540,MATCH(Controls!$B$5,A362:A540,1)+34),NA())</f>
        <v>#N/A</v>
      </c>
      <c r="Y396" t="e" cm="1">
        <f t="array" ref="Y396">IF(34&lt;Controls!$B$7,INDEX(G362:G540,MATCH(Controls!$B$5,A362:A540,1)+34),NA())</f>
        <v>#N/A</v>
      </c>
      <c r="Z396" t="e" cm="1">
        <f t="array" ref="Z396">IF(34&lt;Controls!$B$7,INDEX(H362:H540,MATCH(Controls!$B$5,A362:A540,1)+34),NA())</f>
        <v>#N/A</v>
      </c>
      <c r="AA396" t="e" cm="1">
        <f t="array" ref="AA396">IF(34&lt;Controls!$B$7,INDEX(M362:M540,MATCH(Controls!$B$5,A362:A540,1)+34)*INDEX(I362:I540,MATCH(Controls!$B$5,A362:A540,1)+34),NA())</f>
        <v>#N/A</v>
      </c>
      <c r="AB396">
        <f t="shared" si="48"/>
        <v>35100</v>
      </c>
    </row>
    <row r="397" spans="1:28" ht="13" customHeight="1" x14ac:dyDescent="0.35">
      <c r="A397" s="153">
        <v>47119</v>
      </c>
      <c r="B397" s="36" t="s">
        <v>36</v>
      </c>
      <c r="C397" s="15" t="s">
        <v>38</v>
      </c>
      <c r="D397" s="15" t="s">
        <v>29</v>
      </c>
      <c r="E397" s="30">
        <f>H396</f>
        <v>87828</v>
      </c>
      <c r="F397" s="37" cm="1">
        <f t="array" ref="F397">IFERROR((SUMPRODUCT(('Production Inputs'!$A:$A="188mg LP")*('Production Inputs'!$B:$B="TOTAL ACTIVE")*'Production Inputs'!$AU:$AU)+SUMPRODUCT(('Production Inputs'!$A:$A="188mg LP - EU Stock")*('Production Inputs'!$B:$B="TOTAL ACTIVE")*'Production Inputs'!$AU:$AU))*Dependencies!$D$4,0)</f>
        <v>0</v>
      </c>
      <c r="G397" s="37">
        <f t="array" ref="G397">IFERROR(SUMPRODUCT(('Production Inputs'!$A:$A="200mg DP")*('Production Inputs'!$B:$B="TOTAL ACTIVE")*'Production Inputs'!$AU:$AU),0)</f>
        <v>0</v>
      </c>
      <c r="H397" s="30">
        <f t="shared" si="42"/>
        <v>87828</v>
      </c>
      <c r="I397" s="30">
        <f ca="1">IFERROR(AVERAGEIF(OFFSET(F397,0,0,MIN(Controls!$B$8,COUNTIF(B397:B$1973,B397)),1),"&gt;"&amp;0),0)</f>
        <v>0</v>
      </c>
      <c r="J397" s="38">
        <f t="shared" ca="1" si="43"/>
        <v>999</v>
      </c>
      <c r="K397" s="30">
        <f t="shared" ca="1" si="47"/>
        <v>0</v>
      </c>
      <c r="L397" t="str">
        <f t="shared" ca="1" si="44"/>
        <v>Overstock</v>
      </c>
      <c r="M397" s="39">
        <f>IFERROR(VLOOKUP("200mg DP",Controls!A:I,7,0),6)</f>
        <v>9</v>
      </c>
      <c r="N397" s="39">
        <f>IFERROR(VLOOKUP("200mg DP",Controls!A:I,8,0),3)</f>
        <v>8</v>
      </c>
      <c r="O397" s="39">
        <f>IFERROR(VLOOKUP("200mg DP",Controls!A:I,9,0),18)</f>
        <v>18</v>
      </c>
      <c r="P397" s="40">
        <f>IFERROR(VLOOKUP("200mg DP",Controls!A:J,5,0),0)</f>
        <v>16200</v>
      </c>
      <c r="Q397" s="39">
        <f>IFERROR(VLOOKUP("200mg DP",Controls!A:J,6,0),3)</f>
        <v>5</v>
      </c>
      <c r="R397" s="21" t="str">
        <f>IFERROR(VLOOKUP("200mg DP",Controls!A:K,10,0),"")</f>
        <v>Catalent</v>
      </c>
      <c r="S397" s="41">
        <f t="shared" si="45"/>
        <v>46966</v>
      </c>
      <c r="T397" s="30">
        <f t="shared" si="46"/>
        <v>0</v>
      </c>
      <c r="W397" s="205" t="e" cm="1">
        <f t="array" ref="W397">IF(35&lt;Controls!$B$7,INDEX(A362:A540,MATCH(Controls!$B$5,A362:A540,1)+35),NA())</f>
        <v>#N/A</v>
      </c>
      <c r="X397" t="e" cm="1">
        <f t="array" ref="X397">IF(35&lt;Controls!$B$7,INDEX(F362:F540,MATCH(Controls!$B$5,A362:A540,1)+35),NA())</f>
        <v>#N/A</v>
      </c>
      <c r="Y397" t="e" cm="1">
        <f t="array" ref="Y397">IF(35&lt;Controls!$B$7,INDEX(G362:G540,MATCH(Controls!$B$5,A362:A540,1)+35),NA())</f>
        <v>#N/A</v>
      </c>
      <c r="Z397" t="e" cm="1">
        <f t="array" ref="Z397">IF(35&lt;Controls!$B$7,INDEX(H362:H540,MATCH(Controls!$B$5,A362:A540,1)+35),NA())</f>
        <v>#N/A</v>
      </c>
      <c r="AA397" t="e" cm="1">
        <f t="array" ref="AA397">IF(35&lt;Controls!$B$7,INDEX(M362:M540,MATCH(Controls!$B$5,A362:A540,1)+35)*INDEX(I362:I540,MATCH(Controls!$B$5,A362:A540,1)+35),NA())</f>
        <v>#N/A</v>
      </c>
      <c r="AB397">
        <f t="shared" si="48"/>
        <v>35100</v>
      </c>
    </row>
    <row r="398" spans="1:28" ht="13" customHeight="1" x14ac:dyDescent="0.35">
      <c r="A398" s="153">
        <v>47150</v>
      </c>
      <c r="B398" s="36" t="s">
        <v>36</v>
      </c>
      <c r="C398" s="15" t="s">
        <v>38</v>
      </c>
      <c r="D398" s="15" t="s">
        <v>29</v>
      </c>
      <c r="E398" s="30">
        <f>H397</f>
        <v>87828</v>
      </c>
      <c r="F398" s="37" cm="1">
        <f t="array" ref="F398">IFERROR((SUMPRODUCT(('Production Inputs'!$A:$A="188mg LP")*('Production Inputs'!$B:$B="TOTAL ACTIVE")*'Production Inputs'!$AV:$AV)+SUMPRODUCT(('Production Inputs'!$A:$A="188mg LP - EU Stock")*('Production Inputs'!$B:$B="TOTAL ACTIVE")*'Production Inputs'!$AV:$AV))*Dependencies!$D$4,0)</f>
        <v>0</v>
      </c>
      <c r="G398" s="37">
        <f t="array" ref="G398">IFERROR(SUMPRODUCT(('Production Inputs'!$A:$A="200mg DP")*('Production Inputs'!$B:$B="TOTAL ACTIVE")*'Production Inputs'!$AV:$AV),0)</f>
        <v>0</v>
      </c>
      <c r="H398" s="30">
        <f t="shared" si="42"/>
        <v>87828</v>
      </c>
      <c r="I398" s="30">
        <f ca="1">IFERROR(AVERAGEIF(OFFSET(F398,0,0,MIN(Controls!$B$8,COUNTIF(B398:B$1973,B398)),1),"&gt;"&amp;0),0)</f>
        <v>0</v>
      </c>
      <c r="J398" s="38">
        <f t="shared" ca="1" si="43"/>
        <v>999</v>
      </c>
      <c r="K398" s="30">
        <f t="shared" ca="1" si="47"/>
        <v>0</v>
      </c>
      <c r="L398" t="str">
        <f t="shared" ca="1" si="44"/>
        <v>Overstock</v>
      </c>
      <c r="M398" s="39">
        <f>IFERROR(VLOOKUP("200mg DP",Controls!A:I,7,0),6)</f>
        <v>9</v>
      </c>
      <c r="N398" s="39">
        <f>IFERROR(VLOOKUP("200mg DP",Controls!A:I,8,0),3)</f>
        <v>8</v>
      </c>
      <c r="O398" s="39">
        <f>IFERROR(VLOOKUP("200mg DP",Controls!A:I,9,0),18)</f>
        <v>18</v>
      </c>
      <c r="P398" s="40">
        <f>IFERROR(VLOOKUP("200mg DP",Controls!A:J,5,0),0)</f>
        <v>16200</v>
      </c>
      <c r="Q398" s="39">
        <f>IFERROR(VLOOKUP("200mg DP",Controls!A:J,6,0),3)</f>
        <v>5</v>
      </c>
      <c r="R398" s="21" t="str">
        <f>IFERROR(VLOOKUP("200mg DP",Controls!A:K,10,0),"")</f>
        <v>Catalent</v>
      </c>
      <c r="S398" s="41">
        <f t="shared" si="45"/>
        <v>46997</v>
      </c>
      <c r="T398" s="30">
        <f t="shared" si="46"/>
        <v>0</v>
      </c>
      <c r="AB398">
        <f t="shared" si="48"/>
        <v>35100</v>
      </c>
    </row>
    <row r="399" spans="1:28" ht="13" customHeight="1" x14ac:dyDescent="0.35">
      <c r="A399" s="153">
        <v>47178</v>
      </c>
      <c r="B399" s="36" t="s">
        <v>36</v>
      </c>
      <c r="C399" s="15" t="s">
        <v>38</v>
      </c>
      <c r="D399" s="15" t="s">
        <v>29</v>
      </c>
      <c r="E399" s="30">
        <f>H398</f>
        <v>87828</v>
      </c>
      <c r="F399" s="37" cm="1">
        <f t="array" ref="F399">IFERROR((SUMPRODUCT(('Production Inputs'!$A:$A="188mg LP")*('Production Inputs'!$B:$B="TOTAL ACTIVE")*'Production Inputs'!$AW:$AW)+SUMPRODUCT(('Production Inputs'!$A:$A="188mg LP - EU Stock")*('Production Inputs'!$B:$B="TOTAL ACTIVE")*'Production Inputs'!$AW:$AW))*Dependencies!$D$4,0)</f>
        <v>0</v>
      </c>
      <c r="G399" s="37">
        <f t="array" ref="G399">IFERROR(SUMPRODUCT(('Production Inputs'!$A:$A="200mg DP")*('Production Inputs'!$B:$B="TOTAL ACTIVE")*'Production Inputs'!$AW:$AW),0)</f>
        <v>0</v>
      </c>
      <c r="H399" s="30">
        <f t="shared" si="42"/>
        <v>87828</v>
      </c>
      <c r="I399" s="30">
        <f ca="1">IFERROR(AVERAGEIF(OFFSET(F399,0,0,MIN(Controls!$B$8,COUNTIF(B399:B$1973,B399)),1),"&gt;"&amp;0),0)</f>
        <v>0</v>
      </c>
      <c r="J399" s="38">
        <f t="shared" ca="1" si="43"/>
        <v>999</v>
      </c>
      <c r="K399" s="30">
        <f t="shared" ca="1" si="47"/>
        <v>0</v>
      </c>
      <c r="L399" t="str">
        <f t="shared" ca="1" si="44"/>
        <v>Overstock</v>
      </c>
      <c r="M399" s="39">
        <f>IFERROR(VLOOKUP("200mg DP",Controls!A:I,7,0),6)</f>
        <v>9</v>
      </c>
      <c r="N399" s="39">
        <f>IFERROR(VLOOKUP("200mg DP",Controls!A:I,8,0),3)</f>
        <v>8</v>
      </c>
      <c r="O399" s="39">
        <f>IFERROR(VLOOKUP("200mg DP",Controls!A:I,9,0),18)</f>
        <v>18</v>
      </c>
      <c r="P399" s="40">
        <f>IFERROR(VLOOKUP("200mg DP",Controls!A:J,5,0),0)</f>
        <v>16200</v>
      </c>
      <c r="Q399" s="39">
        <f>IFERROR(VLOOKUP("200mg DP",Controls!A:J,6,0),3)</f>
        <v>5</v>
      </c>
      <c r="R399" s="21" t="str">
        <f>IFERROR(VLOOKUP("200mg DP",Controls!A:K,10,0),"")</f>
        <v>Catalent</v>
      </c>
      <c r="S399" s="41">
        <f t="shared" si="45"/>
        <v>47027</v>
      </c>
      <c r="T399" s="30">
        <f t="shared" si="46"/>
        <v>0</v>
      </c>
      <c r="AB399">
        <f t="shared" si="48"/>
        <v>35100</v>
      </c>
    </row>
    <row r="400" spans="1:28" ht="13" customHeight="1" x14ac:dyDescent="0.35">
      <c r="A400" s="153">
        <v>47209</v>
      </c>
      <c r="B400" s="36" t="s">
        <v>36</v>
      </c>
      <c r="C400" s="15" t="s">
        <v>38</v>
      </c>
      <c r="D400" s="15" t="s">
        <v>29</v>
      </c>
      <c r="E400" s="30">
        <f>H399</f>
        <v>87828</v>
      </c>
      <c r="F400" s="37" cm="1">
        <f t="array" ref="F400">IFERROR((SUMPRODUCT(('Production Inputs'!$A:$A="188mg LP")*('Production Inputs'!$B:$B="TOTAL ACTIVE")*'Production Inputs'!$AX:$AX)+SUMPRODUCT(('Production Inputs'!$A:$A="188mg LP - EU Stock")*('Production Inputs'!$B:$B="TOTAL ACTIVE")*'Production Inputs'!$AX:$AX))*Dependencies!$D$4,0)</f>
        <v>0</v>
      </c>
      <c r="G400" s="37">
        <f t="array" ref="G400">IFERROR(SUMPRODUCT(('Production Inputs'!$A:$A="200mg DP")*('Production Inputs'!$B:$B="TOTAL ACTIVE")*'Production Inputs'!$AX:$AX),0)</f>
        <v>0</v>
      </c>
      <c r="H400" s="30">
        <f t="shared" si="42"/>
        <v>87828</v>
      </c>
      <c r="I400" s="30">
        <f ca="1">IFERROR(AVERAGEIF(OFFSET(F400,0,0,MIN(Controls!$B$8,COUNTIF(B400:B$1973,B400)),1),"&gt;"&amp;0),0)</f>
        <v>0</v>
      </c>
      <c r="J400" s="38">
        <f t="shared" ca="1" si="43"/>
        <v>999</v>
      </c>
      <c r="K400" s="30">
        <f t="shared" ca="1" si="47"/>
        <v>0</v>
      </c>
      <c r="L400" t="str">
        <f t="shared" ca="1" si="44"/>
        <v>Overstock</v>
      </c>
      <c r="M400" s="39">
        <f>IFERROR(VLOOKUP("200mg DP",Controls!A:I,7,0),6)</f>
        <v>9</v>
      </c>
      <c r="N400" s="39">
        <f>IFERROR(VLOOKUP("200mg DP",Controls!A:I,8,0),3)</f>
        <v>8</v>
      </c>
      <c r="O400" s="39">
        <f>IFERROR(VLOOKUP("200mg DP",Controls!A:I,9,0),18)</f>
        <v>18</v>
      </c>
      <c r="P400" s="40">
        <f>IFERROR(VLOOKUP("200mg DP",Controls!A:J,5,0),0)</f>
        <v>16200</v>
      </c>
      <c r="Q400" s="39">
        <f>IFERROR(VLOOKUP("200mg DP",Controls!A:J,6,0),3)</f>
        <v>5</v>
      </c>
      <c r="R400" s="21" t="str">
        <f>IFERROR(VLOOKUP("200mg DP",Controls!A:K,10,0),"")</f>
        <v>Catalent</v>
      </c>
      <c r="S400" s="41">
        <f t="shared" si="45"/>
        <v>47058</v>
      </c>
      <c r="T400" s="30">
        <f t="shared" si="46"/>
        <v>0</v>
      </c>
      <c r="AB400">
        <f t="shared" si="48"/>
        <v>35100</v>
      </c>
    </row>
    <row r="401" spans="1:28" ht="13" customHeight="1" x14ac:dyDescent="0.35">
      <c r="A401" s="153">
        <v>47239</v>
      </c>
      <c r="B401" s="36" t="s">
        <v>36</v>
      </c>
      <c r="C401" s="15" t="s">
        <v>38</v>
      </c>
      <c r="D401" s="15" t="s">
        <v>29</v>
      </c>
      <c r="E401" s="30">
        <f>H400</f>
        <v>87828</v>
      </c>
      <c r="F401" s="37" cm="1">
        <f t="array" ref="F401">IFERROR((SUMPRODUCT(('Production Inputs'!$A:$A="188mg LP")*('Production Inputs'!$B:$B="TOTAL ACTIVE")*'Production Inputs'!$AY:$AY)+SUMPRODUCT(('Production Inputs'!$A:$A="188mg LP - EU Stock")*('Production Inputs'!$B:$B="TOTAL ACTIVE")*'Production Inputs'!$AY:$AY))*Dependencies!$D$4,0)</f>
        <v>0</v>
      </c>
      <c r="G401" s="37">
        <f t="array" ref="G401">IFERROR(SUMPRODUCT(('Production Inputs'!$A:$A="200mg DP")*('Production Inputs'!$B:$B="TOTAL ACTIVE")*'Production Inputs'!$AY:$AY),0)</f>
        <v>0</v>
      </c>
      <c r="H401" s="30">
        <f t="shared" si="42"/>
        <v>87828</v>
      </c>
      <c r="I401" s="30">
        <f ca="1">IFERROR(AVERAGEIF(OFFSET(F401,0,0,MIN(Controls!$B$8,COUNTIF(B401:B$1973,B401)),1),"&gt;"&amp;0),0)</f>
        <v>0</v>
      </c>
      <c r="J401" s="38">
        <f t="shared" ca="1" si="43"/>
        <v>999</v>
      </c>
      <c r="K401" s="30">
        <f t="shared" ca="1" si="47"/>
        <v>0</v>
      </c>
      <c r="L401" t="str">
        <f t="shared" ca="1" si="44"/>
        <v>Overstock</v>
      </c>
      <c r="M401" s="39">
        <f>IFERROR(VLOOKUP("200mg DP",Controls!A:I,7,0),6)</f>
        <v>9</v>
      </c>
      <c r="N401" s="39">
        <f>IFERROR(VLOOKUP("200mg DP",Controls!A:I,8,0),3)</f>
        <v>8</v>
      </c>
      <c r="O401" s="39">
        <f>IFERROR(VLOOKUP("200mg DP",Controls!A:I,9,0),18)</f>
        <v>18</v>
      </c>
      <c r="P401" s="40">
        <f>IFERROR(VLOOKUP("200mg DP",Controls!A:J,5,0),0)</f>
        <v>16200</v>
      </c>
      <c r="Q401" s="39">
        <f>IFERROR(VLOOKUP("200mg DP",Controls!A:J,6,0),3)</f>
        <v>5</v>
      </c>
      <c r="R401" s="21" t="str">
        <f>IFERROR(VLOOKUP("200mg DP",Controls!A:K,10,0),"")</f>
        <v>Catalent</v>
      </c>
      <c r="S401" s="41">
        <f t="shared" si="45"/>
        <v>47088</v>
      </c>
      <c r="T401" s="30">
        <f t="shared" si="46"/>
        <v>0</v>
      </c>
      <c r="AB401">
        <f t="shared" si="48"/>
        <v>35100</v>
      </c>
    </row>
    <row r="402" spans="1:28" ht="13" customHeight="1" x14ac:dyDescent="0.35">
      <c r="A402" s="153">
        <v>47270</v>
      </c>
      <c r="B402" s="36" t="s">
        <v>36</v>
      </c>
      <c r="C402" s="15" t="s">
        <v>38</v>
      </c>
      <c r="D402" s="15" t="s">
        <v>29</v>
      </c>
      <c r="E402" s="30">
        <f>H401</f>
        <v>87828</v>
      </c>
      <c r="F402" s="37" cm="1">
        <f t="array" ref="F402">IFERROR((SUMPRODUCT(('Production Inputs'!$A:$A="188mg LP")*('Production Inputs'!$B:$B="TOTAL ACTIVE")*'Production Inputs'!$AZ:$AZ)+SUMPRODUCT(('Production Inputs'!$A:$A="188mg LP - EU Stock")*('Production Inputs'!$B:$B="TOTAL ACTIVE")*'Production Inputs'!$AZ:$AZ))*Dependencies!$D$4,0)</f>
        <v>0</v>
      </c>
      <c r="G402" s="37">
        <f t="array" ref="G402">IFERROR(SUMPRODUCT(('Production Inputs'!$A:$A="200mg DP")*('Production Inputs'!$B:$B="TOTAL ACTIVE")*'Production Inputs'!$AZ:$AZ),0)</f>
        <v>0</v>
      </c>
      <c r="H402" s="30">
        <f t="shared" si="42"/>
        <v>87828</v>
      </c>
      <c r="I402" s="30">
        <f ca="1">IFERROR(AVERAGEIF(OFFSET(F402,0,0,MIN(Controls!$B$8,COUNTIF(B402:B$1973,B402)),1),"&gt;"&amp;0),0)</f>
        <v>0</v>
      </c>
      <c r="J402" s="38">
        <f t="shared" ca="1" si="43"/>
        <v>999</v>
      </c>
      <c r="K402" s="30">
        <f t="shared" ca="1" si="47"/>
        <v>0</v>
      </c>
      <c r="L402" t="str">
        <f t="shared" ca="1" si="44"/>
        <v>Overstock</v>
      </c>
      <c r="M402" s="39">
        <f>IFERROR(VLOOKUP("200mg DP",Controls!A:I,7,0),6)</f>
        <v>9</v>
      </c>
      <c r="N402" s="39">
        <f>IFERROR(VLOOKUP("200mg DP",Controls!A:I,8,0),3)</f>
        <v>8</v>
      </c>
      <c r="O402" s="39">
        <f>IFERROR(VLOOKUP("200mg DP",Controls!A:I,9,0),18)</f>
        <v>18</v>
      </c>
      <c r="P402" s="40">
        <f>IFERROR(VLOOKUP("200mg DP",Controls!A:J,5,0),0)</f>
        <v>16200</v>
      </c>
      <c r="Q402" s="39">
        <f>IFERROR(VLOOKUP("200mg DP",Controls!A:J,6,0),3)</f>
        <v>5</v>
      </c>
      <c r="R402" s="21" t="str">
        <f>IFERROR(VLOOKUP("200mg DP",Controls!A:K,10,0),"")</f>
        <v>Catalent</v>
      </c>
      <c r="S402" s="41">
        <f t="shared" si="45"/>
        <v>47119</v>
      </c>
      <c r="T402" s="30">
        <f t="shared" si="46"/>
        <v>0</v>
      </c>
      <c r="AB402">
        <f t="shared" si="48"/>
        <v>35100</v>
      </c>
    </row>
    <row r="403" spans="1:28" ht="13" customHeight="1" x14ac:dyDescent="0.35">
      <c r="A403" s="153">
        <v>47300</v>
      </c>
      <c r="B403" s="36" t="s">
        <v>36</v>
      </c>
      <c r="C403" s="15" t="s">
        <v>38</v>
      </c>
      <c r="D403" s="15" t="s">
        <v>29</v>
      </c>
      <c r="E403" s="30">
        <f>H402</f>
        <v>87828</v>
      </c>
      <c r="F403" s="37" cm="1">
        <f t="array" ref="F403">IFERROR((SUMPRODUCT(('Production Inputs'!$A:$A="188mg LP")*('Production Inputs'!$B:$B="TOTAL ACTIVE")*'Production Inputs'!$BA:$BA)+SUMPRODUCT(('Production Inputs'!$A:$A="188mg LP - EU Stock")*('Production Inputs'!$B:$B="TOTAL ACTIVE")*'Production Inputs'!$BA:$BA))*Dependencies!$D$4,0)</f>
        <v>0</v>
      </c>
      <c r="G403" s="37">
        <f t="array" ref="G403">IFERROR(SUMPRODUCT(('Production Inputs'!$A:$A="200mg DP")*('Production Inputs'!$B:$B="TOTAL ACTIVE")*'Production Inputs'!$BA:$BA),0)</f>
        <v>0</v>
      </c>
      <c r="H403" s="30">
        <f t="shared" si="42"/>
        <v>87828</v>
      </c>
      <c r="I403" s="30">
        <f ca="1">IFERROR(AVERAGEIF(OFFSET(F403,0,0,MIN(Controls!$B$8,COUNTIF(B403:B$1973,B403)),1),"&gt;"&amp;0),0)</f>
        <v>0</v>
      </c>
      <c r="J403" s="38">
        <f t="shared" ca="1" si="43"/>
        <v>999</v>
      </c>
      <c r="K403" s="30">
        <f t="shared" ca="1" si="47"/>
        <v>0</v>
      </c>
      <c r="L403" t="str">
        <f t="shared" ca="1" si="44"/>
        <v>Overstock</v>
      </c>
      <c r="M403" s="39">
        <f>IFERROR(VLOOKUP("200mg DP",Controls!A:I,7,0),6)</f>
        <v>9</v>
      </c>
      <c r="N403" s="39">
        <f>IFERROR(VLOOKUP("200mg DP",Controls!A:I,8,0),3)</f>
        <v>8</v>
      </c>
      <c r="O403" s="39">
        <f>IFERROR(VLOOKUP("200mg DP",Controls!A:I,9,0),18)</f>
        <v>18</v>
      </c>
      <c r="P403" s="40">
        <f>IFERROR(VLOOKUP("200mg DP",Controls!A:J,5,0),0)</f>
        <v>16200</v>
      </c>
      <c r="Q403" s="39">
        <f>IFERROR(VLOOKUP("200mg DP",Controls!A:J,6,0),3)</f>
        <v>5</v>
      </c>
      <c r="R403" s="21" t="str">
        <f>IFERROR(VLOOKUP("200mg DP",Controls!A:K,10,0),"")</f>
        <v>Catalent</v>
      </c>
      <c r="S403" s="41">
        <f t="shared" si="45"/>
        <v>47150</v>
      </c>
      <c r="T403" s="30">
        <f t="shared" si="46"/>
        <v>0</v>
      </c>
      <c r="AB403">
        <f t="shared" si="48"/>
        <v>35100</v>
      </c>
    </row>
    <row r="404" spans="1:28" ht="13" customHeight="1" x14ac:dyDescent="0.35">
      <c r="A404" s="153">
        <v>47331</v>
      </c>
      <c r="B404" s="36" t="s">
        <v>36</v>
      </c>
      <c r="C404" s="15" t="s">
        <v>38</v>
      </c>
      <c r="D404" s="15" t="s">
        <v>29</v>
      </c>
      <c r="E404" s="30">
        <f>H403</f>
        <v>87828</v>
      </c>
      <c r="F404" s="37" cm="1">
        <f t="array" ref="F404">IFERROR((SUMPRODUCT(('Production Inputs'!$A:$A="188mg LP")*('Production Inputs'!$B:$B="TOTAL ACTIVE")*'Production Inputs'!$BB:$BB)+SUMPRODUCT(('Production Inputs'!$A:$A="188mg LP - EU Stock")*('Production Inputs'!$B:$B="TOTAL ACTIVE")*'Production Inputs'!$BB:$BB))*Dependencies!$D$4,0)</f>
        <v>0</v>
      </c>
      <c r="G404" s="37">
        <f t="array" ref="G404">IFERROR(SUMPRODUCT(('Production Inputs'!$A:$A="200mg DP")*('Production Inputs'!$B:$B="TOTAL ACTIVE")*'Production Inputs'!$BB:$BB),0)</f>
        <v>0</v>
      </c>
      <c r="H404" s="30">
        <f t="shared" si="42"/>
        <v>87828</v>
      </c>
      <c r="I404" s="30">
        <f ca="1">IFERROR(AVERAGEIF(OFFSET(F404,0,0,MIN(Controls!$B$8,COUNTIF(B404:B$1973,B404)),1),"&gt;"&amp;0),0)</f>
        <v>0</v>
      </c>
      <c r="J404" s="38">
        <f t="shared" ca="1" si="43"/>
        <v>999</v>
      </c>
      <c r="K404" s="30">
        <f t="shared" ca="1" si="47"/>
        <v>0</v>
      </c>
      <c r="L404" t="str">
        <f t="shared" ca="1" si="44"/>
        <v>Overstock</v>
      </c>
      <c r="M404" s="39">
        <f>IFERROR(VLOOKUP("200mg DP",Controls!A:I,7,0),6)</f>
        <v>9</v>
      </c>
      <c r="N404" s="39">
        <f>IFERROR(VLOOKUP("200mg DP",Controls!A:I,8,0),3)</f>
        <v>8</v>
      </c>
      <c r="O404" s="39">
        <f>IFERROR(VLOOKUP("200mg DP",Controls!A:I,9,0),18)</f>
        <v>18</v>
      </c>
      <c r="P404" s="40">
        <f>IFERROR(VLOOKUP("200mg DP",Controls!A:J,5,0),0)</f>
        <v>16200</v>
      </c>
      <c r="Q404" s="39">
        <f>IFERROR(VLOOKUP("200mg DP",Controls!A:J,6,0),3)</f>
        <v>5</v>
      </c>
      <c r="R404" s="21" t="str">
        <f>IFERROR(VLOOKUP("200mg DP",Controls!A:K,10,0),"")</f>
        <v>Catalent</v>
      </c>
      <c r="S404" s="41">
        <f t="shared" si="45"/>
        <v>47178</v>
      </c>
      <c r="T404" s="30">
        <f t="shared" si="46"/>
        <v>0</v>
      </c>
      <c r="AB404">
        <f t="shared" si="48"/>
        <v>35100</v>
      </c>
    </row>
    <row r="405" spans="1:28" ht="13" customHeight="1" x14ac:dyDescent="0.35">
      <c r="A405" s="153">
        <v>47362</v>
      </c>
      <c r="B405" s="36" t="s">
        <v>36</v>
      </c>
      <c r="C405" s="15" t="s">
        <v>38</v>
      </c>
      <c r="D405" s="15" t="s">
        <v>29</v>
      </c>
      <c r="E405" s="30">
        <f>H404</f>
        <v>87828</v>
      </c>
      <c r="F405" s="37" cm="1">
        <f t="array" ref="F405">IFERROR((SUMPRODUCT(('Production Inputs'!$A:$A="188mg LP")*('Production Inputs'!$B:$B="TOTAL ACTIVE")*'Production Inputs'!$BC:$BC)+SUMPRODUCT(('Production Inputs'!$A:$A="188mg LP - EU Stock")*('Production Inputs'!$B:$B="TOTAL ACTIVE")*'Production Inputs'!$BC:$BC))*Dependencies!$D$4,0)</f>
        <v>0</v>
      </c>
      <c r="G405" s="37">
        <f t="array" ref="G405">IFERROR(SUMPRODUCT(('Production Inputs'!$A:$A="200mg DP")*('Production Inputs'!$B:$B="TOTAL ACTIVE")*'Production Inputs'!$BC:$BC),0)</f>
        <v>0</v>
      </c>
      <c r="H405" s="30">
        <f t="shared" si="42"/>
        <v>87828</v>
      </c>
      <c r="I405" s="30">
        <f ca="1">IFERROR(AVERAGEIF(OFFSET(F405,0,0,MIN(Controls!$B$8,COUNTIF(B405:B$1973,B405)),1),"&gt;"&amp;0),0)</f>
        <v>0</v>
      </c>
      <c r="J405" s="38">
        <f t="shared" ca="1" si="43"/>
        <v>999</v>
      </c>
      <c r="K405" s="30">
        <f t="shared" ca="1" si="47"/>
        <v>0</v>
      </c>
      <c r="L405" t="str">
        <f t="shared" ca="1" si="44"/>
        <v>Overstock</v>
      </c>
      <c r="M405" s="39">
        <f>IFERROR(VLOOKUP("200mg DP",Controls!A:I,7,0),6)</f>
        <v>9</v>
      </c>
      <c r="N405" s="39">
        <f>IFERROR(VLOOKUP("200mg DP",Controls!A:I,8,0),3)</f>
        <v>8</v>
      </c>
      <c r="O405" s="39">
        <f>IFERROR(VLOOKUP("200mg DP",Controls!A:I,9,0),18)</f>
        <v>18</v>
      </c>
      <c r="P405" s="40">
        <f>IFERROR(VLOOKUP("200mg DP",Controls!A:J,5,0),0)</f>
        <v>16200</v>
      </c>
      <c r="Q405" s="39">
        <f>IFERROR(VLOOKUP("200mg DP",Controls!A:J,6,0),3)</f>
        <v>5</v>
      </c>
      <c r="R405" s="21" t="str">
        <f>IFERROR(VLOOKUP("200mg DP",Controls!A:K,10,0),"")</f>
        <v>Catalent</v>
      </c>
      <c r="S405" s="41">
        <f t="shared" si="45"/>
        <v>47209</v>
      </c>
      <c r="T405" s="30">
        <f t="shared" si="46"/>
        <v>0</v>
      </c>
      <c r="AB405">
        <f t="shared" si="48"/>
        <v>35100</v>
      </c>
    </row>
    <row r="406" spans="1:28" ht="13" customHeight="1" x14ac:dyDescent="0.35">
      <c r="A406" s="153">
        <v>47392</v>
      </c>
      <c r="B406" s="36" t="s">
        <v>36</v>
      </c>
      <c r="C406" s="15" t="s">
        <v>38</v>
      </c>
      <c r="D406" s="15" t="s">
        <v>29</v>
      </c>
      <c r="E406" s="30">
        <f>H405</f>
        <v>87828</v>
      </c>
      <c r="F406" s="37" cm="1">
        <f t="array" ref="F406">IFERROR((SUMPRODUCT(('Production Inputs'!$A:$A="188mg LP")*('Production Inputs'!$B:$B="TOTAL ACTIVE")*'Production Inputs'!$BD:$BD)+SUMPRODUCT(('Production Inputs'!$A:$A="188mg LP - EU Stock")*('Production Inputs'!$B:$B="TOTAL ACTIVE")*'Production Inputs'!$BD:$BD))*Dependencies!$D$4,0)</f>
        <v>0</v>
      </c>
      <c r="G406" s="37">
        <f t="array" ref="G406">IFERROR(SUMPRODUCT(('Production Inputs'!$A:$A="200mg DP")*('Production Inputs'!$B:$B="TOTAL ACTIVE")*'Production Inputs'!$BD:$BD),0)</f>
        <v>0</v>
      </c>
      <c r="H406" s="30">
        <f t="shared" si="42"/>
        <v>87828</v>
      </c>
      <c r="I406" s="30">
        <f ca="1">IFERROR(AVERAGEIF(OFFSET(F406,0,0,MIN(Controls!$B$8,COUNTIF(B406:B$1973,B406)),1),"&gt;"&amp;0),0)</f>
        <v>0</v>
      </c>
      <c r="J406" s="38">
        <f t="shared" ca="1" si="43"/>
        <v>999</v>
      </c>
      <c r="K406" s="30">
        <f t="shared" ca="1" si="47"/>
        <v>0</v>
      </c>
      <c r="L406" t="str">
        <f t="shared" ca="1" si="44"/>
        <v>Overstock</v>
      </c>
      <c r="M406" s="39">
        <f>IFERROR(VLOOKUP("200mg DP",Controls!A:I,7,0),6)</f>
        <v>9</v>
      </c>
      <c r="N406" s="39">
        <f>IFERROR(VLOOKUP("200mg DP",Controls!A:I,8,0),3)</f>
        <v>8</v>
      </c>
      <c r="O406" s="39">
        <f>IFERROR(VLOOKUP("200mg DP",Controls!A:I,9,0),18)</f>
        <v>18</v>
      </c>
      <c r="P406" s="40">
        <f>IFERROR(VLOOKUP("200mg DP",Controls!A:J,5,0),0)</f>
        <v>16200</v>
      </c>
      <c r="Q406" s="39">
        <f>IFERROR(VLOOKUP("200mg DP",Controls!A:J,6,0),3)</f>
        <v>5</v>
      </c>
      <c r="R406" s="21" t="str">
        <f>IFERROR(VLOOKUP("200mg DP",Controls!A:K,10,0),"")</f>
        <v>Catalent</v>
      </c>
      <c r="S406" s="41">
        <f t="shared" si="45"/>
        <v>47239</v>
      </c>
      <c r="T406" s="30">
        <f t="shared" si="46"/>
        <v>0</v>
      </c>
      <c r="AB406">
        <f t="shared" si="48"/>
        <v>35100</v>
      </c>
    </row>
    <row r="407" spans="1:28" ht="13" customHeight="1" x14ac:dyDescent="0.35">
      <c r="A407" s="153">
        <v>47423</v>
      </c>
      <c r="B407" s="36" t="s">
        <v>36</v>
      </c>
      <c r="C407" s="15" t="s">
        <v>38</v>
      </c>
      <c r="D407" s="15" t="s">
        <v>29</v>
      </c>
      <c r="E407" s="30">
        <f>H406</f>
        <v>87828</v>
      </c>
      <c r="F407" s="37" cm="1">
        <f t="array" ref="F407">IFERROR((SUMPRODUCT(('Production Inputs'!$A:$A="188mg LP")*('Production Inputs'!$B:$B="TOTAL ACTIVE")*'Production Inputs'!$BE:$BE)+SUMPRODUCT(('Production Inputs'!$A:$A="188mg LP - EU Stock")*('Production Inputs'!$B:$B="TOTAL ACTIVE")*'Production Inputs'!$BE:$BE))*Dependencies!$D$4,0)</f>
        <v>0</v>
      </c>
      <c r="G407" s="37">
        <f t="array" ref="G407">IFERROR(SUMPRODUCT(('Production Inputs'!$A:$A="200mg DP")*('Production Inputs'!$B:$B="TOTAL ACTIVE")*'Production Inputs'!$BE:$BE),0)</f>
        <v>0</v>
      </c>
      <c r="H407" s="30">
        <f t="shared" si="42"/>
        <v>87828</v>
      </c>
      <c r="I407" s="30">
        <f ca="1">IFERROR(AVERAGEIF(OFFSET(F407,0,0,MIN(Controls!$B$8,COUNTIF(B407:B$1973,B407)),1),"&gt;"&amp;0),0)</f>
        <v>0</v>
      </c>
      <c r="J407" s="38">
        <f t="shared" ca="1" si="43"/>
        <v>999</v>
      </c>
      <c r="K407" s="30">
        <f t="shared" ca="1" si="47"/>
        <v>0</v>
      </c>
      <c r="L407" t="str">
        <f t="shared" ca="1" si="44"/>
        <v>Overstock</v>
      </c>
      <c r="M407" s="39">
        <f>IFERROR(VLOOKUP("200mg DP",Controls!A:I,7,0),6)</f>
        <v>9</v>
      </c>
      <c r="N407" s="39">
        <f>IFERROR(VLOOKUP("200mg DP",Controls!A:I,8,0),3)</f>
        <v>8</v>
      </c>
      <c r="O407" s="39">
        <f>IFERROR(VLOOKUP("200mg DP",Controls!A:I,9,0),18)</f>
        <v>18</v>
      </c>
      <c r="P407" s="40">
        <f>IFERROR(VLOOKUP("200mg DP",Controls!A:J,5,0),0)</f>
        <v>16200</v>
      </c>
      <c r="Q407" s="39">
        <f>IFERROR(VLOOKUP("200mg DP",Controls!A:J,6,0),3)</f>
        <v>5</v>
      </c>
      <c r="R407" s="21" t="str">
        <f>IFERROR(VLOOKUP("200mg DP",Controls!A:K,10,0),"")</f>
        <v>Catalent</v>
      </c>
      <c r="S407" s="41">
        <f t="shared" si="45"/>
        <v>47270</v>
      </c>
      <c r="T407" s="30">
        <f t="shared" si="46"/>
        <v>0</v>
      </c>
      <c r="AB407">
        <f t="shared" si="48"/>
        <v>35100</v>
      </c>
    </row>
    <row r="408" spans="1:28" ht="13" customHeight="1" x14ac:dyDescent="0.35">
      <c r="A408" s="153">
        <v>47453</v>
      </c>
      <c r="B408" s="36" t="s">
        <v>36</v>
      </c>
      <c r="C408" s="15" t="s">
        <v>38</v>
      </c>
      <c r="D408" s="15" t="s">
        <v>29</v>
      </c>
      <c r="E408" s="30">
        <f>H407</f>
        <v>87828</v>
      </c>
      <c r="F408" s="37" cm="1">
        <f t="array" ref="F408">IFERROR((SUMPRODUCT(('Production Inputs'!$A:$A="188mg LP")*('Production Inputs'!$B:$B="TOTAL ACTIVE")*'Production Inputs'!$BF:$BF)+SUMPRODUCT(('Production Inputs'!$A:$A="188mg LP - EU Stock")*('Production Inputs'!$B:$B="TOTAL ACTIVE")*'Production Inputs'!$BF:$BF))*Dependencies!$D$4,0)</f>
        <v>0</v>
      </c>
      <c r="G408" s="37">
        <f t="array" ref="G408">IFERROR(SUMPRODUCT(('Production Inputs'!$A:$A="200mg DP")*('Production Inputs'!$B:$B="TOTAL ACTIVE")*'Production Inputs'!$BF:$BF),0)</f>
        <v>0</v>
      </c>
      <c r="H408" s="30">
        <f t="shared" si="42"/>
        <v>87828</v>
      </c>
      <c r="I408" s="30">
        <f ca="1">IFERROR(AVERAGEIF(OFFSET(F408,0,0,MIN(Controls!$B$8,COUNTIF(B408:B$1973,B408)),1),"&gt;"&amp;0),0)</f>
        <v>0</v>
      </c>
      <c r="J408" s="38">
        <f t="shared" ca="1" si="43"/>
        <v>999</v>
      </c>
      <c r="K408" s="30">
        <f t="shared" ca="1" si="47"/>
        <v>0</v>
      </c>
      <c r="L408" t="str">
        <f t="shared" ca="1" si="44"/>
        <v>Overstock</v>
      </c>
      <c r="M408" s="39">
        <f>IFERROR(VLOOKUP("200mg DP",Controls!A:I,7,0),6)</f>
        <v>9</v>
      </c>
      <c r="N408" s="39">
        <f>IFERROR(VLOOKUP("200mg DP",Controls!A:I,8,0),3)</f>
        <v>8</v>
      </c>
      <c r="O408" s="39">
        <f>IFERROR(VLOOKUP("200mg DP",Controls!A:I,9,0),18)</f>
        <v>18</v>
      </c>
      <c r="P408" s="40">
        <f>IFERROR(VLOOKUP("200mg DP",Controls!A:J,5,0),0)</f>
        <v>16200</v>
      </c>
      <c r="Q408" s="39">
        <f>IFERROR(VLOOKUP("200mg DP",Controls!A:J,6,0),3)</f>
        <v>5</v>
      </c>
      <c r="R408" s="21" t="str">
        <f>IFERROR(VLOOKUP("200mg DP",Controls!A:K,10,0),"")</f>
        <v>Catalent</v>
      </c>
      <c r="S408" s="41">
        <f t="shared" si="45"/>
        <v>47300</v>
      </c>
      <c r="T408" s="30">
        <f t="shared" si="46"/>
        <v>0</v>
      </c>
      <c r="AB408">
        <f t="shared" si="48"/>
        <v>35100</v>
      </c>
    </row>
    <row r="409" spans="1:28" ht="13" customHeight="1" x14ac:dyDescent="0.35">
      <c r="A409" s="153">
        <v>47484</v>
      </c>
      <c r="B409" s="36" t="s">
        <v>36</v>
      </c>
      <c r="C409" s="15" t="s">
        <v>38</v>
      </c>
      <c r="D409" s="15" t="s">
        <v>29</v>
      </c>
      <c r="E409" s="30">
        <f>H408</f>
        <v>87828</v>
      </c>
      <c r="F409" s="37" cm="1">
        <f t="array" ref="F409">IFERROR((SUMPRODUCT(('Production Inputs'!$A:$A="188mg LP")*('Production Inputs'!$B:$B="TOTAL ACTIVE")*'Production Inputs'!$BG:$BG)+SUMPRODUCT(('Production Inputs'!$A:$A="188mg LP - EU Stock")*('Production Inputs'!$B:$B="TOTAL ACTIVE")*'Production Inputs'!$BG:$BG))*Dependencies!$D$4,0)</f>
        <v>0</v>
      </c>
      <c r="G409" s="37">
        <f t="array" ref="G409">IFERROR(SUMPRODUCT(('Production Inputs'!$A:$A="200mg DP")*('Production Inputs'!$B:$B="TOTAL ACTIVE")*'Production Inputs'!$BG:$BG),0)</f>
        <v>0</v>
      </c>
      <c r="H409" s="30">
        <f t="shared" si="42"/>
        <v>87828</v>
      </c>
      <c r="I409" s="30">
        <f ca="1">IFERROR(AVERAGEIF(OFFSET(F409,0,0,MIN(Controls!$B$8,COUNTIF(B409:B$1973,B409)),1),"&gt;"&amp;0),0)</f>
        <v>0</v>
      </c>
      <c r="J409" s="38">
        <f t="shared" ca="1" si="43"/>
        <v>999</v>
      </c>
      <c r="K409" s="30">
        <f t="shared" ca="1" si="47"/>
        <v>0</v>
      </c>
      <c r="L409" t="str">
        <f t="shared" ca="1" si="44"/>
        <v>Overstock</v>
      </c>
      <c r="M409" s="39">
        <f>IFERROR(VLOOKUP("200mg DP",Controls!A:I,7,0),6)</f>
        <v>9</v>
      </c>
      <c r="N409" s="39">
        <f>IFERROR(VLOOKUP("200mg DP",Controls!A:I,8,0),3)</f>
        <v>8</v>
      </c>
      <c r="O409" s="39">
        <f>IFERROR(VLOOKUP("200mg DP",Controls!A:I,9,0),18)</f>
        <v>18</v>
      </c>
      <c r="P409" s="40">
        <f>IFERROR(VLOOKUP("200mg DP",Controls!A:J,5,0),0)</f>
        <v>16200</v>
      </c>
      <c r="Q409" s="39">
        <f>IFERROR(VLOOKUP("200mg DP",Controls!A:J,6,0),3)</f>
        <v>5</v>
      </c>
      <c r="R409" s="21" t="str">
        <f>IFERROR(VLOOKUP("200mg DP",Controls!A:K,10,0),"")</f>
        <v>Catalent</v>
      </c>
      <c r="S409" s="41">
        <f t="shared" si="45"/>
        <v>47331</v>
      </c>
      <c r="T409" s="30">
        <f t="shared" si="46"/>
        <v>0</v>
      </c>
      <c r="AB409">
        <f t="shared" si="48"/>
        <v>35100</v>
      </c>
    </row>
    <row r="410" spans="1:28" ht="13" customHeight="1" x14ac:dyDescent="0.35">
      <c r="A410" s="153">
        <v>47515</v>
      </c>
      <c r="B410" s="36" t="s">
        <v>36</v>
      </c>
      <c r="C410" s="15" t="s">
        <v>38</v>
      </c>
      <c r="D410" s="15" t="s">
        <v>29</v>
      </c>
      <c r="E410" s="30">
        <f>H409</f>
        <v>87828</v>
      </c>
      <c r="F410" s="37" cm="1">
        <f t="array" ref="F410">IFERROR((SUMPRODUCT(('Production Inputs'!$A:$A="188mg LP")*('Production Inputs'!$B:$B="TOTAL ACTIVE")*'Production Inputs'!$BH:$BH)+SUMPRODUCT(('Production Inputs'!$A:$A="188mg LP - EU Stock")*('Production Inputs'!$B:$B="TOTAL ACTIVE")*'Production Inputs'!$BH:$BH))*Dependencies!$D$4,0)</f>
        <v>0</v>
      </c>
      <c r="G410" s="37">
        <f t="array" ref="G410">IFERROR(SUMPRODUCT(('Production Inputs'!$A:$A="200mg DP")*('Production Inputs'!$B:$B="TOTAL ACTIVE")*'Production Inputs'!$BH:$BH),0)</f>
        <v>0</v>
      </c>
      <c r="H410" s="30">
        <f t="shared" si="42"/>
        <v>87828</v>
      </c>
      <c r="I410" s="30">
        <f ca="1">IFERROR(AVERAGEIF(OFFSET(F410,0,0,MIN(Controls!$B$8,COUNTIF(B410:B$1973,B410)),1),"&gt;"&amp;0),0)</f>
        <v>0</v>
      </c>
      <c r="J410" s="38">
        <f t="shared" ca="1" si="43"/>
        <v>999</v>
      </c>
      <c r="K410" s="30">
        <f t="shared" ca="1" si="47"/>
        <v>0</v>
      </c>
      <c r="L410" t="str">
        <f t="shared" ca="1" si="44"/>
        <v>Overstock</v>
      </c>
      <c r="M410" s="39">
        <f>IFERROR(VLOOKUP("200mg DP",Controls!A:I,7,0),6)</f>
        <v>9</v>
      </c>
      <c r="N410" s="39">
        <f>IFERROR(VLOOKUP("200mg DP",Controls!A:I,8,0),3)</f>
        <v>8</v>
      </c>
      <c r="O410" s="39">
        <f>IFERROR(VLOOKUP("200mg DP",Controls!A:I,9,0),18)</f>
        <v>18</v>
      </c>
      <c r="P410" s="40">
        <f>IFERROR(VLOOKUP("200mg DP",Controls!A:J,5,0),0)</f>
        <v>16200</v>
      </c>
      <c r="Q410" s="39">
        <f>IFERROR(VLOOKUP("200mg DP",Controls!A:J,6,0),3)</f>
        <v>5</v>
      </c>
      <c r="R410" s="21" t="str">
        <f>IFERROR(VLOOKUP("200mg DP",Controls!A:K,10,0),"")</f>
        <v>Catalent</v>
      </c>
      <c r="S410" s="41">
        <f t="shared" si="45"/>
        <v>47362</v>
      </c>
      <c r="T410" s="30">
        <f t="shared" si="46"/>
        <v>0</v>
      </c>
      <c r="AB410">
        <f t="shared" si="48"/>
        <v>35100</v>
      </c>
    </row>
    <row r="411" spans="1:28" ht="13" customHeight="1" x14ac:dyDescent="0.35">
      <c r="A411" s="153">
        <v>47543</v>
      </c>
      <c r="B411" s="36" t="s">
        <v>36</v>
      </c>
      <c r="C411" s="15" t="s">
        <v>38</v>
      </c>
      <c r="D411" s="15" t="s">
        <v>29</v>
      </c>
      <c r="E411" s="30">
        <f>H410</f>
        <v>87828</v>
      </c>
      <c r="F411" s="37" cm="1">
        <f t="array" ref="F411">IFERROR((SUMPRODUCT(('Production Inputs'!$A:$A="188mg LP")*('Production Inputs'!$B:$B="TOTAL ACTIVE")*'Production Inputs'!$BI:$BI)+SUMPRODUCT(('Production Inputs'!$A:$A="188mg LP - EU Stock")*('Production Inputs'!$B:$B="TOTAL ACTIVE")*'Production Inputs'!$BI:$BI))*Dependencies!$D$4,0)</f>
        <v>0</v>
      </c>
      <c r="G411" s="37">
        <f t="array" ref="G411">IFERROR(SUMPRODUCT(('Production Inputs'!$A:$A="200mg DP")*('Production Inputs'!$B:$B="TOTAL ACTIVE")*'Production Inputs'!$BI:$BI),0)</f>
        <v>0</v>
      </c>
      <c r="H411" s="30">
        <f t="shared" si="42"/>
        <v>87828</v>
      </c>
      <c r="I411" s="30">
        <f ca="1">IFERROR(AVERAGEIF(OFFSET(F411,0,0,MIN(Controls!$B$8,COUNTIF(B411:B$1973,B411)),1),"&gt;"&amp;0),0)</f>
        <v>0</v>
      </c>
      <c r="J411" s="38">
        <f t="shared" ca="1" si="43"/>
        <v>999</v>
      </c>
      <c r="K411" s="30">
        <f t="shared" ca="1" si="47"/>
        <v>0</v>
      </c>
      <c r="L411" t="str">
        <f t="shared" ca="1" si="44"/>
        <v>Overstock</v>
      </c>
      <c r="M411" s="39">
        <f>IFERROR(VLOOKUP("200mg DP",Controls!A:I,7,0),6)</f>
        <v>9</v>
      </c>
      <c r="N411" s="39">
        <f>IFERROR(VLOOKUP("200mg DP",Controls!A:I,8,0),3)</f>
        <v>8</v>
      </c>
      <c r="O411" s="39">
        <f>IFERROR(VLOOKUP("200mg DP",Controls!A:I,9,0),18)</f>
        <v>18</v>
      </c>
      <c r="P411" s="40">
        <f>IFERROR(VLOOKUP("200mg DP",Controls!A:J,5,0),0)</f>
        <v>16200</v>
      </c>
      <c r="Q411" s="39">
        <f>IFERROR(VLOOKUP("200mg DP",Controls!A:J,6,0),3)</f>
        <v>5</v>
      </c>
      <c r="R411" s="21" t="str">
        <f>IFERROR(VLOOKUP("200mg DP",Controls!A:K,10,0),"")</f>
        <v>Catalent</v>
      </c>
      <c r="S411" s="41">
        <f t="shared" si="45"/>
        <v>47392</v>
      </c>
      <c r="T411" s="30">
        <f t="shared" si="46"/>
        <v>0</v>
      </c>
      <c r="AB411">
        <f t="shared" si="48"/>
        <v>35100</v>
      </c>
    </row>
    <row r="412" spans="1:28" ht="13" customHeight="1" x14ac:dyDescent="0.35">
      <c r="A412" s="153">
        <v>47574</v>
      </c>
      <c r="B412" s="36" t="s">
        <v>36</v>
      </c>
      <c r="C412" s="15" t="s">
        <v>38</v>
      </c>
      <c r="D412" s="15" t="s">
        <v>29</v>
      </c>
      <c r="E412" s="30">
        <f>H411</f>
        <v>87828</v>
      </c>
      <c r="F412" s="37" cm="1">
        <f t="array" ref="F412">IFERROR((SUMPRODUCT(('Production Inputs'!$A:$A="188mg LP")*('Production Inputs'!$B:$B="TOTAL ACTIVE")*'Production Inputs'!$BJ:$BJ)+SUMPRODUCT(('Production Inputs'!$A:$A="188mg LP - EU Stock")*('Production Inputs'!$B:$B="TOTAL ACTIVE")*'Production Inputs'!$BJ:$BJ))*Dependencies!$D$4,0)</f>
        <v>0</v>
      </c>
      <c r="G412" s="37">
        <f t="array" ref="G412">IFERROR(SUMPRODUCT(('Production Inputs'!$A:$A="200mg DP")*('Production Inputs'!$B:$B="TOTAL ACTIVE")*'Production Inputs'!$BJ:$BJ),0)</f>
        <v>0</v>
      </c>
      <c r="H412" s="30">
        <f t="shared" si="42"/>
        <v>87828</v>
      </c>
      <c r="I412" s="30">
        <f ca="1">IFERROR(AVERAGEIF(OFFSET(F412,0,0,MIN(Controls!$B$8,COUNTIF(B412:B$1973,B412)),1),"&gt;"&amp;0),0)</f>
        <v>0</v>
      </c>
      <c r="J412" s="38">
        <f t="shared" ca="1" si="43"/>
        <v>999</v>
      </c>
      <c r="K412" s="30">
        <f t="shared" ca="1" si="47"/>
        <v>0</v>
      </c>
      <c r="L412" t="str">
        <f t="shared" ca="1" si="44"/>
        <v>Overstock</v>
      </c>
      <c r="M412" s="39">
        <f>IFERROR(VLOOKUP("200mg DP",Controls!A:I,7,0),6)</f>
        <v>9</v>
      </c>
      <c r="N412" s="39">
        <f>IFERROR(VLOOKUP("200mg DP",Controls!A:I,8,0),3)</f>
        <v>8</v>
      </c>
      <c r="O412" s="39">
        <f>IFERROR(VLOOKUP("200mg DP",Controls!A:I,9,0),18)</f>
        <v>18</v>
      </c>
      <c r="P412" s="40">
        <f>IFERROR(VLOOKUP("200mg DP",Controls!A:J,5,0),0)</f>
        <v>16200</v>
      </c>
      <c r="Q412" s="39">
        <f>IFERROR(VLOOKUP("200mg DP",Controls!A:J,6,0),3)</f>
        <v>5</v>
      </c>
      <c r="R412" s="21" t="str">
        <f>IFERROR(VLOOKUP("200mg DP",Controls!A:K,10,0),"")</f>
        <v>Catalent</v>
      </c>
      <c r="S412" s="41">
        <f t="shared" si="45"/>
        <v>47423</v>
      </c>
      <c r="T412" s="30">
        <f t="shared" si="46"/>
        <v>0</v>
      </c>
      <c r="AB412">
        <f t="shared" si="48"/>
        <v>35100</v>
      </c>
    </row>
    <row r="413" spans="1:28" ht="13" customHeight="1" x14ac:dyDescent="0.35">
      <c r="A413" s="153">
        <v>47604</v>
      </c>
      <c r="B413" s="36" t="s">
        <v>36</v>
      </c>
      <c r="C413" s="15" t="s">
        <v>38</v>
      </c>
      <c r="D413" s="15" t="s">
        <v>29</v>
      </c>
      <c r="E413" s="30">
        <f>H412</f>
        <v>87828</v>
      </c>
      <c r="F413" s="37" cm="1">
        <f t="array" ref="F413">IFERROR((SUMPRODUCT(('Production Inputs'!$A:$A="188mg LP")*('Production Inputs'!$B:$B="TOTAL ACTIVE")*'Production Inputs'!$BK:$BK)+SUMPRODUCT(('Production Inputs'!$A:$A="188mg LP - EU Stock")*('Production Inputs'!$B:$B="TOTAL ACTIVE")*'Production Inputs'!$BK:$BK))*Dependencies!$D$4,0)</f>
        <v>0</v>
      </c>
      <c r="G413" s="37">
        <f t="array" ref="G413">IFERROR(SUMPRODUCT(('Production Inputs'!$A:$A="200mg DP")*('Production Inputs'!$B:$B="TOTAL ACTIVE")*'Production Inputs'!$BK:$BK),0)</f>
        <v>0</v>
      </c>
      <c r="H413" s="30">
        <f t="shared" si="42"/>
        <v>87828</v>
      </c>
      <c r="I413" s="30">
        <f ca="1">IFERROR(AVERAGEIF(OFFSET(F413,0,0,MIN(Controls!$B$8,COUNTIF(B413:B$1973,B413)),1),"&gt;"&amp;0),0)</f>
        <v>0</v>
      </c>
      <c r="J413" s="38">
        <f t="shared" ca="1" si="43"/>
        <v>999</v>
      </c>
      <c r="K413" s="30">
        <f t="shared" ca="1" si="47"/>
        <v>0</v>
      </c>
      <c r="L413" t="str">
        <f t="shared" ca="1" si="44"/>
        <v>Overstock</v>
      </c>
      <c r="M413" s="39">
        <f>IFERROR(VLOOKUP("200mg DP",Controls!A:I,7,0),6)</f>
        <v>9</v>
      </c>
      <c r="N413" s="39">
        <f>IFERROR(VLOOKUP("200mg DP",Controls!A:I,8,0),3)</f>
        <v>8</v>
      </c>
      <c r="O413" s="39">
        <f>IFERROR(VLOOKUP("200mg DP",Controls!A:I,9,0),18)</f>
        <v>18</v>
      </c>
      <c r="P413" s="40">
        <f>IFERROR(VLOOKUP("200mg DP",Controls!A:J,5,0),0)</f>
        <v>16200</v>
      </c>
      <c r="Q413" s="39">
        <f>IFERROR(VLOOKUP("200mg DP",Controls!A:J,6,0),3)</f>
        <v>5</v>
      </c>
      <c r="R413" s="21" t="str">
        <f>IFERROR(VLOOKUP("200mg DP",Controls!A:K,10,0),"")</f>
        <v>Catalent</v>
      </c>
      <c r="S413" s="41">
        <f t="shared" si="45"/>
        <v>47453</v>
      </c>
      <c r="T413" s="30">
        <f t="shared" si="46"/>
        <v>0</v>
      </c>
      <c r="AB413">
        <f t="shared" si="48"/>
        <v>35100</v>
      </c>
    </row>
    <row r="414" spans="1:28" ht="13" customHeight="1" x14ac:dyDescent="0.35">
      <c r="A414" s="153">
        <v>47635</v>
      </c>
      <c r="B414" s="36" t="s">
        <v>36</v>
      </c>
      <c r="C414" s="15" t="s">
        <v>38</v>
      </c>
      <c r="D414" s="15" t="s">
        <v>29</v>
      </c>
      <c r="E414" s="30">
        <f>H413</f>
        <v>87828</v>
      </c>
      <c r="F414" s="37" cm="1">
        <f t="array" ref="F414">IFERROR((SUMPRODUCT(('Production Inputs'!$A:$A="188mg LP")*('Production Inputs'!$B:$B="TOTAL ACTIVE")*'Production Inputs'!$BL:$BL)+SUMPRODUCT(('Production Inputs'!$A:$A="188mg LP - EU Stock")*('Production Inputs'!$B:$B="TOTAL ACTIVE")*'Production Inputs'!$BL:$BL))*Dependencies!$D$4,0)</f>
        <v>0</v>
      </c>
      <c r="G414" s="37">
        <f t="array" ref="G414">IFERROR(SUMPRODUCT(('Production Inputs'!$A:$A="200mg DP")*('Production Inputs'!$B:$B="TOTAL ACTIVE")*'Production Inputs'!$BL:$BL),0)</f>
        <v>0</v>
      </c>
      <c r="H414" s="30">
        <f t="shared" si="42"/>
        <v>87828</v>
      </c>
      <c r="I414" s="30">
        <f ca="1">IFERROR(AVERAGEIF(OFFSET(F414,0,0,MIN(Controls!$B$8,COUNTIF(B414:B$1973,B414)),1),"&gt;"&amp;0),0)</f>
        <v>0</v>
      </c>
      <c r="J414" s="38">
        <f t="shared" ca="1" si="43"/>
        <v>999</v>
      </c>
      <c r="K414" s="30">
        <f t="shared" ca="1" si="47"/>
        <v>0</v>
      </c>
      <c r="L414" t="str">
        <f t="shared" ca="1" si="44"/>
        <v>Overstock</v>
      </c>
      <c r="M414" s="39">
        <f>IFERROR(VLOOKUP("200mg DP",Controls!A:I,7,0),6)</f>
        <v>9</v>
      </c>
      <c r="N414" s="39">
        <f>IFERROR(VLOOKUP("200mg DP",Controls!A:I,8,0),3)</f>
        <v>8</v>
      </c>
      <c r="O414" s="39">
        <f>IFERROR(VLOOKUP("200mg DP",Controls!A:I,9,0),18)</f>
        <v>18</v>
      </c>
      <c r="P414" s="40">
        <f>IFERROR(VLOOKUP("200mg DP",Controls!A:J,5,0),0)</f>
        <v>16200</v>
      </c>
      <c r="Q414" s="39">
        <f>IFERROR(VLOOKUP("200mg DP",Controls!A:J,6,0),3)</f>
        <v>5</v>
      </c>
      <c r="R414" s="21" t="str">
        <f>IFERROR(VLOOKUP("200mg DP",Controls!A:K,10,0),"")</f>
        <v>Catalent</v>
      </c>
      <c r="S414" s="41">
        <f t="shared" si="45"/>
        <v>47484</v>
      </c>
      <c r="T414" s="30">
        <f t="shared" si="46"/>
        <v>0</v>
      </c>
      <c r="AB414">
        <f t="shared" si="48"/>
        <v>35100</v>
      </c>
    </row>
    <row r="415" spans="1:28" ht="13" customHeight="1" x14ac:dyDescent="0.35">
      <c r="A415" s="153">
        <v>47665</v>
      </c>
      <c r="B415" s="36" t="s">
        <v>36</v>
      </c>
      <c r="C415" s="15" t="s">
        <v>38</v>
      </c>
      <c r="D415" s="15" t="s">
        <v>29</v>
      </c>
      <c r="E415" s="30">
        <f>H414</f>
        <v>87828</v>
      </c>
      <c r="F415" s="37" cm="1">
        <f t="array" ref="F415">IFERROR((SUMPRODUCT(('Production Inputs'!$A:$A="188mg LP")*('Production Inputs'!$B:$B="TOTAL ACTIVE")*'Production Inputs'!$BM:$BM)+SUMPRODUCT(('Production Inputs'!$A:$A="188mg LP - EU Stock")*('Production Inputs'!$B:$B="TOTAL ACTIVE")*'Production Inputs'!$BM:$BM))*Dependencies!$D$4,0)</f>
        <v>0</v>
      </c>
      <c r="G415" s="37">
        <f t="array" ref="G415">IFERROR(SUMPRODUCT(('Production Inputs'!$A:$A="200mg DP")*('Production Inputs'!$B:$B="TOTAL ACTIVE")*'Production Inputs'!$BM:$BM),0)</f>
        <v>0</v>
      </c>
      <c r="H415" s="30">
        <f t="shared" si="42"/>
        <v>87828</v>
      </c>
      <c r="I415" s="30">
        <f ca="1">IFERROR(AVERAGEIF(OFFSET(F415,0,0,MIN(Controls!$B$8,COUNTIF(B415:B$1973,B415)),1),"&gt;"&amp;0),0)</f>
        <v>0</v>
      </c>
      <c r="J415" s="38">
        <f t="shared" ca="1" si="43"/>
        <v>999</v>
      </c>
      <c r="K415" s="30">
        <f t="shared" ca="1" si="47"/>
        <v>0</v>
      </c>
      <c r="L415" t="str">
        <f t="shared" ca="1" si="44"/>
        <v>Overstock</v>
      </c>
      <c r="M415" s="39">
        <f>IFERROR(VLOOKUP("200mg DP",Controls!A:I,7,0),6)</f>
        <v>9</v>
      </c>
      <c r="N415" s="39">
        <f>IFERROR(VLOOKUP("200mg DP",Controls!A:I,8,0),3)</f>
        <v>8</v>
      </c>
      <c r="O415" s="39">
        <f>IFERROR(VLOOKUP("200mg DP",Controls!A:I,9,0),18)</f>
        <v>18</v>
      </c>
      <c r="P415" s="40">
        <f>IFERROR(VLOOKUP("200mg DP",Controls!A:J,5,0),0)</f>
        <v>16200</v>
      </c>
      <c r="Q415" s="39">
        <f>IFERROR(VLOOKUP("200mg DP",Controls!A:J,6,0),3)</f>
        <v>5</v>
      </c>
      <c r="R415" s="21" t="str">
        <f>IFERROR(VLOOKUP("200mg DP",Controls!A:K,10,0),"")</f>
        <v>Catalent</v>
      </c>
      <c r="S415" s="41">
        <f t="shared" si="45"/>
        <v>47515</v>
      </c>
      <c r="T415" s="30">
        <f t="shared" si="46"/>
        <v>0</v>
      </c>
      <c r="AB415">
        <f t="shared" si="48"/>
        <v>35100</v>
      </c>
    </row>
    <row r="416" spans="1:28" ht="13" customHeight="1" x14ac:dyDescent="0.35">
      <c r="A416" s="153">
        <v>47696</v>
      </c>
      <c r="B416" s="36" t="s">
        <v>36</v>
      </c>
      <c r="C416" s="15" t="s">
        <v>38</v>
      </c>
      <c r="D416" s="15" t="s">
        <v>29</v>
      </c>
      <c r="E416" s="30">
        <f>H415</f>
        <v>87828</v>
      </c>
      <c r="F416" s="37" cm="1">
        <f t="array" ref="F416">IFERROR((SUMPRODUCT(('Production Inputs'!$A:$A="188mg LP")*('Production Inputs'!$B:$B="TOTAL ACTIVE")*'Production Inputs'!$BN:$BN)+SUMPRODUCT(('Production Inputs'!$A:$A="188mg LP - EU Stock")*('Production Inputs'!$B:$B="TOTAL ACTIVE")*'Production Inputs'!$BN:$BN))*Dependencies!$D$4,0)</f>
        <v>0</v>
      </c>
      <c r="G416" s="37">
        <f t="array" ref="G416">IFERROR(SUMPRODUCT(('Production Inputs'!$A:$A="200mg DP")*('Production Inputs'!$B:$B="TOTAL ACTIVE")*'Production Inputs'!$BN:$BN),0)</f>
        <v>0</v>
      </c>
      <c r="H416" s="30">
        <f t="shared" si="42"/>
        <v>87828</v>
      </c>
      <c r="I416" s="30">
        <f ca="1">IFERROR(AVERAGEIF(OFFSET(F416,0,0,MIN(Controls!$B$8,COUNTIF(B416:B$1973,B416)),1),"&gt;"&amp;0),0)</f>
        <v>0</v>
      </c>
      <c r="J416" s="38">
        <f t="shared" ca="1" si="43"/>
        <v>999</v>
      </c>
      <c r="K416" s="30">
        <f t="shared" ca="1" si="47"/>
        <v>0</v>
      </c>
      <c r="L416" t="str">
        <f t="shared" ca="1" si="44"/>
        <v>Overstock</v>
      </c>
      <c r="M416" s="39">
        <f>IFERROR(VLOOKUP("200mg DP",Controls!A:I,7,0),6)</f>
        <v>9</v>
      </c>
      <c r="N416" s="39">
        <f>IFERROR(VLOOKUP("200mg DP",Controls!A:I,8,0),3)</f>
        <v>8</v>
      </c>
      <c r="O416" s="39">
        <f>IFERROR(VLOOKUP("200mg DP",Controls!A:I,9,0),18)</f>
        <v>18</v>
      </c>
      <c r="P416" s="40">
        <f>IFERROR(VLOOKUP("200mg DP",Controls!A:J,5,0),0)</f>
        <v>16200</v>
      </c>
      <c r="Q416" s="39">
        <f>IFERROR(VLOOKUP("200mg DP",Controls!A:J,6,0),3)</f>
        <v>5</v>
      </c>
      <c r="R416" s="21" t="str">
        <f>IFERROR(VLOOKUP("200mg DP",Controls!A:K,10,0),"")</f>
        <v>Catalent</v>
      </c>
      <c r="S416" s="41">
        <f t="shared" si="45"/>
        <v>47543</v>
      </c>
      <c r="T416" s="30">
        <f t="shared" si="46"/>
        <v>0</v>
      </c>
      <c r="AB416">
        <f t="shared" si="48"/>
        <v>35100</v>
      </c>
    </row>
    <row r="417" spans="1:28" ht="13" customHeight="1" x14ac:dyDescent="0.35">
      <c r="A417" s="153">
        <v>47727</v>
      </c>
      <c r="B417" s="36" t="s">
        <v>36</v>
      </c>
      <c r="C417" s="15" t="s">
        <v>38</v>
      </c>
      <c r="D417" s="15" t="s">
        <v>29</v>
      </c>
      <c r="E417" s="30">
        <f>H416</f>
        <v>87828</v>
      </c>
      <c r="F417" s="37" cm="1">
        <f t="array" ref="F417">IFERROR((SUMPRODUCT(('Production Inputs'!$A:$A="188mg LP")*('Production Inputs'!$B:$B="TOTAL ACTIVE")*'Production Inputs'!$BO:$BO)+SUMPRODUCT(('Production Inputs'!$A:$A="188mg LP - EU Stock")*('Production Inputs'!$B:$B="TOTAL ACTIVE")*'Production Inputs'!$BO:$BO))*Dependencies!$D$4,0)</f>
        <v>0</v>
      </c>
      <c r="G417" s="37">
        <f t="array" ref="G417">IFERROR(SUMPRODUCT(('Production Inputs'!$A:$A="200mg DP")*('Production Inputs'!$B:$B="TOTAL ACTIVE")*'Production Inputs'!$BO:$BO),0)</f>
        <v>0</v>
      </c>
      <c r="H417" s="30">
        <f t="shared" si="42"/>
        <v>87828</v>
      </c>
      <c r="I417" s="30">
        <f ca="1">IFERROR(AVERAGEIF(OFFSET(F417,0,0,MIN(Controls!$B$8,COUNTIF(B417:B$1973,B417)),1),"&gt;"&amp;0),0)</f>
        <v>0</v>
      </c>
      <c r="J417" s="38">
        <f t="shared" ca="1" si="43"/>
        <v>999</v>
      </c>
      <c r="K417" s="30">
        <f t="shared" ca="1" si="47"/>
        <v>0</v>
      </c>
      <c r="L417" t="str">
        <f t="shared" ca="1" si="44"/>
        <v>Overstock</v>
      </c>
      <c r="M417" s="39">
        <f>IFERROR(VLOOKUP("200mg DP",Controls!A:I,7,0),6)</f>
        <v>9</v>
      </c>
      <c r="N417" s="39">
        <f>IFERROR(VLOOKUP("200mg DP",Controls!A:I,8,0),3)</f>
        <v>8</v>
      </c>
      <c r="O417" s="39">
        <f>IFERROR(VLOOKUP("200mg DP",Controls!A:I,9,0),18)</f>
        <v>18</v>
      </c>
      <c r="P417" s="40">
        <f>IFERROR(VLOOKUP("200mg DP",Controls!A:J,5,0),0)</f>
        <v>16200</v>
      </c>
      <c r="Q417" s="39">
        <f>IFERROR(VLOOKUP("200mg DP",Controls!A:J,6,0),3)</f>
        <v>5</v>
      </c>
      <c r="R417" s="21" t="str">
        <f>IFERROR(VLOOKUP("200mg DP",Controls!A:K,10,0),"")</f>
        <v>Catalent</v>
      </c>
      <c r="S417" s="41">
        <f t="shared" si="45"/>
        <v>47574</v>
      </c>
      <c r="T417" s="30">
        <f t="shared" si="46"/>
        <v>0</v>
      </c>
      <c r="AB417">
        <f t="shared" si="48"/>
        <v>35100</v>
      </c>
    </row>
    <row r="418" spans="1:28" ht="13" customHeight="1" x14ac:dyDescent="0.35">
      <c r="A418" s="153">
        <v>47757</v>
      </c>
      <c r="B418" s="36" t="s">
        <v>36</v>
      </c>
      <c r="C418" s="15" t="s">
        <v>38</v>
      </c>
      <c r="D418" s="15" t="s">
        <v>29</v>
      </c>
      <c r="E418" s="30">
        <f>H417</f>
        <v>87828</v>
      </c>
      <c r="F418" s="37" cm="1">
        <f t="array" ref="F418">IFERROR((SUMPRODUCT(('Production Inputs'!$A:$A="188mg LP")*('Production Inputs'!$B:$B="TOTAL ACTIVE")*'Production Inputs'!$BP:$BP)+SUMPRODUCT(('Production Inputs'!$A:$A="188mg LP - EU Stock")*('Production Inputs'!$B:$B="TOTAL ACTIVE")*'Production Inputs'!$BP:$BP))*Dependencies!$D$4,0)</f>
        <v>0</v>
      </c>
      <c r="G418" s="37">
        <f t="array" ref="G418">IFERROR(SUMPRODUCT(('Production Inputs'!$A:$A="200mg DP")*('Production Inputs'!$B:$B="TOTAL ACTIVE")*'Production Inputs'!$BP:$BP),0)</f>
        <v>0</v>
      </c>
      <c r="H418" s="30">
        <f t="shared" si="42"/>
        <v>87828</v>
      </c>
      <c r="I418" s="30">
        <f ca="1">IFERROR(AVERAGEIF(OFFSET(F418,0,0,MIN(Controls!$B$8,COUNTIF(B418:B$1973,B418)),1),"&gt;"&amp;0),0)</f>
        <v>0</v>
      </c>
      <c r="J418" s="38">
        <f t="shared" ca="1" si="43"/>
        <v>999</v>
      </c>
      <c r="K418" s="30">
        <f t="shared" ca="1" si="47"/>
        <v>0</v>
      </c>
      <c r="L418" t="str">
        <f t="shared" ca="1" si="44"/>
        <v>Overstock</v>
      </c>
      <c r="M418" s="39">
        <f>IFERROR(VLOOKUP("200mg DP",Controls!A:I,7,0),6)</f>
        <v>9</v>
      </c>
      <c r="N418" s="39">
        <f>IFERROR(VLOOKUP("200mg DP",Controls!A:I,8,0),3)</f>
        <v>8</v>
      </c>
      <c r="O418" s="39">
        <f>IFERROR(VLOOKUP("200mg DP",Controls!A:I,9,0),18)</f>
        <v>18</v>
      </c>
      <c r="P418" s="40">
        <f>IFERROR(VLOOKUP("200mg DP",Controls!A:J,5,0),0)</f>
        <v>16200</v>
      </c>
      <c r="Q418" s="39">
        <f>IFERROR(VLOOKUP("200mg DP",Controls!A:J,6,0),3)</f>
        <v>5</v>
      </c>
      <c r="R418" s="21" t="str">
        <f>IFERROR(VLOOKUP("200mg DP",Controls!A:K,10,0),"")</f>
        <v>Catalent</v>
      </c>
      <c r="S418" s="41">
        <f t="shared" si="45"/>
        <v>47604</v>
      </c>
      <c r="T418" s="30">
        <f t="shared" si="46"/>
        <v>0</v>
      </c>
      <c r="AB418">
        <f t="shared" si="48"/>
        <v>35100</v>
      </c>
    </row>
    <row r="419" spans="1:28" ht="13" customHeight="1" x14ac:dyDescent="0.35">
      <c r="A419" s="153">
        <v>47788</v>
      </c>
      <c r="B419" s="36" t="s">
        <v>36</v>
      </c>
      <c r="C419" s="15" t="s">
        <v>38</v>
      </c>
      <c r="D419" s="15" t="s">
        <v>29</v>
      </c>
      <c r="E419" s="30">
        <f>H418</f>
        <v>87828</v>
      </c>
      <c r="F419" s="37" cm="1">
        <f t="array" ref="F419">IFERROR((SUMPRODUCT(('Production Inputs'!$A:$A="188mg LP")*('Production Inputs'!$B:$B="TOTAL ACTIVE")*'Production Inputs'!$BQ:$BQ)+SUMPRODUCT(('Production Inputs'!$A:$A="188mg LP - EU Stock")*('Production Inputs'!$B:$B="TOTAL ACTIVE")*'Production Inputs'!$BQ:$BQ))*Dependencies!$D$4,0)</f>
        <v>0</v>
      </c>
      <c r="G419" s="37">
        <f t="array" ref="G419">IFERROR(SUMPRODUCT(('Production Inputs'!$A:$A="200mg DP")*('Production Inputs'!$B:$B="TOTAL ACTIVE")*'Production Inputs'!$BQ:$BQ),0)</f>
        <v>0</v>
      </c>
      <c r="H419" s="30">
        <f t="shared" si="42"/>
        <v>87828</v>
      </c>
      <c r="I419" s="30">
        <f ca="1">IFERROR(AVERAGEIF(OFFSET(F419,0,0,MIN(Controls!$B$8,COUNTIF(B419:B$1973,B419)),1),"&gt;"&amp;0),0)</f>
        <v>0</v>
      </c>
      <c r="J419" s="38">
        <f t="shared" ca="1" si="43"/>
        <v>999</v>
      </c>
      <c r="K419" s="30">
        <f t="shared" ca="1" si="47"/>
        <v>0</v>
      </c>
      <c r="L419" t="str">
        <f t="shared" ca="1" si="44"/>
        <v>Overstock</v>
      </c>
      <c r="M419" s="39">
        <f>IFERROR(VLOOKUP("200mg DP",Controls!A:I,7,0),6)</f>
        <v>9</v>
      </c>
      <c r="N419" s="39">
        <f>IFERROR(VLOOKUP("200mg DP",Controls!A:I,8,0),3)</f>
        <v>8</v>
      </c>
      <c r="O419" s="39">
        <f>IFERROR(VLOOKUP("200mg DP",Controls!A:I,9,0),18)</f>
        <v>18</v>
      </c>
      <c r="P419" s="40">
        <f>IFERROR(VLOOKUP("200mg DP",Controls!A:J,5,0),0)</f>
        <v>16200</v>
      </c>
      <c r="Q419" s="39">
        <f>IFERROR(VLOOKUP("200mg DP",Controls!A:J,6,0),3)</f>
        <v>5</v>
      </c>
      <c r="R419" s="21" t="str">
        <f>IFERROR(VLOOKUP("200mg DP",Controls!A:K,10,0),"")</f>
        <v>Catalent</v>
      </c>
      <c r="S419" s="41">
        <f t="shared" si="45"/>
        <v>47635</v>
      </c>
      <c r="T419" s="30">
        <f t="shared" si="46"/>
        <v>0</v>
      </c>
      <c r="AB419">
        <f t="shared" si="48"/>
        <v>35100</v>
      </c>
    </row>
    <row r="420" spans="1:28" ht="13" customHeight="1" x14ac:dyDescent="0.35">
      <c r="A420" s="153">
        <v>47818</v>
      </c>
      <c r="B420" s="36" t="s">
        <v>36</v>
      </c>
      <c r="C420" s="15" t="s">
        <v>38</v>
      </c>
      <c r="D420" s="15" t="s">
        <v>29</v>
      </c>
      <c r="E420" s="30">
        <f>H419</f>
        <v>87828</v>
      </c>
      <c r="F420" s="37" cm="1">
        <f t="array" ref="F420">IFERROR((SUMPRODUCT(('Production Inputs'!$A:$A="188mg LP")*('Production Inputs'!$B:$B="TOTAL ACTIVE")*'Production Inputs'!$BR:$BR)+SUMPRODUCT(('Production Inputs'!$A:$A="188mg LP - EU Stock")*('Production Inputs'!$B:$B="TOTAL ACTIVE")*'Production Inputs'!$BR:$BR))*Dependencies!$D$4,0)</f>
        <v>0</v>
      </c>
      <c r="G420" s="37">
        <f t="array" ref="G420">IFERROR(SUMPRODUCT(('Production Inputs'!$A:$A="200mg DP")*('Production Inputs'!$B:$B="TOTAL ACTIVE")*'Production Inputs'!$BR:$BR),0)</f>
        <v>0</v>
      </c>
      <c r="H420" s="30">
        <f t="shared" si="42"/>
        <v>87828</v>
      </c>
      <c r="I420" s="30">
        <f ca="1">IFERROR(AVERAGEIF(OFFSET(F420,0,0,MIN(Controls!$B$8,COUNTIF(B420:B$1973,B420)),1),"&gt;"&amp;0),0)</f>
        <v>0</v>
      </c>
      <c r="J420" s="38">
        <f t="shared" ca="1" si="43"/>
        <v>999</v>
      </c>
      <c r="K420" s="30">
        <f t="shared" ca="1" si="47"/>
        <v>0</v>
      </c>
      <c r="L420" t="str">
        <f t="shared" ca="1" si="44"/>
        <v>Overstock</v>
      </c>
      <c r="M420" s="39">
        <f>IFERROR(VLOOKUP("200mg DP",Controls!A:I,7,0),6)</f>
        <v>9</v>
      </c>
      <c r="N420" s="39">
        <f>IFERROR(VLOOKUP("200mg DP",Controls!A:I,8,0),3)</f>
        <v>8</v>
      </c>
      <c r="O420" s="39">
        <f>IFERROR(VLOOKUP("200mg DP",Controls!A:I,9,0),18)</f>
        <v>18</v>
      </c>
      <c r="P420" s="40">
        <f>IFERROR(VLOOKUP("200mg DP",Controls!A:J,5,0),0)</f>
        <v>16200</v>
      </c>
      <c r="Q420" s="39">
        <f>IFERROR(VLOOKUP("200mg DP",Controls!A:J,6,0),3)</f>
        <v>5</v>
      </c>
      <c r="R420" s="21" t="str">
        <f>IFERROR(VLOOKUP("200mg DP",Controls!A:K,10,0),"")</f>
        <v>Catalent</v>
      </c>
      <c r="S420" s="41">
        <f t="shared" si="45"/>
        <v>47665</v>
      </c>
      <c r="T420" s="30">
        <f t="shared" si="46"/>
        <v>0</v>
      </c>
      <c r="AB420">
        <f t="shared" si="48"/>
        <v>35100</v>
      </c>
    </row>
    <row r="421" spans="1:28" ht="13" customHeight="1" x14ac:dyDescent="0.35">
      <c r="A421" s="153">
        <v>47849</v>
      </c>
      <c r="B421" s="36" t="s">
        <v>36</v>
      </c>
      <c r="C421" s="15" t="s">
        <v>38</v>
      </c>
      <c r="D421" s="15" t="s">
        <v>29</v>
      </c>
      <c r="E421" s="30">
        <f>H420</f>
        <v>87828</v>
      </c>
      <c r="F421" s="37" cm="1">
        <f t="array" ref="F421">IFERROR((SUMPRODUCT(('Production Inputs'!$A:$A="188mg LP")*('Production Inputs'!$B:$B="TOTAL ACTIVE")*'Production Inputs'!$BS:$BS)+SUMPRODUCT(('Production Inputs'!$A:$A="188mg LP - EU Stock")*('Production Inputs'!$B:$B="TOTAL ACTIVE")*'Production Inputs'!$BS:$BS))*Dependencies!$D$4,0)</f>
        <v>0</v>
      </c>
      <c r="G421" s="37">
        <f t="array" ref="G421">IFERROR(SUMPRODUCT(('Production Inputs'!$A:$A="200mg DP")*('Production Inputs'!$B:$B="TOTAL ACTIVE")*'Production Inputs'!$BS:$BS),0)</f>
        <v>0</v>
      </c>
      <c r="H421" s="30">
        <f t="shared" si="42"/>
        <v>87828</v>
      </c>
      <c r="I421" s="30">
        <f ca="1">IFERROR(AVERAGEIF(OFFSET(F421,0,0,MIN(Controls!$B$8,COUNTIF(B421:B$1973,B421)),1),"&gt;"&amp;0),0)</f>
        <v>0</v>
      </c>
      <c r="J421" s="38">
        <f t="shared" ca="1" si="43"/>
        <v>999</v>
      </c>
      <c r="K421" s="30">
        <f t="shared" ca="1" si="47"/>
        <v>0</v>
      </c>
      <c r="L421" t="str">
        <f t="shared" ca="1" si="44"/>
        <v>Overstock</v>
      </c>
      <c r="M421" s="39">
        <f>IFERROR(VLOOKUP("200mg DP",Controls!A:I,7,0),6)</f>
        <v>9</v>
      </c>
      <c r="N421" s="39">
        <f>IFERROR(VLOOKUP("200mg DP",Controls!A:I,8,0),3)</f>
        <v>8</v>
      </c>
      <c r="O421" s="39">
        <f>IFERROR(VLOOKUP("200mg DP",Controls!A:I,9,0),18)</f>
        <v>18</v>
      </c>
      <c r="P421" s="40">
        <f>IFERROR(VLOOKUP("200mg DP",Controls!A:J,5,0),0)</f>
        <v>16200</v>
      </c>
      <c r="Q421" s="39">
        <f>IFERROR(VLOOKUP("200mg DP",Controls!A:J,6,0),3)</f>
        <v>5</v>
      </c>
      <c r="R421" s="21" t="str">
        <f>IFERROR(VLOOKUP("200mg DP",Controls!A:K,10,0),"")</f>
        <v>Catalent</v>
      </c>
      <c r="S421" s="41">
        <f t="shared" si="45"/>
        <v>47696</v>
      </c>
      <c r="T421" s="30">
        <f t="shared" si="46"/>
        <v>0</v>
      </c>
      <c r="AB421">
        <f t="shared" si="48"/>
        <v>35100</v>
      </c>
    </row>
    <row r="422" spans="1:28" ht="13" customHeight="1" x14ac:dyDescent="0.35">
      <c r="A422" s="153">
        <v>47880</v>
      </c>
      <c r="B422" s="36" t="s">
        <v>36</v>
      </c>
      <c r="C422" s="15" t="s">
        <v>38</v>
      </c>
      <c r="D422" s="15" t="s">
        <v>29</v>
      </c>
      <c r="E422" s="30">
        <f>H421</f>
        <v>87828</v>
      </c>
      <c r="F422" s="37" cm="1">
        <f t="array" ref="F422">IFERROR((SUMPRODUCT(('Production Inputs'!$A:$A="188mg LP")*('Production Inputs'!$B:$B="TOTAL ACTIVE")*'Production Inputs'!$BT:$BT)+SUMPRODUCT(('Production Inputs'!$A:$A="188mg LP - EU Stock")*('Production Inputs'!$B:$B="TOTAL ACTIVE")*'Production Inputs'!$BT:$BT))*Dependencies!$D$4,0)</f>
        <v>0</v>
      </c>
      <c r="G422" s="37">
        <f t="array" ref="G422">IFERROR(SUMPRODUCT(('Production Inputs'!$A:$A="200mg DP")*('Production Inputs'!$B:$B="TOTAL ACTIVE")*'Production Inputs'!$BT:$BT),0)</f>
        <v>0</v>
      </c>
      <c r="H422" s="30">
        <f t="shared" si="42"/>
        <v>87828</v>
      </c>
      <c r="I422" s="30">
        <f ca="1">IFERROR(AVERAGEIF(OFFSET(F422,0,0,MIN(Controls!$B$8,COUNTIF(B422:B$1973,B422)),1),"&gt;"&amp;0),0)</f>
        <v>0</v>
      </c>
      <c r="J422" s="38">
        <f t="shared" ca="1" si="43"/>
        <v>999</v>
      </c>
      <c r="K422" s="30">
        <f t="shared" ca="1" si="47"/>
        <v>0</v>
      </c>
      <c r="L422" t="str">
        <f t="shared" ca="1" si="44"/>
        <v>Overstock</v>
      </c>
      <c r="M422" s="39">
        <f>IFERROR(VLOOKUP("200mg DP",Controls!A:I,7,0),6)</f>
        <v>9</v>
      </c>
      <c r="N422" s="39">
        <f>IFERROR(VLOOKUP("200mg DP",Controls!A:I,8,0),3)</f>
        <v>8</v>
      </c>
      <c r="O422" s="39">
        <f>IFERROR(VLOOKUP("200mg DP",Controls!A:I,9,0),18)</f>
        <v>18</v>
      </c>
      <c r="P422" s="40">
        <f>IFERROR(VLOOKUP("200mg DP",Controls!A:J,5,0),0)</f>
        <v>16200</v>
      </c>
      <c r="Q422" s="39">
        <f>IFERROR(VLOOKUP("200mg DP",Controls!A:J,6,0),3)</f>
        <v>5</v>
      </c>
      <c r="R422" s="21" t="str">
        <f>IFERROR(VLOOKUP("200mg DP",Controls!A:K,10,0),"")</f>
        <v>Catalent</v>
      </c>
      <c r="S422" s="41">
        <f t="shared" si="45"/>
        <v>47727</v>
      </c>
      <c r="T422" s="30">
        <f t="shared" si="46"/>
        <v>0</v>
      </c>
      <c r="AB422">
        <f t="shared" si="48"/>
        <v>35100</v>
      </c>
    </row>
    <row r="423" spans="1:28" ht="13" customHeight="1" x14ac:dyDescent="0.35">
      <c r="A423" s="153">
        <v>47908</v>
      </c>
      <c r="B423" s="36" t="s">
        <v>36</v>
      </c>
      <c r="C423" s="15" t="s">
        <v>38</v>
      </c>
      <c r="D423" s="15" t="s">
        <v>29</v>
      </c>
      <c r="E423" s="30">
        <f>H422</f>
        <v>87828</v>
      </c>
      <c r="F423" s="37" cm="1">
        <f t="array" ref="F423">IFERROR((SUMPRODUCT(('Production Inputs'!$A:$A="188mg LP")*('Production Inputs'!$B:$B="TOTAL ACTIVE")*'Production Inputs'!$BU:$BU)+SUMPRODUCT(('Production Inputs'!$A:$A="188mg LP - EU Stock")*('Production Inputs'!$B:$B="TOTAL ACTIVE")*'Production Inputs'!$BU:$BU))*Dependencies!$D$4,0)</f>
        <v>0</v>
      </c>
      <c r="G423" s="37">
        <f t="array" ref="G423">IFERROR(SUMPRODUCT(('Production Inputs'!$A:$A="200mg DP")*('Production Inputs'!$B:$B="TOTAL ACTIVE")*'Production Inputs'!$BU:$BU),0)</f>
        <v>0</v>
      </c>
      <c r="H423" s="30">
        <f t="shared" si="42"/>
        <v>87828</v>
      </c>
      <c r="I423" s="30">
        <f ca="1">IFERROR(AVERAGEIF(OFFSET(F423,0,0,MIN(Controls!$B$8,COUNTIF(B423:B$1973,B423)),1),"&gt;"&amp;0),0)</f>
        <v>0</v>
      </c>
      <c r="J423" s="38">
        <f t="shared" ca="1" si="43"/>
        <v>999</v>
      </c>
      <c r="K423" s="30">
        <f t="shared" ca="1" si="47"/>
        <v>0</v>
      </c>
      <c r="L423" t="str">
        <f t="shared" ca="1" si="44"/>
        <v>Overstock</v>
      </c>
      <c r="M423" s="39">
        <f>IFERROR(VLOOKUP("200mg DP",Controls!A:I,7,0),6)</f>
        <v>9</v>
      </c>
      <c r="N423" s="39">
        <f>IFERROR(VLOOKUP("200mg DP",Controls!A:I,8,0),3)</f>
        <v>8</v>
      </c>
      <c r="O423" s="39">
        <f>IFERROR(VLOOKUP("200mg DP",Controls!A:I,9,0),18)</f>
        <v>18</v>
      </c>
      <c r="P423" s="40">
        <f>IFERROR(VLOOKUP("200mg DP",Controls!A:J,5,0),0)</f>
        <v>16200</v>
      </c>
      <c r="Q423" s="39">
        <f>IFERROR(VLOOKUP("200mg DP",Controls!A:J,6,0),3)</f>
        <v>5</v>
      </c>
      <c r="R423" s="21" t="str">
        <f>IFERROR(VLOOKUP("200mg DP",Controls!A:K,10,0),"")</f>
        <v>Catalent</v>
      </c>
      <c r="S423" s="41">
        <f t="shared" si="45"/>
        <v>47757</v>
      </c>
      <c r="T423" s="30">
        <f t="shared" si="46"/>
        <v>0</v>
      </c>
      <c r="AB423">
        <f t="shared" si="48"/>
        <v>35100</v>
      </c>
    </row>
    <row r="424" spans="1:28" ht="13" customHeight="1" x14ac:dyDescent="0.35">
      <c r="A424" s="153">
        <v>47939</v>
      </c>
      <c r="B424" s="36" t="s">
        <v>36</v>
      </c>
      <c r="C424" s="15" t="s">
        <v>38</v>
      </c>
      <c r="D424" s="15" t="s">
        <v>29</v>
      </c>
      <c r="E424" s="30">
        <f>H423</f>
        <v>87828</v>
      </c>
      <c r="F424" s="37" cm="1">
        <f t="array" ref="F424">IFERROR((SUMPRODUCT(('Production Inputs'!$A:$A="188mg LP")*('Production Inputs'!$B:$B="TOTAL ACTIVE")*'Production Inputs'!$BV:$BV)+SUMPRODUCT(('Production Inputs'!$A:$A="188mg LP - EU Stock")*('Production Inputs'!$B:$B="TOTAL ACTIVE")*'Production Inputs'!$BV:$BV))*Dependencies!$D$4,0)</f>
        <v>0</v>
      </c>
      <c r="G424" s="37">
        <f t="array" ref="G424">IFERROR(SUMPRODUCT(('Production Inputs'!$A:$A="200mg DP")*('Production Inputs'!$B:$B="TOTAL ACTIVE")*'Production Inputs'!$BV:$BV),0)</f>
        <v>0</v>
      </c>
      <c r="H424" s="30">
        <f t="shared" si="42"/>
        <v>87828</v>
      </c>
      <c r="I424" s="30">
        <f ca="1">IFERROR(AVERAGEIF(OFFSET(F424,0,0,MIN(Controls!$B$8,COUNTIF(B424:B$1973,B424)),1),"&gt;"&amp;0),0)</f>
        <v>0</v>
      </c>
      <c r="J424" s="38">
        <f t="shared" ca="1" si="43"/>
        <v>999</v>
      </c>
      <c r="K424" s="30">
        <f t="shared" ca="1" si="47"/>
        <v>0</v>
      </c>
      <c r="L424" t="str">
        <f t="shared" ca="1" si="44"/>
        <v>Overstock</v>
      </c>
      <c r="M424" s="39">
        <f>IFERROR(VLOOKUP("200mg DP",Controls!A:I,7,0),6)</f>
        <v>9</v>
      </c>
      <c r="N424" s="39">
        <f>IFERROR(VLOOKUP("200mg DP",Controls!A:I,8,0),3)</f>
        <v>8</v>
      </c>
      <c r="O424" s="39">
        <f>IFERROR(VLOOKUP("200mg DP",Controls!A:I,9,0),18)</f>
        <v>18</v>
      </c>
      <c r="P424" s="40">
        <f>IFERROR(VLOOKUP("200mg DP",Controls!A:J,5,0),0)</f>
        <v>16200</v>
      </c>
      <c r="Q424" s="39">
        <f>IFERROR(VLOOKUP("200mg DP",Controls!A:J,6,0),3)</f>
        <v>5</v>
      </c>
      <c r="R424" s="21" t="str">
        <f>IFERROR(VLOOKUP("200mg DP",Controls!A:K,10,0),"")</f>
        <v>Catalent</v>
      </c>
      <c r="S424" s="41">
        <f t="shared" si="45"/>
        <v>47788</v>
      </c>
      <c r="T424" s="30">
        <f t="shared" si="46"/>
        <v>0</v>
      </c>
      <c r="AB424">
        <f t="shared" si="48"/>
        <v>35100</v>
      </c>
    </row>
    <row r="425" spans="1:28" ht="13" customHeight="1" x14ac:dyDescent="0.35">
      <c r="A425" s="153">
        <v>47969</v>
      </c>
      <c r="B425" s="36" t="s">
        <v>36</v>
      </c>
      <c r="C425" s="15" t="s">
        <v>38</v>
      </c>
      <c r="D425" s="15" t="s">
        <v>29</v>
      </c>
      <c r="E425" s="30">
        <f>H424</f>
        <v>87828</v>
      </c>
      <c r="F425" s="37" cm="1">
        <f t="array" ref="F425">IFERROR((SUMPRODUCT(('Production Inputs'!$A:$A="188mg LP")*('Production Inputs'!$B:$B="TOTAL ACTIVE")*'Production Inputs'!$BW:$BW)+SUMPRODUCT(('Production Inputs'!$A:$A="188mg LP - EU Stock")*('Production Inputs'!$B:$B="TOTAL ACTIVE")*'Production Inputs'!$BW:$BW))*Dependencies!$D$4,0)</f>
        <v>0</v>
      </c>
      <c r="G425" s="37">
        <f t="array" ref="G425">IFERROR(SUMPRODUCT(('Production Inputs'!$A:$A="200mg DP")*('Production Inputs'!$B:$B="TOTAL ACTIVE")*'Production Inputs'!$BW:$BW),0)</f>
        <v>0</v>
      </c>
      <c r="H425" s="30">
        <f t="shared" si="42"/>
        <v>87828</v>
      </c>
      <c r="I425" s="30">
        <f ca="1">IFERROR(AVERAGEIF(OFFSET(F425,0,0,MIN(Controls!$B$8,COUNTIF(B425:B$1973,B425)),1),"&gt;"&amp;0),0)</f>
        <v>0</v>
      </c>
      <c r="J425" s="38">
        <f t="shared" ca="1" si="43"/>
        <v>999</v>
      </c>
      <c r="K425" s="30">
        <f t="shared" ca="1" si="47"/>
        <v>0</v>
      </c>
      <c r="L425" t="str">
        <f t="shared" ca="1" si="44"/>
        <v>Overstock</v>
      </c>
      <c r="M425" s="39">
        <f>IFERROR(VLOOKUP("200mg DP",Controls!A:I,7,0),6)</f>
        <v>9</v>
      </c>
      <c r="N425" s="39">
        <f>IFERROR(VLOOKUP("200mg DP",Controls!A:I,8,0),3)</f>
        <v>8</v>
      </c>
      <c r="O425" s="39">
        <f>IFERROR(VLOOKUP("200mg DP",Controls!A:I,9,0),18)</f>
        <v>18</v>
      </c>
      <c r="P425" s="40">
        <f>IFERROR(VLOOKUP("200mg DP",Controls!A:J,5,0),0)</f>
        <v>16200</v>
      </c>
      <c r="Q425" s="39">
        <f>IFERROR(VLOOKUP("200mg DP",Controls!A:J,6,0),3)</f>
        <v>5</v>
      </c>
      <c r="R425" s="21" t="str">
        <f>IFERROR(VLOOKUP("200mg DP",Controls!A:K,10,0),"")</f>
        <v>Catalent</v>
      </c>
      <c r="S425" s="41">
        <f t="shared" si="45"/>
        <v>47818</v>
      </c>
      <c r="T425" s="30">
        <f t="shared" si="46"/>
        <v>0</v>
      </c>
      <c r="AB425">
        <f t="shared" si="48"/>
        <v>35100</v>
      </c>
    </row>
    <row r="426" spans="1:28" ht="13" customHeight="1" x14ac:dyDescent="0.35">
      <c r="A426" s="153">
        <v>48000</v>
      </c>
      <c r="B426" s="36" t="s">
        <v>36</v>
      </c>
      <c r="C426" s="15" t="s">
        <v>38</v>
      </c>
      <c r="D426" s="15" t="s">
        <v>29</v>
      </c>
      <c r="E426" s="30">
        <f>H425</f>
        <v>87828</v>
      </c>
      <c r="F426" s="37" cm="1">
        <f t="array" ref="F426">IFERROR((SUMPRODUCT(('Production Inputs'!$A:$A="188mg LP")*('Production Inputs'!$B:$B="TOTAL ACTIVE")*'Production Inputs'!$BX:$BX)+SUMPRODUCT(('Production Inputs'!$A:$A="188mg LP - EU Stock")*('Production Inputs'!$B:$B="TOTAL ACTIVE")*'Production Inputs'!$BX:$BX))*Dependencies!$D$4,0)</f>
        <v>0</v>
      </c>
      <c r="G426" s="37">
        <f t="array" ref="G426">IFERROR(SUMPRODUCT(('Production Inputs'!$A:$A="200mg DP")*('Production Inputs'!$B:$B="TOTAL ACTIVE")*'Production Inputs'!$BX:$BX),0)</f>
        <v>0</v>
      </c>
      <c r="H426" s="30">
        <f t="shared" si="42"/>
        <v>87828</v>
      </c>
      <c r="I426" s="30">
        <f ca="1">IFERROR(AVERAGEIF(OFFSET(F426,0,0,MIN(Controls!$B$8,COUNTIF(B426:B$1973,B426)),1),"&gt;"&amp;0),0)</f>
        <v>0</v>
      </c>
      <c r="J426" s="38">
        <f t="shared" ca="1" si="43"/>
        <v>999</v>
      </c>
      <c r="K426" s="30">
        <f t="shared" ca="1" si="47"/>
        <v>0</v>
      </c>
      <c r="L426" t="str">
        <f t="shared" ca="1" si="44"/>
        <v>Overstock</v>
      </c>
      <c r="M426" s="39">
        <f>IFERROR(VLOOKUP("200mg DP",Controls!A:I,7,0),6)</f>
        <v>9</v>
      </c>
      <c r="N426" s="39">
        <f>IFERROR(VLOOKUP("200mg DP",Controls!A:I,8,0),3)</f>
        <v>8</v>
      </c>
      <c r="O426" s="39">
        <f>IFERROR(VLOOKUP("200mg DP",Controls!A:I,9,0),18)</f>
        <v>18</v>
      </c>
      <c r="P426" s="40">
        <f>IFERROR(VLOOKUP("200mg DP",Controls!A:J,5,0),0)</f>
        <v>16200</v>
      </c>
      <c r="Q426" s="39">
        <f>IFERROR(VLOOKUP("200mg DP",Controls!A:J,6,0),3)</f>
        <v>5</v>
      </c>
      <c r="R426" s="21" t="str">
        <f>IFERROR(VLOOKUP("200mg DP",Controls!A:K,10,0),"")</f>
        <v>Catalent</v>
      </c>
      <c r="S426" s="41">
        <f t="shared" si="45"/>
        <v>47849</v>
      </c>
      <c r="T426" s="30">
        <f t="shared" si="46"/>
        <v>0</v>
      </c>
      <c r="AB426">
        <f t="shared" si="48"/>
        <v>35100</v>
      </c>
    </row>
    <row r="427" spans="1:28" ht="13" customHeight="1" x14ac:dyDescent="0.35">
      <c r="A427" s="153">
        <v>48030</v>
      </c>
      <c r="B427" s="36" t="s">
        <v>36</v>
      </c>
      <c r="C427" s="15" t="s">
        <v>38</v>
      </c>
      <c r="D427" s="15" t="s">
        <v>29</v>
      </c>
      <c r="E427" s="30">
        <f>H426</f>
        <v>87828</v>
      </c>
      <c r="F427" s="37" cm="1">
        <f t="array" ref="F427">IFERROR((SUMPRODUCT(('Production Inputs'!$A:$A="188mg LP")*('Production Inputs'!$B:$B="TOTAL ACTIVE")*'Production Inputs'!$BY:$BY)+SUMPRODUCT(('Production Inputs'!$A:$A="188mg LP - EU Stock")*('Production Inputs'!$B:$B="TOTAL ACTIVE")*'Production Inputs'!$BY:$BY))*Dependencies!$D$4,0)</f>
        <v>0</v>
      </c>
      <c r="G427" s="37">
        <f t="array" ref="G427">IFERROR(SUMPRODUCT(('Production Inputs'!$A:$A="200mg DP")*('Production Inputs'!$B:$B="TOTAL ACTIVE")*'Production Inputs'!$BY:$BY),0)</f>
        <v>0</v>
      </c>
      <c r="H427" s="30">
        <f t="shared" si="42"/>
        <v>87828</v>
      </c>
      <c r="I427" s="30">
        <f ca="1">IFERROR(AVERAGEIF(OFFSET(F427,0,0,MIN(Controls!$B$8,COUNTIF(B427:B$1973,B427)),1),"&gt;"&amp;0),0)</f>
        <v>0</v>
      </c>
      <c r="J427" s="38">
        <f t="shared" ca="1" si="43"/>
        <v>999</v>
      </c>
      <c r="K427" s="30">
        <f t="shared" ca="1" si="47"/>
        <v>0</v>
      </c>
      <c r="L427" t="str">
        <f t="shared" ca="1" si="44"/>
        <v>Overstock</v>
      </c>
      <c r="M427" s="39">
        <f>IFERROR(VLOOKUP("200mg DP",Controls!A:I,7,0),6)</f>
        <v>9</v>
      </c>
      <c r="N427" s="39">
        <f>IFERROR(VLOOKUP("200mg DP",Controls!A:I,8,0),3)</f>
        <v>8</v>
      </c>
      <c r="O427" s="39">
        <f>IFERROR(VLOOKUP("200mg DP",Controls!A:I,9,0),18)</f>
        <v>18</v>
      </c>
      <c r="P427" s="40">
        <f>IFERROR(VLOOKUP("200mg DP",Controls!A:J,5,0),0)</f>
        <v>16200</v>
      </c>
      <c r="Q427" s="39">
        <f>IFERROR(VLOOKUP("200mg DP",Controls!A:J,6,0),3)</f>
        <v>5</v>
      </c>
      <c r="R427" s="21" t="str">
        <f>IFERROR(VLOOKUP("200mg DP",Controls!A:K,10,0),"")</f>
        <v>Catalent</v>
      </c>
      <c r="S427" s="41">
        <f t="shared" si="45"/>
        <v>47880</v>
      </c>
      <c r="T427" s="30">
        <f t="shared" si="46"/>
        <v>0</v>
      </c>
      <c r="AB427">
        <f t="shared" si="48"/>
        <v>35100</v>
      </c>
    </row>
    <row r="428" spans="1:28" ht="13" customHeight="1" x14ac:dyDescent="0.35">
      <c r="A428" s="153">
        <v>48061</v>
      </c>
      <c r="B428" s="36" t="s">
        <v>36</v>
      </c>
      <c r="C428" s="15" t="s">
        <v>38</v>
      </c>
      <c r="D428" s="15" t="s">
        <v>29</v>
      </c>
      <c r="E428" s="30">
        <f>H427</f>
        <v>87828</v>
      </c>
      <c r="F428" s="37" cm="1">
        <f t="array" ref="F428">IFERROR((SUMPRODUCT(('Production Inputs'!$A:$A="188mg LP")*('Production Inputs'!$B:$B="TOTAL ACTIVE")*'Production Inputs'!$BZ:$BZ)+SUMPRODUCT(('Production Inputs'!$A:$A="188mg LP - EU Stock")*('Production Inputs'!$B:$B="TOTAL ACTIVE")*'Production Inputs'!$BZ:$BZ))*Dependencies!$D$4,0)</f>
        <v>0</v>
      </c>
      <c r="G428" s="37">
        <f t="array" ref="G428">IFERROR(SUMPRODUCT(('Production Inputs'!$A:$A="200mg DP")*('Production Inputs'!$B:$B="TOTAL ACTIVE")*'Production Inputs'!$BZ:$BZ),0)</f>
        <v>0</v>
      </c>
      <c r="H428" s="30">
        <f t="shared" si="42"/>
        <v>87828</v>
      </c>
      <c r="I428" s="30">
        <f ca="1">IFERROR(AVERAGEIF(OFFSET(F428,0,0,MIN(Controls!$B$8,COUNTIF(B428:B$1973,B428)),1),"&gt;"&amp;0),0)</f>
        <v>0</v>
      </c>
      <c r="J428" s="38">
        <f t="shared" ca="1" si="43"/>
        <v>999</v>
      </c>
      <c r="K428" s="30">
        <f t="shared" ca="1" si="47"/>
        <v>0</v>
      </c>
      <c r="L428" t="str">
        <f t="shared" ca="1" si="44"/>
        <v>Overstock</v>
      </c>
      <c r="M428" s="39">
        <f>IFERROR(VLOOKUP("200mg DP",Controls!A:I,7,0),6)</f>
        <v>9</v>
      </c>
      <c r="N428" s="39">
        <f>IFERROR(VLOOKUP("200mg DP",Controls!A:I,8,0),3)</f>
        <v>8</v>
      </c>
      <c r="O428" s="39">
        <f>IFERROR(VLOOKUP("200mg DP",Controls!A:I,9,0),18)</f>
        <v>18</v>
      </c>
      <c r="P428" s="40">
        <f>IFERROR(VLOOKUP("200mg DP",Controls!A:J,5,0),0)</f>
        <v>16200</v>
      </c>
      <c r="Q428" s="39">
        <f>IFERROR(VLOOKUP("200mg DP",Controls!A:J,6,0),3)</f>
        <v>5</v>
      </c>
      <c r="R428" s="21" t="str">
        <f>IFERROR(VLOOKUP("200mg DP",Controls!A:K,10,0),"")</f>
        <v>Catalent</v>
      </c>
      <c r="S428" s="41">
        <f t="shared" si="45"/>
        <v>47908</v>
      </c>
      <c r="T428" s="30">
        <f t="shared" si="46"/>
        <v>0</v>
      </c>
      <c r="AB428">
        <f t="shared" si="48"/>
        <v>35100</v>
      </c>
    </row>
    <row r="429" spans="1:28" ht="13" customHeight="1" x14ac:dyDescent="0.35">
      <c r="A429" s="153">
        <v>48092</v>
      </c>
      <c r="B429" s="36" t="s">
        <v>36</v>
      </c>
      <c r="C429" s="15" t="s">
        <v>38</v>
      </c>
      <c r="D429" s="15" t="s">
        <v>29</v>
      </c>
      <c r="E429" s="30">
        <f>H428</f>
        <v>87828</v>
      </c>
      <c r="F429" s="37" cm="1">
        <f t="array" ref="F429">IFERROR((SUMPRODUCT(('Production Inputs'!$A:$A="188mg LP")*('Production Inputs'!$B:$B="TOTAL ACTIVE")*'Production Inputs'!$CA:$CA)+SUMPRODUCT(('Production Inputs'!$A:$A="188mg LP - EU Stock")*('Production Inputs'!$B:$B="TOTAL ACTIVE")*'Production Inputs'!$CA:$CA))*Dependencies!$D$4,0)</f>
        <v>0</v>
      </c>
      <c r="G429" s="37">
        <f t="array" ref="G429">IFERROR(SUMPRODUCT(('Production Inputs'!$A:$A="200mg DP")*('Production Inputs'!$B:$B="TOTAL ACTIVE")*'Production Inputs'!$CA:$CA),0)</f>
        <v>0</v>
      </c>
      <c r="H429" s="30">
        <f t="shared" si="42"/>
        <v>87828</v>
      </c>
      <c r="I429" s="30">
        <f ca="1">IFERROR(AVERAGEIF(OFFSET(F429,0,0,MIN(Controls!$B$8,COUNTIF(B429:B$1973,B429)),1),"&gt;"&amp;0),0)</f>
        <v>0</v>
      </c>
      <c r="J429" s="38">
        <f t="shared" ca="1" si="43"/>
        <v>999</v>
      </c>
      <c r="K429" s="30">
        <f t="shared" ca="1" si="47"/>
        <v>0</v>
      </c>
      <c r="L429" t="str">
        <f t="shared" ca="1" si="44"/>
        <v>Overstock</v>
      </c>
      <c r="M429" s="39">
        <f>IFERROR(VLOOKUP("200mg DP",Controls!A:I,7,0),6)</f>
        <v>9</v>
      </c>
      <c r="N429" s="39">
        <f>IFERROR(VLOOKUP("200mg DP",Controls!A:I,8,0),3)</f>
        <v>8</v>
      </c>
      <c r="O429" s="39">
        <f>IFERROR(VLOOKUP("200mg DP",Controls!A:I,9,0),18)</f>
        <v>18</v>
      </c>
      <c r="P429" s="40">
        <f>IFERROR(VLOOKUP("200mg DP",Controls!A:J,5,0),0)</f>
        <v>16200</v>
      </c>
      <c r="Q429" s="39">
        <f>IFERROR(VLOOKUP("200mg DP",Controls!A:J,6,0),3)</f>
        <v>5</v>
      </c>
      <c r="R429" s="21" t="str">
        <f>IFERROR(VLOOKUP("200mg DP",Controls!A:K,10,0),"")</f>
        <v>Catalent</v>
      </c>
      <c r="S429" s="41">
        <f t="shared" si="45"/>
        <v>47939</v>
      </c>
      <c r="T429" s="30">
        <f t="shared" si="46"/>
        <v>0</v>
      </c>
      <c r="AB429">
        <f t="shared" si="48"/>
        <v>35100</v>
      </c>
    </row>
    <row r="430" spans="1:28" ht="13" customHeight="1" x14ac:dyDescent="0.35">
      <c r="A430" s="153">
        <v>48122</v>
      </c>
      <c r="B430" s="36" t="s">
        <v>36</v>
      </c>
      <c r="C430" s="15" t="s">
        <v>38</v>
      </c>
      <c r="D430" s="15" t="s">
        <v>29</v>
      </c>
      <c r="E430" s="30">
        <f>H429</f>
        <v>87828</v>
      </c>
      <c r="F430" s="37" cm="1">
        <f t="array" ref="F430">IFERROR((SUMPRODUCT(('Production Inputs'!$A:$A="188mg LP")*('Production Inputs'!$B:$B="TOTAL ACTIVE")*'Production Inputs'!$CB:$CB)+SUMPRODUCT(('Production Inputs'!$A:$A="188mg LP - EU Stock")*('Production Inputs'!$B:$B="TOTAL ACTIVE")*'Production Inputs'!$CB:$CB))*Dependencies!$D$4,0)</f>
        <v>0</v>
      </c>
      <c r="G430" s="37">
        <f t="array" ref="G430">IFERROR(SUMPRODUCT(('Production Inputs'!$A:$A="200mg DP")*('Production Inputs'!$B:$B="TOTAL ACTIVE")*'Production Inputs'!$CB:$CB),0)</f>
        <v>0</v>
      </c>
      <c r="H430" s="30">
        <f t="shared" si="42"/>
        <v>87828</v>
      </c>
      <c r="I430" s="30">
        <f ca="1">IFERROR(AVERAGEIF(OFFSET(F430,0,0,MIN(Controls!$B$8,COUNTIF(B430:B$1973,B430)),1),"&gt;"&amp;0),0)</f>
        <v>0</v>
      </c>
      <c r="J430" s="38">
        <f t="shared" ca="1" si="43"/>
        <v>999</v>
      </c>
      <c r="K430" s="30">
        <f t="shared" ca="1" si="47"/>
        <v>0</v>
      </c>
      <c r="L430" t="str">
        <f t="shared" ca="1" si="44"/>
        <v>Overstock</v>
      </c>
      <c r="M430" s="39">
        <f>IFERROR(VLOOKUP("200mg DP",Controls!A:I,7,0),6)</f>
        <v>9</v>
      </c>
      <c r="N430" s="39">
        <f>IFERROR(VLOOKUP("200mg DP",Controls!A:I,8,0),3)</f>
        <v>8</v>
      </c>
      <c r="O430" s="39">
        <f>IFERROR(VLOOKUP("200mg DP",Controls!A:I,9,0),18)</f>
        <v>18</v>
      </c>
      <c r="P430" s="40">
        <f>IFERROR(VLOOKUP("200mg DP",Controls!A:J,5,0),0)</f>
        <v>16200</v>
      </c>
      <c r="Q430" s="39">
        <f>IFERROR(VLOOKUP("200mg DP",Controls!A:J,6,0),3)</f>
        <v>5</v>
      </c>
      <c r="R430" s="21" t="str">
        <f>IFERROR(VLOOKUP("200mg DP",Controls!A:K,10,0),"")</f>
        <v>Catalent</v>
      </c>
      <c r="S430" s="41">
        <f t="shared" si="45"/>
        <v>47969</v>
      </c>
      <c r="T430" s="30">
        <f t="shared" si="46"/>
        <v>0</v>
      </c>
      <c r="AB430">
        <f t="shared" si="48"/>
        <v>35100</v>
      </c>
    </row>
    <row r="431" spans="1:28" ht="13" customHeight="1" x14ac:dyDescent="0.35">
      <c r="A431" s="153">
        <v>48153</v>
      </c>
      <c r="B431" s="36" t="s">
        <v>36</v>
      </c>
      <c r="C431" s="15" t="s">
        <v>38</v>
      </c>
      <c r="D431" s="15" t="s">
        <v>29</v>
      </c>
      <c r="E431" s="30">
        <f>H430</f>
        <v>87828</v>
      </c>
      <c r="F431" s="37" cm="1">
        <f t="array" ref="F431">IFERROR((SUMPRODUCT(('Production Inputs'!$A:$A="188mg LP")*('Production Inputs'!$B:$B="TOTAL ACTIVE")*'Production Inputs'!$CC:$CC)+SUMPRODUCT(('Production Inputs'!$A:$A="188mg LP - EU Stock")*('Production Inputs'!$B:$B="TOTAL ACTIVE")*'Production Inputs'!$CC:$CC))*Dependencies!$D$4,0)</f>
        <v>0</v>
      </c>
      <c r="G431" s="37">
        <f t="array" ref="G431">IFERROR(SUMPRODUCT(('Production Inputs'!$A:$A="200mg DP")*('Production Inputs'!$B:$B="TOTAL ACTIVE")*'Production Inputs'!$CC:$CC),0)</f>
        <v>0</v>
      </c>
      <c r="H431" s="30">
        <f t="shared" si="42"/>
        <v>87828</v>
      </c>
      <c r="I431" s="30">
        <f ca="1">IFERROR(AVERAGEIF(OFFSET(F431,0,0,MIN(Controls!$B$8,COUNTIF(B431:B$1973,B431)),1),"&gt;"&amp;0),0)</f>
        <v>0</v>
      </c>
      <c r="J431" s="38">
        <f t="shared" ca="1" si="43"/>
        <v>999</v>
      </c>
      <c r="K431" s="30">
        <f t="shared" ca="1" si="47"/>
        <v>0</v>
      </c>
      <c r="L431" t="str">
        <f t="shared" ca="1" si="44"/>
        <v>Overstock</v>
      </c>
      <c r="M431" s="39">
        <f>IFERROR(VLOOKUP("200mg DP",Controls!A:I,7,0),6)</f>
        <v>9</v>
      </c>
      <c r="N431" s="39">
        <f>IFERROR(VLOOKUP("200mg DP",Controls!A:I,8,0),3)</f>
        <v>8</v>
      </c>
      <c r="O431" s="39">
        <f>IFERROR(VLOOKUP("200mg DP",Controls!A:I,9,0),18)</f>
        <v>18</v>
      </c>
      <c r="P431" s="40">
        <f>IFERROR(VLOOKUP("200mg DP",Controls!A:J,5,0),0)</f>
        <v>16200</v>
      </c>
      <c r="Q431" s="39">
        <f>IFERROR(VLOOKUP("200mg DP",Controls!A:J,6,0),3)</f>
        <v>5</v>
      </c>
      <c r="R431" s="21" t="str">
        <f>IFERROR(VLOOKUP("200mg DP",Controls!A:K,10,0),"")</f>
        <v>Catalent</v>
      </c>
      <c r="S431" s="41">
        <f t="shared" si="45"/>
        <v>48000</v>
      </c>
      <c r="T431" s="30">
        <f t="shared" si="46"/>
        <v>0</v>
      </c>
      <c r="AB431">
        <f t="shared" si="48"/>
        <v>35100</v>
      </c>
    </row>
    <row r="432" spans="1:28" ht="13" customHeight="1" x14ac:dyDescent="0.35">
      <c r="A432" s="153">
        <v>48183</v>
      </c>
      <c r="B432" s="36" t="s">
        <v>36</v>
      </c>
      <c r="C432" s="15" t="s">
        <v>38</v>
      </c>
      <c r="D432" s="15" t="s">
        <v>29</v>
      </c>
      <c r="E432" s="30">
        <f>H431</f>
        <v>87828</v>
      </c>
      <c r="F432" s="37" cm="1">
        <f t="array" ref="F432">IFERROR((SUMPRODUCT(('Production Inputs'!$A:$A="188mg LP")*('Production Inputs'!$B:$B="TOTAL ACTIVE")*'Production Inputs'!$CD:$CD)+SUMPRODUCT(('Production Inputs'!$A:$A="188mg LP - EU Stock")*('Production Inputs'!$B:$B="TOTAL ACTIVE")*'Production Inputs'!$CD:$CD))*Dependencies!$D$4,0)</f>
        <v>0</v>
      </c>
      <c r="G432" s="37">
        <f t="array" ref="G432">IFERROR(SUMPRODUCT(('Production Inputs'!$A:$A="200mg DP")*('Production Inputs'!$B:$B="TOTAL ACTIVE")*'Production Inputs'!$CD:$CD),0)</f>
        <v>0</v>
      </c>
      <c r="H432" s="30">
        <f t="shared" si="42"/>
        <v>87828</v>
      </c>
      <c r="I432" s="30">
        <f ca="1">IFERROR(AVERAGEIF(OFFSET(F432,0,0,MIN(Controls!$B$8,COUNTIF(B432:B$1973,B432)),1),"&gt;"&amp;0),0)</f>
        <v>0</v>
      </c>
      <c r="J432" s="38">
        <f t="shared" ca="1" si="43"/>
        <v>999</v>
      </c>
      <c r="K432" s="30">
        <f t="shared" ca="1" si="47"/>
        <v>0</v>
      </c>
      <c r="L432" t="str">
        <f t="shared" ca="1" si="44"/>
        <v>Overstock</v>
      </c>
      <c r="M432" s="39">
        <f>IFERROR(VLOOKUP("200mg DP",Controls!A:I,7,0),6)</f>
        <v>9</v>
      </c>
      <c r="N432" s="39">
        <f>IFERROR(VLOOKUP("200mg DP",Controls!A:I,8,0),3)</f>
        <v>8</v>
      </c>
      <c r="O432" s="39">
        <f>IFERROR(VLOOKUP("200mg DP",Controls!A:I,9,0),18)</f>
        <v>18</v>
      </c>
      <c r="P432" s="40">
        <f>IFERROR(VLOOKUP("200mg DP",Controls!A:J,5,0),0)</f>
        <v>16200</v>
      </c>
      <c r="Q432" s="39">
        <f>IFERROR(VLOOKUP("200mg DP",Controls!A:J,6,0),3)</f>
        <v>5</v>
      </c>
      <c r="R432" s="21" t="str">
        <f>IFERROR(VLOOKUP("200mg DP",Controls!A:K,10,0),"")</f>
        <v>Catalent</v>
      </c>
      <c r="S432" s="41">
        <f t="shared" si="45"/>
        <v>48030</v>
      </c>
      <c r="T432" s="30">
        <f t="shared" si="46"/>
        <v>0</v>
      </c>
      <c r="AB432">
        <f t="shared" si="48"/>
        <v>35100</v>
      </c>
    </row>
    <row r="433" spans="1:28" ht="13" customHeight="1" x14ac:dyDescent="0.35">
      <c r="A433" s="153">
        <v>48214</v>
      </c>
      <c r="B433" s="36" t="s">
        <v>36</v>
      </c>
      <c r="C433" s="15" t="s">
        <v>38</v>
      </c>
      <c r="D433" s="15" t="s">
        <v>29</v>
      </c>
      <c r="E433" s="30">
        <f>H432</f>
        <v>87828</v>
      </c>
      <c r="F433" s="37" cm="1">
        <f t="array" ref="F433">IFERROR((SUMPRODUCT(('Production Inputs'!$A:$A="188mg LP")*('Production Inputs'!$B:$B="TOTAL ACTIVE")*'Production Inputs'!$CE:$CE)+SUMPRODUCT(('Production Inputs'!$A:$A="188mg LP - EU Stock")*('Production Inputs'!$B:$B="TOTAL ACTIVE")*'Production Inputs'!$CE:$CE))*Dependencies!$D$4,0)</f>
        <v>0</v>
      </c>
      <c r="G433" s="37">
        <f t="array" ref="G433">IFERROR(SUMPRODUCT(('Production Inputs'!$A:$A="200mg DP")*('Production Inputs'!$B:$B="TOTAL ACTIVE")*'Production Inputs'!$CE:$CE),0)</f>
        <v>0</v>
      </c>
      <c r="H433" s="30">
        <f t="shared" si="42"/>
        <v>87828</v>
      </c>
      <c r="I433" s="30">
        <f ca="1">IFERROR(AVERAGEIF(OFFSET(F433,0,0,MIN(Controls!$B$8,COUNTIF(B433:B$1973,B433)),1),"&gt;"&amp;0),0)</f>
        <v>0</v>
      </c>
      <c r="J433" s="38">
        <f t="shared" ca="1" si="43"/>
        <v>999</v>
      </c>
      <c r="K433" s="30">
        <f t="shared" ca="1" si="47"/>
        <v>0</v>
      </c>
      <c r="L433" t="str">
        <f t="shared" ca="1" si="44"/>
        <v>Overstock</v>
      </c>
      <c r="M433" s="39">
        <f>IFERROR(VLOOKUP("200mg DP",Controls!A:I,7,0),6)</f>
        <v>9</v>
      </c>
      <c r="N433" s="39">
        <f>IFERROR(VLOOKUP("200mg DP",Controls!A:I,8,0),3)</f>
        <v>8</v>
      </c>
      <c r="O433" s="39">
        <f>IFERROR(VLOOKUP("200mg DP",Controls!A:I,9,0),18)</f>
        <v>18</v>
      </c>
      <c r="P433" s="40">
        <f>IFERROR(VLOOKUP("200mg DP",Controls!A:J,5,0),0)</f>
        <v>16200</v>
      </c>
      <c r="Q433" s="39">
        <f>IFERROR(VLOOKUP("200mg DP",Controls!A:J,6,0),3)</f>
        <v>5</v>
      </c>
      <c r="R433" s="21" t="str">
        <f>IFERROR(VLOOKUP("200mg DP",Controls!A:K,10,0),"")</f>
        <v>Catalent</v>
      </c>
      <c r="S433" s="41">
        <f t="shared" si="45"/>
        <v>48061</v>
      </c>
      <c r="T433" s="30">
        <f t="shared" si="46"/>
        <v>0</v>
      </c>
      <c r="AB433">
        <f t="shared" si="48"/>
        <v>35100</v>
      </c>
    </row>
    <row r="434" spans="1:28" ht="13" customHeight="1" x14ac:dyDescent="0.35">
      <c r="A434" s="153">
        <v>48245</v>
      </c>
      <c r="B434" s="36" t="s">
        <v>36</v>
      </c>
      <c r="C434" s="15" t="s">
        <v>38</v>
      </c>
      <c r="D434" s="15" t="s">
        <v>29</v>
      </c>
      <c r="E434" s="30">
        <f>H433</f>
        <v>87828</v>
      </c>
      <c r="F434" s="37" cm="1">
        <f t="array" ref="F434">IFERROR((SUMPRODUCT(('Production Inputs'!$A:$A="188mg LP")*('Production Inputs'!$B:$B="TOTAL ACTIVE")*'Production Inputs'!$CF:$CF)+SUMPRODUCT(('Production Inputs'!$A:$A="188mg LP - EU Stock")*('Production Inputs'!$B:$B="TOTAL ACTIVE")*'Production Inputs'!$CF:$CF))*Dependencies!$D$4,0)</f>
        <v>0</v>
      </c>
      <c r="G434" s="37">
        <f t="array" ref="G434">IFERROR(SUMPRODUCT(('Production Inputs'!$A:$A="200mg DP")*('Production Inputs'!$B:$B="TOTAL ACTIVE")*'Production Inputs'!$CF:$CF),0)</f>
        <v>0</v>
      </c>
      <c r="H434" s="30">
        <f t="shared" si="42"/>
        <v>87828</v>
      </c>
      <c r="I434" s="30">
        <f ca="1">IFERROR(AVERAGEIF(OFFSET(F434,0,0,MIN(Controls!$B$8,COUNTIF(B434:B$1973,B434)),1),"&gt;"&amp;0),0)</f>
        <v>0</v>
      </c>
      <c r="J434" s="38">
        <f t="shared" ca="1" si="43"/>
        <v>999</v>
      </c>
      <c r="K434" s="30">
        <f t="shared" ca="1" si="47"/>
        <v>0</v>
      </c>
      <c r="L434" t="str">
        <f t="shared" ca="1" si="44"/>
        <v>Overstock</v>
      </c>
      <c r="M434" s="39">
        <f>IFERROR(VLOOKUP("200mg DP",Controls!A:I,7,0),6)</f>
        <v>9</v>
      </c>
      <c r="N434" s="39">
        <f>IFERROR(VLOOKUP("200mg DP",Controls!A:I,8,0),3)</f>
        <v>8</v>
      </c>
      <c r="O434" s="39">
        <f>IFERROR(VLOOKUP("200mg DP",Controls!A:I,9,0),18)</f>
        <v>18</v>
      </c>
      <c r="P434" s="40">
        <f>IFERROR(VLOOKUP("200mg DP",Controls!A:J,5,0),0)</f>
        <v>16200</v>
      </c>
      <c r="Q434" s="39">
        <f>IFERROR(VLOOKUP("200mg DP",Controls!A:J,6,0),3)</f>
        <v>5</v>
      </c>
      <c r="R434" s="21" t="str">
        <f>IFERROR(VLOOKUP("200mg DP",Controls!A:K,10,0),"")</f>
        <v>Catalent</v>
      </c>
      <c r="S434" s="41">
        <f t="shared" si="45"/>
        <v>48092</v>
      </c>
      <c r="T434" s="30">
        <f t="shared" si="46"/>
        <v>0</v>
      </c>
      <c r="AB434">
        <f t="shared" si="48"/>
        <v>35100</v>
      </c>
    </row>
    <row r="435" spans="1:28" ht="13" customHeight="1" x14ac:dyDescent="0.35">
      <c r="A435" s="153">
        <v>48274</v>
      </c>
      <c r="B435" s="36" t="s">
        <v>36</v>
      </c>
      <c r="C435" s="15" t="s">
        <v>38</v>
      </c>
      <c r="D435" s="15" t="s">
        <v>29</v>
      </c>
      <c r="E435" s="30">
        <f>H434</f>
        <v>87828</v>
      </c>
      <c r="F435" s="37" cm="1">
        <f t="array" ref="F435">IFERROR((SUMPRODUCT(('Production Inputs'!$A:$A="188mg LP")*('Production Inputs'!$B:$B="TOTAL ACTIVE")*'Production Inputs'!$CG:$CG)+SUMPRODUCT(('Production Inputs'!$A:$A="188mg LP - EU Stock")*('Production Inputs'!$B:$B="TOTAL ACTIVE")*'Production Inputs'!$CG:$CG))*Dependencies!$D$4,0)</f>
        <v>0</v>
      </c>
      <c r="G435" s="37">
        <f t="array" ref="G435">IFERROR(SUMPRODUCT(('Production Inputs'!$A:$A="200mg DP")*('Production Inputs'!$B:$B="TOTAL ACTIVE")*'Production Inputs'!$CG:$CG),0)</f>
        <v>0</v>
      </c>
      <c r="H435" s="30">
        <f t="shared" si="42"/>
        <v>87828</v>
      </c>
      <c r="I435" s="30">
        <f ca="1">IFERROR(AVERAGEIF(OFFSET(F435,0,0,MIN(Controls!$B$8,COUNTIF(B435:B$1973,B435)),1),"&gt;"&amp;0),0)</f>
        <v>0</v>
      </c>
      <c r="J435" s="38">
        <f t="shared" ca="1" si="43"/>
        <v>999</v>
      </c>
      <c r="K435" s="30">
        <f t="shared" ca="1" si="47"/>
        <v>0</v>
      </c>
      <c r="L435" t="str">
        <f t="shared" ca="1" si="44"/>
        <v>Overstock</v>
      </c>
      <c r="M435" s="39">
        <f>IFERROR(VLOOKUP("200mg DP",Controls!A:I,7,0),6)</f>
        <v>9</v>
      </c>
      <c r="N435" s="39">
        <f>IFERROR(VLOOKUP("200mg DP",Controls!A:I,8,0),3)</f>
        <v>8</v>
      </c>
      <c r="O435" s="39">
        <f>IFERROR(VLOOKUP("200mg DP",Controls!A:I,9,0),18)</f>
        <v>18</v>
      </c>
      <c r="P435" s="40">
        <f>IFERROR(VLOOKUP("200mg DP",Controls!A:J,5,0),0)</f>
        <v>16200</v>
      </c>
      <c r="Q435" s="39">
        <f>IFERROR(VLOOKUP("200mg DP",Controls!A:J,6,0),3)</f>
        <v>5</v>
      </c>
      <c r="R435" s="21" t="str">
        <f>IFERROR(VLOOKUP("200mg DP",Controls!A:K,10,0),"")</f>
        <v>Catalent</v>
      </c>
      <c r="S435" s="41">
        <f t="shared" si="45"/>
        <v>48122</v>
      </c>
      <c r="T435" s="30">
        <f t="shared" si="46"/>
        <v>0</v>
      </c>
      <c r="AB435">
        <f t="shared" si="48"/>
        <v>35100</v>
      </c>
    </row>
    <row r="436" spans="1:28" ht="13" customHeight="1" x14ac:dyDescent="0.35">
      <c r="A436" s="153">
        <v>48305</v>
      </c>
      <c r="B436" s="36" t="s">
        <v>36</v>
      </c>
      <c r="C436" s="15" t="s">
        <v>38</v>
      </c>
      <c r="D436" s="15" t="s">
        <v>29</v>
      </c>
      <c r="E436" s="30">
        <f>H435</f>
        <v>87828</v>
      </c>
      <c r="F436" s="37" cm="1">
        <f t="array" ref="F436">IFERROR((SUMPRODUCT(('Production Inputs'!$A:$A="188mg LP")*('Production Inputs'!$B:$B="TOTAL ACTIVE")*'Production Inputs'!$CH:$CH)+SUMPRODUCT(('Production Inputs'!$A:$A="188mg LP - EU Stock")*('Production Inputs'!$B:$B="TOTAL ACTIVE")*'Production Inputs'!$CH:$CH))*Dependencies!$D$4,0)</f>
        <v>0</v>
      </c>
      <c r="G436" s="37">
        <f t="array" ref="G436">IFERROR(SUMPRODUCT(('Production Inputs'!$A:$A="200mg DP")*('Production Inputs'!$B:$B="TOTAL ACTIVE")*'Production Inputs'!$CH:$CH),0)</f>
        <v>0</v>
      </c>
      <c r="H436" s="30">
        <f t="shared" si="42"/>
        <v>87828</v>
      </c>
      <c r="I436" s="30">
        <f ca="1">IFERROR(AVERAGEIF(OFFSET(F436,0,0,MIN(Controls!$B$8,COUNTIF(B436:B$1973,B436)),1),"&gt;"&amp;0),0)</f>
        <v>0</v>
      </c>
      <c r="J436" s="38">
        <f t="shared" ca="1" si="43"/>
        <v>999</v>
      </c>
      <c r="K436" s="30">
        <f t="shared" ca="1" si="47"/>
        <v>0</v>
      </c>
      <c r="L436" t="str">
        <f t="shared" ca="1" si="44"/>
        <v>Overstock</v>
      </c>
      <c r="M436" s="39">
        <f>IFERROR(VLOOKUP("200mg DP",Controls!A:I,7,0),6)</f>
        <v>9</v>
      </c>
      <c r="N436" s="39">
        <f>IFERROR(VLOOKUP("200mg DP",Controls!A:I,8,0),3)</f>
        <v>8</v>
      </c>
      <c r="O436" s="39">
        <f>IFERROR(VLOOKUP("200mg DP",Controls!A:I,9,0),18)</f>
        <v>18</v>
      </c>
      <c r="P436" s="40">
        <f>IFERROR(VLOOKUP("200mg DP",Controls!A:J,5,0),0)</f>
        <v>16200</v>
      </c>
      <c r="Q436" s="39">
        <f>IFERROR(VLOOKUP("200mg DP",Controls!A:J,6,0),3)</f>
        <v>5</v>
      </c>
      <c r="R436" s="21" t="str">
        <f>IFERROR(VLOOKUP("200mg DP",Controls!A:K,10,0),"")</f>
        <v>Catalent</v>
      </c>
      <c r="S436" s="41">
        <f t="shared" si="45"/>
        <v>48153</v>
      </c>
      <c r="T436" s="30">
        <f t="shared" si="46"/>
        <v>0</v>
      </c>
      <c r="AB436">
        <f t="shared" si="48"/>
        <v>35100</v>
      </c>
    </row>
    <row r="437" spans="1:28" ht="13" customHeight="1" x14ac:dyDescent="0.35">
      <c r="A437" s="153">
        <v>48335</v>
      </c>
      <c r="B437" s="36" t="s">
        <v>36</v>
      </c>
      <c r="C437" s="15" t="s">
        <v>38</v>
      </c>
      <c r="D437" s="15" t="s">
        <v>29</v>
      </c>
      <c r="E437" s="30">
        <f>H436</f>
        <v>87828</v>
      </c>
      <c r="F437" s="37" cm="1">
        <f t="array" ref="F437">IFERROR((SUMPRODUCT(('Production Inputs'!$A:$A="188mg LP")*('Production Inputs'!$B:$B="TOTAL ACTIVE")*'Production Inputs'!$CI:$CI)+SUMPRODUCT(('Production Inputs'!$A:$A="188mg LP - EU Stock")*('Production Inputs'!$B:$B="TOTAL ACTIVE")*'Production Inputs'!$CI:$CI))*Dependencies!$D$4,0)</f>
        <v>0</v>
      </c>
      <c r="G437" s="37">
        <f t="array" ref="G437">IFERROR(SUMPRODUCT(('Production Inputs'!$A:$A="200mg DP")*('Production Inputs'!$B:$B="TOTAL ACTIVE")*'Production Inputs'!$CI:$CI),0)</f>
        <v>0</v>
      </c>
      <c r="H437" s="30">
        <f t="shared" si="42"/>
        <v>87828</v>
      </c>
      <c r="I437" s="30">
        <f ca="1">IFERROR(AVERAGEIF(OFFSET(F437,0,0,MIN(Controls!$B$8,COUNTIF(B437:B$1973,B437)),1),"&gt;"&amp;0),0)</f>
        <v>0</v>
      </c>
      <c r="J437" s="38">
        <f t="shared" ca="1" si="43"/>
        <v>999</v>
      </c>
      <c r="K437" s="30">
        <f t="shared" ca="1" si="47"/>
        <v>0</v>
      </c>
      <c r="L437" t="str">
        <f t="shared" ca="1" si="44"/>
        <v>Overstock</v>
      </c>
      <c r="M437" s="39">
        <f>IFERROR(VLOOKUP("200mg DP",Controls!A:I,7,0),6)</f>
        <v>9</v>
      </c>
      <c r="N437" s="39">
        <f>IFERROR(VLOOKUP("200mg DP",Controls!A:I,8,0),3)</f>
        <v>8</v>
      </c>
      <c r="O437" s="39">
        <f>IFERROR(VLOOKUP("200mg DP",Controls!A:I,9,0),18)</f>
        <v>18</v>
      </c>
      <c r="P437" s="40">
        <f>IFERROR(VLOOKUP("200mg DP",Controls!A:J,5,0),0)</f>
        <v>16200</v>
      </c>
      <c r="Q437" s="39">
        <f>IFERROR(VLOOKUP("200mg DP",Controls!A:J,6,0),3)</f>
        <v>5</v>
      </c>
      <c r="R437" s="21" t="str">
        <f>IFERROR(VLOOKUP("200mg DP",Controls!A:K,10,0),"")</f>
        <v>Catalent</v>
      </c>
      <c r="S437" s="41">
        <f t="shared" si="45"/>
        <v>48183</v>
      </c>
      <c r="T437" s="30">
        <f t="shared" si="46"/>
        <v>0</v>
      </c>
      <c r="AB437">
        <f t="shared" si="48"/>
        <v>35100</v>
      </c>
    </row>
    <row r="438" spans="1:28" ht="13" customHeight="1" x14ac:dyDescent="0.35">
      <c r="A438" s="153">
        <v>48366</v>
      </c>
      <c r="B438" s="36" t="s">
        <v>36</v>
      </c>
      <c r="C438" s="15" t="s">
        <v>38</v>
      </c>
      <c r="D438" s="15" t="s">
        <v>29</v>
      </c>
      <c r="E438" s="30">
        <f>H437</f>
        <v>87828</v>
      </c>
      <c r="F438" s="37" cm="1">
        <f t="array" ref="F438">IFERROR((SUMPRODUCT(('Production Inputs'!$A:$A="188mg LP")*('Production Inputs'!$B:$B="TOTAL ACTIVE")*'Production Inputs'!$CJ:$CJ)+SUMPRODUCT(('Production Inputs'!$A:$A="188mg LP - EU Stock")*('Production Inputs'!$B:$B="TOTAL ACTIVE")*'Production Inputs'!$CJ:$CJ))*Dependencies!$D$4,0)</f>
        <v>0</v>
      </c>
      <c r="G438" s="37">
        <f t="array" ref="G438">IFERROR(SUMPRODUCT(('Production Inputs'!$A:$A="200mg DP")*('Production Inputs'!$B:$B="TOTAL ACTIVE")*'Production Inputs'!$CJ:$CJ),0)</f>
        <v>0</v>
      </c>
      <c r="H438" s="30">
        <f t="shared" si="42"/>
        <v>87828</v>
      </c>
      <c r="I438" s="30">
        <f ca="1">IFERROR(AVERAGEIF(OFFSET(F438,0,0,MIN(Controls!$B$8,COUNTIF(B438:B$1973,B438)),1),"&gt;"&amp;0),0)</f>
        <v>0</v>
      </c>
      <c r="J438" s="38">
        <f t="shared" ca="1" si="43"/>
        <v>999</v>
      </c>
      <c r="K438" s="30">
        <f t="shared" ca="1" si="47"/>
        <v>0</v>
      </c>
      <c r="L438" t="str">
        <f t="shared" ca="1" si="44"/>
        <v>Overstock</v>
      </c>
      <c r="M438" s="39">
        <f>IFERROR(VLOOKUP("200mg DP",Controls!A:I,7,0),6)</f>
        <v>9</v>
      </c>
      <c r="N438" s="39">
        <f>IFERROR(VLOOKUP("200mg DP",Controls!A:I,8,0),3)</f>
        <v>8</v>
      </c>
      <c r="O438" s="39">
        <f>IFERROR(VLOOKUP("200mg DP",Controls!A:I,9,0),18)</f>
        <v>18</v>
      </c>
      <c r="P438" s="40">
        <f>IFERROR(VLOOKUP("200mg DP",Controls!A:J,5,0),0)</f>
        <v>16200</v>
      </c>
      <c r="Q438" s="39">
        <f>IFERROR(VLOOKUP("200mg DP",Controls!A:J,6,0),3)</f>
        <v>5</v>
      </c>
      <c r="R438" s="21" t="str">
        <f>IFERROR(VLOOKUP("200mg DP",Controls!A:K,10,0),"")</f>
        <v>Catalent</v>
      </c>
      <c r="S438" s="41">
        <f t="shared" si="45"/>
        <v>48214</v>
      </c>
      <c r="T438" s="30">
        <f t="shared" si="46"/>
        <v>0</v>
      </c>
      <c r="AB438">
        <f t="shared" si="48"/>
        <v>35100</v>
      </c>
    </row>
    <row r="439" spans="1:28" ht="13" customHeight="1" x14ac:dyDescent="0.35">
      <c r="A439" s="153">
        <v>48396</v>
      </c>
      <c r="B439" s="36" t="s">
        <v>36</v>
      </c>
      <c r="C439" s="15" t="s">
        <v>38</v>
      </c>
      <c r="D439" s="15" t="s">
        <v>29</v>
      </c>
      <c r="E439" s="30">
        <f>H438</f>
        <v>87828</v>
      </c>
      <c r="F439" s="37" cm="1">
        <f t="array" ref="F439">IFERROR((SUMPRODUCT(('Production Inputs'!$A:$A="188mg LP")*('Production Inputs'!$B:$B="TOTAL ACTIVE")*'Production Inputs'!$CK:$CK)+SUMPRODUCT(('Production Inputs'!$A:$A="188mg LP - EU Stock")*('Production Inputs'!$B:$B="TOTAL ACTIVE")*'Production Inputs'!$CK:$CK))*Dependencies!$D$4,0)</f>
        <v>0</v>
      </c>
      <c r="G439" s="37">
        <f t="array" ref="G439">IFERROR(SUMPRODUCT(('Production Inputs'!$A:$A="200mg DP")*('Production Inputs'!$B:$B="TOTAL ACTIVE")*'Production Inputs'!$CK:$CK),0)</f>
        <v>0</v>
      </c>
      <c r="H439" s="30">
        <f t="shared" si="42"/>
        <v>87828</v>
      </c>
      <c r="I439" s="30">
        <f ca="1">IFERROR(AVERAGEIF(OFFSET(F439,0,0,MIN(Controls!$B$8,COUNTIF(B439:B$1973,B439)),1),"&gt;"&amp;0),0)</f>
        <v>0</v>
      </c>
      <c r="J439" s="38">
        <f t="shared" ca="1" si="43"/>
        <v>999</v>
      </c>
      <c r="K439" s="30">
        <f t="shared" ca="1" si="47"/>
        <v>0</v>
      </c>
      <c r="L439" t="str">
        <f t="shared" ca="1" si="44"/>
        <v>Overstock</v>
      </c>
      <c r="M439" s="39">
        <f>IFERROR(VLOOKUP("200mg DP",Controls!A:I,7,0),6)</f>
        <v>9</v>
      </c>
      <c r="N439" s="39">
        <f>IFERROR(VLOOKUP("200mg DP",Controls!A:I,8,0),3)</f>
        <v>8</v>
      </c>
      <c r="O439" s="39">
        <f>IFERROR(VLOOKUP("200mg DP",Controls!A:I,9,0),18)</f>
        <v>18</v>
      </c>
      <c r="P439" s="40">
        <f>IFERROR(VLOOKUP("200mg DP",Controls!A:J,5,0),0)</f>
        <v>16200</v>
      </c>
      <c r="Q439" s="39">
        <f>IFERROR(VLOOKUP("200mg DP",Controls!A:J,6,0),3)</f>
        <v>5</v>
      </c>
      <c r="R439" s="21" t="str">
        <f>IFERROR(VLOOKUP("200mg DP",Controls!A:K,10,0),"")</f>
        <v>Catalent</v>
      </c>
      <c r="S439" s="41">
        <f t="shared" si="45"/>
        <v>48245</v>
      </c>
      <c r="T439" s="30">
        <f t="shared" si="46"/>
        <v>0</v>
      </c>
      <c r="AB439">
        <f t="shared" si="48"/>
        <v>35100</v>
      </c>
    </row>
    <row r="440" spans="1:28" ht="13" customHeight="1" x14ac:dyDescent="0.35">
      <c r="A440" s="153">
        <v>48427</v>
      </c>
      <c r="B440" s="36" t="s">
        <v>36</v>
      </c>
      <c r="C440" s="15" t="s">
        <v>38</v>
      </c>
      <c r="D440" s="15" t="s">
        <v>29</v>
      </c>
      <c r="E440" s="30">
        <f>H439</f>
        <v>87828</v>
      </c>
      <c r="F440" s="37" cm="1">
        <f t="array" ref="F440">IFERROR((SUMPRODUCT(('Production Inputs'!$A:$A="188mg LP")*('Production Inputs'!$B:$B="TOTAL ACTIVE")*'Production Inputs'!$CL:$CL)+SUMPRODUCT(('Production Inputs'!$A:$A="188mg LP - EU Stock")*('Production Inputs'!$B:$B="TOTAL ACTIVE")*'Production Inputs'!$CL:$CL))*Dependencies!$D$4,0)</f>
        <v>0</v>
      </c>
      <c r="G440" s="37">
        <f t="array" ref="G440">IFERROR(SUMPRODUCT(('Production Inputs'!$A:$A="200mg DP")*('Production Inputs'!$B:$B="TOTAL ACTIVE")*'Production Inputs'!$CL:$CL),0)</f>
        <v>0</v>
      </c>
      <c r="H440" s="30">
        <f t="shared" si="42"/>
        <v>87828</v>
      </c>
      <c r="I440" s="30">
        <f ca="1">IFERROR(AVERAGEIF(OFFSET(F440,0,0,MIN(Controls!$B$8,COUNTIF(B440:B$1973,B440)),1),"&gt;"&amp;0),0)</f>
        <v>0</v>
      </c>
      <c r="J440" s="38">
        <f t="shared" ca="1" si="43"/>
        <v>999</v>
      </c>
      <c r="K440" s="30">
        <f t="shared" ca="1" si="47"/>
        <v>0</v>
      </c>
      <c r="L440" t="str">
        <f t="shared" ca="1" si="44"/>
        <v>Overstock</v>
      </c>
      <c r="M440" s="39">
        <f>IFERROR(VLOOKUP("200mg DP",Controls!A:I,7,0),6)</f>
        <v>9</v>
      </c>
      <c r="N440" s="39">
        <f>IFERROR(VLOOKUP("200mg DP",Controls!A:I,8,0),3)</f>
        <v>8</v>
      </c>
      <c r="O440" s="39">
        <f>IFERROR(VLOOKUP("200mg DP",Controls!A:I,9,0),18)</f>
        <v>18</v>
      </c>
      <c r="P440" s="40">
        <f>IFERROR(VLOOKUP("200mg DP",Controls!A:J,5,0),0)</f>
        <v>16200</v>
      </c>
      <c r="Q440" s="39">
        <f>IFERROR(VLOOKUP("200mg DP",Controls!A:J,6,0),3)</f>
        <v>5</v>
      </c>
      <c r="R440" s="21" t="str">
        <f>IFERROR(VLOOKUP("200mg DP",Controls!A:K,10,0),"")</f>
        <v>Catalent</v>
      </c>
      <c r="S440" s="41">
        <f t="shared" si="45"/>
        <v>48274</v>
      </c>
      <c r="T440" s="30">
        <f t="shared" si="46"/>
        <v>0</v>
      </c>
      <c r="AB440">
        <f t="shared" si="48"/>
        <v>35100</v>
      </c>
    </row>
    <row r="441" spans="1:28" ht="13" customHeight="1" x14ac:dyDescent="0.35">
      <c r="A441" s="153">
        <v>48458</v>
      </c>
      <c r="B441" s="36" t="s">
        <v>36</v>
      </c>
      <c r="C441" s="15" t="s">
        <v>38</v>
      </c>
      <c r="D441" s="15" t="s">
        <v>29</v>
      </c>
      <c r="E441" s="30">
        <f>H440</f>
        <v>87828</v>
      </c>
      <c r="F441" s="37" cm="1">
        <f t="array" ref="F441">IFERROR((SUMPRODUCT(('Production Inputs'!$A:$A="188mg LP")*('Production Inputs'!$B:$B="TOTAL ACTIVE")*'Production Inputs'!$CM:$CM)+SUMPRODUCT(('Production Inputs'!$A:$A="188mg LP - EU Stock")*('Production Inputs'!$B:$B="TOTAL ACTIVE")*'Production Inputs'!$CM:$CM))*Dependencies!$D$4,0)</f>
        <v>0</v>
      </c>
      <c r="G441" s="37">
        <f t="array" ref="G441">IFERROR(SUMPRODUCT(('Production Inputs'!$A:$A="200mg DP")*('Production Inputs'!$B:$B="TOTAL ACTIVE")*'Production Inputs'!$CM:$CM),0)</f>
        <v>0</v>
      </c>
      <c r="H441" s="30">
        <f t="shared" si="42"/>
        <v>87828</v>
      </c>
      <c r="I441" s="30">
        <f ca="1">IFERROR(AVERAGEIF(OFFSET(F441,0,0,MIN(Controls!$B$8,COUNTIF(B441:B$1973,B441)),1),"&gt;"&amp;0),0)</f>
        <v>0</v>
      </c>
      <c r="J441" s="38">
        <f t="shared" ca="1" si="43"/>
        <v>999</v>
      </c>
      <c r="K441" s="30">
        <f t="shared" ca="1" si="47"/>
        <v>0</v>
      </c>
      <c r="L441" t="str">
        <f t="shared" ca="1" si="44"/>
        <v>Overstock</v>
      </c>
      <c r="M441" s="39">
        <f>IFERROR(VLOOKUP("200mg DP",Controls!A:I,7,0),6)</f>
        <v>9</v>
      </c>
      <c r="N441" s="39">
        <f>IFERROR(VLOOKUP("200mg DP",Controls!A:I,8,0),3)</f>
        <v>8</v>
      </c>
      <c r="O441" s="39">
        <f>IFERROR(VLOOKUP("200mg DP",Controls!A:I,9,0),18)</f>
        <v>18</v>
      </c>
      <c r="P441" s="40">
        <f>IFERROR(VLOOKUP("200mg DP",Controls!A:J,5,0),0)</f>
        <v>16200</v>
      </c>
      <c r="Q441" s="39">
        <f>IFERROR(VLOOKUP("200mg DP",Controls!A:J,6,0),3)</f>
        <v>5</v>
      </c>
      <c r="R441" s="21" t="str">
        <f>IFERROR(VLOOKUP("200mg DP",Controls!A:K,10,0),"")</f>
        <v>Catalent</v>
      </c>
      <c r="S441" s="41">
        <f t="shared" si="45"/>
        <v>48305</v>
      </c>
      <c r="T441" s="30">
        <f t="shared" si="46"/>
        <v>0</v>
      </c>
      <c r="AB441">
        <f t="shared" si="48"/>
        <v>35100</v>
      </c>
    </row>
    <row r="442" spans="1:28" ht="13" customHeight="1" x14ac:dyDescent="0.35">
      <c r="A442" s="153">
        <v>48488</v>
      </c>
      <c r="B442" s="36" t="s">
        <v>36</v>
      </c>
      <c r="C442" s="15" t="s">
        <v>38</v>
      </c>
      <c r="D442" s="15" t="s">
        <v>29</v>
      </c>
      <c r="E442" s="30">
        <f>H441</f>
        <v>87828</v>
      </c>
      <c r="F442" s="37" cm="1">
        <f t="array" ref="F442">IFERROR((SUMPRODUCT(('Production Inputs'!$A:$A="188mg LP")*('Production Inputs'!$B:$B="TOTAL ACTIVE")*'Production Inputs'!$CN:$CN)+SUMPRODUCT(('Production Inputs'!$A:$A="188mg LP - EU Stock")*('Production Inputs'!$B:$B="TOTAL ACTIVE")*'Production Inputs'!$CN:$CN))*Dependencies!$D$4,0)</f>
        <v>0</v>
      </c>
      <c r="G442" s="37">
        <f t="array" ref="G442">IFERROR(SUMPRODUCT(('Production Inputs'!$A:$A="200mg DP")*('Production Inputs'!$B:$B="TOTAL ACTIVE")*'Production Inputs'!$CN:$CN),0)</f>
        <v>0</v>
      </c>
      <c r="H442" s="30">
        <f t="shared" si="42"/>
        <v>87828</v>
      </c>
      <c r="I442" s="30">
        <f ca="1">IFERROR(AVERAGEIF(OFFSET(F442,0,0,MIN(Controls!$B$8,COUNTIF(B442:B$1973,B442)),1),"&gt;"&amp;0),0)</f>
        <v>0</v>
      </c>
      <c r="J442" s="38">
        <f t="shared" ca="1" si="43"/>
        <v>999</v>
      </c>
      <c r="K442" s="30">
        <f t="shared" ca="1" si="47"/>
        <v>0</v>
      </c>
      <c r="L442" t="str">
        <f t="shared" ca="1" si="44"/>
        <v>Overstock</v>
      </c>
      <c r="M442" s="39">
        <f>IFERROR(VLOOKUP("200mg DP",Controls!A:I,7,0),6)</f>
        <v>9</v>
      </c>
      <c r="N442" s="39">
        <f>IFERROR(VLOOKUP("200mg DP",Controls!A:I,8,0),3)</f>
        <v>8</v>
      </c>
      <c r="O442" s="39">
        <f>IFERROR(VLOOKUP("200mg DP",Controls!A:I,9,0),18)</f>
        <v>18</v>
      </c>
      <c r="P442" s="40">
        <f>IFERROR(VLOOKUP("200mg DP",Controls!A:J,5,0),0)</f>
        <v>16200</v>
      </c>
      <c r="Q442" s="39">
        <f>IFERROR(VLOOKUP("200mg DP",Controls!A:J,6,0),3)</f>
        <v>5</v>
      </c>
      <c r="R442" s="21" t="str">
        <f>IFERROR(VLOOKUP("200mg DP",Controls!A:K,10,0),"")</f>
        <v>Catalent</v>
      </c>
      <c r="S442" s="41">
        <f t="shared" si="45"/>
        <v>48335</v>
      </c>
      <c r="T442" s="30">
        <f t="shared" si="46"/>
        <v>0</v>
      </c>
      <c r="AB442">
        <f t="shared" si="48"/>
        <v>35100</v>
      </c>
    </row>
    <row r="443" spans="1:28" ht="13" customHeight="1" x14ac:dyDescent="0.35">
      <c r="A443" s="153">
        <v>48519</v>
      </c>
      <c r="B443" s="36" t="s">
        <v>36</v>
      </c>
      <c r="C443" s="15" t="s">
        <v>38</v>
      </c>
      <c r="D443" s="15" t="s">
        <v>29</v>
      </c>
      <c r="E443" s="30">
        <f>H442</f>
        <v>87828</v>
      </c>
      <c r="F443" s="37" cm="1">
        <f t="array" ref="F443">IFERROR((SUMPRODUCT(('Production Inputs'!$A:$A="188mg LP")*('Production Inputs'!$B:$B="TOTAL ACTIVE")*'Production Inputs'!$CO:$CO)+SUMPRODUCT(('Production Inputs'!$A:$A="188mg LP - EU Stock")*('Production Inputs'!$B:$B="TOTAL ACTIVE")*'Production Inputs'!$CO:$CO))*Dependencies!$D$4,0)</f>
        <v>0</v>
      </c>
      <c r="G443" s="37">
        <f t="array" ref="G443">IFERROR(SUMPRODUCT(('Production Inputs'!$A:$A="200mg DP")*('Production Inputs'!$B:$B="TOTAL ACTIVE")*'Production Inputs'!$CO:$CO),0)</f>
        <v>0</v>
      </c>
      <c r="H443" s="30">
        <f t="shared" si="42"/>
        <v>87828</v>
      </c>
      <c r="I443" s="30">
        <f ca="1">IFERROR(AVERAGEIF(OFFSET(F443,0,0,MIN(Controls!$B$8,COUNTIF(B443:B$1973,B443)),1),"&gt;"&amp;0),0)</f>
        <v>0</v>
      </c>
      <c r="J443" s="38">
        <f t="shared" ca="1" si="43"/>
        <v>999</v>
      </c>
      <c r="K443" s="30">
        <f t="shared" ca="1" si="47"/>
        <v>0</v>
      </c>
      <c r="L443" t="str">
        <f t="shared" ca="1" si="44"/>
        <v>Overstock</v>
      </c>
      <c r="M443" s="39">
        <f>IFERROR(VLOOKUP("200mg DP",Controls!A:I,7,0),6)</f>
        <v>9</v>
      </c>
      <c r="N443" s="39">
        <f>IFERROR(VLOOKUP("200mg DP",Controls!A:I,8,0),3)</f>
        <v>8</v>
      </c>
      <c r="O443" s="39">
        <f>IFERROR(VLOOKUP("200mg DP",Controls!A:I,9,0),18)</f>
        <v>18</v>
      </c>
      <c r="P443" s="40">
        <f>IFERROR(VLOOKUP("200mg DP",Controls!A:J,5,0),0)</f>
        <v>16200</v>
      </c>
      <c r="Q443" s="39">
        <f>IFERROR(VLOOKUP("200mg DP",Controls!A:J,6,0),3)</f>
        <v>5</v>
      </c>
      <c r="R443" s="21" t="str">
        <f>IFERROR(VLOOKUP("200mg DP",Controls!A:K,10,0),"")</f>
        <v>Catalent</v>
      </c>
      <c r="S443" s="41">
        <f t="shared" si="45"/>
        <v>48366</v>
      </c>
      <c r="T443" s="30">
        <f t="shared" si="46"/>
        <v>0</v>
      </c>
      <c r="AB443">
        <f t="shared" si="48"/>
        <v>35100</v>
      </c>
    </row>
    <row r="444" spans="1:28" ht="13" customHeight="1" x14ac:dyDescent="0.35">
      <c r="A444" s="153">
        <v>48549</v>
      </c>
      <c r="B444" s="36" t="s">
        <v>36</v>
      </c>
      <c r="C444" s="15" t="s">
        <v>38</v>
      </c>
      <c r="D444" s="15" t="s">
        <v>29</v>
      </c>
      <c r="E444" s="30">
        <f>H443</f>
        <v>87828</v>
      </c>
      <c r="F444" s="37" cm="1">
        <f t="array" ref="F444">IFERROR((SUMPRODUCT(('Production Inputs'!$A:$A="188mg LP")*('Production Inputs'!$B:$B="TOTAL ACTIVE")*'Production Inputs'!$CP:$CP)+SUMPRODUCT(('Production Inputs'!$A:$A="188mg LP - EU Stock")*('Production Inputs'!$B:$B="TOTAL ACTIVE")*'Production Inputs'!$CP:$CP))*Dependencies!$D$4,0)</f>
        <v>0</v>
      </c>
      <c r="G444" s="37">
        <f t="array" ref="G444">IFERROR(SUMPRODUCT(('Production Inputs'!$A:$A="200mg DP")*('Production Inputs'!$B:$B="TOTAL ACTIVE")*'Production Inputs'!$CP:$CP),0)</f>
        <v>0</v>
      </c>
      <c r="H444" s="30">
        <f t="shared" si="42"/>
        <v>87828</v>
      </c>
      <c r="I444" s="30">
        <f ca="1">IFERROR(AVERAGEIF(OFFSET(F444,0,0,MIN(Controls!$B$8,COUNTIF(B444:B$1973,B444)),1),"&gt;"&amp;0),0)</f>
        <v>0</v>
      </c>
      <c r="J444" s="38">
        <f t="shared" ca="1" si="43"/>
        <v>999</v>
      </c>
      <c r="K444" s="30">
        <f t="shared" ca="1" si="47"/>
        <v>0</v>
      </c>
      <c r="L444" t="str">
        <f t="shared" ca="1" si="44"/>
        <v>Overstock</v>
      </c>
      <c r="M444" s="39">
        <f>IFERROR(VLOOKUP("200mg DP",Controls!A:I,7,0),6)</f>
        <v>9</v>
      </c>
      <c r="N444" s="39">
        <f>IFERROR(VLOOKUP("200mg DP",Controls!A:I,8,0),3)</f>
        <v>8</v>
      </c>
      <c r="O444" s="39">
        <f>IFERROR(VLOOKUP("200mg DP",Controls!A:I,9,0),18)</f>
        <v>18</v>
      </c>
      <c r="P444" s="40">
        <f>IFERROR(VLOOKUP("200mg DP",Controls!A:J,5,0),0)</f>
        <v>16200</v>
      </c>
      <c r="Q444" s="39">
        <f>IFERROR(VLOOKUP("200mg DP",Controls!A:J,6,0),3)</f>
        <v>5</v>
      </c>
      <c r="R444" s="21" t="str">
        <f>IFERROR(VLOOKUP("200mg DP",Controls!A:K,10,0),"")</f>
        <v>Catalent</v>
      </c>
      <c r="S444" s="41">
        <f t="shared" si="45"/>
        <v>48396</v>
      </c>
      <c r="T444" s="30">
        <f t="shared" si="46"/>
        <v>0</v>
      </c>
      <c r="AB444">
        <f t="shared" si="48"/>
        <v>35100</v>
      </c>
    </row>
    <row r="445" spans="1:28" ht="13" customHeight="1" x14ac:dyDescent="0.35">
      <c r="A445" s="153">
        <v>48580</v>
      </c>
      <c r="B445" s="36" t="s">
        <v>36</v>
      </c>
      <c r="C445" s="15" t="s">
        <v>38</v>
      </c>
      <c r="D445" s="15" t="s">
        <v>29</v>
      </c>
      <c r="E445" s="30">
        <f>H444</f>
        <v>87828</v>
      </c>
      <c r="F445" s="37" cm="1">
        <f t="array" ref="F445">IFERROR((SUMPRODUCT(('Production Inputs'!$A:$A="188mg LP")*('Production Inputs'!$B:$B="TOTAL ACTIVE")*'Production Inputs'!$CQ:$CQ)+SUMPRODUCT(('Production Inputs'!$A:$A="188mg LP - EU Stock")*('Production Inputs'!$B:$B="TOTAL ACTIVE")*'Production Inputs'!$CQ:$CQ))*Dependencies!$D$4,0)</f>
        <v>0</v>
      </c>
      <c r="G445" s="37">
        <f t="array" ref="G445">IFERROR(SUMPRODUCT(('Production Inputs'!$A:$A="200mg DP")*('Production Inputs'!$B:$B="TOTAL ACTIVE")*'Production Inputs'!$CQ:$CQ),0)</f>
        <v>0</v>
      </c>
      <c r="H445" s="30">
        <f t="shared" si="42"/>
        <v>87828</v>
      </c>
      <c r="I445" s="30">
        <f ca="1">IFERROR(AVERAGEIF(OFFSET(F445,0,0,MIN(Controls!$B$8,COUNTIF(B445:B$1973,B445)),1),"&gt;"&amp;0),0)</f>
        <v>0</v>
      </c>
      <c r="J445" s="38">
        <f t="shared" ca="1" si="43"/>
        <v>999</v>
      </c>
      <c r="K445" s="30">
        <f t="shared" ca="1" si="47"/>
        <v>0</v>
      </c>
      <c r="L445" t="str">
        <f t="shared" ca="1" si="44"/>
        <v>Overstock</v>
      </c>
      <c r="M445" s="39">
        <f>IFERROR(VLOOKUP("200mg DP",Controls!A:I,7,0),6)</f>
        <v>9</v>
      </c>
      <c r="N445" s="39">
        <f>IFERROR(VLOOKUP("200mg DP",Controls!A:I,8,0),3)</f>
        <v>8</v>
      </c>
      <c r="O445" s="39">
        <f>IFERROR(VLOOKUP("200mg DP",Controls!A:I,9,0),18)</f>
        <v>18</v>
      </c>
      <c r="P445" s="40">
        <f>IFERROR(VLOOKUP("200mg DP",Controls!A:J,5,0),0)</f>
        <v>16200</v>
      </c>
      <c r="Q445" s="39">
        <f>IFERROR(VLOOKUP("200mg DP",Controls!A:J,6,0),3)</f>
        <v>5</v>
      </c>
      <c r="R445" s="21" t="str">
        <f>IFERROR(VLOOKUP("200mg DP",Controls!A:K,10,0),"")</f>
        <v>Catalent</v>
      </c>
      <c r="S445" s="41">
        <f t="shared" si="45"/>
        <v>48427</v>
      </c>
      <c r="T445" s="30">
        <f t="shared" si="46"/>
        <v>0</v>
      </c>
      <c r="AB445">
        <f t="shared" si="48"/>
        <v>35100</v>
      </c>
    </row>
    <row r="446" spans="1:28" ht="13" customHeight="1" x14ac:dyDescent="0.35">
      <c r="A446" s="153">
        <v>48611</v>
      </c>
      <c r="B446" s="36" t="s">
        <v>36</v>
      </c>
      <c r="C446" s="15" t="s">
        <v>38</v>
      </c>
      <c r="D446" s="15" t="s">
        <v>29</v>
      </c>
      <c r="E446" s="30">
        <f>H445</f>
        <v>87828</v>
      </c>
      <c r="F446" s="37" cm="1">
        <f t="array" ref="F446">IFERROR((SUMPRODUCT(('Production Inputs'!$A:$A="188mg LP")*('Production Inputs'!$B:$B="TOTAL ACTIVE")*'Production Inputs'!$CR:$CR)+SUMPRODUCT(('Production Inputs'!$A:$A="188mg LP - EU Stock")*('Production Inputs'!$B:$B="TOTAL ACTIVE")*'Production Inputs'!$CR:$CR))*Dependencies!$D$4,0)</f>
        <v>0</v>
      </c>
      <c r="G446" s="37">
        <f t="array" ref="G446">IFERROR(SUMPRODUCT(('Production Inputs'!$A:$A="200mg DP")*('Production Inputs'!$B:$B="TOTAL ACTIVE")*'Production Inputs'!$CR:$CR),0)</f>
        <v>0</v>
      </c>
      <c r="H446" s="30">
        <f t="shared" si="42"/>
        <v>87828</v>
      </c>
      <c r="I446" s="30">
        <f ca="1">IFERROR(AVERAGEIF(OFFSET(F446,0,0,MIN(Controls!$B$8,COUNTIF(B446:B$1973,B446)),1),"&gt;"&amp;0),0)</f>
        <v>0</v>
      </c>
      <c r="J446" s="38">
        <f t="shared" ca="1" si="43"/>
        <v>999</v>
      </c>
      <c r="K446" s="30">
        <f t="shared" ca="1" si="47"/>
        <v>0</v>
      </c>
      <c r="L446" t="str">
        <f t="shared" ca="1" si="44"/>
        <v>Overstock</v>
      </c>
      <c r="M446" s="39">
        <f>IFERROR(VLOOKUP("200mg DP",Controls!A:I,7,0),6)</f>
        <v>9</v>
      </c>
      <c r="N446" s="39">
        <f>IFERROR(VLOOKUP("200mg DP",Controls!A:I,8,0),3)</f>
        <v>8</v>
      </c>
      <c r="O446" s="39">
        <f>IFERROR(VLOOKUP("200mg DP",Controls!A:I,9,0),18)</f>
        <v>18</v>
      </c>
      <c r="P446" s="40">
        <f>IFERROR(VLOOKUP("200mg DP",Controls!A:J,5,0),0)</f>
        <v>16200</v>
      </c>
      <c r="Q446" s="39">
        <f>IFERROR(VLOOKUP("200mg DP",Controls!A:J,6,0),3)</f>
        <v>5</v>
      </c>
      <c r="R446" s="21" t="str">
        <f>IFERROR(VLOOKUP("200mg DP",Controls!A:K,10,0),"")</f>
        <v>Catalent</v>
      </c>
      <c r="S446" s="41">
        <f t="shared" si="45"/>
        <v>48458</v>
      </c>
      <c r="T446" s="30">
        <f t="shared" si="46"/>
        <v>0</v>
      </c>
      <c r="AB446">
        <f t="shared" si="48"/>
        <v>35100</v>
      </c>
    </row>
    <row r="447" spans="1:28" ht="13" customHeight="1" x14ac:dyDescent="0.35">
      <c r="A447" s="153">
        <v>48639</v>
      </c>
      <c r="B447" s="36" t="s">
        <v>36</v>
      </c>
      <c r="C447" s="15" t="s">
        <v>38</v>
      </c>
      <c r="D447" s="15" t="s">
        <v>29</v>
      </c>
      <c r="E447" s="30">
        <f>H446</f>
        <v>87828</v>
      </c>
      <c r="F447" s="37" cm="1">
        <f t="array" ref="F447">IFERROR((SUMPRODUCT(('Production Inputs'!$A:$A="188mg LP")*('Production Inputs'!$B:$B="TOTAL ACTIVE")*'Production Inputs'!$CS:$CS)+SUMPRODUCT(('Production Inputs'!$A:$A="188mg LP - EU Stock")*('Production Inputs'!$B:$B="TOTAL ACTIVE")*'Production Inputs'!$CS:$CS))*Dependencies!$D$4,0)</f>
        <v>0</v>
      </c>
      <c r="G447" s="37">
        <f t="array" ref="G447">IFERROR(SUMPRODUCT(('Production Inputs'!$A:$A="200mg DP")*('Production Inputs'!$B:$B="TOTAL ACTIVE")*'Production Inputs'!$CS:$CS),0)</f>
        <v>0</v>
      </c>
      <c r="H447" s="30">
        <f t="shared" si="42"/>
        <v>87828</v>
      </c>
      <c r="I447" s="30">
        <f ca="1">IFERROR(AVERAGEIF(OFFSET(F447,0,0,MIN(Controls!$B$8,COUNTIF(B447:B$1973,B447)),1),"&gt;"&amp;0),0)</f>
        <v>0</v>
      </c>
      <c r="J447" s="38">
        <f t="shared" ca="1" si="43"/>
        <v>999</v>
      </c>
      <c r="K447" s="30">
        <f t="shared" ca="1" si="47"/>
        <v>0</v>
      </c>
      <c r="L447" t="str">
        <f t="shared" ca="1" si="44"/>
        <v>Overstock</v>
      </c>
      <c r="M447" s="39">
        <f>IFERROR(VLOOKUP("200mg DP",Controls!A:I,7,0),6)</f>
        <v>9</v>
      </c>
      <c r="N447" s="39">
        <f>IFERROR(VLOOKUP("200mg DP",Controls!A:I,8,0),3)</f>
        <v>8</v>
      </c>
      <c r="O447" s="39">
        <f>IFERROR(VLOOKUP("200mg DP",Controls!A:I,9,0),18)</f>
        <v>18</v>
      </c>
      <c r="P447" s="40">
        <f>IFERROR(VLOOKUP("200mg DP",Controls!A:J,5,0),0)</f>
        <v>16200</v>
      </c>
      <c r="Q447" s="39">
        <f>IFERROR(VLOOKUP("200mg DP",Controls!A:J,6,0),3)</f>
        <v>5</v>
      </c>
      <c r="R447" s="21" t="str">
        <f>IFERROR(VLOOKUP("200mg DP",Controls!A:K,10,0),"")</f>
        <v>Catalent</v>
      </c>
      <c r="S447" s="41">
        <f t="shared" si="45"/>
        <v>48488</v>
      </c>
      <c r="T447" s="30">
        <f t="shared" si="46"/>
        <v>0</v>
      </c>
      <c r="AB447">
        <f t="shared" si="48"/>
        <v>35100</v>
      </c>
    </row>
    <row r="448" spans="1:28" ht="13" customHeight="1" x14ac:dyDescent="0.35">
      <c r="A448" s="153">
        <v>48670</v>
      </c>
      <c r="B448" s="36" t="s">
        <v>36</v>
      </c>
      <c r="C448" s="15" t="s">
        <v>38</v>
      </c>
      <c r="D448" s="15" t="s">
        <v>29</v>
      </c>
      <c r="E448" s="30">
        <f>H447</f>
        <v>87828</v>
      </c>
      <c r="F448" s="37" cm="1">
        <f t="array" ref="F448">IFERROR((SUMPRODUCT(('Production Inputs'!$A:$A="188mg LP")*('Production Inputs'!$B:$B="TOTAL ACTIVE")*'Production Inputs'!$CT:$CT)+SUMPRODUCT(('Production Inputs'!$A:$A="188mg LP - EU Stock")*('Production Inputs'!$B:$B="TOTAL ACTIVE")*'Production Inputs'!$CT:$CT))*Dependencies!$D$4,0)</f>
        <v>0</v>
      </c>
      <c r="G448" s="37">
        <f t="array" ref="G448">IFERROR(SUMPRODUCT(('Production Inputs'!$A:$A="200mg DP")*('Production Inputs'!$B:$B="TOTAL ACTIVE")*'Production Inputs'!$CT:$CT),0)</f>
        <v>0</v>
      </c>
      <c r="H448" s="30">
        <f t="shared" si="42"/>
        <v>87828</v>
      </c>
      <c r="I448" s="30">
        <f ca="1">IFERROR(AVERAGEIF(OFFSET(F448,0,0,MIN(Controls!$B$8,COUNTIF(B448:B$1973,B448)),1),"&gt;"&amp;0),0)</f>
        <v>0</v>
      </c>
      <c r="J448" s="38">
        <f t="shared" ca="1" si="43"/>
        <v>999</v>
      </c>
      <c r="K448" s="30">
        <f t="shared" ca="1" si="47"/>
        <v>0</v>
      </c>
      <c r="L448" t="str">
        <f t="shared" ca="1" si="44"/>
        <v>Overstock</v>
      </c>
      <c r="M448" s="39">
        <f>IFERROR(VLOOKUP("200mg DP",Controls!A:I,7,0),6)</f>
        <v>9</v>
      </c>
      <c r="N448" s="39">
        <f>IFERROR(VLOOKUP("200mg DP",Controls!A:I,8,0),3)</f>
        <v>8</v>
      </c>
      <c r="O448" s="39">
        <f>IFERROR(VLOOKUP("200mg DP",Controls!A:I,9,0),18)</f>
        <v>18</v>
      </c>
      <c r="P448" s="40">
        <f>IFERROR(VLOOKUP("200mg DP",Controls!A:J,5,0),0)</f>
        <v>16200</v>
      </c>
      <c r="Q448" s="39">
        <f>IFERROR(VLOOKUP("200mg DP",Controls!A:J,6,0),3)</f>
        <v>5</v>
      </c>
      <c r="R448" s="21" t="str">
        <f>IFERROR(VLOOKUP("200mg DP",Controls!A:K,10,0),"")</f>
        <v>Catalent</v>
      </c>
      <c r="S448" s="41">
        <f t="shared" si="45"/>
        <v>48519</v>
      </c>
      <c r="T448" s="30">
        <f t="shared" si="46"/>
        <v>0</v>
      </c>
      <c r="AB448">
        <f t="shared" si="48"/>
        <v>35100</v>
      </c>
    </row>
    <row r="449" spans="1:28" ht="13" customHeight="1" x14ac:dyDescent="0.35">
      <c r="A449" s="153">
        <v>48700</v>
      </c>
      <c r="B449" s="36" t="s">
        <v>36</v>
      </c>
      <c r="C449" s="15" t="s">
        <v>38</v>
      </c>
      <c r="D449" s="15" t="s">
        <v>29</v>
      </c>
      <c r="E449" s="30">
        <f>H448</f>
        <v>87828</v>
      </c>
      <c r="F449" s="37" cm="1">
        <f t="array" ref="F449">IFERROR((SUMPRODUCT(('Production Inputs'!$A:$A="188mg LP")*('Production Inputs'!$B:$B="TOTAL ACTIVE")*'Production Inputs'!$CU:$CU)+SUMPRODUCT(('Production Inputs'!$A:$A="188mg LP - EU Stock")*('Production Inputs'!$B:$B="TOTAL ACTIVE")*'Production Inputs'!$CU:$CU))*Dependencies!$D$4,0)</f>
        <v>0</v>
      </c>
      <c r="G449" s="37">
        <f t="array" ref="G449">IFERROR(SUMPRODUCT(('Production Inputs'!$A:$A="200mg DP")*('Production Inputs'!$B:$B="TOTAL ACTIVE")*'Production Inputs'!$CU:$CU),0)</f>
        <v>0</v>
      </c>
      <c r="H449" s="30">
        <f t="shared" si="42"/>
        <v>87828</v>
      </c>
      <c r="I449" s="30">
        <f ca="1">IFERROR(AVERAGEIF(OFFSET(F449,0,0,MIN(Controls!$B$8,COUNTIF(B449:B$1973,B449)),1),"&gt;"&amp;0),0)</f>
        <v>0</v>
      </c>
      <c r="J449" s="38">
        <f t="shared" ca="1" si="43"/>
        <v>999</v>
      </c>
      <c r="K449" s="30">
        <f t="shared" ca="1" si="47"/>
        <v>0</v>
      </c>
      <c r="L449" t="str">
        <f t="shared" ca="1" si="44"/>
        <v>Overstock</v>
      </c>
      <c r="M449" s="39">
        <f>IFERROR(VLOOKUP("200mg DP",Controls!A:I,7,0),6)</f>
        <v>9</v>
      </c>
      <c r="N449" s="39">
        <f>IFERROR(VLOOKUP("200mg DP",Controls!A:I,8,0),3)</f>
        <v>8</v>
      </c>
      <c r="O449" s="39">
        <f>IFERROR(VLOOKUP("200mg DP",Controls!A:I,9,0),18)</f>
        <v>18</v>
      </c>
      <c r="P449" s="40">
        <f>IFERROR(VLOOKUP("200mg DP",Controls!A:J,5,0),0)</f>
        <v>16200</v>
      </c>
      <c r="Q449" s="39">
        <f>IFERROR(VLOOKUP("200mg DP",Controls!A:J,6,0),3)</f>
        <v>5</v>
      </c>
      <c r="R449" s="21" t="str">
        <f>IFERROR(VLOOKUP("200mg DP",Controls!A:K,10,0),"")</f>
        <v>Catalent</v>
      </c>
      <c r="S449" s="41">
        <f t="shared" si="45"/>
        <v>48549</v>
      </c>
      <c r="T449" s="30">
        <f t="shared" si="46"/>
        <v>0</v>
      </c>
      <c r="AB449">
        <f t="shared" si="48"/>
        <v>35100</v>
      </c>
    </row>
    <row r="450" spans="1:28" ht="13" customHeight="1" x14ac:dyDescent="0.35">
      <c r="A450" s="153">
        <v>48731</v>
      </c>
      <c r="B450" s="36" t="s">
        <v>36</v>
      </c>
      <c r="C450" s="15" t="s">
        <v>38</v>
      </c>
      <c r="D450" s="15" t="s">
        <v>29</v>
      </c>
      <c r="E450" s="30">
        <f>H449</f>
        <v>87828</v>
      </c>
      <c r="F450" s="37" cm="1">
        <f t="array" ref="F450">IFERROR((SUMPRODUCT(('Production Inputs'!$A:$A="188mg LP")*('Production Inputs'!$B:$B="TOTAL ACTIVE")*'Production Inputs'!$CV:$CV)+SUMPRODUCT(('Production Inputs'!$A:$A="188mg LP - EU Stock")*('Production Inputs'!$B:$B="TOTAL ACTIVE")*'Production Inputs'!$CV:$CV))*Dependencies!$D$4,0)</f>
        <v>0</v>
      </c>
      <c r="G450" s="37">
        <f t="array" ref="G450">IFERROR(SUMPRODUCT(('Production Inputs'!$A:$A="200mg DP")*('Production Inputs'!$B:$B="TOTAL ACTIVE")*'Production Inputs'!$CV:$CV),0)</f>
        <v>0</v>
      </c>
      <c r="H450" s="30">
        <f t="shared" si="42"/>
        <v>87828</v>
      </c>
      <c r="I450" s="30">
        <f ca="1">IFERROR(AVERAGEIF(OFFSET(F450,0,0,MIN(Controls!$B$8,COUNTIF(B450:B$1973,B450)),1),"&gt;"&amp;0),0)</f>
        <v>0</v>
      </c>
      <c r="J450" s="38">
        <f t="shared" ca="1" si="43"/>
        <v>999</v>
      </c>
      <c r="K450" s="30">
        <f t="shared" ca="1" si="47"/>
        <v>0</v>
      </c>
      <c r="L450" t="str">
        <f t="shared" ca="1" si="44"/>
        <v>Overstock</v>
      </c>
      <c r="M450" s="39">
        <f>IFERROR(VLOOKUP("200mg DP",Controls!A:I,7,0),6)</f>
        <v>9</v>
      </c>
      <c r="N450" s="39">
        <f>IFERROR(VLOOKUP("200mg DP",Controls!A:I,8,0),3)</f>
        <v>8</v>
      </c>
      <c r="O450" s="39">
        <f>IFERROR(VLOOKUP("200mg DP",Controls!A:I,9,0),18)</f>
        <v>18</v>
      </c>
      <c r="P450" s="40">
        <f>IFERROR(VLOOKUP("200mg DP",Controls!A:J,5,0),0)</f>
        <v>16200</v>
      </c>
      <c r="Q450" s="39">
        <f>IFERROR(VLOOKUP("200mg DP",Controls!A:J,6,0),3)</f>
        <v>5</v>
      </c>
      <c r="R450" s="21" t="str">
        <f>IFERROR(VLOOKUP("200mg DP",Controls!A:K,10,0),"")</f>
        <v>Catalent</v>
      </c>
      <c r="S450" s="41">
        <f t="shared" si="45"/>
        <v>48580</v>
      </c>
      <c r="T450" s="30">
        <f t="shared" si="46"/>
        <v>0</v>
      </c>
      <c r="AB450">
        <f t="shared" si="48"/>
        <v>35100</v>
      </c>
    </row>
    <row r="451" spans="1:28" ht="13" customHeight="1" x14ac:dyDescent="0.35">
      <c r="A451" s="153">
        <v>48761</v>
      </c>
      <c r="B451" s="36" t="s">
        <v>36</v>
      </c>
      <c r="C451" s="15" t="s">
        <v>38</v>
      </c>
      <c r="D451" s="15" t="s">
        <v>29</v>
      </c>
      <c r="E451" s="30">
        <f>H450</f>
        <v>87828</v>
      </c>
      <c r="F451" s="37" cm="1">
        <f t="array" ref="F451">IFERROR((SUMPRODUCT(('Production Inputs'!$A:$A="188mg LP")*('Production Inputs'!$B:$B="TOTAL ACTIVE")*'Production Inputs'!$CW:$CW)+SUMPRODUCT(('Production Inputs'!$A:$A="188mg LP - EU Stock")*('Production Inputs'!$B:$B="TOTAL ACTIVE")*'Production Inputs'!$CW:$CW))*Dependencies!$D$4,0)</f>
        <v>0</v>
      </c>
      <c r="G451" s="37">
        <f t="array" ref="G451">IFERROR(SUMPRODUCT(('Production Inputs'!$A:$A="200mg DP")*('Production Inputs'!$B:$B="TOTAL ACTIVE")*'Production Inputs'!$CW:$CW),0)</f>
        <v>0</v>
      </c>
      <c r="H451" s="30">
        <f t="shared" si="42"/>
        <v>87828</v>
      </c>
      <c r="I451" s="30">
        <f ca="1">IFERROR(AVERAGEIF(OFFSET(F451,0,0,MIN(Controls!$B$8,COUNTIF(B451:B$1973,B451)),1),"&gt;"&amp;0),0)</f>
        <v>0</v>
      </c>
      <c r="J451" s="38">
        <f t="shared" ca="1" si="43"/>
        <v>999</v>
      </c>
      <c r="K451" s="30">
        <f t="shared" ca="1" si="47"/>
        <v>0</v>
      </c>
      <c r="L451" t="str">
        <f t="shared" ca="1" si="44"/>
        <v>Overstock</v>
      </c>
      <c r="M451" s="39">
        <f>IFERROR(VLOOKUP("200mg DP",Controls!A:I,7,0),6)</f>
        <v>9</v>
      </c>
      <c r="N451" s="39">
        <f>IFERROR(VLOOKUP("200mg DP",Controls!A:I,8,0),3)</f>
        <v>8</v>
      </c>
      <c r="O451" s="39">
        <f>IFERROR(VLOOKUP("200mg DP",Controls!A:I,9,0),18)</f>
        <v>18</v>
      </c>
      <c r="P451" s="40">
        <f>IFERROR(VLOOKUP("200mg DP",Controls!A:J,5,0),0)</f>
        <v>16200</v>
      </c>
      <c r="Q451" s="39">
        <f>IFERROR(VLOOKUP("200mg DP",Controls!A:J,6,0),3)</f>
        <v>5</v>
      </c>
      <c r="R451" s="21" t="str">
        <f>IFERROR(VLOOKUP("200mg DP",Controls!A:K,10,0),"")</f>
        <v>Catalent</v>
      </c>
      <c r="S451" s="41">
        <f t="shared" si="45"/>
        <v>48611</v>
      </c>
      <c r="T451" s="30">
        <f t="shared" si="46"/>
        <v>0</v>
      </c>
      <c r="AB451">
        <f t="shared" si="48"/>
        <v>35100</v>
      </c>
    </row>
    <row r="452" spans="1:28" ht="13" customHeight="1" x14ac:dyDescent="0.35">
      <c r="A452" s="153">
        <v>48792</v>
      </c>
      <c r="B452" s="36" t="s">
        <v>36</v>
      </c>
      <c r="C452" s="15" t="s">
        <v>38</v>
      </c>
      <c r="D452" s="15" t="s">
        <v>29</v>
      </c>
      <c r="E452" s="30">
        <f>H451</f>
        <v>87828</v>
      </c>
      <c r="F452" s="37" cm="1">
        <f t="array" ref="F452">IFERROR((SUMPRODUCT(('Production Inputs'!$A:$A="188mg LP")*('Production Inputs'!$B:$B="TOTAL ACTIVE")*'Production Inputs'!$CX:$CX)+SUMPRODUCT(('Production Inputs'!$A:$A="188mg LP - EU Stock")*('Production Inputs'!$B:$B="TOTAL ACTIVE")*'Production Inputs'!$CX:$CX))*Dependencies!$D$4,0)</f>
        <v>0</v>
      </c>
      <c r="G452" s="37">
        <f t="array" ref="G452">IFERROR(SUMPRODUCT(('Production Inputs'!$A:$A="200mg DP")*('Production Inputs'!$B:$B="TOTAL ACTIVE")*'Production Inputs'!$CX:$CX),0)</f>
        <v>0</v>
      </c>
      <c r="H452" s="30">
        <f t="shared" ref="H452:H515" si="49">E452+G452-F452</f>
        <v>87828</v>
      </c>
      <c r="I452" s="30">
        <f ca="1">IFERROR(AVERAGEIF(OFFSET(F452,0,0,MIN(Controls!$B$8,COUNTIF(B452:B$1973,B452)),1),"&gt;"&amp;0),0)</f>
        <v>0</v>
      </c>
      <c r="J452" s="38">
        <f t="shared" ref="J452:J515" ca="1" si="50">IFERROR(H452/I452,IF(H452&gt;0,999,0))</f>
        <v>999</v>
      </c>
      <c r="K452" s="30">
        <f t="shared" ca="1" si="47"/>
        <v>0</v>
      </c>
      <c r="L452" t="str">
        <f t="shared" ref="L452:L515" ca="1" si="51">IF(H452&lt;=0,"High",IF(J452&lt;N452,"High",IF(J452&lt;M452,"Medium",IF(J452&gt;O452,"Overstock","Low"))))</f>
        <v>Overstock</v>
      </c>
      <c r="M452" s="39">
        <f>IFERROR(VLOOKUP("200mg DP",Controls!A:I,7,0),6)</f>
        <v>9</v>
      </c>
      <c r="N452" s="39">
        <f>IFERROR(VLOOKUP("200mg DP",Controls!A:I,8,0),3)</f>
        <v>8</v>
      </c>
      <c r="O452" s="39">
        <f>IFERROR(VLOOKUP("200mg DP",Controls!A:I,9,0),18)</f>
        <v>18</v>
      </c>
      <c r="P452" s="40">
        <f>IFERROR(VLOOKUP("200mg DP",Controls!A:J,5,0),0)</f>
        <v>16200</v>
      </c>
      <c r="Q452" s="39">
        <f>IFERROR(VLOOKUP("200mg DP",Controls!A:J,6,0),3)</f>
        <v>5</v>
      </c>
      <c r="R452" s="21" t="str">
        <f>IFERROR(VLOOKUP("200mg DP",Controls!A:K,10,0),"")</f>
        <v>Catalent</v>
      </c>
      <c r="S452" s="41">
        <f t="shared" ref="S452:S515" si="52">IFERROR(EDATE(A452,-Q452),"")</f>
        <v>48639</v>
      </c>
      <c r="T452" s="30">
        <f t="shared" ref="T452:T515" si="53">G452</f>
        <v>0</v>
      </c>
      <c r="AB452">
        <f t="shared" si="48"/>
        <v>35100</v>
      </c>
    </row>
    <row r="453" spans="1:28" ht="13" customHeight="1" x14ac:dyDescent="0.35">
      <c r="A453" s="153">
        <v>48823</v>
      </c>
      <c r="B453" s="36" t="s">
        <v>36</v>
      </c>
      <c r="C453" s="15" t="s">
        <v>38</v>
      </c>
      <c r="D453" s="15" t="s">
        <v>29</v>
      </c>
      <c r="E453" s="30">
        <f>H452</f>
        <v>87828</v>
      </c>
      <c r="F453" s="37" cm="1">
        <f t="array" ref="F453">IFERROR((SUMPRODUCT(('Production Inputs'!$A:$A="188mg LP")*('Production Inputs'!$B:$B="TOTAL ACTIVE")*'Production Inputs'!$CY:$CY)+SUMPRODUCT(('Production Inputs'!$A:$A="188mg LP - EU Stock")*('Production Inputs'!$B:$B="TOTAL ACTIVE")*'Production Inputs'!$CY:$CY))*Dependencies!$D$4,0)</f>
        <v>0</v>
      </c>
      <c r="G453" s="37">
        <f t="array" ref="G453">IFERROR(SUMPRODUCT(('Production Inputs'!$A:$A="200mg DP")*('Production Inputs'!$B:$B="TOTAL ACTIVE")*'Production Inputs'!$CY:$CY),0)</f>
        <v>0</v>
      </c>
      <c r="H453" s="30">
        <f t="shared" si="49"/>
        <v>87828</v>
      </c>
      <c r="I453" s="30">
        <f ca="1">IFERROR(AVERAGEIF(OFFSET(F453,0,0,MIN(Controls!$B$8,COUNTIF(B453:B$1973,B453)),1),"&gt;"&amp;0),0)</f>
        <v>0</v>
      </c>
      <c r="J453" s="38">
        <f t="shared" ca="1" si="50"/>
        <v>999</v>
      </c>
      <c r="K453" s="30">
        <f t="shared" ref="K453:K516" ca="1" si="54">IFERROR(IF(H453&lt;(N453*I453), CEILING(MAX(0,ROUND((M453*I453-H453)/P453,0)*P453),P453), 0), 0)</f>
        <v>0</v>
      </c>
      <c r="L453" t="str">
        <f t="shared" ca="1" si="51"/>
        <v>Overstock</v>
      </c>
      <c r="M453" s="39">
        <f>IFERROR(VLOOKUP("200mg DP",Controls!A:I,7,0),6)</f>
        <v>9</v>
      </c>
      <c r="N453" s="39">
        <f>IFERROR(VLOOKUP("200mg DP",Controls!A:I,8,0),3)</f>
        <v>8</v>
      </c>
      <c r="O453" s="39">
        <f>IFERROR(VLOOKUP("200mg DP",Controls!A:I,9,0),18)</f>
        <v>18</v>
      </c>
      <c r="P453" s="40">
        <f>IFERROR(VLOOKUP("200mg DP",Controls!A:J,5,0),0)</f>
        <v>16200</v>
      </c>
      <c r="Q453" s="39">
        <f>IFERROR(VLOOKUP("200mg DP",Controls!A:J,6,0),3)</f>
        <v>5</v>
      </c>
      <c r="R453" s="21" t="str">
        <f>IFERROR(VLOOKUP("200mg DP",Controls!A:K,10,0),"")</f>
        <v>Catalent</v>
      </c>
      <c r="S453" s="41">
        <f t="shared" si="52"/>
        <v>48670</v>
      </c>
      <c r="T453" s="30">
        <f t="shared" si="53"/>
        <v>0</v>
      </c>
      <c r="AB453">
        <f t="shared" ref="AB453:AB516" si="55">SUMIFS($F$4:$F$2331,$B$4:$B$2331,B453,$A$4:$A$2331,"&lt;="&amp;A453)</f>
        <v>35100</v>
      </c>
    </row>
    <row r="454" spans="1:28" ht="13" customHeight="1" x14ac:dyDescent="0.35">
      <c r="A454" s="153">
        <v>48853</v>
      </c>
      <c r="B454" s="36" t="s">
        <v>36</v>
      </c>
      <c r="C454" s="15" t="s">
        <v>38</v>
      </c>
      <c r="D454" s="15" t="s">
        <v>29</v>
      </c>
      <c r="E454" s="30">
        <f>H453</f>
        <v>87828</v>
      </c>
      <c r="F454" s="37" cm="1">
        <f t="array" ref="F454">IFERROR((SUMPRODUCT(('Production Inputs'!$A:$A="188mg LP")*('Production Inputs'!$B:$B="TOTAL ACTIVE")*'Production Inputs'!$CZ:$CZ)+SUMPRODUCT(('Production Inputs'!$A:$A="188mg LP - EU Stock")*('Production Inputs'!$B:$B="TOTAL ACTIVE")*'Production Inputs'!$CZ:$CZ))*Dependencies!$D$4,0)</f>
        <v>0</v>
      </c>
      <c r="G454" s="37">
        <f t="array" ref="G454">IFERROR(SUMPRODUCT(('Production Inputs'!$A:$A="200mg DP")*('Production Inputs'!$B:$B="TOTAL ACTIVE")*'Production Inputs'!$CZ:$CZ),0)</f>
        <v>0</v>
      </c>
      <c r="H454" s="30">
        <f t="shared" si="49"/>
        <v>87828</v>
      </c>
      <c r="I454" s="30">
        <f ca="1">IFERROR(AVERAGEIF(OFFSET(F454,0,0,MIN(Controls!$B$8,COUNTIF(B454:B$1973,B454)),1),"&gt;"&amp;0),0)</f>
        <v>0</v>
      </c>
      <c r="J454" s="38">
        <f t="shared" ca="1" si="50"/>
        <v>999</v>
      </c>
      <c r="K454" s="30">
        <f t="shared" ca="1" si="54"/>
        <v>0</v>
      </c>
      <c r="L454" t="str">
        <f t="shared" ca="1" si="51"/>
        <v>Overstock</v>
      </c>
      <c r="M454" s="39">
        <f>IFERROR(VLOOKUP("200mg DP",Controls!A:I,7,0),6)</f>
        <v>9</v>
      </c>
      <c r="N454" s="39">
        <f>IFERROR(VLOOKUP("200mg DP",Controls!A:I,8,0),3)</f>
        <v>8</v>
      </c>
      <c r="O454" s="39">
        <f>IFERROR(VLOOKUP("200mg DP",Controls!A:I,9,0),18)</f>
        <v>18</v>
      </c>
      <c r="P454" s="40">
        <f>IFERROR(VLOOKUP("200mg DP",Controls!A:J,5,0),0)</f>
        <v>16200</v>
      </c>
      <c r="Q454" s="39">
        <f>IFERROR(VLOOKUP("200mg DP",Controls!A:J,6,0),3)</f>
        <v>5</v>
      </c>
      <c r="R454" s="21" t="str">
        <f>IFERROR(VLOOKUP("200mg DP",Controls!A:K,10,0),"")</f>
        <v>Catalent</v>
      </c>
      <c r="S454" s="41">
        <f t="shared" si="52"/>
        <v>48700</v>
      </c>
      <c r="T454" s="30">
        <f t="shared" si="53"/>
        <v>0</v>
      </c>
      <c r="AB454">
        <f t="shared" si="55"/>
        <v>35100</v>
      </c>
    </row>
    <row r="455" spans="1:28" ht="13" customHeight="1" x14ac:dyDescent="0.35">
      <c r="A455" s="153">
        <v>48884</v>
      </c>
      <c r="B455" s="36" t="s">
        <v>36</v>
      </c>
      <c r="C455" s="15" t="s">
        <v>38</v>
      </c>
      <c r="D455" s="15" t="s">
        <v>29</v>
      </c>
      <c r="E455" s="30">
        <f>H454</f>
        <v>87828</v>
      </c>
      <c r="F455" s="37" cm="1">
        <f t="array" ref="F455">IFERROR((SUMPRODUCT(('Production Inputs'!$A:$A="188mg LP")*('Production Inputs'!$B:$B="TOTAL ACTIVE")*'Production Inputs'!$DA:$DA)+SUMPRODUCT(('Production Inputs'!$A:$A="188mg LP - EU Stock")*('Production Inputs'!$B:$B="TOTAL ACTIVE")*'Production Inputs'!$DA:$DA))*Dependencies!$D$4,0)</f>
        <v>0</v>
      </c>
      <c r="G455" s="37">
        <f t="array" ref="G455">IFERROR(SUMPRODUCT(('Production Inputs'!$A:$A="200mg DP")*('Production Inputs'!$B:$B="TOTAL ACTIVE")*'Production Inputs'!$DA:$DA),0)</f>
        <v>0</v>
      </c>
      <c r="H455" s="30">
        <f t="shared" si="49"/>
        <v>87828</v>
      </c>
      <c r="I455" s="30">
        <f ca="1">IFERROR(AVERAGEIF(OFFSET(F455,0,0,MIN(Controls!$B$8,COUNTIF(B455:B$1973,B455)),1),"&gt;"&amp;0),0)</f>
        <v>0</v>
      </c>
      <c r="J455" s="38">
        <f t="shared" ca="1" si="50"/>
        <v>999</v>
      </c>
      <c r="K455" s="30">
        <f t="shared" ca="1" si="54"/>
        <v>0</v>
      </c>
      <c r="L455" t="str">
        <f t="shared" ca="1" si="51"/>
        <v>Overstock</v>
      </c>
      <c r="M455" s="39">
        <f>IFERROR(VLOOKUP("200mg DP",Controls!A:I,7,0),6)</f>
        <v>9</v>
      </c>
      <c r="N455" s="39">
        <f>IFERROR(VLOOKUP("200mg DP",Controls!A:I,8,0),3)</f>
        <v>8</v>
      </c>
      <c r="O455" s="39">
        <f>IFERROR(VLOOKUP("200mg DP",Controls!A:I,9,0),18)</f>
        <v>18</v>
      </c>
      <c r="P455" s="40">
        <f>IFERROR(VLOOKUP("200mg DP",Controls!A:J,5,0),0)</f>
        <v>16200</v>
      </c>
      <c r="Q455" s="39">
        <f>IFERROR(VLOOKUP("200mg DP",Controls!A:J,6,0),3)</f>
        <v>5</v>
      </c>
      <c r="R455" s="21" t="str">
        <f>IFERROR(VLOOKUP("200mg DP",Controls!A:K,10,0),"")</f>
        <v>Catalent</v>
      </c>
      <c r="S455" s="41">
        <f t="shared" si="52"/>
        <v>48731</v>
      </c>
      <c r="T455" s="30">
        <f t="shared" si="53"/>
        <v>0</v>
      </c>
      <c r="AB455">
        <f t="shared" si="55"/>
        <v>35100</v>
      </c>
    </row>
    <row r="456" spans="1:28" ht="13" customHeight="1" x14ac:dyDescent="0.35">
      <c r="A456" s="153">
        <v>48914</v>
      </c>
      <c r="B456" s="36" t="s">
        <v>36</v>
      </c>
      <c r="C456" s="15" t="s">
        <v>38</v>
      </c>
      <c r="D456" s="15" t="s">
        <v>29</v>
      </c>
      <c r="E456" s="30">
        <f>H455</f>
        <v>87828</v>
      </c>
      <c r="F456" s="37" cm="1">
        <f t="array" ref="F456">IFERROR((SUMPRODUCT(('Production Inputs'!$A:$A="188mg LP")*('Production Inputs'!$B:$B="TOTAL ACTIVE")*'Production Inputs'!$DB:$DB)+SUMPRODUCT(('Production Inputs'!$A:$A="188mg LP - EU Stock")*('Production Inputs'!$B:$B="TOTAL ACTIVE")*'Production Inputs'!$DB:$DB))*Dependencies!$D$4,0)</f>
        <v>0</v>
      </c>
      <c r="G456" s="37">
        <f t="array" ref="G456">IFERROR(SUMPRODUCT(('Production Inputs'!$A:$A="200mg DP")*('Production Inputs'!$B:$B="TOTAL ACTIVE")*'Production Inputs'!$DB:$DB),0)</f>
        <v>0</v>
      </c>
      <c r="H456" s="30">
        <f t="shared" si="49"/>
        <v>87828</v>
      </c>
      <c r="I456" s="30">
        <f ca="1">IFERROR(AVERAGEIF(OFFSET(F456,0,0,MIN(Controls!$B$8,COUNTIF(B456:B$1973,B456)),1),"&gt;"&amp;0),0)</f>
        <v>0</v>
      </c>
      <c r="J456" s="38">
        <f t="shared" ca="1" si="50"/>
        <v>999</v>
      </c>
      <c r="K456" s="30">
        <f t="shared" ca="1" si="54"/>
        <v>0</v>
      </c>
      <c r="L456" t="str">
        <f t="shared" ca="1" si="51"/>
        <v>Overstock</v>
      </c>
      <c r="M456" s="39">
        <f>IFERROR(VLOOKUP("200mg DP",Controls!A:I,7,0),6)</f>
        <v>9</v>
      </c>
      <c r="N456" s="39">
        <f>IFERROR(VLOOKUP("200mg DP",Controls!A:I,8,0),3)</f>
        <v>8</v>
      </c>
      <c r="O456" s="39">
        <f>IFERROR(VLOOKUP("200mg DP",Controls!A:I,9,0),18)</f>
        <v>18</v>
      </c>
      <c r="P456" s="40">
        <f>IFERROR(VLOOKUP("200mg DP",Controls!A:J,5,0),0)</f>
        <v>16200</v>
      </c>
      <c r="Q456" s="39">
        <f>IFERROR(VLOOKUP("200mg DP",Controls!A:J,6,0),3)</f>
        <v>5</v>
      </c>
      <c r="R456" s="21" t="str">
        <f>IFERROR(VLOOKUP("200mg DP",Controls!A:K,10,0),"")</f>
        <v>Catalent</v>
      </c>
      <c r="S456" s="41">
        <f t="shared" si="52"/>
        <v>48761</v>
      </c>
      <c r="T456" s="30">
        <f t="shared" si="53"/>
        <v>0</v>
      </c>
      <c r="AB456">
        <f t="shared" si="55"/>
        <v>35100</v>
      </c>
    </row>
    <row r="457" spans="1:28" ht="13" customHeight="1" x14ac:dyDescent="0.35">
      <c r="A457" s="153">
        <v>48945</v>
      </c>
      <c r="B457" s="36" t="s">
        <v>36</v>
      </c>
      <c r="C457" s="15" t="s">
        <v>38</v>
      </c>
      <c r="D457" s="15" t="s">
        <v>29</v>
      </c>
      <c r="E457" s="30">
        <f>H456</f>
        <v>87828</v>
      </c>
      <c r="F457" s="37" cm="1">
        <f t="array" ref="F457">IFERROR((SUMPRODUCT(('Production Inputs'!$A:$A="188mg LP")*('Production Inputs'!$B:$B="TOTAL ACTIVE")*'Production Inputs'!$DC:$DC)+SUMPRODUCT(('Production Inputs'!$A:$A="188mg LP - EU Stock")*('Production Inputs'!$B:$B="TOTAL ACTIVE")*'Production Inputs'!$DC:$DC))*Dependencies!$D$4,0)</f>
        <v>0</v>
      </c>
      <c r="G457" s="37">
        <f t="array" ref="G457">IFERROR(SUMPRODUCT(('Production Inputs'!$A:$A="200mg DP")*('Production Inputs'!$B:$B="TOTAL ACTIVE")*'Production Inputs'!$DC:$DC),0)</f>
        <v>0</v>
      </c>
      <c r="H457" s="30">
        <f t="shared" si="49"/>
        <v>87828</v>
      </c>
      <c r="I457" s="30">
        <f ca="1">IFERROR(AVERAGEIF(OFFSET(F457,0,0,MIN(Controls!$B$8,COUNTIF(B457:B$1973,B457)),1),"&gt;"&amp;0),0)</f>
        <v>0</v>
      </c>
      <c r="J457" s="38">
        <f t="shared" ca="1" si="50"/>
        <v>999</v>
      </c>
      <c r="K457" s="30">
        <f t="shared" ca="1" si="54"/>
        <v>0</v>
      </c>
      <c r="L457" t="str">
        <f t="shared" ca="1" si="51"/>
        <v>Overstock</v>
      </c>
      <c r="M457" s="39">
        <f>IFERROR(VLOOKUP("200mg DP",Controls!A:I,7,0),6)</f>
        <v>9</v>
      </c>
      <c r="N457" s="39">
        <f>IFERROR(VLOOKUP("200mg DP",Controls!A:I,8,0),3)</f>
        <v>8</v>
      </c>
      <c r="O457" s="39">
        <f>IFERROR(VLOOKUP("200mg DP",Controls!A:I,9,0),18)</f>
        <v>18</v>
      </c>
      <c r="P457" s="40">
        <f>IFERROR(VLOOKUP("200mg DP",Controls!A:J,5,0),0)</f>
        <v>16200</v>
      </c>
      <c r="Q457" s="39">
        <f>IFERROR(VLOOKUP("200mg DP",Controls!A:J,6,0),3)</f>
        <v>5</v>
      </c>
      <c r="R457" s="21" t="str">
        <f>IFERROR(VLOOKUP("200mg DP",Controls!A:K,10,0),"")</f>
        <v>Catalent</v>
      </c>
      <c r="S457" s="41">
        <f t="shared" si="52"/>
        <v>48792</v>
      </c>
      <c r="T457" s="30">
        <f t="shared" si="53"/>
        <v>0</v>
      </c>
      <c r="AB457">
        <f t="shared" si="55"/>
        <v>35100</v>
      </c>
    </row>
    <row r="458" spans="1:28" ht="13" customHeight="1" x14ac:dyDescent="0.35">
      <c r="A458" s="153">
        <v>48976</v>
      </c>
      <c r="B458" s="36" t="s">
        <v>36</v>
      </c>
      <c r="C458" s="15" t="s">
        <v>38</v>
      </c>
      <c r="D458" s="15" t="s">
        <v>29</v>
      </c>
      <c r="E458" s="30">
        <f>H457</f>
        <v>87828</v>
      </c>
      <c r="F458" s="37" cm="1">
        <f t="array" ref="F458">IFERROR((SUMPRODUCT(('Production Inputs'!$A:$A="188mg LP")*('Production Inputs'!$B:$B="TOTAL ACTIVE")*'Production Inputs'!$DD:$DD)+SUMPRODUCT(('Production Inputs'!$A:$A="188mg LP - EU Stock")*('Production Inputs'!$B:$B="TOTAL ACTIVE")*'Production Inputs'!$DD:$DD))*Dependencies!$D$4,0)</f>
        <v>0</v>
      </c>
      <c r="G458" s="37">
        <f t="array" ref="G458">IFERROR(SUMPRODUCT(('Production Inputs'!$A:$A="200mg DP")*('Production Inputs'!$B:$B="TOTAL ACTIVE")*'Production Inputs'!$DD:$DD),0)</f>
        <v>0</v>
      </c>
      <c r="H458" s="30">
        <f t="shared" si="49"/>
        <v>87828</v>
      </c>
      <c r="I458" s="30">
        <f ca="1">IFERROR(AVERAGEIF(OFFSET(F458,0,0,MIN(Controls!$B$8,COUNTIF(B458:B$1973,B458)),1),"&gt;"&amp;0),0)</f>
        <v>0</v>
      </c>
      <c r="J458" s="38">
        <f t="shared" ca="1" si="50"/>
        <v>999</v>
      </c>
      <c r="K458" s="30">
        <f t="shared" ca="1" si="54"/>
        <v>0</v>
      </c>
      <c r="L458" t="str">
        <f t="shared" ca="1" si="51"/>
        <v>Overstock</v>
      </c>
      <c r="M458" s="39">
        <f>IFERROR(VLOOKUP("200mg DP",Controls!A:I,7,0),6)</f>
        <v>9</v>
      </c>
      <c r="N458" s="39">
        <f>IFERROR(VLOOKUP("200mg DP",Controls!A:I,8,0),3)</f>
        <v>8</v>
      </c>
      <c r="O458" s="39">
        <f>IFERROR(VLOOKUP("200mg DP",Controls!A:I,9,0),18)</f>
        <v>18</v>
      </c>
      <c r="P458" s="40">
        <f>IFERROR(VLOOKUP("200mg DP",Controls!A:J,5,0),0)</f>
        <v>16200</v>
      </c>
      <c r="Q458" s="39">
        <f>IFERROR(VLOOKUP("200mg DP",Controls!A:J,6,0),3)</f>
        <v>5</v>
      </c>
      <c r="R458" s="21" t="str">
        <f>IFERROR(VLOOKUP("200mg DP",Controls!A:K,10,0),"")</f>
        <v>Catalent</v>
      </c>
      <c r="S458" s="41">
        <f t="shared" si="52"/>
        <v>48823</v>
      </c>
      <c r="T458" s="30">
        <f t="shared" si="53"/>
        <v>0</v>
      </c>
      <c r="AB458">
        <f t="shared" si="55"/>
        <v>35100</v>
      </c>
    </row>
    <row r="459" spans="1:28" ht="13" customHeight="1" x14ac:dyDescent="0.35">
      <c r="A459" s="153">
        <v>49004</v>
      </c>
      <c r="B459" s="36" t="s">
        <v>36</v>
      </c>
      <c r="C459" s="15" t="s">
        <v>38</v>
      </c>
      <c r="D459" s="15" t="s">
        <v>29</v>
      </c>
      <c r="E459" s="30">
        <f>H458</f>
        <v>87828</v>
      </c>
      <c r="F459" s="37" cm="1">
        <f t="array" ref="F459">IFERROR((SUMPRODUCT(('Production Inputs'!$A:$A="188mg LP")*('Production Inputs'!$B:$B="TOTAL ACTIVE")*'Production Inputs'!$DE:$DE)+SUMPRODUCT(('Production Inputs'!$A:$A="188mg LP - EU Stock")*('Production Inputs'!$B:$B="TOTAL ACTIVE")*'Production Inputs'!$DE:$DE))*Dependencies!$D$4,0)</f>
        <v>0</v>
      </c>
      <c r="G459" s="37">
        <f t="array" ref="G459">IFERROR(SUMPRODUCT(('Production Inputs'!$A:$A="200mg DP")*('Production Inputs'!$B:$B="TOTAL ACTIVE")*'Production Inputs'!$DE:$DE),0)</f>
        <v>0</v>
      </c>
      <c r="H459" s="30">
        <f t="shared" si="49"/>
        <v>87828</v>
      </c>
      <c r="I459" s="30">
        <f ca="1">IFERROR(AVERAGEIF(OFFSET(F459,0,0,MIN(Controls!$B$8,COUNTIF(B459:B$1973,B459)),1),"&gt;"&amp;0),0)</f>
        <v>0</v>
      </c>
      <c r="J459" s="38">
        <f t="shared" ca="1" si="50"/>
        <v>999</v>
      </c>
      <c r="K459" s="30">
        <f t="shared" ca="1" si="54"/>
        <v>0</v>
      </c>
      <c r="L459" t="str">
        <f t="shared" ca="1" si="51"/>
        <v>Overstock</v>
      </c>
      <c r="M459" s="39">
        <f>IFERROR(VLOOKUP("200mg DP",Controls!A:I,7,0),6)</f>
        <v>9</v>
      </c>
      <c r="N459" s="39">
        <f>IFERROR(VLOOKUP("200mg DP",Controls!A:I,8,0),3)</f>
        <v>8</v>
      </c>
      <c r="O459" s="39">
        <f>IFERROR(VLOOKUP("200mg DP",Controls!A:I,9,0),18)</f>
        <v>18</v>
      </c>
      <c r="P459" s="40">
        <f>IFERROR(VLOOKUP("200mg DP",Controls!A:J,5,0),0)</f>
        <v>16200</v>
      </c>
      <c r="Q459" s="39">
        <f>IFERROR(VLOOKUP("200mg DP",Controls!A:J,6,0),3)</f>
        <v>5</v>
      </c>
      <c r="R459" s="21" t="str">
        <f>IFERROR(VLOOKUP("200mg DP",Controls!A:K,10,0),"")</f>
        <v>Catalent</v>
      </c>
      <c r="S459" s="41">
        <f t="shared" si="52"/>
        <v>48853</v>
      </c>
      <c r="T459" s="30">
        <f t="shared" si="53"/>
        <v>0</v>
      </c>
      <c r="AB459">
        <f t="shared" si="55"/>
        <v>35100</v>
      </c>
    </row>
    <row r="460" spans="1:28" ht="13" customHeight="1" x14ac:dyDescent="0.35">
      <c r="A460" s="153">
        <v>49035</v>
      </c>
      <c r="B460" s="36" t="s">
        <v>36</v>
      </c>
      <c r="C460" s="15" t="s">
        <v>38</v>
      </c>
      <c r="D460" s="15" t="s">
        <v>29</v>
      </c>
      <c r="E460" s="30">
        <f>H459</f>
        <v>87828</v>
      </c>
      <c r="F460" s="37" cm="1">
        <f t="array" ref="F460">IFERROR((SUMPRODUCT(('Production Inputs'!$A:$A="188mg LP")*('Production Inputs'!$B:$B="TOTAL ACTIVE")*'Production Inputs'!$DF:$DF)+SUMPRODUCT(('Production Inputs'!$A:$A="188mg LP - EU Stock")*('Production Inputs'!$B:$B="TOTAL ACTIVE")*'Production Inputs'!$DF:$DF))*Dependencies!$D$4,0)</f>
        <v>0</v>
      </c>
      <c r="G460" s="37">
        <f t="array" ref="G460">IFERROR(SUMPRODUCT(('Production Inputs'!$A:$A="200mg DP")*('Production Inputs'!$B:$B="TOTAL ACTIVE")*'Production Inputs'!$DF:$DF),0)</f>
        <v>0</v>
      </c>
      <c r="H460" s="30">
        <f t="shared" si="49"/>
        <v>87828</v>
      </c>
      <c r="I460" s="30">
        <f ca="1">IFERROR(AVERAGEIF(OFFSET(F460,0,0,MIN(Controls!$B$8,COUNTIF(B460:B$1973,B460)),1),"&gt;"&amp;0),0)</f>
        <v>0</v>
      </c>
      <c r="J460" s="38">
        <f t="shared" ca="1" si="50"/>
        <v>999</v>
      </c>
      <c r="K460" s="30">
        <f t="shared" ca="1" si="54"/>
        <v>0</v>
      </c>
      <c r="L460" t="str">
        <f t="shared" ca="1" si="51"/>
        <v>Overstock</v>
      </c>
      <c r="M460" s="39">
        <f>IFERROR(VLOOKUP("200mg DP",Controls!A:I,7,0),6)</f>
        <v>9</v>
      </c>
      <c r="N460" s="39">
        <f>IFERROR(VLOOKUP("200mg DP",Controls!A:I,8,0),3)</f>
        <v>8</v>
      </c>
      <c r="O460" s="39">
        <f>IFERROR(VLOOKUP("200mg DP",Controls!A:I,9,0),18)</f>
        <v>18</v>
      </c>
      <c r="P460" s="40">
        <f>IFERROR(VLOOKUP("200mg DP",Controls!A:J,5,0),0)</f>
        <v>16200</v>
      </c>
      <c r="Q460" s="39">
        <f>IFERROR(VLOOKUP("200mg DP",Controls!A:J,6,0),3)</f>
        <v>5</v>
      </c>
      <c r="R460" s="21" t="str">
        <f>IFERROR(VLOOKUP("200mg DP",Controls!A:K,10,0),"")</f>
        <v>Catalent</v>
      </c>
      <c r="S460" s="41">
        <f t="shared" si="52"/>
        <v>48884</v>
      </c>
      <c r="T460" s="30">
        <f t="shared" si="53"/>
        <v>0</v>
      </c>
      <c r="AB460">
        <f t="shared" si="55"/>
        <v>35100</v>
      </c>
    </row>
    <row r="461" spans="1:28" ht="13" customHeight="1" x14ac:dyDescent="0.35">
      <c r="A461" s="153">
        <v>49065</v>
      </c>
      <c r="B461" s="36" t="s">
        <v>36</v>
      </c>
      <c r="C461" s="15" t="s">
        <v>38</v>
      </c>
      <c r="D461" s="15" t="s">
        <v>29</v>
      </c>
      <c r="E461" s="30">
        <f>H460</f>
        <v>87828</v>
      </c>
      <c r="F461" s="37" cm="1">
        <f t="array" ref="F461">IFERROR((SUMPRODUCT(('Production Inputs'!$A:$A="188mg LP")*('Production Inputs'!$B:$B="TOTAL ACTIVE")*'Production Inputs'!$DG:$DG)+SUMPRODUCT(('Production Inputs'!$A:$A="188mg LP - EU Stock")*('Production Inputs'!$B:$B="TOTAL ACTIVE")*'Production Inputs'!$DG:$DG))*Dependencies!$D$4,0)</f>
        <v>0</v>
      </c>
      <c r="G461" s="37">
        <f t="array" ref="G461">IFERROR(SUMPRODUCT(('Production Inputs'!$A:$A="200mg DP")*('Production Inputs'!$B:$B="TOTAL ACTIVE")*'Production Inputs'!$DG:$DG),0)</f>
        <v>0</v>
      </c>
      <c r="H461" s="30">
        <f t="shared" si="49"/>
        <v>87828</v>
      </c>
      <c r="I461" s="30">
        <f ca="1">IFERROR(AVERAGEIF(OFFSET(F461,0,0,MIN(Controls!$B$8,COUNTIF(B461:B$1973,B461)),1),"&gt;"&amp;0),0)</f>
        <v>0</v>
      </c>
      <c r="J461" s="38">
        <f t="shared" ca="1" si="50"/>
        <v>999</v>
      </c>
      <c r="K461" s="30">
        <f t="shared" ca="1" si="54"/>
        <v>0</v>
      </c>
      <c r="L461" t="str">
        <f t="shared" ca="1" si="51"/>
        <v>Overstock</v>
      </c>
      <c r="M461" s="39">
        <f>IFERROR(VLOOKUP("200mg DP",Controls!A:I,7,0),6)</f>
        <v>9</v>
      </c>
      <c r="N461" s="39">
        <f>IFERROR(VLOOKUP("200mg DP",Controls!A:I,8,0),3)</f>
        <v>8</v>
      </c>
      <c r="O461" s="39">
        <f>IFERROR(VLOOKUP("200mg DP",Controls!A:I,9,0),18)</f>
        <v>18</v>
      </c>
      <c r="P461" s="40">
        <f>IFERROR(VLOOKUP("200mg DP",Controls!A:J,5,0),0)</f>
        <v>16200</v>
      </c>
      <c r="Q461" s="39">
        <f>IFERROR(VLOOKUP("200mg DP",Controls!A:J,6,0),3)</f>
        <v>5</v>
      </c>
      <c r="R461" s="21" t="str">
        <f>IFERROR(VLOOKUP("200mg DP",Controls!A:K,10,0),"")</f>
        <v>Catalent</v>
      </c>
      <c r="S461" s="41">
        <f t="shared" si="52"/>
        <v>48914</v>
      </c>
      <c r="T461" s="30">
        <f t="shared" si="53"/>
        <v>0</v>
      </c>
      <c r="AB461">
        <f t="shared" si="55"/>
        <v>35100</v>
      </c>
    </row>
    <row r="462" spans="1:28" ht="13" customHeight="1" x14ac:dyDescent="0.35">
      <c r="A462" s="153">
        <v>49096</v>
      </c>
      <c r="B462" s="36" t="s">
        <v>36</v>
      </c>
      <c r="C462" s="15" t="s">
        <v>38</v>
      </c>
      <c r="D462" s="15" t="s">
        <v>29</v>
      </c>
      <c r="E462" s="30">
        <f>H461</f>
        <v>87828</v>
      </c>
      <c r="F462" s="37" cm="1">
        <f t="array" ref="F462">IFERROR((SUMPRODUCT(('Production Inputs'!$A:$A="188mg LP")*('Production Inputs'!$B:$B="TOTAL ACTIVE")*'Production Inputs'!$DH:$DH)+SUMPRODUCT(('Production Inputs'!$A:$A="188mg LP - EU Stock")*('Production Inputs'!$B:$B="TOTAL ACTIVE")*'Production Inputs'!$DH:$DH))*Dependencies!$D$4,0)</f>
        <v>0</v>
      </c>
      <c r="G462" s="37">
        <f t="array" ref="G462">IFERROR(SUMPRODUCT(('Production Inputs'!$A:$A="200mg DP")*('Production Inputs'!$B:$B="TOTAL ACTIVE")*'Production Inputs'!$DH:$DH),0)</f>
        <v>0</v>
      </c>
      <c r="H462" s="30">
        <f t="shared" si="49"/>
        <v>87828</v>
      </c>
      <c r="I462" s="30">
        <f ca="1">IFERROR(AVERAGEIF(OFFSET(F462,0,0,MIN(Controls!$B$8,COUNTIF(B462:B$1973,B462)),1),"&gt;"&amp;0),0)</f>
        <v>0</v>
      </c>
      <c r="J462" s="38">
        <f t="shared" ca="1" si="50"/>
        <v>999</v>
      </c>
      <c r="K462" s="30">
        <f t="shared" ca="1" si="54"/>
        <v>0</v>
      </c>
      <c r="L462" t="str">
        <f t="shared" ca="1" si="51"/>
        <v>Overstock</v>
      </c>
      <c r="M462" s="39">
        <f>IFERROR(VLOOKUP("200mg DP",Controls!A:I,7,0),6)</f>
        <v>9</v>
      </c>
      <c r="N462" s="39">
        <f>IFERROR(VLOOKUP("200mg DP",Controls!A:I,8,0),3)</f>
        <v>8</v>
      </c>
      <c r="O462" s="39">
        <f>IFERROR(VLOOKUP("200mg DP",Controls!A:I,9,0),18)</f>
        <v>18</v>
      </c>
      <c r="P462" s="40">
        <f>IFERROR(VLOOKUP("200mg DP",Controls!A:J,5,0),0)</f>
        <v>16200</v>
      </c>
      <c r="Q462" s="39">
        <f>IFERROR(VLOOKUP("200mg DP",Controls!A:J,6,0),3)</f>
        <v>5</v>
      </c>
      <c r="R462" s="21" t="str">
        <f>IFERROR(VLOOKUP("200mg DP",Controls!A:K,10,0),"")</f>
        <v>Catalent</v>
      </c>
      <c r="S462" s="41">
        <f t="shared" si="52"/>
        <v>48945</v>
      </c>
      <c r="T462" s="30">
        <f t="shared" si="53"/>
        <v>0</v>
      </c>
      <c r="AB462">
        <f t="shared" si="55"/>
        <v>35100</v>
      </c>
    </row>
    <row r="463" spans="1:28" ht="13" customHeight="1" x14ac:dyDescent="0.35">
      <c r="A463" s="153">
        <v>49126</v>
      </c>
      <c r="B463" s="36" t="s">
        <v>36</v>
      </c>
      <c r="C463" s="15" t="s">
        <v>38</v>
      </c>
      <c r="D463" s="15" t="s">
        <v>29</v>
      </c>
      <c r="E463" s="30">
        <f>H462</f>
        <v>87828</v>
      </c>
      <c r="F463" s="37" cm="1">
        <f t="array" ref="F463">IFERROR((SUMPRODUCT(('Production Inputs'!$A:$A="188mg LP")*('Production Inputs'!$B:$B="TOTAL ACTIVE")*'Production Inputs'!$DI:$DI)+SUMPRODUCT(('Production Inputs'!$A:$A="188mg LP - EU Stock")*('Production Inputs'!$B:$B="TOTAL ACTIVE")*'Production Inputs'!$DI:$DI))*Dependencies!$D$4,0)</f>
        <v>0</v>
      </c>
      <c r="G463" s="37">
        <f t="array" ref="G463">IFERROR(SUMPRODUCT(('Production Inputs'!$A:$A="200mg DP")*('Production Inputs'!$B:$B="TOTAL ACTIVE")*'Production Inputs'!$DI:$DI),0)</f>
        <v>0</v>
      </c>
      <c r="H463" s="30">
        <f t="shared" si="49"/>
        <v>87828</v>
      </c>
      <c r="I463" s="30">
        <f ca="1">IFERROR(AVERAGEIF(OFFSET(F463,0,0,MIN(Controls!$B$8,COUNTIF(B463:B$1973,B463)),1),"&gt;"&amp;0),0)</f>
        <v>0</v>
      </c>
      <c r="J463" s="38">
        <f t="shared" ca="1" si="50"/>
        <v>999</v>
      </c>
      <c r="K463" s="30">
        <f t="shared" ca="1" si="54"/>
        <v>0</v>
      </c>
      <c r="L463" t="str">
        <f t="shared" ca="1" si="51"/>
        <v>Overstock</v>
      </c>
      <c r="M463" s="39">
        <f>IFERROR(VLOOKUP("200mg DP",Controls!A:I,7,0),6)</f>
        <v>9</v>
      </c>
      <c r="N463" s="39">
        <f>IFERROR(VLOOKUP("200mg DP",Controls!A:I,8,0),3)</f>
        <v>8</v>
      </c>
      <c r="O463" s="39">
        <f>IFERROR(VLOOKUP("200mg DP",Controls!A:I,9,0),18)</f>
        <v>18</v>
      </c>
      <c r="P463" s="40">
        <f>IFERROR(VLOOKUP("200mg DP",Controls!A:J,5,0),0)</f>
        <v>16200</v>
      </c>
      <c r="Q463" s="39">
        <f>IFERROR(VLOOKUP("200mg DP",Controls!A:J,6,0),3)</f>
        <v>5</v>
      </c>
      <c r="R463" s="21" t="str">
        <f>IFERROR(VLOOKUP("200mg DP",Controls!A:K,10,0),"")</f>
        <v>Catalent</v>
      </c>
      <c r="S463" s="41">
        <f t="shared" si="52"/>
        <v>48976</v>
      </c>
      <c r="T463" s="30">
        <f t="shared" si="53"/>
        <v>0</v>
      </c>
      <c r="AB463">
        <f t="shared" si="55"/>
        <v>35100</v>
      </c>
    </row>
    <row r="464" spans="1:28" ht="13" customHeight="1" x14ac:dyDescent="0.35">
      <c r="A464" s="153">
        <v>49157</v>
      </c>
      <c r="B464" s="36" t="s">
        <v>36</v>
      </c>
      <c r="C464" s="15" t="s">
        <v>38</v>
      </c>
      <c r="D464" s="15" t="s">
        <v>29</v>
      </c>
      <c r="E464" s="30">
        <f>H463</f>
        <v>87828</v>
      </c>
      <c r="F464" s="37" cm="1">
        <f t="array" ref="F464">IFERROR((SUMPRODUCT(('Production Inputs'!$A:$A="188mg LP")*('Production Inputs'!$B:$B="TOTAL ACTIVE")*'Production Inputs'!$DJ:$DJ)+SUMPRODUCT(('Production Inputs'!$A:$A="188mg LP - EU Stock")*('Production Inputs'!$B:$B="TOTAL ACTIVE")*'Production Inputs'!$DJ:$DJ))*Dependencies!$D$4,0)</f>
        <v>0</v>
      </c>
      <c r="G464" s="37">
        <f t="array" ref="G464">IFERROR(SUMPRODUCT(('Production Inputs'!$A:$A="200mg DP")*('Production Inputs'!$B:$B="TOTAL ACTIVE")*'Production Inputs'!$DJ:$DJ),0)</f>
        <v>0</v>
      </c>
      <c r="H464" s="30">
        <f t="shared" si="49"/>
        <v>87828</v>
      </c>
      <c r="I464" s="30">
        <f ca="1">IFERROR(AVERAGEIF(OFFSET(F464,0,0,MIN(Controls!$B$8,COUNTIF(B464:B$1973,B464)),1),"&gt;"&amp;0),0)</f>
        <v>0</v>
      </c>
      <c r="J464" s="38">
        <f t="shared" ca="1" si="50"/>
        <v>999</v>
      </c>
      <c r="K464" s="30">
        <f t="shared" ca="1" si="54"/>
        <v>0</v>
      </c>
      <c r="L464" t="str">
        <f t="shared" ca="1" si="51"/>
        <v>Overstock</v>
      </c>
      <c r="M464" s="39">
        <f>IFERROR(VLOOKUP("200mg DP",Controls!A:I,7,0),6)</f>
        <v>9</v>
      </c>
      <c r="N464" s="39">
        <f>IFERROR(VLOOKUP("200mg DP",Controls!A:I,8,0),3)</f>
        <v>8</v>
      </c>
      <c r="O464" s="39">
        <f>IFERROR(VLOOKUP("200mg DP",Controls!A:I,9,0),18)</f>
        <v>18</v>
      </c>
      <c r="P464" s="40">
        <f>IFERROR(VLOOKUP("200mg DP",Controls!A:J,5,0),0)</f>
        <v>16200</v>
      </c>
      <c r="Q464" s="39">
        <f>IFERROR(VLOOKUP("200mg DP",Controls!A:J,6,0),3)</f>
        <v>5</v>
      </c>
      <c r="R464" s="21" t="str">
        <f>IFERROR(VLOOKUP("200mg DP",Controls!A:K,10,0),"")</f>
        <v>Catalent</v>
      </c>
      <c r="S464" s="41">
        <f t="shared" si="52"/>
        <v>49004</v>
      </c>
      <c r="T464" s="30">
        <f t="shared" si="53"/>
        <v>0</v>
      </c>
      <c r="AB464">
        <f t="shared" si="55"/>
        <v>35100</v>
      </c>
    </row>
    <row r="465" spans="1:28" ht="13" customHeight="1" x14ac:dyDescent="0.35">
      <c r="A465" s="153">
        <v>49188</v>
      </c>
      <c r="B465" s="36" t="s">
        <v>36</v>
      </c>
      <c r="C465" s="15" t="s">
        <v>38</v>
      </c>
      <c r="D465" s="15" t="s">
        <v>29</v>
      </c>
      <c r="E465" s="30">
        <f>H464</f>
        <v>87828</v>
      </c>
      <c r="F465" s="37" cm="1">
        <f t="array" ref="F465">IFERROR((SUMPRODUCT(('Production Inputs'!$A:$A="188mg LP")*('Production Inputs'!$B:$B="TOTAL ACTIVE")*'Production Inputs'!$DK:$DK)+SUMPRODUCT(('Production Inputs'!$A:$A="188mg LP - EU Stock")*('Production Inputs'!$B:$B="TOTAL ACTIVE")*'Production Inputs'!$DK:$DK))*Dependencies!$D$4,0)</f>
        <v>0</v>
      </c>
      <c r="G465" s="37">
        <f t="array" ref="G465">IFERROR(SUMPRODUCT(('Production Inputs'!$A:$A="200mg DP")*('Production Inputs'!$B:$B="TOTAL ACTIVE")*'Production Inputs'!$DK:$DK),0)</f>
        <v>0</v>
      </c>
      <c r="H465" s="30">
        <f t="shared" si="49"/>
        <v>87828</v>
      </c>
      <c r="I465" s="30">
        <f ca="1">IFERROR(AVERAGEIF(OFFSET(F465,0,0,MIN(Controls!$B$8,COUNTIF(B465:B$1973,B465)),1),"&gt;"&amp;0),0)</f>
        <v>0</v>
      </c>
      <c r="J465" s="38">
        <f t="shared" ca="1" si="50"/>
        <v>999</v>
      </c>
      <c r="K465" s="30">
        <f t="shared" ca="1" si="54"/>
        <v>0</v>
      </c>
      <c r="L465" t="str">
        <f t="shared" ca="1" si="51"/>
        <v>Overstock</v>
      </c>
      <c r="M465" s="39">
        <f>IFERROR(VLOOKUP("200mg DP",Controls!A:I,7,0),6)</f>
        <v>9</v>
      </c>
      <c r="N465" s="39">
        <f>IFERROR(VLOOKUP("200mg DP",Controls!A:I,8,0),3)</f>
        <v>8</v>
      </c>
      <c r="O465" s="39">
        <f>IFERROR(VLOOKUP("200mg DP",Controls!A:I,9,0),18)</f>
        <v>18</v>
      </c>
      <c r="P465" s="40">
        <f>IFERROR(VLOOKUP("200mg DP",Controls!A:J,5,0),0)</f>
        <v>16200</v>
      </c>
      <c r="Q465" s="39">
        <f>IFERROR(VLOOKUP("200mg DP",Controls!A:J,6,0),3)</f>
        <v>5</v>
      </c>
      <c r="R465" s="21" t="str">
        <f>IFERROR(VLOOKUP("200mg DP",Controls!A:K,10,0),"")</f>
        <v>Catalent</v>
      </c>
      <c r="S465" s="41">
        <f t="shared" si="52"/>
        <v>49035</v>
      </c>
      <c r="T465" s="30">
        <f t="shared" si="53"/>
        <v>0</v>
      </c>
      <c r="AB465">
        <f t="shared" si="55"/>
        <v>35100</v>
      </c>
    </row>
    <row r="466" spans="1:28" ht="13" customHeight="1" x14ac:dyDescent="0.35">
      <c r="A466" s="153">
        <v>49218</v>
      </c>
      <c r="B466" s="36" t="s">
        <v>36</v>
      </c>
      <c r="C466" s="15" t="s">
        <v>38</v>
      </c>
      <c r="D466" s="15" t="s">
        <v>29</v>
      </c>
      <c r="E466" s="30">
        <f>H465</f>
        <v>87828</v>
      </c>
      <c r="F466" s="37" cm="1">
        <f t="array" ref="F466">IFERROR((SUMPRODUCT(('Production Inputs'!$A:$A="188mg LP")*('Production Inputs'!$B:$B="TOTAL ACTIVE")*'Production Inputs'!$DL:$DL)+SUMPRODUCT(('Production Inputs'!$A:$A="188mg LP - EU Stock")*('Production Inputs'!$B:$B="TOTAL ACTIVE")*'Production Inputs'!$DL:$DL))*Dependencies!$D$4,0)</f>
        <v>0</v>
      </c>
      <c r="G466" s="37">
        <f t="array" ref="G466">IFERROR(SUMPRODUCT(('Production Inputs'!$A:$A="200mg DP")*('Production Inputs'!$B:$B="TOTAL ACTIVE")*'Production Inputs'!$DL:$DL),0)</f>
        <v>0</v>
      </c>
      <c r="H466" s="30">
        <f t="shared" si="49"/>
        <v>87828</v>
      </c>
      <c r="I466" s="30">
        <f ca="1">IFERROR(AVERAGEIF(OFFSET(F466,0,0,MIN(Controls!$B$8,COUNTIF(B466:B$1973,B466)),1),"&gt;"&amp;0),0)</f>
        <v>0</v>
      </c>
      <c r="J466" s="38">
        <f t="shared" ca="1" si="50"/>
        <v>999</v>
      </c>
      <c r="K466" s="30">
        <f t="shared" ca="1" si="54"/>
        <v>0</v>
      </c>
      <c r="L466" t="str">
        <f t="shared" ca="1" si="51"/>
        <v>Overstock</v>
      </c>
      <c r="M466" s="39">
        <f>IFERROR(VLOOKUP("200mg DP",Controls!A:I,7,0),6)</f>
        <v>9</v>
      </c>
      <c r="N466" s="39">
        <f>IFERROR(VLOOKUP("200mg DP",Controls!A:I,8,0),3)</f>
        <v>8</v>
      </c>
      <c r="O466" s="39">
        <f>IFERROR(VLOOKUP("200mg DP",Controls!A:I,9,0),18)</f>
        <v>18</v>
      </c>
      <c r="P466" s="40">
        <f>IFERROR(VLOOKUP("200mg DP",Controls!A:J,5,0),0)</f>
        <v>16200</v>
      </c>
      <c r="Q466" s="39">
        <f>IFERROR(VLOOKUP("200mg DP",Controls!A:J,6,0),3)</f>
        <v>5</v>
      </c>
      <c r="R466" s="21" t="str">
        <f>IFERROR(VLOOKUP("200mg DP",Controls!A:K,10,0),"")</f>
        <v>Catalent</v>
      </c>
      <c r="S466" s="41">
        <f t="shared" si="52"/>
        <v>49065</v>
      </c>
      <c r="T466" s="30">
        <f t="shared" si="53"/>
        <v>0</v>
      </c>
      <c r="AB466">
        <f t="shared" si="55"/>
        <v>35100</v>
      </c>
    </row>
    <row r="467" spans="1:28" ht="13" customHeight="1" x14ac:dyDescent="0.35">
      <c r="A467" s="153">
        <v>49249</v>
      </c>
      <c r="B467" s="36" t="s">
        <v>36</v>
      </c>
      <c r="C467" s="15" t="s">
        <v>38</v>
      </c>
      <c r="D467" s="15" t="s">
        <v>29</v>
      </c>
      <c r="E467" s="30">
        <f>H466</f>
        <v>87828</v>
      </c>
      <c r="F467" s="37" cm="1">
        <f t="array" ref="F467">IFERROR((SUMPRODUCT(('Production Inputs'!$A:$A="188mg LP")*('Production Inputs'!$B:$B="TOTAL ACTIVE")*'Production Inputs'!$DM:$DM)+SUMPRODUCT(('Production Inputs'!$A:$A="188mg LP - EU Stock")*('Production Inputs'!$B:$B="TOTAL ACTIVE")*'Production Inputs'!$DM:$DM))*Dependencies!$D$4,0)</f>
        <v>0</v>
      </c>
      <c r="G467" s="37">
        <f t="array" ref="G467">IFERROR(SUMPRODUCT(('Production Inputs'!$A:$A="200mg DP")*('Production Inputs'!$B:$B="TOTAL ACTIVE")*'Production Inputs'!$DM:$DM),0)</f>
        <v>0</v>
      </c>
      <c r="H467" s="30">
        <f t="shared" si="49"/>
        <v>87828</v>
      </c>
      <c r="I467" s="30">
        <f ca="1">IFERROR(AVERAGEIF(OFFSET(F467,0,0,MIN(Controls!$B$8,COUNTIF(B467:B$1973,B467)),1),"&gt;"&amp;0),0)</f>
        <v>0</v>
      </c>
      <c r="J467" s="38">
        <f t="shared" ca="1" si="50"/>
        <v>999</v>
      </c>
      <c r="K467" s="30">
        <f t="shared" ca="1" si="54"/>
        <v>0</v>
      </c>
      <c r="L467" t="str">
        <f t="shared" ca="1" si="51"/>
        <v>Overstock</v>
      </c>
      <c r="M467" s="39">
        <f>IFERROR(VLOOKUP("200mg DP",Controls!A:I,7,0),6)</f>
        <v>9</v>
      </c>
      <c r="N467" s="39">
        <f>IFERROR(VLOOKUP("200mg DP",Controls!A:I,8,0),3)</f>
        <v>8</v>
      </c>
      <c r="O467" s="39">
        <f>IFERROR(VLOOKUP("200mg DP",Controls!A:I,9,0),18)</f>
        <v>18</v>
      </c>
      <c r="P467" s="40">
        <f>IFERROR(VLOOKUP("200mg DP",Controls!A:J,5,0),0)</f>
        <v>16200</v>
      </c>
      <c r="Q467" s="39">
        <f>IFERROR(VLOOKUP("200mg DP",Controls!A:J,6,0),3)</f>
        <v>5</v>
      </c>
      <c r="R467" s="21" t="str">
        <f>IFERROR(VLOOKUP("200mg DP",Controls!A:K,10,0),"")</f>
        <v>Catalent</v>
      </c>
      <c r="S467" s="41">
        <f t="shared" si="52"/>
        <v>49096</v>
      </c>
      <c r="T467" s="30">
        <f t="shared" si="53"/>
        <v>0</v>
      </c>
      <c r="AB467">
        <f t="shared" si="55"/>
        <v>35100</v>
      </c>
    </row>
    <row r="468" spans="1:28" ht="13" customHeight="1" x14ac:dyDescent="0.35">
      <c r="A468" s="153">
        <v>49279</v>
      </c>
      <c r="B468" s="36" t="s">
        <v>36</v>
      </c>
      <c r="C468" s="15" t="s">
        <v>38</v>
      </c>
      <c r="D468" s="15" t="s">
        <v>29</v>
      </c>
      <c r="E468" s="30">
        <f>H467</f>
        <v>87828</v>
      </c>
      <c r="F468" s="37" cm="1">
        <f t="array" ref="F468">IFERROR((SUMPRODUCT(('Production Inputs'!$A:$A="188mg LP")*('Production Inputs'!$B:$B="TOTAL ACTIVE")*'Production Inputs'!$DN:$DN)+SUMPRODUCT(('Production Inputs'!$A:$A="188mg LP - EU Stock")*('Production Inputs'!$B:$B="TOTAL ACTIVE")*'Production Inputs'!$DN:$DN))*Dependencies!$D$4,0)</f>
        <v>0</v>
      </c>
      <c r="G468" s="37">
        <f t="array" ref="G468">IFERROR(SUMPRODUCT(('Production Inputs'!$A:$A="200mg DP")*('Production Inputs'!$B:$B="TOTAL ACTIVE")*'Production Inputs'!$DN:$DN),0)</f>
        <v>0</v>
      </c>
      <c r="H468" s="30">
        <f t="shared" si="49"/>
        <v>87828</v>
      </c>
      <c r="I468" s="30">
        <f ca="1">IFERROR(AVERAGEIF(OFFSET(F468,0,0,MIN(Controls!$B$8,COUNTIF(B468:B$1973,B468)),1),"&gt;"&amp;0),0)</f>
        <v>0</v>
      </c>
      <c r="J468" s="38">
        <f t="shared" ca="1" si="50"/>
        <v>999</v>
      </c>
      <c r="K468" s="30">
        <f t="shared" ca="1" si="54"/>
        <v>0</v>
      </c>
      <c r="L468" t="str">
        <f t="shared" ca="1" si="51"/>
        <v>Overstock</v>
      </c>
      <c r="M468" s="39">
        <f>IFERROR(VLOOKUP("200mg DP",Controls!A:I,7,0),6)</f>
        <v>9</v>
      </c>
      <c r="N468" s="39">
        <f>IFERROR(VLOOKUP("200mg DP",Controls!A:I,8,0),3)</f>
        <v>8</v>
      </c>
      <c r="O468" s="39">
        <f>IFERROR(VLOOKUP("200mg DP",Controls!A:I,9,0),18)</f>
        <v>18</v>
      </c>
      <c r="P468" s="40">
        <f>IFERROR(VLOOKUP("200mg DP",Controls!A:J,5,0),0)</f>
        <v>16200</v>
      </c>
      <c r="Q468" s="39">
        <f>IFERROR(VLOOKUP("200mg DP",Controls!A:J,6,0),3)</f>
        <v>5</v>
      </c>
      <c r="R468" s="21" t="str">
        <f>IFERROR(VLOOKUP("200mg DP",Controls!A:K,10,0),"")</f>
        <v>Catalent</v>
      </c>
      <c r="S468" s="41">
        <f t="shared" si="52"/>
        <v>49126</v>
      </c>
      <c r="T468" s="30">
        <f t="shared" si="53"/>
        <v>0</v>
      </c>
      <c r="AB468">
        <f t="shared" si="55"/>
        <v>35100</v>
      </c>
    </row>
    <row r="469" spans="1:28" ht="13" customHeight="1" x14ac:dyDescent="0.35">
      <c r="A469" s="153">
        <v>49310</v>
      </c>
      <c r="B469" s="36" t="s">
        <v>36</v>
      </c>
      <c r="C469" s="15" t="s">
        <v>38</v>
      </c>
      <c r="D469" s="15" t="s">
        <v>29</v>
      </c>
      <c r="E469" s="30">
        <f>H468</f>
        <v>87828</v>
      </c>
      <c r="F469" s="37" cm="1">
        <f t="array" ref="F469">IFERROR((SUMPRODUCT(('Production Inputs'!$A:$A="188mg LP")*('Production Inputs'!$B:$B="TOTAL ACTIVE")*'Production Inputs'!$DO:$DO)+SUMPRODUCT(('Production Inputs'!$A:$A="188mg LP - EU Stock")*('Production Inputs'!$B:$B="TOTAL ACTIVE")*'Production Inputs'!$DO:$DO))*Dependencies!$D$4,0)</f>
        <v>0</v>
      </c>
      <c r="G469" s="37">
        <f t="array" ref="G469">IFERROR(SUMPRODUCT(('Production Inputs'!$A:$A="200mg DP")*('Production Inputs'!$B:$B="TOTAL ACTIVE")*'Production Inputs'!$DO:$DO),0)</f>
        <v>0</v>
      </c>
      <c r="H469" s="30">
        <f t="shared" si="49"/>
        <v>87828</v>
      </c>
      <c r="I469" s="30">
        <f ca="1">IFERROR(AVERAGEIF(OFFSET(F469,0,0,MIN(Controls!$B$8,COUNTIF(B469:B$1973,B469)),1),"&gt;"&amp;0),0)</f>
        <v>0</v>
      </c>
      <c r="J469" s="38">
        <f t="shared" ca="1" si="50"/>
        <v>999</v>
      </c>
      <c r="K469" s="30">
        <f t="shared" ca="1" si="54"/>
        <v>0</v>
      </c>
      <c r="L469" t="str">
        <f t="shared" ca="1" si="51"/>
        <v>Overstock</v>
      </c>
      <c r="M469" s="39">
        <f>IFERROR(VLOOKUP("200mg DP",Controls!A:I,7,0),6)</f>
        <v>9</v>
      </c>
      <c r="N469" s="39">
        <f>IFERROR(VLOOKUP("200mg DP",Controls!A:I,8,0),3)</f>
        <v>8</v>
      </c>
      <c r="O469" s="39">
        <f>IFERROR(VLOOKUP("200mg DP",Controls!A:I,9,0),18)</f>
        <v>18</v>
      </c>
      <c r="P469" s="40">
        <f>IFERROR(VLOOKUP("200mg DP",Controls!A:J,5,0),0)</f>
        <v>16200</v>
      </c>
      <c r="Q469" s="39">
        <f>IFERROR(VLOOKUP("200mg DP",Controls!A:J,6,0),3)</f>
        <v>5</v>
      </c>
      <c r="R469" s="21" t="str">
        <f>IFERROR(VLOOKUP("200mg DP",Controls!A:K,10,0),"")</f>
        <v>Catalent</v>
      </c>
      <c r="S469" s="41">
        <f t="shared" si="52"/>
        <v>49157</v>
      </c>
      <c r="T469" s="30">
        <f t="shared" si="53"/>
        <v>0</v>
      </c>
      <c r="AB469">
        <f t="shared" si="55"/>
        <v>35100</v>
      </c>
    </row>
    <row r="470" spans="1:28" ht="13" customHeight="1" x14ac:dyDescent="0.35">
      <c r="A470" s="153">
        <v>49341</v>
      </c>
      <c r="B470" s="36" t="s">
        <v>36</v>
      </c>
      <c r="C470" s="15" t="s">
        <v>38</v>
      </c>
      <c r="D470" s="15" t="s">
        <v>29</v>
      </c>
      <c r="E470" s="30">
        <f>H469</f>
        <v>87828</v>
      </c>
      <c r="F470" s="37" cm="1">
        <f t="array" ref="F470">IFERROR((SUMPRODUCT(('Production Inputs'!$A:$A="188mg LP")*('Production Inputs'!$B:$B="TOTAL ACTIVE")*'Production Inputs'!$DP:$DP)+SUMPRODUCT(('Production Inputs'!$A:$A="188mg LP - EU Stock")*('Production Inputs'!$B:$B="TOTAL ACTIVE")*'Production Inputs'!$DP:$DP))*Dependencies!$D$4,0)</f>
        <v>0</v>
      </c>
      <c r="G470" s="37">
        <f t="array" ref="G470">IFERROR(SUMPRODUCT(('Production Inputs'!$A:$A="200mg DP")*('Production Inputs'!$B:$B="TOTAL ACTIVE")*'Production Inputs'!$DP:$DP),0)</f>
        <v>0</v>
      </c>
      <c r="H470" s="30">
        <f t="shared" si="49"/>
        <v>87828</v>
      </c>
      <c r="I470" s="30">
        <f ca="1">IFERROR(AVERAGEIF(OFFSET(F470,0,0,MIN(Controls!$B$8,COUNTIF(B470:B$1973,B470)),1),"&gt;"&amp;0),0)</f>
        <v>0</v>
      </c>
      <c r="J470" s="38">
        <f t="shared" ca="1" si="50"/>
        <v>999</v>
      </c>
      <c r="K470" s="30">
        <f t="shared" ca="1" si="54"/>
        <v>0</v>
      </c>
      <c r="L470" t="str">
        <f t="shared" ca="1" si="51"/>
        <v>Overstock</v>
      </c>
      <c r="M470" s="39">
        <f>IFERROR(VLOOKUP("200mg DP",Controls!A:I,7,0),6)</f>
        <v>9</v>
      </c>
      <c r="N470" s="39">
        <f>IFERROR(VLOOKUP("200mg DP",Controls!A:I,8,0),3)</f>
        <v>8</v>
      </c>
      <c r="O470" s="39">
        <f>IFERROR(VLOOKUP("200mg DP",Controls!A:I,9,0),18)</f>
        <v>18</v>
      </c>
      <c r="P470" s="40">
        <f>IFERROR(VLOOKUP("200mg DP",Controls!A:J,5,0),0)</f>
        <v>16200</v>
      </c>
      <c r="Q470" s="39">
        <f>IFERROR(VLOOKUP("200mg DP",Controls!A:J,6,0),3)</f>
        <v>5</v>
      </c>
      <c r="R470" s="21" t="str">
        <f>IFERROR(VLOOKUP("200mg DP",Controls!A:K,10,0),"")</f>
        <v>Catalent</v>
      </c>
      <c r="S470" s="41">
        <f t="shared" si="52"/>
        <v>49188</v>
      </c>
      <c r="T470" s="30">
        <f t="shared" si="53"/>
        <v>0</v>
      </c>
      <c r="AB470">
        <f t="shared" si="55"/>
        <v>35100</v>
      </c>
    </row>
    <row r="471" spans="1:28" ht="13" customHeight="1" x14ac:dyDescent="0.35">
      <c r="A471" s="153">
        <v>49369</v>
      </c>
      <c r="B471" s="36" t="s">
        <v>36</v>
      </c>
      <c r="C471" s="15" t="s">
        <v>38</v>
      </c>
      <c r="D471" s="15" t="s">
        <v>29</v>
      </c>
      <c r="E471" s="30">
        <f>H470</f>
        <v>87828</v>
      </c>
      <c r="F471" s="37" cm="1">
        <f t="array" ref="F471">IFERROR((SUMPRODUCT(('Production Inputs'!$A:$A="188mg LP")*('Production Inputs'!$B:$B="TOTAL ACTIVE")*'Production Inputs'!$DQ:$DQ)+SUMPRODUCT(('Production Inputs'!$A:$A="188mg LP - EU Stock")*('Production Inputs'!$B:$B="TOTAL ACTIVE")*'Production Inputs'!$DQ:$DQ))*Dependencies!$D$4,0)</f>
        <v>0</v>
      </c>
      <c r="G471" s="37">
        <f t="array" ref="G471">IFERROR(SUMPRODUCT(('Production Inputs'!$A:$A="200mg DP")*('Production Inputs'!$B:$B="TOTAL ACTIVE")*'Production Inputs'!$DQ:$DQ),0)</f>
        <v>0</v>
      </c>
      <c r="H471" s="30">
        <f t="shared" si="49"/>
        <v>87828</v>
      </c>
      <c r="I471" s="30">
        <f ca="1">IFERROR(AVERAGEIF(OFFSET(F471,0,0,MIN(Controls!$B$8,COUNTIF(B471:B$1973,B471)),1),"&gt;"&amp;0),0)</f>
        <v>0</v>
      </c>
      <c r="J471" s="38">
        <f t="shared" ca="1" si="50"/>
        <v>999</v>
      </c>
      <c r="K471" s="30">
        <f t="shared" ca="1" si="54"/>
        <v>0</v>
      </c>
      <c r="L471" t="str">
        <f t="shared" ca="1" si="51"/>
        <v>Overstock</v>
      </c>
      <c r="M471" s="39">
        <f>IFERROR(VLOOKUP("200mg DP",Controls!A:I,7,0),6)</f>
        <v>9</v>
      </c>
      <c r="N471" s="39">
        <f>IFERROR(VLOOKUP("200mg DP",Controls!A:I,8,0),3)</f>
        <v>8</v>
      </c>
      <c r="O471" s="39">
        <f>IFERROR(VLOOKUP("200mg DP",Controls!A:I,9,0),18)</f>
        <v>18</v>
      </c>
      <c r="P471" s="40">
        <f>IFERROR(VLOOKUP("200mg DP",Controls!A:J,5,0),0)</f>
        <v>16200</v>
      </c>
      <c r="Q471" s="39">
        <f>IFERROR(VLOOKUP("200mg DP",Controls!A:J,6,0),3)</f>
        <v>5</v>
      </c>
      <c r="R471" s="21" t="str">
        <f>IFERROR(VLOOKUP("200mg DP",Controls!A:K,10,0),"")</f>
        <v>Catalent</v>
      </c>
      <c r="S471" s="41">
        <f t="shared" si="52"/>
        <v>49218</v>
      </c>
      <c r="T471" s="30">
        <f t="shared" si="53"/>
        <v>0</v>
      </c>
      <c r="AB471">
        <f t="shared" si="55"/>
        <v>35100</v>
      </c>
    </row>
    <row r="472" spans="1:28" ht="13" customHeight="1" x14ac:dyDescent="0.35">
      <c r="A472" s="153">
        <v>49400</v>
      </c>
      <c r="B472" s="36" t="s">
        <v>36</v>
      </c>
      <c r="C472" s="15" t="s">
        <v>38</v>
      </c>
      <c r="D472" s="15" t="s">
        <v>29</v>
      </c>
      <c r="E472" s="30">
        <f>H471</f>
        <v>87828</v>
      </c>
      <c r="F472" s="37" cm="1">
        <f t="array" ref="F472">IFERROR((SUMPRODUCT(('Production Inputs'!$A:$A="188mg LP")*('Production Inputs'!$B:$B="TOTAL ACTIVE")*'Production Inputs'!$DR:$DR)+SUMPRODUCT(('Production Inputs'!$A:$A="188mg LP - EU Stock")*('Production Inputs'!$B:$B="TOTAL ACTIVE")*'Production Inputs'!$DR:$DR))*Dependencies!$D$4,0)</f>
        <v>0</v>
      </c>
      <c r="G472" s="37">
        <f t="array" ref="G472">IFERROR(SUMPRODUCT(('Production Inputs'!$A:$A="200mg DP")*('Production Inputs'!$B:$B="TOTAL ACTIVE")*'Production Inputs'!$DR:$DR),0)</f>
        <v>0</v>
      </c>
      <c r="H472" s="30">
        <f t="shared" si="49"/>
        <v>87828</v>
      </c>
      <c r="I472" s="30">
        <f ca="1">IFERROR(AVERAGEIF(OFFSET(F472,0,0,MIN(Controls!$B$8,COUNTIF(B472:B$1973,B472)),1),"&gt;"&amp;0),0)</f>
        <v>0</v>
      </c>
      <c r="J472" s="38">
        <f t="shared" ca="1" si="50"/>
        <v>999</v>
      </c>
      <c r="K472" s="30">
        <f t="shared" ca="1" si="54"/>
        <v>0</v>
      </c>
      <c r="L472" t="str">
        <f t="shared" ca="1" si="51"/>
        <v>Overstock</v>
      </c>
      <c r="M472" s="39">
        <f>IFERROR(VLOOKUP("200mg DP",Controls!A:I,7,0),6)</f>
        <v>9</v>
      </c>
      <c r="N472" s="39">
        <f>IFERROR(VLOOKUP("200mg DP",Controls!A:I,8,0),3)</f>
        <v>8</v>
      </c>
      <c r="O472" s="39">
        <f>IFERROR(VLOOKUP("200mg DP",Controls!A:I,9,0),18)</f>
        <v>18</v>
      </c>
      <c r="P472" s="40">
        <f>IFERROR(VLOOKUP("200mg DP",Controls!A:J,5,0),0)</f>
        <v>16200</v>
      </c>
      <c r="Q472" s="39">
        <f>IFERROR(VLOOKUP("200mg DP",Controls!A:J,6,0),3)</f>
        <v>5</v>
      </c>
      <c r="R472" s="21" t="str">
        <f>IFERROR(VLOOKUP("200mg DP",Controls!A:K,10,0),"")</f>
        <v>Catalent</v>
      </c>
      <c r="S472" s="41">
        <f t="shared" si="52"/>
        <v>49249</v>
      </c>
      <c r="T472" s="30">
        <f t="shared" si="53"/>
        <v>0</v>
      </c>
      <c r="AB472">
        <f t="shared" si="55"/>
        <v>35100</v>
      </c>
    </row>
    <row r="473" spans="1:28" ht="13" customHeight="1" x14ac:dyDescent="0.35">
      <c r="A473" s="153">
        <v>49430</v>
      </c>
      <c r="B473" s="36" t="s">
        <v>36</v>
      </c>
      <c r="C473" s="15" t="s">
        <v>38</v>
      </c>
      <c r="D473" s="15" t="s">
        <v>29</v>
      </c>
      <c r="E473" s="30">
        <f>H472</f>
        <v>87828</v>
      </c>
      <c r="F473" s="37" cm="1">
        <f t="array" ref="F473">IFERROR((SUMPRODUCT(('Production Inputs'!$A:$A="188mg LP")*('Production Inputs'!$B:$B="TOTAL ACTIVE")*'Production Inputs'!$DS:$DS)+SUMPRODUCT(('Production Inputs'!$A:$A="188mg LP - EU Stock")*('Production Inputs'!$B:$B="TOTAL ACTIVE")*'Production Inputs'!$DS:$DS))*Dependencies!$D$4,0)</f>
        <v>0</v>
      </c>
      <c r="G473" s="37">
        <f t="array" ref="G473">IFERROR(SUMPRODUCT(('Production Inputs'!$A:$A="200mg DP")*('Production Inputs'!$B:$B="TOTAL ACTIVE")*'Production Inputs'!$DS:$DS),0)</f>
        <v>0</v>
      </c>
      <c r="H473" s="30">
        <f t="shared" si="49"/>
        <v>87828</v>
      </c>
      <c r="I473" s="30">
        <f ca="1">IFERROR(AVERAGEIF(OFFSET(F473,0,0,MIN(Controls!$B$8,COUNTIF(B473:B$1973,B473)),1),"&gt;"&amp;0),0)</f>
        <v>0</v>
      </c>
      <c r="J473" s="38">
        <f t="shared" ca="1" si="50"/>
        <v>999</v>
      </c>
      <c r="K473" s="30">
        <f t="shared" ca="1" si="54"/>
        <v>0</v>
      </c>
      <c r="L473" t="str">
        <f t="shared" ca="1" si="51"/>
        <v>Overstock</v>
      </c>
      <c r="M473" s="39">
        <f>IFERROR(VLOOKUP("200mg DP",Controls!A:I,7,0),6)</f>
        <v>9</v>
      </c>
      <c r="N473" s="39">
        <f>IFERROR(VLOOKUP("200mg DP",Controls!A:I,8,0),3)</f>
        <v>8</v>
      </c>
      <c r="O473" s="39">
        <f>IFERROR(VLOOKUP("200mg DP",Controls!A:I,9,0),18)</f>
        <v>18</v>
      </c>
      <c r="P473" s="40">
        <f>IFERROR(VLOOKUP("200mg DP",Controls!A:J,5,0),0)</f>
        <v>16200</v>
      </c>
      <c r="Q473" s="39">
        <f>IFERROR(VLOOKUP("200mg DP",Controls!A:J,6,0),3)</f>
        <v>5</v>
      </c>
      <c r="R473" s="21" t="str">
        <f>IFERROR(VLOOKUP("200mg DP",Controls!A:K,10,0),"")</f>
        <v>Catalent</v>
      </c>
      <c r="S473" s="41">
        <f t="shared" si="52"/>
        <v>49279</v>
      </c>
      <c r="T473" s="30">
        <f t="shared" si="53"/>
        <v>0</v>
      </c>
      <c r="AB473">
        <f t="shared" si="55"/>
        <v>35100</v>
      </c>
    </row>
    <row r="474" spans="1:28" ht="13" customHeight="1" x14ac:dyDescent="0.35">
      <c r="A474" s="153">
        <v>49461</v>
      </c>
      <c r="B474" s="36" t="s">
        <v>36</v>
      </c>
      <c r="C474" s="15" t="s">
        <v>38</v>
      </c>
      <c r="D474" s="15" t="s">
        <v>29</v>
      </c>
      <c r="E474" s="30">
        <f>H473</f>
        <v>87828</v>
      </c>
      <c r="F474" s="37" cm="1">
        <f t="array" ref="F474">IFERROR((SUMPRODUCT(('Production Inputs'!$A:$A="188mg LP")*('Production Inputs'!$B:$B="TOTAL ACTIVE")*'Production Inputs'!$DT:$DT)+SUMPRODUCT(('Production Inputs'!$A:$A="188mg LP - EU Stock")*('Production Inputs'!$B:$B="TOTAL ACTIVE")*'Production Inputs'!$DT:$DT))*Dependencies!$D$4,0)</f>
        <v>0</v>
      </c>
      <c r="G474" s="37">
        <f t="array" ref="G474">IFERROR(SUMPRODUCT(('Production Inputs'!$A:$A="200mg DP")*('Production Inputs'!$B:$B="TOTAL ACTIVE")*'Production Inputs'!$DT:$DT),0)</f>
        <v>0</v>
      </c>
      <c r="H474" s="30">
        <f t="shared" si="49"/>
        <v>87828</v>
      </c>
      <c r="I474" s="30">
        <f ca="1">IFERROR(AVERAGEIF(OFFSET(F474,0,0,MIN(Controls!$B$8,COUNTIF(B474:B$1973,B474)),1),"&gt;"&amp;0),0)</f>
        <v>0</v>
      </c>
      <c r="J474" s="38">
        <f t="shared" ca="1" si="50"/>
        <v>999</v>
      </c>
      <c r="K474" s="30">
        <f t="shared" ca="1" si="54"/>
        <v>0</v>
      </c>
      <c r="L474" t="str">
        <f t="shared" ca="1" si="51"/>
        <v>Overstock</v>
      </c>
      <c r="M474" s="39">
        <f>IFERROR(VLOOKUP("200mg DP",Controls!A:I,7,0),6)</f>
        <v>9</v>
      </c>
      <c r="N474" s="39">
        <f>IFERROR(VLOOKUP("200mg DP",Controls!A:I,8,0),3)</f>
        <v>8</v>
      </c>
      <c r="O474" s="39">
        <f>IFERROR(VLOOKUP("200mg DP",Controls!A:I,9,0),18)</f>
        <v>18</v>
      </c>
      <c r="P474" s="40">
        <f>IFERROR(VLOOKUP("200mg DP",Controls!A:J,5,0),0)</f>
        <v>16200</v>
      </c>
      <c r="Q474" s="39">
        <f>IFERROR(VLOOKUP("200mg DP",Controls!A:J,6,0),3)</f>
        <v>5</v>
      </c>
      <c r="R474" s="21" t="str">
        <f>IFERROR(VLOOKUP("200mg DP",Controls!A:K,10,0),"")</f>
        <v>Catalent</v>
      </c>
      <c r="S474" s="41">
        <f t="shared" si="52"/>
        <v>49310</v>
      </c>
      <c r="T474" s="30">
        <f t="shared" si="53"/>
        <v>0</v>
      </c>
      <c r="AB474">
        <f t="shared" si="55"/>
        <v>35100</v>
      </c>
    </row>
    <row r="475" spans="1:28" ht="13" customHeight="1" x14ac:dyDescent="0.35">
      <c r="A475" s="153">
        <v>49491</v>
      </c>
      <c r="B475" s="36" t="s">
        <v>36</v>
      </c>
      <c r="C475" s="15" t="s">
        <v>38</v>
      </c>
      <c r="D475" s="15" t="s">
        <v>29</v>
      </c>
      <c r="E475" s="30">
        <f>H474</f>
        <v>87828</v>
      </c>
      <c r="F475" s="37" cm="1">
        <f t="array" ref="F475">IFERROR((SUMPRODUCT(('Production Inputs'!$A:$A="188mg LP")*('Production Inputs'!$B:$B="TOTAL ACTIVE")*'Production Inputs'!$DU:$DU)+SUMPRODUCT(('Production Inputs'!$A:$A="188mg LP - EU Stock")*('Production Inputs'!$B:$B="TOTAL ACTIVE")*'Production Inputs'!$DU:$DU))*Dependencies!$D$4,0)</f>
        <v>0</v>
      </c>
      <c r="G475" s="37">
        <f t="array" ref="G475">IFERROR(SUMPRODUCT(('Production Inputs'!$A:$A="200mg DP")*('Production Inputs'!$B:$B="TOTAL ACTIVE")*'Production Inputs'!$DU:$DU),0)</f>
        <v>0</v>
      </c>
      <c r="H475" s="30">
        <f t="shared" si="49"/>
        <v>87828</v>
      </c>
      <c r="I475" s="30">
        <f ca="1">IFERROR(AVERAGEIF(OFFSET(F475,0,0,MIN(Controls!$B$8,COUNTIF(B475:B$1973,B475)),1),"&gt;"&amp;0),0)</f>
        <v>0</v>
      </c>
      <c r="J475" s="38">
        <f t="shared" ca="1" si="50"/>
        <v>999</v>
      </c>
      <c r="K475" s="30">
        <f t="shared" ca="1" si="54"/>
        <v>0</v>
      </c>
      <c r="L475" t="str">
        <f t="shared" ca="1" si="51"/>
        <v>Overstock</v>
      </c>
      <c r="M475" s="39">
        <f>IFERROR(VLOOKUP("200mg DP",Controls!A:I,7,0),6)</f>
        <v>9</v>
      </c>
      <c r="N475" s="39">
        <f>IFERROR(VLOOKUP("200mg DP",Controls!A:I,8,0),3)</f>
        <v>8</v>
      </c>
      <c r="O475" s="39">
        <f>IFERROR(VLOOKUP("200mg DP",Controls!A:I,9,0),18)</f>
        <v>18</v>
      </c>
      <c r="P475" s="40">
        <f>IFERROR(VLOOKUP("200mg DP",Controls!A:J,5,0),0)</f>
        <v>16200</v>
      </c>
      <c r="Q475" s="39">
        <f>IFERROR(VLOOKUP("200mg DP",Controls!A:J,6,0),3)</f>
        <v>5</v>
      </c>
      <c r="R475" s="21" t="str">
        <f>IFERROR(VLOOKUP("200mg DP",Controls!A:K,10,0),"")</f>
        <v>Catalent</v>
      </c>
      <c r="S475" s="41">
        <f t="shared" si="52"/>
        <v>49341</v>
      </c>
      <c r="T475" s="30">
        <f t="shared" si="53"/>
        <v>0</v>
      </c>
      <c r="AB475">
        <f t="shared" si="55"/>
        <v>35100</v>
      </c>
    </row>
    <row r="476" spans="1:28" ht="13" customHeight="1" x14ac:dyDescent="0.35">
      <c r="A476" s="153">
        <v>49522</v>
      </c>
      <c r="B476" s="36" t="s">
        <v>36</v>
      </c>
      <c r="C476" s="15" t="s">
        <v>38</v>
      </c>
      <c r="D476" s="15" t="s">
        <v>29</v>
      </c>
      <c r="E476" s="30">
        <f>H475</f>
        <v>87828</v>
      </c>
      <c r="F476" s="37" cm="1">
        <f t="array" ref="F476">IFERROR((SUMPRODUCT(('Production Inputs'!$A:$A="188mg LP")*('Production Inputs'!$B:$B="TOTAL ACTIVE")*'Production Inputs'!$DV:$DV)+SUMPRODUCT(('Production Inputs'!$A:$A="188mg LP - EU Stock")*('Production Inputs'!$B:$B="TOTAL ACTIVE")*'Production Inputs'!$DV:$DV))*Dependencies!$D$4,0)</f>
        <v>0</v>
      </c>
      <c r="G476" s="37">
        <f t="array" ref="G476">IFERROR(SUMPRODUCT(('Production Inputs'!$A:$A="200mg DP")*('Production Inputs'!$B:$B="TOTAL ACTIVE")*'Production Inputs'!$DV:$DV),0)</f>
        <v>0</v>
      </c>
      <c r="H476" s="30">
        <f t="shared" si="49"/>
        <v>87828</v>
      </c>
      <c r="I476" s="30">
        <f ca="1">IFERROR(AVERAGEIF(OFFSET(F476,0,0,MIN(Controls!$B$8,COUNTIF(B476:B$1973,B476)),1),"&gt;"&amp;0),0)</f>
        <v>0</v>
      </c>
      <c r="J476" s="38">
        <f t="shared" ca="1" si="50"/>
        <v>999</v>
      </c>
      <c r="K476" s="30">
        <f t="shared" ca="1" si="54"/>
        <v>0</v>
      </c>
      <c r="L476" t="str">
        <f t="shared" ca="1" si="51"/>
        <v>Overstock</v>
      </c>
      <c r="M476" s="39">
        <f>IFERROR(VLOOKUP("200mg DP",Controls!A:I,7,0),6)</f>
        <v>9</v>
      </c>
      <c r="N476" s="39">
        <f>IFERROR(VLOOKUP("200mg DP",Controls!A:I,8,0),3)</f>
        <v>8</v>
      </c>
      <c r="O476" s="39">
        <f>IFERROR(VLOOKUP("200mg DP",Controls!A:I,9,0),18)</f>
        <v>18</v>
      </c>
      <c r="P476" s="40">
        <f>IFERROR(VLOOKUP("200mg DP",Controls!A:J,5,0),0)</f>
        <v>16200</v>
      </c>
      <c r="Q476" s="39">
        <f>IFERROR(VLOOKUP("200mg DP",Controls!A:J,6,0),3)</f>
        <v>5</v>
      </c>
      <c r="R476" s="21" t="str">
        <f>IFERROR(VLOOKUP("200mg DP",Controls!A:K,10,0),"")</f>
        <v>Catalent</v>
      </c>
      <c r="S476" s="41">
        <f t="shared" si="52"/>
        <v>49369</v>
      </c>
      <c r="T476" s="30">
        <f t="shared" si="53"/>
        <v>0</v>
      </c>
      <c r="AB476">
        <f t="shared" si="55"/>
        <v>35100</v>
      </c>
    </row>
    <row r="477" spans="1:28" ht="13" customHeight="1" x14ac:dyDescent="0.35">
      <c r="A477" s="153">
        <v>49553</v>
      </c>
      <c r="B477" s="36" t="s">
        <v>36</v>
      </c>
      <c r="C477" s="15" t="s">
        <v>38</v>
      </c>
      <c r="D477" s="15" t="s">
        <v>29</v>
      </c>
      <c r="E477" s="30">
        <f>H476</f>
        <v>87828</v>
      </c>
      <c r="F477" s="37" cm="1">
        <f t="array" ref="F477">IFERROR((SUMPRODUCT(('Production Inputs'!$A:$A="188mg LP")*('Production Inputs'!$B:$B="TOTAL ACTIVE")*'Production Inputs'!$DW:$DW)+SUMPRODUCT(('Production Inputs'!$A:$A="188mg LP - EU Stock")*('Production Inputs'!$B:$B="TOTAL ACTIVE")*'Production Inputs'!$DW:$DW))*Dependencies!$D$4,0)</f>
        <v>0</v>
      </c>
      <c r="G477" s="37">
        <f t="array" ref="G477">IFERROR(SUMPRODUCT(('Production Inputs'!$A:$A="200mg DP")*('Production Inputs'!$B:$B="TOTAL ACTIVE")*'Production Inputs'!$DW:$DW),0)</f>
        <v>0</v>
      </c>
      <c r="H477" s="30">
        <f t="shared" si="49"/>
        <v>87828</v>
      </c>
      <c r="I477" s="30">
        <f ca="1">IFERROR(AVERAGEIF(OFFSET(F477,0,0,MIN(Controls!$B$8,COUNTIF(B477:B$1973,B477)),1),"&gt;"&amp;0),0)</f>
        <v>0</v>
      </c>
      <c r="J477" s="38">
        <f t="shared" ca="1" si="50"/>
        <v>999</v>
      </c>
      <c r="K477" s="30">
        <f t="shared" ca="1" si="54"/>
        <v>0</v>
      </c>
      <c r="L477" t="str">
        <f t="shared" ca="1" si="51"/>
        <v>Overstock</v>
      </c>
      <c r="M477" s="39">
        <f>IFERROR(VLOOKUP("200mg DP",Controls!A:I,7,0),6)</f>
        <v>9</v>
      </c>
      <c r="N477" s="39">
        <f>IFERROR(VLOOKUP("200mg DP",Controls!A:I,8,0),3)</f>
        <v>8</v>
      </c>
      <c r="O477" s="39">
        <f>IFERROR(VLOOKUP("200mg DP",Controls!A:I,9,0),18)</f>
        <v>18</v>
      </c>
      <c r="P477" s="40">
        <f>IFERROR(VLOOKUP("200mg DP",Controls!A:J,5,0),0)</f>
        <v>16200</v>
      </c>
      <c r="Q477" s="39">
        <f>IFERROR(VLOOKUP("200mg DP",Controls!A:J,6,0),3)</f>
        <v>5</v>
      </c>
      <c r="R477" s="21" t="str">
        <f>IFERROR(VLOOKUP("200mg DP",Controls!A:K,10,0),"")</f>
        <v>Catalent</v>
      </c>
      <c r="S477" s="41">
        <f t="shared" si="52"/>
        <v>49400</v>
      </c>
      <c r="T477" s="30">
        <f t="shared" si="53"/>
        <v>0</v>
      </c>
      <c r="AB477">
        <f t="shared" si="55"/>
        <v>35100</v>
      </c>
    </row>
    <row r="478" spans="1:28" ht="13" customHeight="1" x14ac:dyDescent="0.35">
      <c r="A478" s="153">
        <v>49583</v>
      </c>
      <c r="B478" s="36" t="s">
        <v>36</v>
      </c>
      <c r="C478" s="15" t="s">
        <v>38</v>
      </c>
      <c r="D478" s="15" t="s">
        <v>29</v>
      </c>
      <c r="E478" s="30">
        <f>H477</f>
        <v>87828</v>
      </c>
      <c r="F478" s="37" cm="1">
        <f t="array" ref="F478">IFERROR((SUMPRODUCT(('Production Inputs'!$A:$A="188mg LP")*('Production Inputs'!$B:$B="TOTAL ACTIVE")*'Production Inputs'!$DX:$DX)+SUMPRODUCT(('Production Inputs'!$A:$A="188mg LP - EU Stock")*('Production Inputs'!$B:$B="TOTAL ACTIVE")*'Production Inputs'!$DX:$DX))*Dependencies!$D$4,0)</f>
        <v>0</v>
      </c>
      <c r="G478" s="37">
        <f t="array" ref="G478">IFERROR(SUMPRODUCT(('Production Inputs'!$A:$A="200mg DP")*('Production Inputs'!$B:$B="TOTAL ACTIVE")*'Production Inputs'!$DX:$DX),0)</f>
        <v>0</v>
      </c>
      <c r="H478" s="30">
        <f t="shared" si="49"/>
        <v>87828</v>
      </c>
      <c r="I478" s="30">
        <f ca="1">IFERROR(AVERAGEIF(OFFSET(F478,0,0,MIN(Controls!$B$8,COUNTIF(B478:B$1973,B478)),1),"&gt;"&amp;0),0)</f>
        <v>0</v>
      </c>
      <c r="J478" s="38">
        <f t="shared" ca="1" si="50"/>
        <v>999</v>
      </c>
      <c r="K478" s="30">
        <f t="shared" ca="1" si="54"/>
        <v>0</v>
      </c>
      <c r="L478" t="str">
        <f t="shared" ca="1" si="51"/>
        <v>Overstock</v>
      </c>
      <c r="M478" s="39">
        <f>IFERROR(VLOOKUP("200mg DP",Controls!A:I,7,0),6)</f>
        <v>9</v>
      </c>
      <c r="N478" s="39">
        <f>IFERROR(VLOOKUP("200mg DP",Controls!A:I,8,0),3)</f>
        <v>8</v>
      </c>
      <c r="O478" s="39">
        <f>IFERROR(VLOOKUP("200mg DP",Controls!A:I,9,0),18)</f>
        <v>18</v>
      </c>
      <c r="P478" s="40">
        <f>IFERROR(VLOOKUP("200mg DP",Controls!A:J,5,0),0)</f>
        <v>16200</v>
      </c>
      <c r="Q478" s="39">
        <f>IFERROR(VLOOKUP("200mg DP",Controls!A:J,6,0),3)</f>
        <v>5</v>
      </c>
      <c r="R478" s="21" t="str">
        <f>IFERROR(VLOOKUP("200mg DP",Controls!A:K,10,0),"")</f>
        <v>Catalent</v>
      </c>
      <c r="S478" s="41">
        <f t="shared" si="52"/>
        <v>49430</v>
      </c>
      <c r="T478" s="30">
        <f t="shared" si="53"/>
        <v>0</v>
      </c>
      <c r="AB478">
        <f t="shared" si="55"/>
        <v>35100</v>
      </c>
    </row>
    <row r="479" spans="1:28" ht="13" customHeight="1" x14ac:dyDescent="0.35">
      <c r="A479" s="153">
        <v>49614</v>
      </c>
      <c r="B479" s="36" t="s">
        <v>36</v>
      </c>
      <c r="C479" s="15" t="s">
        <v>38</v>
      </c>
      <c r="D479" s="15" t="s">
        <v>29</v>
      </c>
      <c r="E479" s="30">
        <f>H478</f>
        <v>87828</v>
      </c>
      <c r="F479" s="37" cm="1">
        <f t="array" ref="F479">IFERROR((SUMPRODUCT(('Production Inputs'!$A:$A="188mg LP")*('Production Inputs'!$B:$B="TOTAL ACTIVE")*'Production Inputs'!$DY:$DY)+SUMPRODUCT(('Production Inputs'!$A:$A="188mg LP - EU Stock")*('Production Inputs'!$B:$B="TOTAL ACTIVE")*'Production Inputs'!$DY:$DY))*Dependencies!$D$4,0)</f>
        <v>0</v>
      </c>
      <c r="G479" s="37">
        <f t="array" ref="G479">IFERROR(SUMPRODUCT(('Production Inputs'!$A:$A="200mg DP")*('Production Inputs'!$B:$B="TOTAL ACTIVE")*'Production Inputs'!$DY:$DY),0)</f>
        <v>0</v>
      </c>
      <c r="H479" s="30">
        <f t="shared" si="49"/>
        <v>87828</v>
      </c>
      <c r="I479" s="30">
        <f ca="1">IFERROR(AVERAGEIF(OFFSET(F479,0,0,MIN(Controls!$B$8,COUNTIF(B479:B$1973,B479)),1),"&gt;"&amp;0),0)</f>
        <v>0</v>
      </c>
      <c r="J479" s="38">
        <f t="shared" ca="1" si="50"/>
        <v>999</v>
      </c>
      <c r="K479" s="30">
        <f t="shared" ca="1" si="54"/>
        <v>0</v>
      </c>
      <c r="L479" t="str">
        <f t="shared" ca="1" si="51"/>
        <v>Overstock</v>
      </c>
      <c r="M479" s="39">
        <f>IFERROR(VLOOKUP("200mg DP",Controls!A:I,7,0),6)</f>
        <v>9</v>
      </c>
      <c r="N479" s="39">
        <f>IFERROR(VLOOKUP("200mg DP",Controls!A:I,8,0),3)</f>
        <v>8</v>
      </c>
      <c r="O479" s="39">
        <f>IFERROR(VLOOKUP("200mg DP",Controls!A:I,9,0),18)</f>
        <v>18</v>
      </c>
      <c r="P479" s="40">
        <f>IFERROR(VLOOKUP("200mg DP",Controls!A:J,5,0),0)</f>
        <v>16200</v>
      </c>
      <c r="Q479" s="39">
        <f>IFERROR(VLOOKUP("200mg DP",Controls!A:J,6,0),3)</f>
        <v>5</v>
      </c>
      <c r="R479" s="21" t="str">
        <f>IFERROR(VLOOKUP("200mg DP",Controls!A:K,10,0),"")</f>
        <v>Catalent</v>
      </c>
      <c r="S479" s="41">
        <f t="shared" si="52"/>
        <v>49461</v>
      </c>
      <c r="T479" s="30">
        <f t="shared" si="53"/>
        <v>0</v>
      </c>
      <c r="AB479">
        <f t="shared" si="55"/>
        <v>35100</v>
      </c>
    </row>
    <row r="480" spans="1:28" ht="13" customHeight="1" x14ac:dyDescent="0.35">
      <c r="A480" s="153">
        <v>49644</v>
      </c>
      <c r="B480" s="36" t="s">
        <v>36</v>
      </c>
      <c r="C480" s="15" t="s">
        <v>38</v>
      </c>
      <c r="D480" s="15" t="s">
        <v>29</v>
      </c>
      <c r="E480" s="30">
        <f>H479</f>
        <v>87828</v>
      </c>
      <c r="F480" s="37" cm="1">
        <f t="array" ref="F480">IFERROR((SUMPRODUCT(('Production Inputs'!$A:$A="188mg LP")*('Production Inputs'!$B:$B="TOTAL ACTIVE")*'Production Inputs'!$DZ:$DZ)+SUMPRODUCT(('Production Inputs'!$A:$A="188mg LP - EU Stock")*('Production Inputs'!$B:$B="TOTAL ACTIVE")*'Production Inputs'!$DZ:$DZ))*Dependencies!$D$4,0)</f>
        <v>0</v>
      </c>
      <c r="G480" s="37">
        <f t="array" ref="G480">IFERROR(SUMPRODUCT(('Production Inputs'!$A:$A="200mg DP")*('Production Inputs'!$B:$B="TOTAL ACTIVE")*'Production Inputs'!$DZ:$DZ),0)</f>
        <v>0</v>
      </c>
      <c r="H480" s="30">
        <f t="shared" si="49"/>
        <v>87828</v>
      </c>
      <c r="I480" s="30">
        <f ca="1">IFERROR(AVERAGEIF(OFFSET(F480,0,0,MIN(Controls!$B$8,COUNTIF(B480:B$1973,B480)),1),"&gt;"&amp;0),0)</f>
        <v>0</v>
      </c>
      <c r="J480" s="38">
        <f t="shared" ca="1" si="50"/>
        <v>999</v>
      </c>
      <c r="K480" s="30">
        <f t="shared" ca="1" si="54"/>
        <v>0</v>
      </c>
      <c r="L480" t="str">
        <f t="shared" ca="1" si="51"/>
        <v>Overstock</v>
      </c>
      <c r="M480" s="39">
        <f>IFERROR(VLOOKUP("200mg DP",Controls!A:I,7,0),6)</f>
        <v>9</v>
      </c>
      <c r="N480" s="39">
        <f>IFERROR(VLOOKUP("200mg DP",Controls!A:I,8,0),3)</f>
        <v>8</v>
      </c>
      <c r="O480" s="39">
        <f>IFERROR(VLOOKUP("200mg DP",Controls!A:I,9,0),18)</f>
        <v>18</v>
      </c>
      <c r="P480" s="40">
        <f>IFERROR(VLOOKUP("200mg DP",Controls!A:J,5,0),0)</f>
        <v>16200</v>
      </c>
      <c r="Q480" s="39">
        <f>IFERROR(VLOOKUP("200mg DP",Controls!A:J,6,0),3)</f>
        <v>5</v>
      </c>
      <c r="R480" s="21" t="str">
        <f>IFERROR(VLOOKUP("200mg DP",Controls!A:K,10,0),"")</f>
        <v>Catalent</v>
      </c>
      <c r="S480" s="41">
        <f t="shared" si="52"/>
        <v>49491</v>
      </c>
      <c r="T480" s="30">
        <f t="shared" si="53"/>
        <v>0</v>
      </c>
      <c r="AB480">
        <f t="shared" si="55"/>
        <v>35100</v>
      </c>
    </row>
    <row r="481" spans="1:28" ht="13" customHeight="1" x14ac:dyDescent="0.35">
      <c r="A481" s="153">
        <v>49675</v>
      </c>
      <c r="B481" s="36" t="s">
        <v>36</v>
      </c>
      <c r="C481" s="15" t="s">
        <v>38</v>
      </c>
      <c r="D481" s="15" t="s">
        <v>29</v>
      </c>
      <c r="E481" s="30">
        <f>H480</f>
        <v>87828</v>
      </c>
      <c r="F481" s="37" cm="1">
        <f t="array" ref="F481">IFERROR((SUMPRODUCT(('Production Inputs'!$A:$A="188mg LP")*('Production Inputs'!$B:$B="TOTAL ACTIVE")*'Production Inputs'!$EA:$EA)+SUMPRODUCT(('Production Inputs'!$A:$A="188mg LP - EU Stock")*('Production Inputs'!$B:$B="TOTAL ACTIVE")*'Production Inputs'!$EA:$EA))*Dependencies!$D$4,0)</f>
        <v>0</v>
      </c>
      <c r="G481" s="37">
        <f t="array" ref="G481">IFERROR(SUMPRODUCT(('Production Inputs'!$A:$A="200mg DP")*('Production Inputs'!$B:$B="TOTAL ACTIVE")*'Production Inputs'!$EA:$EA),0)</f>
        <v>0</v>
      </c>
      <c r="H481" s="30">
        <f t="shared" si="49"/>
        <v>87828</v>
      </c>
      <c r="I481" s="30">
        <f ca="1">IFERROR(AVERAGEIF(OFFSET(F481,0,0,MIN(Controls!$B$8,COUNTIF(B481:B$1973,B481)),1),"&gt;"&amp;0),0)</f>
        <v>0</v>
      </c>
      <c r="J481" s="38">
        <f t="shared" ca="1" si="50"/>
        <v>999</v>
      </c>
      <c r="K481" s="30">
        <f t="shared" ca="1" si="54"/>
        <v>0</v>
      </c>
      <c r="L481" t="str">
        <f t="shared" ca="1" si="51"/>
        <v>Overstock</v>
      </c>
      <c r="M481" s="39">
        <f>IFERROR(VLOOKUP("200mg DP",Controls!A:I,7,0),6)</f>
        <v>9</v>
      </c>
      <c r="N481" s="39">
        <f>IFERROR(VLOOKUP("200mg DP",Controls!A:I,8,0),3)</f>
        <v>8</v>
      </c>
      <c r="O481" s="39">
        <f>IFERROR(VLOOKUP("200mg DP",Controls!A:I,9,0),18)</f>
        <v>18</v>
      </c>
      <c r="P481" s="40">
        <f>IFERROR(VLOOKUP("200mg DP",Controls!A:J,5,0),0)</f>
        <v>16200</v>
      </c>
      <c r="Q481" s="39">
        <f>IFERROR(VLOOKUP("200mg DP",Controls!A:J,6,0),3)</f>
        <v>5</v>
      </c>
      <c r="R481" s="21" t="str">
        <f>IFERROR(VLOOKUP("200mg DP",Controls!A:K,10,0),"")</f>
        <v>Catalent</v>
      </c>
      <c r="S481" s="41">
        <f t="shared" si="52"/>
        <v>49522</v>
      </c>
      <c r="T481" s="30">
        <f t="shared" si="53"/>
        <v>0</v>
      </c>
      <c r="AB481">
        <f t="shared" si="55"/>
        <v>35100</v>
      </c>
    </row>
    <row r="482" spans="1:28" ht="13" customHeight="1" x14ac:dyDescent="0.35">
      <c r="A482" s="153">
        <v>49706</v>
      </c>
      <c r="B482" s="36" t="s">
        <v>36</v>
      </c>
      <c r="C482" s="15" t="s">
        <v>38</v>
      </c>
      <c r="D482" s="15" t="s">
        <v>29</v>
      </c>
      <c r="E482" s="30">
        <f>H481</f>
        <v>87828</v>
      </c>
      <c r="F482" s="37" cm="1">
        <f t="array" ref="F482">IFERROR((SUMPRODUCT(('Production Inputs'!$A:$A="188mg LP")*('Production Inputs'!$B:$B="TOTAL ACTIVE")*'Production Inputs'!$EB:$EB)+SUMPRODUCT(('Production Inputs'!$A:$A="188mg LP - EU Stock")*('Production Inputs'!$B:$B="TOTAL ACTIVE")*'Production Inputs'!$EB:$EB))*Dependencies!$D$4,0)</f>
        <v>0</v>
      </c>
      <c r="G482" s="37">
        <f t="array" ref="G482">IFERROR(SUMPRODUCT(('Production Inputs'!$A:$A="200mg DP")*('Production Inputs'!$B:$B="TOTAL ACTIVE")*'Production Inputs'!$EB:$EB),0)</f>
        <v>0</v>
      </c>
      <c r="H482" s="30">
        <f t="shared" si="49"/>
        <v>87828</v>
      </c>
      <c r="I482" s="30">
        <f ca="1">IFERROR(AVERAGEIF(OFFSET(F482,0,0,MIN(Controls!$B$8,COUNTIF(B482:B$1973,B482)),1),"&gt;"&amp;0),0)</f>
        <v>0</v>
      </c>
      <c r="J482" s="38">
        <f t="shared" ca="1" si="50"/>
        <v>999</v>
      </c>
      <c r="K482" s="30">
        <f t="shared" ca="1" si="54"/>
        <v>0</v>
      </c>
      <c r="L482" t="str">
        <f t="shared" ca="1" si="51"/>
        <v>Overstock</v>
      </c>
      <c r="M482" s="39">
        <f>IFERROR(VLOOKUP("200mg DP",Controls!A:I,7,0),6)</f>
        <v>9</v>
      </c>
      <c r="N482" s="39">
        <f>IFERROR(VLOOKUP("200mg DP",Controls!A:I,8,0),3)</f>
        <v>8</v>
      </c>
      <c r="O482" s="39">
        <f>IFERROR(VLOOKUP("200mg DP",Controls!A:I,9,0),18)</f>
        <v>18</v>
      </c>
      <c r="P482" s="40">
        <f>IFERROR(VLOOKUP("200mg DP",Controls!A:J,5,0),0)</f>
        <v>16200</v>
      </c>
      <c r="Q482" s="39">
        <f>IFERROR(VLOOKUP("200mg DP",Controls!A:J,6,0),3)</f>
        <v>5</v>
      </c>
      <c r="R482" s="21" t="str">
        <f>IFERROR(VLOOKUP("200mg DP",Controls!A:K,10,0),"")</f>
        <v>Catalent</v>
      </c>
      <c r="S482" s="41">
        <f t="shared" si="52"/>
        <v>49553</v>
      </c>
      <c r="T482" s="30">
        <f t="shared" si="53"/>
        <v>0</v>
      </c>
      <c r="AB482">
        <f t="shared" si="55"/>
        <v>35100</v>
      </c>
    </row>
    <row r="483" spans="1:28" ht="13" customHeight="1" x14ac:dyDescent="0.35">
      <c r="A483" s="153">
        <v>49735</v>
      </c>
      <c r="B483" s="36" t="s">
        <v>36</v>
      </c>
      <c r="C483" s="15" t="s">
        <v>38</v>
      </c>
      <c r="D483" s="15" t="s">
        <v>29</v>
      </c>
      <c r="E483" s="30">
        <f>H482</f>
        <v>87828</v>
      </c>
      <c r="F483" s="37" cm="1">
        <f t="array" ref="F483">IFERROR((SUMPRODUCT(('Production Inputs'!$A:$A="188mg LP")*('Production Inputs'!$B:$B="TOTAL ACTIVE")*'Production Inputs'!$EC:$EC)+SUMPRODUCT(('Production Inputs'!$A:$A="188mg LP - EU Stock")*('Production Inputs'!$B:$B="TOTAL ACTIVE")*'Production Inputs'!$EC:$EC))*Dependencies!$D$4,0)</f>
        <v>0</v>
      </c>
      <c r="G483" s="37">
        <f t="array" ref="G483">IFERROR(SUMPRODUCT(('Production Inputs'!$A:$A="200mg DP")*('Production Inputs'!$B:$B="TOTAL ACTIVE")*'Production Inputs'!$EC:$EC),0)</f>
        <v>0</v>
      </c>
      <c r="H483" s="30">
        <f t="shared" si="49"/>
        <v>87828</v>
      </c>
      <c r="I483" s="30">
        <f ca="1">IFERROR(AVERAGEIF(OFFSET(F483,0,0,MIN(Controls!$B$8,COUNTIF(B483:B$1973,B483)),1),"&gt;"&amp;0),0)</f>
        <v>0</v>
      </c>
      <c r="J483" s="38">
        <f t="shared" ca="1" si="50"/>
        <v>999</v>
      </c>
      <c r="K483" s="30">
        <f t="shared" ca="1" si="54"/>
        <v>0</v>
      </c>
      <c r="L483" t="str">
        <f t="shared" ca="1" si="51"/>
        <v>Overstock</v>
      </c>
      <c r="M483" s="39">
        <f>IFERROR(VLOOKUP("200mg DP",Controls!A:I,7,0),6)</f>
        <v>9</v>
      </c>
      <c r="N483" s="39">
        <f>IFERROR(VLOOKUP("200mg DP",Controls!A:I,8,0),3)</f>
        <v>8</v>
      </c>
      <c r="O483" s="39">
        <f>IFERROR(VLOOKUP("200mg DP",Controls!A:I,9,0),18)</f>
        <v>18</v>
      </c>
      <c r="P483" s="40">
        <f>IFERROR(VLOOKUP("200mg DP",Controls!A:J,5,0),0)</f>
        <v>16200</v>
      </c>
      <c r="Q483" s="39">
        <f>IFERROR(VLOOKUP("200mg DP",Controls!A:J,6,0),3)</f>
        <v>5</v>
      </c>
      <c r="R483" s="21" t="str">
        <f>IFERROR(VLOOKUP("200mg DP",Controls!A:K,10,0),"")</f>
        <v>Catalent</v>
      </c>
      <c r="S483" s="41">
        <f t="shared" si="52"/>
        <v>49583</v>
      </c>
      <c r="T483" s="30">
        <f t="shared" si="53"/>
        <v>0</v>
      </c>
      <c r="AB483">
        <f t="shared" si="55"/>
        <v>35100</v>
      </c>
    </row>
    <row r="484" spans="1:28" ht="13" customHeight="1" x14ac:dyDescent="0.35">
      <c r="A484" s="153">
        <v>49766</v>
      </c>
      <c r="B484" s="36" t="s">
        <v>36</v>
      </c>
      <c r="C484" s="15" t="s">
        <v>38</v>
      </c>
      <c r="D484" s="15" t="s">
        <v>29</v>
      </c>
      <c r="E484" s="30">
        <f>H483</f>
        <v>87828</v>
      </c>
      <c r="F484" s="37" cm="1">
        <f t="array" ref="F484">IFERROR((SUMPRODUCT(('Production Inputs'!$A:$A="188mg LP")*('Production Inputs'!$B:$B="TOTAL ACTIVE")*'Production Inputs'!$ED:$ED)+SUMPRODUCT(('Production Inputs'!$A:$A="188mg LP - EU Stock")*('Production Inputs'!$B:$B="TOTAL ACTIVE")*'Production Inputs'!$ED:$ED))*Dependencies!$D$4,0)</f>
        <v>0</v>
      </c>
      <c r="G484" s="37">
        <f t="array" ref="G484">IFERROR(SUMPRODUCT(('Production Inputs'!$A:$A="200mg DP")*('Production Inputs'!$B:$B="TOTAL ACTIVE")*'Production Inputs'!$ED:$ED),0)</f>
        <v>0</v>
      </c>
      <c r="H484" s="30">
        <f t="shared" si="49"/>
        <v>87828</v>
      </c>
      <c r="I484" s="30">
        <f ca="1">IFERROR(AVERAGEIF(OFFSET(F484,0,0,MIN(Controls!$B$8,COUNTIF(B484:B$1973,B484)),1),"&gt;"&amp;0),0)</f>
        <v>0</v>
      </c>
      <c r="J484" s="38">
        <f t="shared" ca="1" si="50"/>
        <v>999</v>
      </c>
      <c r="K484" s="30">
        <f t="shared" ca="1" si="54"/>
        <v>0</v>
      </c>
      <c r="L484" t="str">
        <f t="shared" ca="1" si="51"/>
        <v>Overstock</v>
      </c>
      <c r="M484" s="39">
        <f>IFERROR(VLOOKUP("200mg DP",Controls!A:I,7,0),6)</f>
        <v>9</v>
      </c>
      <c r="N484" s="39">
        <f>IFERROR(VLOOKUP("200mg DP",Controls!A:I,8,0),3)</f>
        <v>8</v>
      </c>
      <c r="O484" s="39">
        <f>IFERROR(VLOOKUP("200mg DP",Controls!A:I,9,0),18)</f>
        <v>18</v>
      </c>
      <c r="P484" s="40">
        <f>IFERROR(VLOOKUP("200mg DP",Controls!A:J,5,0),0)</f>
        <v>16200</v>
      </c>
      <c r="Q484" s="39">
        <f>IFERROR(VLOOKUP("200mg DP",Controls!A:J,6,0),3)</f>
        <v>5</v>
      </c>
      <c r="R484" s="21" t="str">
        <f>IFERROR(VLOOKUP("200mg DP",Controls!A:K,10,0),"")</f>
        <v>Catalent</v>
      </c>
      <c r="S484" s="41">
        <f t="shared" si="52"/>
        <v>49614</v>
      </c>
      <c r="T484" s="30">
        <f t="shared" si="53"/>
        <v>0</v>
      </c>
      <c r="AB484">
        <f t="shared" si="55"/>
        <v>35100</v>
      </c>
    </row>
    <row r="485" spans="1:28" ht="13" customHeight="1" x14ac:dyDescent="0.35">
      <c r="A485" s="153">
        <v>49796</v>
      </c>
      <c r="B485" s="36" t="s">
        <v>36</v>
      </c>
      <c r="C485" s="15" t="s">
        <v>38</v>
      </c>
      <c r="D485" s="15" t="s">
        <v>29</v>
      </c>
      <c r="E485" s="30">
        <f>H484</f>
        <v>87828</v>
      </c>
      <c r="F485" s="37" cm="1">
        <f t="array" ref="F485">IFERROR((SUMPRODUCT(('Production Inputs'!$A:$A="188mg LP")*('Production Inputs'!$B:$B="TOTAL ACTIVE")*'Production Inputs'!$EE:$EE)+SUMPRODUCT(('Production Inputs'!$A:$A="188mg LP - EU Stock")*('Production Inputs'!$B:$B="TOTAL ACTIVE")*'Production Inputs'!$EE:$EE))*Dependencies!$D$4,0)</f>
        <v>0</v>
      </c>
      <c r="G485" s="37">
        <f t="array" ref="G485">IFERROR(SUMPRODUCT(('Production Inputs'!$A:$A="200mg DP")*('Production Inputs'!$B:$B="TOTAL ACTIVE")*'Production Inputs'!$EE:$EE),0)</f>
        <v>0</v>
      </c>
      <c r="H485" s="30">
        <f t="shared" si="49"/>
        <v>87828</v>
      </c>
      <c r="I485" s="30">
        <f ca="1">IFERROR(AVERAGEIF(OFFSET(F485,0,0,MIN(Controls!$B$8,COUNTIF(B485:B$1973,B485)),1),"&gt;"&amp;0),0)</f>
        <v>0</v>
      </c>
      <c r="J485" s="38">
        <f t="shared" ca="1" si="50"/>
        <v>999</v>
      </c>
      <c r="K485" s="30">
        <f t="shared" ca="1" si="54"/>
        <v>0</v>
      </c>
      <c r="L485" t="str">
        <f t="shared" ca="1" si="51"/>
        <v>Overstock</v>
      </c>
      <c r="M485" s="39">
        <f>IFERROR(VLOOKUP("200mg DP",Controls!A:I,7,0),6)</f>
        <v>9</v>
      </c>
      <c r="N485" s="39">
        <f>IFERROR(VLOOKUP("200mg DP",Controls!A:I,8,0),3)</f>
        <v>8</v>
      </c>
      <c r="O485" s="39">
        <f>IFERROR(VLOOKUP("200mg DP",Controls!A:I,9,0),18)</f>
        <v>18</v>
      </c>
      <c r="P485" s="40">
        <f>IFERROR(VLOOKUP("200mg DP",Controls!A:J,5,0),0)</f>
        <v>16200</v>
      </c>
      <c r="Q485" s="39">
        <f>IFERROR(VLOOKUP("200mg DP",Controls!A:J,6,0),3)</f>
        <v>5</v>
      </c>
      <c r="R485" s="21" t="str">
        <f>IFERROR(VLOOKUP("200mg DP",Controls!A:K,10,0),"")</f>
        <v>Catalent</v>
      </c>
      <c r="S485" s="41">
        <f t="shared" si="52"/>
        <v>49644</v>
      </c>
      <c r="T485" s="30">
        <f t="shared" si="53"/>
        <v>0</v>
      </c>
      <c r="AB485">
        <f t="shared" si="55"/>
        <v>35100</v>
      </c>
    </row>
    <row r="486" spans="1:28" ht="13" customHeight="1" x14ac:dyDescent="0.35">
      <c r="A486" s="153">
        <v>49827</v>
      </c>
      <c r="B486" s="36" t="s">
        <v>36</v>
      </c>
      <c r="C486" s="15" t="s">
        <v>38</v>
      </c>
      <c r="D486" s="15" t="s">
        <v>29</v>
      </c>
      <c r="E486" s="30">
        <f>H485</f>
        <v>87828</v>
      </c>
      <c r="F486" s="37" cm="1">
        <f t="array" ref="F486">IFERROR((SUMPRODUCT(('Production Inputs'!$A:$A="188mg LP")*('Production Inputs'!$B:$B="TOTAL ACTIVE")*'Production Inputs'!$EF:$EF)+SUMPRODUCT(('Production Inputs'!$A:$A="188mg LP - EU Stock")*('Production Inputs'!$B:$B="TOTAL ACTIVE")*'Production Inputs'!$EF:$EF))*Dependencies!$D$4,0)</f>
        <v>0</v>
      </c>
      <c r="G486" s="37">
        <f t="array" ref="G486">IFERROR(SUMPRODUCT(('Production Inputs'!$A:$A="200mg DP")*('Production Inputs'!$B:$B="TOTAL ACTIVE")*'Production Inputs'!$EF:$EF),0)</f>
        <v>0</v>
      </c>
      <c r="H486" s="30">
        <f t="shared" si="49"/>
        <v>87828</v>
      </c>
      <c r="I486" s="30">
        <f ca="1">IFERROR(AVERAGEIF(OFFSET(F486,0,0,MIN(Controls!$B$8,COUNTIF(B486:B$1973,B486)),1),"&gt;"&amp;0),0)</f>
        <v>0</v>
      </c>
      <c r="J486" s="38">
        <f t="shared" ca="1" si="50"/>
        <v>999</v>
      </c>
      <c r="K486" s="30">
        <f t="shared" ca="1" si="54"/>
        <v>0</v>
      </c>
      <c r="L486" t="str">
        <f t="shared" ca="1" si="51"/>
        <v>Overstock</v>
      </c>
      <c r="M486" s="39">
        <f>IFERROR(VLOOKUP("200mg DP",Controls!A:I,7,0),6)</f>
        <v>9</v>
      </c>
      <c r="N486" s="39">
        <f>IFERROR(VLOOKUP("200mg DP",Controls!A:I,8,0),3)</f>
        <v>8</v>
      </c>
      <c r="O486" s="39">
        <f>IFERROR(VLOOKUP("200mg DP",Controls!A:I,9,0),18)</f>
        <v>18</v>
      </c>
      <c r="P486" s="40">
        <f>IFERROR(VLOOKUP("200mg DP",Controls!A:J,5,0),0)</f>
        <v>16200</v>
      </c>
      <c r="Q486" s="39">
        <f>IFERROR(VLOOKUP("200mg DP",Controls!A:J,6,0),3)</f>
        <v>5</v>
      </c>
      <c r="R486" s="21" t="str">
        <f>IFERROR(VLOOKUP("200mg DP",Controls!A:K,10,0),"")</f>
        <v>Catalent</v>
      </c>
      <c r="S486" s="41">
        <f t="shared" si="52"/>
        <v>49675</v>
      </c>
      <c r="T486" s="30">
        <f t="shared" si="53"/>
        <v>0</v>
      </c>
      <c r="AB486">
        <f t="shared" si="55"/>
        <v>35100</v>
      </c>
    </row>
    <row r="487" spans="1:28" ht="13" customHeight="1" x14ac:dyDescent="0.35">
      <c r="A487" s="153">
        <v>49857</v>
      </c>
      <c r="B487" s="36" t="s">
        <v>36</v>
      </c>
      <c r="C487" s="15" t="s">
        <v>38</v>
      </c>
      <c r="D487" s="15" t="s">
        <v>29</v>
      </c>
      <c r="E487" s="30">
        <f>H486</f>
        <v>87828</v>
      </c>
      <c r="F487" s="37" cm="1">
        <f t="array" ref="F487">IFERROR((SUMPRODUCT(('Production Inputs'!$A:$A="188mg LP")*('Production Inputs'!$B:$B="TOTAL ACTIVE")*'Production Inputs'!$EG:$EG)+SUMPRODUCT(('Production Inputs'!$A:$A="188mg LP - EU Stock")*('Production Inputs'!$B:$B="TOTAL ACTIVE")*'Production Inputs'!$EG:$EG))*Dependencies!$D$4,0)</f>
        <v>0</v>
      </c>
      <c r="G487" s="37">
        <f t="array" ref="G487">IFERROR(SUMPRODUCT(('Production Inputs'!$A:$A="200mg DP")*('Production Inputs'!$B:$B="TOTAL ACTIVE")*'Production Inputs'!$EG:$EG),0)</f>
        <v>0</v>
      </c>
      <c r="H487" s="30">
        <f t="shared" si="49"/>
        <v>87828</v>
      </c>
      <c r="I487" s="30">
        <f ca="1">IFERROR(AVERAGEIF(OFFSET(F487,0,0,MIN(Controls!$B$8,COUNTIF(B487:B$1973,B487)),1),"&gt;"&amp;0),0)</f>
        <v>0</v>
      </c>
      <c r="J487" s="38">
        <f t="shared" ca="1" si="50"/>
        <v>999</v>
      </c>
      <c r="K487" s="30">
        <f t="shared" ca="1" si="54"/>
        <v>0</v>
      </c>
      <c r="L487" t="str">
        <f t="shared" ca="1" si="51"/>
        <v>Overstock</v>
      </c>
      <c r="M487" s="39">
        <f>IFERROR(VLOOKUP("200mg DP",Controls!A:I,7,0),6)</f>
        <v>9</v>
      </c>
      <c r="N487" s="39">
        <f>IFERROR(VLOOKUP("200mg DP",Controls!A:I,8,0),3)</f>
        <v>8</v>
      </c>
      <c r="O487" s="39">
        <f>IFERROR(VLOOKUP("200mg DP",Controls!A:I,9,0),18)</f>
        <v>18</v>
      </c>
      <c r="P487" s="40">
        <f>IFERROR(VLOOKUP("200mg DP",Controls!A:J,5,0),0)</f>
        <v>16200</v>
      </c>
      <c r="Q487" s="39">
        <f>IFERROR(VLOOKUP("200mg DP",Controls!A:J,6,0),3)</f>
        <v>5</v>
      </c>
      <c r="R487" s="21" t="str">
        <f>IFERROR(VLOOKUP("200mg DP",Controls!A:K,10,0),"")</f>
        <v>Catalent</v>
      </c>
      <c r="S487" s="41">
        <f t="shared" si="52"/>
        <v>49706</v>
      </c>
      <c r="T487" s="30">
        <f t="shared" si="53"/>
        <v>0</v>
      </c>
      <c r="AB487">
        <f t="shared" si="55"/>
        <v>35100</v>
      </c>
    </row>
    <row r="488" spans="1:28" ht="13" customHeight="1" x14ac:dyDescent="0.35">
      <c r="A488" s="153">
        <v>49888</v>
      </c>
      <c r="B488" s="36" t="s">
        <v>36</v>
      </c>
      <c r="C488" s="15" t="s">
        <v>38</v>
      </c>
      <c r="D488" s="15" t="s">
        <v>29</v>
      </c>
      <c r="E488" s="30">
        <f>H487</f>
        <v>87828</v>
      </c>
      <c r="F488" s="37" cm="1">
        <f t="array" ref="F488">IFERROR((SUMPRODUCT(('Production Inputs'!$A:$A="188mg LP")*('Production Inputs'!$B:$B="TOTAL ACTIVE")*'Production Inputs'!$EH:$EH)+SUMPRODUCT(('Production Inputs'!$A:$A="188mg LP - EU Stock")*('Production Inputs'!$B:$B="TOTAL ACTIVE")*'Production Inputs'!$EH:$EH))*Dependencies!$D$4,0)</f>
        <v>0</v>
      </c>
      <c r="G488" s="37">
        <f t="array" ref="G488">IFERROR(SUMPRODUCT(('Production Inputs'!$A:$A="200mg DP")*('Production Inputs'!$B:$B="TOTAL ACTIVE")*'Production Inputs'!$EH:$EH),0)</f>
        <v>0</v>
      </c>
      <c r="H488" s="30">
        <f t="shared" si="49"/>
        <v>87828</v>
      </c>
      <c r="I488" s="30">
        <f ca="1">IFERROR(AVERAGEIF(OFFSET(F488,0,0,MIN(Controls!$B$8,COUNTIF(B488:B$1973,B488)),1),"&gt;"&amp;0),0)</f>
        <v>0</v>
      </c>
      <c r="J488" s="38">
        <f t="shared" ca="1" si="50"/>
        <v>999</v>
      </c>
      <c r="K488" s="30">
        <f t="shared" ca="1" si="54"/>
        <v>0</v>
      </c>
      <c r="L488" t="str">
        <f t="shared" ca="1" si="51"/>
        <v>Overstock</v>
      </c>
      <c r="M488" s="39">
        <f>IFERROR(VLOOKUP("200mg DP",Controls!A:I,7,0),6)</f>
        <v>9</v>
      </c>
      <c r="N488" s="39">
        <f>IFERROR(VLOOKUP("200mg DP",Controls!A:I,8,0),3)</f>
        <v>8</v>
      </c>
      <c r="O488" s="39">
        <f>IFERROR(VLOOKUP("200mg DP",Controls!A:I,9,0),18)</f>
        <v>18</v>
      </c>
      <c r="P488" s="40">
        <f>IFERROR(VLOOKUP("200mg DP",Controls!A:J,5,0),0)</f>
        <v>16200</v>
      </c>
      <c r="Q488" s="39">
        <f>IFERROR(VLOOKUP("200mg DP",Controls!A:J,6,0),3)</f>
        <v>5</v>
      </c>
      <c r="R488" s="21" t="str">
        <f>IFERROR(VLOOKUP("200mg DP",Controls!A:K,10,0),"")</f>
        <v>Catalent</v>
      </c>
      <c r="S488" s="41">
        <f t="shared" si="52"/>
        <v>49735</v>
      </c>
      <c r="T488" s="30">
        <f t="shared" si="53"/>
        <v>0</v>
      </c>
      <c r="AB488">
        <f t="shared" si="55"/>
        <v>35100</v>
      </c>
    </row>
    <row r="489" spans="1:28" ht="13" customHeight="1" x14ac:dyDescent="0.35">
      <c r="A489" s="153">
        <v>49919</v>
      </c>
      <c r="B489" s="36" t="s">
        <v>36</v>
      </c>
      <c r="C489" s="15" t="s">
        <v>38</v>
      </c>
      <c r="D489" s="15" t="s">
        <v>29</v>
      </c>
      <c r="E489" s="30">
        <f>H488</f>
        <v>87828</v>
      </c>
      <c r="F489" s="37" cm="1">
        <f t="array" ref="F489">IFERROR((SUMPRODUCT(('Production Inputs'!$A:$A="188mg LP")*('Production Inputs'!$B:$B="TOTAL ACTIVE")*'Production Inputs'!$EI:$EI)+SUMPRODUCT(('Production Inputs'!$A:$A="188mg LP - EU Stock")*('Production Inputs'!$B:$B="TOTAL ACTIVE")*'Production Inputs'!$EI:$EI))*Dependencies!$D$4,0)</f>
        <v>0</v>
      </c>
      <c r="G489" s="37">
        <f t="array" ref="G489">IFERROR(SUMPRODUCT(('Production Inputs'!$A:$A="200mg DP")*('Production Inputs'!$B:$B="TOTAL ACTIVE")*'Production Inputs'!$EI:$EI),0)</f>
        <v>0</v>
      </c>
      <c r="H489" s="30">
        <f t="shared" si="49"/>
        <v>87828</v>
      </c>
      <c r="I489" s="30">
        <f ca="1">IFERROR(AVERAGEIF(OFFSET(F489,0,0,MIN(Controls!$B$8,COUNTIF(B489:B$1973,B489)),1),"&gt;"&amp;0),0)</f>
        <v>0</v>
      </c>
      <c r="J489" s="38">
        <f t="shared" ca="1" si="50"/>
        <v>999</v>
      </c>
      <c r="K489" s="30">
        <f t="shared" ca="1" si="54"/>
        <v>0</v>
      </c>
      <c r="L489" t="str">
        <f t="shared" ca="1" si="51"/>
        <v>Overstock</v>
      </c>
      <c r="M489" s="39">
        <f>IFERROR(VLOOKUP("200mg DP",Controls!A:I,7,0),6)</f>
        <v>9</v>
      </c>
      <c r="N489" s="39">
        <f>IFERROR(VLOOKUP("200mg DP",Controls!A:I,8,0),3)</f>
        <v>8</v>
      </c>
      <c r="O489" s="39">
        <f>IFERROR(VLOOKUP("200mg DP",Controls!A:I,9,0),18)</f>
        <v>18</v>
      </c>
      <c r="P489" s="40">
        <f>IFERROR(VLOOKUP("200mg DP",Controls!A:J,5,0),0)</f>
        <v>16200</v>
      </c>
      <c r="Q489" s="39">
        <f>IFERROR(VLOOKUP("200mg DP",Controls!A:J,6,0),3)</f>
        <v>5</v>
      </c>
      <c r="R489" s="21" t="str">
        <f>IFERROR(VLOOKUP("200mg DP",Controls!A:K,10,0),"")</f>
        <v>Catalent</v>
      </c>
      <c r="S489" s="41">
        <f t="shared" si="52"/>
        <v>49766</v>
      </c>
      <c r="T489" s="30">
        <f t="shared" si="53"/>
        <v>0</v>
      </c>
      <c r="AB489">
        <f t="shared" si="55"/>
        <v>35100</v>
      </c>
    </row>
    <row r="490" spans="1:28" ht="13" customHeight="1" x14ac:dyDescent="0.35">
      <c r="A490" s="153">
        <v>49949</v>
      </c>
      <c r="B490" s="36" t="s">
        <v>36</v>
      </c>
      <c r="C490" s="15" t="s">
        <v>38</v>
      </c>
      <c r="D490" s="15" t="s">
        <v>29</v>
      </c>
      <c r="E490" s="30">
        <f>H489</f>
        <v>87828</v>
      </c>
      <c r="F490" s="37" cm="1">
        <f t="array" ref="F490">IFERROR((SUMPRODUCT(('Production Inputs'!$A:$A="188mg LP")*('Production Inputs'!$B:$B="TOTAL ACTIVE")*'Production Inputs'!$EJ:$EJ)+SUMPRODUCT(('Production Inputs'!$A:$A="188mg LP - EU Stock")*('Production Inputs'!$B:$B="TOTAL ACTIVE")*'Production Inputs'!$EJ:$EJ))*Dependencies!$D$4,0)</f>
        <v>0</v>
      </c>
      <c r="G490" s="37">
        <f t="array" ref="G490">IFERROR(SUMPRODUCT(('Production Inputs'!$A:$A="200mg DP")*('Production Inputs'!$B:$B="TOTAL ACTIVE")*'Production Inputs'!$EJ:$EJ),0)</f>
        <v>0</v>
      </c>
      <c r="H490" s="30">
        <f t="shared" si="49"/>
        <v>87828</v>
      </c>
      <c r="I490" s="30">
        <f ca="1">IFERROR(AVERAGEIF(OFFSET(F490,0,0,MIN(Controls!$B$8,COUNTIF(B490:B$1973,B490)),1),"&gt;"&amp;0),0)</f>
        <v>0</v>
      </c>
      <c r="J490" s="38">
        <f t="shared" ca="1" si="50"/>
        <v>999</v>
      </c>
      <c r="K490" s="30">
        <f t="shared" ca="1" si="54"/>
        <v>0</v>
      </c>
      <c r="L490" t="str">
        <f t="shared" ca="1" si="51"/>
        <v>Overstock</v>
      </c>
      <c r="M490" s="39">
        <f>IFERROR(VLOOKUP("200mg DP",Controls!A:I,7,0),6)</f>
        <v>9</v>
      </c>
      <c r="N490" s="39">
        <f>IFERROR(VLOOKUP("200mg DP",Controls!A:I,8,0),3)</f>
        <v>8</v>
      </c>
      <c r="O490" s="39">
        <f>IFERROR(VLOOKUP("200mg DP",Controls!A:I,9,0),18)</f>
        <v>18</v>
      </c>
      <c r="P490" s="40">
        <f>IFERROR(VLOOKUP("200mg DP",Controls!A:J,5,0),0)</f>
        <v>16200</v>
      </c>
      <c r="Q490" s="39">
        <f>IFERROR(VLOOKUP("200mg DP",Controls!A:J,6,0),3)</f>
        <v>5</v>
      </c>
      <c r="R490" s="21" t="str">
        <f>IFERROR(VLOOKUP("200mg DP",Controls!A:K,10,0),"")</f>
        <v>Catalent</v>
      </c>
      <c r="S490" s="41">
        <f t="shared" si="52"/>
        <v>49796</v>
      </c>
      <c r="T490" s="30">
        <f t="shared" si="53"/>
        <v>0</v>
      </c>
      <c r="AB490">
        <f t="shared" si="55"/>
        <v>35100</v>
      </c>
    </row>
    <row r="491" spans="1:28" ht="13" customHeight="1" x14ac:dyDescent="0.35">
      <c r="A491" s="153">
        <v>49980</v>
      </c>
      <c r="B491" s="36" t="s">
        <v>36</v>
      </c>
      <c r="C491" s="15" t="s">
        <v>38</v>
      </c>
      <c r="D491" s="15" t="s">
        <v>29</v>
      </c>
      <c r="E491" s="30">
        <f>H490</f>
        <v>87828</v>
      </c>
      <c r="F491" s="37" cm="1">
        <f t="array" ref="F491">IFERROR((SUMPRODUCT(('Production Inputs'!$A:$A="188mg LP")*('Production Inputs'!$B:$B="TOTAL ACTIVE")*'Production Inputs'!$EK:$EK)+SUMPRODUCT(('Production Inputs'!$A:$A="188mg LP - EU Stock")*('Production Inputs'!$B:$B="TOTAL ACTIVE")*'Production Inputs'!$EK:$EK))*Dependencies!$D$4,0)</f>
        <v>0</v>
      </c>
      <c r="G491" s="37">
        <f t="array" ref="G491">IFERROR(SUMPRODUCT(('Production Inputs'!$A:$A="200mg DP")*('Production Inputs'!$B:$B="TOTAL ACTIVE")*'Production Inputs'!$EK:$EK),0)</f>
        <v>0</v>
      </c>
      <c r="H491" s="30">
        <f t="shared" si="49"/>
        <v>87828</v>
      </c>
      <c r="I491" s="30">
        <f ca="1">IFERROR(AVERAGEIF(OFFSET(F491,0,0,MIN(Controls!$B$8,COUNTIF(B491:B$1973,B491)),1),"&gt;"&amp;0),0)</f>
        <v>0</v>
      </c>
      <c r="J491" s="38">
        <f t="shared" ca="1" si="50"/>
        <v>999</v>
      </c>
      <c r="K491" s="30">
        <f t="shared" ca="1" si="54"/>
        <v>0</v>
      </c>
      <c r="L491" t="str">
        <f t="shared" ca="1" si="51"/>
        <v>Overstock</v>
      </c>
      <c r="M491" s="39">
        <f>IFERROR(VLOOKUP("200mg DP",Controls!A:I,7,0),6)</f>
        <v>9</v>
      </c>
      <c r="N491" s="39">
        <f>IFERROR(VLOOKUP("200mg DP",Controls!A:I,8,0),3)</f>
        <v>8</v>
      </c>
      <c r="O491" s="39">
        <f>IFERROR(VLOOKUP("200mg DP",Controls!A:I,9,0),18)</f>
        <v>18</v>
      </c>
      <c r="P491" s="40">
        <f>IFERROR(VLOOKUP("200mg DP",Controls!A:J,5,0),0)</f>
        <v>16200</v>
      </c>
      <c r="Q491" s="39">
        <f>IFERROR(VLOOKUP("200mg DP",Controls!A:J,6,0),3)</f>
        <v>5</v>
      </c>
      <c r="R491" s="21" t="str">
        <f>IFERROR(VLOOKUP("200mg DP",Controls!A:K,10,0),"")</f>
        <v>Catalent</v>
      </c>
      <c r="S491" s="41">
        <f t="shared" si="52"/>
        <v>49827</v>
      </c>
      <c r="T491" s="30">
        <f t="shared" si="53"/>
        <v>0</v>
      </c>
      <c r="AB491">
        <f t="shared" si="55"/>
        <v>35100</v>
      </c>
    </row>
    <row r="492" spans="1:28" ht="13" customHeight="1" x14ac:dyDescent="0.35">
      <c r="A492" s="153">
        <v>50010</v>
      </c>
      <c r="B492" s="36" t="s">
        <v>36</v>
      </c>
      <c r="C492" s="15" t="s">
        <v>38</v>
      </c>
      <c r="D492" s="15" t="s">
        <v>29</v>
      </c>
      <c r="E492" s="30">
        <f>H491</f>
        <v>87828</v>
      </c>
      <c r="F492" s="37" cm="1">
        <f t="array" ref="F492">IFERROR((SUMPRODUCT(('Production Inputs'!$A:$A="188mg LP")*('Production Inputs'!$B:$B="TOTAL ACTIVE")*'Production Inputs'!$EL:$EL)+SUMPRODUCT(('Production Inputs'!$A:$A="188mg LP - EU Stock")*('Production Inputs'!$B:$B="TOTAL ACTIVE")*'Production Inputs'!$EL:$EL))*Dependencies!$D$4,0)</f>
        <v>0</v>
      </c>
      <c r="G492" s="37">
        <f t="array" ref="G492">IFERROR(SUMPRODUCT(('Production Inputs'!$A:$A="200mg DP")*('Production Inputs'!$B:$B="TOTAL ACTIVE")*'Production Inputs'!$EL:$EL),0)</f>
        <v>0</v>
      </c>
      <c r="H492" s="30">
        <f t="shared" si="49"/>
        <v>87828</v>
      </c>
      <c r="I492" s="30">
        <f ca="1">IFERROR(AVERAGEIF(OFFSET(F492,0,0,MIN(Controls!$B$8,COUNTIF(B492:B$1973,B492)),1),"&gt;"&amp;0),0)</f>
        <v>0</v>
      </c>
      <c r="J492" s="38">
        <f t="shared" ca="1" si="50"/>
        <v>999</v>
      </c>
      <c r="K492" s="30">
        <f t="shared" ca="1" si="54"/>
        <v>0</v>
      </c>
      <c r="L492" t="str">
        <f t="shared" ca="1" si="51"/>
        <v>Overstock</v>
      </c>
      <c r="M492" s="39">
        <f>IFERROR(VLOOKUP("200mg DP",Controls!A:I,7,0),6)</f>
        <v>9</v>
      </c>
      <c r="N492" s="39">
        <f>IFERROR(VLOOKUP("200mg DP",Controls!A:I,8,0),3)</f>
        <v>8</v>
      </c>
      <c r="O492" s="39">
        <f>IFERROR(VLOOKUP("200mg DP",Controls!A:I,9,0),18)</f>
        <v>18</v>
      </c>
      <c r="P492" s="40">
        <f>IFERROR(VLOOKUP("200mg DP",Controls!A:J,5,0),0)</f>
        <v>16200</v>
      </c>
      <c r="Q492" s="39">
        <f>IFERROR(VLOOKUP("200mg DP",Controls!A:J,6,0),3)</f>
        <v>5</v>
      </c>
      <c r="R492" s="21" t="str">
        <f>IFERROR(VLOOKUP("200mg DP",Controls!A:K,10,0),"")</f>
        <v>Catalent</v>
      </c>
      <c r="S492" s="41">
        <f t="shared" si="52"/>
        <v>49857</v>
      </c>
      <c r="T492" s="30">
        <f t="shared" si="53"/>
        <v>0</v>
      </c>
      <c r="AB492">
        <f t="shared" si="55"/>
        <v>35100</v>
      </c>
    </row>
    <row r="493" spans="1:28" ht="13" customHeight="1" x14ac:dyDescent="0.35">
      <c r="A493" s="153">
        <v>50041</v>
      </c>
      <c r="B493" s="36" t="s">
        <v>36</v>
      </c>
      <c r="C493" s="15" t="s">
        <v>38</v>
      </c>
      <c r="D493" s="15" t="s">
        <v>29</v>
      </c>
      <c r="E493" s="30">
        <f>H492</f>
        <v>87828</v>
      </c>
      <c r="F493" s="37" cm="1">
        <f t="array" ref="F493">IFERROR((SUMPRODUCT(('Production Inputs'!$A:$A="188mg LP")*('Production Inputs'!$B:$B="TOTAL ACTIVE")*'Production Inputs'!$EM:$EM)+SUMPRODUCT(('Production Inputs'!$A:$A="188mg LP - EU Stock")*('Production Inputs'!$B:$B="TOTAL ACTIVE")*'Production Inputs'!$EM:$EM))*Dependencies!$D$4,0)</f>
        <v>0</v>
      </c>
      <c r="G493" s="37">
        <f t="array" ref="G493">IFERROR(SUMPRODUCT(('Production Inputs'!$A:$A="200mg DP")*('Production Inputs'!$B:$B="TOTAL ACTIVE")*'Production Inputs'!$EM:$EM),0)</f>
        <v>0</v>
      </c>
      <c r="H493" s="30">
        <f t="shared" si="49"/>
        <v>87828</v>
      </c>
      <c r="I493" s="30">
        <f ca="1">IFERROR(AVERAGEIF(OFFSET(F493,0,0,MIN(Controls!$B$8,COUNTIF(B493:B$1973,B493)),1),"&gt;"&amp;0),0)</f>
        <v>0</v>
      </c>
      <c r="J493" s="38">
        <f t="shared" ca="1" si="50"/>
        <v>999</v>
      </c>
      <c r="K493" s="30">
        <f t="shared" ca="1" si="54"/>
        <v>0</v>
      </c>
      <c r="L493" t="str">
        <f t="shared" ca="1" si="51"/>
        <v>Overstock</v>
      </c>
      <c r="M493" s="39">
        <f>IFERROR(VLOOKUP("200mg DP",Controls!A:I,7,0),6)</f>
        <v>9</v>
      </c>
      <c r="N493" s="39">
        <f>IFERROR(VLOOKUP("200mg DP",Controls!A:I,8,0),3)</f>
        <v>8</v>
      </c>
      <c r="O493" s="39">
        <f>IFERROR(VLOOKUP("200mg DP",Controls!A:I,9,0),18)</f>
        <v>18</v>
      </c>
      <c r="P493" s="40">
        <f>IFERROR(VLOOKUP("200mg DP",Controls!A:J,5,0),0)</f>
        <v>16200</v>
      </c>
      <c r="Q493" s="39">
        <f>IFERROR(VLOOKUP("200mg DP",Controls!A:J,6,0),3)</f>
        <v>5</v>
      </c>
      <c r="R493" s="21" t="str">
        <f>IFERROR(VLOOKUP("200mg DP",Controls!A:K,10,0),"")</f>
        <v>Catalent</v>
      </c>
      <c r="S493" s="41">
        <f t="shared" si="52"/>
        <v>49888</v>
      </c>
      <c r="T493" s="30">
        <f t="shared" si="53"/>
        <v>0</v>
      </c>
      <c r="AB493">
        <f t="shared" si="55"/>
        <v>35100</v>
      </c>
    </row>
    <row r="494" spans="1:28" ht="13" customHeight="1" x14ac:dyDescent="0.35">
      <c r="A494" s="153">
        <v>50072</v>
      </c>
      <c r="B494" s="36" t="s">
        <v>36</v>
      </c>
      <c r="C494" s="15" t="s">
        <v>38</v>
      </c>
      <c r="D494" s="15" t="s">
        <v>29</v>
      </c>
      <c r="E494" s="30">
        <f>H493</f>
        <v>87828</v>
      </c>
      <c r="F494" s="37" cm="1">
        <f t="array" ref="F494">IFERROR((SUMPRODUCT(('Production Inputs'!$A:$A="188mg LP")*('Production Inputs'!$B:$B="TOTAL ACTIVE")*'Production Inputs'!$EN:$EN)+SUMPRODUCT(('Production Inputs'!$A:$A="188mg LP - EU Stock")*('Production Inputs'!$B:$B="TOTAL ACTIVE")*'Production Inputs'!$EN:$EN))*Dependencies!$D$4,0)</f>
        <v>0</v>
      </c>
      <c r="G494" s="37">
        <f t="array" ref="G494">IFERROR(SUMPRODUCT(('Production Inputs'!$A:$A="200mg DP")*('Production Inputs'!$B:$B="TOTAL ACTIVE")*'Production Inputs'!$EN:$EN),0)</f>
        <v>0</v>
      </c>
      <c r="H494" s="30">
        <f t="shared" si="49"/>
        <v>87828</v>
      </c>
      <c r="I494" s="30">
        <f ca="1">IFERROR(AVERAGEIF(OFFSET(F494,0,0,MIN(Controls!$B$8,COUNTIF(B494:B$1973,B494)),1),"&gt;"&amp;0),0)</f>
        <v>0</v>
      </c>
      <c r="J494" s="38">
        <f t="shared" ca="1" si="50"/>
        <v>999</v>
      </c>
      <c r="K494" s="30">
        <f t="shared" ca="1" si="54"/>
        <v>0</v>
      </c>
      <c r="L494" t="str">
        <f t="shared" ca="1" si="51"/>
        <v>Overstock</v>
      </c>
      <c r="M494" s="39">
        <f>IFERROR(VLOOKUP("200mg DP",Controls!A:I,7,0),6)</f>
        <v>9</v>
      </c>
      <c r="N494" s="39">
        <f>IFERROR(VLOOKUP("200mg DP",Controls!A:I,8,0),3)</f>
        <v>8</v>
      </c>
      <c r="O494" s="39">
        <f>IFERROR(VLOOKUP("200mg DP",Controls!A:I,9,0),18)</f>
        <v>18</v>
      </c>
      <c r="P494" s="40">
        <f>IFERROR(VLOOKUP("200mg DP",Controls!A:J,5,0),0)</f>
        <v>16200</v>
      </c>
      <c r="Q494" s="39">
        <f>IFERROR(VLOOKUP("200mg DP",Controls!A:J,6,0),3)</f>
        <v>5</v>
      </c>
      <c r="R494" s="21" t="str">
        <f>IFERROR(VLOOKUP("200mg DP",Controls!A:K,10,0),"")</f>
        <v>Catalent</v>
      </c>
      <c r="S494" s="41">
        <f t="shared" si="52"/>
        <v>49919</v>
      </c>
      <c r="T494" s="30">
        <f t="shared" si="53"/>
        <v>0</v>
      </c>
      <c r="AB494">
        <f t="shared" si="55"/>
        <v>35100</v>
      </c>
    </row>
    <row r="495" spans="1:28" ht="13" customHeight="1" x14ac:dyDescent="0.35">
      <c r="A495" s="153">
        <v>50100</v>
      </c>
      <c r="B495" s="36" t="s">
        <v>36</v>
      </c>
      <c r="C495" s="15" t="s">
        <v>38</v>
      </c>
      <c r="D495" s="15" t="s">
        <v>29</v>
      </c>
      <c r="E495" s="30">
        <f>H494</f>
        <v>87828</v>
      </c>
      <c r="F495" s="37" cm="1">
        <f t="array" ref="F495">IFERROR((SUMPRODUCT(('Production Inputs'!$A:$A="188mg LP")*('Production Inputs'!$B:$B="TOTAL ACTIVE")*'Production Inputs'!$EO:$EO)+SUMPRODUCT(('Production Inputs'!$A:$A="188mg LP - EU Stock")*('Production Inputs'!$B:$B="TOTAL ACTIVE")*'Production Inputs'!$EO:$EO))*Dependencies!$D$4,0)</f>
        <v>0</v>
      </c>
      <c r="G495" s="37">
        <f t="array" ref="G495">IFERROR(SUMPRODUCT(('Production Inputs'!$A:$A="200mg DP")*('Production Inputs'!$B:$B="TOTAL ACTIVE")*'Production Inputs'!$EO:$EO),0)</f>
        <v>0</v>
      </c>
      <c r="H495" s="30">
        <f t="shared" si="49"/>
        <v>87828</v>
      </c>
      <c r="I495" s="30">
        <f ca="1">IFERROR(AVERAGEIF(OFFSET(F495,0,0,MIN(Controls!$B$8,COUNTIF(B495:B$1973,B495)),1),"&gt;"&amp;0),0)</f>
        <v>0</v>
      </c>
      <c r="J495" s="38">
        <f t="shared" ca="1" si="50"/>
        <v>999</v>
      </c>
      <c r="K495" s="30">
        <f t="shared" ca="1" si="54"/>
        <v>0</v>
      </c>
      <c r="L495" t="str">
        <f t="shared" ca="1" si="51"/>
        <v>Overstock</v>
      </c>
      <c r="M495" s="39">
        <f>IFERROR(VLOOKUP("200mg DP",Controls!A:I,7,0),6)</f>
        <v>9</v>
      </c>
      <c r="N495" s="39">
        <f>IFERROR(VLOOKUP("200mg DP",Controls!A:I,8,0),3)</f>
        <v>8</v>
      </c>
      <c r="O495" s="39">
        <f>IFERROR(VLOOKUP("200mg DP",Controls!A:I,9,0),18)</f>
        <v>18</v>
      </c>
      <c r="P495" s="40">
        <f>IFERROR(VLOOKUP("200mg DP",Controls!A:J,5,0),0)</f>
        <v>16200</v>
      </c>
      <c r="Q495" s="39">
        <f>IFERROR(VLOOKUP("200mg DP",Controls!A:J,6,0),3)</f>
        <v>5</v>
      </c>
      <c r="R495" s="21" t="str">
        <f>IFERROR(VLOOKUP("200mg DP",Controls!A:K,10,0),"")</f>
        <v>Catalent</v>
      </c>
      <c r="S495" s="41">
        <f t="shared" si="52"/>
        <v>49949</v>
      </c>
      <c r="T495" s="30">
        <f t="shared" si="53"/>
        <v>0</v>
      </c>
      <c r="AB495">
        <f t="shared" si="55"/>
        <v>35100</v>
      </c>
    </row>
    <row r="496" spans="1:28" ht="13" customHeight="1" x14ac:dyDescent="0.35">
      <c r="A496" s="153">
        <v>50131</v>
      </c>
      <c r="B496" s="36" t="s">
        <v>36</v>
      </c>
      <c r="C496" s="15" t="s">
        <v>38</v>
      </c>
      <c r="D496" s="15" t="s">
        <v>29</v>
      </c>
      <c r="E496" s="30">
        <f>H495</f>
        <v>87828</v>
      </c>
      <c r="F496" s="37" cm="1">
        <f t="array" ref="F496">IFERROR((SUMPRODUCT(('Production Inputs'!$A:$A="188mg LP")*('Production Inputs'!$B:$B="TOTAL ACTIVE")*'Production Inputs'!$EP:$EP)+SUMPRODUCT(('Production Inputs'!$A:$A="188mg LP - EU Stock")*('Production Inputs'!$B:$B="TOTAL ACTIVE")*'Production Inputs'!$EP:$EP))*Dependencies!$D$4,0)</f>
        <v>0</v>
      </c>
      <c r="G496" s="37">
        <f t="array" ref="G496">IFERROR(SUMPRODUCT(('Production Inputs'!$A:$A="200mg DP")*('Production Inputs'!$B:$B="TOTAL ACTIVE")*'Production Inputs'!$EP:$EP),0)</f>
        <v>0</v>
      </c>
      <c r="H496" s="30">
        <f t="shared" si="49"/>
        <v>87828</v>
      </c>
      <c r="I496" s="30">
        <f ca="1">IFERROR(AVERAGEIF(OFFSET(F496,0,0,MIN(Controls!$B$8,COUNTIF(B496:B$1973,B496)),1),"&gt;"&amp;0),0)</f>
        <v>0</v>
      </c>
      <c r="J496" s="38">
        <f t="shared" ca="1" si="50"/>
        <v>999</v>
      </c>
      <c r="K496" s="30">
        <f t="shared" ca="1" si="54"/>
        <v>0</v>
      </c>
      <c r="L496" t="str">
        <f t="shared" ca="1" si="51"/>
        <v>Overstock</v>
      </c>
      <c r="M496" s="39">
        <f>IFERROR(VLOOKUP("200mg DP",Controls!A:I,7,0),6)</f>
        <v>9</v>
      </c>
      <c r="N496" s="39">
        <f>IFERROR(VLOOKUP("200mg DP",Controls!A:I,8,0),3)</f>
        <v>8</v>
      </c>
      <c r="O496" s="39">
        <f>IFERROR(VLOOKUP("200mg DP",Controls!A:I,9,0),18)</f>
        <v>18</v>
      </c>
      <c r="P496" s="40">
        <f>IFERROR(VLOOKUP("200mg DP",Controls!A:J,5,0),0)</f>
        <v>16200</v>
      </c>
      <c r="Q496" s="39">
        <f>IFERROR(VLOOKUP("200mg DP",Controls!A:J,6,0),3)</f>
        <v>5</v>
      </c>
      <c r="R496" s="21" t="str">
        <f>IFERROR(VLOOKUP("200mg DP",Controls!A:K,10,0),"")</f>
        <v>Catalent</v>
      </c>
      <c r="S496" s="41">
        <f t="shared" si="52"/>
        <v>49980</v>
      </c>
      <c r="T496" s="30">
        <f t="shared" si="53"/>
        <v>0</v>
      </c>
      <c r="AB496">
        <f t="shared" si="55"/>
        <v>35100</v>
      </c>
    </row>
    <row r="497" spans="1:28" ht="13" customHeight="1" x14ac:dyDescent="0.35">
      <c r="A497" s="153">
        <v>50161</v>
      </c>
      <c r="B497" s="36" t="s">
        <v>36</v>
      </c>
      <c r="C497" s="15" t="s">
        <v>38</v>
      </c>
      <c r="D497" s="15" t="s">
        <v>29</v>
      </c>
      <c r="E497" s="30">
        <f>H496</f>
        <v>87828</v>
      </c>
      <c r="F497" s="37" cm="1">
        <f t="array" ref="F497">IFERROR((SUMPRODUCT(('Production Inputs'!$A:$A="188mg LP")*('Production Inputs'!$B:$B="TOTAL ACTIVE")*'Production Inputs'!$EQ:$EQ)+SUMPRODUCT(('Production Inputs'!$A:$A="188mg LP - EU Stock")*('Production Inputs'!$B:$B="TOTAL ACTIVE")*'Production Inputs'!$EQ:$EQ))*Dependencies!$D$4,0)</f>
        <v>0</v>
      </c>
      <c r="G497" s="37">
        <f t="array" ref="G497">IFERROR(SUMPRODUCT(('Production Inputs'!$A:$A="200mg DP")*('Production Inputs'!$B:$B="TOTAL ACTIVE")*'Production Inputs'!$EQ:$EQ),0)</f>
        <v>0</v>
      </c>
      <c r="H497" s="30">
        <f t="shared" si="49"/>
        <v>87828</v>
      </c>
      <c r="I497" s="30">
        <f ca="1">IFERROR(AVERAGEIF(OFFSET(F497,0,0,MIN(Controls!$B$8,COUNTIF(B497:B$1973,B497)),1),"&gt;"&amp;0),0)</f>
        <v>0</v>
      </c>
      <c r="J497" s="38">
        <f t="shared" ca="1" si="50"/>
        <v>999</v>
      </c>
      <c r="K497" s="30">
        <f t="shared" ca="1" si="54"/>
        <v>0</v>
      </c>
      <c r="L497" t="str">
        <f t="shared" ca="1" si="51"/>
        <v>Overstock</v>
      </c>
      <c r="M497" s="39">
        <f>IFERROR(VLOOKUP("200mg DP",Controls!A:I,7,0),6)</f>
        <v>9</v>
      </c>
      <c r="N497" s="39">
        <f>IFERROR(VLOOKUP("200mg DP",Controls!A:I,8,0),3)</f>
        <v>8</v>
      </c>
      <c r="O497" s="39">
        <f>IFERROR(VLOOKUP("200mg DP",Controls!A:I,9,0),18)</f>
        <v>18</v>
      </c>
      <c r="P497" s="40">
        <f>IFERROR(VLOOKUP("200mg DP",Controls!A:J,5,0),0)</f>
        <v>16200</v>
      </c>
      <c r="Q497" s="39">
        <f>IFERROR(VLOOKUP("200mg DP",Controls!A:J,6,0),3)</f>
        <v>5</v>
      </c>
      <c r="R497" s="21" t="str">
        <f>IFERROR(VLOOKUP("200mg DP",Controls!A:K,10,0),"")</f>
        <v>Catalent</v>
      </c>
      <c r="S497" s="41">
        <f t="shared" si="52"/>
        <v>50010</v>
      </c>
      <c r="T497" s="30">
        <f t="shared" si="53"/>
        <v>0</v>
      </c>
      <c r="AB497">
        <f t="shared" si="55"/>
        <v>35100</v>
      </c>
    </row>
    <row r="498" spans="1:28" ht="13" customHeight="1" x14ac:dyDescent="0.35">
      <c r="A498" s="153">
        <v>50192</v>
      </c>
      <c r="B498" s="36" t="s">
        <v>36</v>
      </c>
      <c r="C498" s="15" t="s">
        <v>38</v>
      </c>
      <c r="D498" s="15" t="s">
        <v>29</v>
      </c>
      <c r="E498" s="30">
        <f>H497</f>
        <v>87828</v>
      </c>
      <c r="F498" s="37" cm="1">
        <f t="array" ref="F498">IFERROR((SUMPRODUCT(('Production Inputs'!$A:$A="188mg LP")*('Production Inputs'!$B:$B="TOTAL ACTIVE")*'Production Inputs'!$ER:$ER)+SUMPRODUCT(('Production Inputs'!$A:$A="188mg LP - EU Stock")*('Production Inputs'!$B:$B="TOTAL ACTIVE")*'Production Inputs'!$ER:$ER))*Dependencies!$D$4,0)</f>
        <v>0</v>
      </c>
      <c r="G498" s="37">
        <f t="array" ref="G498">IFERROR(SUMPRODUCT(('Production Inputs'!$A:$A="200mg DP")*('Production Inputs'!$B:$B="TOTAL ACTIVE")*'Production Inputs'!$ER:$ER),0)</f>
        <v>0</v>
      </c>
      <c r="H498" s="30">
        <f t="shared" si="49"/>
        <v>87828</v>
      </c>
      <c r="I498" s="30">
        <f ca="1">IFERROR(AVERAGEIF(OFFSET(F498,0,0,MIN(Controls!$B$8,COUNTIF(B498:B$1973,B498)),1),"&gt;"&amp;0),0)</f>
        <v>0</v>
      </c>
      <c r="J498" s="38">
        <f t="shared" ca="1" si="50"/>
        <v>999</v>
      </c>
      <c r="K498" s="30">
        <f t="shared" ca="1" si="54"/>
        <v>0</v>
      </c>
      <c r="L498" t="str">
        <f t="shared" ca="1" si="51"/>
        <v>Overstock</v>
      </c>
      <c r="M498" s="39">
        <f>IFERROR(VLOOKUP("200mg DP",Controls!A:I,7,0),6)</f>
        <v>9</v>
      </c>
      <c r="N498" s="39">
        <f>IFERROR(VLOOKUP("200mg DP",Controls!A:I,8,0),3)</f>
        <v>8</v>
      </c>
      <c r="O498" s="39">
        <f>IFERROR(VLOOKUP("200mg DP",Controls!A:I,9,0),18)</f>
        <v>18</v>
      </c>
      <c r="P498" s="40">
        <f>IFERROR(VLOOKUP("200mg DP",Controls!A:J,5,0),0)</f>
        <v>16200</v>
      </c>
      <c r="Q498" s="39">
        <f>IFERROR(VLOOKUP("200mg DP",Controls!A:J,6,0),3)</f>
        <v>5</v>
      </c>
      <c r="R498" s="21" t="str">
        <f>IFERROR(VLOOKUP("200mg DP",Controls!A:K,10,0),"")</f>
        <v>Catalent</v>
      </c>
      <c r="S498" s="41">
        <f t="shared" si="52"/>
        <v>50041</v>
      </c>
      <c r="T498" s="30">
        <f t="shared" si="53"/>
        <v>0</v>
      </c>
      <c r="AB498">
        <f t="shared" si="55"/>
        <v>35100</v>
      </c>
    </row>
    <row r="499" spans="1:28" ht="13" customHeight="1" x14ac:dyDescent="0.35">
      <c r="A499" s="153">
        <v>50222</v>
      </c>
      <c r="B499" s="36" t="s">
        <v>36</v>
      </c>
      <c r="C499" s="15" t="s">
        <v>38</v>
      </c>
      <c r="D499" s="15" t="s">
        <v>29</v>
      </c>
      <c r="E499" s="30">
        <f>H498</f>
        <v>87828</v>
      </c>
      <c r="F499" s="37" cm="1">
        <f t="array" ref="F499">IFERROR((SUMPRODUCT(('Production Inputs'!$A:$A="188mg LP")*('Production Inputs'!$B:$B="TOTAL ACTIVE")*'Production Inputs'!$ES:$ES)+SUMPRODUCT(('Production Inputs'!$A:$A="188mg LP - EU Stock")*('Production Inputs'!$B:$B="TOTAL ACTIVE")*'Production Inputs'!$ES:$ES))*Dependencies!$D$4,0)</f>
        <v>0</v>
      </c>
      <c r="G499" s="37">
        <f t="array" ref="G499">IFERROR(SUMPRODUCT(('Production Inputs'!$A:$A="200mg DP")*('Production Inputs'!$B:$B="TOTAL ACTIVE")*'Production Inputs'!$ES:$ES),0)</f>
        <v>0</v>
      </c>
      <c r="H499" s="30">
        <f t="shared" si="49"/>
        <v>87828</v>
      </c>
      <c r="I499" s="30">
        <f ca="1">IFERROR(AVERAGEIF(OFFSET(F499,0,0,MIN(Controls!$B$8,COUNTIF(B499:B$1973,B499)),1),"&gt;"&amp;0),0)</f>
        <v>0</v>
      </c>
      <c r="J499" s="38">
        <f t="shared" ca="1" si="50"/>
        <v>999</v>
      </c>
      <c r="K499" s="30">
        <f t="shared" ca="1" si="54"/>
        <v>0</v>
      </c>
      <c r="L499" t="str">
        <f t="shared" ca="1" si="51"/>
        <v>Overstock</v>
      </c>
      <c r="M499" s="39">
        <f>IFERROR(VLOOKUP("200mg DP",Controls!A:I,7,0),6)</f>
        <v>9</v>
      </c>
      <c r="N499" s="39">
        <f>IFERROR(VLOOKUP("200mg DP",Controls!A:I,8,0),3)</f>
        <v>8</v>
      </c>
      <c r="O499" s="39">
        <f>IFERROR(VLOOKUP("200mg DP",Controls!A:I,9,0),18)</f>
        <v>18</v>
      </c>
      <c r="P499" s="40">
        <f>IFERROR(VLOOKUP("200mg DP",Controls!A:J,5,0),0)</f>
        <v>16200</v>
      </c>
      <c r="Q499" s="39">
        <f>IFERROR(VLOOKUP("200mg DP",Controls!A:J,6,0),3)</f>
        <v>5</v>
      </c>
      <c r="R499" s="21" t="str">
        <f>IFERROR(VLOOKUP("200mg DP",Controls!A:K,10,0),"")</f>
        <v>Catalent</v>
      </c>
      <c r="S499" s="41">
        <f t="shared" si="52"/>
        <v>50072</v>
      </c>
      <c r="T499" s="30">
        <f t="shared" si="53"/>
        <v>0</v>
      </c>
      <c r="AB499">
        <f t="shared" si="55"/>
        <v>35100</v>
      </c>
    </row>
    <row r="500" spans="1:28" ht="13" customHeight="1" x14ac:dyDescent="0.35">
      <c r="A500" s="153">
        <v>50253</v>
      </c>
      <c r="B500" s="36" t="s">
        <v>36</v>
      </c>
      <c r="C500" s="15" t="s">
        <v>38</v>
      </c>
      <c r="D500" s="15" t="s">
        <v>29</v>
      </c>
      <c r="E500" s="30">
        <f>H499</f>
        <v>87828</v>
      </c>
      <c r="F500" s="37" cm="1">
        <f t="array" ref="F500">IFERROR((SUMPRODUCT(('Production Inputs'!$A:$A="188mg LP")*('Production Inputs'!$B:$B="TOTAL ACTIVE")*'Production Inputs'!$ET:$ET)+SUMPRODUCT(('Production Inputs'!$A:$A="188mg LP - EU Stock")*('Production Inputs'!$B:$B="TOTAL ACTIVE")*'Production Inputs'!$ET:$ET))*Dependencies!$D$4,0)</f>
        <v>0</v>
      </c>
      <c r="G500" s="37">
        <f t="array" ref="G500">IFERROR(SUMPRODUCT(('Production Inputs'!$A:$A="200mg DP")*('Production Inputs'!$B:$B="TOTAL ACTIVE")*'Production Inputs'!$ET:$ET),0)</f>
        <v>0</v>
      </c>
      <c r="H500" s="30">
        <f t="shared" si="49"/>
        <v>87828</v>
      </c>
      <c r="I500" s="30">
        <f ca="1">IFERROR(AVERAGEIF(OFFSET(F500,0,0,MIN(Controls!$B$8,COUNTIF(B500:B$1973,B500)),1),"&gt;"&amp;0),0)</f>
        <v>0</v>
      </c>
      <c r="J500" s="38">
        <f t="shared" ca="1" si="50"/>
        <v>999</v>
      </c>
      <c r="K500" s="30">
        <f t="shared" ca="1" si="54"/>
        <v>0</v>
      </c>
      <c r="L500" t="str">
        <f t="shared" ca="1" si="51"/>
        <v>Overstock</v>
      </c>
      <c r="M500" s="39">
        <f>IFERROR(VLOOKUP("200mg DP",Controls!A:I,7,0),6)</f>
        <v>9</v>
      </c>
      <c r="N500" s="39">
        <f>IFERROR(VLOOKUP("200mg DP",Controls!A:I,8,0),3)</f>
        <v>8</v>
      </c>
      <c r="O500" s="39">
        <f>IFERROR(VLOOKUP("200mg DP",Controls!A:I,9,0),18)</f>
        <v>18</v>
      </c>
      <c r="P500" s="40">
        <f>IFERROR(VLOOKUP("200mg DP",Controls!A:J,5,0),0)</f>
        <v>16200</v>
      </c>
      <c r="Q500" s="39">
        <f>IFERROR(VLOOKUP("200mg DP",Controls!A:J,6,0),3)</f>
        <v>5</v>
      </c>
      <c r="R500" s="21" t="str">
        <f>IFERROR(VLOOKUP("200mg DP",Controls!A:K,10,0),"")</f>
        <v>Catalent</v>
      </c>
      <c r="S500" s="41">
        <f t="shared" si="52"/>
        <v>50100</v>
      </c>
      <c r="T500" s="30">
        <f t="shared" si="53"/>
        <v>0</v>
      </c>
      <c r="AB500">
        <f t="shared" si="55"/>
        <v>35100</v>
      </c>
    </row>
    <row r="501" spans="1:28" ht="13" customHeight="1" x14ac:dyDescent="0.35">
      <c r="A501" s="153">
        <v>50284</v>
      </c>
      <c r="B501" s="36" t="s">
        <v>36</v>
      </c>
      <c r="C501" s="15" t="s">
        <v>38</v>
      </c>
      <c r="D501" s="15" t="s">
        <v>29</v>
      </c>
      <c r="E501" s="30">
        <f>H500</f>
        <v>87828</v>
      </c>
      <c r="F501" s="37" cm="1">
        <f t="array" ref="F501">IFERROR((SUMPRODUCT(('Production Inputs'!$A:$A="188mg LP")*('Production Inputs'!$B:$B="TOTAL ACTIVE")*'Production Inputs'!$EU:$EU)+SUMPRODUCT(('Production Inputs'!$A:$A="188mg LP - EU Stock")*('Production Inputs'!$B:$B="TOTAL ACTIVE")*'Production Inputs'!$EU:$EU))*Dependencies!$D$4,0)</f>
        <v>0</v>
      </c>
      <c r="G501" s="37">
        <f t="array" ref="G501">IFERROR(SUMPRODUCT(('Production Inputs'!$A:$A="200mg DP")*('Production Inputs'!$B:$B="TOTAL ACTIVE")*'Production Inputs'!$EU:$EU),0)</f>
        <v>0</v>
      </c>
      <c r="H501" s="30">
        <f t="shared" si="49"/>
        <v>87828</v>
      </c>
      <c r="I501" s="30">
        <f ca="1">IFERROR(AVERAGEIF(OFFSET(F501,0,0,MIN(Controls!$B$8,COUNTIF(B501:B$1973,B501)),1),"&gt;"&amp;0),0)</f>
        <v>0</v>
      </c>
      <c r="J501" s="38">
        <f t="shared" ca="1" si="50"/>
        <v>999</v>
      </c>
      <c r="K501" s="30">
        <f t="shared" ca="1" si="54"/>
        <v>0</v>
      </c>
      <c r="L501" t="str">
        <f t="shared" ca="1" si="51"/>
        <v>Overstock</v>
      </c>
      <c r="M501" s="39">
        <f>IFERROR(VLOOKUP("200mg DP",Controls!A:I,7,0),6)</f>
        <v>9</v>
      </c>
      <c r="N501" s="39">
        <f>IFERROR(VLOOKUP("200mg DP",Controls!A:I,8,0),3)</f>
        <v>8</v>
      </c>
      <c r="O501" s="39">
        <f>IFERROR(VLOOKUP("200mg DP",Controls!A:I,9,0),18)</f>
        <v>18</v>
      </c>
      <c r="P501" s="40">
        <f>IFERROR(VLOOKUP("200mg DP",Controls!A:J,5,0),0)</f>
        <v>16200</v>
      </c>
      <c r="Q501" s="39">
        <f>IFERROR(VLOOKUP("200mg DP",Controls!A:J,6,0),3)</f>
        <v>5</v>
      </c>
      <c r="R501" s="21" t="str">
        <f>IFERROR(VLOOKUP("200mg DP",Controls!A:K,10,0),"")</f>
        <v>Catalent</v>
      </c>
      <c r="S501" s="41">
        <f t="shared" si="52"/>
        <v>50131</v>
      </c>
      <c r="T501" s="30">
        <f t="shared" si="53"/>
        <v>0</v>
      </c>
      <c r="AB501">
        <f t="shared" si="55"/>
        <v>35100</v>
      </c>
    </row>
    <row r="502" spans="1:28" ht="13" customHeight="1" x14ac:dyDescent="0.35">
      <c r="A502" s="153">
        <v>50314</v>
      </c>
      <c r="B502" s="36" t="s">
        <v>36</v>
      </c>
      <c r="C502" s="15" t="s">
        <v>38</v>
      </c>
      <c r="D502" s="15" t="s">
        <v>29</v>
      </c>
      <c r="E502" s="30">
        <f>H501</f>
        <v>87828</v>
      </c>
      <c r="F502" s="37" cm="1">
        <f t="array" ref="F502">IFERROR((SUMPRODUCT(('Production Inputs'!$A:$A="188mg LP")*('Production Inputs'!$B:$B="TOTAL ACTIVE")*'Production Inputs'!$EV:$EV)+SUMPRODUCT(('Production Inputs'!$A:$A="188mg LP - EU Stock")*('Production Inputs'!$B:$B="TOTAL ACTIVE")*'Production Inputs'!$EV:$EV))*Dependencies!$D$4,0)</f>
        <v>0</v>
      </c>
      <c r="G502" s="37">
        <f t="array" ref="G502">IFERROR(SUMPRODUCT(('Production Inputs'!$A:$A="200mg DP")*('Production Inputs'!$B:$B="TOTAL ACTIVE")*'Production Inputs'!$EV:$EV),0)</f>
        <v>0</v>
      </c>
      <c r="H502" s="30">
        <f t="shared" si="49"/>
        <v>87828</v>
      </c>
      <c r="I502" s="30">
        <f ca="1">IFERROR(AVERAGEIF(OFFSET(F502,0,0,MIN(Controls!$B$8,COUNTIF(B502:B$1973,B502)),1),"&gt;"&amp;0),0)</f>
        <v>0</v>
      </c>
      <c r="J502" s="38">
        <f t="shared" ca="1" si="50"/>
        <v>999</v>
      </c>
      <c r="K502" s="30">
        <f t="shared" ca="1" si="54"/>
        <v>0</v>
      </c>
      <c r="L502" t="str">
        <f t="shared" ca="1" si="51"/>
        <v>Overstock</v>
      </c>
      <c r="M502" s="39">
        <f>IFERROR(VLOOKUP("200mg DP",Controls!A:I,7,0),6)</f>
        <v>9</v>
      </c>
      <c r="N502" s="39">
        <f>IFERROR(VLOOKUP("200mg DP",Controls!A:I,8,0),3)</f>
        <v>8</v>
      </c>
      <c r="O502" s="39">
        <f>IFERROR(VLOOKUP("200mg DP",Controls!A:I,9,0),18)</f>
        <v>18</v>
      </c>
      <c r="P502" s="40">
        <f>IFERROR(VLOOKUP("200mg DP",Controls!A:J,5,0),0)</f>
        <v>16200</v>
      </c>
      <c r="Q502" s="39">
        <f>IFERROR(VLOOKUP("200mg DP",Controls!A:J,6,0),3)</f>
        <v>5</v>
      </c>
      <c r="R502" s="21" t="str">
        <f>IFERROR(VLOOKUP("200mg DP",Controls!A:K,10,0),"")</f>
        <v>Catalent</v>
      </c>
      <c r="S502" s="41">
        <f t="shared" si="52"/>
        <v>50161</v>
      </c>
      <c r="T502" s="30">
        <f t="shared" si="53"/>
        <v>0</v>
      </c>
      <c r="AB502">
        <f t="shared" si="55"/>
        <v>35100</v>
      </c>
    </row>
    <row r="503" spans="1:28" ht="13" customHeight="1" x14ac:dyDescent="0.35">
      <c r="A503" s="153">
        <v>50345</v>
      </c>
      <c r="B503" s="36" t="s">
        <v>36</v>
      </c>
      <c r="C503" s="15" t="s">
        <v>38</v>
      </c>
      <c r="D503" s="15" t="s">
        <v>29</v>
      </c>
      <c r="E503" s="30">
        <f>H502</f>
        <v>87828</v>
      </c>
      <c r="F503" s="37" cm="1">
        <f t="array" ref="F503">IFERROR((SUMPRODUCT(('Production Inputs'!$A:$A="188mg LP")*('Production Inputs'!$B:$B="TOTAL ACTIVE")*'Production Inputs'!$EW:$EW)+SUMPRODUCT(('Production Inputs'!$A:$A="188mg LP - EU Stock")*('Production Inputs'!$B:$B="TOTAL ACTIVE")*'Production Inputs'!$EW:$EW))*Dependencies!$D$4,0)</f>
        <v>0</v>
      </c>
      <c r="G503" s="37">
        <f t="array" ref="G503">IFERROR(SUMPRODUCT(('Production Inputs'!$A:$A="200mg DP")*('Production Inputs'!$B:$B="TOTAL ACTIVE")*'Production Inputs'!$EW:$EW),0)</f>
        <v>0</v>
      </c>
      <c r="H503" s="30">
        <f t="shared" si="49"/>
        <v>87828</v>
      </c>
      <c r="I503" s="30">
        <f ca="1">IFERROR(AVERAGEIF(OFFSET(F503,0,0,MIN(Controls!$B$8,COUNTIF(B503:B$1973,B503)),1),"&gt;"&amp;0),0)</f>
        <v>0</v>
      </c>
      <c r="J503" s="38">
        <f t="shared" ca="1" si="50"/>
        <v>999</v>
      </c>
      <c r="K503" s="30">
        <f t="shared" ca="1" si="54"/>
        <v>0</v>
      </c>
      <c r="L503" t="str">
        <f t="shared" ca="1" si="51"/>
        <v>Overstock</v>
      </c>
      <c r="M503" s="39">
        <f>IFERROR(VLOOKUP("200mg DP",Controls!A:I,7,0),6)</f>
        <v>9</v>
      </c>
      <c r="N503" s="39">
        <f>IFERROR(VLOOKUP("200mg DP",Controls!A:I,8,0),3)</f>
        <v>8</v>
      </c>
      <c r="O503" s="39">
        <f>IFERROR(VLOOKUP("200mg DP",Controls!A:I,9,0),18)</f>
        <v>18</v>
      </c>
      <c r="P503" s="40">
        <f>IFERROR(VLOOKUP("200mg DP",Controls!A:J,5,0),0)</f>
        <v>16200</v>
      </c>
      <c r="Q503" s="39">
        <f>IFERROR(VLOOKUP("200mg DP",Controls!A:J,6,0),3)</f>
        <v>5</v>
      </c>
      <c r="R503" s="21" t="str">
        <f>IFERROR(VLOOKUP("200mg DP",Controls!A:K,10,0),"")</f>
        <v>Catalent</v>
      </c>
      <c r="S503" s="41">
        <f t="shared" si="52"/>
        <v>50192</v>
      </c>
      <c r="T503" s="30">
        <f t="shared" si="53"/>
        <v>0</v>
      </c>
      <c r="AB503">
        <f t="shared" si="55"/>
        <v>35100</v>
      </c>
    </row>
    <row r="504" spans="1:28" ht="13" customHeight="1" x14ac:dyDescent="0.35">
      <c r="A504" s="153">
        <v>50375</v>
      </c>
      <c r="B504" s="36" t="s">
        <v>36</v>
      </c>
      <c r="C504" s="15" t="s">
        <v>38</v>
      </c>
      <c r="D504" s="15" t="s">
        <v>29</v>
      </c>
      <c r="E504" s="30">
        <f>H503</f>
        <v>87828</v>
      </c>
      <c r="F504" s="37" cm="1">
        <f t="array" ref="F504">IFERROR((SUMPRODUCT(('Production Inputs'!$A:$A="188mg LP")*('Production Inputs'!$B:$B="TOTAL ACTIVE")*'Production Inputs'!$EX:$EX)+SUMPRODUCT(('Production Inputs'!$A:$A="188mg LP - EU Stock")*('Production Inputs'!$B:$B="TOTAL ACTIVE")*'Production Inputs'!$EX:$EX))*Dependencies!$D$4,0)</f>
        <v>0</v>
      </c>
      <c r="G504" s="37">
        <f t="array" ref="G504">IFERROR(SUMPRODUCT(('Production Inputs'!$A:$A="200mg DP")*('Production Inputs'!$B:$B="TOTAL ACTIVE")*'Production Inputs'!$EX:$EX),0)</f>
        <v>0</v>
      </c>
      <c r="H504" s="30">
        <f t="shared" si="49"/>
        <v>87828</v>
      </c>
      <c r="I504" s="30">
        <f ca="1">IFERROR(AVERAGEIF(OFFSET(F504,0,0,MIN(Controls!$B$8,COUNTIF(B504:B$1973,B504)),1),"&gt;"&amp;0),0)</f>
        <v>0</v>
      </c>
      <c r="J504" s="38">
        <f t="shared" ca="1" si="50"/>
        <v>999</v>
      </c>
      <c r="K504" s="30">
        <f t="shared" ca="1" si="54"/>
        <v>0</v>
      </c>
      <c r="L504" t="str">
        <f t="shared" ca="1" si="51"/>
        <v>Overstock</v>
      </c>
      <c r="M504" s="39">
        <f>IFERROR(VLOOKUP("200mg DP",Controls!A:I,7,0),6)</f>
        <v>9</v>
      </c>
      <c r="N504" s="39">
        <f>IFERROR(VLOOKUP("200mg DP",Controls!A:I,8,0),3)</f>
        <v>8</v>
      </c>
      <c r="O504" s="39">
        <f>IFERROR(VLOOKUP("200mg DP",Controls!A:I,9,0),18)</f>
        <v>18</v>
      </c>
      <c r="P504" s="40">
        <f>IFERROR(VLOOKUP("200mg DP",Controls!A:J,5,0),0)</f>
        <v>16200</v>
      </c>
      <c r="Q504" s="39">
        <f>IFERROR(VLOOKUP("200mg DP",Controls!A:J,6,0),3)</f>
        <v>5</v>
      </c>
      <c r="R504" s="21" t="str">
        <f>IFERROR(VLOOKUP("200mg DP",Controls!A:K,10,0),"")</f>
        <v>Catalent</v>
      </c>
      <c r="S504" s="41">
        <f t="shared" si="52"/>
        <v>50222</v>
      </c>
      <c r="T504" s="30">
        <f t="shared" si="53"/>
        <v>0</v>
      </c>
      <c r="AB504">
        <f t="shared" si="55"/>
        <v>35100</v>
      </c>
    </row>
    <row r="505" spans="1:28" ht="13" customHeight="1" x14ac:dyDescent="0.35">
      <c r="A505" s="153">
        <v>50406</v>
      </c>
      <c r="B505" s="36" t="s">
        <v>36</v>
      </c>
      <c r="C505" s="15" t="s">
        <v>38</v>
      </c>
      <c r="D505" s="15" t="s">
        <v>29</v>
      </c>
      <c r="E505" s="30">
        <f>H504</f>
        <v>87828</v>
      </c>
      <c r="F505" s="37" cm="1">
        <f t="array" ref="F505">IFERROR((SUMPRODUCT(('Production Inputs'!$A:$A="188mg LP")*('Production Inputs'!$B:$B="TOTAL ACTIVE")*'Production Inputs'!$EY:$EY)+SUMPRODUCT(('Production Inputs'!$A:$A="188mg LP - EU Stock")*('Production Inputs'!$B:$B="TOTAL ACTIVE")*'Production Inputs'!$EY:$EY))*Dependencies!$D$4,0)</f>
        <v>0</v>
      </c>
      <c r="G505" s="37">
        <f t="array" ref="G505">IFERROR(SUMPRODUCT(('Production Inputs'!$A:$A="200mg DP")*('Production Inputs'!$B:$B="TOTAL ACTIVE")*'Production Inputs'!$EY:$EY),0)</f>
        <v>0</v>
      </c>
      <c r="H505" s="30">
        <f t="shared" si="49"/>
        <v>87828</v>
      </c>
      <c r="I505" s="30">
        <f ca="1">IFERROR(AVERAGEIF(OFFSET(F505,0,0,MIN(Controls!$B$8,COUNTIF(B505:B$1973,B505)),1),"&gt;"&amp;0),0)</f>
        <v>0</v>
      </c>
      <c r="J505" s="38">
        <f t="shared" ca="1" si="50"/>
        <v>999</v>
      </c>
      <c r="K505" s="30">
        <f t="shared" ca="1" si="54"/>
        <v>0</v>
      </c>
      <c r="L505" t="str">
        <f t="shared" ca="1" si="51"/>
        <v>Overstock</v>
      </c>
      <c r="M505" s="39">
        <f>IFERROR(VLOOKUP("200mg DP",Controls!A:I,7,0),6)</f>
        <v>9</v>
      </c>
      <c r="N505" s="39">
        <f>IFERROR(VLOOKUP("200mg DP",Controls!A:I,8,0),3)</f>
        <v>8</v>
      </c>
      <c r="O505" s="39">
        <f>IFERROR(VLOOKUP("200mg DP",Controls!A:I,9,0),18)</f>
        <v>18</v>
      </c>
      <c r="P505" s="40">
        <f>IFERROR(VLOOKUP("200mg DP",Controls!A:J,5,0),0)</f>
        <v>16200</v>
      </c>
      <c r="Q505" s="39">
        <f>IFERROR(VLOOKUP("200mg DP",Controls!A:J,6,0),3)</f>
        <v>5</v>
      </c>
      <c r="R505" s="21" t="str">
        <f>IFERROR(VLOOKUP("200mg DP",Controls!A:K,10,0),"")</f>
        <v>Catalent</v>
      </c>
      <c r="S505" s="41">
        <f t="shared" si="52"/>
        <v>50253</v>
      </c>
      <c r="T505" s="30">
        <f t="shared" si="53"/>
        <v>0</v>
      </c>
      <c r="AB505">
        <f t="shared" si="55"/>
        <v>35100</v>
      </c>
    </row>
    <row r="506" spans="1:28" ht="13" customHeight="1" x14ac:dyDescent="0.35">
      <c r="A506" s="153">
        <v>50437</v>
      </c>
      <c r="B506" s="36" t="s">
        <v>36</v>
      </c>
      <c r="C506" s="15" t="s">
        <v>38</v>
      </c>
      <c r="D506" s="15" t="s">
        <v>29</v>
      </c>
      <c r="E506" s="30">
        <f>H505</f>
        <v>87828</v>
      </c>
      <c r="F506" s="37" cm="1">
        <f t="array" ref="F506">IFERROR((SUMPRODUCT(('Production Inputs'!$A:$A="188mg LP")*('Production Inputs'!$B:$B="TOTAL ACTIVE")*'Production Inputs'!$EZ:$EZ)+SUMPRODUCT(('Production Inputs'!$A:$A="188mg LP - EU Stock")*('Production Inputs'!$B:$B="TOTAL ACTIVE")*'Production Inputs'!$EZ:$EZ))*Dependencies!$D$4,0)</f>
        <v>0</v>
      </c>
      <c r="G506" s="37">
        <f t="array" ref="G506">IFERROR(SUMPRODUCT(('Production Inputs'!$A:$A="200mg DP")*('Production Inputs'!$B:$B="TOTAL ACTIVE")*'Production Inputs'!$EZ:$EZ),0)</f>
        <v>0</v>
      </c>
      <c r="H506" s="30">
        <f t="shared" si="49"/>
        <v>87828</v>
      </c>
      <c r="I506" s="30">
        <f ca="1">IFERROR(AVERAGEIF(OFFSET(F506,0,0,MIN(Controls!$B$8,COUNTIF(B506:B$1973,B506)),1),"&gt;"&amp;0),0)</f>
        <v>0</v>
      </c>
      <c r="J506" s="38">
        <f t="shared" ca="1" si="50"/>
        <v>999</v>
      </c>
      <c r="K506" s="30">
        <f t="shared" ca="1" si="54"/>
        <v>0</v>
      </c>
      <c r="L506" t="str">
        <f t="shared" ca="1" si="51"/>
        <v>Overstock</v>
      </c>
      <c r="M506" s="39">
        <f>IFERROR(VLOOKUP("200mg DP",Controls!A:I,7,0),6)</f>
        <v>9</v>
      </c>
      <c r="N506" s="39">
        <f>IFERROR(VLOOKUP("200mg DP",Controls!A:I,8,0),3)</f>
        <v>8</v>
      </c>
      <c r="O506" s="39">
        <f>IFERROR(VLOOKUP("200mg DP",Controls!A:I,9,0),18)</f>
        <v>18</v>
      </c>
      <c r="P506" s="40">
        <f>IFERROR(VLOOKUP("200mg DP",Controls!A:J,5,0),0)</f>
        <v>16200</v>
      </c>
      <c r="Q506" s="39">
        <f>IFERROR(VLOOKUP("200mg DP",Controls!A:J,6,0),3)</f>
        <v>5</v>
      </c>
      <c r="R506" s="21" t="str">
        <f>IFERROR(VLOOKUP("200mg DP",Controls!A:K,10,0),"")</f>
        <v>Catalent</v>
      </c>
      <c r="S506" s="41">
        <f t="shared" si="52"/>
        <v>50284</v>
      </c>
      <c r="T506" s="30">
        <f t="shared" si="53"/>
        <v>0</v>
      </c>
      <c r="AB506">
        <f t="shared" si="55"/>
        <v>35100</v>
      </c>
    </row>
    <row r="507" spans="1:28" ht="13" customHeight="1" x14ac:dyDescent="0.35">
      <c r="A507" s="153">
        <v>50465</v>
      </c>
      <c r="B507" s="36" t="s">
        <v>36</v>
      </c>
      <c r="C507" s="15" t="s">
        <v>38</v>
      </c>
      <c r="D507" s="15" t="s">
        <v>29</v>
      </c>
      <c r="E507" s="30">
        <f>H506</f>
        <v>87828</v>
      </c>
      <c r="F507" s="37" cm="1">
        <f t="array" ref="F507">IFERROR((SUMPRODUCT(('Production Inputs'!$A:$A="188mg LP")*('Production Inputs'!$B:$B="TOTAL ACTIVE")*'Production Inputs'!$FA:$FA)+SUMPRODUCT(('Production Inputs'!$A:$A="188mg LP - EU Stock")*('Production Inputs'!$B:$B="TOTAL ACTIVE")*'Production Inputs'!$FA:$FA))*Dependencies!$D$4,0)</f>
        <v>0</v>
      </c>
      <c r="G507" s="37">
        <f t="array" ref="G507">IFERROR(SUMPRODUCT(('Production Inputs'!$A:$A="200mg DP")*('Production Inputs'!$B:$B="TOTAL ACTIVE")*'Production Inputs'!$FA:$FA),0)</f>
        <v>0</v>
      </c>
      <c r="H507" s="30">
        <f t="shared" si="49"/>
        <v>87828</v>
      </c>
      <c r="I507" s="30">
        <f ca="1">IFERROR(AVERAGEIF(OFFSET(F507,0,0,MIN(Controls!$B$8,COUNTIF(B507:B$1973,B507)),1),"&gt;"&amp;0),0)</f>
        <v>0</v>
      </c>
      <c r="J507" s="38">
        <f t="shared" ca="1" si="50"/>
        <v>999</v>
      </c>
      <c r="K507" s="30">
        <f t="shared" ca="1" si="54"/>
        <v>0</v>
      </c>
      <c r="L507" t="str">
        <f t="shared" ca="1" si="51"/>
        <v>Overstock</v>
      </c>
      <c r="M507" s="39">
        <f>IFERROR(VLOOKUP("200mg DP",Controls!A:I,7,0),6)</f>
        <v>9</v>
      </c>
      <c r="N507" s="39">
        <f>IFERROR(VLOOKUP("200mg DP",Controls!A:I,8,0),3)</f>
        <v>8</v>
      </c>
      <c r="O507" s="39">
        <f>IFERROR(VLOOKUP("200mg DP",Controls!A:I,9,0),18)</f>
        <v>18</v>
      </c>
      <c r="P507" s="40">
        <f>IFERROR(VLOOKUP("200mg DP",Controls!A:J,5,0),0)</f>
        <v>16200</v>
      </c>
      <c r="Q507" s="39">
        <f>IFERROR(VLOOKUP("200mg DP",Controls!A:J,6,0),3)</f>
        <v>5</v>
      </c>
      <c r="R507" s="21" t="str">
        <f>IFERROR(VLOOKUP("200mg DP",Controls!A:K,10,0),"")</f>
        <v>Catalent</v>
      </c>
      <c r="S507" s="41">
        <f t="shared" si="52"/>
        <v>50314</v>
      </c>
      <c r="T507" s="30">
        <f t="shared" si="53"/>
        <v>0</v>
      </c>
      <c r="AB507">
        <f t="shared" si="55"/>
        <v>35100</v>
      </c>
    </row>
    <row r="508" spans="1:28" ht="13" customHeight="1" x14ac:dyDescent="0.35">
      <c r="A508" s="153">
        <v>50496</v>
      </c>
      <c r="B508" s="36" t="s">
        <v>36</v>
      </c>
      <c r="C508" s="15" t="s">
        <v>38</v>
      </c>
      <c r="D508" s="15" t="s">
        <v>29</v>
      </c>
      <c r="E508" s="30">
        <f>H507</f>
        <v>87828</v>
      </c>
      <c r="F508" s="37" cm="1">
        <f t="array" ref="F508">IFERROR((SUMPRODUCT(('Production Inputs'!$A:$A="188mg LP")*('Production Inputs'!$B:$B="TOTAL ACTIVE")*'Production Inputs'!$FB:$FB)+SUMPRODUCT(('Production Inputs'!$A:$A="188mg LP - EU Stock")*('Production Inputs'!$B:$B="TOTAL ACTIVE")*'Production Inputs'!$FB:$FB))*Dependencies!$D$4,0)</f>
        <v>0</v>
      </c>
      <c r="G508" s="37">
        <f t="array" ref="G508">IFERROR(SUMPRODUCT(('Production Inputs'!$A:$A="200mg DP")*('Production Inputs'!$B:$B="TOTAL ACTIVE")*'Production Inputs'!$FB:$FB),0)</f>
        <v>0</v>
      </c>
      <c r="H508" s="30">
        <f t="shared" si="49"/>
        <v>87828</v>
      </c>
      <c r="I508" s="30">
        <f ca="1">IFERROR(AVERAGEIF(OFFSET(F508,0,0,MIN(Controls!$B$8,COUNTIF(B508:B$1973,B508)),1),"&gt;"&amp;0),0)</f>
        <v>0</v>
      </c>
      <c r="J508" s="38">
        <f t="shared" ca="1" si="50"/>
        <v>999</v>
      </c>
      <c r="K508" s="30">
        <f t="shared" ca="1" si="54"/>
        <v>0</v>
      </c>
      <c r="L508" t="str">
        <f t="shared" ca="1" si="51"/>
        <v>Overstock</v>
      </c>
      <c r="M508" s="39">
        <f>IFERROR(VLOOKUP("200mg DP",Controls!A:I,7,0),6)</f>
        <v>9</v>
      </c>
      <c r="N508" s="39">
        <f>IFERROR(VLOOKUP("200mg DP",Controls!A:I,8,0),3)</f>
        <v>8</v>
      </c>
      <c r="O508" s="39">
        <f>IFERROR(VLOOKUP("200mg DP",Controls!A:I,9,0),18)</f>
        <v>18</v>
      </c>
      <c r="P508" s="40">
        <f>IFERROR(VLOOKUP("200mg DP",Controls!A:J,5,0),0)</f>
        <v>16200</v>
      </c>
      <c r="Q508" s="39">
        <f>IFERROR(VLOOKUP("200mg DP",Controls!A:J,6,0),3)</f>
        <v>5</v>
      </c>
      <c r="R508" s="21" t="str">
        <f>IFERROR(VLOOKUP("200mg DP",Controls!A:K,10,0),"")</f>
        <v>Catalent</v>
      </c>
      <c r="S508" s="41">
        <f t="shared" si="52"/>
        <v>50345</v>
      </c>
      <c r="T508" s="30">
        <f t="shared" si="53"/>
        <v>0</v>
      </c>
      <c r="AB508">
        <f t="shared" si="55"/>
        <v>35100</v>
      </c>
    </row>
    <row r="509" spans="1:28" ht="13" customHeight="1" x14ac:dyDescent="0.35">
      <c r="A509" s="153">
        <v>50526</v>
      </c>
      <c r="B509" s="36" t="s">
        <v>36</v>
      </c>
      <c r="C509" s="15" t="s">
        <v>38</v>
      </c>
      <c r="D509" s="15" t="s">
        <v>29</v>
      </c>
      <c r="E509" s="30">
        <f>H508</f>
        <v>87828</v>
      </c>
      <c r="F509" s="37" cm="1">
        <f t="array" ref="F509">IFERROR((SUMPRODUCT(('Production Inputs'!$A:$A="188mg LP")*('Production Inputs'!$B:$B="TOTAL ACTIVE")*'Production Inputs'!$FC:$FC)+SUMPRODUCT(('Production Inputs'!$A:$A="188mg LP - EU Stock")*('Production Inputs'!$B:$B="TOTAL ACTIVE")*'Production Inputs'!$FC:$FC))*Dependencies!$D$4,0)</f>
        <v>0</v>
      </c>
      <c r="G509" s="37">
        <f t="array" ref="G509">IFERROR(SUMPRODUCT(('Production Inputs'!$A:$A="200mg DP")*('Production Inputs'!$B:$B="TOTAL ACTIVE")*'Production Inputs'!$FC:$FC),0)</f>
        <v>0</v>
      </c>
      <c r="H509" s="30">
        <f t="shared" si="49"/>
        <v>87828</v>
      </c>
      <c r="I509" s="30">
        <f ca="1">IFERROR(AVERAGEIF(OFFSET(F509,0,0,MIN(Controls!$B$8,COUNTIF(B509:B$1973,B509)),1),"&gt;"&amp;0),0)</f>
        <v>0</v>
      </c>
      <c r="J509" s="38">
        <f t="shared" ca="1" si="50"/>
        <v>999</v>
      </c>
      <c r="K509" s="30">
        <f t="shared" ca="1" si="54"/>
        <v>0</v>
      </c>
      <c r="L509" t="str">
        <f t="shared" ca="1" si="51"/>
        <v>Overstock</v>
      </c>
      <c r="M509" s="39">
        <f>IFERROR(VLOOKUP("200mg DP",Controls!A:I,7,0),6)</f>
        <v>9</v>
      </c>
      <c r="N509" s="39">
        <f>IFERROR(VLOOKUP("200mg DP",Controls!A:I,8,0),3)</f>
        <v>8</v>
      </c>
      <c r="O509" s="39">
        <f>IFERROR(VLOOKUP("200mg DP",Controls!A:I,9,0),18)</f>
        <v>18</v>
      </c>
      <c r="P509" s="40">
        <f>IFERROR(VLOOKUP("200mg DP",Controls!A:J,5,0),0)</f>
        <v>16200</v>
      </c>
      <c r="Q509" s="39">
        <f>IFERROR(VLOOKUP("200mg DP",Controls!A:J,6,0),3)</f>
        <v>5</v>
      </c>
      <c r="R509" s="21" t="str">
        <f>IFERROR(VLOOKUP("200mg DP",Controls!A:K,10,0),"")</f>
        <v>Catalent</v>
      </c>
      <c r="S509" s="41">
        <f t="shared" si="52"/>
        <v>50375</v>
      </c>
      <c r="T509" s="30">
        <f t="shared" si="53"/>
        <v>0</v>
      </c>
      <c r="AB509">
        <f t="shared" si="55"/>
        <v>35100</v>
      </c>
    </row>
    <row r="510" spans="1:28" ht="13" customHeight="1" x14ac:dyDescent="0.35">
      <c r="A510" s="153">
        <v>50557</v>
      </c>
      <c r="B510" s="36" t="s">
        <v>36</v>
      </c>
      <c r="C510" s="15" t="s">
        <v>38</v>
      </c>
      <c r="D510" s="15" t="s">
        <v>29</v>
      </c>
      <c r="E510" s="30">
        <f>H509</f>
        <v>87828</v>
      </c>
      <c r="F510" s="37" cm="1">
        <f t="array" ref="F510">IFERROR((SUMPRODUCT(('Production Inputs'!$A:$A="188mg LP")*('Production Inputs'!$B:$B="TOTAL ACTIVE")*'Production Inputs'!$FD:$FD)+SUMPRODUCT(('Production Inputs'!$A:$A="188mg LP - EU Stock")*('Production Inputs'!$B:$B="TOTAL ACTIVE")*'Production Inputs'!$FD:$FD))*Dependencies!$D$4,0)</f>
        <v>0</v>
      </c>
      <c r="G510" s="37">
        <f t="array" ref="G510">IFERROR(SUMPRODUCT(('Production Inputs'!$A:$A="200mg DP")*('Production Inputs'!$B:$B="TOTAL ACTIVE")*'Production Inputs'!$FD:$FD),0)</f>
        <v>0</v>
      </c>
      <c r="H510" s="30">
        <f t="shared" si="49"/>
        <v>87828</v>
      </c>
      <c r="I510" s="30">
        <f ca="1">IFERROR(AVERAGEIF(OFFSET(F510,0,0,MIN(Controls!$B$8,COUNTIF(B510:B$1973,B510)),1),"&gt;"&amp;0),0)</f>
        <v>0</v>
      </c>
      <c r="J510" s="38">
        <f t="shared" ca="1" si="50"/>
        <v>999</v>
      </c>
      <c r="K510" s="30">
        <f t="shared" ca="1" si="54"/>
        <v>0</v>
      </c>
      <c r="L510" t="str">
        <f t="shared" ca="1" si="51"/>
        <v>Overstock</v>
      </c>
      <c r="M510" s="39">
        <f>IFERROR(VLOOKUP("200mg DP",Controls!A:I,7,0),6)</f>
        <v>9</v>
      </c>
      <c r="N510" s="39">
        <f>IFERROR(VLOOKUP("200mg DP",Controls!A:I,8,0),3)</f>
        <v>8</v>
      </c>
      <c r="O510" s="39">
        <f>IFERROR(VLOOKUP("200mg DP",Controls!A:I,9,0),18)</f>
        <v>18</v>
      </c>
      <c r="P510" s="40">
        <f>IFERROR(VLOOKUP("200mg DP",Controls!A:J,5,0),0)</f>
        <v>16200</v>
      </c>
      <c r="Q510" s="39">
        <f>IFERROR(VLOOKUP("200mg DP",Controls!A:J,6,0),3)</f>
        <v>5</v>
      </c>
      <c r="R510" s="21" t="str">
        <f>IFERROR(VLOOKUP("200mg DP",Controls!A:K,10,0),"")</f>
        <v>Catalent</v>
      </c>
      <c r="S510" s="41">
        <f t="shared" si="52"/>
        <v>50406</v>
      </c>
      <c r="T510" s="30">
        <f t="shared" si="53"/>
        <v>0</v>
      </c>
      <c r="AB510">
        <f t="shared" si="55"/>
        <v>35100</v>
      </c>
    </row>
    <row r="511" spans="1:28" ht="13" customHeight="1" x14ac:dyDescent="0.35">
      <c r="A511" s="153">
        <v>50587</v>
      </c>
      <c r="B511" s="36" t="s">
        <v>36</v>
      </c>
      <c r="C511" s="15" t="s">
        <v>38</v>
      </c>
      <c r="D511" s="15" t="s">
        <v>29</v>
      </c>
      <c r="E511" s="30">
        <f>H510</f>
        <v>87828</v>
      </c>
      <c r="F511" s="37" cm="1">
        <f t="array" ref="F511">IFERROR((SUMPRODUCT(('Production Inputs'!$A:$A="188mg LP")*('Production Inputs'!$B:$B="TOTAL ACTIVE")*'Production Inputs'!$FE:$FE)+SUMPRODUCT(('Production Inputs'!$A:$A="188mg LP - EU Stock")*('Production Inputs'!$B:$B="TOTAL ACTIVE")*'Production Inputs'!$FE:$FE))*Dependencies!$D$4,0)</f>
        <v>0</v>
      </c>
      <c r="G511" s="37">
        <f t="array" ref="G511">IFERROR(SUMPRODUCT(('Production Inputs'!$A:$A="200mg DP")*('Production Inputs'!$B:$B="TOTAL ACTIVE")*'Production Inputs'!$FE:$FE),0)</f>
        <v>0</v>
      </c>
      <c r="H511" s="30">
        <f t="shared" si="49"/>
        <v>87828</v>
      </c>
      <c r="I511" s="30">
        <f ca="1">IFERROR(AVERAGEIF(OFFSET(F511,0,0,MIN(Controls!$B$8,COUNTIF(B511:B$1973,B511)),1),"&gt;"&amp;0),0)</f>
        <v>0</v>
      </c>
      <c r="J511" s="38">
        <f t="shared" ca="1" si="50"/>
        <v>999</v>
      </c>
      <c r="K511" s="30">
        <f t="shared" ca="1" si="54"/>
        <v>0</v>
      </c>
      <c r="L511" t="str">
        <f t="shared" ca="1" si="51"/>
        <v>Overstock</v>
      </c>
      <c r="M511" s="39">
        <f>IFERROR(VLOOKUP("200mg DP",Controls!A:I,7,0),6)</f>
        <v>9</v>
      </c>
      <c r="N511" s="39">
        <f>IFERROR(VLOOKUP("200mg DP",Controls!A:I,8,0),3)</f>
        <v>8</v>
      </c>
      <c r="O511" s="39">
        <f>IFERROR(VLOOKUP("200mg DP",Controls!A:I,9,0),18)</f>
        <v>18</v>
      </c>
      <c r="P511" s="40">
        <f>IFERROR(VLOOKUP("200mg DP",Controls!A:J,5,0),0)</f>
        <v>16200</v>
      </c>
      <c r="Q511" s="39">
        <f>IFERROR(VLOOKUP("200mg DP",Controls!A:J,6,0),3)</f>
        <v>5</v>
      </c>
      <c r="R511" s="21" t="str">
        <f>IFERROR(VLOOKUP("200mg DP",Controls!A:K,10,0),"")</f>
        <v>Catalent</v>
      </c>
      <c r="S511" s="41">
        <f t="shared" si="52"/>
        <v>50437</v>
      </c>
      <c r="T511" s="30">
        <f t="shared" si="53"/>
        <v>0</v>
      </c>
      <c r="AB511">
        <f t="shared" si="55"/>
        <v>35100</v>
      </c>
    </row>
    <row r="512" spans="1:28" ht="13" customHeight="1" x14ac:dyDescent="0.35">
      <c r="A512" s="153">
        <v>50618</v>
      </c>
      <c r="B512" s="36" t="s">
        <v>36</v>
      </c>
      <c r="C512" s="15" t="s">
        <v>38</v>
      </c>
      <c r="D512" s="15" t="s">
        <v>29</v>
      </c>
      <c r="E512" s="30">
        <f>H511</f>
        <v>87828</v>
      </c>
      <c r="F512" s="37" cm="1">
        <f t="array" ref="F512">IFERROR((SUMPRODUCT(('Production Inputs'!$A:$A="188mg LP")*('Production Inputs'!$B:$B="TOTAL ACTIVE")*'Production Inputs'!$FF:$FF)+SUMPRODUCT(('Production Inputs'!$A:$A="188mg LP - EU Stock")*('Production Inputs'!$B:$B="TOTAL ACTIVE")*'Production Inputs'!$FF:$FF))*Dependencies!$D$4,0)</f>
        <v>0</v>
      </c>
      <c r="G512" s="37">
        <f t="array" ref="G512">IFERROR(SUMPRODUCT(('Production Inputs'!$A:$A="200mg DP")*('Production Inputs'!$B:$B="TOTAL ACTIVE")*'Production Inputs'!$FF:$FF),0)</f>
        <v>0</v>
      </c>
      <c r="H512" s="30">
        <f t="shared" si="49"/>
        <v>87828</v>
      </c>
      <c r="I512" s="30">
        <f ca="1">IFERROR(AVERAGEIF(OFFSET(F512,0,0,MIN(Controls!$B$8,COUNTIF(B512:B$1973,B512)),1),"&gt;"&amp;0),0)</f>
        <v>0</v>
      </c>
      <c r="J512" s="38">
        <f t="shared" ca="1" si="50"/>
        <v>999</v>
      </c>
      <c r="K512" s="30">
        <f t="shared" ca="1" si="54"/>
        <v>0</v>
      </c>
      <c r="L512" t="str">
        <f t="shared" ca="1" si="51"/>
        <v>Overstock</v>
      </c>
      <c r="M512" s="39">
        <f>IFERROR(VLOOKUP("200mg DP",Controls!A:I,7,0),6)</f>
        <v>9</v>
      </c>
      <c r="N512" s="39">
        <f>IFERROR(VLOOKUP("200mg DP",Controls!A:I,8,0),3)</f>
        <v>8</v>
      </c>
      <c r="O512" s="39">
        <f>IFERROR(VLOOKUP("200mg DP",Controls!A:I,9,0),18)</f>
        <v>18</v>
      </c>
      <c r="P512" s="40">
        <f>IFERROR(VLOOKUP("200mg DP",Controls!A:J,5,0),0)</f>
        <v>16200</v>
      </c>
      <c r="Q512" s="39">
        <f>IFERROR(VLOOKUP("200mg DP",Controls!A:J,6,0),3)</f>
        <v>5</v>
      </c>
      <c r="R512" s="21" t="str">
        <f>IFERROR(VLOOKUP("200mg DP",Controls!A:K,10,0),"")</f>
        <v>Catalent</v>
      </c>
      <c r="S512" s="41">
        <f t="shared" si="52"/>
        <v>50465</v>
      </c>
      <c r="T512" s="30">
        <f t="shared" si="53"/>
        <v>0</v>
      </c>
      <c r="AB512">
        <f t="shared" si="55"/>
        <v>35100</v>
      </c>
    </row>
    <row r="513" spans="1:28" ht="13" customHeight="1" x14ac:dyDescent="0.35">
      <c r="A513" s="153">
        <v>50649</v>
      </c>
      <c r="B513" s="36" t="s">
        <v>36</v>
      </c>
      <c r="C513" s="15" t="s">
        <v>38</v>
      </c>
      <c r="D513" s="15" t="s">
        <v>29</v>
      </c>
      <c r="E513" s="30">
        <f>H512</f>
        <v>87828</v>
      </c>
      <c r="F513" s="37" cm="1">
        <f t="array" ref="F513">IFERROR((SUMPRODUCT(('Production Inputs'!$A:$A="188mg LP")*('Production Inputs'!$B:$B="TOTAL ACTIVE")*'Production Inputs'!$FG:$FG)+SUMPRODUCT(('Production Inputs'!$A:$A="188mg LP - EU Stock")*('Production Inputs'!$B:$B="TOTAL ACTIVE")*'Production Inputs'!$FG:$FG))*Dependencies!$D$4,0)</f>
        <v>0</v>
      </c>
      <c r="G513" s="37">
        <f t="array" ref="G513">IFERROR(SUMPRODUCT(('Production Inputs'!$A:$A="200mg DP")*('Production Inputs'!$B:$B="TOTAL ACTIVE")*'Production Inputs'!$FG:$FG),0)</f>
        <v>0</v>
      </c>
      <c r="H513" s="30">
        <f t="shared" si="49"/>
        <v>87828</v>
      </c>
      <c r="I513" s="30">
        <f ca="1">IFERROR(AVERAGEIF(OFFSET(F513,0,0,MIN(Controls!$B$8,COUNTIF(B513:B$1973,B513)),1),"&gt;"&amp;0),0)</f>
        <v>0</v>
      </c>
      <c r="J513" s="38">
        <f t="shared" ca="1" si="50"/>
        <v>999</v>
      </c>
      <c r="K513" s="30">
        <f t="shared" ca="1" si="54"/>
        <v>0</v>
      </c>
      <c r="L513" t="str">
        <f t="shared" ca="1" si="51"/>
        <v>Overstock</v>
      </c>
      <c r="M513" s="39">
        <f>IFERROR(VLOOKUP("200mg DP",Controls!A:I,7,0),6)</f>
        <v>9</v>
      </c>
      <c r="N513" s="39">
        <f>IFERROR(VLOOKUP("200mg DP",Controls!A:I,8,0),3)</f>
        <v>8</v>
      </c>
      <c r="O513" s="39">
        <f>IFERROR(VLOOKUP("200mg DP",Controls!A:I,9,0),18)</f>
        <v>18</v>
      </c>
      <c r="P513" s="40">
        <f>IFERROR(VLOOKUP("200mg DP",Controls!A:J,5,0),0)</f>
        <v>16200</v>
      </c>
      <c r="Q513" s="39">
        <f>IFERROR(VLOOKUP("200mg DP",Controls!A:J,6,0),3)</f>
        <v>5</v>
      </c>
      <c r="R513" s="21" t="str">
        <f>IFERROR(VLOOKUP("200mg DP",Controls!A:K,10,0),"")</f>
        <v>Catalent</v>
      </c>
      <c r="S513" s="41">
        <f t="shared" si="52"/>
        <v>50496</v>
      </c>
      <c r="T513" s="30">
        <f t="shared" si="53"/>
        <v>0</v>
      </c>
      <c r="AB513">
        <f t="shared" si="55"/>
        <v>35100</v>
      </c>
    </row>
    <row r="514" spans="1:28" ht="13" customHeight="1" x14ac:dyDescent="0.35">
      <c r="A514" s="153">
        <v>50679</v>
      </c>
      <c r="B514" s="36" t="s">
        <v>36</v>
      </c>
      <c r="C514" s="15" t="s">
        <v>38</v>
      </c>
      <c r="D514" s="15" t="s">
        <v>29</v>
      </c>
      <c r="E514" s="30">
        <f>H513</f>
        <v>87828</v>
      </c>
      <c r="F514" s="37" cm="1">
        <f t="array" ref="F514">IFERROR((SUMPRODUCT(('Production Inputs'!$A:$A="188mg LP")*('Production Inputs'!$B:$B="TOTAL ACTIVE")*'Production Inputs'!$FH:$FH)+SUMPRODUCT(('Production Inputs'!$A:$A="188mg LP - EU Stock")*('Production Inputs'!$B:$B="TOTAL ACTIVE")*'Production Inputs'!$FH:$FH))*Dependencies!$D$4,0)</f>
        <v>0</v>
      </c>
      <c r="G514" s="37">
        <f t="array" ref="G514">IFERROR(SUMPRODUCT(('Production Inputs'!$A:$A="200mg DP")*('Production Inputs'!$B:$B="TOTAL ACTIVE")*'Production Inputs'!$FH:$FH),0)</f>
        <v>0</v>
      </c>
      <c r="H514" s="30">
        <f t="shared" si="49"/>
        <v>87828</v>
      </c>
      <c r="I514" s="30">
        <f ca="1">IFERROR(AVERAGEIF(OFFSET(F514,0,0,MIN(Controls!$B$8,COUNTIF(B514:B$1973,B514)),1),"&gt;"&amp;0),0)</f>
        <v>0</v>
      </c>
      <c r="J514" s="38">
        <f t="shared" ca="1" si="50"/>
        <v>999</v>
      </c>
      <c r="K514" s="30">
        <f t="shared" ca="1" si="54"/>
        <v>0</v>
      </c>
      <c r="L514" t="str">
        <f t="shared" ca="1" si="51"/>
        <v>Overstock</v>
      </c>
      <c r="M514" s="39">
        <f>IFERROR(VLOOKUP("200mg DP",Controls!A:I,7,0),6)</f>
        <v>9</v>
      </c>
      <c r="N514" s="39">
        <f>IFERROR(VLOOKUP("200mg DP",Controls!A:I,8,0),3)</f>
        <v>8</v>
      </c>
      <c r="O514" s="39">
        <f>IFERROR(VLOOKUP("200mg DP",Controls!A:I,9,0),18)</f>
        <v>18</v>
      </c>
      <c r="P514" s="40">
        <f>IFERROR(VLOOKUP("200mg DP",Controls!A:J,5,0),0)</f>
        <v>16200</v>
      </c>
      <c r="Q514" s="39">
        <f>IFERROR(VLOOKUP("200mg DP",Controls!A:J,6,0),3)</f>
        <v>5</v>
      </c>
      <c r="R514" s="21" t="str">
        <f>IFERROR(VLOOKUP("200mg DP",Controls!A:K,10,0),"")</f>
        <v>Catalent</v>
      </c>
      <c r="S514" s="41">
        <f t="shared" si="52"/>
        <v>50526</v>
      </c>
      <c r="T514" s="30">
        <f t="shared" si="53"/>
        <v>0</v>
      </c>
      <c r="AB514">
        <f t="shared" si="55"/>
        <v>35100</v>
      </c>
    </row>
    <row r="515" spans="1:28" ht="13" customHeight="1" x14ac:dyDescent="0.35">
      <c r="A515" s="153">
        <v>50710</v>
      </c>
      <c r="B515" s="36" t="s">
        <v>36</v>
      </c>
      <c r="C515" s="15" t="s">
        <v>38</v>
      </c>
      <c r="D515" s="15" t="s">
        <v>29</v>
      </c>
      <c r="E515" s="30">
        <f>H514</f>
        <v>87828</v>
      </c>
      <c r="F515" s="37" cm="1">
        <f t="array" ref="F515">IFERROR((SUMPRODUCT(('Production Inputs'!$A:$A="188mg LP")*('Production Inputs'!$B:$B="TOTAL ACTIVE")*'Production Inputs'!$FI:$FI)+SUMPRODUCT(('Production Inputs'!$A:$A="188mg LP - EU Stock")*('Production Inputs'!$B:$B="TOTAL ACTIVE")*'Production Inputs'!$FI:$FI))*Dependencies!$D$4,0)</f>
        <v>0</v>
      </c>
      <c r="G515" s="37">
        <f t="array" ref="G515">IFERROR(SUMPRODUCT(('Production Inputs'!$A:$A="200mg DP")*('Production Inputs'!$B:$B="TOTAL ACTIVE")*'Production Inputs'!$FI:$FI),0)</f>
        <v>0</v>
      </c>
      <c r="H515" s="30">
        <f t="shared" si="49"/>
        <v>87828</v>
      </c>
      <c r="I515" s="30">
        <f ca="1">IFERROR(AVERAGEIF(OFFSET(F515,0,0,MIN(Controls!$B$8,COUNTIF(B515:B$1973,B515)),1),"&gt;"&amp;0),0)</f>
        <v>0</v>
      </c>
      <c r="J515" s="38">
        <f t="shared" ca="1" si="50"/>
        <v>999</v>
      </c>
      <c r="K515" s="30">
        <f t="shared" ca="1" si="54"/>
        <v>0</v>
      </c>
      <c r="L515" t="str">
        <f t="shared" ca="1" si="51"/>
        <v>Overstock</v>
      </c>
      <c r="M515" s="39">
        <f>IFERROR(VLOOKUP("200mg DP",Controls!A:I,7,0),6)</f>
        <v>9</v>
      </c>
      <c r="N515" s="39">
        <f>IFERROR(VLOOKUP("200mg DP",Controls!A:I,8,0),3)</f>
        <v>8</v>
      </c>
      <c r="O515" s="39">
        <f>IFERROR(VLOOKUP("200mg DP",Controls!A:I,9,0),18)</f>
        <v>18</v>
      </c>
      <c r="P515" s="40">
        <f>IFERROR(VLOOKUP("200mg DP",Controls!A:J,5,0),0)</f>
        <v>16200</v>
      </c>
      <c r="Q515" s="39">
        <f>IFERROR(VLOOKUP("200mg DP",Controls!A:J,6,0),3)</f>
        <v>5</v>
      </c>
      <c r="R515" s="21" t="str">
        <f>IFERROR(VLOOKUP("200mg DP",Controls!A:K,10,0),"")</f>
        <v>Catalent</v>
      </c>
      <c r="S515" s="41">
        <f t="shared" si="52"/>
        <v>50557</v>
      </c>
      <c r="T515" s="30">
        <f t="shared" si="53"/>
        <v>0</v>
      </c>
      <c r="AB515">
        <f t="shared" si="55"/>
        <v>35100</v>
      </c>
    </row>
    <row r="516" spans="1:28" ht="13" customHeight="1" x14ac:dyDescent="0.35">
      <c r="A516" s="153">
        <v>50740</v>
      </c>
      <c r="B516" s="36" t="s">
        <v>36</v>
      </c>
      <c r="C516" s="15" t="s">
        <v>38</v>
      </c>
      <c r="D516" s="15" t="s">
        <v>29</v>
      </c>
      <c r="E516" s="30">
        <f>H515</f>
        <v>87828</v>
      </c>
      <c r="F516" s="37" cm="1">
        <f t="array" ref="F516">IFERROR((SUMPRODUCT(('Production Inputs'!$A:$A="188mg LP")*('Production Inputs'!$B:$B="TOTAL ACTIVE")*'Production Inputs'!$FJ:$FJ)+SUMPRODUCT(('Production Inputs'!$A:$A="188mg LP - EU Stock")*('Production Inputs'!$B:$B="TOTAL ACTIVE")*'Production Inputs'!$FJ:$FJ))*Dependencies!$D$4,0)</f>
        <v>0</v>
      </c>
      <c r="G516" s="37">
        <f t="array" ref="G516">IFERROR(SUMPRODUCT(('Production Inputs'!$A:$A="200mg DP")*('Production Inputs'!$B:$B="TOTAL ACTIVE")*'Production Inputs'!$FJ:$FJ),0)</f>
        <v>0</v>
      </c>
      <c r="H516" s="30">
        <f t="shared" ref="H516:H579" si="56">E516+G516-F516</f>
        <v>87828</v>
      </c>
      <c r="I516" s="30">
        <f ca="1">IFERROR(AVERAGEIF(OFFSET(F516,0,0,MIN(Controls!$B$8,COUNTIF(B516:B$1973,B516)),1),"&gt;"&amp;0),0)</f>
        <v>0</v>
      </c>
      <c r="J516" s="38">
        <f t="shared" ref="J516:J579" ca="1" si="57">IFERROR(H516/I516,IF(H516&gt;0,999,0))</f>
        <v>999</v>
      </c>
      <c r="K516" s="30">
        <f t="shared" ca="1" si="54"/>
        <v>0</v>
      </c>
      <c r="L516" t="str">
        <f t="shared" ref="L516:L579" ca="1" si="58">IF(H516&lt;=0,"High",IF(J516&lt;N516,"High",IF(J516&lt;M516,"Medium",IF(J516&gt;O516,"Overstock","Low"))))</f>
        <v>Overstock</v>
      </c>
      <c r="M516" s="39">
        <f>IFERROR(VLOOKUP("200mg DP",Controls!A:I,7,0),6)</f>
        <v>9</v>
      </c>
      <c r="N516" s="39">
        <f>IFERROR(VLOOKUP("200mg DP",Controls!A:I,8,0),3)</f>
        <v>8</v>
      </c>
      <c r="O516" s="39">
        <f>IFERROR(VLOOKUP("200mg DP",Controls!A:I,9,0),18)</f>
        <v>18</v>
      </c>
      <c r="P516" s="40">
        <f>IFERROR(VLOOKUP("200mg DP",Controls!A:J,5,0),0)</f>
        <v>16200</v>
      </c>
      <c r="Q516" s="39">
        <f>IFERROR(VLOOKUP("200mg DP",Controls!A:J,6,0),3)</f>
        <v>5</v>
      </c>
      <c r="R516" s="21" t="str">
        <f>IFERROR(VLOOKUP("200mg DP",Controls!A:K,10,0),"")</f>
        <v>Catalent</v>
      </c>
      <c r="S516" s="41">
        <f t="shared" ref="S516:S579" si="59">IFERROR(EDATE(A516,-Q516),"")</f>
        <v>50587</v>
      </c>
      <c r="T516" s="30">
        <f t="shared" ref="T516:T579" si="60">G516</f>
        <v>0</v>
      </c>
      <c r="AB516">
        <f t="shared" si="55"/>
        <v>35100</v>
      </c>
    </row>
    <row r="517" spans="1:28" ht="13" customHeight="1" x14ac:dyDescent="0.35">
      <c r="A517" s="153">
        <v>50771</v>
      </c>
      <c r="B517" s="36" t="s">
        <v>36</v>
      </c>
      <c r="C517" s="15" t="s">
        <v>38</v>
      </c>
      <c r="D517" s="15" t="s">
        <v>29</v>
      </c>
      <c r="E517" s="30">
        <f>H516</f>
        <v>87828</v>
      </c>
      <c r="F517" s="37" cm="1">
        <f t="array" ref="F517">IFERROR((SUMPRODUCT(('Production Inputs'!$A:$A="188mg LP")*('Production Inputs'!$B:$B="TOTAL ACTIVE")*'Production Inputs'!$FK:$FK)+SUMPRODUCT(('Production Inputs'!$A:$A="188mg LP - EU Stock")*('Production Inputs'!$B:$B="TOTAL ACTIVE")*'Production Inputs'!$FK:$FK))*Dependencies!$D$4,0)</f>
        <v>0</v>
      </c>
      <c r="G517" s="37">
        <f t="array" ref="G517">IFERROR(SUMPRODUCT(('Production Inputs'!$A:$A="200mg DP")*('Production Inputs'!$B:$B="TOTAL ACTIVE")*'Production Inputs'!$FK:$FK),0)</f>
        <v>0</v>
      </c>
      <c r="H517" s="30">
        <f t="shared" si="56"/>
        <v>87828</v>
      </c>
      <c r="I517" s="30">
        <f ca="1">IFERROR(AVERAGEIF(OFFSET(F517,0,0,MIN(Controls!$B$8,COUNTIF(B517:B$1973,B517)),1),"&gt;"&amp;0),0)</f>
        <v>0</v>
      </c>
      <c r="J517" s="38">
        <f t="shared" ca="1" si="57"/>
        <v>999</v>
      </c>
      <c r="K517" s="30">
        <f t="shared" ref="K517:K580" ca="1" si="61">IFERROR(IF(H517&lt;(N517*I517), CEILING(MAX(0,ROUND((M517*I517-H517)/P517,0)*P517),P517), 0), 0)</f>
        <v>0</v>
      </c>
      <c r="L517" t="str">
        <f t="shared" ca="1" si="58"/>
        <v>Overstock</v>
      </c>
      <c r="M517" s="39">
        <f>IFERROR(VLOOKUP("200mg DP",Controls!A:I,7,0),6)</f>
        <v>9</v>
      </c>
      <c r="N517" s="39">
        <f>IFERROR(VLOOKUP("200mg DP",Controls!A:I,8,0),3)</f>
        <v>8</v>
      </c>
      <c r="O517" s="39">
        <f>IFERROR(VLOOKUP("200mg DP",Controls!A:I,9,0),18)</f>
        <v>18</v>
      </c>
      <c r="P517" s="40">
        <f>IFERROR(VLOOKUP("200mg DP",Controls!A:J,5,0),0)</f>
        <v>16200</v>
      </c>
      <c r="Q517" s="39">
        <f>IFERROR(VLOOKUP("200mg DP",Controls!A:J,6,0),3)</f>
        <v>5</v>
      </c>
      <c r="R517" s="21" t="str">
        <f>IFERROR(VLOOKUP("200mg DP",Controls!A:K,10,0),"")</f>
        <v>Catalent</v>
      </c>
      <c r="S517" s="41">
        <f t="shared" si="59"/>
        <v>50618</v>
      </c>
      <c r="T517" s="30">
        <f t="shared" si="60"/>
        <v>0</v>
      </c>
      <c r="AB517">
        <f t="shared" ref="AB517:AB580" si="62">SUMIFS($F$4:$F$2331,$B$4:$B$2331,B517,$A$4:$A$2331,"&lt;="&amp;A517)</f>
        <v>35100</v>
      </c>
    </row>
    <row r="518" spans="1:28" ht="13" customHeight="1" x14ac:dyDescent="0.35">
      <c r="A518" s="153">
        <v>50802</v>
      </c>
      <c r="B518" s="36" t="s">
        <v>36</v>
      </c>
      <c r="C518" s="15" t="s">
        <v>38</v>
      </c>
      <c r="D518" s="15" t="s">
        <v>29</v>
      </c>
      <c r="E518" s="30">
        <f>H517</f>
        <v>87828</v>
      </c>
      <c r="F518" s="37" cm="1">
        <f t="array" ref="F518">IFERROR((SUMPRODUCT(('Production Inputs'!$A:$A="188mg LP")*('Production Inputs'!$B:$B="TOTAL ACTIVE")*'Production Inputs'!$FL:$FL)+SUMPRODUCT(('Production Inputs'!$A:$A="188mg LP - EU Stock")*('Production Inputs'!$B:$B="TOTAL ACTIVE")*'Production Inputs'!$FL:$FL))*Dependencies!$D$4,0)</f>
        <v>0</v>
      </c>
      <c r="G518" s="37">
        <f t="array" ref="G518">IFERROR(SUMPRODUCT(('Production Inputs'!$A:$A="200mg DP")*('Production Inputs'!$B:$B="TOTAL ACTIVE")*'Production Inputs'!$FL:$FL),0)</f>
        <v>0</v>
      </c>
      <c r="H518" s="30">
        <f t="shared" si="56"/>
        <v>87828</v>
      </c>
      <c r="I518" s="30">
        <f ca="1">IFERROR(AVERAGEIF(OFFSET(F518,0,0,MIN(Controls!$B$8,COUNTIF(B518:B$1973,B518)),1),"&gt;"&amp;0),0)</f>
        <v>0</v>
      </c>
      <c r="J518" s="38">
        <f t="shared" ca="1" si="57"/>
        <v>999</v>
      </c>
      <c r="K518" s="30">
        <f t="shared" ca="1" si="61"/>
        <v>0</v>
      </c>
      <c r="L518" t="str">
        <f t="shared" ca="1" si="58"/>
        <v>Overstock</v>
      </c>
      <c r="M518" s="39">
        <f>IFERROR(VLOOKUP("200mg DP",Controls!A:I,7,0),6)</f>
        <v>9</v>
      </c>
      <c r="N518" s="39">
        <f>IFERROR(VLOOKUP("200mg DP",Controls!A:I,8,0),3)</f>
        <v>8</v>
      </c>
      <c r="O518" s="39">
        <f>IFERROR(VLOOKUP("200mg DP",Controls!A:I,9,0),18)</f>
        <v>18</v>
      </c>
      <c r="P518" s="40">
        <f>IFERROR(VLOOKUP("200mg DP",Controls!A:J,5,0),0)</f>
        <v>16200</v>
      </c>
      <c r="Q518" s="39">
        <f>IFERROR(VLOOKUP("200mg DP",Controls!A:J,6,0),3)</f>
        <v>5</v>
      </c>
      <c r="R518" s="21" t="str">
        <f>IFERROR(VLOOKUP("200mg DP",Controls!A:K,10,0),"")</f>
        <v>Catalent</v>
      </c>
      <c r="S518" s="41">
        <f t="shared" si="59"/>
        <v>50649</v>
      </c>
      <c r="T518" s="30">
        <f t="shared" si="60"/>
        <v>0</v>
      </c>
      <c r="AB518">
        <f t="shared" si="62"/>
        <v>35100</v>
      </c>
    </row>
    <row r="519" spans="1:28" ht="13" customHeight="1" x14ac:dyDescent="0.35">
      <c r="A519" s="153">
        <v>50830</v>
      </c>
      <c r="B519" s="36" t="s">
        <v>36</v>
      </c>
      <c r="C519" s="15" t="s">
        <v>38</v>
      </c>
      <c r="D519" s="15" t="s">
        <v>29</v>
      </c>
      <c r="E519" s="30">
        <f>H518</f>
        <v>87828</v>
      </c>
      <c r="F519" s="37" cm="1">
        <f t="array" ref="F519">IFERROR((SUMPRODUCT(('Production Inputs'!$A:$A="188mg LP")*('Production Inputs'!$B:$B="TOTAL ACTIVE")*'Production Inputs'!$FM:$FM)+SUMPRODUCT(('Production Inputs'!$A:$A="188mg LP - EU Stock")*('Production Inputs'!$B:$B="TOTAL ACTIVE")*'Production Inputs'!$FM:$FM))*Dependencies!$D$4,0)</f>
        <v>0</v>
      </c>
      <c r="G519" s="37">
        <f t="array" ref="G519">IFERROR(SUMPRODUCT(('Production Inputs'!$A:$A="200mg DP")*('Production Inputs'!$B:$B="TOTAL ACTIVE")*'Production Inputs'!$FM:$FM),0)</f>
        <v>0</v>
      </c>
      <c r="H519" s="30">
        <f t="shared" si="56"/>
        <v>87828</v>
      </c>
      <c r="I519" s="30">
        <f ca="1">IFERROR(AVERAGEIF(OFFSET(F519,0,0,MIN(Controls!$B$8,COUNTIF(B519:B$1973,B519)),1),"&gt;"&amp;0),0)</f>
        <v>0</v>
      </c>
      <c r="J519" s="38">
        <f t="shared" ca="1" si="57"/>
        <v>999</v>
      </c>
      <c r="K519" s="30">
        <f t="shared" ca="1" si="61"/>
        <v>0</v>
      </c>
      <c r="L519" t="str">
        <f t="shared" ca="1" si="58"/>
        <v>Overstock</v>
      </c>
      <c r="M519" s="39">
        <f>IFERROR(VLOOKUP("200mg DP",Controls!A:I,7,0),6)</f>
        <v>9</v>
      </c>
      <c r="N519" s="39">
        <f>IFERROR(VLOOKUP("200mg DP",Controls!A:I,8,0),3)</f>
        <v>8</v>
      </c>
      <c r="O519" s="39">
        <f>IFERROR(VLOOKUP("200mg DP",Controls!A:I,9,0),18)</f>
        <v>18</v>
      </c>
      <c r="P519" s="40">
        <f>IFERROR(VLOOKUP("200mg DP",Controls!A:J,5,0),0)</f>
        <v>16200</v>
      </c>
      <c r="Q519" s="39">
        <f>IFERROR(VLOOKUP("200mg DP",Controls!A:J,6,0),3)</f>
        <v>5</v>
      </c>
      <c r="R519" s="21" t="str">
        <f>IFERROR(VLOOKUP("200mg DP",Controls!A:K,10,0),"")</f>
        <v>Catalent</v>
      </c>
      <c r="S519" s="41">
        <f t="shared" si="59"/>
        <v>50679</v>
      </c>
      <c r="T519" s="30">
        <f t="shared" si="60"/>
        <v>0</v>
      </c>
      <c r="AB519">
        <f t="shared" si="62"/>
        <v>35100</v>
      </c>
    </row>
    <row r="520" spans="1:28" ht="13" customHeight="1" x14ac:dyDescent="0.35">
      <c r="A520" s="153">
        <v>50861</v>
      </c>
      <c r="B520" s="36" t="s">
        <v>36</v>
      </c>
      <c r="C520" s="15" t="s">
        <v>38</v>
      </c>
      <c r="D520" s="15" t="s">
        <v>29</v>
      </c>
      <c r="E520" s="30">
        <f>H519</f>
        <v>87828</v>
      </c>
      <c r="F520" s="37" cm="1">
        <f t="array" ref="F520">IFERROR((SUMPRODUCT(('Production Inputs'!$A:$A="188mg LP")*('Production Inputs'!$B:$B="TOTAL ACTIVE")*'Production Inputs'!$FN:$FN)+SUMPRODUCT(('Production Inputs'!$A:$A="188mg LP - EU Stock")*('Production Inputs'!$B:$B="TOTAL ACTIVE")*'Production Inputs'!$FN:$FN))*Dependencies!$D$4,0)</f>
        <v>0</v>
      </c>
      <c r="G520" s="37">
        <f t="array" ref="G520">IFERROR(SUMPRODUCT(('Production Inputs'!$A:$A="200mg DP")*('Production Inputs'!$B:$B="TOTAL ACTIVE")*'Production Inputs'!$FN:$FN),0)</f>
        <v>0</v>
      </c>
      <c r="H520" s="30">
        <f t="shared" si="56"/>
        <v>87828</v>
      </c>
      <c r="I520" s="30">
        <f ca="1">IFERROR(AVERAGEIF(OFFSET(F520,0,0,MIN(Controls!$B$8,COUNTIF(B520:B$1973,B520)),1),"&gt;"&amp;0),0)</f>
        <v>0</v>
      </c>
      <c r="J520" s="38">
        <f t="shared" ca="1" si="57"/>
        <v>999</v>
      </c>
      <c r="K520" s="30">
        <f t="shared" ca="1" si="61"/>
        <v>0</v>
      </c>
      <c r="L520" t="str">
        <f t="shared" ca="1" si="58"/>
        <v>Overstock</v>
      </c>
      <c r="M520" s="39">
        <f>IFERROR(VLOOKUP("200mg DP",Controls!A:I,7,0),6)</f>
        <v>9</v>
      </c>
      <c r="N520" s="39">
        <f>IFERROR(VLOOKUP("200mg DP",Controls!A:I,8,0),3)</f>
        <v>8</v>
      </c>
      <c r="O520" s="39">
        <f>IFERROR(VLOOKUP("200mg DP",Controls!A:I,9,0),18)</f>
        <v>18</v>
      </c>
      <c r="P520" s="40">
        <f>IFERROR(VLOOKUP("200mg DP",Controls!A:J,5,0),0)</f>
        <v>16200</v>
      </c>
      <c r="Q520" s="39">
        <f>IFERROR(VLOOKUP("200mg DP",Controls!A:J,6,0),3)</f>
        <v>5</v>
      </c>
      <c r="R520" s="21" t="str">
        <f>IFERROR(VLOOKUP("200mg DP",Controls!A:K,10,0),"")</f>
        <v>Catalent</v>
      </c>
      <c r="S520" s="41">
        <f t="shared" si="59"/>
        <v>50710</v>
      </c>
      <c r="T520" s="30">
        <f t="shared" si="60"/>
        <v>0</v>
      </c>
      <c r="AB520">
        <f t="shared" si="62"/>
        <v>35100</v>
      </c>
    </row>
    <row r="521" spans="1:28" ht="13" customHeight="1" x14ac:dyDescent="0.35">
      <c r="A521" s="153">
        <v>50891</v>
      </c>
      <c r="B521" s="36" t="s">
        <v>36</v>
      </c>
      <c r="C521" s="15" t="s">
        <v>38</v>
      </c>
      <c r="D521" s="15" t="s">
        <v>29</v>
      </c>
      <c r="E521" s="30">
        <f>H520</f>
        <v>87828</v>
      </c>
      <c r="F521" s="37" cm="1">
        <f t="array" ref="F521">IFERROR((SUMPRODUCT(('Production Inputs'!$A:$A="188mg LP")*('Production Inputs'!$B:$B="TOTAL ACTIVE")*'Production Inputs'!$FO:$FO)+SUMPRODUCT(('Production Inputs'!$A:$A="188mg LP - EU Stock")*('Production Inputs'!$B:$B="TOTAL ACTIVE")*'Production Inputs'!$FO:$FO))*Dependencies!$D$4,0)</f>
        <v>0</v>
      </c>
      <c r="G521" s="37">
        <f t="array" ref="G521">IFERROR(SUMPRODUCT(('Production Inputs'!$A:$A="200mg DP")*('Production Inputs'!$B:$B="TOTAL ACTIVE")*'Production Inputs'!$FO:$FO),0)</f>
        <v>0</v>
      </c>
      <c r="H521" s="30">
        <f t="shared" si="56"/>
        <v>87828</v>
      </c>
      <c r="I521" s="30">
        <f ca="1">IFERROR(AVERAGEIF(OFFSET(F521,0,0,MIN(Controls!$B$8,COUNTIF(B521:B$1973,B521)),1),"&gt;"&amp;0),0)</f>
        <v>0</v>
      </c>
      <c r="J521" s="38">
        <f t="shared" ca="1" si="57"/>
        <v>999</v>
      </c>
      <c r="K521" s="30">
        <f t="shared" ca="1" si="61"/>
        <v>0</v>
      </c>
      <c r="L521" t="str">
        <f t="shared" ca="1" si="58"/>
        <v>Overstock</v>
      </c>
      <c r="M521" s="39">
        <f>IFERROR(VLOOKUP("200mg DP",Controls!A:I,7,0),6)</f>
        <v>9</v>
      </c>
      <c r="N521" s="39">
        <f>IFERROR(VLOOKUP("200mg DP",Controls!A:I,8,0),3)</f>
        <v>8</v>
      </c>
      <c r="O521" s="39">
        <f>IFERROR(VLOOKUP("200mg DP",Controls!A:I,9,0),18)</f>
        <v>18</v>
      </c>
      <c r="P521" s="40">
        <f>IFERROR(VLOOKUP("200mg DP",Controls!A:J,5,0),0)</f>
        <v>16200</v>
      </c>
      <c r="Q521" s="39">
        <f>IFERROR(VLOOKUP("200mg DP",Controls!A:J,6,0),3)</f>
        <v>5</v>
      </c>
      <c r="R521" s="21" t="str">
        <f>IFERROR(VLOOKUP("200mg DP",Controls!A:K,10,0),"")</f>
        <v>Catalent</v>
      </c>
      <c r="S521" s="41">
        <f t="shared" si="59"/>
        <v>50740</v>
      </c>
      <c r="T521" s="30">
        <f t="shared" si="60"/>
        <v>0</v>
      </c>
      <c r="AB521">
        <f t="shared" si="62"/>
        <v>35100</v>
      </c>
    </row>
    <row r="522" spans="1:28" ht="13" customHeight="1" x14ac:dyDescent="0.35">
      <c r="A522" s="153">
        <v>50922</v>
      </c>
      <c r="B522" s="36" t="s">
        <v>36</v>
      </c>
      <c r="C522" s="15" t="s">
        <v>38</v>
      </c>
      <c r="D522" s="15" t="s">
        <v>29</v>
      </c>
      <c r="E522" s="30">
        <f>H521</f>
        <v>87828</v>
      </c>
      <c r="F522" s="37" cm="1">
        <f t="array" ref="F522">IFERROR((SUMPRODUCT(('Production Inputs'!$A:$A="188mg LP")*('Production Inputs'!$B:$B="TOTAL ACTIVE")*'Production Inputs'!$FP:$FP)+SUMPRODUCT(('Production Inputs'!$A:$A="188mg LP - EU Stock")*('Production Inputs'!$B:$B="TOTAL ACTIVE")*'Production Inputs'!$FP:$FP))*Dependencies!$D$4,0)</f>
        <v>0</v>
      </c>
      <c r="G522" s="37">
        <f t="array" ref="G522">IFERROR(SUMPRODUCT(('Production Inputs'!$A:$A="200mg DP")*('Production Inputs'!$B:$B="TOTAL ACTIVE")*'Production Inputs'!$FP:$FP),0)</f>
        <v>0</v>
      </c>
      <c r="H522" s="30">
        <f t="shared" si="56"/>
        <v>87828</v>
      </c>
      <c r="I522" s="30">
        <f ca="1">IFERROR(AVERAGEIF(OFFSET(F522,0,0,MIN(Controls!$B$8,COUNTIF(B522:B$1973,B522)),1),"&gt;"&amp;0),0)</f>
        <v>0</v>
      </c>
      <c r="J522" s="38">
        <f t="shared" ca="1" si="57"/>
        <v>999</v>
      </c>
      <c r="K522" s="30">
        <f t="shared" ca="1" si="61"/>
        <v>0</v>
      </c>
      <c r="L522" t="str">
        <f t="shared" ca="1" si="58"/>
        <v>Overstock</v>
      </c>
      <c r="M522" s="39">
        <f>IFERROR(VLOOKUP("200mg DP",Controls!A:I,7,0),6)</f>
        <v>9</v>
      </c>
      <c r="N522" s="39">
        <f>IFERROR(VLOOKUP("200mg DP",Controls!A:I,8,0),3)</f>
        <v>8</v>
      </c>
      <c r="O522" s="39">
        <f>IFERROR(VLOOKUP("200mg DP",Controls!A:I,9,0),18)</f>
        <v>18</v>
      </c>
      <c r="P522" s="40">
        <f>IFERROR(VLOOKUP("200mg DP",Controls!A:J,5,0),0)</f>
        <v>16200</v>
      </c>
      <c r="Q522" s="39">
        <f>IFERROR(VLOOKUP("200mg DP",Controls!A:J,6,0),3)</f>
        <v>5</v>
      </c>
      <c r="R522" s="21" t="str">
        <f>IFERROR(VLOOKUP("200mg DP",Controls!A:K,10,0),"")</f>
        <v>Catalent</v>
      </c>
      <c r="S522" s="41">
        <f t="shared" si="59"/>
        <v>50771</v>
      </c>
      <c r="T522" s="30">
        <f t="shared" si="60"/>
        <v>0</v>
      </c>
      <c r="AB522">
        <f t="shared" si="62"/>
        <v>35100</v>
      </c>
    </row>
    <row r="523" spans="1:28" ht="13" customHeight="1" x14ac:dyDescent="0.35">
      <c r="A523" s="153">
        <v>50952</v>
      </c>
      <c r="B523" s="36" t="s">
        <v>36</v>
      </c>
      <c r="C523" s="15" t="s">
        <v>38</v>
      </c>
      <c r="D523" s="15" t="s">
        <v>29</v>
      </c>
      <c r="E523" s="30">
        <f>H522</f>
        <v>87828</v>
      </c>
      <c r="F523" s="37" cm="1">
        <f t="array" ref="F523">IFERROR((SUMPRODUCT(('Production Inputs'!$A:$A="188mg LP")*('Production Inputs'!$B:$B="TOTAL ACTIVE")*'Production Inputs'!$FQ:$FQ)+SUMPRODUCT(('Production Inputs'!$A:$A="188mg LP - EU Stock")*('Production Inputs'!$B:$B="TOTAL ACTIVE")*'Production Inputs'!$FQ:$FQ))*Dependencies!$D$4,0)</f>
        <v>0</v>
      </c>
      <c r="G523" s="37">
        <f t="array" ref="G523">IFERROR(SUMPRODUCT(('Production Inputs'!$A:$A="200mg DP")*('Production Inputs'!$B:$B="TOTAL ACTIVE")*'Production Inputs'!$FQ:$FQ),0)</f>
        <v>0</v>
      </c>
      <c r="H523" s="30">
        <f t="shared" si="56"/>
        <v>87828</v>
      </c>
      <c r="I523" s="30">
        <f ca="1">IFERROR(AVERAGEIF(OFFSET(F523,0,0,MIN(Controls!$B$8,COUNTIF(B523:B$1973,B523)),1),"&gt;"&amp;0),0)</f>
        <v>0</v>
      </c>
      <c r="J523" s="38">
        <f t="shared" ca="1" si="57"/>
        <v>999</v>
      </c>
      <c r="K523" s="30">
        <f t="shared" ca="1" si="61"/>
        <v>0</v>
      </c>
      <c r="L523" t="str">
        <f t="shared" ca="1" si="58"/>
        <v>Overstock</v>
      </c>
      <c r="M523" s="39">
        <f>IFERROR(VLOOKUP("200mg DP",Controls!A:I,7,0),6)</f>
        <v>9</v>
      </c>
      <c r="N523" s="39">
        <f>IFERROR(VLOOKUP("200mg DP",Controls!A:I,8,0),3)</f>
        <v>8</v>
      </c>
      <c r="O523" s="39">
        <f>IFERROR(VLOOKUP("200mg DP",Controls!A:I,9,0),18)</f>
        <v>18</v>
      </c>
      <c r="P523" s="40">
        <f>IFERROR(VLOOKUP("200mg DP",Controls!A:J,5,0),0)</f>
        <v>16200</v>
      </c>
      <c r="Q523" s="39">
        <f>IFERROR(VLOOKUP("200mg DP",Controls!A:J,6,0),3)</f>
        <v>5</v>
      </c>
      <c r="R523" s="21" t="str">
        <f>IFERROR(VLOOKUP("200mg DP",Controls!A:K,10,0),"")</f>
        <v>Catalent</v>
      </c>
      <c r="S523" s="41">
        <f t="shared" si="59"/>
        <v>50802</v>
      </c>
      <c r="T523" s="30">
        <f t="shared" si="60"/>
        <v>0</v>
      </c>
      <c r="AB523">
        <f t="shared" si="62"/>
        <v>35100</v>
      </c>
    </row>
    <row r="524" spans="1:28" ht="13" customHeight="1" x14ac:dyDescent="0.35">
      <c r="A524" s="153">
        <v>50983</v>
      </c>
      <c r="B524" s="36" t="s">
        <v>36</v>
      </c>
      <c r="C524" s="15" t="s">
        <v>38</v>
      </c>
      <c r="D524" s="15" t="s">
        <v>29</v>
      </c>
      <c r="E524" s="30">
        <f>H523</f>
        <v>87828</v>
      </c>
      <c r="F524" s="37" cm="1">
        <f t="array" ref="F524">IFERROR((SUMPRODUCT(('Production Inputs'!$A:$A="188mg LP")*('Production Inputs'!$B:$B="TOTAL ACTIVE")*'Production Inputs'!$FR:$FR)+SUMPRODUCT(('Production Inputs'!$A:$A="188mg LP - EU Stock")*('Production Inputs'!$B:$B="TOTAL ACTIVE")*'Production Inputs'!$FR:$FR))*Dependencies!$D$4,0)</f>
        <v>0</v>
      </c>
      <c r="G524" s="37">
        <f t="array" ref="G524">IFERROR(SUMPRODUCT(('Production Inputs'!$A:$A="200mg DP")*('Production Inputs'!$B:$B="TOTAL ACTIVE")*'Production Inputs'!$FR:$FR),0)</f>
        <v>0</v>
      </c>
      <c r="H524" s="30">
        <f t="shared" si="56"/>
        <v>87828</v>
      </c>
      <c r="I524" s="30">
        <f ca="1">IFERROR(AVERAGEIF(OFFSET(F524,0,0,MIN(Controls!$B$8,COUNTIF(B524:B$1973,B524)),1),"&gt;"&amp;0),0)</f>
        <v>0</v>
      </c>
      <c r="J524" s="38">
        <f t="shared" ca="1" si="57"/>
        <v>999</v>
      </c>
      <c r="K524" s="30">
        <f t="shared" ca="1" si="61"/>
        <v>0</v>
      </c>
      <c r="L524" t="str">
        <f t="shared" ca="1" si="58"/>
        <v>Overstock</v>
      </c>
      <c r="M524" s="39">
        <f>IFERROR(VLOOKUP("200mg DP",Controls!A:I,7,0),6)</f>
        <v>9</v>
      </c>
      <c r="N524" s="39">
        <f>IFERROR(VLOOKUP("200mg DP",Controls!A:I,8,0),3)</f>
        <v>8</v>
      </c>
      <c r="O524" s="39">
        <f>IFERROR(VLOOKUP("200mg DP",Controls!A:I,9,0),18)</f>
        <v>18</v>
      </c>
      <c r="P524" s="40">
        <f>IFERROR(VLOOKUP("200mg DP",Controls!A:J,5,0),0)</f>
        <v>16200</v>
      </c>
      <c r="Q524" s="39">
        <f>IFERROR(VLOOKUP("200mg DP",Controls!A:J,6,0),3)</f>
        <v>5</v>
      </c>
      <c r="R524" s="21" t="str">
        <f>IFERROR(VLOOKUP("200mg DP",Controls!A:K,10,0),"")</f>
        <v>Catalent</v>
      </c>
      <c r="S524" s="41">
        <f t="shared" si="59"/>
        <v>50830</v>
      </c>
      <c r="T524" s="30">
        <f t="shared" si="60"/>
        <v>0</v>
      </c>
      <c r="AB524">
        <f t="shared" si="62"/>
        <v>35100</v>
      </c>
    </row>
    <row r="525" spans="1:28" ht="13" customHeight="1" x14ac:dyDescent="0.35">
      <c r="A525" s="153">
        <v>51014</v>
      </c>
      <c r="B525" s="36" t="s">
        <v>36</v>
      </c>
      <c r="C525" s="15" t="s">
        <v>38</v>
      </c>
      <c r="D525" s="15" t="s">
        <v>29</v>
      </c>
      <c r="E525" s="30">
        <f>H524</f>
        <v>87828</v>
      </c>
      <c r="F525" s="37" cm="1">
        <f t="array" ref="F525">IFERROR((SUMPRODUCT(('Production Inputs'!$A:$A="188mg LP")*('Production Inputs'!$B:$B="TOTAL ACTIVE")*'Production Inputs'!$FS:$FS)+SUMPRODUCT(('Production Inputs'!$A:$A="188mg LP - EU Stock")*('Production Inputs'!$B:$B="TOTAL ACTIVE")*'Production Inputs'!$FS:$FS))*Dependencies!$D$4,0)</f>
        <v>0</v>
      </c>
      <c r="G525" s="37">
        <f t="array" ref="G525">IFERROR(SUMPRODUCT(('Production Inputs'!$A:$A="200mg DP")*('Production Inputs'!$B:$B="TOTAL ACTIVE")*'Production Inputs'!$FS:$FS),0)</f>
        <v>0</v>
      </c>
      <c r="H525" s="30">
        <f t="shared" si="56"/>
        <v>87828</v>
      </c>
      <c r="I525" s="30">
        <f ca="1">IFERROR(AVERAGEIF(OFFSET(F525,0,0,MIN(Controls!$B$8,COUNTIF(B525:B$1973,B525)),1),"&gt;"&amp;0),0)</f>
        <v>0</v>
      </c>
      <c r="J525" s="38">
        <f t="shared" ca="1" si="57"/>
        <v>999</v>
      </c>
      <c r="K525" s="30">
        <f t="shared" ca="1" si="61"/>
        <v>0</v>
      </c>
      <c r="L525" t="str">
        <f t="shared" ca="1" si="58"/>
        <v>Overstock</v>
      </c>
      <c r="M525" s="39">
        <f>IFERROR(VLOOKUP("200mg DP",Controls!A:I,7,0),6)</f>
        <v>9</v>
      </c>
      <c r="N525" s="39">
        <f>IFERROR(VLOOKUP("200mg DP",Controls!A:I,8,0),3)</f>
        <v>8</v>
      </c>
      <c r="O525" s="39">
        <f>IFERROR(VLOOKUP("200mg DP",Controls!A:I,9,0),18)</f>
        <v>18</v>
      </c>
      <c r="P525" s="40">
        <f>IFERROR(VLOOKUP("200mg DP",Controls!A:J,5,0),0)</f>
        <v>16200</v>
      </c>
      <c r="Q525" s="39">
        <f>IFERROR(VLOOKUP("200mg DP",Controls!A:J,6,0),3)</f>
        <v>5</v>
      </c>
      <c r="R525" s="21" t="str">
        <f>IFERROR(VLOOKUP("200mg DP",Controls!A:K,10,0),"")</f>
        <v>Catalent</v>
      </c>
      <c r="S525" s="41">
        <f t="shared" si="59"/>
        <v>50861</v>
      </c>
      <c r="T525" s="30">
        <f t="shared" si="60"/>
        <v>0</v>
      </c>
      <c r="AB525">
        <f t="shared" si="62"/>
        <v>35100</v>
      </c>
    </row>
    <row r="526" spans="1:28" ht="13" customHeight="1" x14ac:dyDescent="0.35">
      <c r="A526" s="153">
        <v>51044</v>
      </c>
      <c r="B526" s="36" t="s">
        <v>36</v>
      </c>
      <c r="C526" s="15" t="s">
        <v>38</v>
      </c>
      <c r="D526" s="15" t="s">
        <v>29</v>
      </c>
      <c r="E526" s="30">
        <f>H525</f>
        <v>87828</v>
      </c>
      <c r="F526" s="37" cm="1">
        <f t="array" ref="F526">IFERROR((SUMPRODUCT(('Production Inputs'!$A:$A="188mg LP")*('Production Inputs'!$B:$B="TOTAL ACTIVE")*'Production Inputs'!$FT:$FT)+SUMPRODUCT(('Production Inputs'!$A:$A="188mg LP - EU Stock")*('Production Inputs'!$B:$B="TOTAL ACTIVE")*'Production Inputs'!$FT:$FT))*Dependencies!$D$4,0)</f>
        <v>0</v>
      </c>
      <c r="G526" s="37">
        <f t="array" ref="G526">IFERROR(SUMPRODUCT(('Production Inputs'!$A:$A="200mg DP")*('Production Inputs'!$B:$B="TOTAL ACTIVE")*'Production Inputs'!$FT:$FT),0)</f>
        <v>0</v>
      </c>
      <c r="H526" s="30">
        <f t="shared" si="56"/>
        <v>87828</v>
      </c>
      <c r="I526" s="30">
        <f ca="1">IFERROR(AVERAGEIF(OFFSET(F526,0,0,MIN(Controls!$B$8,COUNTIF(B526:B$1973,B526)),1),"&gt;"&amp;0),0)</f>
        <v>0</v>
      </c>
      <c r="J526" s="38">
        <f t="shared" ca="1" si="57"/>
        <v>999</v>
      </c>
      <c r="K526" s="30">
        <f t="shared" ca="1" si="61"/>
        <v>0</v>
      </c>
      <c r="L526" t="str">
        <f t="shared" ca="1" si="58"/>
        <v>Overstock</v>
      </c>
      <c r="M526" s="39">
        <f>IFERROR(VLOOKUP("200mg DP",Controls!A:I,7,0),6)</f>
        <v>9</v>
      </c>
      <c r="N526" s="39">
        <f>IFERROR(VLOOKUP("200mg DP",Controls!A:I,8,0),3)</f>
        <v>8</v>
      </c>
      <c r="O526" s="39">
        <f>IFERROR(VLOOKUP("200mg DP",Controls!A:I,9,0),18)</f>
        <v>18</v>
      </c>
      <c r="P526" s="40">
        <f>IFERROR(VLOOKUP("200mg DP",Controls!A:J,5,0),0)</f>
        <v>16200</v>
      </c>
      <c r="Q526" s="39">
        <f>IFERROR(VLOOKUP("200mg DP",Controls!A:J,6,0),3)</f>
        <v>5</v>
      </c>
      <c r="R526" s="21" t="str">
        <f>IFERROR(VLOOKUP("200mg DP",Controls!A:K,10,0),"")</f>
        <v>Catalent</v>
      </c>
      <c r="S526" s="41">
        <f t="shared" si="59"/>
        <v>50891</v>
      </c>
      <c r="T526" s="30">
        <f t="shared" si="60"/>
        <v>0</v>
      </c>
      <c r="AB526">
        <f t="shared" si="62"/>
        <v>35100</v>
      </c>
    </row>
    <row r="527" spans="1:28" ht="13" customHeight="1" x14ac:dyDescent="0.35">
      <c r="A527" s="153">
        <v>51075</v>
      </c>
      <c r="B527" s="36" t="s">
        <v>36</v>
      </c>
      <c r="C527" s="15" t="s">
        <v>38</v>
      </c>
      <c r="D527" s="15" t="s">
        <v>29</v>
      </c>
      <c r="E527" s="30">
        <f>H526</f>
        <v>87828</v>
      </c>
      <c r="F527" s="37" cm="1">
        <f t="array" ref="F527">IFERROR((SUMPRODUCT(('Production Inputs'!$A:$A="188mg LP")*('Production Inputs'!$B:$B="TOTAL ACTIVE")*'Production Inputs'!$FU:$FU)+SUMPRODUCT(('Production Inputs'!$A:$A="188mg LP - EU Stock")*('Production Inputs'!$B:$B="TOTAL ACTIVE")*'Production Inputs'!$FU:$FU))*Dependencies!$D$4,0)</f>
        <v>0</v>
      </c>
      <c r="G527" s="37">
        <f t="array" ref="G527">IFERROR(SUMPRODUCT(('Production Inputs'!$A:$A="200mg DP")*('Production Inputs'!$B:$B="TOTAL ACTIVE")*'Production Inputs'!$FU:$FU),0)</f>
        <v>0</v>
      </c>
      <c r="H527" s="30">
        <f t="shared" si="56"/>
        <v>87828</v>
      </c>
      <c r="I527" s="30">
        <f ca="1">IFERROR(AVERAGEIF(OFFSET(F527,0,0,MIN(Controls!$B$8,COUNTIF(B527:B$1973,B527)),1),"&gt;"&amp;0),0)</f>
        <v>0</v>
      </c>
      <c r="J527" s="38">
        <f t="shared" ca="1" si="57"/>
        <v>999</v>
      </c>
      <c r="K527" s="30">
        <f t="shared" ca="1" si="61"/>
        <v>0</v>
      </c>
      <c r="L527" t="str">
        <f t="shared" ca="1" si="58"/>
        <v>Overstock</v>
      </c>
      <c r="M527" s="39">
        <f>IFERROR(VLOOKUP("200mg DP",Controls!A:I,7,0),6)</f>
        <v>9</v>
      </c>
      <c r="N527" s="39">
        <f>IFERROR(VLOOKUP("200mg DP",Controls!A:I,8,0),3)</f>
        <v>8</v>
      </c>
      <c r="O527" s="39">
        <f>IFERROR(VLOOKUP("200mg DP",Controls!A:I,9,0),18)</f>
        <v>18</v>
      </c>
      <c r="P527" s="40">
        <f>IFERROR(VLOOKUP("200mg DP",Controls!A:J,5,0),0)</f>
        <v>16200</v>
      </c>
      <c r="Q527" s="39">
        <f>IFERROR(VLOOKUP("200mg DP",Controls!A:J,6,0),3)</f>
        <v>5</v>
      </c>
      <c r="R527" s="21" t="str">
        <f>IFERROR(VLOOKUP("200mg DP",Controls!A:K,10,0),"")</f>
        <v>Catalent</v>
      </c>
      <c r="S527" s="41">
        <f t="shared" si="59"/>
        <v>50922</v>
      </c>
      <c r="T527" s="30">
        <f t="shared" si="60"/>
        <v>0</v>
      </c>
      <c r="AB527">
        <f t="shared" si="62"/>
        <v>35100</v>
      </c>
    </row>
    <row r="528" spans="1:28" ht="13" customHeight="1" x14ac:dyDescent="0.35">
      <c r="A528" s="153">
        <v>51105</v>
      </c>
      <c r="B528" s="36" t="s">
        <v>36</v>
      </c>
      <c r="C528" s="15" t="s">
        <v>38</v>
      </c>
      <c r="D528" s="15" t="s">
        <v>29</v>
      </c>
      <c r="E528" s="30">
        <f>H527</f>
        <v>87828</v>
      </c>
      <c r="F528" s="37" cm="1">
        <f t="array" ref="F528">IFERROR((SUMPRODUCT(('Production Inputs'!$A:$A="188mg LP")*('Production Inputs'!$B:$B="TOTAL ACTIVE")*'Production Inputs'!$FV:$FV)+SUMPRODUCT(('Production Inputs'!$A:$A="188mg LP - EU Stock")*('Production Inputs'!$B:$B="TOTAL ACTIVE")*'Production Inputs'!$FV:$FV))*Dependencies!$D$4,0)</f>
        <v>0</v>
      </c>
      <c r="G528" s="37">
        <f t="array" ref="G528">IFERROR(SUMPRODUCT(('Production Inputs'!$A:$A="200mg DP")*('Production Inputs'!$B:$B="TOTAL ACTIVE")*'Production Inputs'!$FV:$FV),0)</f>
        <v>0</v>
      </c>
      <c r="H528" s="30">
        <f t="shared" si="56"/>
        <v>87828</v>
      </c>
      <c r="I528" s="30">
        <f ca="1">IFERROR(AVERAGEIF(OFFSET(F528,0,0,MIN(Controls!$B$8,COUNTIF(B528:B$1973,B528)),1),"&gt;"&amp;0),0)</f>
        <v>0</v>
      </c>
      <c r="J528" s="38">
        <f t="shared" ca="1" si="57"/>
        <v>999</v>
      </c>
      <c r="K528" s="30">
        <f t="shared" ca="1" si="61"/>
        <v>0</v>
      </c>
      <c r="L528" t="str">
        <f t="shared" ca="1" si="58"/>
        <v>Overstock</v>
      </c>
      <c r="M528" s="39">
        <f>IFERROR(VLOOKUP("200mg DP",Controls!A:I,7,0),6)</f>
        <v>9</v>
      </c>
      <c r="N528" s="39">
        <f>IFERROR(VLOOKUP("200mg DP",Controls!A:I,8,0),3)</f>
        <v>8</v>
      </c>
      <c r="O528" s="39">
        <f>IFERROR(VLOOKUP("200mg DP",Controls!A:I,9,0),18)</f>
        <v>18</v>
      </c>
      <c r="P528" s="40">
        <f>IFERROR(VLOOKUP("200mg DP",Controls!A:J,5,0),0)</f>
        <v>16200</v>
      </c>
      <c r="Q528" s="39">
        <f>IFERROR(VLOOKUP("200mg DP",Controls!A:J,6,0),3)</f>
        <v>5</v>
      </c>
      <c r="R528" s="21" t="str">
        <f>IFERROR(VLOOKUP("200mg DP",Controls!A:K,10,0),"")</f>
        <v>Catalent</v>
      </c>
      <c r="S528" s="41">
        <f t="shared" si="59"/>
        <v>50952</v>
      </c>
      <c r="T528" s="30">
        <f t="shared" si="60"/>
        <v>0</v>
      </c>
      <c r="AB528">
        <f t="shared" si="62"/>
        <v>35100</v>
      </c>
    </row>
    <row r="529" spans="1:28" ht="13" customHeight="1" x14ac:dyDescent="0.35">
      <c r="A529" s="153">
        <v>51136</v>
      </c>
      <c r="B529" s="36" t="s">
        <v>36</v>
      </c>
      <c r="C529" s="15" t="s">
        <v>38</v>
      </c>
      <c r="D529" s="15" t="s">
        <v>29</v>
      </c>
      <c r="E529" s="30">
        <f>H528</f>
        <v>87828</v>
      </c>
      <c r="F529" s="37" cm="1">
        <f t="array" ref="F529">IFERROR((SUMPRODUCT(('Production Inputs'!$A:$A="188mg LP")*('Production Inputs'!$B:$B="TOTAL ACTIVE")*'Production Inputs'!$FW:$FW)+SUMPRODUCT(('Production Inputs'!$A:$A="188mg LP - EU Stock")*('Production Inputs'!$B:$B="TOTAL ACTIVE")*'Production Inputs'!$FW:$FW))*Dependencies!$D$4,0)</f>
        <v>0</v>
      </c>
      <c r="G529" s="37">
        <f t="array" ref="G529">IFERROR(SUMPRODUCT(('Production Inputs'!$A:$A="200mg DP")*('Production Inputs'!$B:$B="TOTAL ACTIVE")*'Production Inputs'!$FW:$FW),0)</f>
        <v>0</v>
      </c>
      <c r="H529" s="30">
        <f t="shared" si="56"/>
        <v>87828</v>
      </c>
      <c r="I529" s="30">
        <f ca="1">IFERROR(AVERAGEIF(OFFSET(F529,0,0,MIN(Controls!$B$8,COUNTIF(B529:B$1973,B529)),1),"&gt;"&amp;0),0)</f>
        <v>0</v>
      </c>
      <c r="J529" s="38">
        <f t="shared" ca="1" si="57"/>
        <v>999</v>
      </c>
      <c r="K529" s="30">
        <f t="shared" ca="1" si="61"/>
        <v>0</v>
      </c>
      <c r="L529" t="str">
        <f t="shared" ca="1" si="58"/>
        <v>Overstock</v>
      </c>
      <c r="M529" s="39">
        <f>IFERROR(VLOOKUP("200mg DP",Controls!A:I,7,0),6)</f>
        <v>9</v>
      </c>
      <c r="N529" s="39">
        <f>IFERROR(VLOOKUP("200mg DP",Controls!A:I,8,0),3)</f>
        <v>8</v>
      </c>
      <c r="O529" s="39">
        <f>IFERROR(VLOOKUP("200mg DP",Controls!A:I,9,0),18)</f>
        <v>18</v>
      </c>
      <c r="P529" s="40">
        <f>IFERROR(VLOOKUP("200mg DP",Controls!A:J,5,0),0)</f>
        <v>16200</v>
      </c>
      <c r="Q529" s="39">
        <f>IFERROR(VLOOKUP("200mg DP",Controls!A:J,6,0),3)</f>
        <v>5</v>
      </c>
      <c r="R529" s="21" t="str">
        <f>IFERROR(VLOOKUP("200mg DP",Controls!A:K,10,0),"")</f>
        <v>Catalent</v>
      </c>
      <c r="S529" s="41">
        <f t="shared" si="59"/>
        <v>50983</v>
      </c>
      <c r="T529" s="30">
        <f t="shared" si="60"/>
        <v>0</v>
      </c>
      <c r="AB529">
        <f t="shared" si="62"/>
        <v>35100</v>
      </c>
    </row>
    <row r="530" spans="1:28" ht="13" customHeight="1" x14ac:dyDescent="0.35">
      <c r="A530" s="153">
        <v>51167</v>
      </c>
      <c r="B530" s="36" t="s">
        <v>36</v>
      </c>
      <c r="C530" s="15" t="s">
        <v>38</v>
      </c>
      <c r="D530" s="15" t="s">
        <v>29</v>
      </c>
      <c r="E530" s="30">
        <f>H529</f>
        <v>87828</v>
      </c>
      <c r="F530" s="37" cm="1">
        <f t="array" ref="F530">IFERROR((SUMPRODUCT(('Production Inputs'!$A:$A="188mg LP")*('Production Inputs'!$B:$B="TOTAL ACTIVE")*'Production Inputs'!$FX:$FX)+SUMPRODUCT(('Production Inputs'!$A:$A="188mg LP - EU Stock")*('Production Inputs'!$B:$B="TOTAL ACTIVE")*'Production Inputs'!$FX:$FX))*Dependencies!$D$4,0)</f>
        <v>0</v>
      </c>
      <c r="G530" s="37">
        <f t="array" ref="G530">IFERROR(SUMPRODUCT(('Production Inputs'!$A:$A="200mg DP")*('Production Inputs'!$B:$B="TOTAL ACTIVE")*'Production Inputs'!$FX:$FX),0)</f>
        <v>0</v>
      </c>
      <c r="H530" s="30">
        <f t="shared" si="56"/>
        <v>87828</v>
      </c>
      <c r="I530" s="30">
        <f ca="1">IFERROR(AVERAGEIF(OFFSET(F530,0,0,MIN(Controls!$B$8,COUNTIF(B530:B$1973,B530)),1),"&gt;"&amp;0),0)</f>
        <v>0</v>
      </c>
      <c r="J530" s="38">
        <f t="shared" ca="1" si="57"/>
        <v>999</v>
      </c>
      <c r="K530" s="30">
        <f t="shared" ca="1" si="61"/>
        <v>0</v>
      </c>
      <c r="L530" t="str">
        <f t="shared" ca="1" si="58"/>
        <v>Overstock</v>
      </c>
      <c r="M530" s="39">
        <f>IFERROR(VLOOKUP("200mg DP",Controls!A:I,7,0),6)</f>
        <v>9</v>
      </c>
      <c r="N530" s="39">
        <f>IFERROR(VLOOKUP("200mg DP",Controls!A:I,8,0),3)</f>
        <v>8</v>
      </c>
      <c r="O530" s="39">
        <f>IFERROR(VLOOKUP("200mg DP",Controls!A:I,9,0),18)</f>
        <v>18</v>
      </c>
      <c r="P530" s="40">
        <f>IFERROR(VLOOKUP("200mg DP",Controls!A:J,5,0),0)</f>
        <v>16200</v>
      </c>
      <c r="Q530" s="39">
        <f>IFERROR(VLOOKUP("200mg DP",Controls!A:J,6,0),3)</f>
        <v>5</v>
      </c>
      <c r="R530" s="21" t="str">
        <f>IFERROR(VLOOKUP("200mg DP",Controls!A:K,10,0),"")</f>
        <v>Catalent</v>
      </c>
      <c r="S530" s="41">
        <f t="shared" si="59"/>
        <v>51014</v>
      </c>
      <c r="T530" s="30">
        <f t="shared" si="60"/>
        <v>0</v>
      </c>
      <c r="AB530">
        <f t="shared" si="62"/>
        <v>35100</v>
      </c>
    </row>
    <row r="531" spans="1:28" ht="13" customHeight="1" x14ac:dyDescent="0.35">
      <c r="A531" s="153">
        <v>51196</v>
      </c>
      <c r="B531" s="36" t="s">
        <v>36</v>
      </c>
      <c r="C531" s="15" t="s">
        <v>38</v>
      </c>
      <c r="D531" s="15" t="s">
        <v>29</v>
      </c>
      <c r="E531" s="30">
        <f>H530</f>
        <v>87828</v>
      </c>
      <c r="F531" s="37" cm="1">
        <f t="array" ref="F531">IFERROR((SUMPRODUCT(('Production Inputs'!$A:$A="188mg LP")*('Production Inputs'!$B:$B="TOTAL ACTIVE")*'Production Inputs'!$FY:$FY)+SUMPRODUCT(('Production Inputs'!$A:$A="188mg LP - EU Stock")*('Production Inputs'!$B:$B="TOTAL ACTIVE")*'Production Inputs'!$FY:$FY))*Dependencies!$D$4,0)</f>
        <v>0</v>
      </c>
      <c r="G531" s="37">
        <f t="array" ref="G531">IFERROR(SUMPRODUCT(('Production Inputs'!$A:$A="200mg DP")*('Production Inputs'!$B:$B="TOTAL ACTIVE")*'Production Inputs'!$FY:$FY),0)</f>
        <v>0</v>
      </c>
      <c r="H531" s="30">
        <f t="shared" si="56"/>
        <v>87828</v>
      </c>
      <c r="I531" s="30">
        <f ca="1">IFERROR(AVERAGEIF(OFFSET(F531,0,0,MIN(Controls!$B$8,COUNTIF(B531:B$1973,B531)),1),"&gt;"&amp;0),0)</f>
        <v>0</v>
      </c>
      <c r="J531" s="38">
        <f t="shared" ca="1" si="57"/>
        <v>999</v>
      </c>
      <c r="K531" s="30">
        <f t="shared" ca="1" si="61"/>
        <v>0</v>
      </c>
      <c r="L531" t="str">
        <f t="shared" ca="1" si="58"/>
        <v>Overstock</v>
      </c>
      <c r="M531" s="39">
        <f>IFERROR(VLOOKUP("200mg DP",Controls!A:I,7,0),6)</f>
        <v>9</v>
      </c>
      <c r="N531" s="39">
        <f>IFERROR(VLOOKUP("200mg DP",Controls!A:I,8,0),3)</f>
        <v>8</v>
      </c>
      <c r="O531" s="39">
        <f>IFERROR(VLOOKUP("200mg DP",Controls!A:I,9,0),18)</f>
        <v>18</v>
      </c>
      <c r="P531" s="40">
        <f>IFERROR(VLOOKUP("200mg DP",Controls!A:J,5,0),0)</f>
        <v>16200</v>
      </c>
      <c r="Q531" s="39">
        <f>IFERROR(VLOOKUP("200mg DP",Controls!A:J,6,0),3)</f>
        <v>5</v>
      </c>
      <c r="R531" s="21" t="str">
        <f>IFERROR(VLOOKUP("200mg DP",Controls!A:K,10,0),"")</f>
        <v>Catalent</v>
      </c>
      <c r="S531" s="41">
        <f t="shared" si="59"/>
        <v>51044</v>
      </c>
      <c r="T531" s="30">
        <f t="shared" si="60"/>
        <v>0</v>
      </c>
      <c r="AB531">
        <f t="shared" si="62"/>
        <v>35100</v>
      </c>
    </row>
    <row r="532" spans="1:28" ht="13" customHeight="1" x14ac:dyDescent="0.35">
      <c r="A532" s="153">
        <v>51227</v>
      </c>
      <c r="B532" s="36" t="s">
        <v>36</v>
      </c>
      <c r="C532" s="15" t="s">
        <v>38</v>
      </c>
      <c r="D532" s="15" t="s">
        <v>29</v>
      </c>
      <c r="E532" s="30">
        <f>H531</f>
        <v>87828</v>
      </c>
      <c r="F532" s="37" cm="1">
        <f t="array" ref="F532">IFERROR((SUMPRODUCT(('Production Inputs'!$A:$A="188mg LP")*('Production Inputs'!$B:$B="TOTAL ACTIVE")*'Production Inputs'!$FZ:$FZ)+SUMPRODUCT(('Production Inputs'!$A:$A="188mg LP - EU Stock")*('Production Inputs'!$B:$B="TOTAL ACTIVE")*'Production Inputs'!$FZ:$FZ))*Dependencies!$D$4,0)</f>
        <v>0</v>
      </c>
      <c r="G532" s="37">
        <f t="array" ref="G532">IFERROR(SUMPRODUCT(('Production Inputs'!$A:$A="200mg DP")*('Production Inputs'!$B:$B="TOTAL ACTIVE")*'Production Inputs'!$FZ:$FZ),0)</f>
        <v>0</v>
      </c>
      <c r="H532" s="30">
        <f t="shared" si="56"/>
        <v>87828</v>
      </c>
      <c r="I532" s="30">
        <f ca="1">IFERROR(AVERAGEIF(OFFSET(F532,0,0,MIN(Controls!$B$8,COUNTIF(B532:B$1973,B532)),1),"&gt;"&amp;0),0)</f>
        <v>0</v>
      </c>
      <c r="J532" s="38">
        <f t="shared" ca="1" si="57"/>
        <v>999</v>
      </c>
      <c r="K532" s="30">
        <f t="shared" ca="1" si="61"/>
        <v>0</v>
      </c>
      <c r="L532" t="str">
        <f t="shared" ca="1" si="58"/>
        <v>Overstock</v>
      </c>
      <c r="M532" s="39">
        <f>IFERROR(VLOOKUP("200mg DP",Controls!A:I,7,0),6)</f>
        <v>9</v>
      </c>
      <c r="N532" s="39">
        <f>IFERROR(VLOOKUP("200mg DP",Controls!A:I,8,0),3)</f>
        <v>8</v>
      </c>
      <c r="O532" s="39">
        <f>IFERROR(VLOOKUP("200mg DP",Controls!A:I,9,0),18)</f>
        <v>18</v>
      </c>
      <c r="P532" s="40">
        <f>IFERROR(VLOOKUP("200mg DP",Controls!A:J,5,0),0)</f>
        <v>16200</v>
      </c>
      <c r="Q532" s="39">
        <f>IFERROR(VLOOKUP("200mg DP",Controls!A:J,6,0),3)</f>
        <v>5</v>
      </c>
      <c r="R532" s="21" t="str">
        <f>IFERROR(VLOOKUP("200mg DP",Controls!A:K,10,0),"")</f>
        <v>Catalent</v>
      </c>
      <c r="S532" s="41">
        <f t="shared" si="59"/>
        <v>51075</v>
      </c>
      <c r="T532" s="30">
        <f t="shared" si="60"/>
        <v>0</v>
      </c>
      <c r="AB532">
        <f t="shared" si="62"/>
        <v>35100</v>
      </c>
    </row>
    <row r="533" spans="1:28" ht="13" customHeight="1" x14ac:dyDescent="0.35">
      <c r="A533" s="153">
        <v>51257</v>
      </c>
      <c r="B533" s="36" t="s">
        <v>36</v>
      </c>
      <c r="C533" s="15" t="s">
        <v>38</v>
      </c>
      <c r="D533" s="15" t="s">
        <v>29</v>
      </c>
      <c r="E533" s="30">
        <f>H532</f>
        <v>87828</v>
      </c>
      <c r="F533" s="37" cm="1">
        <f t="array" ref="F533">IFERROR((SUMPRODUCT(('Production Inputs'!$A:$A="188mg LP")*('Production Inputs'!$B:$B="TOTAL ACTIVE")*'Production Inputs'!$GA:$GA)+SUMPRODUCT(('Production Inputs'!$A:$A="188mg LP - EU Stock")*('Production Inputs'!$B:$B="TOTAL ACTIVE")*'Production Inputs'!$GA:$GA))*Dependencies!$D$4,0)</f>
        <v>0</v>
      </c>
      <c r="G533" s="37">
        <f t="array" ref="G533">IFERROR(SUMPRODUCT(('Production Inputs'!$A:$A="200mg DP")*('Production Inputs'!$B:$B="TOTAL ACTIVE")*'Production Inputs'!$GA:$GA),0)</f>
        <v>0</v>
      </c>
      <c r="H533" s="30">
        <f t="shared" si="56"/>
        <v>87828</v>
      </c>
      <c r="I533" s="30">
        <f ca="1">IFERROR(AVERAGEIF(OFFSET(F533,0,0,MIN(Controls!$B$8,COUNTIF(B533:B$1973,B533)),1),"&gt;"&amp;0),0)</f>
        <v>0</v>
      </c>
      <c r="J533" s="38">
        <f t="shared" ca="1" si="57"/>
        <v>999</v>
      </c>
      <c r="K533" s="30">
        <f t="shared" ca="1" si="61"/>
        <v>0</v>
      </c>
      <c r="L533" t="str">
        <f t="shared" ca="1" si="58"/>
        <v>Overstock</v>
      </c>
      <c r="M533" s="39">
        <f>IFERROR(VLOOKUP("200mg DP",Controls!A:I,7,0),6)</f>
        <v>9</v>
      </c>
      <c r="N533" s="39">
        <f>IFERROR(VLOOKUP("200mg DP",Controls!A:I,8,0),3)</f>
        <v>8</v>
      </c>
      <c r="O533" s="39">
        <f>IFERROR(VLOOKUP("200mg DP",Controls!A:I,9,0),18)</f>
        <v>18</v>
      </c>
      <c r="P533" s="40">
        <f>IFERROR(VLOOKUP("200mg DP",Controls!A:J,5,0),0)</f>
        <v>16200</v>
      </c>
      <c r="Q533" s="39">
        <f>IFERROR(VLOOKUP("200mg DP",Controls!A:J,6,0),3)</f>
        <v>5</v>
      </c>
      <c r="R533" s="21" t="str">
        <f>IFERROR(VLOOKUP("200mg DP",Controls!A:K,10,0),"")</f>
        <v>Catalent</v>
      </c>
      <c r="S533" s="41">
        <f t="shared" si="59"/>
        <v>51105</v>
      </c>
      <c r="T533" s="30">
        <f t="shared" si="60"/>
        <v>0</v>
      </c>
      <c r="AB533">
        <f t="shared" si="62"/>
        <v>35100</v>
      </c>
    </row>
    <row r="534" spans="1:28" ht="13" customHeight="1" x14ac:dyDescent="0.35">
      <c r="A534" s="153">
        <v>51288</v>
      </c>
      <c r="B534" s="36" t="s">
        <v>36</v>
      </c>
      <c r="C534" s="15" t="s">
        <v>38</v>
      </c>
      <c r="D534" s="15" t="s">
        <v>29</v>
      </c>
      <c r="E534" s="30">
        <f>H533</f>
        <v>87828</v>
      </c>
      <c r="F534" s="37" cm="1">
        <f t="array" ref="F534">IFERROR((SUMPRODUCT(('Production Inputs'!$A:$A="188mg LP")*('Production Inputs'!$B:$B="TOTAL ACTIVE")*'Production Inputs'!$GB:$GB)+SUMPRODUCT(('Production Inputs'!$A:$A="188mg LP - EU Stock")*('Production Inputs'!$B:$B="TOTAL ACTIVE")*'Production Inputs'!$GB:$GB))*Dependencies!$D$4,0)</f>
        <v>0</v>
      </c>
      <c r="G534" s="37">
        <f t="array" ref="G534">IFERROR(SUMPRODUCT(('Production Inputs'!$A:$A="200mg DP")*('Production Inputs'!$B:$B="TOTAL ACTIVE")*'Production Inputs'!$GB:$GB),0)</f>
        <v>0</v>
      </c>
      <c r="H534" s="30">
        <f t="shared" si="56"/>
        <v>87828</v>
      </c>
      <c r="I534" s="30">
        <f ca="1">IFERROR(AVERAGEIF(OFFSET(F534,0,0,MIN(Controls!$B$8,COUNTIF(B534:B$1973,B534)),1),"&gt;"&amp;0),0)</f>
        <v>0</v>
      </c>
      <c r="J534" s="38">
        <f t="shared" ca="1" si="57"/>
        <v>999</v>
      </c>
      <c r="K534" s="30">
        <f t="shared" ca="1" si="61"/>
        <v>0</v>
      </c>
      <c r="L534" t="str">
        <f t="shared" ca="1" si="58"/>
        <v>Overstock</v>
      </c>
      <c r="M534" s="39">
        <f>IFERROR(VLOOKUP("200mg DP",Controls!A:I,7,0),6)</f>
        <v>9</v>
      </c>
      <c r="N534" s="39">
        <f>IFERROR(VLOOKUP("200mg DP",Controls!A:I,8,0),3)</f>
        <v>8</v>
      </c>
      <c r="O534" s="39">
        <f>IFERROR(VLOOKUP("200mg DP",Controls!A:I,9,0),18)</f>
        <v>18</v>
      </c>
      <c r="P534" s="40">
        <f>IFERROR(VLOOKUP("200mg DP",Controls!A:J,5,0),0)</f>
        <v>16200</v>
      </c>
      <c r="Q534" s="39">
        <f>IFERROR(VLOOKUP("200mg DP",Controls!A:J,6,0),3)</f>
        <v>5</v>
      </c>
      <c r="R534" s="21" t="str">
        <f>IFERROR(VLOOKUP("200mg DP",Controls!A:K,10,0),"")</f>
        <v>Catalent</v>
      </c>
      <c r="S534" s="41">
        <f t="shared" si="59"/>
        <v>51136</v>
      </c>
      <c r="T534" s="30">
        <f t="shared" si="60"/>
        <v>0</v>
      </c>
      <c r="AB534">
        <f t="shared" si="62"/>
        <v>35100</v>
      </c>
    </row>
    <row r="535" spans="1:28" ht="13" customHeight="1" x14ac:dyDescent="0.35">
      <c r="A535" s="153">
        <v>51318</v>
      </c>
      <c r="B535" s="36" t="s">
        <v>36</v>
      </c>
      <c r="C535" s="15" t="s">
        <v>38</v>
      </c>
      <c r="D535" s="15" t="s">
        <v>29</v>
      </c>
      <c r="E535" s="30">
        <f>H534</f>
        <v>87828</v>
      </c>
      <c r="F535" s="37" cm="1">
        <f t="array" ref="F535">IFERROR((SUMPRODUCT(('Production Inputs'!$A:$A="188mg LP")*('Production Inputs'!$B:$B="TOTAL ACTIVE")*'Production Inputs'!$GC:$GC)+SUMPRODUCT(('Production Inputs'!$A:$A="188mg LP - EU Stock")*('Production Inputs'!$B:$B="TOTAL ACTIVE")*'Production Inputs'!$GC:$GC))*Dependencies!$D$4,0)</f>
        <v>0</v>
      </c>
      <c r="G535" s="37">
        <f t="array" ref="G535">IFERROR(SUMPRODUCT(('Production Inputs'!$A:$A="200mg DP")*('Production Inputs'!$B:$B="TOTAL ACTIVE")*'Production Inputs'!$GC:$GC),0)</f>
        <v>0</v>
      </c>
      <c r="H535" s="30">
        <f t="shared" si="56"/>
        <v>87828</v>
      </c>
      <c r="I535" s="30">
        <f ca="1">IFERROR(AVERAGEIF(OFFSET(F535,0,0,MIN(Controls!$B$8,COUNTIF(B535:B$1973,B535)),1),"&gt;"&amp;0),0)</f>
        <v>0</v>
      </c>
      <c r="J535" s="38">
        <f t="shared" ca="1" si="57"/>
        <v>999</v>
      </c>
      <c r="K535" s="30">
        <f t="shared" ca="1" si="61"/>
        <v>0</v>
      </c>
      <c r="L535" t="str">
        <f t="shared" ca="1" si="58"/>
        <v>Overstock</v>
      </c>
      <c r="M535" s="39">
        <f>IFERROR(VLOOKUP("200mg DP",Controls!A:I,7,0),6)</f>
        <v>9</v>
      </c>
      <c r="N535" s="39">
        <f>IFERROR(VLOOKUP("200mg DP",Controls!A:I,8,0),3)</f>
        <v>8</v>
      </c>
      <c r="O535" s="39">
        <f>IFERROR(VLOOKUP("200mg DP",Controls!A:I,9,0),18)</f>
        <v>18</v>
      </c>
      <c r="P535" s="40">
        <f>IFERROR(VLOOKUP("200mg DP",Controls!A:J,5,0),0)</f>
        <v>16200</v>
      </c>
      <c r="Q535" s="39">
        <f>IFERROR(VLOOKUP("200mg DP",Controls!A:J,6,0),3)</f>
        <v>5</v>
      </c>
      <c r="R535" s="21" t="str">
        <f>IFERROR(VLOOKUP("200mg DP",Controls!A:K,10,0),"")</f>
        <v>Catalent</v>
      </c>
      <c r="S535" s="41">
        <f t="shared" si="59"/>
        <v>51167</v>
      </c>
      <c r="T535" s="30">
        <f t="shared" si="60"/>
        <v>0</v>
      </c>
      <c r="AB535">
        <f t="shared" si="62"/>
        <v>35100</v>
      </c>
    </row>
    <row r="536" spans="1:28" ht="13" customHeight="1" x14ac:dyDescent="0.35">
      <c r="A536" s="153">
        <v>51349</v>
      </c>
      <c r="B536" s="36" t="s">
        <v>36</v>
      </c>
      <c r="C536" s="15" t="s">
        <v>38</v>
      </c>
      <c r="D536" s="15" t="s">
        <v>29</v>
      </c>
      <c r="E536" s="30">
        <f>H535</f>
        <v>87828</v>
      </c>
      <c r="F536" s="37" cm="1">
        <f t="array" ref="F536">IFERROR((SUMPRODUCT(('Production Inputs'!$A:$A="188mg LP")*('Production Inputs'!$B:$B="TOTAL ACTIVE")*'Production Inputs'!$GD:$GD)+SUMPRODUCT(('Production Inputs'!$A:$A="188mg LP - EU Stock")*('Production Inputs'!$B:$B="TOTAL ACTIVE")*'Production Inputs'!$GD:$GD))*Dependencies!$D$4,0)</f>
        <v>0</v>
      </c>
      <c r="G536" s="37">
        <f t="array" ref="G536">IFERROR(SUMPRODUCT(('Production Inputs'!$A:$A="200mg DP")*('Production Inputs'!$B:$B="TOTAL ACTIVE")*'Production Inputs'!$GD:$GD),0)</f>
        <v>0</v>
      </c>
      <c r="H536" s="30">
        <f t="shared" si="56"/>
        <v>87828</v>
      </c>
      <c r="I536" s="30">
        <f ca="1">IFERROR(AVERAGEIF(OFFSET(F536,0,0,MIN(Controls!$B$8,COUNTIF(B536:B$1973,B536)),1),"&gt;"&amp;0),0)</f>
        <v>0</v>
      </c>
      <c r="J536" s="38">
        <f t="shared" ca="1" si="57"/>
        <v>999</v>
      </c>
      <c r="K536" s="30">
        <f t="shared" ca="1" si="61"/>
        <v>0</v>
      </c>
      <c r="L536" t="str">
        <f t="shared" ca="1" si="58"/>
        <v>Overstock</v>
      </c>
      <c r="M536" s="39">
        <f>IFERROR(VLOOKUP("200mg DP",Controls!A:I,7,0),6)</f>
        <v>9</v>
      </c>
      <c r="N536" s="39">
        <f>IFERROR(VLOOKUP("200mg DP",Controls!A:I,8,0),3)</f>
        <v>8</v>
      </c>
      <c r="O536" s="39">
        <f>IFERROR(VLOOKUP("200mg DP",Controls!A:I,9,0),18)</f>
        <v>18</v>
      </c>
      <c r="P536" s="40">
        <f>IFERROR(VLOOKUP("200mg DP",Controls!A:J,5,0),0)</f>
        <v>16200</v>
      </c>
      <c r="Q536" s="39">
        <f>IFERROR(VLOOKUP("200mg DP",Controls!A:J,6,0),3)</f>
        <v>5</v>
      </c>
      <c r="R536" s="21" t="str">
        <f>IFERROR(VLOOKUP("200mg DP",Controls!A:K,10,0),"")</f>
        <v>Catalent</v>
      </c>
      <c r="S536" s="41">
        <f t="shared" si="59"/>
        <v>51196</v>
      </c>
      <c r="T536" s="30">
        <f t="shared" si="60"/>
        <v>0</v>
      </c>
      <c r="AB536">
        <f t="shared" si="62"/>
        <v>35100</v>
      </c>
    </row>
    <row r="537" spans="1:28" ht="13" customHeight="1" x14ac:dyDescent="0.35">
      <c r="A537" s="153">
        <v>51380</v>
      </c>
      <c r="B537" s="36" t="s">
        <v>36</v>
      </c>
      <c r="C537" s="15" t="s">
        <v>38</v>
      </c>
      <c r="D537" s="15" t="s">
        <v>29</v>
      </c>
      <c r="E537" s="30">
        <f>H536</f>
        <v>87828</v>
      </c>
      <c r="F537" s="37" cm="1">
        <f t="array" ref="F537">IFERROR((SUMPRODUCT(('Production Inputs'!$A:$A="188mg LP")*('Production Inputs'!$B:$B="TOTAL ACTIVE")*'Production Inputs'!$GE:$GE)+SUMPRODUCT(('Production Inputs'!$A:$A="188mg LP - EU Stock")*('Production Inputs'!$B:$B="TOTAL ACTIVE")*'Production Inputs'!$GE:$GE))*Dependencies!$D$4,0)</f>
        <v>0</v>
      </c>
      <c r="G537" s="37">
        <f t="array" ref="G537">IFERROR(SUMPRODUCT(('Production Inputs'!$A:$A="200mg DP")*('Production Inputs'!$B:$B="TOTAL ACTIVE")*'Production Inputs'!$GE:$GE),0)</f>
        <v>0</v>
      </c>
      <c r="H537" s="30">
        <f t="shared" si="56"/>
        <v>87828</v>
      </c>
      <c r="I537" s="30">
        <f ca="1">IFERROR(AVERAGEIF(OFFSET(F537,0,0,MIN(Controls!$B$8,COUNTIF(B537:B$1973,B537)),1),"&gt;"&amp;0),0)</f>
        <v>0</v>
      </c>
      <c r="J537" s="38">
        <f t="shared" ca="1" si="57"/>
        <v>999</v>
      </c>
      <c r="K537" s="30">
        <f t="shared" ca="1" si="61"/>
        <v>0</v>
      </c>
      <c r="L537" t="str">
        <f t="shared" ca="1" si="58"/>
        <v>Overstock</v>
      </c>
      <c r="M537" s="39">
        <f>IFERROR(VLOOKUP("200mg DP",Controls!A:I,7,0),6)</f>
        <v>9</v>
      </c>
      <c r="N537" s="39">
        <f>IFERROR(VLOOKUP("200mg DP",Controls!A:I,8,0),3)</f>
        <v>8</v>
      </c>
      <c r="O537" s="39">
        <f>IFERROR(VLOOKUP("200mg DP",Controls!A:I,9,0),18)</f>
        <v>18</v>
      </c>
      <c r="P537" s="40">
        <f>IFERROR(VLOOKUP("200mg DP",Controls!A:J,5,0),0)</f>
        <v>16200</v>
      </c>
      <c r="Q537" s="39">
        <f>IFERROR(VLOOKUP("200mg DP",Controls!A:J,6,0),3)</f>
        <v>5</v>
      </c>
      <c r="R537" s="21" t="str">
        <f>IFERROR(VLOOKUP("200mg DP",Controls!A:K,10,0),"")</f>
        <v>Catalent</v>
      </c>
      <c r="S537" s="41">
        <f t="shared" si="59"/>
        <v>51227</v>
      </c>
      <c r="T537" s="30">
        <f t="shared" si="60"/>
        <v>0</v>
      </c>
      <c r="AB537">
        <f t="shared" si="62"/>
        <v>35100</v>
      </c>
    </row>
    <row r="538" spans="1:28" ht="13" customHeight="1" x14ac:dyDescent="0.35">
      <c r="A538" s="153">
        <v>51410</v>
      </c>
      <c r="B538" s="36" t="s">
        <v>36</v>
      </c>
      <c r="C538" s="15" t="s">
        <v>38</v>
      </c>
      <c r="D538" s="15" t="s">
        <v>29</v>
      </c>
      <c r="E538" s="30">
        <f>H537</f>
        <v>87828</v>
      </c>
      <c r="F538" s="37" cm="1">
        <f t="array" ref="F538">IFERROR((SUMPRODUCT(('Production Inputs'!$A:$A="188mg LP")*('Production Inputs'!$B:$B="TOTAL ACTIVE")*'Production Inputs'!$GF:$GF)+SUMPRODUCT(('Production Inputs'!$A:$A="188mg LP - EU Stock")*('Production Inputs'!$B:$B="TOTAL ACTIVE")*'Production Inputs'!$GF:$GF))*Dependencies!$D$4,0)</f>
        <v>0</v>
      </c>
      <c r="G538" s="37">
        <f t="array" ref="G538">IFERROR(SUMPRODUCT(('Production Inputs'!$A:$A="200mg DP")*('Production Inputs'!$B:$B="TOTAL ACTIVE")*'Production Inputs'!$GF:$GF),0)</f>
        <v>0</v>
      </c>
      <c r="H538" s="30">
        <f t="shared" si="56"/>
        <v>87828</v>
      </c>
      <c r="I538" s="30">
        <f ca="1">IFERROR(AVERAGEIF(OFFSET(F538,0,0,MIN(Controls!$B$8,COUNTIF(B538:B$1973,B538)),1),"&gt;"&amp;0),0)</f>
        <v>0</v>
      </c>
      <c r="J538" s="38">
        <f t="shared" ca="1" si="57"/>
        <v>999</v>
      </c>
      <c r="K538" s="30">
        <f t="shared" ca="1" si="61"/>
        <v>0</v>
      </c>
      <c r="L538" t="str">
        <f t="shared" ca="1" si="58"/>
        <v>Overstock</v>
      </c>
      <c r="M538" s="39">
        <f>IFERROR(VLOOKUP("200mg DP",Controls!A:I,7,0),6)</f>
        <v>9</v>
      </c>
      <c r="N538" s="39">
        <f>IFERROR(VLOOKUP("200mg DP",Controls!A:I,8,0),3)</f>
        <v>8</v>
      </c>
      <c r="O538" s="39">
        <f>IFERROR(VLOOKUP("200mg DP",Controls!A:I,9,0),18)</f>
        <v>18</v>
      </c>
      <c r="P538" s="40">
        <f>IFERROR(VLOOKUP("200mg DP",Controls!A:J,5,0),0)</f>
        <v>16200</v>
      </c>
      <c r="Q538" s="39">
        <f>IFERROR(VLOOKUP("200mg DP",Controls!A:J,6,0),3)</f>
        <v>5</v>
      </c>
      <c r="R538" s="21" t="str">
        <f>IFERROR(VLOOKUP("200mg DP",Controls!A:K,10,0),"")</f>
        <v>Catalent</v>
      </c>
      <c r="S538" s="41">
        <f t="shared" si="59"/>
        <v>51257</v>
      </c>
      <c r="T538" s="30">
        <f t="shared" si="60"/>
        <v>0</v>
      </c>
      <c r="AB538">
        <f t="shared" si="62"/>
        <v>35100</v>
      </c>
    </row>
    <row r="539" spans="1:28" ht="13" customHeight="1" x14ac:dyDescent="0.35">
      <c r="A539" s="153">
        <v>51441</v>
      </c>
      <c r="B539" s="36" t="s">
        <v>36</v>
      </c>
      <c r="C539" s="15" t="s">
        <v>38</v>
      </c>
      <c r="D539" s="15" t="s">
        <v>29</v>
      </c>
      <c r="E539" s="30">
        <f>H538</f>
        <v>87828</v>
      </c>
      <c r="F539" s="37" cm="1">
        <f t="array" ref="F539">IFERROR((SUMPRODUCT(('Production Inputs'!$A:$A="188mg LP")*('Production Inputs'!$B:$B="TOTAL ACTIVE")*'Production Inputs'!$GG:$GG)+SUMPRODUCT(('Production Inputs'!$A:$A="188mg LP - EU Stock")*('Production Inputs'!$B:$B="TOTAL ACTIVE")*'Production Inputs'!$GG:$GG))*Dependencies!$D$4,0)</f>
        <v>0</v>
      </c>
      <c r="G539" s="37">
        <f t="array" ref="G539">IFERROR(SUMPRODUCT(('Production Inputs'!$A:$A="200mg DP")*('Production Inputs'!$B:$B="TOTAL ACTIVE")*'Production Inputs'!$GG:$GG),0)</f>
        <v>0</v>
      </c>
      <c r="H539" s="30">
        <f t="shared" si="56"/>
        <v>87828</v>
      </c>
      <c r="I539" s="30">
        <f ca="1">IFERROR(AVERAGEIF(OFFSET(F539,0,0,MIN(Controls!$B$8,COUNTIF(B539:B$1973,B539)),1),"&gt;"&amp;0),0)</f>
        <v>0</v>
      </c>
      <c r="J539" s="38">
        <f t="shared" ca="1" si="57"/>
        <v>999</v>
      </c>
      <c r="K539" s="30">
        <f t="shared" ca="1" si="61"/>
        <v>0</v>
      </c>
      <c r="L539" t="str">
        <f t="shared" ca="1" si="58"/>
        <v>Overstock</v>
      </c>
      <c r="M539" s="39">
        <f>IFERROR(VLOOKUP("200mg DP",Controls!A:I,7,0),6)</f>
        <v>9</v>
      </c>
      <c r="N539" s="39">
        <f>IFERROR(VLOOKUP("200mg DP",Controls!A:I,8,0),3)</f>
        <v>8</v>
      </c>
      <c r="O539" s="39">
        <f>IFERROR(VLOOKUP("200mg DP",Controls!A:I,9,0),18)</f>
        <v>18</v>
      </c>
      <c r="P539" s="40">
        <f>IFERROR(VLOOKUP("200mg DP",Controls!A:J,5,0),0)</f>
        <v>16200</v>
      </c>
      <c r="Q539" s="39">
        <f>IFERROR(VLOOKUP("200mg DP",Controls!A:J,6,0),3)</f>
        <v>5</v>
      </c>
      <c r="R539" s="21" t="str">
        <f>IFERROR(VLOOKUP("200mg DP",Controls!A:K,10,0),"")</f>
        <v>Catalent</v>
      </c>
      <c r="S539" s="41">
        <f t="shared" si="59"/>
        <v>51288</v>
      </c>
      <c r="T539" s="30">
        <f t="shared" si="60"/>
        <v>0</v>
      </c>
      <c r="AB539">
        <f t="shared" si="62"/>
        <v>35100</v>
      </c>
    </row>
    <row r="540" spans="1:28" ht="13" customHeight="1" x14ac:dyDescent="0.35">
      <c r="A540" s="153">
        <v>51471</v>
      </c>
      <c r="B540" s="36" t="s">
        <v>36</v>
      </c>
      <c r="C540" s="15" t="s">
        <v>38</v>
      </c>
      <c r="D540" s="15" t="s">
        <v>29</v>
      </c>
      <c r="E540" s="30">
        <f>H539</f>
        <v>87828</v>
      </c>
      <c r="F540" s="37" cm="1">
        <f t="array" ref="F540">IFERROR((SUMPRODUCT(('Production Inputs'!$A:$A="188mg LP")*('Production Inputs'!$B:$B="TOTAL ACTIVE")*'Production Inputs'!$GH:$GH)+SUMPRODUCT(('Production Inputs'!$A:$A="188mg LP - EU Stock")*('Production Inputs'!$B:$B="TOTAL ACTIVE")*'Production Inputs'!$GH:$GH))*Dependencies!$D$4,0)</f>
        <v>0</v>
      </c>
      <c r="G540" s="37">
        <f t="array" ref="G540">IFERROR(SUMPRODUCT(('Production Inputs'!$A:$A="200mg DP")*('Production Inputs'!$B:$B="TOTAL ACTIVE")*'Production Inputs'!$GH:$GH),0)</f>
        <v>0</v>
      </c>
      <c r="H540" s="30">
        <f t="shared" si="56"/>
        <v>87828</v>
      </c>
      <c r="I540" s="30">
        <f ca="1">IFERROR(AVERAGEIF(OFFSET(F540,0,0,MIN(Controls!$B$8,COUNTIF(B540:B$1973,B540)),1),"&gt;"&amp;0),0)</f>
        <v>0</v>
      </c>
      <c r="J540" s="38">
        <f t="shared" ca="1" si="57"/>
        <v>999</v>
      </c>
      <c r="K540" s="30">
        <f t="shared" ca="1" si="61"/>
        <v>0</v>
      </c>
      <c r="L540" t="str">
        <f t="shared" ca="1" si="58"/>
        <v>Overstock</v>
      </c>
      <c r="M540" s="39">
        <f>IFERROR(VLOOKUP("200mg DP",Controls!A:I,7,0),6)</f>
        <v>9</v>
      </c>
      <c r="N540" s="39">
        <f>IFERROR(VLOOKUP("200mg DP",Controls!A:I,8,0),3)</f>
        <v>8</v>
      </c>
      <c r="O540" s="39">
        <f>IFERROR(VLOOKUP("200mg DP",Controls!A:I,9,0),18)</f>
        <v>18</v>
      </c>
      <c r="P540" s="40">
        <f>IFERROR(VLOOKUP("200mg DP",Controls!A:J,5,0),0)</f>
        <v>16200</v>
      </c>
      <c r="Q540" s="39">
        <f>IFERROR(VLOOKUP("200mg DP",Controls!A:J,6,0),3)</f>
        <v>5</v>
      </c>
      <c r="R540" s="21" t="str">
        <f>IFERROR(VLOOKUP("200mg DP",Controls!A:K,10,0),"")</f>
        <v>Catalent</v>
      </c>
      <c r="S540" s="41">
        <f t="shared" si="59"/>
        <v>51318</v>
      </c>
      <c r="T540" s="30">
        <f t="shared" si="60"/>
        <v>0</v>
      </c>
      <c r="AB540">
        <f t="shared" si="62"/>
        <v>35100</v>
      </c>
    </row>
    <row r="541" spans="1:28" ht="13" customHeight="1" x14ac:dyDescent="0.35">
      <c r="A541" s="153">
        <v>46054</v>
      </c>
      <c r="B541" s="36" t="s">
        <v>43</v>
      </c>
      <c r="C541" s="15" t="s">
        <v>38</v>
      </c>
      <c r="D541" s="15" t="s">
        <v>29</v>
      </c>
      <c r="E541" s="199">
        <f>IFERROR(VLOOKUP("50mg DP",Controls!A:D,4,0),0)</f>
        <v>98019</v>
      </c>
      <c r="F541" s="199" cm="1">
        <f t="array" ref="F541">IFERROR((SUMPRODUCT(('Production Inputs'!$A:$A="47mg LP")*('Production Inputs'!$B:$B="TOTAL ACTIVE")*'Production Inputs'!$L:$L)+SUMPRODUCT(('Production Inputs'!$A:$A="47mg LP - EU Stock")*('Production Inputs'!$B:$B="TOTAL ACTIVE")*'Production Inputs'!$L:$L))*Dependencies!$D$5,0)</f>
        <v>0</v>
      </c>
      <c r="G541" s="199">
        <f t="array" ref="G541">IFERROR(SUMPRODUCT(('Production Inputs'!$A:$A="50mg DP")*('Production Inputs'!$B:$B="TOTAL ACTIVE")*'Production Inputs'!$L:$L),0)</f>
        <v>0</v>
      </c>
      <c r="H541" s="199">
        <f t="shared" si="56"/>
        <v>98019</v>
      </c>
      <c r="I541" s="30">
        <f ca="1">IFERROR(AVERAGEIF(OFFSET(F541,0,0,MIN(Controls!$B$8,COUNTIF(B541:B$1973,B541)),1),"&gt;"&amp;0),0)</f>
        <v>2.5</v>
      </c>
      <c r="J541" s="38">
        <f t="shared" ca="1" si="57"/>
        <v>39207.599999999999</v>
      </c>
      <c r="K541" s="30">
        <f t="shared" ca="1" si="61"/>
        <v>0</v>
      </c>
      <c r="L541" t="str">
        <f t="shared" ca="1" si="58"/>
        <v>Overstock</v>
      </c>
      <c r="M541" s="39">
        <f>IFERROR(VLOOKUP("50mg DP",Controls!A:I,7,0),6)</f>
        <v>9</v>
      </c>
      <c r="N541" s="39">
        <f>IFERROR(VLOOKUP("50mg DP",Controls!A:I,8,0),3)</f>
        <v>8</v>
      </c>
      <c r="O541" s="39">
        <f>IFERROR(VLOOKUP("50mg DP",Controls!A:I,9,0),18)</f>
        <v>18</v>
      </c>
      <c r="P541" s="40">
        <f>IFERROR(VLOOKUP("50mg DP",Controls!A:J,5,0),0)</f>
        <v>10000</v>
      </c>
      <c r="Q541" s="39">
        <f>IFERROR(VLOOKUP("50mg DP",Controls!A:J,6,0),3)</f>
        <v>5</v>
      </c>
      <c r="R541" s="21" t="str">
        <f>IFERROR(VLOOKUP("50mg DP",Controls!A:K,10,0),"")</f>
        <v>Patheon PDS-1</v>
      </c>
      <c r="S541" s="41">
        <f t="shared" si="59"/>
        <v>45901</v>
      </c>
      <c r="T541" s="30">
        <f t="shared" si="60"/>
        <v>0</v>
      </c>
      <c r="W541" s="205" cm="1">
        <f t="array" ref="W541">IF(0&lt;Controls!$B$7,INDEX(A541:A719,MATCH(Controls!$B$5,A541:A719,1)+0),NA())</f>
        <v>46113</v>
      </c>
      <c r="X541" cm="1">
        <f t="array" ref="X541">IF(0&lt;Controls!$B$7,INDEX(F541:F719,MATCH(Controls!$B$5,A541:A719,1)+0),NA())</f>
        <v>3</v>
      </c>
      <c r="Y541" cm="1">
        <f t="array" ref="Y541">IF(0&lt;Controls!$B$7,INDEX(G541:G719,MATCH(Controls!$B$5,A541:A719,1)+0),NA())</f>
        <v>20000</v>
      </c>
      <c r="Z541" cm="1">
        <f t="array" ref="Z541">IF(0&lt;Controls!$B$7,INDEX(H541:H719,MATCH(Controls!$B$5,A541:A719,1)+0),NA())</f>
        <v>98109</v>
      </c>
      <c r="AA541" cm="1">
        <f t="array" aca="1" ref="AA541" ca="1">IF(0&lt;Controls!$B$7,INDEX(M541:M719,MATCH(Controls!$B$5,A541:A719,1)+0)*INDEX(I541:I719,MATCH(Controls!$B$5,A541:A719,1)+0),NA())</f>
        <v>22.5</v>
      </c>
      <c r="AB541">
        <f t="shared" si="62"/>
        <v>0</v>
      </c>
    </row>
    <row r="542" spans="1:28" ht="13" customHeight="1" x14ac:dyDescent="0.35">
      <c r="A542" s="153">
        <v>46082</v>
      </c>
      <c r="B542" s="36" t="s">
        <v>43</v>
      </c>
      <c r="C542" s="15" t="s">
        <v>38</v>
      </c>
      <c r="D542" s="15" t="s">
        <v>29</v>
      </c>
      <c r="E542" s="199">
        <f>H541</f>
        <v>98019</v>
      </c>
      <c r="F542" s="199" cm="1">
        <f t="array" ref="F542">IFERROR((SUMPRODUCT(('Production Inputs'!$A:$A="47mg LP")*('Production Inputs'!$B:$B="TOTAL ACTIVE")*'Production Inputs'!$M:$M)+SUMPRODUCT(('Production Inputs'!$A:$A="47mg LP - EU Stock")*('Production Inputs'!$B:$B="TOTAL ACTIVE")*'Production Inputs'!$M:$M))*Dependencies!$D$5,0)</f>
        <v>0</v>
      </c>
      <c r="G542" s="199">
        <f t="array" ref="G542">IFERROR(SUMPRODUCT(('Production Inputs'!$A:$A="50mg DP")*('Production Inputs'!$B:$B="TOTAL ACTIVE")*'Production Inputs'!$M:$M),0)</f>
        <v>0</v>
      </c>
      <c r="H542" s="199">
        <v>58251</v>
      </c>
      <c r="I542" s="30">
        <f ca="1">IFERROR(AVERAGEIF(OFFSET(F542,0,0,MIN(Controls!$B$8,COUNTIF(B542:B$1973,B542)),1),"&gt;"&amp;0),0)</f>
        <v>2.5</v>
      </c>
      <c r="J542" s="38">
        <f t="shared" ca="1" si="57"/>
        <v>23300.400000000001</v>
      </c>
      <c r="K542" s="30">
        <f t="shared" ca="1" si="61"/>
        <v>0</v>
      </c>
      <c r="L542" t="str">
        <f t="shared" ca="1" si="58"/>
        <v>Overstock</v>
      </c>
      <c r="M542" s="39">
        <f>IFERROR(VLOOKUP("50mg DP",Controls!A:I,7,0),6)</f>
        <v>9</v>
      </c>
      <c r="N542" s="39">
        <f>IFERROR(VLOOKUP("50mg DP",Controls!A:I,8,0),3)</f>
        <v>8</v>
      </c>
      <c r="O542" s="39">
        <f>IFERROR(VLOOKUP("50mg DP",Controls!A:I,9,0),18)</f>
        <v>18</v>
      </c>
      <c r="P542" s="40">
        <f>IFERROR(VLOOKUP("50mg DP",Controls!A:J,5,0),0)</f>
        <v>10000</v>
      </c>
      <c r="Q542" s="39">
        <f>IFERROR(VLOOKUP("50mg DP",Controls!A:J,6,0),3)</f>
        <v>5</v>
      </c>
      <c r="R542" s="21" t="str">
        <f>IFERROR(VLOOKUP("50mg DP",Controls!A:K,10,0),"")</f>
        <v>Patheon PDS-1</v>
      </c>
      <c r="S542" s="41">
        <f t="shared" si="59"/>
        <v>45931</v>
      </c>
      <c r="T542" s="30">
        <f t="shared" si="60"/>
        <v>0</v>
      </c>
      <c r="W542" s="205" cm="1">
        <f t="array" ref="W542">IF(1&lt;Controls!$B$7,INDEX(A541:A719,MATCH(Controls!$B$5,A541:A719,1)+1),NA())</f>
        <v>46143</v>
      </c>
      <c r="X542" cm="1">
        <f t="array" ref="X542">IF(1&lt;Controls!$B$7,INDEX(F541:F719,MATCH(Controls!$B$5,A541:A719,1)+1),NA())</f>
        <v>2</v>
      </c>
      <c r="Y542" cm="1">
        <f t="array" ref="Y542">IF(1&lt;Controls!$B$7,INDEX(G541:G719,MATCH(Controls!$B$5,A541:A719,1)+1),NA())</f>
        <v>20000</v>
      </c>
      <c r="Z542" cm="1">
        <f t="array" ref="Z542">IF(1&lt;Controls!$B$7,INDEX(H541:H719,MATCH(Controls!$B$5,A541:A719,1)+1),NA())</f>
        <v>118107</v>
      </c>
      <c r="AA542" cm="1">
        <f t="array" aca="1" ref="AA542" ca="1">IF(1&lt;Controls!$B$7,INDEX(M541:M719,MATCH(Controls!$B$5,A541:A719,1)+1)*INDEX(I541:I719,MATCH(Controls!$B$5,A541:A719,1)+1),NA())</f>
        <v>18</v>
      </c>
      <c r="AB542">
        <f t="shared" si="62"/>
        <v>0</v>
      </c>
    </row>
    <row r="543" spans="1:28" ht="13" customHeight="1" x14ac:dyDescent="0.35">
      <c r="A543" s="153">
        <v>46113</v>
      </c>
      <c r="B543" s="36" t="s">
        <v>43</v>
      </c>
      <c r="C543" s="15" t="s">
        <v>38</v>
      </c>
      <c r="D543" s="15" t="s">
        <v>29</v>
      </c>
      <c r="E543" s="390">
        <f>H542</f>
        <v>58251</v>
      </c>
      <c r="F543" s="391" cm="1">
        <f t="array" ref="F543">IFERROR((SUMPRODUCT(('Production Inputs'!$A:$A="47mg LP")*('Production Inputs'!$B:$B="TOTAL ACTIVE")*'Production Inputs'!$N:$N)+SUMPRODUCT(('Production Inputs'!$A:$A="47mg LP - EU Stock")*('Production Inputs'!$B:$B="TOTAL ACTIVE")*'Production Inputs'!$N:$N))*Dependencies!$D$5,0)</f>
        <v>3</v>
      </c>
      <c r="G543" s="391">
        <f t="array" ref="G543">IFERROR(SUMPRODUCT(('Production Inputs'!$A:$A="50mg DP")*('Production Inputs'!$B:$B="TOTAL ACTIVE")*'Production Inputs'!$N:$N),0)</f>
        <v>20000</v>
      </c>
      <c r="H543" s="390">
        <v>98109</v>
      </c>
      <c r="I543" s="30">
        <f ca="1">IFERROR(AVERAGEIF(OFFSET(F543,0,0,MIN(Controls!$B$8,COUNTIF(B543:B$1973,B543)),1),"&gt;"&amp;0),0)</f>
        <v>2.5</v>
      </c>
      <c r="J543" s="38">
        <f t="shared" ca="1" si="57"/>
        <v>39243.599999999999</v>
      </c>
      <c r="K543" s="30">
        <f t="shared" ca="1" si="61"/>
        <v>0</v>
      </c>
      <c r="L543" t="str">
        <f t="shared" ca="1" si="58"/>
        <v>Overstock</v>
      </c>
      <c r="M543" s="39">
        <f>IFERROR(VLOOKUP("50mg DP",Controls!A:I,7,0),6)</f>
        <v>9</v>
      </c>
      <c r="N543" s="39">
        <f>IFERROR(VLOOKUP("50mg DP",Controls!A:I,8,0),3)</f>
        <v>8</v>
      </c>
      <c r="O543" s="39">
        <f>IFERROR(VLOOKUP("50mg DP",Controls!A:I,9,0),18)</f>
        <v>18</v>
      </c>
      <c r="P543" s="40">
        <f>IFERROR(VLOOKUP("50mg DP",Controls!A:J,5,0),0)</f>
        <v>10000</v>
      </c>
      <c r="Q543" s="39">
        <f>IFERROR(VLOOKUP("50mg DP",Controls!A:J,6,0),3)</f>
        <v>5</v>
      </c>
      <c r="R543" s="21" t="str">
        <f>IFERROR(VLOOKUP("50mg DP",Controls!A:K,10,0),"")</f>
        <v>Patheon PDS-1</v>
      </c>
      <c r="S543" s="41">
        <f t="shared" si="59"/>
        <v>45962</v>
      </c>
      <c r="T543" s="30">
        <f t="shared" si="60"/>
        <v>20000</v>
      </c>
      <c r="W543" s="205" cm="1">
        <f t="array" ref="W543">IF(2&lt;Controls!$B$7,INDEX(A541:A719,MATCH(Controls!$B$5,A541:A719,1)+2),NA())</f>
        <v>46174</v>
      </c>
      <c r="X543" cm="1">
        <f t="array" ref="X543">IF(2&lt;Controls!$B$7,INDEX(F541:F719,MATCH(Controls!$B$5,A541:A719,1)+2),NA())</f>
        <v>0</v>
      </c>
      <c r="Y543" cm="1">
        <f t="array" ref="Y543">IF(2&lt;Controls!$B$7,INDEX(G541:G719,MATCH(Controls!$B$5,A541:A719,1)+2),NA())</f>
        <v>30000</v>
      </c>
      <c r="Z543" cm="1">
        <f t="array" ref="Z543">IF(2&lt;Controls!$B$7,INDEX(H541:H719,MATCH(Controls!$B$5,A541:A719,1)+2),NA())</f>
        <v>148107</v>
      </c>
      <c r="AA543" cm="1">
        <f t="array" aca="1" ref="AA543" ca="1">IF(2&lt;Controls!$B$7,INDEX(M541:M719,MATCH(Controls!$B$5,A541:A719,1)+2)*INDEX(I541:I719,MATCH(Controls!$B$5,A541:A719,1)+2),NA())</f>
        <v>0</v>
      </c>
      <c r="AB543">
        <f t="shared" si="62"/>
        <v>3</v>
      </c>
    </row>
    <row r="544" spans="1:28" ht="13" customHeight="1" x14ac:dyDescent="0.35">
      <c r="A544" s="153">
        <v>46143</v>
      </c>
      <c r="B544" s="36" t="s">
        <v>43</v>
      </c>
      <c r="C544" s="15" t="s">
        <v>38</v>
      </c>
      <c r="D544" s="15" t="s">
        <v>29</v>
      </c>
      <c r="E544" s="30">
        <f>H543</f>
        <v>98109</v>
      </c>
      <c r="F544" s="37" cm="1">
        <f t="array" ref="F544">IFERROR((SUMPRODUCT(('Production Inputs'!$A:$A="47mg LP")*('Production Inputs'!$B:$B="TOTAL ACTIVE")*'Production Inputs'!$O:$O)+SUMPRODUCT(('Production Inputs'!$A:$A="47mg LP - EU Stock")*('Production Inputs'!$B:$B="TOTAL ACTIVE")*'Production Inputs'!$O:$O))*Dependencies!$D$5,0)</f>
        <v>2</v>
      </c>
      <c r="G544" s="37">
        <f t="array" ref="G544">IFERROR(SUMPRODUCT(('Production Inputs'!$A:$A="50mg DP")*('Production Inputs'!$B:$B="TOTAL ACTIVE")*'Production Inputs'!$O:$O),0)</f>
        <v>20000</v>
      </c>
      <c r="H544" s="30">
        <f t="shared" si="56"/>
        <v>118107</v>
      </c>
      <c r="I544" s="30">
        <f ca="1">IFERROR(AVERAGEIF(OFFSET(F544,0,0,MIN(Controls!$B$8,COUNTIF(B544:B$1973,B544)),1),"&gt;"&amp;0),0)</f>
        <v>2</v>
      </c>
      <c r="J544" s="38">
        <f t="shared" ca="1" si="57"/>
        <v>59053.5</v>
      </c>
      <c r="K544" s="30">
        <f t="shared" ca="1" si="61"/>
        <v>0</v>
      </c>
      <c r="L544" t="str">
        <f t="shared" ca="1" si="58"/>
        <v>Overstock</v>
      </c>
      <c r="M544" s="39">
        <f>IFERROR(VLOOKUP("50mg DP",Controls!A:I,7,0),6)</f>
        <v>9</v>
      </c>
      <c r="N544" s="39">
        <f>IFERROR(VLOOKUP("50mg DP",Controls!A:I,8,0),3)</f>
        <v>8</v>
      </c>
      <c r="O544" s="39">
        <f>IFERROR(VLOOKUP("50mg DP",Controls!A:I,9,0),18)</f>
        <v>18</v>
      </c>
      <c r="P544" s="40">
        <f>IFERROR(VLOOKUP("50mg DP",Controls!A:J,5,0),0)</f>
        <v>10000</v>
      </c>
      <c r="Q544" s="39">
        <f>IFERROR(VLOOKUP("50mg DP",Controls!A:J,6,0),3)</f>
        <v>5</v>
      </c>
      <c r="R544" s="21" t="str">
        <f>IFERROR(VLOOKUP("50mg DP",Controls!A:K,10,0),"")</f>
        <v>Patheon PDS-1</v>
      </c>
      <c r="S544" s="41">
        <f t="shared" si="59"/>
        <v>45992</v>
      </c>
      <c r="T544" s="30">
        <f t="shared" si="60"/>
        <v>20000</v>
      </c>
      <c r="W544" s="205" cm="1">
        <f t="array" ref="W544">IF(3&lt;Controls!$B$7,INDEX(A541:A719,MATCH(Controls!$B$5,A541:A719,1)+3),NA())</f>
        <v>46204</v>
      </c>
      <c r="X544" cm="1">
        <f t="array" ref="X544">IF(3&lt;Controls!$B$7,INDEX(F541:F719,MATCH(Controls!$B$5,A541:A719,1)+3),NA())</f>
        <v>0</v>
      </c>
      <c r="Y544" cm="1">
        <f t="array" ref="Y544">IF(3&lt;Controls!$B$7,INDEX(G541:G719,MATCH(Controls!$B$5,A541:A719,1)+3),NA())</f>
        <v>10000</v>
      </c>
      <c r="Z544" cm="1">
        <f t="array" ref="Z544">IF(3&lt;Controls!$B$7,INDEX(H541:H719,MATCH(Controls!$B$5,A541:A719,1)+3),NA())</f>
        <v>158107</v>
      </c>
      <c r="AA544" cm="1">
        <f t="array" aca="1" ref="AA544" ca="1">IF(3&lt;Controls!$B$7,INDEX(M541:M719,MATCH(Controls!$B$5,A541:A719,1)+3)*INDEX(I541:I719,MATCH(Controls!$B$5,A541:A719,1)+3),NA())</f>
        <v>0</v>
      </c>
      <c r="AB544">
        <f t="shared" si="62"/>
        <v>5</v>
      </c>
    </row>
    <row r="545" spans="1:28" ht="13" customHeight="1" x14ac:dyDescent="0.35">
      <c r="A545" s="153">
        <v>46174</v>
      </c>
      <c r="B545" s="36" t="s">
        <v>43</v>
      </c>
      <c r="C545" s="15" t="s">
        <v>38</v>
      </c>
      <c r="D545" s="15" t="s">
        <v>29</v>
      </c>
      <c r="E545" s="30">
        <f>H544</f>
        <v>118107</v>
      </c>
      <c r="F545" s="37" cm="1">
        <f t="array" ref="F545">IFERROR((SUMPRODUCT(('Production Inputs'!$A:$A="47mg LP")*('Production Inputs'!$B:$B="TOTAL ACTIVE")*'Production Inputs'!$P:$P)+SUMPRODUCT(('Production Inputs'!$A:$A="47mg LP - EU Stock")*('Production Inputs'!$B:$B="TOTAL ACTIVE")*'Production Inputs'!$P:$P))*Dependencies!$D$5,0)</f>
        <v>0</v>
      </c>
      <c r="G545" s="37">
        <f t="array" ref="G545">IFERROR(SUMPRODUCT(('Production Inputs'!$A:$A="50mg DP")*('Production Inputs'!$B:$B="TOTAL ACTIVE")*'Production Inputs'!$P:$P),0)</f>
        <v>30000</v>
      </c>
      <c r="H545" s="30">
        <f t="shared" si="56"/>
        <v>148107</v>
      </c>
      <c r="I545" s="30">
        <f ca="1">IFERROR(AVERAGEIF(OFFSET(F545,0,0,MIN(Controls!$B$8,COUNTIF(B545:B$1973,B545)),1),"&gt;"&amp;0),0)</f>
        <v>0</v>
      </c>
      <c r="J545" s="38">
        <f t="shared" ca="1" si="57"/>
        <v>999</v>
      </c>
      <c r="K545" s="30">
        <f t="shared" ca="1" si="61"/>
        <v>0</v>
      </c>
      <c r="L545" t="str">
        <f t="shared" ca="1" si="58"/>
        <v>Overstock</v>
      </c>
      <c r="M545" s="39">
        <f>IFERROR(VLOOKUP("50mg DP",Controls!A:I,7,0),6)</f>
        <v>9</v>
      </c>
      <c r="N545" s="39">
        <f>IFERROR(VLOOKUP("50mg DP",Controls!A:I,8,0),3)</f>
        <v>8</v>
      </c>
      <c r="O545" s="39">
        <f>IFERROR(VLOOKUP("50mg DP",Controls!A:I,9,0),18)</f>
        <v>18</v>
      </c>
      <c r="P545" s="40">
        <f>IFERROR(VLOOKUP("50mg DP",Controls!A:J,5,0),0)</f>
        <v>10000</v>
      </c>
      <c r="Q545" s="39">
        <f>IFERROR(VLOOKUP("50mg DP",Controls!A:J,6,0),3)</f>
        <v>5</v>
      </c>
      <c r="R545" s="21" t="str">
        <f>IFERROR(VLOOKUP("50mg DP",Controls!A:K,10,0),"")</f>
        <v>Patheon PDS-1</v>
      </c>
      <c r="S545" s="41">
        <f t="shared" si="59"/>
        <v>46023</v>
      </c>
      <c r="T545" s="30">
        <f t="shared" si="60"/>
        <v>30000</v>
      </c>
      <c r="W545" s="205" cm="1">
        <f t="array" ref="W545">IF(4&lt;Controls!$B$7,INDEX(A541:A719,MATCH(Controls!$B$5,A541:A719,1)+4),NA())</f>
        <v>46235</v>
      </c>
      <c r="X545" cm="1">
        <f t="array" ref="X545">IF(4&lt;Controls!$B$7,INDEX(F541:F719,MATCH(Controls!$B$5,A541:A719,1)+4),NA())</f>
        <v>0</v>
      </c>
      <c r="Y545" cm="1">
        <f t="array" ref="Y545">IF(4&lt;Controls!$B$7,INDEX(G541:G719,MATCH(Controls!$B$5,A541:A719,1)+4),NA())</f>
        <v>0</v>
      </c>
      <c r="Z545" cm="1">
        <f t="array" ref="Z545">IF(4&lt;Controls!$B$7,INDEX(H541:H719,MATCH(Controls!$B$5,A541:A719,1)+4),NA())</f>
        <v>158107</v>
      </c>
      <c r="AA545" cm="1">
        <f t="array" aca="1" ref="AA545" ca="1">IF(4&lt;Controls!$B$7,INDEX(M541:M719,MATCH(Controls!$B$5,A541:A719,1)+4)*INDEX(I541:I719,MATCH(Controls!$B$5,A541:A719,1)+4),NA())</f>
        <v>0</v>
      </c>
      <c r="AB545">
        <f t="shared" si="62"/>
        <v>5</v>
      </c>
    </row>
    <row r="546" spans="1:28" ht="13" customHeight="1" x14ac:dyDescent="0.35">
      <c r="A546" s="153">
        <v>46204</v>
      </c>
      <c r="B546" s="36" t="s">
        <v>43</v>
      </c>
      <c r="C546" s="15" t="s">
        <v>38</v>
      </c>
      <c r="D546" s="15" t="s">
        <v>29</v>
      </c>
      <c r="E546" s="30">
        <f>H545</f>
        <v>148107</v>
      </c>
      <c r="F546" s="37" cm="1">
        <f t="array" ref="F546">IFERROR((SUMPRODUCT(('Production Inputs'!$A:$A="47mg LP")*('Production Inputs'!$B:$B="TOTAL ACTIVE")*'Production Inputs'!$Q:$Q)+SUMPRODUCT(('Production Inputs'!$A:$A="47mg LP - EU Stock")*('Production Inputs'!$B:$B="TOTAL ACTIVE")*'Production Inputs'!$Q:$Q))*Dependencies!$D$5,0)</f>
        <v>0</v>
      </c>
      <c r="G546" s="37">
        <f t="array" ref="G546">IFERROR(SUMPRODUCT(('Production Inputs'!$A:$A="50mg DP")*('Production Inputs'!$B:$B="TOTAL ACTIVE")*'Production Inputs'!$Q:$Q),0)</f>
        <v>10000</v>
      </c>
      <c r="H546" s="30">
        <f t="shared" si="56"/>
        <v>158107</v>
      </c>
      <c r="I546" s="30">
        <f ca="1">IFERROR(AVERAGEIF(OFFSET(F546,0,0,MIN(Controls!$B$8,COUNTIF(B546:B$1973,B546)),1),"&gt;"&amp;0),0)</f>
        <v>0</v>
      </c>
      <c r="J546" s="38">
        <f t="shared" ca="1" si="57"/>
        <v>999</v>
      </c>
      <c r="K546" s="30">
        <f t="shared" ca="1" si="61"/>
        <v>0</v>
      </c>
      <c r="L546" t="str">
        <f t="shared" ca="1" si="58"/>
        <v>Overstock</v>
      </c>
      <c r="M546" s="39">
        <f>IFERROR(VLOOKUP("50mg DP",Controls!A:I,7,0),6)</f>
        <v>9</v>
      </c>
      <c r="N546" s="39">
        <f>IFERROR(VLOOKUP("50mg DP",Controls!A:I,8,0),3)</f>
        <v>8</v>
      </c>
      <c r="O546" s="39">
        <f>IFERROR(VLOOKUP("50mg DP",Controls!A:I,9,0),18)</f>
        <v>18</v>
      </c>
      <c r="P546" s="40">
        <f>IFERROR(VLOOKUP("50mg DP",Controls!A:J,5,0),0)</f>
        <v>10000</v>
      </c>
      <c r="Q546" s="39">
        <f>IFERROR(VLOOKUP("50mg DP",Controls!A:J,6,0),3)</f>
        <v>5</v>
      </c>
      <c r="R546" s="21" t="str">
        <f>IFERROR(VLOOKUP("50mg DP",Controls!A:K,10,0),"")</f>
        <v>Patheon PDS-1</v>
      </c>
      <c r="S546" s="41">
        <f t="shared" si="59"/>
        <v>46054</v>
      </c>
      <c r="T546" s="30">
        <f t="shared" si="60"/>
        <v>10000</v>
      </c>
      <c r="W546" s="205" cm="1">
        <f t="array" ref="W546">IF(5&lt;Controls!$B$7,INDEX(A541:A719,MATCH(Controls!$B$5,A541:A719,1)+5),NA())</f>
        <v>46266</v>
      </c>
      <c r="X546" cm="1">
        <f t="array" ref="X546">IF(5&lt;Controls!$B$7,INDEX(F541:F719,MATCH(Controls!$B$5,A541:A719,1)+5),NA())</f>
        <v>0</v>
      </c>
      <c r="Y546" cm="1">
        <f t="array" ref="Y546">IF(5&lt;Controls!$B$7,INDEX(G541:G719,MATCH(Controls!$B$5,A541:A719,1)+5),NA())</f>
        <v>0</v>
      </c>
      <c r="Z546" cm="1">
        <f t="array" ref="Z546">IF(5&lt;Controls!$B$7,INDEX(H541:H719,MATCH(Controls!$B$5,A541:A719,1)+5),NA())</f>
        <v>158107</v>
      </c>
      <c r="AA546" cm="1">
        <f t="array" aca="1" ref="AA546" ca="1">IF(5&lt;Controls!$B$7,INDEX(M541:M719,MATCH(Controls!$B$5,A541:A719,1)+5)*INDEX(I541:I719,MATCH(Controls!$B$5,A541:A719,1)+5),NA())</f>
        <v>0</v>
      </c>
      <c r="AB546">
        <f t="shared" si="62"/>
        <v>5</v>
      </c>
    </row>
    <row r="547" spans="1:28" ht="13" customHeight="1" x14ac:dyDescent="0.35">
      <c r="A547" s="153">
        <v>46235</v>
      </c>
      <c r="B547" s="36" t="s">
        <v>43</v>
      </c>
      <c r="C547" s="15" t="s">
        <v>38</v>
      </c>
      <c r="D547" s="15" t="s">
        <v>29</v>
      </c>
      <c r="E547" s="30">
        <f>H546</f>
        <v>158107</v>
      </c>
      <c r="F547" s="37" cm="1">
        <f t="array" ref="F547">IFERROR((SUMPRODUCT(('Production Inputs'!$A:$A="47mg LP")*('Production Inputs'!$B:$B="TOTAL ACTIVE")*'Production Inputs'!$R:$R)+SUMPRODUCT(('Production Inputs'!$A:$A="47mg LP - EU Stock")*('Production Inputs'!$B:$B="TOTAL ACTIVE")*'Production Inputs'!$R:$R))*Dependencies!$D$5,0)</f>
        <v>0</v>
      </c>
      <c r="G547" s="37">
        <f t="array" ref="G547">IFERROR(SUMPRODUCT(('Production Inputs'!$A:$A="50mg DP")*('Production Inputs'!$B:$B="TOTAL ACTIVE")*'Production Inputs'!$R:$R),0)</f>
        <v>0</v>
      </c>
      <c r="H547" s="30">
        <f t="shared" si="56"/>
        <v>158107</v>
      </c>
      <c r="I547" s="30">
        <f ca="1">IFERROR(AVERAGEIF(OFFSET(F547,0,0,MIN(Controls!$B$8,COUNTIF(B547:B$1973,B547)),1),"&gt;"&amp;0),0)</f>
        <v>0</v>
      </c>
      <c r="J547" s="38">
        <f t="shared" ca="1" si="57"/>
        <v>999</v>
      </c>
      <c r="K547" s="30">
        <f t="shared" ca="1" si="61"/>
        <v>0</v>
      </c>
      <c r="L547" t="str">
        <f t="shared" ca="1" si="58"/>
        <v>Overstock</v>
      </c>
      <c r="M547" s="39">
        <f>IFERROR(VLOOKUP("50mg DP",Controls!A:I,7,0),6)</f>
        <v>9</v>
      </c>
      <c r="N547" s="39">
        <f>IFERROR(VLOOKUP("50mg DP",Controls!A:I,8,0),3)</f>
        <v>8</v>
      </c>
      <c r="O547" s="39">
        <f>IFERROR(VLOOKUP("50mg DP",Controls!A:I,9,0),18)</f>
        <v>18</v>
      </c>
      <c r="P547" s="40">
        <f>IFERROR(VLOOKUP("50mg DP",Controls!A:J,5,0),0)</f>
        <v>10000</v>
      </c>
      <c r="Q547" s="39">
        <f>IFERROR(VLOOKUP("50mg DP",Controls!A:J,6,0),3)</f>
        <v>5</v>
      </c>
      <c r="R547" s="21" t="str">
        <f>IFERROR(VLOOKUP("50mg DP",Controls!A:K,10,0),"")</f>
        <v>Patheon PDS-1</v>
      </c>
      <c r="S547" s="41">
        <f t="shared" si="59"/>
        <v>46082</v>
      </c>
      <c r="T547" s="30">
        <f t="shared" si="60"/>
        <v>0</v>
      </c>
      <c r="W547" s="205" cm="1">
        <f t="array" ref="W547">IF(6&lt;Controls!$B$7,INDEX(A541:A719,MATCH(Controls!$B$5,A541:A719,1)+6),NA())</f>
        <v>46296</v>
      </c>
      <c r="X547" cm="1">
        <f t="array" ref="X547">IF(6&lt;Controls!$B$7,INDEX(F541:F719,MATCH(Controls!$B$5,A541:A719,1)+6),NA())</f>
        <v>0</v>
      </c>
      <c r="Y547" cm="1">
        <f t="array" ref="Y547">IF(6&lt;Controls!$B$7,INDEX(G541:G719,MATCH(Controls!$B$5,A541:A719,1)+6),NA())</f>
        <v>0</v>
      </c>
      <c r="Z547" cm="1">
        <f t="array" ref="Z547">IF(6&lt;Controls!$B$7,INDEX(H541:H719,MATCH(Controls!$B$5,A541:A719,1)+6),NA())</f>
        <v>158107</v>
      </c>
      <c r="AA547" cm="1">
        <f t="array" aca="1" ref="AA547" ca="1">IF(6&lt;Controls!$B$7,INDEX(M541:M719,MATCH(Controls!$B$5,A541:A719,1)+6)*INDEX(I541:I719,MATCH(Controls!$B$5,A541:A719,1)+6),NA())</f>
        <v>0</v>
      </c>
      <c r="AB547">
        <f t="shared" si="62"/>
        <v>5</v>
      </c>
    </row>
    <row r="548" spans="1:28" ht="13" customHeight="1" x14ac:dyDescent="0.35">
      <c r="A548" s="153">
        <v>46266</v>
      </c>
      <c r="B548" s="36" t="s">
        <v>43</v>
      </c>
      <c r="C548" s="15" t="s">
        <v>38</v>
      </c>
      <c r="D548" s="15" t="s">
        <v>29</v>
      </c>
      <c r="E548" s="30">
        <f>H547</f>
        <v>158107</v>
      </c>
      <c r="F548" s="37" cm="1">
        <f t="array" ref="F548">IFERROR((SUMPRODUCT(('Production Inputs'!$A:$A="47mg LP")*('Production Inputs'!$B:$B="TOTAL ACTIVE")*'Production Inputs'!$S:$S)+SUMPRODUCT(('Production Inputs'!$A:$A="47mg LP - EU Stock")*('Production Inputs'!$B:$B="TOTAL ACTIVE")*'Production Inputs'!$S:$S))*Dependencies!$D$5,0)</f>
        <v>0</v>
      </c>
      <c r="G548" s="37">
        <f t="array" ref="G548">IFERROR(SUMPRODUCT(('Production Inputs'!$A:$A="50mg DP")*('Production Inputs'!$B:$B="TOTAL ACTIVE")*'Production Inputs'!$S:$S),0)</f>
        <v>0</v>
      </c>
      <c r="H548" s="30">
        <f t="shared" si="56"/>
        <v>158107</v>
      </c>
      <c r="I548" s="30">
        <f ca="1">IFERROR(AVERAGEIF(OFFSET(F548,0,0,MIN(Controls!$B$8,COUNTIF(B548:B$1973,B548)),1),"&gt;"&amp;0),0)</f>
        <v>0</v>
      </c>
      <c r="J548" s="38">
        <f t="shared" ca="1" si="57"/>
        <v>999</v>
      </c>
      <c r="K548" s="30">
        <f t="shared" ca="1" si="61"/>
        <v>0</v>
      </c>
      <c r="L548" t="str">
        <f t="shared" ca="1" si="58"/>
        <v>Overstock</v>
      </c>
      <c r="M548" s="39">
        <f>IFERROR(VLOOKUP("50mg DP",Controls!A:I,7,0),6)</f>
        <v>9</v>
      </c>
      <c r="N548" s="39">
        <f>IFERROR(VLOOKUP("50mg DP",Controls!A:I,8,0),3)</f>
        <v>8</v>
      </c>
      <c r="O548" s="39">
        <f>IFERROR(VLOOKUP("50mg DP",Controls!A:I,9,0),18)</f>
        <v>18</v>
      </c>
      <c r="P548" s="40">
        <f>IFERROR(VLOOKUP("50mg DP",Controls!A:J,5,0),0)</f>
        <v>10000</v>
      </c>
      <c r="Q548" s="39">
        <f>IFERROR(VLOOKUP("50mg DP",Controls!A:J,6,0),3)</f>
        <v>5</v>
      </c>
      <c r="R548" s="21" t="str">
        <f>IFERROR(VLOOKUP("50mg DP",Controls!A:K,10,0),"")</f>
        <v>Patheon PDS-1</v>
      </c>
      <c r="S548" s="41">
        <f t="shared" si="59"/>
        <v>46113</v>
      </c>
      <c r="T548" s="30">
        <f t="shared" si="60"/>
        <v>0</v>
      </c>
      <c r="W548" s="205" cm="1">
        <f t="array" ref="W548">IF(7&lt;Controls!$B$7,INDEX(A541:A719,MATCH(Controls!$B$5,A541:A719,1)+7),NA())</f>
        <v>46327</v>
      </c>
      <c r="X548" cm="1">
        <f t="array" ref="X548">IF(7&lt;Controls!$B$7,INDEX(F541:F719,MATCH(Controls!$B$5,A541:A719,1)+7),NA())</f>
        <v>0</v>
      </c>
      <c r="Y548" cm="1">
        <f t="array" ref="Y548">IF(7&lt;Controls!$B$7,INDEX(G541:G719,MATCH(Controls!$B$5,A541:A719,1)+7),NA())</f>
        <v>0</v>
      </c>
      <c r="Z548" cm="1">
        <f t="array" ref="Z548">IF(7&lt;Controls!$B$7,INDEX(H541:H719,MATCH(Controls!$B$5,A541:A719,1)+7),NA())</f>
        <v>158107</v>
      </c>
      <c r="AA548" cm="1">
        <f t="array" aca="1" ref="AA548" ca="1">IF(7&lt;Controls!$B$7,INDEX(M541:M719,MATCH(Controls!$B$5,A541:A719,1)+7)*INDEX(I541:I719,MATCH(Controls!$B$5,A541:A719,1)+7),NA())</f>
        <v>0</v>
      </c>
      <c r="AB548">
        <f t="shared" si="62"/>
        <v>5</v>
      </c>
    </row>
    <row r="549" spans="1:28" ht="13" customHeight="1" x14ac:dyDescent="0.35">
      <c r="A549" s="153">
        <v>46296</v>
      </c>
      <c r="B549" s="36" t="s">
        <v>43</v>
      </c>
      <c r="C549" s="15" t="s">
        <v>38</v>
      </c>
      <c r="D549" s="15" t="s">
        <v>29</v>
      </c>
      <c r="E549" s="30">
        <f>H548</f>
        <v>158107</v>
      </c>
      <c r="F549" s="37" cm="1">
        <f t="array" ref="F549">IFERROR((SUMPRODUCT(('Production Inputs'!$A:$A="47mg LP")*('Production Inputs'!$B:$B="TOTAL ACTIVE")*'Production Inputs'!$T:$T)+SUMPRODUCT(('Production Inputs'!$A:$A="47mg LP - EU Stock")*('Production Inputs'!$B:$B="TOTAL ACTIVE")*'Production Inputs'!$T:$T))*Dependencies!$D$5,0)</f>
        <v>0</v>
      </c>
      <c r="G549" s="37">
        <f t="array" ref="G549">IFERROR(SUMPRODUCT(('Production Inputs'!$A:$A="50mg DP")*('Production Inputs'!$B:$B="TOTAL ACTIVE")*'Production Inputs'!$T:$T),0)</f>
        <v>0</v>
      </c>
      <c r="H549" s="30">
        <f t="shared" si="56"/>
        <v>158107</v>
      </c>
      <c r="I549" s="30">
        <f ca="1">IFERROR(AVERAGEIF(OFFSET(F549,0,0,MIN(Controls!$B$8,COUNTIF(B549:B$1973,B549)),1),"&gt;"&amp;0),0)</f>
        <v>0</v>
      </c>
      <c r="J549" s="38">
        <f t="shared" ca="1" si="57"/>
        <v>999</v>
      </c>
      <c r="K549" s="30">
        <f t="shared" ca="1" si="61"/>
        <v>0</v>
      </c>
      <c r="L549" t="str">
        <f t="shared" ca="1" si="58"/>
        <v>Overstock</v>
      </c>
      <c r="M549" s="39">
        <f>IFERROR(VLOOKUP("50mg DP",Controls!A:I,7,0),6)</f>
        <v>9</v>
      </c>
      <c r="N549" s="39">
        <f>IFERROR(VLOOKUP("50mg DP",Controls!A:I,8,0),3)</f>
        <v>8</v>
      </c>
      <c r="O549" s="39">
        <f>IFERROR(VLOOKUP("50mg DP",Controls!A:I,9,0),18)</f>
        <v>18</v>
      </c>
      <c r="P549" s="40">
        <f>IFERROR(VLOOKUP("50mg DP",Controls!A:J,5,0),0)</f>
        <v>10000</v>
      </c>
      <c r="Q549" s="39">
        <f>IFERROR(VLOOKUP("50mg DP",Controls!A:J,6,0),3)</f>
        <v>5</v>
      </c>
      <c r="R549" s="21" t="str">
        <f>IFERROR(VLOOKUP("50mg DP",Controls!A:K,10,0),"")</f>
        <v>Patheon PDS-1</v>
      </c>
      <c r="S549" s="41">
        <f t="shared" si="59"/>
        <v>46143</v>
      </c>
      <c r="T549" s="30">
        <f t="shared" si="60"/>
        <v>0</v>
      </c>
      <c r="W549" s="205" cm="1">
        <f t="array" ref="W549">IF(8&lt;Controls!$B$7,INDEX(A541:A719,MATCH(Controls!$B$5,A541:A719,1)+8),NA())</f>
        <v>46357</v>
      </c>
      <c r="X549" cm="1">
        <f t="array" ref="X549">IF(8&lt;Controls!$B$7,INDEX(F541:F719,MATCH(Controls!$B$5,A541:A719,1)+8),NA())</f>
        <v>0</v>
      </c>
      <c r="Y549" cm="1">
        <f t="array" ref="Y549">IF(8&lt;Controls!$B$7,INDEX(G541:G719,MATCH(Controls!$B$5,A541:A719,1)+8),NA())</f>
        <v>0</v>
      </c>
      <c r="Z549" cm="1">
        <f t="array" ref="Z549">IF(8&lt;Controls!$B$7,INDEX(H541:H719,MATCH(Controls!$B$5,A541:A719,1)+8),NA())</f>
        <v>158107</v>
      </c>
      <c r="AA549" cm="1">
        <f t="array" aca="1" ref="AA549" ca="1">IF(8&lt;Controls!$B$7,INDEX(M541:M719,MATCH(Controls!$B$5,A541:A719,1)+8)*INDEX(I541:I719,MATCH(Controls!$B$5,A541:A719,1)+8),NA())</f>
        <v>0</v>
      </c>
      <c r="AB549">
        <f t="shared" si="62"/>
        <v>5</v>
      </c>
    </row>
    <row r="550" spans="1:28" ht="13" customHeight="1" x14ac:dyDescent="0.35">
      <c r="A550" s="153">
        <v>46327</v>
      </c>
      <c r="B550" s="36" t="s">
        <v>43</v>
      </c>
      <c r="C550" s="15" t="s">
        <v>38</v>
      </c>
      <c r="D550" s="15" t="s">
        <v>29</v>
      </c>
      <c r="E550" s="30">
        <f>H549</f>
        <v>158107</v>
      </c>
      <c r="F550" s="37" cm="1">
        <f t="array" ref="F550">IFERROR((SUMPRODUCT(('Production Inputs'!$A:$A="47mg LP")*('Production Inputs'!$B:$B="TOTAL ACTIVE")*'Production Inputs'!$U:$U)+SUMPRODUCT(('Production Inputs'!$A:$A="47mg LP - EU Stock")*('Production Inputs'!$B:$B="TOTAL ACTIVE")*'Production Inputs'!$U:$U))*Dependencies!$D$5,0)</f>
        <v>0</v>
      </c>
      <c r="G550" s="37">
        <f t="array" ref="G550">IFERROR(SUMPRODUCT(('Production Inputs'!$A:$A="50mg DP")*('Production Inputs'!$B:$B="TOTAL ACTIVE")*'Production Inputs'!$U:$U),0)</f>
        <v>0</v>
      </c>
      <c r="H550" s="30">
        <f t="shared" si="56"/>
        <v>158107</v>
      </c>
      <c r="I550" s="30">
        <f ca="1">IFERROR(AVERAGEIF(OFFSET(F550,0,0,MIN(Controls!$B$8,COUNTIF(B550:B$1973,B550)),1),"&gt;"&amp;0),0)</f>
        <v>0</v>
      </c>
      <c r="J550" s="38">
        <f t="shared" ca="1" si="57"/>
        <v>999</v>
      </c>
      <c r="K550" s="30">
        <f t="shared" ca="1" si="61"/>
        <v>0</v>
      </c>
      <c r="L550" t="str">
        <f t="shared" ca="1" si="58"/>
        <v>Overstock</v>
      </c>
      <c r="M550" s="39">
        <f>IFERROR(VLOOKUP("50mg DP",Controls!A:I,7,0),6)</f>
        <v>9</v>
      </c>
      <c r="N550" s="39">
        <f>IFERROR(VLOOKUP("50mg DP",Controls!A:I,8,0),3)</f>
        <v>8</v>
      </c>
      <c r="O550" s="39">
        <f>IFERROR(VLOOKUP("50mg DP",Controls!A:I,9,0),18)</f>
        <v>18</v>
      </c>
      <c r="P550" s="40">
        <f>IFERROR(VLOOKUP("50mg DP",Controls!A:J,5,0),0)</f>
        <v>10000</v>
      </c>
      <c r="Q550" s="39">
        <f>IFERROR(VLOOKUP("50mg DP",Controls!A:J,6,0),3)</f>
        <v>5</v>
      </c>
      <c r="R550" s="21" t="str">
        <f>IFERROR(VLOOKUP("50mg DP",Controls!A:K,10,0),"")</f>
        <v>Patheon PDS-1</v>
      </c>
      <c r="S550" s="41">
        <f t="shared" si="59"/>
        <v>46174</v>
      </c>
      <c r="T550" s="30">
        <f t="shared" si="60"/>
        <v>0</v>
      </c>
      <c r="W550" s="205" cm="1">
        <f t="array" ref="W550">IF(9&lt;Controls!$B$7,INDEX(A541:A719,MATCH(Controls!$B$5,A541:A719,1)+9),NA())</f>
        <v>46388</v>
      </c>
      <c r="X550" cm="1">
        <f t="array" ref="X550">IF(9&lt;Controls!$B$7,INDEX(F541:F719,MATCH(Controls!$B$5,A541:A719,1)+9),NA())</f>
        <v>0</v>
      </c>
      <c r="Y550" cm="1">
        <f t="array" ref="Y550">IF(9&lt;Controls!$B$7,INDEX(G541:G719,MATCH(Controls!$B$5,A541:A719,1)+9),NA())</f>
        <v>0</v>
      </c>
      <c r="Z550" cm="1">
        <f t="array" ref="Z550">IF(9&lt;Controls!$B$7,INDEX(H541:H719,MATCH(Controls!$B$5,A541:A719,1)+9),NA())</f>
        <v>158107</v>
      </c>
      <c r="AA550" cm="1">
        <f t="array" aca="1" ref="AA550" ca="1">IF(9&lt;Controls!$B$7,INDEX(M541:M719,MATCH(Controls!$B$5,A541:A719,1)+9)*INDEX(I541:I719,MATCH(Controls!$B$5,A541:A719,1)+9),NA())</f>
        <v>0</v>
      </c>
      <c r="AB550">
        <f t="shared" si="62"/>
        <v>5</v>
      </c>
    </row>
    <row r="551" spans="1:28" ht="13" customHeight="1" x14ac:dyDescent="0.35">
      <c r="A551" s="153">
        <v>46357</v>
      </c>
      <c r="B551" s="36" t="s">
        <v>43</v>
      </c>
      <c r="C551" s="15" t="s">
        <v>38</v>
      </c>
      <c r="D551" s="15" t="s">
        <v>29</v>
      </c>
      <c r="E551" s="30">
        <f>H550</f>
        <v>158107</v>
      </c>
      <c r="F551" s="37" cm="1">
        <f t="array" ref="F551">IFERROR((SUMPRODUCT(('Production Inputs'!$A:$A="47mg LP")*('Production Inputs'!$B:$B="TOTAL ACTIVE")*'Production Inputs'!$V:$V)+SUMPRODUCT(('Production Inputs'!$A:$A="47mg LP - EU Stock")*('Production Inputs'!$B:$B="TOTAL ACTIVE")*'Production Inputs'!$V:$V))*Dependencies!$D$5,0)</f>
        <v>0</v>
      </c>
      <c r="G551" s="37">
        <f t="array" ref="G551">IFERROR(SUMPRODUCT(('Production Inputs'!$A:$A="50mg DP")*('Production Inputs'!$B:$B="TOTAL ACTIVE")*'Production Inputs'!$V:$V),0)</f>
        <v>0</v>
      </c>
      <c r="H551" s="30">
        <f t="shared" si="56"/>
        <v>158107</v>
      </c>
      <c r="I551" s="30">
        <f ca="1">IFERROR(AVERAGEIF(OFFSET(F551,0,0,MIN(Controls!$B$8,COUNTIF(B551:B$1973,B551)),1),"&gt;"&amp;0),0)</f>
        <v>0</v>
      </c>
      <c r="J551" s="38">
        <f t="shared" ca="1" si="57"/>
        <v>999</v>
      </c>
      <c r="K551" s="30">
        <f t="shared" ca="1" si="61"/>
        <v>0</v>
      </c>
      <c r="L551" t="str">
        <f t="shared" ca="1" si="58"/>
        <v>Overstock</v>
      </c>
      <c r="M551" s="39">
        <f>IFERROR(VLOOKUP("50mg DP",Controls!A:I,7,0),6)</f>
        <v>9</v>
      </c>
      <c r="N551" s="39">
        <f>IFERROR(VLOOKUP("50mg DP",Controls!A:I,8,0),3)</f>
        <v>8</v>
      </c>
      <c r="O551" s="39">
        <f>IFERROR(VLOOKUP("50mg DP",Controls!A:I,9,0),18)</f>
        <v>18</v>
      </c>
      <c r="P551" s="40">
        <f>IFERROR(VLOOKUP("50mg DP",Controls!A:J,5,0),0)</f>
        <v>10000</v>
      </c>
      <c r="Q551" s="39">
        <f>IFERROR(VLOOKUP("50mg DP",Controls!A:J,6,0),3)</f>
        <v>5</v>
      </c>
      <c r="R551" s="21" t="str">
        <f>IFERROR(VLOOKUP("50mg DP",Controls!A:K,10,0),"")</f>
        <v>Patheon PDS-1</v>
      </c>
      <c r="S551" s="41">
        <f t="shared" si="59"/>
        <v>46204</v>
      </c>
      <c r="T551" s="30">
        <f t="shared" si="60"/>
        <v>0</v>
      </c>
      <c r="W551" s="205" cm="1">
        <f t="array" ref="W551">IF(10&lt;Controls!$B$7,INDEX(A541:A719,MATCH(Controls!$B$5,A541:A719,1)+10),NA())</f>
        <v>46419</v>
      </c>
      <c r="X551" cm="1">
        <f t="array" ref="X551">IF(10&lt;Controls!$B$7,INDEX(F541:F719,MATCH(Controls!$B$5,A541:A719,1)+10),NA())</f>
        <v>0</v>
      </c>
      <c r="Y551" cm="1">
        <f t="array" ref="Y551">IF(10&lt;Controls!$B$7,INDEX(G541:G719,MATCH(Controls!$B$5,A541:A719,1)+10),NA())</f>
        <v>0</v>
      </c>
      <c r="Z551" cm="1">
        <f t="array" ref="Z551">IF(10&lt;Controls!$B$7,INDEX(H541:H719,MATCH(Controls!$B$5,A541:A719,1)+10),NA())</f>
        <v>158107</v>
      </c>
      <c r="AA551" cm="1">
        <f t="array" aca="1" ref="AA551" ca="1">IF(10&lt;Controls!$B$7,INDEX(M541:M719,MATCH(Controls!$B$5,A541:A719,1)+10)*INDEX(I541:I719,MATCH(Controls!$B$5,A541:A719,1)+10),NA())</f>
        <v>0</v>
      </c>
      <c r="AB551">
        <f t="shared" si="62"/>
        <v>5</v>
      </c>
    </row>
    <row r="552" spans="1:28" ht="13" customHeight="1" x14ac:dyDescent="0.35">
      <c r="A552" s="153">
        <v>46388</v>
      </c>
      <c r="B552" s="36" t="s">
        <v>43</v>
      </c>
      <c r="C552" s="15" t="s">
        <v>38</v>
      </c>
      <c r="D552" s="15" t="s">
        <v>29</v>
      </c>
      <c r="E552" s="30">
        <f>H551</f>
        <v>158107</v>
      </c>
      <c r="F552" s="37" cm="1">
        <f t="array" ref="F552">IFERROR((SUMPRODUCT(('Production Inputs'!$A:$A="47mg LP")*('Production Inputs'!$B:$B="TOTAL ACTIVE")*'Production Inputs'!$W:$W)+SUMPRODUCT(('Production Inputs'!$A:$A="47mg LP - EU Stock")*('Production Inputs'!$B:$B="TOTAL ACTIVE")*'Production Inputs'!$W:$W))*Dependencies!$D$5,0)</f>
        <v>0</v>
      </c>
      <c r="G552" s="37">
        <f t="array" ref="G552">IFERROR(SUMPRODUCT(('Production Inputs'!$A:$A="50mg DP")*('Production Inputs'!$B:$B="TOTAL ACTIVE")*'Production Inputs'!$W:$W),0)</f>
        <v>0</v>
      </c>
      <c r="H552" s="30">
        <f t="shared" si="56"/>
        <v>158107</v>
      </c>
      <c r="I552" s="30">
        <f ca="1">IFERROR(AVERAGEIF(OFFSET(F552,0,0,MIN(Controls!$B$8,COUNTIF(B552:B$1973,B552)),1),"&gt;"&amp;0),0)</f>
        <v>0</v>
      </c>
      <c r="J552" s="38">
        <f t="shared" ca="1" si="57"/>
        <v>999</v>
      </c>
      <c r="K552" s="30">
        <f t="shared" ca="1" si="61"/>
        <v>0</v>
      </c>
      <c r="L552" t="str">
        <f t="shared" ca="1" si="58"/>
        <v>Overstock</v>
      </c>
      <c r="M552" s="39">
        <f>IFERROR(VLOOKUP("50mg DP",Controls!A:I,7,0),6)</f>
        <v>9</v>
      </c>
      <c r="N552" s="39">
        <f>IFERROR(VLOOKUP("50mg DP",Controls!A:I,8,0),3)</f>
        <v>8</v>
      </c>
      <c r="O552" s="39">
        <f>IFERROR(VLOOKUP("50mg DP",Controls!A:I,9,0),18)</f>
        <v>18</v>
      </c>
      <c r="P552" s="40">
        <f>IFERROR(VLOOKUP("50mg DP",Controls!A:J,5,0),0)</f>
        <v>10000</v>
      </c>
      <c r="Q552" s="39">
        <f>IFERROR(VLOOKUP("50mg DP",Controls!A:J,6,0),3)</f>
        <v>5</v>
      </c>
      <c r="R552" s="21" t="str">
        <f>IFERROR(VLOOKUP("50mg DP",Controls!A:K,10,0),"")</f>
        <v>Patheon PDS-1</v>
      </c>
      <c r="S552" s="41">
        <f t="shared" si="59"/>
        <v>46235</v>
      </c>
      <c r="T552" s="30">
        <f t="shared" si="60"/>
        <v>0</v>
      </c>
      <c r="W552" s="205" cm="1">
        <f t="array" ref="W552">IF(11&lt;Controls!$B$7,INDEX(A541:A719,MATCH(Controls!$B$5,A541:A719,1)+11),NA())</f>
        <v>46447</v>
      </c>
      <c r="X552" cm="1">
        <f t="array" ref="X552">IF(11&lt;Controls!$B$7,INDEX(F541:F719,MATCH(Controls!$B$5,A541:A719,1)+11),NA())</f>
        <v>0</v>
      </c>
      <c r="Y552" cm="1">
        <f t="array" ref="Y552">IF(11&lt;Controls!$B$7,INDEX(G541:G719,MATCH(Controls!$B$5,A541:A719,1)+11),NA())</f>
        <v>0</v>
      </c>
      <c r="Z552" cm="1">
        <f t="array" ref="Z552">IF(11&lt;Controls!$B$7,INDEX(H541:H719,MATCH(Controls!$B$5,A541:A719,1)+11),NA())</f>
        <v>158107</v>
      </c>
      <c r="AA552" cm="1">
        <f t="array" aca="1" ref="AA552" ca="1">IF(11&lt;Controls!$B$7,INDEX(M541:M719,MATCH(Controls!$B$5,A541:A719,1)+11)*INDEX(I541:I719,MATCH(Controls!$B$5,A541:A719,1)+11),NA())</f>
        <v>0</v>
      </c>
      <c r="AB552">
        <f t="shared" si="62"/>
        <v>5</v>
      </c>
    </row>
    <row r="553" spans="1:28" ht="13" customHeight="1" x14ac:dyDescent="0.35">
      <c r="A553" s="153">
        <v>46419</v>
      </c>
      <c r="B553" s="36" t="s">
        <v>43</v>
      </c>
      <c r="C553" s="15" t="s">
        <v>38</v>
      </c>
      <c r="D553" s="15" t="s">
        <v>29</v>
      </c>
      <c r="E553" s="30">
        <f>H552</f>
        <v>158107</v>
      </c>
      <c r="F553" s="37" cm="1">
        <f t="array" ref="F553">IFERROR((SUMPRODUCT(('Production Inputs'!$A:$A="47mg LP")*('Production Inputs'!$B:$B="TOTAL ACTIVE")*'Production Inputs'!$X:$X)+SUMPRODUCT(('Production Inputs'!$A:$A="47mg LP - EU Stock")*('Production Inputs'!$B:$B="TOTAL ACTIVE")*'Production Inputs'!$X:$X))*Dependencies!$D$5,0)</f>
        <v>0</v>
      </c>
      <c r="G553" s="37">
        <f t="array" ref="G553">IFERROR(SUMPRODUCT(('Production Inputs'!$A:$A="50mg DP")*('Production Inputs'!$B:$B="TOTAL ACTIVE")*'Production Inputs'!$X:$X),0)</f>
        <v>0</v>
      </c>
      <c r="H553" s="30">
        <f t="shared" si="56"/>
        <v>158107</v>
      </c>
      <c r="I553" s="30">
        <f ca="1">IFERROR(AVERAGEIF(OFFSET(F553,0,0,MIN(Controls!$B$8,COUNTIF(B553:B$1973,B553)),1),"&gt;"&amp;0),0)</f>
        <v>0</v>
      </c>
      <c r="J553" s="38">
        <f t="shared" ca="1" si="57"/>
        <v>999</v>
      </c>
      <c r="K553" s="30">
        <f t="shared" ca="1" si="61"/>
        <v>0</v>
      </c>
      <c r="L553" t="str">
        <f t="shared" ca="1" si="58"/>
        <v>Overstock</v>
      </c>
      <c r="M553" s="39">
        <f>IFERROR(VLOOKUP("50mg DP",Controls!A:I,7,0),6)</f>
        <v>9</v>
      </c>
      <c r="N553" s="39">
        <f>IFERROR(VLOOKUP("50mg DP",Controls!A:I,8,0),3)</f>
        <v>8</v>
      </c>
      <c r="O553" s="39">
        <f>IFERROR(VLOOKUP("50mg DP",Controls!A:I,9,0),18)</f>
        <v>18</v>
      </c>
      <c r="P553" s="40">
        <f>IFERROR(VLOOKUP("50mg DP",Controls!A:J,5,0),0)</f>
        <v>10000</v>
      </c>
      <c r="Q553" s="39">
        <f>IFERROR(VLOOKUP("50mg DP",Controls!A:J,6,0),3)</f>
        <v>5</v>
      </c>
      <c r="R553" s="21" t="str">
        <f>IFERROR(VLOOKUP("50mg DP",Controls!A:K,10,0),"")</f>
        <v>Patheon PDS-1</v>
      </c>
      <c r="S553" s="41">
        <f t="shared" si="59"/>
        <v>46266</v>
      </c>
      <c r="T553" s="30">
        <f t="shared" si="60"/>
        <v>0</v>
      </c>
      <c r="W553" s="205" cm="1">
        <f t="array" ref="W553">IF(12&lt;Controls!$B$7,INDEX(A541:A719,MATCH(Controls!$B$5,A541:A719,1)+12),NA())</f>
        <v>46478</v>
      </c>
      <c r="X553" cm="1">
        <f t="array" ref="X553">IF(12&lt;Controls!$B$7,INDEX(F541:F719,MATCH(Controls!$B$5,A541:A719,1)+12),NA())</f>
        <v>0</v>
      </c>
      <c r="Y553" cm="1">
        <f t="array" ref="Y553">IF(12&lt;Controls!$B$7,INDEX(G541:G719,MATCH(Controls!$B$5,A541:A719,1)+12),NA())</f>
        <v>0</v>
      </c>
      <c r="Z553" cm="1">
        <f t="array" ref="Z553">IF(12&lt;Controls!$B$7,INDEX(H541:H719,MATCH(Controls!$B$5,A541:A719,1)+12),NA())</f>
        <v>158107</v>
      </c>
      <c r="AA553" cm="1">
        <f t="array" aca="1" ref="AA553" ca="1">IF(12&lt;Controls!$B$7,INDEX(M541:M719,MATCH(Controls!$B$5,A541:A719,1)+12)*INDEX(I541:I719,MATCH(Controls!$B$5,A541:A719,1)+12),NA())</f>
        <v>0</v>
      </c>
      <c r="AB553">
        <f t="shared" si="62"/>
        <v>5</v>
      </c>
    </row>
    <row r="554" spans="1:28" ht="13" customHeight="1" x14ac:dyDescent="0.35">
      <c r="A554" s="153">
        <v>46447</v>
      </c>
      <c r="B554" s="36" t="s">
        <v>43</v>
      </c>
      <c r="C554" s="15" t="s">
        <v>38</v>
      </c>
      <c r="D554" s="15" t="s">
        <v>29</v>
      </c>
      <c r="E554" s="30">
        <f>H553</f>
        <v>158107</v>
      </c>
      <c r="F554" s="37" cm="1">
        <f t="array" ref="F554">IFERROR((SUMPRODUCT(('Production Inputs'!$A:$A="47mg LP")*('Production Inputs'!$B:$B="TOTAL ACTIVE")*'Production Inputs'!$Y:$Y)+SUMPRODUCT(('Production Inputs'!$A:$A="47mg LP - EU Stock")*('Production Inputs'!$B:$B="TOTAL ACTIVE")*'Production Inputs'!$Y:$Y))*Dependencies!$D$5,0)</f>
        <v>0</v>
      </c>
      <c r="G554" s="37">
        <f t="array" ref="G554">IFERROR(SUMPRODUCT(('Production Inputs'!$A:$A="50mg DP")*('Production Inputs'!$B:$B="TOTAL ACTIVE")*'Production Inputs'!$Y:$Y),0)</f>
        <v>0</v>
      </c>
      <c r="H554" s="30">
        <f t="shared" si="56"/>
        <v>158107</v>
      </c>
      <c r="I554" s="30">
        <f ca="1">IFERROR(AVERAGEIF(OFFSET(F554,0,0,MIN(Controls!$B$8,COUNTIF(B554:B$1973,B554)),1),"&gt;"&amp;0),0)</f>
        <v>0</v>
      </c>
      <c r="J554" s="38">
        <f t="shared" ca="1" si="57"/>
        <v>999</v>
      </c>
      <c r="K554" s="30">
        <f t="shared" ca="1" si="61"/>
        <v>0</v>
      </c>
      <c r="L554" t="str">
        <f t="shared" ca="1" si="58"/>
        <v>Overstock</v>
      </c>
      <c r="M554" s="39">
        <f>IFERROR(VLOOKUP("50mg DP",Controls!A:I,7,0),6)</f>
        <v>9</v>
      </c>
      <c r="N554" s="39">
        <f>IFERROR(VLOOKUP("50mg DP",Controls!A:I,8,0),3)</f>
        <v>8</v>
      </c>
      <c r="O554" s="39">
        <f>IFERROR(VLOOKUP("50mg DP",Controls!A:I,9,0),18)</f>
        <v>18</v>
      </c>
      <c r="P554" s="40">
        <f>IFERROR(VLOOKUP("50mg DP",Controls!A:J,5,0),0)</f>
        <v>10000</v>
      </c>
      <c r="Q554" s="39">
        <f>IFERROR(VLOOKUP("50mg DP",Controls!A:J,6,0),3)</f>
        <v>5</v>
      </c>
      <c r="R554" s="21" t="str">
        <f>IFERROR(VLOOKUP("50mg DP",Controls!A:K,10,0),"")</f>
        <v>Patheon PDS-1</v>
      </c>
      <c r="S554" s="41">
        <f t="shared" si="59"/>
        <v>46296</v>
      </c>
      <c r="T554" s="30">
        <f t="shared" si="60"/>
        <v>0</v>
      </c>
      <c r="W554" s="205" cm="1">
        <f t="array" ref="W554">IF(13&lt;Controls!$B$7,INDEX(A541:A719,MATCH(Controls!$B$5,A541:A719,1)+13),NA())</f>
        <v>46508</v>
      </c>
      <c r="X554" cm="1">
        <f t="array" ref="X554">IF(13&lt;Controls!$B$7,INDEX(F541:F719,MATCH(Controls!$B$5,A541:A719,1)+13),NA())</f>
        <v>0</v>
      </c>
      <c r="Y554" cm="1">
        <f t="array" ref="Y554">IF(13&lt;Controls!$B$7,INDEX(G541:G719,MATCH(Controls!$B$5,A541:A719,1)+13),NA())</f>
        <v>0</v>
      </c>
      <c r="Z554" cm="1">
        <f t="array" ref="Z554">IF(13&lt;Controls!$B$7,INDEX(H541:H719,MATCH(Controls!$B$5,A541:A719,1)+13),NA())</f>
        <v>158107</v>
      </c>
      <c r="AA554" cm="1">
        <f t="array" aca="1" ref="AA554" ca="1">IF(13&lt;Controls!$B$7,INDEX(M541:M719,MATCH(Controls!$B$5,A541:A719,1)+13)*INDEX(I541:I719,MATCH(Controls!$B$5,A541:A719,1)+13),NA())</f>
        <v>0</v>
      </c>
      <c r="AB554">
        <f t="shared" si="62"/>
        <v>5</v>
      </c>
    </row>
    <row r="555" spans="1:28" ht="13" customHeight="1" x14ac:dyDescent="0.35">
      <c r="A555" s="153">
        <v>46478</v>
      </c>
      <c r="B555" s="36" t="s">
        <v>43</v>
      </c>
      <c r="C555" s="15" t="s">
        <v>38</v>
      </c>
      <c r="D555" s="15" t="s">
        <v>29</v>
      </c>
      <c r="E555" s="30">
        <f>H554</f>
        <v>158107</v>
      </c>
      <c r="F555" s="37" cm="1">
        <f t="array" ref="F555">IFERROR((SUMPRODUCT(('Production Inputs'!$A:$A="47mg LP")*('Production Inputs'!$B:$B="TOTAL ACTIVE")*'Production Inputs'!$Z:$Z)+SUMPRODUCT(('Production Inputs'!$A:$A="47mg LP - EU Stock")*('Production Inputs'!$B:$B="TOTAL ACTIVE")*'Production Inputs'!$Z:$Z))*Dependencies!$D$5,0)</f>
        <v>0</v>
      </c>
      <c r="G555" s="37">
        <f t="array" ref="G555">IFERROR(SUMPRODUCT(('Production Inputs'!$A:$A="50mg DP")*('Production Inputs'!$B:$B="TOTAL ACTIVE")*'Production Inputs'!$Z:$Z),0)</f>
        <v>0</v>
      </c>
      <c r="H555" s="30">
        <f t="shared" si="56"/>
        <v>158107</v>
      </c>
      <c r="I555" s="30">
        <f ca="1">IFERROR(AVERAGEIF(OFFSET(F555,0,0,MIN(Controls!$B$8,COUNTIF(B555:B$1973,B555)),1),"&gt;"&amp;0),0)</f>
        <v>0</v>
      </c>
      <c r="J555" s="38">
        <f t="shared" ca="1" si="57"/>
        <v>999</v>
      </c>
      <c r="K555" s="30">
        <f t="shared" ca="1" si="61"/>
        <v>0</v>
      </c>
      <c r="L555" t="str">
        <f t="shared" ca="1" si="58"/>
        <v>Overstock</v>
      </c>
      <c r="M555" s="39">
        <f>IFERROR(VLOOKUP("50mg DP",Controls!A:I,7,0),6)</f>
        <v>9</v>
      </c>
      <c r="N555" s="39">
        <f>IFERROR(VLOOKUP("50mg DP",Controls!A:I,8,0),3)</f>
        <v>8</v>
      </c>
      <c r="O555" s="39">
        <f>IFERROR(VLOOKUP("50mg DP",Controls!A:I,9,0),18)</f>
        <v>18</v>
      </c>
      <c r="P555" s="40">
        <f>IFERROR(VLOOKUP("50mg DP",Controls!A:J,5,0),0)</f>
        <v>10000</v>
      </c>
      <c r="Q555" s="39">
        <f>IFERROR(VLOOKUP("50mg DP",Controls!A:J,6,0),3)</f>
        <v>5</v>
      </c>
      <c r="R555" s="21" t="str">
        <f>IFERROR(VLOOKUP("50mg DP",Controls!A:K,10,0),"")</f>
        <v>Patheon PDS-1</v>
      </c>
      <c r="S555" s="41">
        <f t="shared" si="59"/>
        <v>46327</v>
      </c>
      <c r="T555" s="30">
        <f t="shared" si="60"/>
        <v>0</v>
      </c>
      <c r="W555" s="205" cm="1">
        <f t="array" ref="W555">IF(14&lt;Controls!$B$7,INDEX(A541:A719,MATCH(Controls!$B$5,A541:A719,1)+14),NA())</f>
        <v>46539</v>
      </c>
      <c r="X555" cm="1">
        <f t="array" ref="X555">IF(14&lt;Controls!$B$7,INDEX(F541:F719,MATCH(Controls!$B$5,A541:A719,1)+14),NA())</f>
        <v>0</v>
      </c>
      <c r="Y555" cm="1">
        <f t="array" ref="Y555">IF(14&lt;Controls!$B$7,INDEX(G541:G719,MATCH(Controls!$B$5,A541:A719,1)+14),NA())</f>
        <v>0</v>
      </c>
      <c r="Z555" cm="1">
        <f t="array" ref="Z555">IF(14&lt;Controls!$B$7,INDEX(H541:H719,MATCH(Controls!$B$5,A541:A719,1)+14),NA())</f>
        <v>158107</v>
      </c>
      <c r="AA555" cm="1">
        <f t="array" aca="1" ref="AA555" ca="1">IF(14&lt;Controls!$B$7,INDEX(M541:M719,MATCH(Controls!$B$5,A541:A719,1)+14)*INDEX(I541:I719,MATCH(Controls!$B$5,A541:A719,1)+14),NA())</f>
        <v>0</v>
      </c>
      <c r="AB555">
        <f t="shared" si="62"/>
        <v>5</v>
      </c>
    </row>
    <row r="556" spans="1:28" ht="13" customHeight="1" x14ac:dyDescent="0.35">
      <c r="A556" s="153">
        <v>46508</v>
      </c>
      <c r="B556" s="36" t="s">
        <v>43</v>
      </c>
      <c r="C556" s="15" t="s">
        <v>38</v>
      </c>
      <c r="D556" s="15" t="s">
        <v>29</v>
      </c>
      <c r="E556" s="30">
        <f>H555</f>
        <v>158107</v>
      </c>
      <c r="F556" s="37" cm="1">
        <f t="array" ref="F556">IFERROR((SUMPRODUCT(('Production Inputs'!$A:$A="47mg LP")*('Production Inputs'!$B:$B="TOTAL ACTIVE")*'Production Inputs'!$AA:$AA)+SUMPRODUCT(('Production Inputs'!$A:$A="47mg LP - EU Stock")*('Production Inputs'!$B:$B="TOTAL ACTIVE")*'Production Inputs'!$AA:$AA))*Dependencies!$D$5,0)</f>
        <v>0</v>
      </c>
      <c r="G556" s="37">
        <f t="array" ref="G556">IFERROR(SUMPRODUCT(('Production Inputs'!$A:$A="50mg DP")*('Production Inputs'!$B:$B="TOTAL ACTIVE")*'Production Inputs'!$AA:$AA),0)</f>
        <v>0</v>
      </c>
      <c r="H556" s="30">
        <f t="shared" si="56"/>
        <v>158107</v>
      </c>
      <c r="I556" s="30">
        <f ca="1">IFERROR(AVERAGEIF(OFFSET(F556,0,0,MIN(Controls!$B$8,COUNTIF(B556:B$1973,B556)),1),"&gt;"&amp;0),0)</f>
        <v>0</v>
      </c>
      <c r="J556" s="38">
        <f t="shared" ca="1" si="57"/>
        <v>999</v>
      </c>
      <c r="K556" s="30">
        <f t="shared" ca="1" si="61"/>
        <v>0</v>
      </c>
      <c r="L556" t="str">
        <f t="shared" ca="1" si="58"/>
        <v>Overstock</v>
      </c>
      <c r="M556" s="39">
        <f>IFERROR(VLOOKUP("50mg DP",Controls!A:I,7,0),6)</f>
        <v>9</v>
      </c>
      <c r="N556" s="39">
        <f>IFERROR(VLOOKUP("50mg DP",Controls!A:I,8,0),3)</f>
        <v>8</v>
      </c>
      <c r="O556" s="39">
        <f>IFERROR(VLOOKUP("50mg DP",Controls!A:I,9,0),18)</f>
        <v>18</v>
      </c>
      <c r="P556" s="40">
        <f>IFERROR(VLOOKUP("50mg DP",Controls!A:J,5,0),0)</f>
        <v>10000</v>
      </c>
      <c r="Q556" s="39">
        <f>IFERROR(VLOOKUP("50mg DP",Controls!A:J,6,0),3)</f>
        <v>5</v>
      </c>
      <c r="R556" s="21" t="str">
        <f>IFERROR(VLOOKUP("50mg DP",Controls!A:K,10,0),"")</f>
        <v>Patheon PDS-1</v>
      </c>
      <c r="S556" s="41">
        <f t="shared" si="59"/>
        <v>46357</v>
      </c>
      <c r="T556" s="30">
        <f t="shared" si="60"/>
        <v>0</v>
      </c>
      <c r="W556" s="205" cm="1">
        <f t="array" ref="W556">IF(15&lt;Controls!$B$7,INDEX(A541:A719,MATCH(Controls!$B$5,A541:A719,1)+15),NA())</f>
        <v>46569</v>
      </c>
      <c r="X556" cm="1">
        <f t="array" ref="X556">IF(15&lt;Controls!$B$7,INDEX(F541:F719,MATCH(Controls!$B$5,A541:A719,1)+15),NA())</f>
        <v>0</v>
      </c>
      <c r="Y556" cm="1">
        <f t="array" ref="Y556">IF(15&lt;Controls!$B$7,INDEX(G541:G719,MATCH(Controls!$B$5,A541:A719,1)+15),NA())</f>
        <v>0</v>
      </c>
      <c r="Z556" cm="1">
        <f t="array" ref="Z556">IF(15&lt;Controls!$B$7,INDEX(H541:H719,MATCH(Controls!$B$5,A541:A719,1)+15),NA())</f>
        <v>158107</v>
      </c>
      <c r="AA556" cm="1">
        <f t="array" aca="1" ref="AA556" ca="1">IF(15&lt;Controls!$B$7,INDEX(M541:M719,MATCH(Controls!$B$5,A541:A719,1)+15)*INDEX(I541:I719,MATCH(Controls!$B$5,A541:A719,1)+15),NA())</f>
        <v>0</v>
      </c>
      <c r="AB556">
        <f t="shared" si="62"/>
        <v>5</v>
      </c>
    </row>
    <row r="557" spans="1:28" ht="13" customHeight="1" x14ac:dyDescent="0.35">
      <c r="A557" s="153">
        <v>46539</v>
      </c>
      <c r="B557" s="36" t="s">
        <v>43</v>
      </c>
      <c r="C557" s="15" t="s">
        <v>38</v>
      </c>
      <c r="D557" s="15" t="s">
        <v>29</v>
      </c>
      <c r="E557" s="30">
        <f>H556</f>
        <v>158107</v>
      </c>
      <c r="F557" s="37" cm="1">
        <f t="array" ref="F557">IFERROR((SUMPRODUCT(('Production Inputs'!$A:$A="47mg LP")*('Production Inputs'!$B:$B="TOTAL ACTIVE")*'Production Inputs'!$AB:$AB)+SUMPRODUCT(('Production Inputs'!$A:$A="47mg LP - EU Stock")*('Production Inputs'!$B:$B="TOTAL ACTIVE")*'Production Inputs'!$AB:$AB))*Dependencies!$D$5,0)</f>
        <v>0</v>
      </c>
      <c r="G557" s="37">
        <f t="array" ref="G557">IFERROR(SUMPRODUCT(('Production Inputs'!$A:$A="50mg DP")*('Production Inputs'!$B:$B="TOTAL ACTIVE")*'Production Inputs'!$AB:$AB),0)</f>
        <v>0</v>
      </c>
      <c r="H557" s="30">
        <f t="shared" si="56"/>
        <v>158107</v>
      </c>
      <c r="I557" s="30">
        <f ca="1">IFERROR(AVERAGEIF(OFFSET(F557,0,0,MIN(Controls!$B$8,COUNTIF(B557:B$1973,B557)),1),"&gt;"&amp;0),0)</f>
        <v>0</v>
      </c>
      <c r="J557" s="38">
        <f t="shared" ca="1" si="57"/>
        <v>999</v>
      </c>
      <c r="K557" s="30">
        <f t="shared" ca="1" si="61"/>
        <v>0</v>
      </c>
      <c r="L557" t="str">
        <f t="shared" ca="1" si="58"/>
        <v>Overstock</v>
      </c>
      <c r="M557" s="39">
        <f>IFERROR(VLOOKUP("50mg DP",Controls!A:I,7,0),6)</f>
        <v>9</v>
      </c>
      <c r="N557" s="39">
        <f>IFERROR(VLOOKUP("50mg DP",Controls!A:I,8,0),3)</f>
        <v>8</v>
      </c>
      <c r="O557" s="39">
        <f>IFERROR(VLOOKUP("50mg DP",Controls!A:I,9,0),18)</f>
        <v>18</v>
      </c>
      <c r="P557" s="40">
        <f>IFERROR(VLOOKUP("50mg DP",Controls!A:J,5,0),0)</f>
        <v>10000</v>
      </c>
      <c r="Q557" s="39">
        <f>IFERROR(VLOOKUP("50mg DP",Controls!A:J,6,0),3)</f>
        <v>5</v>
      </c>
      <c r="R557" s="21" t="str">
        <f>IFERROR(VLOOKUP("50mg DP",Controls!A:K,10,0),"")</f>
        <v>Patheon PDS-1</v>
      </c>
      <c r="S557" s="41">
        <f t="shared" si="59"/>
        <v>46388</v>
      </c>
      <c r="T557" s="30">
        <f t="shared" si="60"/>
        <v>0</v>
      </c>
      <c r="W557" s="205" cm="1">
        <f t="array" ref="W557">IF(16&lt;Controls!$B$7,INDEX(A541:A719,MATCH(Controls!$B$5,A541:A719,1)+16),NA())</f>
        <v>46600</v>
      </c>
      <c r="X557" cm="1">
        <f t="array" ref="X557">IF(16&lt;Controls!$B$7,INDEX(F541:F719,MATCH(Controls!$B$5,A541:A719,1)+16),NA())</f>
        <v>0</v>
      </c>
      <c r="Y557" cm="1">
        <f t="array" ref="Y557">IF(16&lt;Controls!$B$7,INDEX(G541:G719,MATCH(Controls!$B$5,A541:A719,1)+16),NA())</f>
        <v>0</v>
      </c>
      <c r="Z557" cm="1">
        <f t="array" ref="Z557">IF(16&lt;Controls!$B$7,INDEX(H541:H719,MATCH(Controls!$B$5,A541:A719,1)+16),NA())</f>
        <v>158107</v>
      </c>
      <c r="AA557" cm="1">
        <f t="array" aca="1" ref="AA557" ca="1">IF(16&lt;Controls!$B$7,INDEX(M541:M719,MATCH(Controls!$B$5,A541:A719,1)+16)*INDEX(I541:I719,MATCH(Controls!$B$5,A541:A719,1)+16),NA())</f>
        <v>0</v>
      </c>
      <c r="AB557">
        <f t="shared" si="62"/>
        <v>5</v>
      </c>
    </row>
    <row r="558" spans="1:28" ht="13" customHeight="1" x14ac:dyDescent="0.35">
      <c r="A558" s="153">
        <v>46569</v>
      </c>
      <c r="B558" s="36" t="s">
        <v>43</v>
      </c>
      <c r="C558" s="15" t="s">
        <v>38</v>
      </c>
      <c r="D558" s="15" t="s">
        <v>29</v>
      </c>
      <c r="E558" s="30">
        <f>H557</f>
        <v>158107</v>
      </c>
      <c r="F558" s="37" cm="1">
        <f t="array" ref="F558">IFERROR((SUMPRODUCT(('Production Inputs'!$A:$A="47mg LP")*('Production Inputs'!$B:$B="TOTAL ACTIVE")*'Production Inputs'!$AC:$AC)+SUMPRODUCT(('Production Inputs'!$A:$A="47mg LP - EU Stock")*('Production Inputs'!$B:$B="TOTAL ACTIVE")*'Production Inputs'!$AC:$AC))*Dependencies!$D$5,0)</f>
        <v>0</v>
      </c>
      <c r="G558" s="37">
        <f t="array" ref="G558">IFERROR(SUMPRODUCT(('Production Inputs'!$A:$A="50mg DP")*('Production Inputs'!$B:$B="TOTAL ACTIVE")*'Production Inputs'!$AC:$AC),0)</f>
        <v>0</v>
      </c>
      <c r="H558" s="30">
        <f t="shared" si="56"/>
        <v>158107</v>
      </c>
      <c r="I558" s="30">
        <f ca="1">IFERROR(AVERAGEIF(OFFSET(F558,0,0,MIN(Controls!$B$8,COUNTIF(B558:B$1973,B558)),1),"&gt;"&amp;0),0)</f>
        <v>0</v>
      </c>
      <c r="J558" s="38">
        <f t="shared" ca="1" si="57"/>
        <v>999</v>
      </c>
      <c r="K558" s="30">
        <f t="shared" ca="1" si="61"/>
        <v>0</v>
      </c>
      <c r="L558" t="str">
        <f t="shared" ca="1" si="58"/>
        <v>Overstock</v>
      </c>
      <c r="M558" s="39">
        <f>IFERROR(VLOOKUP("50mg DP",Controls!A:I,7,0),6)</f>
        <v>9</v>
      </c>
      <c r="N558" s="39">
        <f>IFERROR(VLOOKUP("50mg DP",Controls!A:I,8,0),3)</f>
        <v>8</v>
      </c>
      <c r="O558" s="39">
        <f>IFERROR(VLOOKUP("50mg DP",Controls!A:I,9,0),18)</f>
        <v>18</v>
      </c>
      <c r="P558" s="40">
        <f>IFERROR(VLOOKUP("50mg DP",Controls!A:J,5,0),0)</f>
        <v>10000</v>
      </c>
      <c r="Q558" s="39">
        <f>IFERROR(VLOOKUP("50mg DP",Controls!A:J,6,0),3)</f>
        <v>5</v>
      </c>
      <c r="R558" s="21" t="str">
        <f>IFERROR(VLOOKUP("50mg DP",Controls!A:K,10,0),"")</f>
        <v>Patheon PDS-1</v>
      </c>
      <c r="S558" s="41">
        <f t="shared" si="59"/>
        <v>46419</v>
      </c>
      <c r="T558" s="30">
        <f t="shared" si="60"/>
        <v>0</v>
      </c>
      <c r="W558" s="205" cm="1">
        <f t="array" ref="W558">IF(17&lt;Controls!$B$7,INDEX(A541:A719,MATCH(Controls!$B$5,A541:A719,1)+17),NA())</f>
        <v>46631</v>
      </c>
      <c r="X558" cm="1">
        <f t="array" ref="X558">IF(17&lt;Controls!$B$7,INDEX(F541:F719,MATCH(Controls!$B$5,A541:A719,1)+17),NA())</f>
        <v>0</v>
      </c>
      <c r="Y558" cm="1">
        <f t="array" ref="Y558">IF(17&lt;Controls!$B$7,INDEX(G541:G719,MATCH(Controls!$B$5,A541:A719,1)+17),NA())</f>
        <v>0</v>
      </c>
      <c r="Z558" cm="1">
        <f t="array" ref="Z558">IF(17&lt;Controls!$B$7,INDEX(H541:H719,MATCH(Controls!$B$5,A541:A719,1)+17),NA())</f>
        <v>158107</v>
      </c>
      <c r="AA558" cm="1">
        <f t="array" aca="1" ref="AA558" ca="1">IF(17&lt;Controls!$B$7,INDEX(M541:M719,MATCH(Controls!$B$5,A541:A719,1)+17)*INDEX(I541:I719,MATCH(Controls!$B$5,A541:A719,1)+17),NA())</f>
        <v>0</v>
      </c>
      <c r="AB558">
        <f t="shared" si="62"/>
        <v>5</v>
      </c>
    </row>
    <row r="559" spans="1:28" ht="13" customHeight="1" x14ac:dyDescent="0.35">
      <c r="A559" s="153">
        <v>46600</v>
      </c>
      <c r="B559" s="36" t="s">
        <v>43</v>
      </c>
      <c r="C559" s="15" t="s">
        <v>38</v>
      </c>
      <c r="D559" s="15" t="s">
        <v>29</v>
      </c>
      <c r="E559" s="30">
        <f>H558</f>
        <v>158107</v>
      </c>
      <c r="F559" s="37" cm="1">
        <f t="array" ref="F559">IFERROR((SUMPRODUCT(('Production Inputs'!$A:$A="47mg LP")*('Production Inputs'!$B:$B="TOTAL ACTIVE")*'Production Inputs'!$AD:$AD)+SUMPRODUCT(('Production Inputs'!$A:$A="47mg LP - EU Stock")*('Production Inputs'!$B:$B="TOTAL ACTIVE")*'Production Inputs'!$AD:$AD))*Dependencies!$D$5,0)</f>
        <v>0</v>
      </c>
      <c r="G559" s="37">
        <f t="array" ref="G559">IFERROR(SUMPRODUCT(('Production Inputs'!$A:$A="50mg DP")*('Production Inputs'!$B:$B="TOTAL ACTIVE")*'Production Inputs'!$AD:$AD),0)</f>
        <v>0</v>
      </c>
      <c r="H559" s="30">
        <f t="shared" si="56"/>
        <v>158107</v>
      </c>
      <c r="I559" s="30">
        <f ca="1">IFERROR(AVERAGEIF(OFFSET(F559,0,0,MIN(Controls!$B$8,COUNTIF(B559:B$1973,B559)),1),"&gt;"&amp;0),0)</f>
        <v>0</v>
      </c>
      <c r="J559" s="38">
        <f t="shared" ca="1" si="57"/>
        <v>999</v>
      </c>
      <c r="K559" s="30">
        <f t="shared" ca="1" si="61"/>
        <v>0</v>
      </c>
      <c r="L559" t="str">
        <f t="shared" ca="1" si="58"/>
        <v>Overstock</v>
      </c>
      <c r="M559" s="39">
        <f>IFERROR(VLOOKUP("50mg DP",Controls!A:I,7,0),6)</f>
        <v>9</v>
      </c>
      <c r="N559" s="39">
        <f>IFERROR(VLOOKUP("50mg DP",Controls!A:I,8,0),3)</f>
        <v>8</v>
      </c>
      <c r="O559" s="39">
        <f>IFERROR(VLOOKUP("50mg DP",Controls!A:I,9,0),18)</f>
        <v>18</v>
      </c>
      <c r="P559" s="40">
        <f>IFERROR(VLOOKUP("50mg DP",Controls!A:J,5,0),0)</f>
        <v>10000</v>
      </c>
      <c r="Q559" s="39">
        <f>IFERROR(VLOOKUP("50mg DP",Controls!A:J,6,0),3)</f>
        <v>5</v>
      </c>
      <c r="R559" s="21" t="str">
        <f>IFERROR(VLOOKUP("50mg DP",Controls!A:K,10,0),"")</f>
        <v>Patheon PDS-1</v>
      </c>
      <c r="S559" s="41">
        <f t="shared" si="59"/>
        <v>46447</v>
      </c>
      <c r="T559" s="30">
        <f t="shared" si="60"/>
        <v>0</v>
      </c>
      <c r="W559" s="205" t="e" cm="1">
        <f t="array" ref="W559">IF(18&lt;Controls!$B$7,INDEX(A541:A719,MATCH(Controls!$B$5,A541:A719,1)+18),NA())</f>
        <v>#N/A</v>
      </c>
      <c r="X559" t="e" cm="1">
        <f t="array" ref="X559">IF(18&lt;Controls!$B$7,INDEX(F541:F719,MATCH(Controls!$B$5,A541:A719,1)+18),NA())</f>
        <v>#N/A</v>
      </c>
      <c r="Y559" t="e" cm="1">
        <f t="array" ref="Y559">IF(18&lt;Controls!$B$7,INDEX(G541:G719,MATCH(Controls!$B$5,A541:A719,1)+18),NA())</f>
        <v>#N/A</v>
      </c>
      <c r="Z559" t="e" cm="1">
        <f t="array" ref="Z559">IF(18&lt;Controls!$B$7,INDEX(H541:H719,MATCH(Controls!$B$5,A541:A719,1)+18),NA())</f>
        <v>#N/A</v>
      </c>
      <c r="AA559" t="e" cm="1">
        <f t="array" ref="AA559">IF(18&lt;Controls!$B$7,INDEX(M541:M719,MATCH(Controls!$B$5,A541:A719,1)+18)*INDEX(I541:I719,MATCH(Controls!$B$5,A541:A719,1)+18),NA())</f>
        <v>#N/A</v>
      </c>
      <c r="AB559">
        <f t="shared" si="62"/>
        <v>5</v>
      </c>
    </row>
    <row r="560" spans="1:28" ht="13" customHeight="1" x14ac:dyDescent="0.35">
      <c r="A560" s="153">
        <v>46631</v>
      </c>
      <c r="B560" s="36" t="s">
        <v>43</v>
      </c>
      <c r="C560" s="15" t="s">
        <v>38</v>
      </c>
      <c r="D560" s="15" t="s">
        <v>29</v>
      </c>
      <c r="E560" s="30">
        <f>H559</f>
        <v>158107</v>
      </c>
      <c r="F560" s="37" cm="1">
        <f t="array" ref="F560">IFERROR((SUMPRODUCT(('Production Inputs'!$A:$A="47mg LP")*('Production Inputs'!$B:$B="TOTAL ACTIVE")*'Production Inputs'!$AE:$AE)+SUMPRODUCT(('Production Inputs'!$A:$A="47mg LP - EU Stock")*('Production Inputs'!$B:$B="TOTAL ACTIVE")*'Production Inputs'!$AE:$AE))*Dependencies!$D$5,0)</f>
        <v>0</v>
      </c>
      <c r="G560" s="37">
        <f t="array" ref="G560">IFERROR(SUMPRODUCT(('Production Inputs'!$A:$A="50mg DP")*('Production Inputs'!$B:$B="TOTAL ACTIVE")*'Production Inputs'!$AE:$AE),0)</f>
        <v>0</v>
      </c>
      <c r="H560" s="30">
        <f t="shared" si="56"/>
        <v>158107</v>
      </c>
      <c r="I560" s="30">
        <f ca="1">IFERROR(AVERAGEIF(OFFSET(F560,0,0,MIN(Controls!$B$8,COUNTIF(B560:B$1973,B560)),1),"&gt;"&amp;0),0)</f>
        <v>0</v>
      </c>
      <c r="J560" s="38">
        <f t="shared" ca="1" si="57"/>
        <v>999</v>
      </c>
      <c r="K560" s="30">
        <f t="shared" ca="1" si="61"/>
        <v>0</v>
      </c>
      <c r="L560" t="str">
        <f t="shared" ca="1" si="58"/>
        <v>Overstock</v>
      </c>
      <c r="M560" s="39">
        <f>IFERROR(VLOOKUP("50mg DP",Controls!A:I,7,0),6)</f>
        <v>9</v>
      </c>
      <c r="N560" s="39">
        <f>IFERROR(VLOOKUP("50mg DP",Controls!A:I,8,0),3)</f>
        <v>8</v>
      </c>
      <c r="O560" s="39">
        <f>IFERROR(VLOOKUP("50mg DP",Controls!A:I,9,0),18)</f>
        <v>18</v>
      </c>
      <c r="P560" s="40">
        <f>IFERROR(VLOOKUP("50mg DP",Controls!A:J,5,0),0)</f>
        <v>10000</v>
      </c>
      <c r="Q560" s="39">
        <f>IFERROR(VLOOKUP("50mg DP",Controls!A:J,6,0),3)</f>
        <v>5</v>
      </c>
      <c r="R560" s="21" t="str">
        <f>IFERROR(VLOOKUP("50mg DP",Controls!A:K,10,0),"")</f>
        <v>Patheon PDS-1</v>
      </c>
      <c r="S560" s="41">
        <f t="shared" si="59"/>
        <v>46478</v>
      </c>
      <c r="T560" s="30">
        <f t="shared" si="60"/>
        <v>0</v>
      </c>
      <c r="W560" s="205" t="e" cm="1">
        <f t="array" ref="W560">IF(19&lt;Controls!$B$7,INDEX(A541:A719,MATCH(Controls!$B$5,A541:A719,1)+19),NA())</f>
        <v>#N/A</v>
      </c>
      <c r="X560" t="e" cm="1">
        <f t="array" ref="X560">IF(19&lt;Controls!$B$7,INDEX(F541:F719,MATCH(Controls!$B$5,A541:A719,1)+19),NA())</f>
        <v>#N/A</v>
      </c>
      <c r="Y560" t="e" cm="1">
        <f t="array" ref="Y560">IF(19&lt;Controls!$B$7,INDEX(G541:G719,MATCH(Controls!$B$5,A541:A719,1)+19),NA())</f>
        <v>#N/A</v>
      </c>
      <c r="Z560" t="e" cm="1">
        <f t="array" ref="Z560">IF(19&lt;Controls!$B$7,INDEX(H541:H719,MATCH(Controls!$B$5,A541:A719,1)+19),NA())</f>
        <v>#N/A</v>
      </c>
      <c r="AA560" t="e" cm="1">
        <f t="array" ref="AA560">IF(19&lt;Controls!$B$7,INDEX(M541:M719,MATCH(Controls!$B$5,A541:A719,1)+19)*INDEX(I541:I719,MATCH(Controls!$B$5,A541:A719,1)+19),NA())</f>
        <v>#N/A</v>
      </c>
      <c r="AB560">
        <f t="shared" si="62"/>
        <v>5</v>
      </c>
    </row>
    <row r="561" spans="1:28" ht="13" customHeight="1" x14ac:dyDescent="0.35">
      <c r="A561" s="153">
        <v>46661</v>
      </c>
      <c r="B561" s="36" t="s">
        <v>43</v>
      </c>
      <c r="C561" s="15" t="s">
        <v>38</v>
      </c>
      <c r="D561" s="15" t="s">
        <v>29</v>
      </c>
      <c r="E561" s="30">
        <f>H560</f>
        <v>158107</v>
      </c>
      <c r="F561" s="37" cm="1">
        <f t="array" ref="F561">IFERROR((SUMPRODUCT(('Production Inputs'!$A:$A="47mg LP")*('Production Inputs'!$B:$B="TOTAL ACTIVE")*'Production Inputs'!$AF:$AF)+SUMPRODUCT(('Production Inputs'!$A:$A="47mg LP - EU Stock")*('Production Inputs'!$B:$B="TOTAL ACTIVE")*'Production Inputs'!$AF:$AF))*Dependencies!$D$5,0)</f>
        <v>0</v>
      </c>
      <c r="G561" s="37">
        <f t="array" ref="G561">IFERROR(SUMPRODUCT(('Production Inputs'!$A:$A="50mg DP")*('Production Inputs'!$B:$B="TOTAL ACTIVE")*'Production Inputs'!$AF:$AF),0)</f>
        <v>0</v>
      </c>
      <c r="H561" s="30">
        <f t="shared" si="56"/>
        <v>158107</v>
      </c>
      <c r="I561" s="30">
        <f ca="1">IFERROR(AVERAGEIF(OFFSET(F561,0,0,MIN(Controls!$B$8,COUNTIF(B561:B$1973,B561)),1),"&gt;"&amp;0),0)</f>
        <v>0</v>
      </c>
      <c r="J561" s="38">
        <f t="shared" ca="1" si="57"/>
        <v>999</v>
      </c>
      <c r="K561" s="30">
        <f t="shared" ca="1" si="61"/>
        <v>0</v>
      </c>
      <c r="L561" t="str">
        <f t="shared" ca="1" si="58"/>
        <v>Overstock</v>
      </c>
      <c r="M561" s="39">
        <f>IFERROR(VLOOKUP("50mg DP",Controls!A:I,7,0),6)</f>
        <v>9</v>
      </c>
      <c r="N561" s="39">
        <f>IFERROR(VLOOKUP("50mg DP",Controls!A:I,8,0),3)</f>
        <v>8</v>
      </c>
      <c r="O561" s="39">
        <f>IFERROR(VLOOKUP("50mg DP",Controls!A:I,9,0),18)</f>
        <v>18</v>
      </c>
      <c r="P561" s="40">
        <f>IFERROR(VLOOKUP("50mg DP",Controls!A:J,5,0),0)</f>
        <v>10000</v>
      </c>
      <c r="Q561" s="39">
        <f>IFERROR(VLOOKUP("50mg DP",Controls!A:J,6,0),3)</f>
        <v>5</v>
      </c>
      <c r="R561" s="21" t="str">
        <f>IFERROR(VLOOKUP("50mg DP",Controls!A:K,10,0),"")</f>
        <v>Patheon PDS-1</v>
      </c>
      <c r="S561" s="41">
        <f t="shared" si="59"/>
        <v>46508</v>
      </c>
      <c r="T561" s="30">
        <f t="shared" si="60"/>
        <v>0</v>
      </c>
      <c r="W561" s="205" t="e" cm="1">
        <f t="array" ref="W561">IF(20&lt;Controls!$B$7,INDEX(A541:A719,MATCH(Controls!$B$5,A541:A719,1)+20),NA())</f>
        <v>#N/A</v>
      </c>
      <c r="X561" t="e" cm="1">
        <f t="array" ref="X561">IF(20&lt;Controls!$B$7,INDEX(F541:F719,MATCH(Controls!$B$5,A541:A719,1)+20),NA())</f>
        <v>#N/A</v>
      </c>
      <c r="Y561" t="e" cm="1">
        <f t="array" ref="Y561">IF(20&lt;Controls!$B$7,INDEX(G541:G719,MATCH(Controls!$B$5,A541:A719,1)+20),NA())</f>
        <v>#N/A</v>
      </c>
      <c r="Z561" t="e" cm="1">
        <f t="array" ref="Z561">IF(20&lt;Controls!$B$7,INDEX(H541:H719,MATCH(Controls!$B$5,A541:A719,1)+20),NA())</f>
        <v>#N/A</v>
      </c>
      <c r="AA561" t="e" cm="1">
        <f t="array" ref="AA561">IF(20&lt;Controls!$B$7,INDEX(M541:M719,MATCH(Controls!$B$5,A541:A719,1)+20)*INDEX(I541:I719,MATCH(Controls!$B$5,A541:A719,1)+20),NA())</f>
        <v>#N/A</v>
      </c>
      <c r="AB561">
        <f t="shared" si="62"/>
        <v>5</v>
      </c>
    </row>
    <row r="562" spans="1:28" ht="13" customHeight="1" x14ac:dyDescent="0.35">
      <c r="A562" s="153">
        <v>46692</v>
      </c>
      <c r="B562" s="36" t="s">
        <v>43</v>
      </c>
      <c r="C562" s="15" t="s">
        <v>38</v>
      </c>
      <c r="D562" s="15" t="s">
        <v>29</v>
      </c>
      <c r="E562" s="30">
        <f>H561</f>
        <v>158107</v>
      </c>
      <c r="F562" s="37" cm="1">
        <f t="array" ref="F562">IFERROR((SUMPRODUCT(('Production Inputs'!$A:$A="47mg LP")*('Production Inputs'!$B:$B="TOTAL ACTIVE")*'Production Inputs'!$AG:$AG)+SUMPRODUCT(('Production Inputs'!$A:$A="47mg LP - EU Stock")*('Production Inputs'!$B:$B="TOTAL ACTIVE")*'Production Inputs'!$AG:$AG))*Dependencies!$D$5,0)</f>
        <v>0</v>
      </c>
      <c r="G562" s="37">
        <f t="array" ref="G562">IFERROR(SUMPRODUCT(('Production Inputs'!$A:$A="50mg DP")*('Production Inputs'!$B:$B="TOTAL ACTIVE")*'Production Inputs'!$AG:$AG),0)</f>
        <v>0</v>
      </c>
      <c r="H562" s="30">
        <f t="shared" si="56"/>
        <v>158107</v>
      </c>
      <c r="I562" s="30">
        <f ca="1">IFERROR(AVERAGEIF(OFFSET(F562,0,0,MIN(Controls!$B$8,COUNTIF(B562:B$1973,B562)),1),"&gt;"&amp;0),0)</f>
        <v>0</v>
      </c>
      <c r="J562" s="38">
        <f t="shared" ca="1" si="57"/>
        <v>999</v>
      </c>
      <c r="K562" s="30">
        <f t="shared" ca="1" si="61"/>
        <v>0</v>
      </c>
      <c r="L562" t="str">
        <f t="shared" ca="1" si="58"/>
        <v>Overstock</v>
      </c>
      <c r="M562" s="39">
        <f>IFERROR(VLOOKUP("50mg DP",Controls!A:I,7,0),6)</f>
        <v>9</v>
      </c>
      <c r="N562" s="39">
        <f>IFERROR(VLOOKUP("50mg DP",Controls!A:I,8,0),3)</f>
        <v>8</v>
      </c>
      <c r="O562" s="39">
        <f>IFERROR(VLOOKUP("50mg DP",Controls!A:I,9,0),18)</f>
        <v>18</v>
      </c>
      <c r="P562" s="40">
        <f>IFERROR(VLOOKUP("50mg DP",Controls!A:J,5,0),0)</f>
        <v>10000</v>
      </c>
      <c r="Q562" s="39">
        <f>IFERROR(VLOOKUP("50mg DP",Controls!A:J,6,0),3)</f>
        <v>5</v>
      </c>
      <c r="R562" s="21" t="str">
        <f>IFERROR(VLOOKUP("50mg DP",Controls!A:K,10,0),"")</f>
        <v>Patheon PDS-1</v>
      </c>
      <c r="S562" s="41">
        <f t="shared" si="59"/>
        <v>46539</v>
      </c>
      <c r="T562" s="30">
        <f t="shared" si="60"/>
        <v>0</v>
      </c>
      <c r="W562" s="205" t="e" cm="1">
        <f t="array" ref="W562">IF(21&lt;Controls!$B$7,INDEX(A541:A719,MATCH(Controls!$B$5,A541:A719,1)+21),NA())</f>
        <v>#N/A</v>
      </c>
      <c r="X562" t="e" cm="1">
        <f t="array" ref="X562">IF(21&lt;Controls!$B$7,INDEX(F541:F719,MATCH(Controls!$B$5,A541:A719,1)+21),NA())</f>
        <v>#N/A</v>
      </c>
      <c r="Y562" t="e" cm="1">
        <f t="array" ref="Y562">IF(21&lt;Controls!$B$7,INDEX(G541:G719,MATCH(Controls!$B$5,A541:A719,1)+21),NA())</f>
        <v>#N/A</v>
      </c>
      <c r="Z562" t="e" cm="1">
        <f t="array" ref="Z562">IF(21&lt;Controls!$B$7,INDEX(H541:H719,MATCH(Controls!$B$5,A541:A719,1)+21),NA())</f>
        <v>#N/A</v>
      </c>
      <c r="AA562" t="e" cm="1">
        <f t="array" ref="AA562">IF(21&lt;Controls!$B$7,INDEX(M541:M719,MATCH(Controls!$B$5,A541:A719,1)+21)*INDEX(I541:I719,MATCH(Controls!$B$5,A541:A719,1)+21),NA())</f>
        <v>#N/A</v>
      </c>
      <c r="AB562">
        <f t="shared" si="62"/>
        <v>5</v>
      </c>
    </row>
    <row r="563" spans="1:28" ht="13" customHeight="1" x14ac:dyDescent="0.35">
      <c r="A563" s="153">
        <v>46722</v>
      </c>
      <c r="B563" s="36" t="s">
        <v>43</v>
      </c>
      <c r="C563" s="15" t="s">
        <v>38</v>
      </c>
      <c r="D563" s="15" t="s">
        <v>29</v>
      </c>
      <c r="E563" s="30">
        <f>H562</f>
        <v>158107</v>
      </c>
      <c r="F563" s="37" cm="1">
        <f t="array" ref="F563">IFERROR((SUMPRODUCT(('Production Inputs'!$A:$A="47mg LP")*('Production Inputs'!$B:$B="TOTAL ACTIVE")*'Production Inputs'!$AH:$AH)+SUMPRODUCT(('Production Inputs'!$A:$A="47mg LP - EU Stock")*('Production Inputs'!$B:$B="TOTAL ACTIVE")*'Production Inputs'!$AH:$AH))*Dependencies!$D$5,0)</f>
        <v>0</v>
      </c>
      <c r="G563" s="37">
        <f t="array" ref="G563">IFERROR(SUMPRODUCT(('Production Inputs'!$A:$A="50mg DP")*('Production Inputs'!$B:$B="TOTAL ACTIVE")*'Production Inputs'!$AH:$AH),0)</f>
        <v>0</v>
      </c>
      <c r="H563" s="30">
        <f t="shared" si="56"/>
        <v>158107</v>
      </c>
      <c r="I563" s="30">
        <f ca="1">IFERROR(AVERAGEIF(OFFSET(F563,0,0,MIN(Controls!$B$8,COUNTIF(B563:B$1973,B563)),1),"&gt;"&amp;0),0)</f>
        <v>0</v>
      </c>
      <c r="J563" s="38">
        <f t="shared" ca="1" si="57"/>
        <v>999</v>
      </c>
      <c r="K563" s="30">
        <f t="shared" ca="1" si="61"/>
        <v>0</v>
      </c>
      <c r="L563" t="str">
        <f t="shared" ca="1" si="58"/>
        <v>Overstock</v>
      </c>
      <c r="M563" s="39">
        <f>IFERROR(VLOOKUP("50mg DP",Controls!A:I,7,0),6)</f>
        <v>9</v>
      </c>
      <c r="N563" s="39">
        <f>IFERROR(VLOOKUP("50mg DP",Controls!A:I,8,0),3)</f>
        <v>8</v>
      </c>
      <c r="O563" s="39">
        <f>IFERROR(VLOOKUP("50mg DP",Controls!A:I,9,0),18)</f>
        <v>18</v>
      </c>
      <c r="P563" s="40">
        <f>IFERROR(VLOOKUP("50mg DP",Controls!A:J,5,0),0)</f>
        <v>10000</v>
      </c>
      <c r="Q563" s="39">
        <f>IFERROR(VLOOKUP("50mg DP",Controls!A:J,6,0),3)</f>
        <v>5</v>
      </c>
      <c r="R563" s="21" t="str">
        <f>IFERROR(VLOOKUP("50mg DP",Controls!A:K,10,0),"")</f>
        <v>Patheon PDS-1</v>
      </c>
      <c r="S563" s="41">
        <f t="shared" si="59"/>
        <v>46569</v>
      </c>
      <c r="T563" s="30">
        <f t="shared" si="60"/>
        <v>0</v>
      </c>
      <c r="W563" s="205" t="e" cm="1">
        <f t="array" ref="W563">IF(22&lt;Controls!$B$7,INDEX(A541:A719,MATCH(Controls!$B$5,A541:A719,1)+22),NA())</f>
        <v>#N/A</v>
      </c>
      <c r="X563" t="e" cm="1">
        <f t="array" ref="X563">IF(22&lt;Controls!$B$7,INDEX(F541:F719,MATCH(Controls!$B$5,A541:A719,1)+22),NA())</f>
        <v>#N/A</v>
      </c>
      <c r="Y563" t="e" cm="1">
        <f t="array" ref="Y563">IF(22&lt;Controls!$B$7,INDEX(G541:G719,MATCH(Controls!$B$5,A541:A719,1)+22),NA())</f>
        <v>#N/A</v>
      </c>
      <c r="Z563" t="e" cm="1">
        <f t="array" ref="Z563">IF(22&lt;Controls!$B$7,INDEX(H541:H719,MATCH(Controls!$B$5,A541:A719,1)+22),NA())</f>
        <v>#N/A</v>
      </c>
      <c r="AA563" t="e" cm="1">
        <f t="array" ref="AA563">IF(22&lt;Controls!$B$7,INDEX(M541:M719,MATCH(Controls!$B$5,A541:A719,1)+22)*INDEX(I541:I719,MATCH(Controls!$B$5,A541:A719,1)+22),NA())</f>
        <v>#N/A</v>
      </c>
      <c r="AB563">
        <f t="shared" si="62"/>
        <v>5</v>
      </c>
    </row>
    <row r="564" spans="1:28" ht="13" customHeight="1" x14ac:dyDescent="0.35">
      <c r="A564" s="153">
        <v>46753</v>
      </c>
      <c r="B564" s="36" t="s">
        <v>43</v>
      </c>
      <c r="C564" s="15" t="s">
        <v>38</v>
      </c>
      <c r="D564" s="15" t="s">
        <v>29</v>
      </c>
      <c r="E564" s="30">
        <f>H563</f>
        <v>158107</v>
      </c>
      <c r="F564" s="37" cm="1">
        <f t="array" ref="F564">IFERROR((SUMPRODUCT(('Production Inputs'!$A:$A="47mg LP")*('Production Inputs'!$B:$B="TOTAL ACTIVE")*'Production Inputs'!$AI:$AI)+SUMPRODUCT(('Production Inputs'!$A:$A="47mg LP - EU Stock")*('Production Inputs'!$B:$B="TOTAL ACTIVE")*'Production Inputs'!$AI:$AI))*Dependencies!$D$5,0)</f>
        <v>0</v>
      </c>
      <c r="G564" s="37">
        <f t="array" ref="G564">IFERROR(SUMPRODUCT(('Production Inputs'!$A:$A="50mg DP")*('Production Inputs'!$B:$B="TOTAL ACTIVE")*'Production Inputs'!$AI:$AI),0)</f>
        <v>0</v>
      </c>
      <c r="H564" s="30">
        <f t="shared" si="56"/>
        <v>158107</v>
      </c>
      <c r="I564" s="30">
        <f ca="1">IFERROR(AVERAGEIF(OFFSET(F564,0,0,MIN(Controls!$B$8,COUNTIF(B564:B$1973,B564)),1),"&gt;"&amp;0),0)</f>
        <v>0</v>
      </c>
      <c r="J564" s="38">
        <f t="shared" ca="1" si="57"/>
        <v>999</v>
      </c>
      <c r="K564" s="30">
        <f t="shared" ca="1" si="61"/>
        <v>0</v>
      </c>
      <c r="L564" t="str">
        <f t="shared" ca="1" si="58"/>
        <v>Overstock</v>
      </c>
      <c r="M564" s="39">
        <f>IFERROR(VLOOKUP("50mg DP",Controls!A:I,7,0),6)</f>
        <v>9</v>
      </c>
      <c r="N564" s="39">
        <f>IFERROR(VLOOKUP("50mg DP",Controls!A:I,8,0),3)</f>
        <v>8</v>
      </c>
      <c r="O564" s="39">
        <f>IFERROR(VLOOKUP("50mg DP",Controls!A:I,9,0),18)</f>
        <v>18</v>
      </c>
      <c r="P564" s="40">
        <f>IFERROR(VLOOKUP("50mg DP",Controls!A:J,5,0),0)</f>
        <v>10000</v>
      </c>
      <c r="Q564" s="39">
        <f>IFERROR(VLOOKUP("50mg DP",Controls!A:J,6,0),3)</f>
        <v>5</v>
      </c>
      <c r="R564" s="21" t="str">
        <f>IFERROR(VLOOKUP("50mg DP",Controls!A:K,10,0),"")</f>
        <v>Patheon PDS-1</v>
      </c>
      <c r="S564" s="41">
        <f t="shared" si="59"/>
        <v>46600</v>
      </c>
      <c r="T564" s="30">
        <f t="shared" si="60"/>
        <v>0</v>
      </c>
      <c r="W564" s="205" t="e" cm="1">
        <f t="array" ref="W564">IF(23&lt;Controls!$B$7,INDEX(A541:A719,MATCH(Controls!$B$5,A541:A719,1)+23),NA())</f>
        <v>#N/A</v>
      </c>
      <c r="X564" t="e" cm="1">
        <f t="array" ref="X564">IF(23&lt;Controls!$B$7,INDEX(F541:F719,MATCH(Controls!$B$5,A541:A719,1)+23),NA())</f>
        <v>#N/A</v>
      </c>
      <c r="Y564" t="e" cm="1">
        <f t="array" ref="Y564">IF(23&lt;Controls!$B$7,INDEX(G541:G719,MATCH(Controls!$B$5,A541:A719,1)+23),NA())</f>
        <v>#N/A</v>
      </c>
      <c r="Z564" t="e" cm="1">
        <f t="array" ref="Z564">IF(23&lt;Controls!$B$7,INDEX(H541:H719,MATCH(Controls!$B$5,A541:A719,1)+23),NA())</f>
        <v>#N/A</v>
      </c>
      <c r="AA564" t="e" cm="1">
        <f t="array" ref="AA564">IF(23&lt;Controls!$B$7,INDEX(M541:M719,MATCH(Controls!$B$5,A541:A719,1)+23)*INDEX(I541:I719,MATCH(Controls!$B$5,A541:A719,1)+23),NA())</f>
        <v>#N/A</v>
      </c>
      <c r="AB564">
        <f t="shared" si="62"/>
        <v>5</v>
      </c>
    </row>
    <row r="565" spans="1:28" ht="13" customHeight="1" x14ac:dyDescent="0.35">
      <c r="A565" s="153">
        <v>46784</v>
      </c>
      <c r="B565" s="36" t="s">
        <v>43</v>
      </c>
      <c r="C565" s="15" t="s">
        <v>38</v>
      </c>
      <c r="D565" s="15" t="s">
        <v>29</v>
      </c>
      <c r="E565" s="30">
        <f>H564</f>
        <v>158107</v>
      </c>
      <c r="F565" s="37" cm="1">
        <f t="array" ref="F565">IFERROR((SUMPRODUCT(('Production Inputs'!$A:$A="47mg LP")*('Production Inputs'!$B:$B="TOTAL ACTIVE")*'Production Inputs'!$AJ:$AJ)+SUMPRODUCT(('Production Inputs'!$A:$A="47mg LP - EU Stock")*('Production Inputs'!$B:$B="TOTAL ACTIVE")*'Production Inputs'!$AJ:$AJ))*Dependencies!$D$5,0)</f>
        <v>0</v>
      </c>
      <c r="G565" s="37">
        <f t="array" ref="G565">IFERROR(SUMPRODUCT(('Production Inputs'!$A:$A="50mg DP")*('Production Inputs'!$B:$B="TOTAL ACTIVE")*'Production Inputs'!$AJ:$AJ),0)</f>
        <v>0</v>
      </c>
      <c r="H565" s="30">
        <f t="shared" si="56"/>
        <v>158107</v>
      </c>
      <c r="I565" s="30">
        <f ca="1">IFERROR(AVERAGEIF(OFFSET(F565,0,0,MIN(Controls!$B$8,COUNTIF(B565:B$1973,B565)),1),"&gt;"&amp;0),0)</f>
        <v>0</v>
      </c>
      <c r="J565" s="38">
        <f t="shared" ca="1" si="57"/>
        <v>999</v>
      </c>
      <c r="K565" s="30">
        <f t="shared" ca="1" si="61"/>
        <v>0</v>
      </c>
      <c r="L565" t="str">
        <f t="shared" ca="1" si="58"/>
        <v>Overstock</v>
      </c>
      <c r="M565" s="39">
        <f>IFERROR(VLOOKUP("50mg DP",Controls!A:I,7,0),6)</f>
        <v>9</v>
      </c>
      <c r="N565" s="39">
        <f>IFERROR(VLOOKUP("50mg DP",Controls!A:I,8,0),3)</f>
        <v>8</v>
      </c>
      <c r="O565" s="39">
        <f>IFERROR(VLOOKUP("50mg DP",Controls!A:I,9,0),18)</f>
        <v>18</v>
      </c>
      <c r="P565" s="40">
        <f>IFERROR(VLOOKUP("50mg DP",Controls!A:J,5,0),0)</f>
        <v>10000</v>
      </c>
      <c r="Q565" s="39">
        <f>IFERROR(VLOOKUP("50mg DP",Controls!A:J,6,0),3)</f>
        <v>5</v>
      </c>
      <c r="R565" s="21" t="str">
        <f>IFERROR(VLOOKUP("50mg DP",Controls!A:K,10,0),"")</f>
        <v>Patheon PDS-1</v>
      </c>
      <c r="S565" s="41">
        <f t="shared" si="59"/>
        <v>46631</v>
      </c>
      <c r="T565" s="30">
        <f t="shared" si="60"/>
        <v>0</v>
      </c>
      <c r="W565" s="205" t="e" cm="1">
        <f t="array" ref="W565">IF(24&lt;Controls!$B$7,INDEX(A541:A719,MATCH(Controls!$B$5,A541:A719,1)+24),NA())</f>
        <v>#N/A</v>
      </c>
      <c r="X565" t="e" cm="1">
        <f t="array" ref="X565">IF(24&lt;Controls!$B$7,INDEX(F541:F719,MATCH(Controls!$B$5,A541:A719,1)+24),NA())</f>
        <v>#N/A</v>
      </c>
      <c r="Y565" t="e" cm="1">
        <f t="array" ref="Y565">IF(24&lt;Controls!$B$7,INDEX(G541:G719,MATCH(Controls!$B$5,A541:A719,1)+24),NA())</f>
        <v>#N/A</v>
      </c>
      <c r="Z565" t="e" cm="1">
        <f t="array" ref="Z565">IF(24&lt;Controls!$B$7,INDEX(H541:H719,MATCH(Controls!$B$5,A541:A719,1)+24),NA())</f>
        <v>#N/A</v>
      </c>
      <c r="AA565" t="e" cm="1">
        <f t="array" ref="AA565">IF(24&lt;Controls!$B$7,INDEX(M541:M719,MATCH(Controls!$B$5,A541:A719,1)+24)*INDEX(I541:I719,MATCH(Controls!$B$5,A541:A719,1)+24),NA())</f>
        <v>#N/A</v>
      </c>
      <c r="AB565">
        <f t="shared" si="62"/>
        <v>5</v>
      </c>
    </row>
    <row r="566" spans="1:28" ht="13" customHeight="1" x14ac:dyDescent="0.35">
      <c r="A566" s="153">
        <v>46813</v>
      </c>
      <c r="B566" s="36" t="s">
        <v>43</v>
      </c>
      <c r="C566" s="15" t="s">
        <v>38</v>
      </c>
      <c r="D566" s="15" t="s">
        <v>29</v>
      </c>
      <c r="E566" s="30">
        <f>H565</f>
        <v>158107</v>
      </c>
      <c r="F566" s="37" cm="1">
        <f t="array" ref="F566">IFERROR((SUMPRODUCT(('Production Inputs'!$A:$A="47mg LP")*('Production Inputs'!$B:$B="TOTAL ACTIVE")*'Production Inputs'!$AK:$AK)+SUMPRODUCT(('Production Inputs'!$A:$A="47mg LP - EU Stock")*('Production Inputs'!$B:$B="TOTAL ACTIVE")*'Production Inputs'!$AK:$AK))*Dependencies!$D$5,0)</f>
        <v>0</v>
      </c>
      <c r="G566" s="37">
        <f t="array" ref="G566">IFERROR(SUMPRODUCT(('Production Inputs'!$A:$A="50mg DP")*('Production Inputs'!$B:$B="TOTAL ACTIVE")*'Production Inputs'!$AK:$AK),0)</f>
        <v>0</v>
      </c>
      <c r="H566" s="30">
        <f t="shared" si="56"/>
        <v>158107</v>
      </c>
      <c r="I566" s="30">
        <f ca="1">IFERROR(AVERAGEIF(OFFSET(F566,0,0,MIN(Controls!$B$8,COUNTIF(B566:B$1973,B566)),1),"&gt;"&amp;0),0)</f>
        <v>0</v>
      </c>
      <c r="J566" s="38">
        <f t="shared" ca="1" si="57"/>
        <v>999</v>
      </c>
      <c r="K566" s="30">
        <f t="shared" ca="1" si="61"/>
        <v>0</v>
      </c>
      <c r="L566" t="str">
        <f t="shared" ca="1" si="58"/>
        <v>Overstock</v>
      </c>
      <c r="M566" s="39">
        <f>IFERROR(VLOOKUP("50mg DP",Controls!A:I,7,0),6)</f>
        <v>9</v>
      </c>
      <c r="N566" s="39">
        <f>IFERROR(VLOOKUP("50mg DP",Controls!A:I,8,0),3)</f>
        <v>8</v>
      </c>
      <c r="O566" s="39">
        <f>IFERROR(VLOOKUP("50mg DP",Controls!A:I,9,0),18)</f>
        <v>18</v>
      </c>
      <c r="P566" s="40">
        <f>IFERROR(VLOOKUP("50mg DP",Controls!A:J,5,0),0)</f>
        <v>10000</v>
      </c>
      <c r="Q566" s="39">
        <f>IFERROR(VLOOKUP("50mg DP",Controls!A:J,6,0),3)</f>
        <v>5</v>
      </c>
      <c r="R566" s="21" t="str">
        <f>IFERROR(VLOOKUP("50mg DP",Controls!A:K,10,0),"")</f>
        <v>Patheon PDS-1</v>
      </c>
      <c r="S566" s="41">
        <f t="shared" si="59"/>
        <v>46661</v>
      </c>
      <c r="T566" s="30">
        <f t="shared" si="60"/>
        <v>0</v>
      </c>
      <c r="W566" s="205" t="e" cm="1">
        <f t="array" ref="W566">IF(25&lt;Controls!$B$7,INDEX(A541:A719,MATCH(Controls!$B$5,A541:A719,1)+25),NA())</f>
        <v>#N/A</v>
      </c>
      <c r="X566" t="e" cm="1">
        <f t="array" ref="X566">IF(25&lt;Controls!$B$7,INDEX(F541:F719,MATCH(Controls!$B$5,A541:A719,1)+25),NA())</f>
        <v>#N/A</v>
      </c>
      <c r="Y566" t="e" cm="1">
        <f t="array" ref="Y566">IF(25&lt;Controls!$B$7,INDEX(G541:G719,MATCH(Controls!$B$5,A541:A719,1)+25),NA())</f>
        <v>#N/A</v>
      </c>
      <c r="Z566" t="e" cm="1">
        <f t="array" ref="Z566">IF(25&lt;Controls!$B$7,INDEX(H541:H719,MATCH(Controls!$B$5,A541:A719,1)+25),NA())</f>
        <v>#N/A</v>
      </c>
      <c r="AA566" t="e" cm="1">
        <f t="array" ref="AA566">IF(25&lt;Controls!$B$7,INDEX(M541:M719,MATCH(Controls!$B$5,A541:A719,1)+25)*INDEX(I541:I719,MATCH(Controls!$B$5,A541:A719,1)+25),NA())</f>
        <v>#N/A</v>
      </c>
      <c r="AB566">
        <f t="shared" si="62"/>
        <v>5</v>
      </c>
    </row>
    <row r="567" spans="1:28" ht="13" customHeight="1" x14ac:dyDescent="0.35">
      <c r="A567" s="153">
        <v>46844</v>
      </c>
      <c r="B567" s="36" t="s">
        <v>43</v>
      </c>
      <c r="C567" s="15" t="s">
        <v>38</v>
      </c>
      <c r="D567" s="15" t="s">
        <v>29</v>
      </c>
      <c r="E567" s="30">
        <f>H566</f>
        <v>158107</v>
      </c>
      <c r="F567" s="37" cm="1">
        <f t="array" ref="F567">IFERROR((SUMPRODUCT(('Production Inputs'!$A:$A="47mg LP")*('Production Inputs'!$B:$B="TOTAL ACTIVE")*'Production Inputs'!$AL:$AL)+SUMPRODUCT(('Production Inputs'!$A:$A="47mg LP - EU Stock")*('Production Inputs'!$B:$B="TOTAL ACTIVE")*'Production Inputs'!$AL:$AL))*Dependencies!$D$5,0)</f>
        <v>0</v>
      </c>
      <c r="G567" s="37">
        <f t="array" ref="G567">IFERROR(SUMPRODUCT(('Production Inputs'!$A:$A="50mg DP")*('Production Inputs'!$B:$B="TOTAL ACTIVE")*'Production Inputs'!$AL:$AL),0)</f>
        <v>0</v>
      </c>
      <c r="H567" s="30">
        <f t="shared" si="56"/>
        <v>158107</v>
      </c>
      <c r="I567" s="30">
        <f ca="1">IFERROR(AVERAGEIF(OFFSET(F567,0,0,MIN(Controls!$B$8,COUNTIF(B567:B$1973,B567)),1),"&gt;"&amp;0),0)</f>
        <v>0</v>
      </c>
      <c r="J567" s="38">
        <f t="shared" ca="1" si="57"/>
        <v>999</v>
      </c>
      <c r="K567" s="30">
        <f t="shared" ca="1" si="61"/>
        <v>0</v>
      </c>
      <c r="L567" t="str">
        <f t="shared" ca="1" si="58"/>
        <v>Overstock</v>
      </c>
      <c r="M567" s="39">
        <f>IFERROR(VLOOKUP("50mg DP",Controls!A:I,7,0),6)</f>
        <v>9</v>
      </c>
      <c r="N567" s="39">
        <f>IFERROR(VLOOKUP("50mg DP",Controls!A:I,8,0),3)</f>
        <v>8</v>
      </c>
      <c r="O567" s="39">
        <f>IFERROR(VLOOKUP("50mg DP",Controls!A:I,9,0),18)</f>
        <v>18</v>
      </c>
      <c r="P567" s="40">
        <f>IFERROR(VLOOKUP("50mg DP",Controls!A:J,5,0),0)</f>
        <v>10000</v>
      </c>
      <c r="Q567" s="39">
        <f>IFERROR(VLOOKUP("50mg DP",Controls!A:J,6,0),3)</f>
        <v>5</v>
      </c>
      <c r="R567" s="21" t="str">
        <f>IFERROR(VLOOKUP("50mg DP",Controls!A:K,10,0),"")</f>
        <v>Patheon PDS-1</v>
      </c>
      <c r="S567" s="41">
        <f t="shared" si="59"/>
        <v>46692</v>
      </c>
      <c r="T567" s="30">
        <f t="shared" si="60"/>
        <v>0</v>
      </c>
      <c r="W567" s="205" t="e" cm="1">
        <f t="array" ref="W567">IF(26&lt;Controls!$B$7,INDEX(A541:A719,MATCH(Controls!$B$5,A541:A719,1)+26),NA())</f>
        <v>#N/A</v>
      </c>
      <c r="X567" t="e" cm="1">
        <f t="array" ref="X567">IF(26&lt;Controls!$B$7,INDEX(F541:F719,MATCH(Controls!$B$5,A541:A719,1)+26),NA())</f>
        <v>#N/A</v>
      </c>
      <c r="Y567" t="e" cm="1">
        <f t="array" ref="Y567">IF(26&lt;Controls!$B$7,INDEX(G541:G719,MATCH(Controls!$B$5,A541:A719,1)+26),NA())</f>
        <v>#N/A</v>
      </c>
      <c r="Z567" t="e" cm="1">
        <f t="array" ref="Z567">IF(26&lt;Controls!$B$7,INDEX(H541:H719,MATCH(Controls!$B$5,A541:A719,1)+26),NA())</f>
        <v>#N/A</v>
      </c>
      <c r="AA567" t="e" cm="1">
        <f t="array" ref="AA567">IF(26&lt;Controls!$B$7,INDEX(M541:M719,MATCH(Controls!$B$5,A541:A719,1)+26)*INDEX(I541:I719,MATCH(Controls!$B$5,A541:A719,1)+26),NA())</f>
        <v>#N/A</v>
      </c>
      <c r="AB567">
        <f t="shared" si="62"/>
        <v>5</v>
      </c>
    </row>
    <row r="568" spans="1:28" ht="13" customHeight="1" x14ac:dyDescent="0.35">
      <c r="A568" s="153">
        <v>46874</v>
      </c>
      <c r="B568" s="36" t="s">
        <v>43</v>
      </c>
      <c r="C568" s="15" t="s">
        <v>38</v>
      </c>
      <c r="D568" s="15" t="s">
        <v>29</v>
      </c>
      <c r="E568" s="30">
        <f>H567</f>
        <v>158107</v>
      </c>
      <c r="F568" s="37" cm="1">
        <f t="array" ref="F568">IFERROR((SUMPRODUCT(('Production Inputs'!$A:$A="47mg LP")*('Production Inputs'!$B:$B="TOTAL ACTIVE")*'Production Inputs'!$AM:$AM)+SUMPRODUCT(('Production Inputs'!$A:$A="47mg LP - EU Stock")*('Production Inputs'!$B:$B="TOTAL ACTIVE")*'Production Inputs'!$AM:$AM))*Dependencies!$D$5,0)</f>
        <v>0</v>
      </c>
      <c r="G568" s="37">
        <f t="array" ref="G568">IFERROR(SUMPRODUCT(('Production Inputs'!$A:$A="50mg DP")*('Production Inputs'!$B:$B="TOTAL ACTIVE")*'Production Inputs'!$AM:$AM),0)</f>
        <v>0</v>
      </c>
      <c r="H568" s="30">
        <f t="shared" si="56"/>
        <v>158107</v>
      </c>
      <c r="I568" s="30">
        <f ca="1">IFERROR(AVERAGEIF(OFFSET(F568,0,0,MIN(Controls!$B$8,COUNTIF(B568:B$1973,B568)),1),"&gt;"&amp;0),0)</f>
        <v>0</v>
      </c>
      <c r="J568" s="38">
        <f t="shared" ca="1" si="57"/>
        <v>999</v>
      </c>
      <c r="K568" s="30">
        <f t="shared" ca="1" si="61"/>
        <v>0</v>
      </c>
      <c r="L568" t="str">
        <f t="shared" ca="1" si="58"/>
        <v>Overstock</v>
      </c>
      <c r="M568" s="39">
        <f>IFERROR(VLOOKUP("50mg DP",Controls!A:I,7,0),6)</f>
        <v>9</v>
      </c>
      <c r="N568" s="39">
        <f>IFERROR(VLOOKUP("50mg DP",Controls!A:I,8,0),3)</f>
        <v>8</v>
      </c>
      <c r="O568" s="39">
        <f>IFERROR(VLOOKUP("50mg DP",Controls!A:I,9,0),18)</f>
        <v>18</v>
      </c>
      <c r="P568" s="40">
        <f>IFERROR(VLOOKUP("50mg DP",Controls!A:J,5,0),0)</f>
        <v>10000</v>
      </c>
      <c r="Q568" s="39">
        <f>IFERROR(VLOOKUP("50mg DP",Controls!A:J,6,0),3)</f>
        <v>5</v>
      </c>
      <c r="R568" s="21" t="str">
        <f>IFERROR(VLOOKUP("50mg DP",Controls!A:K,10,0),"")</f>
        <v>Patheon PDS-1</v>
      </c>
      <c r="S568" s="41">
        <f t="shared" si="59"/>
        <v>46722</v>
      </c>
      <c r="T568" s="30">
        <f t="shared" si="60"/>
        <v>0</v>
      </c>
      <c r="W568" s="205" t="e" cm="1">
        <f t="array" ref="W568">IF(27&lt;Controls!$B$7,INDEX(A541:A719,MATCH(Controls!$B$5,A541:A719,1)+27),NA())</f>
        <v>#N/A</v>
      </c>
      <c r="X568" t="e" cm="1">
        <f t="array" ref="X568">IF(27&lt;Controls!$B$7,INDEX(F541:F719,MATCH(Controls!$B$5,A541:A719,1)+27),NA())</f>
        <v>#N/A</v>
      </c>
      <c r="Y568" t="e" cm="1">
        <f t="array" ref="Y568">IF(27&lt;Controls!$B$7,INDEX(G541:G719,MATCH(Controls!$B$5,A541:A719,1)+27),NA())</f>
        <v>#N/A</v>
      </c>
      <c r="Z568" t="e" cm="1">
        <f t="array" ref="Z568">IF(27&lt;Controls!$B$7,INDEX(H541:H719,MATCH(Controls!$B$5,A541:A719,1)+27),NA())</f>
        <v>#N/A</v>
      </c>
      <c r="AA568" t="e" cm="1">
        <f t="array" ref="AA568">IF(27&lt;Controls!$B$7,INDEX(M541:M719,MATCH(Controls!$B$5,A541:A719,1)+27)*INDEX(I541:I719,MATCH(Controls!$B$5,A541:A719,1)+27),NA())</f>
        <v>#N/A</v>
      </c>
      <c r="AB568">
        <f t="shared" si="62"/>
        <v>5</v>
      </c>
    </row>
    <row r="569" spans="1:28" ht="13" customHeight="1" x14ac:dyDescent="0.35">
      <c r="A569" s="153">
        <v>46905</v>
      </c>
      <c r="B569" s="36" t="s">
        <v>43</v>
      </c>
      <c r="C569" s="15" t="s">
        <v>38</v>
      </c>
      <c r="D569" s="15" t="s">
        <v>29</v>
      </c>
      <c r="E569" s="30">
        <f>H568</f>
        <v>158107</v>
      </c>
      <c r="F569" s="37" cm="1">
        <f t="array" ref="F569">IFERROR((SUMPRODUCT(('Production Inputs'!$A:$A="47mg LP")*('Production Inputs'!$B:$B="TOTAL ACTIVE")*'Production Inputs'!$AN:$AN)+SUMPRODUCT(('Production Inputs'!$A:$A="47mg LP - EU Stock")*('Production Inputs'!$B:$B="TOTAL ACTIVE")*'Production Inputs'!$AN:$AN))*Dependencies!$D$5,0)</f>
        <v>0</v>
      </c>
      <c r="G569" s="37">
        <f t="array" ref="G569">IFERROR(SUMPRODUCT(('Production Inputs'!$A:$A="50mg DP")*('Production Inputs'!$B:$B="TOTAL ACTIVE")*'Production Inputs'!$AN:$AN),0)</f>
        <v>0</v>
      </c>
      <c r="H569" s="30">
        <f t="shared" si="56"/>
        <v>158107</v>
      </c>
      <c r="I569" s="30">
        <f ca="1">IFERROR(AVERAGEIF(OFFSET(F569,0,0,MIN(Controls!$B$8,COUNTIF(B569:B$1973,B569)),1),"&gt;"&amp;0),0)</f>
        <v>0</v>
      </c>
      <c r="J569" s="38">
        <f t="shared" ca="1" si="57"/>
        <v>999</v>
      </c>
      <c r="K569" s="30">
        <f t="shared" ca="1" si="61"/>
        <v>0</v>
      </c>
      <c r="L569" t="str">
        <f t="shared" ca="1" si="58"/>
        <v>Overstock</v>
      </c>
      <c r="M569" s="39">
        <f>IFERROR(VLOOKUP("50mg DP",Controls!A:I,7,0),6)</f>
        <v>9</v>
      </c>
      <c r="N569" s="39">
        <f>IFERROR(VLOOKUP("50mg DP",Controls!A:I,8,0),3)</f>
        <v>8</v>
      </c>
      <c r="O569" s="39">
        <f>IFERROR(VLOOKUP("50mg DP",Controls!A:I,9,0),18)</f>
        <v>18</v>
      </c>
      <c r="P569" s="40">
        <f>IFERROR(VLOOKUP("50mg DP",Controls!A:J,5,0),0)</f>
        <v>10000</v>
      </c>
      <c r="Q569" s="39">
        <f>IFERROR(VLOOKUP("50mg DP",Controls!A:J,6,0),3)</f>
        <v>5</v>
      </c>
      <c r="R569" s="21" t="str">
        <f>IFERROR(VLOOKUP("50mg DP",Controls!A:K,10,0),"")</f>
        <v>Patheon PDS-1</v>
      </c>
      <c r="S569" s="41">
        <f t="shared" si="59"/>
        <v>46753</v>
      </c>
      <c r="T569" s="30">
        <f t="shared" si="60"/>
        <v>0</v>
      </c>
      <c r="W569" s="205" t="e" cm="1">
        <f t="array" ref="W569">IF(28&lt;Controls!$B$7,INDEX(A541:A719,MATCH(Controls!$B$5,A541:A719,1)+28),NA())</f>
        <v>#N/A</v>
      </c>
      <c r="X569" t="e" cm="1">
        <f t="array" ref="X569">IF(28&lt;Controls!$B$7,INDEX(F541:F719,MATCH(Controls!$B$5,A541:A719,1)+28),NA())</f>
        <v>#N/A</v>
      </c>
      <c r="Y569" t="e" cm="1">
        <f t="array" ref="Y569">IF(28&lt;Controls!$B$7,INDEX(G541:G719,MATCH(Controls!$B$5,A541:A719,1)+28),NA())</f>
        <v>#N/A</v>
      </c>
      <c r="Z569" t="e" cm="1">
        <f t="array" ref="Z569">IF(28&lt;Controls!$B$7,INDEX(H541:H719,MATCH(Controls!$B$5,A541:A719,1)+28),NA())</f>
        <v>#N/A</v>
      </c>
      <c r="AA569" t="e" cm="1">
        <f t="array" ref="AA569">IF(28&lt;Controls!$B$7,INDEX(M541:M719,MATCH(Controls!$B$5,A541:A719,1)+28)*INDEX(I541:I719,MATCH(Controls!$B$5,A541:A719,1)+28),NA())</f>
        <v>#N/A</v>
      </c>
      <c r="AB569">
        <f t="shared" si="62"/>
        <v>5</v>
      </c>
    </row>
    <row r="570" spans="1:28" ht="13" customHeight="1" x14ac:dyDescent="0.35">
      <c r="A570" s="153">
        <v>46935</v>
      </c>
      <c r="B570" s="36" t="s">
        <v>43</v>
      </c>
      <c r="C570" s="15" t="s">
        <v>38</v>
      </c>
      <c r="D570" s="15" t="s">
        <v>29</v>
      </c>
      <c r="E570" s="30">
        <f>H569</f>
        <v>158107</v>
      </c>
      <c r="F570" s="37" cm="1">
        <f t="array" ref="F570">IFERROR((SUMPRODUCT(('Production Inputs'!$A:$A="47mg LP")*('Production Inputs'!$B:$B="TOTAL ACTIVE")*'Production Inputs'!$AO:$AO)+SUMPRODUCT(('Production Inputs'!$A:$A="47mg LP - EU Stock")*('Production Inputs'!$B:$B="TOTAL ACTIVE")*'Production Inputs'!$AO:$AO))*Dependencies!$D$5,0)</f>
        <v>0</v>
      </c>
      <c r="G570" s="37">
        <f t="array" ref="G570">IFERROR(SUMPRODUCT(('Production Inputs'!$A:$A="50mg DP")*('Production Inputs'!$B:$B="TOTAL ACTIVE")*'Production Inputs'!$AO:$AO),0)</f>
        <v>0</v>
      </c>
      <c r="H570" s="30">
        <f t="shared" si="56"/>
        <v>158107</v>
      </c>
      <c r="I570" s="30">
        <f ca="1">IFERROR(AVERAGEIF(OFFSET(F570,0,0,MIN(Controls!$B$8,COUNTIF(B570:B$1973,B570)),1),"&gt;"&amp;0),0)</f>
        <v>0</v>
      </c>
      <c r="J570" s="38">
        <f t="shared" ca="1" si="57"/>
        <v>999</v>
      </c>
      <c r="K570" s="30">
        <f t="shared" ca="1" si="61"/>
        <v>0</v>
      </c>
      <c r="L570" t="str">
        <f t="shared" ca="1" si="58"/>
        <v>Overstock</v>
      </c>
      <c r="M570" s="39">
        <f>IFERROR(VLOOKUP("50mg DP",Controls!A:I,7,0),6)</f>
        <v>9</v>
      </c>
      <c r="N570" s="39">
        <f>IFERROR(VLOOKUP("50mg DP",Controls!A:I,8,0),3)</f>
        <v>8</v>
      </c>
      <c r="O570" s="39">
        <f>IFERROR(VLOOKUP("50mg DP",Controls!A:I,9,0),18)</f>
        <v>18</v>
      </c>
      <c r="P570" s="40">
        <f>IFERROR(VLOOKUP("50mg DP",Controls!A:J,5,0),0)</f>
        <v>10000</v>
      </c>
      <c r="Q570" s="39">
        <f>IFERROR(VLOOKUP("50mg DP",Controls!A:J,6,0),3)</f>
        <v>5</v>
      </c>
      <c r="R570" s="21" t="str">
        <f>IFERROR(VLOOKUP("50mg DP",Controls!A:K,10,0),"")</f>
        <v>Patheon PDS-1</v>
      </c>
      <c r="S570" s="41">
        <f t="shared" si="59"/>
        <v>46784</v>
      </c>
      <c r="T570" s="30">
        <f t="shared" si="60"/>
        <v>0</v>
      </c>
      <c r="W570" s="205" t="e" cm="1">
        <f t="array" ref="W570">IF(29&lt;Controls!$B$7,INDEX(A541:A719,MATCH(Controls!$B$5,A541:A719,1)+29),NA())</f>
        <v>#N/A</v>
      </c>
      <c r="X570" t="e" cm="1">
        <f t="array" ref="X570">IF(29&lt;Controls!$B$7,INDEX(F541:F719,MATCH(Controls!$B$5,A541:A719,1)+29),NA())</f>
        <v>#N/A</v>
      </c>
      <c r="Y570" t="e" cm="1">
        <f t="array" ref="Y570">IF(29&lt;Controls!$B$7,INDEX(G541:G719,MATCH(Controls!$B$5,A541:A719,1)+29),NA())</f>
        <v>#N/A</v>
      </c>
      <c r="Z570" t="e" cm="1">
        <f t="array" ref="Z570">IF(29&lt;Controls!$B$7,INDEX(H541:H719,MATCH(Controls!$B$5,A541:A719,1)+29),NA())</f>
        <v>#N/A</v>
      </c>
      <c r="AA570" t="e" cm="1">
        <f t="array" ref="AA570">IF(29&lt;Controls!$B$7,INDEX(M541:M719,MATCH(Controls!$B$5,A541:A719,1)+29)*INDEX(I541:I719,MATCH(Controls!$B$5,A541:A719,1)+29),NA())</f>
        <v>#N/A</v>
      </c>
      <c r="AB570">
        <f t="shared" si="62"/>
        <v>5</v>
      </c>
    </row>
    <row r="571" spans="1:28" ht="13" customHeight="1" x14ac:dyDescent="0.35">
      <c r="A571" s="153">
        <v>46966</v>
      </c>
      <c r="B571" s="36" t="s">
        <v>43</v>
      </c>
      <c r="C571" s="15" t="s">
        <v>38</v>
      </c>
      <c r="D571" s="15" t="s">
        <v>29</v>
      </c>
      <c r="E571" s="30">
        <f>H570</f>
        <v>158107</v>
      </c>
      <c r="F571" s="37" cm="1">
        <f t="array" ref="F571">IFERROR((SUMPRODUCT(('Production Inputs'!$A:$A="47mg LP")*('Production Inputs'!$B:$B="TOTAL ACTIVE")*'Production Inputs'!$AP:$AP)+SUMPRODUCT(('Production Inputs'!$A:$A="47mg LP - EU Stock")*('Production Inputs'!$B:$B="TOTAL ACTIVE")*'Production Inputs'!$AP:$AP))*Dependencies!$D$5,0)</f>
        <v>0</v>
      </c>
      <c r="G571" s="37">
        <f t="array" ref="G571">IFERROR(SUMPRODUCT(('Production Inputs'!$A:$A="50mg DP")*('Production Inputs'!$B:$B="TOTAL ACTIVE")*'Production Inputs'!$AP:$AP),0)</f>
        <v>109500</v>
      </c>
      <c r="H571" s="30">
        <f t="shared" si="56"/>
        <v>267607</v>
      </c>
      <c r="I571" s="30">
        <f ca="1">IFERROR(AVERAGEIF(OFFSET(F571,0,0,MIN(Controls!$B$8,COUNTIF(B571:B$1973,B571)),1),"&gt;"&amp;0),0)</f>
        <v>0</v>
      </c>
      <c r="J571" s="38">
        <f t="shared" ca="1" si="57"/>
        <v>999</v>
      </c>
      <c r="K571" s="30">
        <f t="shared" ca="1" si="61"/>
        <v>0</v>
      </c>
      <c r="L571" t="str">
        <f t="shared" ca="1" si="58"/>
        <v>Overstock</v>
      </c>
      <c r="M571" s="39">
        <f>IFERROR(VLOOKUP("50mg DP",Controls!A:I,7,0),6)</f>
        <v>9</v>
      </c>
      <c r="N571" s="39">
        <f>IFERROR(VLOOKUP("50mg DP",Controls!A:I,8,0),3)</f>
        <v>8</v>
      </c>
      <c r="O571" s="39">
        <f>IFERROR(VLOOKUP("50mg DP",Controls!A:I,9,0),18)</f>
        <v>18</v>
      </c>
      <c r="P571" s="40">
        <f>IFERROR(VLOOKUP("50mg DP",Controls!A:J,5,0),0)</f>
        <v>10000</v>
      </c>
      <c r="Q571" s="39">
        <f>IFERROR(VLOOKUP("50mg DP",Controls!A:J,6,0),3)</f>
        <v>5</v>
      </c>
      <c r="R571" s="21" t="str">
        <f>IFERROR(VLOOKUP("50mg DP",Controls!A:K,10,0),"")</f>
        <v>Patheon PDS-1</v>
      </c>
      <c r="S571" s="41">
        <f t="shared" si="59"/>
        <v>46813</v>
      </c>
      <c r="T571" s="30">
        <f t="shared" si="60"/>
        <v>109500</v>
      </c>
      <c r="W571" s="205" t="e" cm="1">
        <f t="array" ref="W571">IF(30&lt;Controls!$B$7,INDEX(A541:A719,MATCH(Controls!$B$5,A541:A719,1)+30),NA())</f>
        <v>#N/A</v>
      </c>
      <c r="X571" t="e" cm="1">
        <f t="array" ref="X571">IF(30&lt;Controls!$B$7,INDEX(F541:F719,MATCH(Controls!$B$5,A541:A719,1)+30),NA())</f>
        <v>#N/A</v>
      </c>
      <c r="Y571" t="e" cm="1">
        <f t="array" ref="Y571">IF(30&lt;Controls!$B$7,INDEX(G541:G719,MATCH(Controls!$B$5,A541:A719,1)+30),NA())</f>
        <v>#N/A</v>
      </c>
      <c r="Z571" t="e" cm="1">
        <f t="array" ref="Z571">IF(30&lt;Controls!$B$7,INDEX(H541:H719,MATCH(Controls!$B$5,A541:A719,1)+30),NA())</f>
        <v>#N/A</v>
      </c>
      <c r="AA571" t="e" cm="1">
        <f t="array" ref="AA571">IF(30&lt;Controls!$B$7,INDEX(M541:M719,MATCH(Controls!$B$5,A541:A719,1)+30)*INDEX(I541:I719,MATCH(Controls!$B$5,A541:A719,1)+30),NA())</f>
        <v>#N/A</v>
      </c>
      <c r="AB571">
        <f t="shared" si="62"/>
        <v>5</v>
      </c>
    </row>
    <row r="572" spans="1:28" ht="13" customHeight="1" x14ac:dyDescent="0.35">
      <c r="A572" s="153">
        <v>46997</v>
      </c>
      <c r="B572" s="36" t="s">
        <v>43</v>
      </c>
      <c r="C572" s="15" t="s">
        <v>38</v>
      </c>
      <c r="D572" s="15" t="s">
        <v>29</v>
      </c>
      <c r="E572" s="30">
        <f>H571</f>
        <v>267607</v>
      </c>
      <c r="F572" s="37" cm="1">
        <f t="array" ref="F572">IFERROR((SUMPRODUCT(('Production Inputs'!$A:$A="47mg LP")*('Production Inputs'!$B:$B="TOTAL ACTIVE")*'Production Inputs'!$AQ:$AQ)+SUMPRODUCT(('Production Inputs'!$A:$A="47mg LP - EU Stock")*('Production Inputs'!$B:$B="TOTAL ACTIVE")*'Production Inputs'!$AQ:$AQ))*Dependencies!$D$5,0)</f>
        <v>0</v>
      </c>
      <c r="G572" s="37">
        <f t="array" ref="G572">IFERROR(SUMPRODUCT(('Production Inputs'!$A:$A="50mg DP")*('Production Inputs'!$B:$B="TOTAL ACTIVE")*'Production Inputs'!$AQ:$AQ),0)</f>
        <v>0</v>
      </c>
      <c r="H572" s="30">
        <f t="shared" si="56"/>
        <v>267607</v>
      </c>
      <c r="I572" s="30">
        <f ca="1">IFERROR(AVERAGEIF(OFFSET(F572,0,0,MIN(Controls!$B$8,COUNTIF(B572:B$1973,B572)),1),"&gt;"&amp;0),0)</f>
        <v>0</v>
      </c>
      <c r="J572" s="38">
        <f t="shared" ca="1" si="57"/>
        <v>999</v>
      </c>
      <c r="K572" s="30">
        <f t="shared" ca="1" si="61"/>
        <v>0</v>
      </c>
      <c r="L572" t="str">
        <f t="shared" ca="1" si="58"/>
        <v>Overstock</v>
      </c>
      <c r="M572" s="39">
        <f>IFERROR(VLOOKUP("50mg DP",Controls!A:I,7,0),6)</f>
        <v>9</v>
      </c>
      <c r="N572" s="39">
        <f>IFERROR(VLOOKUP("50mg DP",Controls!A:I,8,0),3)</f>
        <v>8</v>
      </c>
      <c r="O572" s="39">
        <f>IFERROR(VLOOKUP("50mg DP",Controls!A:I,9,0),18)</f>
        <v>18</v>
      </c>
      <c r="P572" s="40">
        <f>IFERROR(VLOOKUP("50mg DP",Controls!A:J,5,0),0)</f>
        <v>10000</v>
      </c>
      <c r="Q572" s="39">
        <f>IFERROR(VLOOKUP("50mg DP",Controls!A:J,6,0),3)</f>
        <v>5</v>
      </c>
      <c r="R572" s="21" t="str">
        <f>IFERROR(VLOOKUP("50mg DP",Controls!A:K,10,0),"")</f>
        <v>Patheon PDS-1</v>
      </c>
      <c r="S572" s="41">
        <f t="shared" si="59"/>
        <v>46844</v>
      </c>
      <c r="T572" s="30">
        <f t="shared" si="60"/>
        <v>0</v>
      </c>
      <c r="W572" s="205" t="e" cm="1">
        <f t="array" ref="W572">IF(31&lt;Controls!$B$7,INDEX(A541:A719,MATCH(Controls!$B$5,A541:A719,1)+31),NA())</f>
        <v>#N/A</v>
      </c>
      <c r="X572" t="e" cm="1">
        <f t="array" ref="X572">IF(31&lt;Controls!$B$7,INDEX(F541:F719,MATCH(Controls!$B$5,A541:A719,1)+31),NA())</f>
        <v>#N/A</v>
      </c>
      <c r="Y572" t="e" cm="1">
        <f t="array" ref="Y572">IF(31&lt;Controls!$B$7,INDEX(G541:G719,MATCH(Controls!$B$5,A541:A719,1)+31),NA())</f>
        <v>#N/A</v>
      </c>
      <c r="Z572" t="e" cm="1">
        <f t="array" ref="Z572">IF(31&lt;Controls!$B$7,INDEX(H541:H719,MATCH(Controls!$B$5,A541:A719,1)+31),NA())</f>
        <v>#N/A</v>
      </c>
      <c r="AA572" t="e" cm="1">
        <f t="array" ref="AA572">IF(31&lt;Controls!$B$7,INDEX(M541:M719,MATCH(Controls!$B$5,A541:A719,1)+31)*INDEX(I541:I719,MATCH(Controls!$B$5,A541:A719,1)+31),NA())</f>
        <v>#N/A</v>
      </c>
      <c r="AB572">
        <f t="shared" si="62"/>
        <v>5</v>
      </c>
    </row>
    <row r="573" spans="1:28" ht="13" customHeight="1" x14ac:dyDescent="0.35">
      <c r="A573" s="153">
        <v>47027</v>
      </c>
      <c r="B573" s="36" t="s">
        <v>43</v>
      </c>
      <c r="C573" s="15" t="s">
        <v>38</v>
      </c>
      <c r="D573" s="15" t="s">
        <v>29</v>
      </c>
      <c r="E573" s="30">
        <f>H572</f>
        <v>267607</v>
      </c>
      <c r="F573" s="37" cm="1">
        <f t="array" ref="F573">IFERROR((SUMPRODUCT(('Production Inputs'!$A:$A="47mg LP")*('Production Inputs'!$B:$B="TOTAL ACTIVE")*'Production Inputs'!$AR:$AR)+SUMPRODUCT(('Production Inputs'!$A:$A="47mg LP - EU Stock")*('Production Inputs'!$B:$B="TOTAL ACTIVE")*'Production Inputs'!$AR:$AR))*Dependencies!$D$5,0)</f>
        <v>0</v>
      </c>
      <c r="G573" s="37">
        <f t="array" ref="G573">IFERROR(SUMPRODUCT(('Production Inputs'!$A:$A="50mg DP")*('Production Inputs'!$B:$B="TOTAL ACTIVE")*'Production Inputs'!$AR:$AR),0)</f>
        <v>0</v>
      </c>
      <c r="H573" s="30">
        <f t="shared" si="56"/>
        <v>267607</v>
      </c>
      <c r="I573" s="30">
        <f ca="1">IFERROR(AVERAGEIF(OFFSET(F573,0,0,MIN(Controls!$B$8,COUNTIF(B573:B$1973,B573)),1),"&gt;"&amp;0),0)</f>
        <v>0</v>
      </c>
      <c r="J573" s="38">
        <f t="shared" ca="1" si="57"/>
        <v>999</v>
      </c>
      <c r="K573" s="30">
        <f t="shared" ca="1" si="61"/>
        <v>0</v>
      </c>
      <c r="L573" t="str">
        <f t="shared" ca="1" si="58"/>
        <v>Overstock</v>
      </c>
      <c r="M573" s="39">
        <f>IFERROR(VLOOKUP("50mg DP",Controls!A:I,7,0),6)</f>
        <v>9</v>
      </c>
      <c r="N573" s="39">
        <f>IFERROR(VLOOKUP("50mg DP",Controls!A:I,8,0),3)</f>
        <v>8</v>
      </c>
      <c r="O573" s="39">
        <f>IFERROR(VLOOKUP("50mg DP",Controls!A:I,9,0),18)</f>
        <v>18</v>
      </c>
      <c r="P573" s="40">
        <f>IFERROR(VLOOKUP("50mg DP",Controls!A:J,5,0),0)</f>
        <v>10000</v>
      </c>
      <c r="Q573" s="39">
        <f>IFERROR(VLOOKUP("50mg DP",Controls!A:J,6,0),3)</f>
        <v>5</v>
      </c>
      <c r="R573" s="21" t="str">
        <f>IFERROR(VLOOKUP("50mg DP",Controls!A:K,10,0),"")</f>
        <v>Patheon PDS-1</v>
      </c>
      <c r="S573" s="41">
        <f t="shared" si="59"/>
        <v>46874</v>
      </c>
      <c r="T573" s="30">
        <f t="shared" si="60"/>
        <v>0</v>
      </c>
      <c r="W573" s="205" t="e" cm="1">
        <f t="array" ref="W573">IF(32&lt;Controls!$B$7,INDEX(A541:A719,MATCH(Controls!$B$5,A541:A719,1)+32),NA())</f>
        <v>#N/A</v>
      </c>
      <c r="X573" t="e" cm="1">
        <f t="array" ref="X573">IF(32&lt;Controls!$B$7,INDEX(F541:F719,MATCH(Controls!$B$5,A541:A719,1)+32),NA())</f>
        <v>#N/A</v>
      </c>
      <c r="Y573" t="e" cm="1">
        <f t="array" ref="Y573">IF(32&lt;Controls!$B$7,INDEX(G541:G719,MATCH(Controls!$B$5,A541:A719,1)+32),NA())</f>
        <v>#N/A</v>
      </c>
      <c r="Z573" t="e" cm="1">
        <f t="array" ref="Z573">IF(32&lt;Controls!$B$7,INDEX(H541:H719,MATCH(Controls!$B$5,A541:A719,1)+32),NA())</f>
        <v>#N/A</v>
      </c>
      <c r="AA573" t="e" cm="1">
        <f t="array" ref="AA573">IF(32&lt;Controls!$B$7,INDEX(M541:M719,MATCH(Controls!$B$5,A541:A719,1)+32)*INDEX(I541:I719,MATCH(Controls!$B$5,A541:A719,1)+32),NA())</f>
        <v>#N/A</v>
      </c>
      <c r="AB573">
        <f t="shared" si="62"/>
        <v>5</v>
      </c>
    </row>
    <row r="574" spans="1:28" ht="13" customHeight="1" x14ac:dyDescent="0.35">
      <c r="A574" s="153">
        <v>47058</v>
      </c>
      <c r="B574" s="36" t="s">
        <v>43</v>
      </c>
      <c r="C574" s="15" t="s">
        <v>38</v>
      </c>
      <c r="D574" s="15" t="s">
        <v>29</v>
      </c>
      <c r="E574" s="30">
        <f>H573</f>
        <v>267607</v>
      </c>
      <c r="F574" s="37" cm="1">
        <f t="array" ref="F574">IFERROR((SUMPRODUCT(('Production Inputs'!$A:$A="47mg LP")*('Production Inputs'!$B:$B="TOTAL ACTIVE")*'Production Inputs'!$AS:$AS)+SUMPRODUCT(('Production Inputs'!$A:$A="47mg LP - EU Stock")*('Production Inputs'!$B:$B="TOTAL ACTIVE")*'Production Inputs'!$AS:$AS))*Dependencies!$D$5,0)</f>
        <v>0</v>
      </c>
      <c r="G574" s="37">
        <f t="array" ref="G574">IFERROR(SUMPRODUCT(('Production Inputs'!$A:$A="50mg DP")*('Production Inputs'!$B:$B="TOTAL ACTIVE")*'Production Inputs'!$AS:$AS),0)</f>
        <v>0</v>
      </c>
      <c r="H574" s="30">
        <f t="shared" si="56"/>
        <v>267607</v>
      </c>
      <c r="I574" s="30">
        <f ca="1">IFERROR(AVERAGEIF(OFFSET(F574,0,0,MIN(Controls!$B$8,COUNTIF(B574:B$1973,B574)),1),"&gt;"&amp;0),0)</f>
        <v>0</v>
      </c>
      <c r="J574" s="38">
        <f t="shared" ca="1" si="57"/>
        <v>999</v>
      </c>
      <c r="K574" s="30">
        <f t="shared" ca="1" si="61"/>
        <v>0</v>
      </c>
      <c r="L574" t="str">
        <f t="shared" ca="1" si="58"/>
        <v>Overstock</v>
      </c>
      <c r="M574" s="39">
        <f>IFERROR(VLOOKUP("50mg DP",Controls!A:I,7,0),6)</f>
        <v>9</v>
      </c>
      <c r="N574" s="39">
        <f>IFERROR(VLOOKUP("50mg DP",Controls!A:I,8,0),3)</f>
        <v>8</v>
      </c>
      <c r="O574" s="39">
        <f>IFERROR(VLOOKUP("50mg DP",Controls!A:I,9,0),18)</f>
        <v>18</v>
      </c>
      <c r="P574" s="40">
        <f>IFERROR(VLOOKUP("50mg DP",Controls!A:J,5,0),0)</f>
        <v>10000</v>
      </c>
      <c r="Q574" s="39">
        <f>IFERROR(VLOOKUP("50mg DP",Controls!A:J,6,0),3)</f>
        <v>5</v>
      </c>
      <c r="R574" s="21" t="str">
        <f>IFERROR(VLOOKUP("50mg DP",Controls!A:K,10,0),"")</f>
        <v>Patheon PDS-1</v>
      </c>
      <c r="S574" s="41">
        <f t="shared" si="59"/>
        <v>46905</v>
      </c>
      <c r="T574" s="30">
        <f t="shared" si="60"/>
        <v>0</v>
      </c>
      <c r="W574" s="205" t="e" cm="1">
        <f t="array" ref="W574">IF(33&lt;Controls!$B$7,INDEX(A541:A719,MATCH(Controls!$B$5,A541:A719,1)+33),NA())</f>
        <v>#N/A</v>
      </c>
      <c r="X574" t="e" cm="1">
        <f t="array" ref="X574">IF(33&lt;Controls!$B$7,INDEX(F541:F719,MATCH(Controls!$B$5,A541:A719,1)+33),NA())</f>
        <v>#N/A</v>
      </c>
      <c r="Y574" t="e" cm="1">
        <f t="array" ref="Y574">IF(33&lt;Controls!$B$7,INDEX(G541:G719,MATCH(Controls!$B$5,A541:A719,1)+33),NA())</f>
        <v>#N/A</v>
      </c>
      <c r="Z574" t="e" cm="1">
        <f t="array" ref="Z574">IF(33&lt;Controls!$B$7,INDEX(H541:H719,MATCH(Controls!$B$5,A541:A719,1)+33),NA())</f>
        <v>#N/A</v>
      </c>
      <c r="AA574" t="e" cm="1">
        <f t="array" ref="AA574">IF(33&lt;Controls!$B$7,INDEX(M541:M719,MATCH(Controls!$B$5,A541:A719,1)+33)*INDEX(I541:I719,MATCH(Controls!$B$5,A541:A719,1)+33),NA())</f>
        <v>#N/A</v>
      </c>
      <c r="AB574">
        <f t="shared" si="62"/>
        <v>5</v>
      </c>
    </row>
    <row r="575" spans="1:28" ht="13" customHeight="1" x14ac:dyDescent="0.35">
      <c r="A575" s="153">
        <v>47088</v>
      </c>
      <c r="B575" s="36" t="s">
        <v>43</v>
      </c>
      <c r="C575" s="15" t="s">
        <v>38</v>
      </c>
      <c r="D575" s="15" t="s">
        <v>29</v>
      </c>
      <c r="E575" s="30">
        <f>H574</f>
        <v>267607</v>
      </c>
      <c r="F575" s="37" cm="1">
        <f t="array" ref="F575">IFERROR((SUMPRODUCT(('Production Inputs'!$A:$A="47mg LP")*('Production Inputs'!$B:$B="TOTAL ACTIVE")*'Production Inputs'!$AT:$AT)+SUMPRODUCT(('Production Inputs'!$A:$A="47mg LP - EU Stock")*('Production Inputs'!$B:$B="TOTAL ACTIVE")*'Production Inputs'!$AT:$AT))*Dependencies!$D$5,0)</f>
        <v>0</v>
      </c>
      <c r="G575" s="37">
        <f t="array" ref="G575">IFERROR(SUMPRODUCT(('Production Inputs'!$A:$A="50mg DP")*('Production Inputs'!$B:$B="TOTAL ACTIVE")*'Production Inputs'!$AT:$AT),0)</f>
        <v>0</v>
      </c>
      <c r="H575" s="30">
        <f t="shared" si="56"/>
        <v>267607</v>
      </c>
      <c r="I575" s="30">
        <f ca="1">IFERROR(AVERAGEIF(OFFSET(F575,0,0,MIN(Controls!$B$8,COUNTIF(B575:B$1973,B575)),1),"&gt;"&amp;0),0)</f>
        <v>0</v>
      </c>
      <c r="J575" s="38">
        <f t="shared" ca="1" si="57"/>
        <v>999</v>
      </c>
      <c r="K575" s="30">
        <f t="shared" ca="1" si="61"/>
        <v>0</v>
      </c>
      <c r="L575" t="str">
        <f t="shared" ca="1" si="58"/>
        <v>Overstock</v>
      </c>
      <c r="M575" s="39">
        <f>IFERROR(VLOOKUP("50mg DP",Controls!A:I,7,0),6)</f>
        <v>9</v>
      </c>
      <c r="N575" s="39">
        <f>IFERROR(VLOOKUP("50mg DP",Controls!A:I,8,0),3)</f>
        <v>8</v>
      </c>
      <c r="O575" s="39">
        <f>IFERROR(VLOOKUP("50mg DP",Controls!A:I,9,0),18)</f>
        <v>18</v>
      </c>
      <c r="P575" s="40">
        <f>IFERROR(VLOOKUP("50mg DP",Controls!A:J,5,0),0)</f>
        <v>10000</v>
      </c>
      <c r="Q575" s="39">
        <f>IFERROR(VLOOKUP("50mg DP",Controls!A:J,6,0),3)</f>
        <v>5</v>
      </c>
      <c r="R575" s="21" t="str">
        <f>IFERROR(VLOOKUP("50mg DP",Controls!A:K,10,0),"")</f>
        <v>Patheon PDS-1</v>
      </c>
      <c r="S575" s="41">
        <f t="shared" si="59"/>
        <v>46935</v>
      </c>
      <c r="T575" s="30">
        <f t="shared" si="60"/>
        <v>0</v>
      </c>
      <c r="W575" s="205" t="e" cm="1">
        <f t="array" ref="W575">IF(34&lt;Controls!$B$7,INDEX(A541:A719,MATCH(Controls!$B$5,A541:A719,1)+34),NA())</f>
        <v>#N/A</v>
      </c>
      <c r="X575" t="e" cm="1">
        <f t="array" ref="X575">IF(34&lt;Controls!$B$7,INDEX(F541:F719,MATCH(Controls!$B$5,A541:A719,1)+34),NA())</f>
        <v>#N/A</v>
      </c>
      <c r="Y575" t="e" cm="1">
        <f t="array" ref="Y575">IF(34&lt;Controls!$B$7,INDEX(G541:G719,MATCH(Controls!$B$5,A541:A719,1)+34),NA())</f>
        <v>#N/A</v>
      </c>
      <c r="Z575" t="e" cm="1">
        <f t="array" ref="Z575">IF(34&lt;Controls!$B$7,INDEX(H541:H719,MATCH(Controls!$B$5,A541:A719,1)+34),NA())</f>
        <v>#N/A</v>
      </c>
      <c r="AA575" t="e" cm="1">
        <f t="array" ref="AA575">IF(34&lt;Controls!$B$7,INDEX(M541:M719,MATCH(Controls!$B$5,A541:A719,1)+34)*INDEX(I541:I719,MATCH(Controls!$B$5,A541:A719,1)+34),NA())</f>
        <v>#N/A</v>
      </c>
      <c r="AB575">
        <f t="shared" si="62"/>
        <v>5</v>
      </c>
    </row>
    <row r="576" spans="1:28" ht="13" customHeight="1" x14ac:dyDescent="0.35">
      <c r="A576" s="153">
        <v>47119</v>
      </c>
      <c r="B576" s="36" t="s">
        <v>43</v>
      </c>
      <c r="C576" s="15" t="s">
        <v>38</v>
      </c>
      <c r="D576" s="15" t="s">
        <v>29</v>
      </c>
      <c r="E576" s="30">
        <f>H575</f>
        <v>267607</v>
      </c>
      <c r="F576" s="37" cm="1">
        <f t="array" ref="F576">IFERROR((SUMPRODUCT(('Production Inputs'!$A:$A="47mg LP")*('Production Inputs'!$B:$B="TOTAL ACTIVE")*'Production Inputs'!$AU:$AU)+SUMPRODUCT(('Production Inputs'!$A:$A="47mg LP - EU Stock")*('Production Inputs'!$B:$B="TOTAL ACTIVE")*'Production Inputs'!$AU:$AU))*Dependencies!$D$5,0)</f>
        <v>0</v>
      </c>
      <c r="G576" s="37">
        <f t="array" ref="G576">IFERROR(SUMPRODUCT(('Production Inputs'!$A:$A="50mg DP")*('Production Inputs'!$B:$B="TOTAL ACTIVE")*'Production Inputs'!$AU:$AU),0)</f>
        <v>0</v>
      </c>
      <c r="H576" s="30">
        <f t="shared" si="56"/>
        <v>267607</v>
      </c>
      <c r="I576" s="30">
        <f ca="1">IFERROR(AVERAGEIF(OFFSET(F576,0,0,MIN(Controls!$B$8,COUNTIF(B576:B$1973,B576)),1),"&gt;"&amp;0),0)</f>
        <v>0</v>
      </c>
      <c r="J576" s="38">
        <f t="shared" ca="1" si="57"/>
        <v>999</v>
      </c>
      <c r="K576" s="30">
        <f t="shared" ca="1" si="61"/>
        <v>0</v>
      </c>
      <c r="L576" t="str">
        <f t="shared" ca="1" si="58"/>
        <v>Overstock</v>
      </c>
      <c r="M576" s="39">
        <f>IFERROR(VLOOKUP("50mg DP",Controls!A:I,7,0),6)</f>
        <v>9</v>
      </c>
      <c r="N576" s="39">
        <f>IFERROR(VLOOKUP("50mg DP",Controls!A:I,8,0),3)</f>
        <v>8</v>
      </c>
      <c r="O576" s="39">
        <f>IFERROR(VLOOKUP("50mg DP",Controls!A:I,9,0),18)</f>
        <v>18</v>
      </c>
      <c r="P576" s="40">
        <f>IFERROR(VLOOKUP("50mg DP",Controls!A:J,5,0),0)</f>
        <v>10000</v>
      </c>
      <c r="Q576" s="39">
        <f>IFERROR(VLOOKUP("50mg DP",Controls!A:J,6,0),3)</f>
        <v>5</v>
      </c>
      <c r="R576" s="21" t="str">
        <f>IFERROR(VLOOKUP("50mg DP",Controls!A:K,10,0),"")</f>
        <v>Patheon PDS-1</v>
      </c>
      <c r="S576" s="41">
        <f t="shared" si="59"/>
        <v>46966</v>
      </c>
      <c r="T576" s="30">
        <f t="shared" si="60"/>
        <v>0</v>
      </c>
      <c r="W576" s="205" t="e" cm="1">
        <f t="array" ref="W576">IF(35&lt;Controls!$B$7,INDEX(A541:A719,MATCH(Controls!$B$5,A541:A719,1)+35),NA())</f>
        <v>#N/A</v>
      </c>
      <c r="X576" t="e" cm="1">
        <f t="array" ref="X576">IF(35&lt;Controls!$B$7,INDEX(F541:F719,MATCH(Controls!$B$5,A541:A719,1)+35),NA())</f>
        <v>#N/A</v>
      </c>
      <c r="Y576" t="e" cm="1">
        <f t="array" ref="Y576">IF(35&lt;Controls!$B$7,INDEX(G541:G719,MATCH(Controls!$B$5,A541:A719,1)+35),NA())</f>
        <v>#N/A</v>
      </c>
      <c r="Z576" t="e" cm="1">
        <f t="array" ref="Z576">IF(35&lt;Controls!$B$7,INDEX(H541:H719,MATCH(Controls!$B$5,A541:A719,1)+35),NA())</f>
        <v>#N/A</v>
      </c>
      <c r="AA576" t="e" cm="1">
        <f t="array" ref="AA576">IF(35&lt;Controls!$B$7,INDEX(M541:M719,MATCH(Controls!$B$5,A541:A719,1)+35)*INDEX(I541:I719,MATCH(Controls!$B$5,A541:A719,1)+35),NA())</f>
        <v>#N/A</v>
      </c>
      <c r="AB576">
        <f t="shared" si="62"/>
        <v>5</v>
      </c>
    </row>
    <row r="577" spans="1:28" ht="13" customHeight="1" x14ac:dyDescent="0.35">
      <c r="A577" s="153">
        <v>47150</v>
      </c>
      <c r="B577" s="36" t="s">
        <v>43</v>
      </c>
      <c r="C577" s="15" t="s">
        <v>38</v>
      </c>
      <c r="D577" s="15" t="s">
        <v>29</v>
      </c>
      <c r="E577" s="30">
        <f>H576</f>
        <v>267607</v>
      </c>
      <c r="F577" s="37" cm="1">
        <f t="array" ref="F577">IFERROR((SUMPRODUCT(('Production Inputs'!$A:$A="47mg LP")*('Production Inputs'!$B:$B="TOTAL ACTIVE")*'Production Inputs'!$AV:$AV)+SUMPRODUCT(('Production Inputs'!$A:$A="47mg LP - EU Stock")*('Production Inputs'!$B:$B="TOTAL ACTIVE")*'Production Inputs'!$AV:$AV))*Dependencies!$D$5,0)</f>
        <v>0</v>
      </c>
      <c r="G577" s="37">
        <f t="array" ref="G577">IFERROR(SUMPRODUCT(('Production Inputs'!$A:$A="50mg DP")*('Production Inputs'!$B:$B="TOTAL ACTIVE")*'Production Inputs'!$AV:$AV),0)</f>
        <v>0</v>
      </c>
      <c r="H577" s="30">
        <f t="shared" si="56"/>
        <v>267607</v>
      </c>
      <c r="I577" s="30">
        <f ca="1">IFERROR(AVERAGEIF(OFFSET(F577,0,0,MIN(Controls!$B$8,COUNTIF(B577:B$1973,B577)),1),"&gt;"&amp;0),0)</f>
        <v>0</v>
      </c>
      <c r="J577" s="38">
        <f t="shared" ca="1" si="57"/>
        <v>999</v>
      </c>
      <c r="K577" s="30">
        <f t="shared" ca="1" si="61"/>
        <v>0</v>
      </c>
      <c r="L577" t="str">
        <f t="shared" ca="1" si="58"/>
        <v>Overstock</v>
      </c>
      <c r="M577" s="39">
        <f>IFERROR(VLOOKUP("50mg DP",Controls!A:I,7,0),6)</f>
        <v>9</v>
      </c>
      <c r="N577" s="39">
        <f>IFERROR(VLOOKUP("50mg DP",Controls!A:I,8,0),3)</f>
        <v>8</v>
      </c>
      <c r="O577" s="39">
        <f>IFERROR(VLOOKUP("50mg DP",Controls!A:I,9,0),18)</f>
        <v>18</v>
      </c>
      <c r="P577" s="40">
        <f>IFERROR(VLOOKUP("50mg DP",Controls!A:J,5,0),0)</f>
        <v>10000</v>
      </c>
      <c r="Q577" s="39">
        <f>IFERROR(VLOOKUP("50mg DP",Controls!A:J,6,0),3)</f>
        <v>5</v>
      </c>
      <c r="R577" s="21" t="str">
        <f>IFERROR(VLOOKUP("50mg DP",Controls!A:K,10,0),"")</f>
        <v>Patheon PDS-1</v>
      </c>
      <c r="S577" s="41">
        <f t="shared" si="59"/>
        <v>46997</v>
      </c>
      <c r="T577" s="30">
        <f t="shared" si="60"/>
        <v>0</v>
      </c>
      <c r="AB577">
        <f t="shared" si="62"/>
        <v>5</v>
      </c>
    </row>
    <row r="578" spans="1:28" ht="13" customHeight="1" x14ac:dyDescent="0.35">
      <c r="A578" s="153">
        <v>47178</v>
      </c>
      <c r="B578" s="36" t="s">
        <v>43</v>
      </c>
      <c r="C578" s="15" t="s">
        <v>38</v>
      </c>
      <c r="D578" s="15" t="s">
        <v>29</v>
      </c>
      <c r="E578" s="30">
        <f>H577</f>
        <v>267607</v>
      </c>
      <c r="F578" s="37" cm="1">
        <f t="array" ref="F578">IFERROR((SUMPRODUCT(('Production Inputs'!$A:$A="47mg LP")*('Production Inputs'!$B:$B="TOTAL ACTIVE")*'Production Inputs'!$AW:$AW)+SUMPRODUCT(('Production Inputs'!$A:$A="47mg LP - EU Stock")*('Production Inputs'!$B:$B="TOTAL ACTIVE")*'Production Inputs'!$AW:$AW))*Dependencies!$D$5,0)</f>
        <v>0</v>
      </c>
      <c r="G578" s="37">
        <f t="array" ref="G578">IFERROR(SUMPRODUCT(('Production Inputs'!$A:$A="50mg DP")*('Production Inputs'!$B:$B="TOTAL ACTIVE")*'Production Inputs'!$AW:$AW),0)</f>
        <v>0</v>
      </c>
      <c r="H578" s="30">
        <f t="shared" si="56"/>
        <v>267607</v>
      </c>
      <c r="I578" s="30">
        <f ca="1">IFERROR(AVERAGEIF(OFFSET(F578,0,0,MIN(Controls!$B$8,COUNTIF(B578:B$1973,B578)),1),"&gt;"&amp;0),0)</f>
        <v>0</v>
      </c>
      <c r="J578" s="38">
        <f t="shared" ca="1" si="57"/>
        <v>999</v>
      </c>
      <c r="K578" s="30">
        <f t="shared" ca="1" si="61"/>
        <v>0</v>
      </c>
      <c r="L578" t="str">
        <f t="shared" ca="1" si="58"/>
        <v>Overstock</v>
      </c>
      <c r="M578" s="39">
        <f>IFERROR(VLOOKUP("50mg DP",Controls!A:I,7,0),6)</f>
        <v>9</v>
      </c>
      <c r="N578" s="39">
        <f>IFERROR(VLOOKUP("50mg DP",Controls!A:I,8,0),3)</f>
        <v>8</v>
      </c>
      <c r="O578" s="39">
        <f>IFERROR(VLOOKUP("50mg DP",Controls!A:I,9,0),18)</f>
        <v>18</v>
      </c>
      <c r="P578" s="40">
        <f>IFERROR(VLOOKUP("50mg DP",Controls!A:J,5,0),0)</f>
        <v>10000</v>
      </c>
      <c r="Q578" s="39">
        <f>IFERROR(VLOOKUP("50mg DP",Controls!A:J,6,0),3)</f>
        <v>5</v>
      </c>
      <c r="R578" s="21" t="str">
        <f>IFERROR(VLOOKUP("50mg DP",Controls!A:K,10,0),"")</f>
        <v>Patheon PDS-1</v>
      </c>
      <c r="S578" s="41">
        <f t="shared" si="59"/>
        <v>47027</v>
      </c>
      <c r="T578" s="30">
        <f t="shared" si="60"/>
        <v>0</v>
      </c>
      <c r="AB578">
        <f t="shared" si="62"/>
        <v>5</v>
      </c>
    </row>
    <row r="579" spans="1:28" ht="13" customHeight="1" x14ac:dyDescent="0.35">
      <c r="A579" s="153">
        <v>47209</v>
      </c>
      <c r="B579" s="36" t="s">
        <v>43</v>
      </c>
      <c r="C579" s="15" t="s">
        <v>38</v>
      </c>
      <c r="D579" s="15" t="s">
        <v>29</v>
      </c>
      <c r="E579" s="30">
        <f>H578</f>
        <v>267607</v>
      </c>
      <c r="F579" s="37" cm="1">
        <f t="array" ref="F579">IFERROR((SUMPRODUCT(('Production Inputs'!$A:$A="47mg LP")*('Production Inputs'!$B:$B="TOTAL ACTIVE")*'Production Inputs'!$AX:$AX)+SUMPRODUCT(('Production Inputs'!$A:$A="47mg LP - EU Stock")*('Production Inputs'!$B:$B="TOTAL ACTIVE")*'Production Inputs'!$AX:$AX))*Dependencies!$D$5,0)</f>
        <v>0</v>
      </c>
      <c r="G579" s="37">
        <f t="array" ref="G579">IFERROR(SUMPRODUCT(('Production Inputs'!$A:$A="50mg DP")*('Production Inputs'!$B:$B="TOTAL ACTIVE")*'Production Inputs'!$AX:$AX),0)</f>
        <v>0</v>
      </c>
      <c r="H579" s="30">
        <f t="shared" si="56"/>
        <v>267607</v>
      </c>
      <c r="I579" s="30">
        <f ca="1">IFERROR(AVERAGEIF(OFFSET(F579,0,0,MIN(Controls!$B$8,COUNTIF(B579:B$1973,B579)),1),"&gt;"&amp;0),0)</f>
        <v>0</v>
      </c>
      <c r="J579" s="38">
        <f t="shared" ca="1" si="57"/>
        <v>999</v>
      </c>
      <c r="K579" s="30">
        <f t="shared" ca="1" si="61"/>
        <v>0</v>
      </c>
      <c r="L579" t="str">
        <f t="shared" ca="1" si="58"/>
        <v>Overstock</v>
      </c>
      <c r="M579" s="39">
        <f>IFERROR(VLOOKUP("50mg DP",Controls!A:I,7,0),6)</f>
        <v>9</v>
      </c>
      <c r="N579" s="39">
        <f>IFERROR(VLOOKUP("50mg DP",Controls!A:I,8,0),3)</f>
        <v>8</v>
      </c>
      <c r="O579" s="39">
        <f>IFERROR(VLOOKUP("50mg DP",Controls!A:I,9,0),18)</f>
        <v>18</v>
      </c>
      <c r="P579" s="40">
        <f>IFERROR(VLOOKUP("50mg DP",Controls!A:J,5,0),0)</f>
        <v>10000</v>
      </c>
      <c r="Q579" s="39">
        <f>IFERROR(VLOOKUP("50mg DP",Controls!A:J,6,0),3)</f>
        <v>5</v>
      </c>
      <c r="R579" s="21" t="str">
        <f>IFERROR(VLOOKUP("50mg DP",Controls!A:K,10,0),"")</f>
        <v>Patheon PDS-1</v>
      </c>
      <c r="S579" s="41">
        <f t="shared" si="59"/>
        <v>47058</v>
      </c>
      <c r="T579" s="30">
        <f t="shared" si="60"/>
        <v>0</v>
      </c>
      <c r="AB579">
        <f t="shared" si="62"/>
        <v>5</v>
      </c>
    </row>
    <row r="580" spans="1:28" ht="13" customHeight="1" x14ac:dyDescent="0.35">
      <c r="A580" s="153">
        <v>47239</v>
      </c>
      <c r="B580" s="36" t="s">
        <v>43</v>
      </c>
      <c r="C580" s="15" t="s">
        <v>38</v>
      </c>
      <c r="D580" s="15" t="s">
        <v>29</v>
      </c>
      <c r="E580" s="30">
        <f>H579</f>
        <v>267607</v>
      </c>
      <c r="F580" s="37" cm="1">
        <f t="array" ref="F580">IFERROR((SUMPRODUCT(('Production Inputs'!$A:$A="47mg LP")*('Production Inputs'!$B:$B="TOTAL ACTIVE")*'Production Inputs'!$AY:$AY)+SUMPRODUCT(('Production Inputs'!$A:$A="47mg LP - EU Stock")*('Production Inputs'!$B:$B="TOTAL ACTIVE")*'Production Inputs'!$AY:$AY))*Dependencies!$D$5,0)</f>
        <v>0</v>
      </c>
      <c r="G580" s="37">
        <f t="array" ref="G580">IFERROR(SUMPRODUCT(('Production Inputs'!$A:$A="50mg DP")*('Production Inputs'!$B:$B="TOTAL ACTIVE")*'Production Inputs'!$AY:$AY),0)</f>
        <v>0</v>
      </c>
      <c r="H580" s="30">
        <f t="shared" ref="H580:H643" si="63">E580+G580-F580</f>
        <v>267607</v>
      </c>
      <c r="I580" s="30">
        <f ca="1">IFERROR(AVERAGEIF(OFFSET(F580,0,0,MIN(Controls!$B$8,COUNTIF(B580:B$1973,B580)),1),"&gt;"&amp;0),0)</f>
        <v>0</v>
      </c>
      <c r="J580" s="38">
        <f t="shared" ref="J580:J643" ca="1" si="64">IFERROR(H580/I580,IF(H580&gt;0,999,0))</f>
        <v>999</v>
      </c>
      <c r="K580" s="30">
        <f t="shared" ca="1" si="61"/>
        <v>0</v>
      </c>
      <c r="L580" t="str">
        <f t="shared" ref="L580:L643" ca="1" si="65">IF(H580&lt;=0,"High",IF(J580&lt;N580,"High",IF(J580&lt;M580,"Medium",IF(J580&gt;O580,"Overstock","Low"))))</f>
        <v>Overstock</v>
      </c>
      <c r="M580" s="39">
        <f>IFERROR(VLOOKUP("50mg DP",Controls!A:I,7,0),6)</f>
        <v>9</v>
      </c>
      <c r="N580" s="39">
        <f>IFERROR(VLOOKUP("50mg DP",Controls!A:I,8,0),3)</f>
        <v>8</v>
      </c>
      <c r="O580" s="39">
        <f>IFERROR(VLOOKUP("50mg DP",Controls!A:I,9,0),18)</f>
        <v>18</v>
      </c>
      <c r="P580" s="40">
        <f>IFERROR(VLOOKUP("50mg DP",Controls!A:J,5,0),0)</f>
        <v>10000</v>
      </c>
      <c r="Q580" s="39">
        <f>IFERROR(VLOOKUP("50mg DP",Controls!A:J,6,0),3)</f>
        <v>5</v>
      </c>
      <c r="R580" s="21" t="str">
        <f>IFERROR(VLOOKUP("50mg DP",Controls!A:K,10,0),"")</f>
        <v>Patheon PDS-1</v>
      </c>
      <c r="S580" s="41">
        <f t="shared" ref="S580:S643" si="66">IFERROR(EDATE(A580,-Q580),"")</f>
        <v>47088</v>
      </c>
      <c r="T580" s="30">
        <f t="shared" ref="T580:T643" si="67">G580</f>
        <v>0</v>
      </c>
      <c r="AB580">
        <f t="shared" si="62"/>
        <v>5</v>
      </c>
    </row>
    <row r="581" spans="1:28" ht="13" customHeight="1" x14ac:dyDescent="0.35">
      <c r="A581" s="153">
        <v>47270</v>
      </c>
      <c r="B581" s="36" t="s">
        <v>43</v>
      </c>
      <c r="C581" s="15" t="s">
        <v>38</v>
      </c>
      <c r="D581" s="15" t="s">
        <v>29</v>
      </c>
      <c r="E581" s="30">
        <f>H580</f>
        <v>267607</v>
      </c>
      <c r="F581" s="37" cm="1">
        <f t="array" ref="F581">IFERROR((SUMPRODUCT(('Production Inputs'!$A:$A="47mg LP")*('Production Inputs'!$B:$B="TOTAL ACTIVE")*'Production Inputs'!$AZ:$AZ)+SUMPRODUCT(('Production Inputs'!$A:$A="47mg LP - EU Stock")*('Production Inputs'!$B:$B="TOTAL ACTIVE")*'Production Inputs'!$AZ:$AZ))*Dependencies!$D$5,0)</f>
        <v>0</v>
      </c>
      <c r="G581" s="37">
        <f t="array" ref="G581">IFERROR(SUMPRODUCT(('Production Inputs'!$A:$A="50mg DP")*('Production Inputs'!$B:$B="TOTAL ACTIVE")*'Production Inputs'!$AZ:$AZ),0)</f>
        <v>0</v>
      </c>
      <c r="H581" s="30">
        <f t="shared" si="63"/>
        <v>267607</v>
      </c>
      <c r="I581" s="30">
        <f ca="1">IFERROR(AVERAGEIF(OFFSET(F581,0,0,MIN(Controls!$B$8,COUNTIF(B581:B$1973,B581)),1),"&gt;"&amp;0),0)</f>
        <v>0</v>
      </c>
      <c r="J581" s="38">
        <f t="shared" ca="1" si="64"/>
        <v>999</v>
      </c>
      <c r="K581" s="30">
        <f t="shared" ref="K581:K644" ca="1" si="68">IFERROR(IF(H581&lt;(N581*I581), CEILING(MAX(0,ROUND((M581*I581-H581)/P581,0)*P581),P581), 0), 0)</f>
        <v>0</v>
      </c>
      <c r="L581" t="str">
        <f t="shared" ca="1" si="65"/>
        <v>Overstock</v>
      </c>
      <c r="M581" s="39">
        <f>IFERROR(VLOOKUP("50mg DP",Controls!A:I,7,0),6)</f>
        <v>9</v>
      </c>
      <c r="N581" s="39">
        <f>IFERROR(VLOOKUP("50mg DP",Controls!A:I,8,0),3)</f>
        <v>8</v>
      </c>
      <c r="O581" s="39">
        <f>IFERROR(VLOOKUP("50mg DP",Controls!A:I,9,0),18)</f>
        <v>18</v>
      </c>
      <c r="P581" s="40">
        <f>IFERROR(VLOOKUP("50mg DP",Controls!A:J,5,0),0)</f>
        <v>10000</v>
      </c>
      <c r="Q581" s="39">
        <f>IFERROR(VLOOKUP("50mg DP",Controls!A:J,6,0),3)</f>
        <v>5</v>
      </c>
      <c r="R581" s="21" t="str">
        <f>IFERROR(VLOOKUP("50mg DP",Controls!A:K,10,0),"")</f>
        <v>Patheon PDS-1</v>
      </c>
      <c r="S581" s="41">
        <f t="shared" si="66"/>
        <v>47119</v>
      </c>
      <c r="T581" s="30">
        <f t="shared" si="67"/>
        <v>0</v>
      </c>
      <c r="AB581">
        <f t="shared" ref="AB581:AB644" si="69">SUMIFS($F$4:$F$2331,$B$4:$B$2331,B581,$A$4:$A$2331,"&lt;="&amp;A581)</f>
        <v>5</v>
      </c>
    </row>
    <row r="582" spans="1:28" ht="13" customHeight="1" x14ac:dyDescent="0.35">
      <c r="A582" s="153">
        <v>47300</v>
      </c>
      <c r="B582" s="36" t="s">
        <v>43</v>
      </c>
      <c r="C582" s="15" t="s">
        <v>38</v>
      </c>
      <c r="D582" s="15" t="s">
        <v>29</v>
      </c>
      <c r="E582" s="30">
        <f>H581</f>
        <v>267607</v>
      </c>
      <c r="F582" s="37" cm="1">
        <f t="array" ref="F582">IFERROR((SUMPRODUCT(('Production Inputs'!$A:$A="47mg LP")*('Production Inputs'!$B:$B="TOTAL ACTIVE")*'Production Inputs'!$BA:$BA)+SUMPRODUCT(('Production Inputs'!$A:$A="47mg LP - EU Stock")*('Production Inputs'!$B:$B="TOTAL ACTIVE")*'Production Inputs'!$BA:$BA))*Dependencies!$D$5,0)</f>
        <v>0</v>
      </c>
      <c r="G582" s="37">
        <f t="array" ref="G582">IFERROR(SUMPRODUCT(('Production Inputs'!$A:$A="50mg DP")*('Production Inputs'!$B:$B="TOTAL ACTIVE")*'Production Inputs'!$BA:$BA),0)</f>
        <v>0</v>
      </c>
      <c r="H582" s="30">
        <f t="shared" si="63"/>
        <v>267607</v>
      </c>
      <c r="I582" s="30">
        <f ca="1">IFERROR(AVERAGEIF(OFFSET(F582,0,0,MIN(Controls!$B$8,COUNTIF(B582:B$1973,B582)),1),"&gt;"&amp;0),0)</f>
        <v>0</v>
      </c>
      <c r="J582" s="38">
        <f t="shared" ca="1" si="64"/>
        <v>999</v>
      </c>
      <c r="K582" s="30">
        <f t="shared" ca="1" si="68"/>
        <v>0</v>
      </c>
      <c r="L582" t="str">
        <f t="shared" ca="1" si="65"/>
        <v>Overstock</v>
      </c>
      <c r="M582" s="39">
        <f>IFERROR(VLOOKUP("50mg DP",Controls!A:I,7,0),6)</f>
        <v>9</v>
      </c>
      <c r="N582" s="39">
        <f>IFERROR(VLOOKUP("50mg DP",Controls!A:I,8,0),3)</f>
        <v>8</v>
      </c>
      <c r="O582" s="39">
        <f>IFERROR(VLOOKUP("50mg DP",Controls!A:I,9,0),18)</f>
        <v>18</v>
      </c>
      <c r="P582" s="40">
        <f>IFERROR(VLOOKUP("50mg DP",Controls!A:J,5,0),0)</f>
        <v>10000</v>
      </c>
      <c r="Q582" s="39">
        <f>IFERROR(VLOOKUP("50mg DP",Controls!A:J,6,0),3)</f>
        <v>5</v>
      </c>
      <c r="R582" s="21" t="str">
        <f>IFERROR(VLOOKUP("50mg DP",Controls!A:K,10,0),"")</f>
        <v>Patheon PDS-1</v>
      </c>
      <c r="S582" s="41">
        <f t="shared" si="66"/>
        <v>47150</v>
      </c>
      <c r="T582" s="30">
        <f t="shared" si="67"/>
        <v>0</v>
      </c>
      <c r="AB582">
        <f t="shared" si="69"/>
        <v>5</v>
      </c>
    </row>
    <row r="583" spans="1:28" ht="13" customHeight="1" x14ac:dyDescent="0.35">
      <c r="A583" s="153">
        <v>47331</v>
      </c>
      <c r="B583" s="36" t="s">
        <v>43</v>
      </c>
      <c r="C583" s="15" t="s">
        <v>38</v>
      </c>
      <c r="D583" s="15" t="s">
        <v>29</v>
      </c>
      <c r="E583" s="30">
        <f>H582</f>
        <v>267607</v>
      </c>
      <c r="F583" s="37" cm="1">
        <f t="array" ref="F583">IFERROR((SUMPRODUCT(('Production Inputs'!$A:$A="47mg LP")*('Production Inputs'!$B:$B="TOTAL ACTIVE")*'Production Inputs'!$BB:$BB)+SUMPRODUCT(('Production Inputs'!$A:$A="47mg LP - EU Stock")*('Production Inputs'!$B:$B="TOTAL ACTIVE")*'Production Inputs'!$BB:$BB))*Dependencies!$D$5,0)</f>
        <v>0</v>
      </c>
      <c r="G583" s="37">
        <f t="array" ref="G583">IFERROR(SUMPRODUCT(('Production Inputs'!$A:$A="50mg DP")*('Production Inputs'!$B:$B="TOTAL ACTIVE")*'Production Inputs'!$BB:$BB),0)</f>
        <v>0</v>
      </c>
      <c r="H583" s="30">
        <f t="shared" si="63"/>
        <v>267607</v>
      </c>
      <c r="I583" s="30">
        <f ca="1">IFERROR(AVERAGEIF(OFFSET(F583,0,0,MIN(Controls!$B$8,COUNTIF(B583:B$1973,B583)),1),"&gt;"&amp;0),0)</f>
        <v>0</v>
      </c>
      <c r="J583" s="38">
        <f t="shared" ca="1" si="64"/>
        <v>999</v>
      </c>
      <c r="K583" s="30">
        <f t="shared" ca="1" si="68"/>
        <v>0</v>
      </c>
      <c r="L583" t="str">
        <f t="shared" ca="1" si="65"/>
        <v>Overstock</v>
      </c>
      <c r="M583" s="39">
        <f>IFERROR(VLOOKUP("50mg DP",Controls!A:I,7,0),6)</f>
        <v>9</v>
      </c>
      <c r="N583" s="39">
        <f>IFERROR(VLOOKUP("50mg DP",Controls!A:I,8,0),3)</f>
        <v>8</v>
      </c>
      <c r="O583" s="39">
        <f>IFERROR(VLOOKUP("50mg DP",Controls!A:I,9,0),18)</f>
        <v>18</v>
      </c>
      <c r="P583" s="40">
        <f>IFERROR(VLOOKUP("50mg DP",Controls!A:J,5,0),0)</f>
        <v>10000</v>
      </c>
      <c r="Q583" s="39">
        <f>IFERROR(VLOOKUP("50mg DP",Controls!A:J,6,0),3)</f>
        <v>5</v>
      </c>
      <c r="R583" s="21" t="str">
        <f>IFERROR(VLOOKUP("50mg DP",Controls!A:K,10,0),"")</f>
        <v>Patheon PDS-1</v>
      </c>
      <c r="S583" s="41">
        <f t="shared" si="66"/>
        <v>47178</v>
      </c>
      <c r="T583" s="30">
        <f t="shared" si="67"/>
        <v>0</v>
      </c>
      <c r="AB583">
        <f t="shared" si="69"/>
        <v>5</v>
      </c>
    </row>
    <row r="584" spans="1:28" ht="13" customHeight="1" x14ac:dyDescent="0.35">
      <c r="A584" s="153">
        <v>47362</v>
      </c>
      <c r="B584" s="36" t="s">
        <v>43</v>
      </c>
      <c r="C584" s="15" t="s">
        <v>38</v>
      </c>
      <c r="D584" s="15" t="s">
        <v>29</v>
      </c>
      <c r="E584" s="30">
        <f>H583</f>
        <v>267607</v>
      </c>
      <c r="F584" s="37" cm="1">
        <f t="array" ref="F584">IFERROR((SUMPRODUCT(('Production Inputs'!$A:$A="47mg LP")*('Production Inputs'!$B:$B="TOTAL ACTIVE")*'Production Inputs'!$BC:$BC)+SUMPRODUCT(('Production Inputs'!$A:$A="47mg LP - EU Stock")*('Production Inputs'!$B:$B="TOTAL ACTIVE")*'Production Inputs'!$BC:$BC))*Dependencies!$D$5,0)</f>
        <v>0</v>
      </c>
      <c r="G584" s="37">
        <f t="array" ref="G584">IFERROR(SUMPRODUCT(('Production Inputs'!$A:$A="50mg DP")*('Production Inputs'!$B:$B="TOTAL ACTIVE")*'Production Inputs'!$BC:$BC),0)</f>
        <v>0</v>
      </c>
      <c r="H584" s="30">
        <f t="shared" si="63"/>
        <v>267607</v>
      </c>
      <c r="I584" s="30">
        <f ca="1">IFERROR(AVERAGEIF(OFFSET(F584,0,0,MIN(Controls!$B$8,COUNTIF(B584:B$1973,B584)),1),"&gt;"&amp;0),0)</f>
        <v>0</v>
      </c>
      <c r="J584" s="38">
        <f t="shared" ca="1" si="64"/>
        <v>999</v>
      </c>
      <c r="K584" s="30">
        <f t="shared" ca="1" si="68"/>
        <v>0</v>
      </c>
      <c r="L584" t="str">
        <f t="shared" ca="1" si="65"/>
        <v>Overstock</v>
      </c>
      <c r="M584" s="39">
        <f>IFERROR(VLOOKUP("50mg DP",Controls!A:I,7,0),6)</f>
        <v>9</v>
      </c>
      <c r="N584" s="39">
        <f>IFERROR(VLOOKUP("50mg DP",Controls!A:I,8,0),3)</f>
        <v>8</v>
      </c>
      <c r="O584" s="39">
        <f>IFERROR(VLOOKUP("50mg DP",Controls!A:I,9,0),18)</f>
        <v>18</v>
      </c>
      <c r="P584" s="40">
        <f>IFERROR(VLOOKUP("50mg DP",Controls!A:J,5,0),0)</f>
        <v>10000</v>
      </c>
      <c r="Q584" s="39">
        <f>IFERROR(VLOOKUP("50mg DP",Controls!A:J,6,0),3)</f>
        <v>5</v>
      </c>
      <c r="R584" s="21" t="str">
        <f>IFERROR(VLOOKUP("50mg DP",Controls!A:K,10,0),"")</f>
        <v>Patheon PDS-1</v>
      </c>
      <c r="S584" s="41">
        <f t="shared" si="66"/>
        <v>47209</v>
      </c>
      <c r="T584" s="30">
        <f t="shared" si="67"/>
        <v>0</v>
      </c>
      <c r="AB584">
        <f t="shared" si="69"/>
        <v>5</v>
      </c>
    </row>
    <row r="585" spans="1:28" ht="13" customHeight="1" x14ac:dyDescent="0.35">
      <c r="A585" s="153">
        <v>47392</v>
      </c>
      <c r="B585" s="36" t="s">
        <v>43</v>
      </c>
      <c r="C585" s="15" t="s">
        <v>38</v>
      </c>
      <c r="D585" s="15" t="s">
        <v>29</v>
      </c>
      <c r="E585" s="30">
        <f>H584</f>
        <v>267607</v>
      </c>
      <c r="F585" s="37" cm="1">
        <f t="array" ref="F585">IFERROR((SUMPRODUCT(('Production Inputs'!$A:$A="47mg LP")*('Production Inputs'!$B:$B="TOTAL ACTIVE")*'Production Inputs'!$BD:$BD)+SUMPRODUCT(('Production Inputs'!$A:$A="47mg LP - EU Stock")*('Production Inputs'!$B:$B="TOTAL ACTIVE")*'Production Inputs'!$BD:$BD))*Dependencies!$D$5,0)</f>
        <v>0</v>
      </c>
      <c r="G585" s="37">
        <f t="array" ref="G585">IFERROR(SUMPRODUCT(('Production Inputs'!$A:$A="50mg DP")*('Production Inputs'!$B:$B="TOTAL ACTIVE")*'Production Inputs'!$BD:$BD),0)</f>
        <v>0</v>
      </c>
      <c r="H585" s="30">
        <f t="shared" si="63"/>
        <v>267607</v>
      </c>
      <c r="I585" s="30">
        <f ca="1">IFERROR(AVERAGEIF(OFFSET(F585,0,0,MIN(Controls!$B$8,COUNTIF(B585:B$1973,B585)),1),"&gt;"&amp;0),0)</f>
        <v>0</v>
      </c>
      <c r="J585" s="38">
        <f t="shared" ca="1" si="64"/>
        <v>999</v>
      </c>
      <c r="K585" s="30">
        <f t="shared" ca="1" si="68"/>
        <v>0</v>
      </c>
      <c r="L585" t="str">
        <f t="shared" ca="1" si="65"/>
        <v>Overstock</v>
      </c>
      <c r="M585" s="39">
        <f>IFERROR(VLOOKUP("50mg DP",Controls!A:I,7,0),6)</f>
        <v>9</v>
      </c>
      <c r="N585" s="39">
        <f>IFERROR(VLOOKUP("50mg DP",Controls!A:I,8,0),3)</f>
        <v>8</v>
      </c>
      <c r="O585" s="39">
        <f>IFERROR(VLOOKUP("50mg DP",Controls!A:I,9,0),18)</f>
        <v>18</v>
      </c>
      <c r="P585" s="40">
        <f>IFERROR(VLOOKUP("50mg DP",Controls!A:J,5,0),0)</f>
        <v>10000</v>
      </c>
      <c r="Q585" s="39">
        <f>IFERROR(VLOOKUP("50mg DP",Controls!A:J,6,0),3)</f>
        <v>5</v>
      </c>
      <c r="R585" s="21" t="str">
        <f>IFERROR(VLOOKUP("50mg DP",Controls!A:K,10,0),"")</f>
        <v>Patheon PDS-1</v>
      </c>
      <c r="S585" s="41">
        <f t="shared" si="66"/>
        <v>47239</v>
      </c>
      <c r="T585" s="30">
        <f t="shared" si="67"/>
        <v>0</v>
      </c>
      <c r="AB585">
        <f t="shared" si="69"/>
        <v>5</v>
      </c>
    </row>
    <row r="586" spans="1:28" ht="13" customHeight="1" x14ac:dyDescent="0.35">
      <c r="A586" s="153">
        <v>47423</v>
      </c>
      <c r="B586" s="36" t="s">
        <v>43</v>
      </c>
      <c r="C586" s="15" t="s">
        <v>38</v>
      </c>
      <c r="D586" s="15" t="s">
        <v>29</v>
      </c>
      <c r="E586" s="30">
        <f>H585</f>
        <v>267607</v>
      </c>
      <c r="F586" s="37" cm="1">
        <f t="array" ref="F586">IFERROR((SUMPRODUCT(('Production Inputs'!$A:$A="47mg LP")*('Production Inputs'!$B:$B="TOTAL ACTIVE")*'Production Inputs'!$BE:$BE)+SUMPRODUCT(('Production Inputs'!$A:$A="47mg LP - EU Stock")*('Production Inputs'!$B:$B="TOTAL ACTIVE")*'Production Inputs'!$BE:$BE))*Dependencies!$D$5,0)</f>
        <v>0</v>
      </c>
      <c r="G586" s="37">
        <f t="array" ref="G586">IFERROR(SUMPRODUCT(('Production Inputs'!$A:$A="50mg DP")*('Production Inputs'!$B:$B="TOTAL ACTIVE")*'Production Inputs'!$BE:$BE),0)</f>
        <v>0</v>
      </c>
      <c r="H586" s="30">
        <f t="shared" si="63"/>
        <v>267607</v>
      </c>
      <c r="I586" s="30">
        <f ca="1">IFERROR(AVERAGEIF(OFFSET(F586,0,0,MIN(Controls!$B$8,COUNTIF(B586:B$1973,B586)),1),"&gt;"&amp;0),0)</f>
        <v>0</v>
      </c>
      <c r="J586" s="38">
        <f t="shared" ca="1" si="64"/>
        <v>999</v>
      </c>
      <c r="K586" s="30">
        <f t="shared" ca="1" si="68"/>
        <v>0</v>
      </c>
      <c r="L586" t="str">
        <f t="shared" ca="1" si="65"/>
        <v>Overstock</v>
      </c>
      <c r="M586" s="39">
        <f>IFERROR(VLOOKUP("50mg DP",Controls!A:I,7,0),6)</f>
        <v>9</v>
      </c>
      <c r="N586" s="39">
        <f>IFERROR(VLOOKUP("50mg DP",Controls!A:I,8,0),3)</f>
        <v>8</v>
      </c>
      <c r="O586" s="39">
        <f>IFERROR(VLOOKUP("50mg DP",Controls!A:I,9,0),18)</f>
        <v>18</v>
      </c>
      <c r="P586" s="40">
        <f>IFERROR(VLOOKUP("50mg DP",Controls!A:J,5,0),0)</f>
        <v>10000</v>
      </c>
      <c r="Q586" s="39">
        <f>IFERROR(VLOOKUP("50mg DP",Controls!A:J,6,0),3)</f>
        <v>5</v>
      </c>
      <c r="R586" s="21" t="str">
        <f>IFERROR(VLOOKUP("50mg DP",Controls!A:K,10,0),"")</f>
        <v>Patheon PDS-1</v>
      </c>
      <c r="S586" s="41">
        <f t="shared" si="66"/>
        <v>47270</v>
      </c>
      <c r="T586" s="30">
        <f t="shared" si="67"/>
        <v>0</v>
      </c>
      <c r="AB586">
        <f t="shared" si="69"/>
        <v>5</v>
      </c>
    </row>
    <row r="587" spans="1:28" ht="13" customHeight="1" x14ac:dyDescent="0.35">
      <c r="A587" s="153">
        <v>47453</v>
      </c>
      <c r="B587" s="36" t="s">
        <v>43</v>
      </c>
      <c r="C587" s="15" t="s">
        <v>38</v>
      </c>
      <c r="D587" s="15" t="s">
        <v>29</v>
      </c>
      <c r="E587" s="30">
        <f>H586</f>
        <v>267607</v>
      </c>
      <c r="F587" s="37" cm="1">
        <f t="array" ref="F587">IFERROR((SUMPRODUCT(('Production Inputs'!$A:$A="47mg LP")*('Production Inputs'!$B:$B="TOTAL ACTIVE")*'Production Inputs'!$BF:$BF)+SUMPRODUCT(('Production Inputs'!$A:$A="47mg LP - EU Stock")*('Production Inputs'!$B:$B="TOTAL ACTIVE")*'Production Inputs'!$BF:$BF))*Dependencies!$D$5,0)</f>
        <v>0</v>
      </c>
      <c r="G587" s="37">
        <f t="array" ref="G587">IFERROR(SUMPRODUCT(('Production Inputs'!$A:$A="50mg DP")*('Production Inputs'!$B:$B="TOTAL ACTIVE")*'Production Inputs'!$BF:$BF),0)</f>
        <v>0</v>
      </c>
      <c r="H587" s="30">
        <f t="shared" si="63"/>
        <v>267607</v>
      </c>
      <c r="I587" s="30">
        <f ca="1">IFERROR(AVERAGEIF(OFFSET(F587,0,0,MIN(Controls!$B$8,COUNTIF(B587:B$1973,B587)),1),"&gt;"&amp;0),0)</f>
        <v>0</v>
      </c>
      <c r="J587" s="38">
        <f t="shared" ca="1" si="64"/>
        <v>999</v>
      </c>
      <c r="K587" s="30">
        <f t="shared" ca="1" si="68"/>
        <v>0</v>
      </c>
      <c r="L587" t="str">
        <f t="shared" ca="1" si="65"/>
        <v>Overstock</v>
      </c>
      <c r="M587" s="39">
        <f>IFERROR(VLOOKUP("50mg DP",Controls!A:I,7,0),6)</f>
        <v>9</v>
      </c>
      <c r="N587" s="39">
        <f>IFERROR(VLOOKUP("50mg DP",Controls!A:I,8,0),3)</f>
        <v>8</v>
      </c>
      <c r="O587" s="39">
        <f>IFERROR(VLOOKUP("50mg DP",Controls!A:I,9,0),18)</f>
        <v>18</v>
      </c>
      <c r="P587" s="40">
        <f>IFERROR(VLOOKUP("50mg DP",Controls!A:J,5,0),0)</f>
        <v>10000</v>
      </c>
      <c r="Q587" s="39">
        <f>IFERROR(VLOOKUP("50mg DP",Controls!A:J,6,0),3)</f>
        <v>5</v>
      </c>
      <c r="R587" s="21" t="str">
        <f>IFERROR(VLOOKUP("50mg DP",Controls!A:K,10,0),"")</f>
        <v>Patheon PDS-1</v>
      </c>
      <c r="S587" s="41">
        <f t="shared" si="66"/>
        <v>47300</v>
      </c>
      <c r="T587" s="30">
        <f t="shared" si="67"/>
        <v>0</v>
      </c>
      <c r="AB587">
        <f t="shared" si="69"/>
        <v>5</v>
      </c>
    </row>
    <row r="588" spans="1:28" ht="13" customHeight="1" x14ac:dyDescent="0.35">
      <c r="A588" s="153">
        <v>47484</v>
      </c>
      <c r="B588" s="36" t="s">
        <v>43</v>
      </c>
      <c r="C588" s="15" t="s">
        <v>38</v>
      </c>
      <c r="D588" s="15" t="s">
        <v>29</v>
      </c>
      <c r="E588" s="30">
        <f>H587</f>
        <v>267607</v>
      </c>
      <c r="F588" s="37" cm="1">
        <f t="array" ref="F588">IFERROR((SUMPRODUCT(('Production Inputs'!$A:$A="47mg LP")*('Production Inputs'!$B:$B="TOTAL ACTIVE")*'Production Inputs'!$BG:$BG)+SUMPRODUCT(('Production Inputs'!$A:$A="47mg LP - EU Stock")*('Production Inputs'!$B:$B="TOTAL ACTIVE")*'Production Inputs'!$BG:$BG))*Dependencies!$D$5,0)</f>
        <v>0</v>
      </c>
      <c r="G588" s="37">
        <f t="array" ref="G588">IFERROR(SUMPRODUCT(('Production Inputs'!$A:$A="50mg DP")*('Production Inputs'!$B:$B="TOTAL ACTIVE")*'Production Inputs'!$BG:$BG),0)</f>
        <v>0</v>
      </c>
      <c r="H588" s="30">
        <f t="shared" si="63"/>
        <v>267607</v>
      </c>
      <c r="I588" s="30">
        <f ca="1">IFERROR(AVERAGEIF(OFFSET(F588,0,0,MIN(Controls!$B$8,COUNTIF(B588:B$1973,B588)),1),"&gt;"&amp;0),0)</f>
        <v>0</v>
      </c>
      <c r="J588" s="38">
        <f t="shared" ca="1" si="64"/>
        <v>999</v>
      </c>
      <c r="K588" s="30">
        <f t="shared" ca="1" si="68"/>
        <v>0</v>
      </c>
      <c r="L588" t="str">
        <f t="shared" ca="1" si="65"/>
        <v>Overstock</v>
      </c>
      <c r="M588" s="39">
        <f>IFERROR(VLOOKUP("50mg DP",Controls!A:I,7,0),6)</f>
        <v>9</v>
      </c>
      <c r="N588" s="39">
        <f>IFERROR(VLOOKUP("50mg DP",Controls!A:I,8,0),3)</f>
        <v>8</v>
      </c>
      <c r="O588" s="39">
        <f>IFERROR(VLOOKUP("50mg DP",Controls!A:I,9,0),18)</f>
        <v>18</v>
      </c>
      <c r="P588" s="40">
        <f>IFERROR(VLOOKUP("50mg DP",Controls!A:J,5,0),0)</f>
        <v>10000</v>
      </c>
      <c r="Q588" s="39">
        <f>IFERROR(VLOOKUP("50mg DP",Controls!A:J,6,0),3)</f>
        <v>5</v>
      </c>
      <c r="R588" s="21" t="str">
        <f>IFERROR(VLOOKUP("50mg DP",Controls!A:K,10,0),"")</f>
        <v>Patheon PDS-1</v>
      </c>
      <c r="S588" s="41">
        <f t="shared" si="66"/>
        <v>47331</v>
      </c>
      <c r="T588" s="30">
        <f t="shared" si="67"/>
        <v>0</v>
      </c>
      <c r="AB588">
        <f t="shared" si="69"/>
        <v>5</v>
      </c>
    </row>
    <row r="589" spans="1:28" ht="13" customHeight="1" x14ac:dyDescent="0.35">
      <c r="A589" s="153">
        <v>47515</v>
      </c>
      <c r="B589" s="36" t="s">
        <v>43</v>
      </c>
      <c r="C589" s="15" t="s">
        <v>38</v>
      </c>
      <c r="D589" s="15" t="s">
        <v>29</v>
      </c>
      <c r="E589" s="30">
        <f>H588</f>
        <v>267607</v>
      </c>
      <c r="F589" s="37" cm="1">
        <f t="array" ref="F589">IFERROR((SUMPRODUCT(('Production Inputs'!$A:$A="47mg LP")*('Production Inputs'!$B:$B="TOTAL ACTIVE")*'Production Inputs'!$BH:$BH)+SUMPRODUCT(('Production Inputs'!$A:$A="47mg LP - EU Stock")*('Production Inputs'!$B:$B="TOTAL ACTIVE")*'Production Inputs'!$BH:$BH))*Dependencies!$D$5,0)</f>
        <v>0</v>
      </c>
      <c r="G589" s="37">
        <f t="array" ref="G589">IFERROR(SUMPRODUCT(('Production Inputs'!$A:$A="50mg DP")*('Production Inputs'!$B:$B="TOTAL ACTIVE")*'Production Inputs'!$BH:$BH),0)</f>
        <v>0</v>
      </c>
      <c r="H589" s="30">
        <f t="shared" si="63"/>
        <v>267607</v>
      </c>
      <c r="I589" s="30">
        <f ca="1">IFERROR(AVERAGEIF(OFFSET(F589,0,0,MIN(Controls!$B$8,COUNTIF(B589:B$1973,B589)),1),"&gt;"&amp;0),0)</f>
        <v>0</v>
      </c>
      <c r="J589" s="38">
        <f t="shared" ca="1" si="64"/>
        <v>999</v>
      </c>
      <c r="K589" s="30">
        <f t="shared" ca="1" si="68"/>
        <v>0</v>
      </c>
      <c r="L589" t="str">
        <f t="shared" ca="1" si="65"/>
        <v>Overstock</v>
      </c>
      <c r="M589" s="39">
        <f>IFERROR(VLOOKUP("50mg DP",Controls!A:I,7,0),6)</f>
        <v>9</v>
      </c>
      <c r="N589" s="39">
        <f>IFERROR(VLOOKUP("50mg DP",Controls!A:I,8,0),3)</f>
        <v>8</v>
      </c>
      <c r="O589" s="39">
        <f>IFERROR(VLOOKUP("50mg DP",Controls!A:I,9,0),18)</f>
        <v>18</v>
      </c>
      <c r="P589" s="40">
        <f>IFERROR(VLOOKUP("50mg DP",Controls!A:J,5,0),0)</f>
        <v>10000</v>
      </c>
      <c r="Q589" s="39">
        <f>IFERROR(VLOOKUP("50mg DP",Controls!A:J,6,0),3)</f>
        <v>5</v>
      </c>
      <c r="R589" s="21" t="str">
        <f>IFERROR(VLOOKUP("50mg DP",Controls!A:K,10,0),"")</f>
        <v>Patheon PDS-1</v>
      </c>
      <c r="S589" s="41">
        <f t="shared" si="66"/>
        <v>47362</v>
      </c>
      <c r="T589" s="30">
        <f t="shared" si="67"/>
        <v>0</v>
      </c>
      <c r="AB589">
        <f t="shared" si="69"/>
        <v>5</v>
      </c>
    </row>
    <row r="590" spans="1:28" ht="13" customHeight="1" x14ac:dyDescent="0.35">
      <c r="A590" s="153">
        <v>47543</v>
      </c>
      <c r="B590" s="36" t="s">
        <v>43</v>
      </c>
      <c r="C590" s="15" t="s">
        <v>38</v>
      </c>
      <c r="D590" s="15" t="s">
        <v>29</v>
      </c>
      <c r="E590" s="30">
        <f>H589</f>
        <v>267607</v>
      </c>
      <c r="F590" s="37" cm="1">
        <f t="array" ref="F590">IFERROR((SUMPRODUCT(('Production Inputs'!$A:$A="47mg LP")*('Production Inputs'!$B:$B="TOTAL ACTIVE")*'Production Inputs'!$BI:$BI)+SUMPRODUCT(('Production Inputs'!$A:$A="47mg LP - EU Stock")*('Production Inputs'!$B:$B="TOTAL ACTIVE")*'Production Inputs'!$BI:$BI))*Dependencies!$D$5,0)</f>
        <v>0</v>
      </c>
      <c r="G590" s="37">
        <f t="array" ref="G590">IFERROR(SUMPRODUCT(('Production Inputs'!$A:$A="50mg DP")*('Production Inputs'!$B:$B="TOTAL ACTIVE")*'Production Inputs'!$BI:$BI),0)</f>
        <v>0</v>
      </c>
      <c r="H590" s="30">
        <f t="shared" si="63"/>
        <v>267607</v>
      </c>
      <c r="I590" s="30">
        <f ca="1">IFERROR(AVERAGEIF(OFFSET(F590,0,0,MIN(Controls!$B$8,COUNTIF(B590:B$1973,B590)),1),"&gt;"&amp;0),0)</f>
        <v>0</v>
      </c>
      <c r="J590" s="38">
        <f t="shared" ca="1" si="64"/>
        <v>999</v>
      </c>
      <c r="K590" s="30">
        <f t="shared" ca="1" si="68"/>
        <v>0</v>
      </c>
      <c r="L590" t="str">
        <f t="shared" ca="1" si="65"/>
        <v>Overstock</v>
      </c>
      <c r="M590" s="39">
        <f>IFERROR(VLOOKUP("50mg DP",Controls!A:I,7,0),6)</f>
        <v>9</v>
      </c>
      <c r="N590" s="39">
        <f>IFERROR(VLOOKUP("50mg DP",Controls!A:I,8,0),3)</f>
        <v>8</v>
      </c>
      <c r="O590" s="39">
        <f>IFERROR(VLOOKUP("50mg DP",Controls!A:I,9,0),18)</f>
        <v>18</v>
      </c>
      <c r="P590" s="40">
        <f>IFERROR(VLOOKUP("50mg DP",Controls!A:J,5,0),0)</f>
        <v>10000</v>
      </c>
      <c r="Q590" s="39">
        <f>IFERROR(VLOOKUP("50mg DP",Controls!A:J,6,0),3)</f>
        <v>5</v>
      </c>
      <c r="R590" s="21" t="str">
        <f>IFERROR(VLOOKUP("50mg DP",Controls!A:K,10,0),"")</f>
        <v>Patheon PDS-1</v>
      </c>
      <c r="S590" s="41">
        <f t="shared" si="66"/>
        <v>47392</v>
      </c>
      <c r="T590" s="30">
        <f t="shared" si="67"/>
        <v>0</v>
      </c>
      <c r="AB590">
        <f t="shared" si="69"/>
        <v>5</v>
      </c>
    </row>
    <row r="591" spans="1:28" ht="13" customHeight="1" x14ac:dyDescent="0.35">
      <c r="A591" s="153">
        <v>47574</v>
      </c>
      <c r="B591" s="36" t="s">
        <v>43</v>
      </c>
      <c r="C591" s="15" t="s">
        <v>38</v>
      </c>
      <c r="D591" s="15" t="s">
        <v>29</v>
      </c>
      <c r="E591" s="30">
        <f>H590</f>
        <v>267607</v>
      </c>
      <c r="F591" s="37" cm="1">
        <f t="array" ref="F591">IFERROR((SUMPRODUCT(('Production Inputs'!$A:$A="47mg LP")*('Production Inputs'!$B:$B="TOTAL ACTIVE")*'Production Inputs'!$BJ:$BJ)+SUMPRODUCT(('Production Inputs'!$A:$A="47mg LP - EU Stock")*('Production Inputs'!$B:$B="TOTAL ACTIVE")*'Production Inputs'!$BJ:$BJ))*Dependencies!$D$5,0)</f>
        <v>0</v>
      </c>
      <c r="G591" s="37">
        <f t="array" ref="G591">IFERROR(SUMPRODUCT(('Production Inputs'!$A:$A="50mg DP")*('Production Inputs'!$B:$B="TOTAL ACTIVE")*'Production Inputs'!$BJ:$BJ),0)</f>
        <v>0</v>
      </c>
      <c r="H591" s="30">
        <f t="shared" si="63"/>
        <v>267607</v>
      </c>
      <c r="I591" s="30">
        <f ca="1">IFERROR(AVERAGEIF(OFFSET(F591,0,0,MIN(Controls!$B$8,COUNTIF(B591:B$1973,B591)),1),"&gt;"&amp;0),0)</f>
        <v>0</v>
      </c>
      <c r="J591" s="38">
        <f t="shared" ca="1" si="64"/>
        <v>999</v>
      </c>
      <c r="K591" s="30">
        <f t="shared" ca="1" si="68"/>
        <v>0</v>
      </c>
      <c r="L591" t="str">
        <f t="shared" ca="1" si="65"/>
        <v>Overstock</v>
      </c>
      <c r="M591" s="39">
        <f>IFERROR(VLOOKUP("50mg DP",Controls!A:I,7,0),6)</f>
        <v>9</v>
      </c>
      <c r="N591" s="39">
        <f>IFERROR(VLOOKUP("50mg DP",Controls!A:I,8,0),3)</f>
        <v>8</v>
      </c>
      <c r="O591" s="39">
        <f>IFERROR(VLOOKUP("50mg DP",Controls!A:I,9,0),18)</f>
        <v>18</v>
      </c>
      <c r="P591" s="40">
        <f>IFERROR(VLOOKUP("50mg DP",Controls!A:J,5,0),0)</f>
        <v>10000</v>
      </c>
      <c r="Q591" s="39">
        <f>IFERROR(VLOOKUP("50mg DP",Controls!A:J,6,0),3)</f>
        <v>5</v>
      </c>
      <c r="R591" s="21" t="str">
        <f>IFERROR(VLOOKUP("50mg DP",Controls!A:K,10,0),"")</f>
        <v>Patheon PDS-1</v>
      </c>
      <c r="S591" s="41">
        <f t="shared" si="66"/>
        <v>47423</v>
      </c>
      <c r="T591" s="30">
        <f t="shared" si="67"/>
        <v>0</v>
      </c>
      <c r="AB591">
        <f t="shared" si="69"/>
        <v>5</v>
      </c>
    </row>
    <row r="592" spans="1:28" ht="13" customHeight="1" x14ac:dyDescent="0.35">
      <c r="A592" s="153">
        <v>47604</v>
      </c>
      <c r="B592" s="36" t="s">
        <v>43</v>
      </c>
      <c r="C592" s="15" t="s">
        <v>38</v>
      </c>
      <c r="D592" s="15" t="s">
        <v>29</v>
      </c>
      <c r="E592" s="30">
        <f>H591</f>
        <v>267607</v>
      </c>
      <c r="F592" s="37" cm="1">
        <f t="array" ref="F592">IFERROR((SUMPRODUCT(('Production Inputs'!$A:$A="47mg LP")*('Production Inputs'!$B:$B="TOTAL ACTIVE")*'Production Inputs'!$BK:$BK)+SUMPRODUCT(('Production Inputs'!$A:$A="47mg LP - EU Stock")*('Production Inputs'!$B:$B="TOTAL ACTIVE")*'Production Inputs'!$BK:$BK))*Dependencies!$D$5,0)</f>
        <v>0</v>
      </c>
      <c r="G592" s="37">
        <f t="array" ref="G592">IFERROR(SUMPRODUCT(('Production Inputs'!$A:$A="50mg DP")*('Production Inputs'!$B:$B="TOTAL ACTIVE")*'Production Inputs'!$BK:$BK),0)</f>
        <v>0</v>
      </c>
      <c r="H592" s="30">
        <f t="shared" si="63"/>
        <v>267607</v>
      </c>
      <c r="I592" s="30">
        <f ca="1">IFERROR(AVERAGEIF(OFFSET(F592,0,0,MIN(Controls!$B$8,COUNTIF(B592:B$1973,B592)),1),"&gt;"&amp;0),0)</f>
        <v>0</v>
      </c>
      <c r="J592" s="38">
        <f t="shared" ca="1" si="64"/>
        <v>999</v>
      </c>
      <c r="K592" s="30">
        <f t="shared" ca="1" si="68"/>
        <v>0</v>
      </c>
      <c r="L592" t="str">
        <f t="shared" ca="1" si="65"/>
        <v>Overstock</v>
      </c>
      <c r="M592" s="39">
        <f>IFERROR(VLOOKUP("50mg DP",Controls!A:I,7,0),6)</f>
        <v>9</v>
      </c>
      <c r="N592" s="39">
        <f>IFERROR(VLOOKUP("50mg DP",Controls!A:I,8,0),3)</f>
        <v>8</v>
      </c>
      <c r="O592" s="39">
        <f>IFERROR(VLOOKUP("50mg DP",Controls!A:I,9,0),18)</f>
        <v>18</v>
      </c>
      <c r="P592" s="40">
        <f>IFERROR(VLOOKUP("50mg DP",Controls!A:J,5,0),0)</f>
        <v>10000</v>
      </c>
      <c r="Q592" s="39">
        <f>IFERROR(VLOOKUP("50mg DP",Controls!A:J,6,0),3)</f>
        <v>5</v>
      </c>
      <c r="R592" s="21" t="str">
        <f>IFERROR(VLOOKUP("50mg DP",Controls!A:K,10,0),"")</f>
        <v>Patheon PDS-1</v>
      </c>
      <c r="S592" s="41">
        <f t="shared" si="66"/>
        <v>47453</v>
      </c>
      <c r="T592" s="30">
        <f t="shared" si="67"/>
        <v>0</v>
      </c>
      <c r="AB592">
        <f t="shared" si="69"/>
        <v>5</v>
      </c>
    </row>
    <row r="593" spans="1:28" ht="13" customHeight="1" x14ac:dyDescent="0.35">
      <c r="A593" s="153">
        <v>47635</v>
      </c>
      <c r="B593" s="36" t="s">
        <v>43</v>
      </c>
      <c r="C593" s="15" t="s">
        <v>38</v>
      </c>
      <c r="D593" s="15" t="s">
        <v>29</v>
      </c>
      <c r="E593" s="30">
        <f>H592</f>
        <v>267607</v>
      </c>
      <c r="F593" s="37" cm="1">
        <f t="array" ref="F593">IFERROR((SUMPRODUCT(('Production Inputs'!$A:$A="47mg LP")*('Production Inputs'!$B:$B="TOTAL ACTIVE")*'Production Inputs'!$BL:$BL)+SUMPRODUCT(('Production Inputs'!$A:$A="47mg LP - EU Stock")*('Production Inputs'!$B:$B="TOTAL ACTIVE")*'Production Inputs'!$BL:$BL))*Dependencies!$D$5,0)</f>
        <v>0</v>
      </c>
      <c r="G593" s="37">
        <f t="array" ref="G593">IFERROR(SUMPRODUCT(('Production Inputs'!$A:$A="50mg DP")*('Production Inputs'!$B:$B="TOTAL ACTIVE")*'Production Inputs'!$BL:$BL),0)</f>
        <v>0</v>
      </c>
      <c r="H593" s="30">
        <f t="shared" si="63"/>
        <v>267607</v>
      </c>
      <c r="I593" s="30">
        <f ca="1">IFERROR(AVERAGEIF(OFFSET(F593,0,0,MIN(Controls!$B$8,COUNTIF(B593:B$1973,B593)),1),"&gt;"&amp;0),0)</f>
        <v>0</v>
      </c>
      <c r="J593" s="38">
        <f t="shared" ca="1" si="64"/>
        <v>999</v>
      </c>
      <c r="K593" s="30">
        <f t="shared" ca="1" si="68"/>
        <v>0</v>
      </c>
      <c r="L593" t="str">
        <f t="shared" ca="1" si="65"/>
        <v>Overstock</v>
      </c>
      <c r="M593" s="39">
        <f>IFERROR(VLOOKUP("50mg DP",Controls!A:I,7,0),6)</f>
        <v>9</v>
      </c>
      <c r="N593" s="39">
        <f>IFERROR(VLOOKUP("50mg DP",Controls!A:I,8,0),3)</f>
        <v>8</v>
      </c>
      <c r="O593" s="39">
        <f>IFERROR(VLOOKUP("50mg DP",Controls!A:I,9,0),18)</f>
        <v>18</v>
      </c>
      <c r="P593" s="40">
        <f>IFERROR(VLOOKUP("50mg DP",Controls!A:J,5,0),0)</f>
        <v>10000</v>
      </c>
      <c r="Q593" s="39">
        <f>IFERROR(VLOOKUP("50mg DP",Controls!A:J,6,0),3)</f>
        <v>5</v>
      </c>
      <c r="R593" s="21" t="str">
        <f>IFERROR(VLOOKUP("50mg DP",Controls!A:K,10,0),"")</f>
        <v>Patheon PDS-1</v>
      </c>
      <c r="S593" s="41">
        <f t="shared" si="66"/>
        <v>47484</v>
      </c>
      <c r="T593" s="30">
        <f t="shared" si="67"/>
        <v>0</v>
      </c>
      <c r="AB593">
        <f t="shared" si="69"/>
        <v>5</v>
      </c>
    </row>
    <row r="594" spans="1:28" ht="13" customHeight="1" x14ac:dyDescent="0.35">
      <c r="A594" s="153">
        <v>47665</v>
      </c>
      <c r="B594" s="36" t="s">
        <v>43</v>
      </c>
      <c r="C594" s="15" t="s">
        <v>38</v>
      </c>
      <c r="D594" s="15" t="s">
        <v>29</v>
      </c>
      <c r="E594" s="30">
        <f>H593</f>
        <v>267607</v>
      </c>
      <c r="F594" s="37" cm="1">
        <f t="array" ref="F594">IFERROR((SUMPRODUCT(('Production Inputs'!$A:$A="47mg LP")*('Production Inputs'!$B:$B="TOTAL ACTIVE")*'Production Inputs'!$BM:$BM)+SUMPRODUCT(('Production Inputs'!$A:$A="47mg LP - EU Stock")*('Production Inputs'!$B:$B="TOTAL ACTIVE")*'Production Inputs'!$BM:$BM))*Dependencies!$D$5,0)</f>
        <v>0</v>
      </c>
      <c r="G594" s="37">
        <f t="array" ref="G594">IFERROR(SUMPRODUCT(('Production Inputs'!$A:$A="50mg DP")*('Production Inputs'!$B:$B="TOTAL ACTIVE")*'Production Inputs'!$BM:$BM),0)</f>
        <v>0</v>
      </c>
      <c r="H594" s="30">
        <f t="shared" si="63"/>
        <v>267607</v>
      </c>
      <c r="I594" s="30">
        <f ca="1">IFERROR(AVERAGEIF(OFFSET(F594,0,0,MIN(Controls!$B$8,COUNTIF(B594:B$1973,B594)),1),"&gt;"&amp;0),0)</f>
        <v>0</v>
      </c>
      <c r="J594" s="38">
        <f t="shared" ca="1" si="64"/>
        <v>999</v>
      </c>
      <c r="K594" s="30">
        <f t="shared" ca="1" si="68"/>
        <v>0</v>
      </c>
      <c r="L594" t="str">
        <f t="shared" ca="1" si="65"/>
        <v>Overstock</v>
      </c>
      <c r="M594" s="39">
        <f>IFERROR(VLOOKUP("50mg DP",Controls!A:I,7,0),6)</f>
        <v>9</v>
      </c>
      <c r="N594" s="39">
        <f>IFERROR(VLOOKUP("50mg DP",Controls!A:I,8,0),3)</f>
        <v>8</v>
      </c>
      <c r="O594" s="39">
        <f>IFERROR(VLOOKUP("50mg DP",Controls!A:I,9,0),18)</f>
        <v>18</v>
      </c>
      <c r="P594" s="40">
        <f>IFERROR(VLOOKUP("50mg DP",Controls!A:J,5,0),0)</f>
        <v>10000</v>
      </c>
      <c r="Q594" s="39">
        <f>IFERROR(VLOOKUP("50mg DP",Controls!A:J,6,0),3)</f>
        <v>5</v>
      </c>
      <c r="R594" s="21" t="str">
        <f>IFERROR(VLOOKUP("50mg DP",Controls!A:K,10,0),"")</f>
        <v>Patheon PDS-1</v>
      </c>
      <c r="S594" s="41">
        <f t="shared" si="66"/>
        <v>47515</v>
      </c>
      <c r="T594" s="30">
        <f t="shared" si="67"/>
        <v>0</v>
      </c>
      <c r="AB594">
        <f t="shared" si="69"/>
        <v>5</v>
      </c>
    </row>
    <row r="595" spans="1:28" ht="13" customHeight="1" x14ac:dyDescent="0.35">
      <c r="A595" s="153">
        <v>47696</v>
      </c>
      <c r="B595" s="36" t="s">
        <v>43</v>
      </c>
      <c r="C595" s="15" t="s">
        <v>38</v>
      </c>
      <c r="D595" s="15" t="s">
        <v>29</v>
      </c>
      <c r="E595" s="30">
        <f>H594</f>
        <v>267607</v>
      </c>
      <c r="F595" s="37" cm="1">
        <f t="array" ref="F595">IFERROR((SUMPRODUCT(('Production Inputs'!$A:$A="47mg LP")*('Production Inputs'!$B:$B="TOTAL ACTIVE")*'Production Inputs'!$BN:$BN)+SUMPRODUCT(('Production Inputs'!$A:$A="47mg LP - EU Stock")*('Production Inputs'!$B:$B="TOTAL ACTIVE")*'Production Inputs'!$BN:$BN))*Dependencies!$D$5,0)</f>
        <v>0</v>
      </c>
      <c r="G595" s="37">
        <f t="array" ref="G595">IFERROR(SUMPRODUCT(('Production Inputs'!$A:$A="50mg DP")*('Production Inputs'!$B:$B="TOTAL ACTIVE")*'Production Inputs'!$BN:$BN),0)</f>
        <v>0</v>
      </c>
      <c r="H595" s="30">
        <f t="shared" si="63"/>
        <v>267607</v>
      </c>
      <c r="I595" s="30">
        <f ca="1">IFERROR(AVERAGEIF(OFFSET(F595,0,0,MIN(Controls!$B$8,COUNTIF(B595:B$1973,B595)),1),"&gt;"&amp;0),0)</f>
        <v>0</v>
      </c>
      <c r="J595" s="38">
        <f t="shared" ca="1" si="64"/>
        <v>999</v>
      </c>
      <c r="K595" s="30">
        <f t="shared" ca="1" si="68"/>
        <v>0</v>
      </c>
      <c r="L595" t="str">
        <f t="shared" ca="1" si="65"/>
        <v>Overstock</v>
      </c>
      <c r="M595" s="39">
        <f>IFERROR(VLOOKUP("50mg DP",Controls!A:I,7,0),6)</f>
        <v>9</v>
      </c>
      <c r="N595" s="39">
        <f>IFERROR(VLOOKUP("50mg DP",Controls!A:I,8,0),3)</f>
        <v>8</v>
      </c>
      <c r="O595" s="39">
        <f>IFERROR(VLOOKUP("50mg DP",Controls!A:I,9,0),18)</f>
        <v>18</v>
      </c>
      <c r="P595" s="40">
        <f>IFERROR(VLOOKUP("50mg DP",Controls!A:J,5,0),0)</f>
        <v>10000</v>
      </c>
      <c r="Q595" s="39">
        <f>IFERROR(VLOOKUP("50mg DP",Controls!A:J,6,0),3)</f>
        <v>5</v>
      </c>
      <c r="R595" s="21" t="str">
        <f>IFERROR(VLOOKUP("50mg DP",Controls!A:K,10,0),"")</f>
        <v>Patheon PDS-1</v>
      </c>
      <c r="S595" s="41">
        <f t="shared" si="66"/>
        <v>47543</v>
      </c>
      <c r="T595" s="30">
        <f t="shared" si="67"/>
        <v>0</v>
      </c>
      <c r="AB595">
        <f t="shared" si="69"/>
        <v>5</v>
      </c>
    </row>
    <row r="596" spans="1:28" ht="13" customHeight="1" x14ac:dyDescent="0.35">
      <c r="A596" s="153">
        <v>47727</v>
      </c>
      <c r="B596" s="36" t="s">
        <v>43</v>
      </c>
      <c r="C596" s="15" t="s">
        <v>38</v>
      </c>
      <c r="D596" s="15" t="s">
        <v>29</v>
      </c>
      <c r="E596" s="30">
        <f>H595</f>
        <v>267607</v>
      </c>
      <c r="F596" s="37" cm="1">
        <f t="array" ref="F596">IFERROR((SUMPRODUCT(('Production Inputs'!$A:$A="47mg LP")*('Production Inputs'!$B:$B="TOTAL ACTIVE")*'Production Inputs'!$BO:$BO)+SUMPRODUCT(('Production Inputs'!$A:$A="47mg LP - EU Stock")*('Production Inputs'!$B:$B="TOTAL ACTIVE")*'Production Inputs'!$BO:$BO))*Dependencies!$D$5,0)</f>
        <v>0</v>
      </c>
      <c r="G596" s="37">
        <f t="array" ref="G596">IFERROR(SUMPRODUCT(('Production Inputs'!$A:$A="50mg DP")*('Production Inputs'!$B:$B="TOTAL ACTIVE")*'Production Inputs'!$BO:$BO),0)</f>
        <v>0</v>
      </c>
      <c r="H596" s="30">
        <f t="shared" si="63"/>
        <v>267607</v>
      </c>
      <c r="I596" s="30">
        <f ca="1">IFERROR(AVERAGEIF(OFFSET(F596,0,0,MIN(Controls!$B$8,COUNTIF(B596:B$1973,B596)),1),"&gt;"&amp;0),0)</f>
        <v>0</v>
      </c>
      <c r="J596" s="38">
        <f t="shared" ca="1" si="64"/>
        <v>999</v>
      </c>
      <c r="K596" s="30">
        <f t="shared" ca="1" si="68"/>
        <v>0</v>
      </c>
      <c r="L596" t="str">
        <f t="shared" ca="1" si="65"/>
        <v>Overstock</v>
      </c>
      <c r="M596" s="39">
        <f>IFERROR(VLOOKUP("50mg DP",Controls!A:I,7,0),6)</f>
        <v>9</v>
      </c>
      <c r="N596" s="39">
        <f>IFERROR(VLOOKUP("50mg DP",Controls!A:I,8,0),3)</f>
        <v>8</v>
      </c>
      <c r="O596" s="39">
        <f>IFERROR(VLOOKUP("50mg DP",Controls!A:I,9,0),18)</f>
        <v>18</v>
      </c>
      <c r="P596" s="40">
        <f>IFERROR(VLOOKUP("50mg DP",Controls!A:J,5,0),0)</f>
        <v>10000</v>
      </c>
      <c r="Q596" s="39">
        <f>IFERROR(VLOOKUP("50mg DP",Controls!A:J,6,0),3)</f>
        <v>5</v>
      </c>
      <c r="R596" s="21" t="str">
        <f>IFERROR(VLOOKUP("50mg DP",Controls!A:K,10,0),"")</f>
        <v>Patheon PDS-1</v>
      </c>
      <c r="S596" s="41">
        <f t="shared" si="66"/>
        <v>47574</v>
      </c>
      <c r="T596" s="30">
        <f t="shared" si="67"/>
        <v>0</v>
      </c>
      <c r="AB596">
        <f t="shared" si="69"/>
        <v>5</v>
      </c>
    </row>
    <row r="597" spans="1:28" ht="13" customHeight="1" x14ac:dyDescent="0.35">
      <c r="A597" s="153">
        <v>47757</v>
      </c>
      <c r="B597" s="36" t="s">
        <v>43</v>
      </c>
      <c r="C597" s="15" t="s">
        <v>38</v>
      </c>
      <c r="D597" s="15" t="s">
        <v>29</v>
      </c>
      <c r="E597" s="30">
        <f>H596</f>
        <v>267607</v>
      </c>
      <c r="F597" s="37" cm="1">
        <f t="array" ref="F597">IFERROR((SUMPRODUCT(('Production Inputs'!$A:$A="47mg LP")*('Production Inputs'!$B:$B="TOTAL ACTIVE")*'Production Inputs'!$BP:$BP)+SUMPRODUCT(('Production Inputs'!$A:$A="47mg LP - EU Stock")*('Production Inputs'!$B:$B="TOTAL ACTIVE")*'Production Inputs'!$BP:$BP))*Dependencies!$D$5,0)</f>
        <v>0</v>
      </c>
      <c r="G597" s="37">
        <f t="array" ref="G597">IFERROR(SUMPRODUCT(('Production Inputs'!$A:$A="50mg DP")*('Production Inputs'!$B:$B="TOTAL ACTIVE")*'Production Inputs'!$BP:$BP),0)</f>
        <v>0</v>
      </c>
      <c r="H597" s="30">
        <f t="shared" si="63"/>
        <v>267607</v>
      </c>
      <c r="I597" s="30">
        <f ca="1">IFERROR(AVERAGEIF(OFFSET(F597,0,0,MIN(Controls!$B$8,COUNTIF(B597:B$1973,B597)),1),"&gt;"&amp;0),0)</f>
        <v>0</v>
      </c>
      <c r="J597" s="38">
        <f t="shared" ca="1" si="64"/>
        <v>999</v>
      </c>
      <c r="K597" s="30">
        <f t="shared" ca="1" si="68"/>
        <v>0</v>
      </c>
      <c r="L597" t="str">
        <f t="shared" ca="1" si="65"/>
        <v>Overstock</v>
      </c>
      <c r="M597" s="39">
        <f>IFERROR(VLOOKUP("50mg DP",Controls!A:I,7,0),6)</f>
        <v>9</v>
      </c>
      <c r="N597" s="39">
        <f>IFERROR(VLOOKUP("50mg DP",Controls!A:I,8,0),3)</f>
        <v>8</v>
      </c>
      <c r="O597" s="39">
        <f>IFERROR(VLOOKUP("50mg DP",Controls!A:I,9,0),18)</f>
        <v>18</v>
      </c>
      <c r="P597" s="40">
        <f>IFERROR(VLOOKUP("50mg DP",Controls!A:J,5,0),0)</f>
        <v>10000</v>
      </c>
      <c r="Q597" s="39">
        <f>IFERROR(VLOOKUP("50mg DP",Controls!A:J,6,0),3)</f>
        <v>5</v>
      </c>
      <c r="R597" s="21" t="str">
        <f>IFERROR(VLOOKUP("50mg DP",Controls!A:K,10,0),"")</f>
        <v>Patheon PDS-1</v>
      </c>
      <c r="S597" s="41">
        <f t="shared" si="66"/>
        <v>47604</v>
      </c>
      <c r="T597" s="30">
        <f t="shared" si="67"/>
        <v>0</v>
      </c>
      <c r="AB597">
        <f t="shared" si="69"/>
        <v>5</v>
      </c>
    </row>
    <row r="598" spans="1:28" ht="13" customHeight="1" x14ac:dyDescent="0.35">
      <c r="A598" s="153">
        <v>47788</v>
      </c>
      <c r="B598" s="36" t="s">
        <v>43</v>
      </c>
      <c r="C598" s="15" t="s">
        <v>38</v>
      </c>
      <c r="D598" s="15" t="s">
        <v>29</v>
      </c>
      <c r="E598" s="30">
        <f>H597</f>
        <v>267607</v>
      </c>
      <c r="F598" s="37" cm="1">
        <f t="array" ref="F598">IFERROR((SUMPRODUCT(('Production Inputs'!$A:$A="47mg LP")*('Production Inputs'!$B:$B="TOTAL ACTIVE")*'Production Inputs'!$BQ:$BQ)+SUMPRODUCT(('Production Inputs'!$A:$A="47mg LP - EU Stock")*('Production Inputs'!$B:$B="TOTAL ACTIVE")*'Production Inputs'!$BQ:$BQ))*Dependencies!$D$5,0)</f>
        <v>0</v>
      </c>
      <c r="G598" s="37">
        <f t="array" ref="G598">IFERROR(SUMPRODUCT(('Production Inputs'!$A:$A="50mg DP")*('Production Inputs'!$B:$B="TOTAL ACTIVE")*'Production Inputs'!$BQ:$BQ),0)</f>
        <v>0</v>
      </c>
      <c r="H598" s="30">
        <f t="shared" si="63"/>
        <v>267607</v>
      </c>
      <c r="I598" s="30">
        <f ca="1">IFERROR(AVERAGEIF(OFFSET(F598,0,0,MIN(Controls!$B$8,COUNTIF(B598:B$1973,B598)),1),"&gt;"&amp;0),0)</f>
        <v>0</v>
      </c>
      <c r="J598" s="38">
        <f t="shared" ca="1" si="64"/>
        <v>999</v>
      </c>
      <c r="K598" s="30">
        <f t="shared" ca="1" si="68"/>
        <v>0</v>
      </c>
      <c r="L598" t="str">
        <f t="shared" ca="1" si="65"/>
        <v>Overstock</v>
      </c>
      <c r="M598" s="39">
        <f>IFERROR(VLOOKUP("50mg DP",Controls!A:I,7,0),6)</f>
        <v>9</v>
      </c>
      <c r="N598" s="39">
        <f>IFERROR(VLOOKUP("50mg DP",Controls!A:I,8,0),3)</f>
        <v>8</v>
      </c>
      <c r="O598" s="39">
        <f>IFERROR(VLOOKUP("50mg DP",Controls!A:I,9,0),18)</f>
        <v>18</v>
      </c>
      <c r="P598" s="40">
        <f>IFERROR(VLOOKUP("50mg DP",Controls!A:J,5,0),0)</f>
        <v>10000</v>
      </c>
      <c r="Q598" s="39">
        <f>IFERROR(VLOOKUP("50mg DP",Controls!A:J,6,0),3)</f>
        <v>5</v>
      </c>
      <c r="R598" s="21" t="str">
        <f>IFERROR(VLOOKUP("50mg DP",Controls!A:K,10,0),"")</f>
        <v>Patheon PDS-1</v>
      </c>
      <c r="S598" s="41">
        <f t="shared" si="66"/>
        <v>47635</v>
      </c>
      <c r="T598" s="30">
        <f t="shared" si="67"/>
        <v>0</v>
      </c>
      <c r="AB598">
        <f t="shared" si="69"/>
        <v>5</v>
      </c>
    </row>
    <row r="599" spans="1:28" ht="13" customHeight="1" x14ac:dyDescent="0.35">
      <c r="A599" s="153">
        <v>47818</v>
      </c>
      <c r="B599" s="36" t="s">
        <v>43</v>
      </c>
      <c r="C599" s="15" t="s">
        <v>38</v>
      </c>
      <c r="D599" s="15" t="s">
        <v>29</v>
      </c>
      <c r="E599" s="30">
        <f>H598</f>
        <v>267607</v>
      </c>
      <c r="F599" s="37" cm="1">
        <f t="array" ref="F599">IFERROR((SUMPRODUCT(('Production Inputs'!$A:$A="47mg LP")*('Production Inputs'!$B:$B="TOTAL ACTIVE")*'Production Inputs'!$BR:$BR)+SUMPRODUCT(('Production Inputs'!$A:$A="47mg LP - EU Stock")*('Production Inputs'!$B:$B="TOTAL ACTIVE")*'Production Inputs'!$BR:$BR))*Dependencies!$D$5,0)</f>
        <v>0</v>
      </c>
      <c r="G599" s="37">
        <f t="array" ref="G599">IFERROR(SUMPRODUCT(('Production Inputs'!$A:$A="50mg DP")*('Production Inputs'!$B:$B="TOTAL ACTIVE")*'Production Inputs'!$BR:$BR),0)</f>
        <v>0</v>
      </c>
      <c r="H599" s="30">
        <f t="shared" si="63"/>
        <v>267607</v>
      </c>
      <c r="I599" s="30">
        <f ca="1">IFERROR(AVERAGEIF(OFFSET(F599,0,0,MIN(Controls!$B$8,COUNTIF(B599:B$1973,B599)),1),"&gt;"&amp;0),0)</f>
        <v>0</v>
      </c>
      <c r="J599" s="38">
        <f t="shared" ca="1" si="64"/>
        <v>999</v>
      </c>
      <c r="K599" s="30">
        <f t="shared" ca="1" si="68"/>
        <v>0</v>
      </c>
      <c r="L599" t="str">
        <f t="shared" ca="1" si="65"/>
        <v>Overstock</v>
      </c>
      <c r="M599" s="39">
        <f>IFERROR(VLOOKUP("50mg DP",Controls!A:I,7,0),6)</f>
        <v>9</v>
      </c>
      <c r="N599" s="39">
        <f>IFERROR(VLOOKUP("50mg DP",Controls!A:I,8,0),3)</f>
        <v>8</v>
      </c>
      <c r="O599" s="39">
        <f>IFERROR(VLOOKUP("50mg DP",Controls!A:I,9,0),18)</f>
        <v>18</v>
      </c>
      <c r="P599" s="40">
        <f>IFERROR(VLOOKUP("50mg DP",Controls!A:J,5,0),0)</f>
        <v>10000</v>
      </c>
      <c r="Q599" s="39">
        <f>IFERROR(VLOOKUP("50mg DP",Controls!A:J,6,0),3)</f>
        <v>5</v>
      </c>
      <c r="R599" s="21" t="str">
        <f>IFERROR(VLOOKUP("50mg DP",Controls!A:K,10,0),"")</f>
        <v>Patheon PDS-1</v>
      </c>
      <c r="S599" s="41">
        <f t="shared" si="66"/>
        <v>47665</v>
      </c>
      <c r="T599" s="30">
        <f t="shared" si="67"/>
        <v>0</v>
      </c>
      <c r="AB599">
        <f t="shared" si="69"/>
        <v>5</v>
      </c>
    </row>
    <row r="600" spans="1:28" ht="13" customHeight="1" x14ac:dyDescent="0.35">
      <c r="A600" s="153">
        <v>47849</v>
      </c>
      <c r="B600" s="36" t="s">
        <v>43</v>
      </c>
      <c r="C600" s="15" t="s">
        <v>38</v>
      </c>
      <c r="D600" s="15" t="s">
        <v>29</v>
      </c>
      <c r="E600" s="30">
        <f>H599</f>
        <v>267607</v>
      </c>
      <c r="F600" s="37" cm="1">
        <f t="array" ref="F600">IFERROR((SUMPRODUCT(('Production Inputs'!$A:$A="47mg LP")*('Production Inputs'!$B:$B="TOTAL ACTIVE")*'Production Inputs'!$BS:$BS)+SUMPRODUCT(('Production Inputs'!$A:$A="47mg LP - EU Stock")*('Production Inputs'!$B:$B="TOTAL ACTIVE")*'Production Inputs'!$BS:$BS))*Dependencies!$D$5,0)</f>
        <v>0</v>
      </c>
      <c r="G600" s="37">
        <f t="array" ref="G600">IFERROR(SUMPRODUCT(('Production Inputs'!$A:$A="50mg DP")*('Production Inputs'!$B:$B="TOTAL ACTIVE")*'Production Inputs'!$BS:$BS),0)</f>
        <v>0</v>
      </c>
      <c r="H600" s="30">
        <f t="shared" si="63"/>
        <v>267607</v>
      </c>
      <c r="I600" s="30">
        <f ca="1">IFERROR(AVERAGEIF(OFFSET(F600,0,0,MIN(Controls!$B$8,COUNTIF(B600:B$1973,B600)),1),"&gt;"&amp;0),0)</f>
        <v>0</v>
      </c>
      <c r="J600" s="38">
        <f t="shared" ca="1" si="64"/>
        <v>999</v>
      </c>
      <c r="K600" s="30">
        <f t="shared" ca="1" si="68"/>
        <v>0</v>
      </c>
      <c r="L600" t="str">
        <f t="shared" ca="1" si="65"/>
        <v>Overstock</v>
      </c>
      <c r="M600" s="39">
        <f>IFERROR(VLOOKUP("50mg DP",Controls!A:I,7,0),6)</f>
        <v>9</v>
      </c>
      <c r="N600" s="39">
        <f>IFERROR(VLOOKUP("50mg DP",Controls!A:I,8,0),3)</f>
        <v>8</v>
      </c>
      <c r="O600" s="39">
        <f>IFERROR(VLOOKUP("50mg DP",Controls!A:I,9,0),18)</f>
        <v>18</v>
      </c>
      <c r="P600" s="40">
        <f>IFERROR(VLOOKUP("50mg DP",Controls!A:J,5,0),0)</f>
        <v>10000</v>
      </c>
      <c r="Q600" s="39">
        <f>IFERROR(VLOOKUP("50mg DP",Controls!A:J,6,0),3)</f>
        <v>5</v>
      </c>
      <c r="R600" s="21" t="str">
        <f>IFERROR(VLOOKUP("50mg DP",Controls!A:K,10,0),"")</f>
        <v>Patheon PDS-1</v>
      </c>
      <c r="S600" s="41">
        <f t="shared" si="66"/>
        <v>47696</v>
      </c>
      <c r="T600" s="30">
        <f t="shared" si="67"/>
        <v>0</v>
      </c>
      <c r="AB600">
        <f t="shared" si="69"/>
        <v>5</v>
      </c>
    </row>
    <row r="601" spans="1:28" ht="13" customHeight="1" x14ac:dyDescent="0.35">
      <c r="A601" s="153">
        <v>47880</v>
      </c>
      <c r="B601" s="36" t="s">
        <v>43</v>
      </c>
      <c r="C601" s="15" t="s">
        <v>38</v>
      </c>
      <c r="D601" s="15" t="s">
        <v>29</v>
      </c>
      <c r="E601" s="30">
        <f>H600</f>
        <v>267607</v>
      </c>
      <c r="F601" s="37" cm="1">
        <f t="array" ref="F601">IFERROR((SUMPRODUCT(('Production Inputs'!$A:$A="47mg LP")*('Production Inputs'!$B:$B="TOTAL ACTIVE")*'Production Inputs'!$BT:$BT)+SUMPRODUCT(('Production Inputs'!$A:$A="47mg LP - EU Stock")*('Production Inputs'!$B:$B="TOTAL ACTIVE")*'Production Inputs'!$BT:$BT))*Dependencies!$D$5,0)</f>
        <v>0</v>
      </c>
      <c r="G601" s="37">
        <f t="array" ref="G601">IFERROR(SUMPRODUCT(('Production Inputs'!$A:$A="50mg DP")*('Production Inputs'!$B:$B="TOTAL ACTIVE")*'Production Inputs'!$BT:$BT),0)</f>
        <v>0</v>
      </c>
      <c r="H601" s="30">
        <f t="shared" si="63"/>
        <v>267607</v>
      </c>
      <c r="I601" s="30">
        <f ca="1">IFERROR(AVERAGEIF(OFFSET(F601,0,0,MIN(Controls!$B$8,COUNTIF(B601:B$1973,B601)),1),"&gt;"&amp;0),0)</f>
        <v>0</v>
      </c>
      <c r="J601" s="38">
        <f t="shared" ca="1" si="64"/>
        <v>999</v>
      </c>
      <c r="K601" s="30">
        <f t="shared" ca="1" si="68"/>
        <v>0</v>
      </c>
      <c r="L601" t="str">
        <f t="shared" ca="1" si="65"/>
        <v>Overstock</v>
      </c>
      <c r="M601" s="39">
        <f>IFERROR(VLOOKUP("50mg DP",Controls!A:I,7,0),6)</f>
        <v>9</v>
      </c>
      <c r="N601" s="39">
        <f>IFERROR(VLOOKUP("50mg DP",Controls!A:I,8,0),3)</f>
        <v>8</v>
      </c>
      <c r="O601" s="39">
        <f>IFERROR(VLOOKUP("50mg DP",Controls!A:I,9,0),18)</f>
        <v>18</v>
      </c>
      <c r="P601" s="40">
        <f>IFERROR(VLOOKUP("50mg DP",Controls!A:J,5,0),0)</f>
        <v>10000</v>
      </c>
      <c r="Q601" s="39">
        <f>IFERROR(VLOOKUP("50mg DP",Controls!A:J,6,0),3)</f>
        <v>5</v>
      </c>
      <c r="R601" s="21" t="str">
        <f>IFERROR(VLOOKUP("50mg DP",Controls!A:K,10,0),"")</f>
        <v>Patheon PDS-1</v>
      </c>
      <c r="S601" s="41">
        <f t="shared" si="66"/>
        <v>47727</v>
      </c>
      <c r="T601" s="30">
        <f t="shared" si="67"/>
        <v>0</v>
      </c>
      <c r="AB601">
        <f t="shared" si="69"/>
        <v>5</v>
      </c>
    </row>
    <row r="602" spans="1:28" ht="13" customHeight="1" x14ac:dyDescent="0.35">
      <c r="A602" s="153">
        <v>47908</v>
      </c>
      <c r="B602" s="36" t="s">
        <v>43</v>
      </c>
      <c r="C602" s="15" t="s">
        <v>38</v>
      </c>
      <c r="D602" s="15" t="s">
        <v>29</v>
      </c>
      <c r="E602" s="30">
        <f>H601</f>
        <v>267607</v>
      </c>
      <c r="F602" s="37" cm="1">
        <f t="array" ref="F602">IFERROR((SUMPRODUCT(('Production Inputs'!$A:$A="47mg LP")*('Production Inputs'!$B:$B="TOTAL ACTIVE")*'Production Inputs'!$BU:$BU)+SUMPRODUCT(('Production Inputs'!$A:$A="47mg LP - EU Stock")*('Production Inputs'!$B:$B="TOTAL ACTIVE")*'Production Inputs'!$BU:$BU))*Dependencies!$D$5,0)</f>
        <v>0</v>
      </c>
      <c r="G602" s="37">
        <f t="array" ref="G602">IFERROR(SUMPRODUCT(('Production Inputs'!$A:$A="50mg DP")*('Production Inputs'!$B:$B="TOTAL ACTIVE")*'Production Inputs'!$BU:$BU),0)</f>
        <v>0</v>
      </c>
      <c r="H602" s="30">
        <f t="shared" si="63"/>
        <v>267607</v>
      </c>
      <c r="I602" s="30">
        <f ca="1">IFERROR(AVERAGEIF(OFFSET(F602,0,0,MIN(Controls!$B$8,COUNTIF(B602:B$1973,B602)),1),"&gt;"&amp;0),0)</f>
        <v>0</v>
      </c>
      <c r="J602" s="38">
        <f t="shared" ca="1" si="64"/>
        <v>999</v>
      </c>
      <c r="K602" s="30">
        <f t="shared" ca="1" si="68"/>
        <v>0</v>
      </c>
      <c r="L602" t="str">
        <f t="shared" ca="1" si="65"/>
        <v>Overstock</v>
      </c>
      <c r="M602" s="39">
        <f>IFERROR(VLOOKUP("50mg DP",Controls!A:I,7,0),6)</f>
        <v>9</v>
      </c>
      <c r="N602" s="39">
        <f>IFERROR(VLOOKUP("50mg DP",Controls!A:I,8,0),3)</f>
        <v>8</v>
      </c>
      <c r="O602" s="39">
        <f>IFERROR(VLOOKUP("50mg DP",Controls!A:I,9,0),18)</f>
        <v>18</v>
      </c>
      <c r="P602" s="40">
        <f>IFERROR(VLOOKUP("50mg DP",Controls!A:J,5,0),0)</f>
        <v>10000</v>
      </c>
      <c r="Q602" s="39">
        <f>IFERROR(VLOOKUP("50mg DP",Controls!A:J,6,0),3)</f>
        <v>5</v>
      </c>
      <c r="R602" s="21" t="str">
        <f>IFERROR(VLOOKUP("50mg DP",Controls!A:K,10,0),"")</f>
        <v>Patheon PDS-1</v>
      </c>
      <c r="S602" s="41">
        <f t="shared" si="66"/>
        <v>47757</v>
      </c>
      <c r="T602" s="30">
        <f t="shared" si="67"/>
        <v>0</v>
      </c>
      <c r="AB602">
        <f t="shared" si="69"/>
        <v>5</v>
      </c>
    </row>
    <row r="603" spans="1:28" ht="13" customHeight="1" x14ac:dyDescent="0.35">
      <c r="A603" s="153">
        <v>47939</v>
      </c>
      <c r="B603" s="36" t="s">
        <v>43</v>
      </c>
      <c r="C603" s="15" t="s">
        <v>38</v>
      </c>
      <c r="D603" s="15" t="s">
        <v>29</v>
      </c>
      <c r="E603" s="30">
        <f>H602</f>
        <v>267607</v>
      </c>
      <c r="F603" s="37" cm="1">
        <f t="array" ref="F603">IFERROR((SUMPRODUCT(('Production Inputs'!$A:$A="47mg LP")*('Production Inputs'!$B:$B="TOTAL ACTIVE")*'Production Inputs'!$BV:$BV)+SUMPRODUCT(('Production Inputs'!$A:$A="47mg LP - EU Stock")*('Production Inputs'!$B:$B="TOTAL ACTIVE")*'Production Inputs'!$BV:$BV))*Dependencies!$D$5,0)</f>
        <v>0</v>
      </c>
      <c r="G603" s="37">
        <f t="array" ref="G603">IFERROR(SUMPRODUCT(('Production Inputs'!$A:$A="50mg DP")*('Production Inputs'!$B:$B="TOTAL ACTIVE")*'Production Inputs'!$BV:$BV),0)</f>
        <v>0</v>
      </c>
      <c r="H603" s="30">
        <f t="shared" si="63"/>
        <v>267607</v>
      </c>
      <c r="I603" s="30">
        <f ca="1">IFERROR(AVERAGEIF(OFFSET(F603,0,0,MIN(Controls!$B$8,COUNTIF(B603:B$1973,B603)),1),"&gt;"&amp;0),0)</f>
        <v>0</v>
      </c>
      <c r="J603" s="38">
        <f t="shared" ca="1" si="64"/>
        <v>999</v>
      </c>
      <c r="K603" s="30">
        <f t="shared" ca="1" si="68"/>
        <v>0</v>
      </c>
      <c r="L603" t="str">
        <f t="shared" ca="1" si="65"/>
        <v>Overstock</v>
      </c>
      <c r="M603" s="39">
        <f>IFERROR(VLOOKUP("50mg DP",Controls!A:I,7,0),6)</f>
        <v>9</v>
      </c>
      <c r="N603" s="39">
        <f>IFERROR(VLOOKUP("50mg DP",Controls!A:I,8,0),3)</f>
        <v>8</v>
      </c>
      <c r="O603" s="39">
        <f>IFERROR(VLOOKUP("50mg DP",Controls!A:I,9,0),18)</f>
        <v>18</v>
      </c>
      <c r="P603" s="40">
        <f>IFERROR(VLOOKUP("50mg DP",Controls!A:J,5,0),0)</f>
        <v>10000</v>
      </c>
      <c r="Q603" s="39">
        <f>IFERROR(VLOOKUP("50mg DP",Controls!A:J,6,0),3)</f>
        <v>5</v>
      </c>
      <c r="R603" s="21" t="str">
        <f>IFERROR(VLOOKUP("50mg DP",Controls!A:K,10,0),"")</f>
        <v>Patheon PDS-1</v>
      </c>
      <c r="S603" s="41">
        <f t="shared" si="66"/>
        <v>47788</v>
      </c>
      <c r="T603" s="30">
        <f t="shared" si="67"/>
        <v>0</v>
      </c>
      <c r="AB603">
        <f t="shared" si="69"/>
        <v>5</v>
      </c>
    </row>
    <row r="604" spans="1:28" ht="13" customHeight="1" x14ac:dyDescent="0.35">
      <c r="A604" s="153">
        <v>47969</v>
      </c>
      <c r="B604" s="36" t="s">
        <v>43</v>
      </c>
      <c r="C604" s="15" t="s">
        <v>38</v>
      </c>
      <c r="D604" s="15" t="s">
        <v>29</v>
      </c>
      <c r="E604" s="30">
        <f>H603</f>
        <v>267607</v>
      </c>
      <c r="F604" s="37" cm="1">
        <f t="array" ref="F604">IFERROR((SUMPRODUCT(('Production Inputs'!$A:$A="47mg LP")*('Production Inputs'!$B:$B="TOTAL ACTIVE")*'Production Inputs'!$BW:$BW)+SUMPRODUCT(('Production Inputs'!$A:$A="47mg LP - EU Stock")*('Production Inputs'!$B:$B="TOTAL ACTIVE")*'Production Inputs'!$BW:$BW))*Dependencies!$D$5,0)</f>
        <v>0</v>
      </c>
      <c r="G604" s="37">
        <f t="array" ref="G604">IFERROR(SUMPRODUCT(('Production Inputs'!$A:$A="50mg DP")*('Production Inputs'!$B:$B="TOTAL ACTIVE")*'Production Inputs'!$BW:$BW),0)</f>
        <v>0</v>
      </c>
      <c r="H604" s="30">
        <f t="shared" si="63"/>
        <v>267607</v>
      </c>
      <c r="I604" s="30">
        <f ca="1">IFERROR(AVERAGEIF(OFFSET(F604,0,0,MIN(Controls!$B$8,COUNTIF(B604:B$1973,B604)),1),"&gt;"&amp;0),0)</f>
        <v>0</v>
      </c>
      <c r="J604" s="38">
        <f t="shared" ca="1" si="64"/>
        <v>999</v>
      </c>
      <c r="K604" s="30">
        <f t="shared" ca="1" si="68"/>
        <v>0</v>
      </c>
      <c r="L604" t="str">
        <f t="shared" ca="1" si="65"/>
        <v>Overstock</v>
      </c>
      <c r="M604" s="39">
        <f>IFERROR(VLOOKUP("50mg DP",Controls!A:I,7,0),6)</f>
        <v>9</v>
      </c>
      <c r="N604" s="39">
        <f>IFERROR(VLOOKUP("50mg DP",Controls!A:I,8,0),3)</f>
        <v>8</v>
      </c>
      <c r="O604" s="39">
        <f>IFERROR(VLOOKUP("50mg DP",Controls!A:I,9,0),18)</f>
        <v>18</v>
      </c>
      <c r="P604" s="40">
        <f>IFERROR(VLOOKUP("50mg DP",Controls!A:J,5,0),0)</f>
        <v>10000</v>
      </c>
      <c r="Q604" s="39">
        <f>IFERROR(VLOOKUP("50mg DP",Controls!A:J,6,0),3)</f>
        <v>5</v>
      </c>
      <c r="R604" s="21" t="str">
        <f>IFERROR(VLOOKUP("50mg DP",Controls!A:K,10,0),"")</f>
        <v>Patheon PDS-1</v>
      </c>
      <c r="S604" s="41">
        <f t="shared" si="66"/>
        <v>47818</v>
      </c>
      <c r="T604" s="30">
        <f t="shared" si="67"/>
        <v>0</v>
      </c>
      <c r="AB604">
        <f t="shared" si="69"/>
        <v>5</v>
      </c>
    </row>
    <row r="605" spans="1:28" ht="13" customHeight="1" x14ac:dyDescent="0.35">
      <c r="A605" s="153">
        <v>48000</v>
      </c>
      <c r="B605" s="36" t="s">
        <v>43</v>
      </c>
      <c r="C605" s="15" t="s">
        <v>38</v>
      </c>
      <c r="D605" s="15" t="s">
        <v>29</v>
      </c>
      <c r="E605" s="30">
        <f>H604</f>
        <v>267607</v>
      </c>
      <c r="F605" s="37" cm="1">
        <f t="array" ref="F605">IFERROR((SUMPRODUCT(('Production Inputs'!$A:$A="47mg LP")*('Production Inputs'!$B:$B="TOTAL ACTIVE")*'Production Inputs'!$BX:$BX)+SUMPRODUCT(('Production Inputs'!$A:$A="47mg LP - EU Stock")*('Production Inputs'!$B:$B="TOTAL ACTIVE")*'Production Inputs'!$BX:$BX))*Dependencies!$D$5,0)</f>
        <v>0</v>
      </c>
      <c r="G605" s="37">
        <f t="array" ref="G605">IFERROR(SUMPRODUCT(('Production Inputs'!$A:$A="50mg DP")*('Production Inputs'!$B:$B="TOTAL ACTIVE")*'Production Inputs'!$BX:$BX),0)</f>
        <v>0</v>
      </c>
      <c r="H605" s="30">
        <f t="shared" si="63"/>
        <v>267607</v>
      </c>
      <c r="I605" s="30">
        <f ca="1">IFERROR(AVERAGEIF(OFFSET(F605,0,0,MIN(Controls!$B$8,COUNTIF(B605:B$1973,B605)),1),"&gt;"&amp;0),0)</f>
        <v>0</v>
      </c>
      <c r="J605" s="38">
        <f t="shared" ca="1" si="64"/>
        <v>999</v>
      </c>
      <c r="K605" s="30">
        <f t="shared" ca="1" si="68"/>
        <v>0</v>
      </c>
      <c r="L605" t="str">
        <f t="shared" ca="1" si="65"/>
        <v>Overstock</v>
      </c>
      <c r="M605" s="39">
        <f>IFERROR(VLOOKUP("50mg DP",Controls!A:I,7,0),6)</f>
        <v>9</v>
      </c>
      <c r="N605" s="39">
        <f>IFERROR(VLOOKUP("50mg DP",Controls!A:I,8,0),3)</f>
        <v>8</v>
      </c>
      <c r="O605" s="39">
        <f>IFERROR(VLOOKUP("50mg DP",Controls!A:I,9,0),18)</f>
        <v>18</v>
      </c>
      <c r="P605" s="40">
        <f>IFERROR(VLOOKUP("50mg DP",Controls!A:J,5,0),0)</f>
        <v>10000</v>
      </c>
      <c r="Q605" s="39">
        <f>IFERROR(VLOOKUP("50mg DP",Controls!A:J,6,0),3)</f>
        <v>5</v>
      </c>
      <c r="R605" s="21" t="str">
        <f>IFERROR(VLOOKUP("50mg DP",Controls!A:K,10,0),"")</f>
        <v>Patheon PDS-1</v>
      </c>
      <c r="S605" s="41">
        <f t="shared" si="66"/>
        <v>47849</v>
      </c>
      <c r="T605" s="30">
        <f t="shared" si="67"/>
        <v>0</v>
      </c>
      <c r="AB605">
        <f t="shared" si="69"/>
        <v>5</v>
      </c>
    </row>
    <row r="606" spans="1:28" ht="13" customHeight="1" x14ac:dyDescent="0.35">
      <c r="A606" s="153">
        <v>48030</v>
      </c>
      <c r="B606" s="36" t="s">
        <v>43</v>
      </c>
      <c r="C606" s="15" t="s">
        <v>38</v>
      </c>
      <c r="D606" s="15" t="s">
        <v>29</v>
      </c>
      <c r="E606" s="30">
        <f>H605</f>
        <v>267607</v>
      </c>
      <c r="F606" s="37" cm="1">
        <f t="array" ref="F606">IFERROR((SUMPRODUCT(('Production Inputs'!$A:$A="47mg LP")*('Production Inputs'!$B:$B="TOTAL ACTIVE")*'Production Inputs'!$BY:$BY)+SUMPRODUCT(('Production Inputs'!$A:$A="47mg LP - EU Stock")*('Production Inputs'!$B:$B="TOTAL ACTIVE")*'Production Inputs'!$BY:$BY))*Dependencies!$D$5,0)</f>
        <v>0</v>
      </c>
      <c r="G606" s="37">
        <f t="array" ref="G606">IFERROR(SUMPRODUCT(('Production Inputs'!$A:$A="50mg DP")*('Production Inputs'!$B:$B="TOTAL ACTIVE")*'Production Inputs'!$BY:$BY),0)</f>
        <v>0</v>
      </c>
      <c r="H606" s="30">
        <f t="shared" si="63"/>
        <v>267607</v>
      </c>
      <c r="I606" s="30">
        <f ca="1">IFERROR(AVERAGEIF(OFFSET(F606,0,0,MIN(Controls!$B$8,COUNTIF(B606:B$1973,B606)),1),"&gt;"&amp;0),0)</f>
        <v>0</v>
      </c>
      <c r="J606" s="38">
        <f t="shared" ca="1" si="64"/>
        <v>999</v>
      </c>
      <c r="K606" s="30">
        <f t="shared" ca="1" si="68"/>
        <v>0</v>
      </c>
      <c r="L606" t="str">
        <f t="shared" ca="1" si="65"/>
        <v>Overstock</v>
      </c>
      <c r="M606" s="39">
        <f>IFERROR(VLOOKUP("50mg DP",Controls!A:I,7,0),6)</f>
        <v>9</v>
      </c>
      <c r="N606" s="39">
        <f>IFERROR(VLOOKUP("50mg DP",Controls!A:I,8,0),3)</f>
        <v>8</v>
      </c>
      <c r="O606" s="39">
        <f>IFERROR(VLOOKUP("50mg DP",Controls!A:I,9,0),18)</f>
        <v>18</v>
      </c>
      <c r="P606" s="40">
        <f>IFERROR(VLOOKUP("50mg DP",Controls!A:J,5,0),0)</f>
        <v>10000</v>
      </c>
      <c r="Q606" s="39">
        <f>IFERROR(VLOOKUP("50mg DP",Controls!A:J,6,0),3)</f>
        <v>5</v>
      </c>
      <c r="R606" s="21" t="str">
        <f>IFERROR(VLOOKUP("50mg DP",Controls!A:K,10,0),"")</f>
        <v>Patheon PDS-1</v>
      </c>
      <c r="S606" s="41">
        <f t="shared" si="66"/>
        <v>47880</v>
      </c>
      <c r="T606" s="30">
        <f t="shared" si="67"/>
        <v>0</v>
      </c>
      <c r="AB606">
        <f t="shared" si="69"/>
        <v>5</v>
      </c>
    </row>
    <row r="607" spans="1:28" ht="13" customHeight="1" x14ac:dyDescent="0.35">
      <c r="A607" s="153">
        <v>48061</v>
      </c>
      <c r="B607" s="36" t="s">
        <v>43</v>
      </c>
      <c r="C607" s="15" t="s">
        <v>38</v>
      </c>
      <c r="D607" s="15" t="s">
        <v>29</v>
      </c>
      <c r="E607" s="30">
        <f>H606</f>
        <v>267607</v>
      </c>
      <c r="F607" s="37" cm="1">
        <f t="array" ref="F607">IFERROR((SUMPRODUCT(('Production Inputs'!$A:$A="47mg LP")*('Production Inputs'!$B:$B="TOTAL ACTIVE")*'Production Inputs'!$BZ:$BZ)+SUMPRODUCT(('Production Inputs'!$A:$A="47mg LP - EU Stock")*('Production Inputs'!$B:$B="TOTAL ACTIVE")*'Production Inputs'!$BZ:$BZ))*Dependencies!$D$5,0)</f>
        <v>0</v>
      </c>
      <c r="G607" s="37">
        <f t="array" ref="G607">IFERROR(SUMPRODUCT(('Production Inputs'!$A:$A="50mg DP")*('Production Inputs'!$B:$B="TOTAL ACTIVE")*'Production Inputs'!$BZ:$BZ),0)</f>
        <v>0</v>
      </c>
      <c r="H607" s="30">
        <f t="shared" si="63"/>
        <v>267607</v>
      </c>
      <c r="I607" s="30">
        <f ca="1">IFERROR(AVERAGEIF(OFFSET(F607,0,0,MIN(Controls!$B$8,COUNTIF(B607:B$1973,B607)),1),"&gt;"&amp;0),0)</f>
        <v>0</v>
      </c>
      <c r="J607" s="38">
        <f t="shared" ca="1" si="64"/>
        <v>999</v>
      </c>
      <c r="K607" s="30">
        <f t="shared" ca="1" si="68"/>
        <v>0</v>
      </c>
      <c r="L607" t="str">
        <f t="shared" ca="1" si="65"/>
        <v>Overstock</v>
      </c>
      <c r="M607" s="39">
        <f>IFERROR(VLOOKUP("50mg DP",Controls!A:I,7,0),6)</f>
        <v>9</v>
      </c>
      <c r="N607" s="39">
        <f>IFERROR(VLOOKUP("50mg DP",Controls!A:I,8,0),3)</f>
        <v>8</v>
      </c>
      <c r="O607" s="39">
        <f>IFERROR(VLOOKUP("50mg DP",Controls!A:I,9,0),18)</f>
        <v>18</v>
      </c>
      <c r="P607" s="40">
        <f>IFERROR(VLOOKUP("50mg DP",Controls!A:J,5,0),0)</f>
        <v>10000</v>
      </c>
      <c r="Q607" s="39">
        <f>IFERROR(VLOOKUP("50mg DP",Controls!A:J,6,0),3)</f>
        <v>5</v>
      </c>
      <c r="R607" s="21" t="str">
        <f>IFERROR(VLOOKUP("50mg DP",Controls!A:K,10,0),"")</f>
        <v>Patheon PDS-1</v>
      </c>
      <c r="S607" s="41">
        <f t="shared" si="66"/>
        <v>47908</v>
      </c>
      <c r="T607" s="30">
        <f t="shared" si="67"/>
        <v>0</v>
      </c>
      <c r="AB607">
        <f t="shared" si="69"/>
        <v>5</v>
      </c>
    </row>
    <row r="608" spans="1:28" ht="13" customHeight="1" x14ac:dyDescent="0.35">
      <c r="A608" s="153">
        <v>48092</v>
      </c>
      <c r="B608" s="36" t="s">
        <v>43</v>
      </c>
      <c r="C608" s="15" t="s">
        <v>38</v>
      </c>
      <c r="D608" s="15" t="s">
        <v>29</v>
      </c>
      <c r="E608" s="30">
        <f>H607</f>
        <v>267607</v>
      </c>
      <c r="F608" s="37" cm="1">
        <f t="array" ref="F608">IFERROR((SUMPRODUCT(('Production Inputs'!$A:$A="47mg LP")*('Production Inputs'!$B:$B="TOTAL ACTIVE")*'Production Inputs'!$CA:$CA)+SUMPRODUCT(('Production Inputs'!$A:$A="47mg LP - EU Stock")*('Production Inputs'!$B:$B="TOTAL ACTIVE")*'Production Inputs'!$CA:$CA))*Dependencies!$D$5,0)</f>
        <v>0</v>
      </c>
      <c r="G608" s="37">
        <f t="array" ref="G608">IFERROR(SUMPRODUCT(('Production Inputs'!$A:$A="50mg DP")*('Production Inputs'!$B:$B="TOTAL ACTIVE")*'Production Inputs'!$CA:$CA),0)</f>
        <v>0</v>
      </c>
      <c r="H608" s="30">
        <f t="shared" si="63"/>
        <v>267607</v>
      </c>
      <c r="I608" s="30">
        <f ca="1">IFERROR(AVERAGEIF(OFFSET(F608,0,0,MIN(Controls!$B$8,COUNTIF(B608:B$1973,B608)),1),"&gt;"&amp;0),0)</f>
        <v>0</v>
      </c>
      <c r="J608" s="38">
        <f t="shared" ca="1" si="64"/>
        <v>999</v>
      </c>
      <c r="K608" s="30">
        <f t="shared" ca="1" si="68"/>
        <v>0</v>
      </c>
      <c r="L608" t="str">
        <f t="shared" ca="1" si="65"/>
        <v>Overstock</v>
      </c>
      <c r="M608" s="39">
        <f>IFERROR(VLOOKUP("50mg DP",Controls!A:I,7,0),6)</f>
        <v>9</v>
      </c>
      <c r="N608" s="39">
        <f>IFERROR(VLOOKUP("50mg DP",Controls!A:I,8,0),3)</f>
        <v>8</v>
      </c>
      <c r="O608" s="39">
        <f>IFERROR(VLOOKUP("50mg DP",Controls!A:I,9,0),18)</f>
        <v>18</v>
      </c>
      <c r="P608" s="40">
        <f>IFERROR(VLOOKUP("50mg DP",Controls!A:J,5,0),0)</f>
        <v>10000</v>
      </c>
      <c r="Q608" s="39">
        <f>IFERROR(VLOOKUP("50mg DP",Controls!A:J,6,0),3)</f>
        <v>5</v>
      </c>
      <c r="R608" s="21" t="str">
        <f>IFERROR(VLOOKUP("50mg DP",Controls!A:K,10,0),"")</f>
        <v>Patheon PDS-1</v>
      </c>
      <c r="S608" s="41">
        <f t="shared" si="66"/>
        <v>47939</v>
      </c>
      <c r="T608" s="30">
        <f t="shared" si="67"/>
        <v>0</v>
      </c>
      <c r="AB608">
        <f t="shared" si="69"/>
        <v>5</v>
      </c>
    </row>
    <row r="609" spans="1:28" ht="13" customHeight="1" x14ac:dyDescent="0.35">
      <c r="A609" s="153">
        <v>48122</v>
      </c>
      <c r="B609" s="36" t="s">
        <v>43</v>
      </c>
      <c r="C609" s="15" t="s">
        <v>38</v>
      </c>
      <c r="D609" s="15" t="s">
        <v>29</v>
      </c>
      <c r="E609" s="30">
        <f>H608</f>
        <v>267607</v>
      </c>
      <c r="F609" s="37" cm="1">
        <f t="array" ref="F609">IFERROR((SUMPRODUCT(('Production Inputs'!$A:$A="47mg LP")*('Production Inputs'!$B:$B="TOTAL ACTIVE")*'Production Inputs'!$CB:$CB)+SUMPRODUCT(('Production Inputs'!$A:$A="47mg LP - EU Stock")*('Production Inputs'!$B:$B="TOTAL ACTIVE")*'Production Inputs'!$CB:$CB))*Dependencies!$D$5,0)</f>
        <v>0</v>
      </c>
      <c r="G609" s="37">
        <f t="array" ref="G609">IFERROR(SUMPRODUCT(('Production Inputs'!$A:$A="50mg DP")*('Production Inputs'!$B:$B="TOTAL ACTIVE")*'Production Inputs'!$CB:$CB),0)</f>
        <v>0</v>
      </c>
      <c r="H609" s="30">
        <f t="shared" si="63"/>
        <v>267607</v>
      </c>
      <c r="I609" s="30">
        <f ca="1">IFERROR(AVERAGEIF(OFFSET(F609,0,0,MIN(Controls!$B$8,COUNTIF(B609:B$1973,B609)),1),"&gt;"&amp;0),0)</f>
        <v>0</v>
      </c>
      <c r="J609" s="38">
        <f t="shared" ca="1" si="64"/>
        <v>999</v>
      </c>
      <c r="K609" s="30">
        <f t="shared" ca="1" si="68"/>
        <v>0</v>
      </c>
      <c r="L609" t="str">
        <f t="shared" ca="1" si="65"/>
        <v>Overstock</v>
      </c>
      <c r="M609" s="39">
        <f>IFERROR(VLOOKUP("50mg DP",Controls!A:I,7,0),6)</f>
        <v>9</v>
      </c>
      <c r="N609" s="39">
        <f>IFERROR(VLOOKUP("50mg DP",Controls!A:I,8,0),3)</f>
        <v>8</v>
      </c>
      <c r="O609" s="39">
        <f>IFERROR(VLOOKUP("50mg DP",Controls!A:I,9,0),18)</f>
        <v>18</v>
      </c>
      <c r="P609" s="40">
        <f>IFERROR(VLOOKUP("50mg DP",Controls!A:J,5,0),0)</f>
        <v>10000</v>
      </c>
      <c r="Q609" s="39">
        <f>IFERROR(VLOOKUP("50mg DP",Controls!A:J,6,0),3)</f>
        <v>5</v>
      </c>
      <c r="R609" s="21" t="str">
        <f>IFERROR(VLOOKUP("50mg DP",Controls!A:K,10,0),"")</f>
        <v>Patheon PDS-1</v>
      </c>
      <c r="S609" s="41">
        <f t="shared" si="66"/>
        <v>47969</v>
      </c>
      <c r="T609" s="30">
        <f t="shared" si="67"/>
        <v>0</v>
      </c>
      <c r="AB609">
        <f t="shared" si="69"/>
        <v>5</v>
      </c>
    </row>
    <row r="610" spans="1:28" ht="13" customHeight="1" x14ac:dyDescent="0.35">
      <c r="A610" s="153">
        <v>48153</v>
      </c>
      <c r="B610" s="36" t="s">
        <v>43</v>
      </c>
      <c r="C610" s="15" t="s">
        <v>38</v>
      </c>
      <c r="D610" s="15" t="s">
        <v>29</v>
      </c>
      <c r="E610" s="30">
        <f>H609</f>
        <v>267607</v>
      </c>
      <c r="F610" s="37" cm="1">
        <f t="array" ref="F610">IFERROR((SUMPRODUCT(('Production Inputs'!$A:$A="47mg LP")*('Production Inputs'!$B:$B="TOTAL ACTIVE")*'Production Inputs'!$CC:$CC)+SUMPRODUCT(('Production Inputs'!$A:$A="47mg LP - EU Stock")*('Production Inputs'!$B:$B="TOTAL ACTIVE")*'Production Inputs'!$CC:$CC))*Dependencies!$D$5,0)</f>
        <v>0</v>
      </c>
      <c r="G610" s="37">
        <f t="array" ref="G610">IFERROR(SUMPRODUCT(('Production Inputs'!$A:$A="50mg DP")*('Production Inputs'!$B:$B="TOTAL ACTIVE")*'Production Inputs'!$CC:$CC),0)</f>
        <v>0</v>
      </c>
      <c r="H610" s="30">
        <f t="shared" si="63"/>
        <v>267607</v>
      </c>
      <c r="I610" s="30">
        <f ca="1">IFERROR(AVERAGEIF(OFFSET(F610,0,0,MIN(Controls!$B$8,COUNTIF(B610:B$1973,B610)),1),"&gt;"&amp;0),0)</f>
        <v>0</v>
      </c>
      <c r="J610" s="38">
        <f t="shared" ca="1" si="64"/>
        <v>999</v>
      </c>
      <c r="K610" s="30">
        <f t="shared" ca="1" si="68"/>
        <v>0</v>
      </c>
      <c r="L610" t="str">
        <f t="shared" ca="1" si="65"/>
        <v>Overstock</v>
      </c>
      <c r="M610" s="39">
        <f>IFERROR(VLOOKUP("50mg DP",Controls!A:I,7,0),6)</f>
        <v>9</v>
      </c>
      <c r="N610" s="39">
        <f>IFERROR(VLOOKUP("50mg DP",Controls!A:I,8,0),3)</f>
        <v>8</v>
      </c>
      <c r="O610" s="39">
        <f>IFERROR(VLOOKUP("50mg DP",Controls!A:I,9,0),18)</f>
        <v>18</v>
      </c>
      <c r="P610" s="40">
        <f>IFERROR(VLOOKUP("50mg DP",Controls!A:J,5,0),0)</f>
        <v>10000</v>
      </c>
      <c r="Q610" s="39">
        <f>IFERROR(VLOOKUP("50mg DP",Controls!A:J,6,0),3)</f>
        <v>5</v>
      </c>
      <c r="R610" s="21" t="str">
        <f>IFERROR(VLOOKUP("50mg DP",Controls!A:K,10,0),"")</f>
        <v>Patheon PDS-1</v>
      </c>
      <c r="S610" s="41">
        <f t="shared" si="66"/>
        <v>48000</v>
      </c>
      <c r="T610" s="30">
        <f t="shared" si="67"/>
        <v>0</v>
      </c>
      <c r="AB610">
        <f t="shared" si="69"/>
        <v>5</v>
      </c>
    </row>
    <row r="611" spans="1:28" ht="13" customHeight="1" x14ac:dyDescent="0.35">
      <c r="A611" s="153">
        <v>48183</v>
      </c>
      <c r="B611" s="36" t="s">
        <v>43</v>
      </c>
      <c r="C611" s="15" t="s">
        <v>38</v>
      </c>
      <c r="D611" s="15" t="s">
        <v>29</v>
      </c>
      <c r="E611" s="30">
        <f>H610</f>
        <v>267607</v>
      </c>
      <c r="F611" s="37" cm="1">
        <f t="array" ref="F611">IFERROR((SUMPRODUCT(('Production Inputs'!$A:$A="47mg LP")*('Production Inputs'!$B:$B="TOTAL ACTIVE")*'Production Inputs'!$CD:$CD)+SUMPRODUCT(('Production Inputs'!$A:$A="47mg LP - EU Stock")*('Production Inputs'!$B:$B="TOTAL ACTIVE")*'Production Inputs'!$CD:$CD))*Dependencies!$D$5,0)</f>
        <v>0</v>
      </c>
      <c r="G611" s="37">
        <f t="array" ref="G611">IFERROR(SUMPRODUCT(('Production Inputs'!$A:$A="50mg DP")*('Production Inputs'!$B:$B="TOTAL ACTIVE")*'Production Inputs'!$CD:$CD),0)</f>
        <v>0</v>
      </c>
      <c r="H611" s="30">
        <f t="shared" si="63"/>
        <v>267607</v>
      </c>
      <c r="I611" s="30">
        <f ca="1">IFERROR(AVERAGEIF(OFFSET(F611,0,0,MIN(Controls!$B$8,COUNTIF(B611:B$1973,B611)),1),"&gt;"&amp;0),0)</f>
        <v>0</v>
      </c>
      <c r="J611" s="38">
        <f t="shared" ca="1" si="64"/>
        <v>999</v>
      </c>
      <c r="K611" s="30">
        <f t="shared" ca="1" si="68"/>
        <v>0</v>
      </c>
      <c r="L611" t="str">
        <f t="shared" ca="1" si="65"/>
        <v>Overstock</v>
      </c>
      <c r="M611" s="39">
        <f>IFERROR(VLOOKUP("50mg DP",Controls!A:I,7,0),6)</f>
        <v>9</v>
      </c>
      <c r="N611" s="39">
        <f>IFERROR(VLOOKUP("50mg DP",Controls!A:I,8,0),3)</f>
        <v>8</v>
      </c>
      <c r="O611" s="39">
        <f>IFERROR(VLOOKUP("50mg DP",Controls!A:I,9,0),18)</f>
        <v>18</v>
      </c>
      <c r="P611" s="40">
        <f>IFERROR(VLOOKUP("50mg DP",Controls!A:J,5,0),0)</f>
        <v>10000</v>
      </c>
      <c r="Q611" s="39">
        <f>IFERROR(VLOOKUP("50mg DP",Controls!A:J,6,0),3)</f>
        <v>5</v>
      </c>
      <c r="R611" s="21" t="str">
        <f>IFERROR(VLOOKUP("50mg DP",Controls!A:K,10,0),"")</f>
        <v>Patheon PDS-1</v>
      </c>
      <c r="S611" s="41">
        <f t="shared" si="66"/>
        <v>48030</v>
      </c>
      <c r="T611" s="30">
        <f t="shared" si="67"/>
        <v>0</v>
      </c>
      <c r="AB611">
        <f t="shared" si="69"/>
        <v>5</v>
      </c>
    </row>
    <row r="612" spans="1:28" ht="13" customHeight="1" x14ac:dyDescent="0.35">
      <c r="A612" s="153">
        <v>48214</v>
      </c>
      <c r="B612" s="36" t="s">
        <v>43</v>
      </c>
      <c r="C612" s="15" t="s">
        <v>38</v>
      </c>
      <c r="D612" s="15" t="s">
        <v>29</v>
      </c>
      <c r="E612" s="30">
        <f>H611</f>
        <v>267607</v>
      </c>
      <c r="F612" s="37" cm="1">
        <f t="array" ref="F612">IFERROR((SUMPRODUCT(('Production Inputs'!$A:$A="47mg LP")*('Production Inputs'!$B:$B="TOTAL ACTIVE")*'Production Inputs'!$CE:$CE)+SUMPRODUCT(('Production Inputs'!$A:$A="47mg LP - EU Stock")*('Production Inputs'!$B:$B="TOTAL ACTIVE")*'Production Inputs'!$CE:$CE))*Dependencies!$D$5,0)</f>
        <v>0</v>
      </c>
      <c r="G612" s="37">
        <f t="array" ref="G612">IFERROR(SUMPRODUCT(('Production Inputs'!$A:$A="50mg DP")*('Production Inputs'!$B:$B="TOTAL ACTIVE")*'Production Inputs'!$CE:$CE),0)</f>
        <v>0</v>
      </c>
      <c r="H612" s="30">
        <f t="shared" si="63"/>
        <v>267607</v>
      </c>
      <c r="I612" s="30">
        <f ca="1">IFERROR(AVERAGEIF(OFFSET(F612,0,0,MIN(Controls!$B$8,COUNTIF(B612:B$1973,B612)),1),"&gt;"&amp;0),0)</f>
        <v>0</v>
      </c>
      <c r="J612" s="38">
        <f t="shared" ca="1" si="64"/>
        <v>999</v>
      </c>
      <c r="K612" s="30">
        <f t="shared" ca="1" si="68"/>
        <v>0</v>
      </c>
      <c r="L612" t="str">
        <f t="shared" ca="1" si="65"/>
        <v>Overstock</v>
      </c>
      <c r="M612" s="39">
        <f>IFERROR(VLOOKUP("50mg DP",Controls!A:I,7,0),6)</f>
        <v>9</v>
      </c>
      <c r="N612" s="39">
        <f>IFERROR(VLOOKUP("50mg DP",Controls!A:I,8,0),3)</f>
        <v>8</v>
      </c>
      <c r="O612" s="39">
        <f>IFERROR(VLOOKUP("50mg DP",Controls!A:I,9,0),18)</f>
        <v>18</v>
      </c>
      <c r="P612" s="40">
        <f>IFERROR(VLOOKUP("50mg DP",Controls!A:J,5,0),0)</f>
        <v>10000</v>
      </c>
      <c r="Q612" s="39">
        <f>IFERROR(VLOOKUP("50mg DP",Controls!A:J,6,0),3)</f>
        <v>5</v>
      </c>
      <c r="R612" s="21" t="str">
        <f>IFERROR(VLOOKUP("50mg DP",Controls!A:K,10,0),"")</f>
        <v>Patheon PDS-1</v>
      </c>
      <c r="S612" s="41">
        <f t="shared" si="66"/>
        <v>48061</v>
      </c>
      <c r="T612" s="30">
        <f t="shared" si="67"/>
        <v>0</v>
      </c>
      <c r="AB612">
        <f t="shared" si="69"/>
        <v>5</v>
      </c>
    </row>
    <row r="613" spans="1:28" ht="13" customHeight="1" x14ac:dyDescent="0.35">
      <c r="A613" s="153">
        <v>48245</v>
      </c>
      <c r="B613" s="36" t="s">
        <v>43</v>
      </c>
      <c r="C613" s="15" t="s">
        <v>38</v>
      </c>
      <c r="D613" s="15" t="s">
        <v>29</v>
      </c>
      <c r="E613" s="30">
        <f>H612</f>
        <v>267607</v>
      </c>
      <c r="F613" s="37" cm="1">
        <f t="array" ref="F613">IFERROR((SUMPRODUCT(('Production Inputs'!$A:$A="47mg LP")*('Production Inputs'!$B:$B="TOTAL ACTIVE")*'Production Inputs'!$CF:$CF)+SUMPRODUCT(('Production Inputs'!$A:$A="47mg LP - EU Stock")*('Production Inputs'!$B:$B="TOTAL ACTIVE")*'Production Inputs'!$CF:$CF))*Dependencies!$D$5,0)</f>
        <v>0</v>
      </c>
      <c r="G613" s="37">
        <f t="array" ref="G613">IFERROR(SUMPRODUCT(('Production Inputs'!$A:$A="50mg DP")*('Production Inputs'!$B:$B="TOTAL ACTIVE")*'Production Inputs'!$CF:$CF),0)</f>
        <v>0</v>
      </c>
      <c r="H613" s="30">
        <f t="shared" si="63"/>
        <v>267607</v>
      </c>
      <c r="I613" s="30">
        <f ca="1">IFERROR(AVERAGEIF(OFFSET(F613,0,0,MIN(Controls!$B$8,COUNTIF(B613:B$1973,B613)),1),"&gt;"&amp;0),0)</f>
        <v>0</v>
      </c>
      <c r="J613" s="38">
        <f t="shared" ca="1" si="64"/>
        <v>999</v>
      </c>
      <c r="K613" s="30">
        <f t="shared" ca="1" si="68"/>
        <v>0</v>
      </c>
      <c r="L613" t="str">
        <f t="shared" ca="1" si="65"/>
        <v>Overstock</v>
      </c>
      <c r="M613" s="39">
        <f>IFERROR(VLOOKUP("50mg DP",Controls!A:I,7,0),6)</f>
        <v>9</v>
      </c>
      <c r="N613" s="39">
        <f>IFERROR(VLOOKUP("50mg DP",Controls!A:I,8,0),3)</f>
        <v>8</v>
      </c>
      <c r="O613" s="39">
        <f>IFERROR(VLOOKUP("50mg DP",Controls!A:I,9,0),18)</f>
        <v>18</v>
      </c>
      <c r="P613" s="40">
        <f>IFERROR(VLOOKUP("50mg DP",Controls!A:J,5,0),0)</f>
        <v>10000</v>
      </c>
      <c r="Q613" s="39">
        <f>IFERROR(VLOOKUP("50mg DP",Controls!A:J,6,0),3)</f>
        <v>5</v>
      </c>
      <c r="R613" s="21" t="str">
        <f>IFERROR(VLOOKUP("50mg DP",Controls!A:K,10,0),"")</f>
        <v>Patheon PDS-1</v>
      </c>
      <c r="S613" s="41">
        <f t="shared" si="66"/>
        <v>48092</v>
      </c>
      <c r="T613" s="30">
        <f t="shared" si="67"/>
        <v>0</v>
      </c>
      <c r="AB613">
        <f t="shared" si="69"/>
        <v>5</v>
      </c>
    </row>
    <row r="614" spans="1:28" ht="13" customHeight="1" x14ac:dyDescent="0.35">
      <c r="A614" s="153">
        <v>48274</v>
      </c>
      <c r="B614" s="36" t="s">
        <v>43</v>
      </c>
      <c r="C614" s="15" t="s">
        <v>38</v>
      </c>
      <c r="D614" s="15" t="s">
        <v>29</v>
      </c>
      <c r="E614" s="30">
        <f>H613</f>
        <v>267607</v>
      </c>
      <c r="F614" s="37" cm="1">
        <f t="array" ref="F614">IFERROR((SUMPRODUCT(('Production Inputs'!$A:$A="47mg LP")*('Production Inputs'!$B:$B="TOTAL ACTIVE")*'Production Inputs'!$CG:$CG)+SUMPRODUCT(('Production Inputs'!$A:$A="47mg LP - EU Stock")*('Production Inputs'!$B:$B="TOTAL ACTIVE")*'Production Inputs'!$CG:$CG))*Dependencies!$D$5,0)</f>
        <v>0</v>
      </c>
      <c r="G614" s="37">
        <f t="array" ref="G614">IFERROR(SUMPRODUCT(('Production Inputs'!$A:$A="50mg DP")*('Production Inputs'!$B:$B="TOTAL ACTIVE")*'Production Inputs'!$CG:$CG),0)</f>
        <v>0</v>
      </c>
      <c r="H614" s="30">
        <f t="shared" si="63"/>
        <v>267607</v>
      </c>
      <c r="I614" s="30">
        <f ca="1">IFERROR(AVERAGEIF(OFFSET(F614,0,0,MIN(Controls!$B$8,COUNTIF(B614:B$1973,B614)),1),"&gt;"&amp;0),0)</f>
        <v>0</v>
      </c>
      <c r="J614" s="38">
        <f t="shared" ca="1" si="64"/>
        <v>999</v>
      </c>
      <c r="K614" s="30">
        <f t="shared" ca="1" si="68"/>
        <v>0</v>
      </c>
      <c r="L614" t="str">
        <f t="shared" ca="1" si="65"/>
        <v>Overstock</v>
      </c>
      <c r="M614" s="39">
        <f>IFERROR(VLOOKUP("50mg DP",Controls!A:I,7,0),6)</f>
        <v>9</v>
      </c>
      <c r="N614" s="39">
        <f>IFERROR(VLOOKUP("50mg DP",Controls!A:I,8,0),3)</f>
        <v>8</v>
      </c>
      <c r="O614" s="39">
        <f>IFERROR(VLOOKUP("50mg DP",Controls!A:I,9,0),18)</f>
        <v>18</v>
      </c>
      <c r="P614" s="40">
        <f>IFERROR(VLOOKUP("50mg DP",Controls!A:J,5,0),0)</f>
        <v>10000</v>
      </c>
      <c r="Q614" s="39">
        <f>IFERROR(VLOOKUP("50mg DP",Controls!A:J,6,0),3)</f>
        <v>5</v>
      </c>
      <c r="R614" s="21" t="str">
        <f>IFERROR(VLOOKUP("50mg DP",Controls!A:K,10,0),"")</f>
        <v>Patheon PDS-1</v>
      </c>
      <c r="S614" s="41">
        <f t="shared" si="66"/>
        <v>48122</v>
      </c>
      <c r="T614" s="30">
        <f t="shared" si="67"/>
        <v>0</v>
      </c>
      <c r="AB614">
        <f t="shared" si="69"/>
        <v>5</v>
      </c>
    </row>
    <row r="615" spans="1:28" ht="13" customHeight="1" x14ac:dyDescent="0.35">
      <c r="A615" s="153">
        <v>48305</v>
      </c>
      <c r="B615" s="36" t="s">
        <v>43</v>
      </c>
      <c r="C615" s="15" t="s">
        <v>38</v>
      </c>
      <c r="D615" s="15" t="s">
        <v>29</v>
      </c>
      <c r="E615" s="30">
        <f>H614</f>
        <v>267607</v>
      </c>
      <c r="F615" s="37" cm="1">
        <f t="array" ref="F615">IFERROR((SUMPRODUCT(('Production Inputs'!$A:$A="47mg LP")*('Production Inputs'!$B:$B="TOTAL ACTIVE")*'Production Inputs'!$CH:$CH)+SUMPRODUCT(('Production Inputs'!$A:$A="47mg LP - EU Stock")*('Production Inputs'!$B:$B="TOTAL ACTIVE")*'Production Inputs'!$CH:$CH))*Dependencies!$D$5,0)</f>
        <v>0</v>
      </c>
      <c r="G615" s="37">
        <f t="array" ref="G615">IFERROR(SUMPRODUCT(('Production Inputs'!$A:$A="50mg DP")*('Production Inputs'!$B:$B="TOTAL ACTIVE")*'Production Inputs'!$CH:$CH),0)</f>
        <v>0</v>
      </c>
      <c r="H615" s="30">
        <f t="shared" si="63"/>
        <v>267607</v>
      </c>
      <c r="I615" s="30">
        <f ca="1">IFERROR(AVERAGEIF(OFFSET(F615,0,0,MIN(Controls!$B$8,COUNTIF(B615:B$1973,B615)),1),"&gt;"&amp;0),0)</f>
        <v>0</v>
      </c>
      <c r="J615" s="38">
        <f t="shared" ca="1" si="64"/>
        <v>999</v>
      </c>
      <c r="K615" s="30">
        <f t="shared" ca="1" si="68"/>
        <v>0</v>
      </c>
      <c r="L615" t="str">
        <f t="shared" ca="1" si="65"/>
        <v>Overstock</v>
      </c>
      <c r="M615" s="39">
        <f>IFERROR(VLOOKUP("50mg DP",Controls!A:I,7,0),6)</f>
        <v>9</v>
      </c>
      <c r="N615" s="39">
        <f>IFERROR(VLOOKUP("50mg DP",Controls!A:I,8,0),3)</f>
        <v>8</v>
      </c>
      <c r="O615" s="39">
        <f>IFERROR(VLOOKUP("50mg DP",Controls!A:I,9,0),18)</f>
        <v>18</v>
      </c>
      <c r="P615" s="40">
        <f>IFERROR(VLOOKUP("50mg DP",Controls!A:J,5,0),0)</f>
        <v>10000</v>
      </c>
      <c r="Q615" s="39">
        <f>IFERROR(VLOOKUP("50mg DP",Controls!A:J,6,0),3)</f>
        <v>5</v>
      </c>
      <c r="R615" s="21" t="str">
        <f>IFERROR(VLOOKUP("50mg DP",Controls!A:K,10,0),"")</f>
        <v>Patheon PDS-1</v>
      </c>
      <c r="S615" s="41">
        <f t="shared" si="66"/>
        <v>48153</v>
      </c>
      <c r="T615" s="30">
        <f t="shared" si="67"/>
        <v>0</v>
      </c>
      <c r="AB615">
        <f t="shared" si="69"/>
        <v>5</v>
      </c>
    </row>
    <row r="616" spans="1:28" ht="13" customHeight="1" x14ac:dyDescent="0.35">
      <c r="A616" s="153">
        <v>48335</v>
      </c>
      <c r="B616" s="36" t="s">
        <v>43</v>
      </c>
      <c r="C616" s="15" t="s">
        <v>38</v>
      </c>
      <c r="D616" s="15" t="s">
        <v>29</v>
      </c>
      <c r="E616" s="30">
        <f>H615</f>
        <v>267607</v>
      </c>
      <c r="F616" s="37" cm="1">
        <f t="array" ref="F616">IFERROR((SUMPRODUCT(('Production Inputs'!$A:$A="47mg LP")*('Production Inputs'!$B:$B="TOTAL ACTIVE")*'Production Inputs'!$CI:$CI)+SUMPRODUCT(('Production Inputs'!$A:$A="47mg LP - EU Stock")*('Production Inputs'!$B:$B="TOTAL ACTIVE")*'Production Inputs'!$CI:$CI))*Dependencies!$D$5,0)</f>
        <v>0</v>
      </c>
      <c r="G616" s="37">
        <f t="array" ref="G616">IFERROR(SUMPRODUCT(('Production Inputs'!$A:$A="50mg DP")*('Production Inputs'!$B:$B="TOTAL ACTIVE")*'Production Inputs'!$CI:$CI),0)</f>
        <v>0</v>
      </c>
      <c r="H616" s="30">
        <f t="shared" si="63"/>
        <v>267607</v>
      </c>
      <c r="I616" s="30">
        <f ca="1">IFERROR(AVERAGEIF(OFFSET(F616,0,0,MIN(Controls!$B$8,COUNTIF(B616:B$1973,B616)),1),"&gt;"&amp;0),0)</f>
        <v>0</v>
      </c>
      <c r="J616" s="38">
        <f t="shared" ca="1" si="64"/>
        <v>999</v>
      </c>
      <c r="K616" s="30">
        <f t="shared" ca="1" si="68"/>
        <v>0</v>
      </c>
      <c r="L616" t="str">
        <f t="shared" ca="1" si="65"/>
        <v>Overstock</v>
      </c>
      <c r="M616" s="39">
        <f>IFERROR(VLOOKUP("50mg DP",Controls!A:I,7,0),6)</f>
        <v>9</v>
      </c>
      <c r="N616" s="39">
        <f>IFERROR(VLOOKUP("50mg DP",Controls!A:I,8,0),3)</f>
        <v>8</v>
      </c>
      <c r="O616" s="39">
        <f>IFERROR(VLOOKUP("50mg DP",Controls!A:I,9,0),18)</f>
        <v>18</v>
      </c>
      <c r="P616" s="40">
        <f>IFERROR(VLOOKUP("50mg DP",Controls!A:J,5,0),0)</f>
        <v>10000</v>
      </c>
      <c r="Q616" s="39">
        <f>IFERROR(VLOOKUP("50mg DP",Controls!A:J,6,0),3)</f>
        <v>5</v>
      </c>
      <c r="R616" s="21" t="str">
        <f>IFERROR(VLOOKUP("50mg DP",Controls!A:K,10,0),"")</f>
        <v>Patheon PDS-1</v>
      </c>
      <c r="S616" s="41">
        <f t="shared" si="66"/>
        <v>48183</v>
      </c>
      <c r="T616" s="30">
        <f t="shared" si="67"/>
        <v>0</v>
      </c>
      <c r="AB616">
        <f t="shared" si="69"/>
        <v>5</v>
      </c>
    </row>
    <row r="617" spans="1:28" ht="13" customHeight="1" x14ac:dyDescent="0.35">
      <c r="A617" s="153">
        <v>48366</v>
      </c>
      <c r="B617" s="36" t="s">
        <v>43</v>
      </c>
      <c r="C617" s="15" t="s">
        <v>38</v>
      </c>
      <c r="D617" s="15" t="s">
        <v>29</v>
      </c>
      <c r="E617" s="30">
        <f>H616</f>
        <v>267607</v>
      </c>
      <c r="F617" s="37" cm="1">
        <f t="array" ref="F617">IFERROR((SUMPRODUCT(('Production Inputs'!$A:$A="47mg LP")*('Production Inputs'!$B:$B="TOTAL ACTIVE")*'Production Inputs'!$CJ:$CJ)+SUMPRODUCT(('Production Inputs'!$A:$A="47mg LP - EU Stock")*('Production Inputs'!$B:$B="TOTAL ACTIVE")*'Production Inputs'!$CJ:$CJ))*Dependencies!$D$5,0)</f>
        <v>0</v>
      </c>
      <c r="G617" s="37">
        <f t="array" ref="G617">IFERROR(SUMPRODUCT(('Production Inputs'!$A:$A="50mg DP")*('Production Inputs'!$B:$B="TOTAL ACTIVE")*'Production Inputs'!$CJ:$CJ),0)</f>
        <v>0</v>
      </c>
      <c r="H617" s="30">
        <f t="shared" si="63"/>
        <v>267607</v>
      </c>
      <c r="I617" s="30">
        <f ca="1">IFERROR(AVERAGEIF(OFFSET(F617,0,0,MIN(Controls!$B$8,COUNTIF(B617:B$1973,B617)),1),"&gt;"&amp;0),0)</f>
        <v>0</v>
      </c>
      <c r="J617" s="38">
        <f t="shared" ca="1" si="64"/>
        <v>999</v>
      </c>
      <c r="K617" s="30">
        <f t="shared" ca="1" si="68"/>
        <v>0</v>
      </c>
      <c r="L617" t="str">
        <f t="shared" ca="1" si="65"/>
        <v>Overstock</v>
      </c>
      <c r="M617" s="39">
        <f>IFERROR(VLOOKUP("50mg DP",Controls!A:I,7,0),6)</f>
        <v>9</v>
      </c>
      <c r="N617" s="39">
        <f>IFERROR(VLOOKUP("50mg DP",Controls!A:I,8,0),3)</f>
        <v>8</v>
      </c>
      <c r="O617" s="39">
        <f>IFERROR(VLOOKUP("50mg DP",Controls!A:I,9,0),18)</f>
        <v>18</v>
      </c>
      <c r="P617" s="40">
        <f>IFERROR(VLOOKUP("50mg DP",Controls!A:J,5,0),0)</f>
        <v>10000</v>
      </c>
      <c r="Q617" s="39">
        <f>IFERROR(VLOOKUP("50mg DP",Controls!A:J,6,0),3)</f>
        <v>5</v>
      </c>
      <c r="R617" s="21" t="str">
        <f>IFERROR(VLOOKUP("50mg DP",Controls!A:K,10,0),"")</f>
        <v>Patheon PDS-1</v>
      </c>
      <c r="S617" s="41">
        <f t="shared" si="66"/>
        <v>48214</v>
      </c>
      <c r="T617" s="30">
        <f t="shared" si="67"/>
        <v>0</v>
      </c>
      <c r="AB617">
        <f t="shared" si="69"/>
        <v>5</v>
      </c>
    </row>
    <row r="618" spans="1:28" ht="13" customHeight="1" x14ac:dyDescent="0.35">
      <c r="A618" s="153">
        <v>48396</v>
      </c>
      <c r="B618" s="36" t="s">
        <v>43</v>
      </c>
      <c r="C618" s="15" t="s">
        <v>38</v>
      </c>
      <c r="D618" s="15" t="s">
        <v>29</v>
      </c>
      <c r="E618" s="30">
        <f>H617</f>
        <v>267607</v>
      </c>
      <c r="F618" s="37" cm="1">
        <f t="array" ref="F618">IFERROR((SUMPRODUCT(('Production Inputs'!$A:$A="47mg LP")*('Production Inputs'!$B:$B="TOTAL ACTIVE")*'Production Inputs'!$CK:$CK)+SUMPRODUCT(('Production Inputs'!$A:$A="47mg LP - EU Stock")*('Production Inputs'!$B:$B="TOTAL ACTIVE")*'Production Inputs'!$CK:$CK))*Dependencies!$D$5,0)</f>
        <v>0</v>
      </c>
      <c r="G618" s="37">
        <f t="array" ref="G618">IFERROR(SUMPRODUCT(('Production Inputs'!$A:$A="50mg DP")*('Production Inputs'!$B:$B="TOTAL ACTIVE")*'Production Inputs'!$CK:$CK),0)</f>
        <v>0</v>
      </c>
      <c r="H618" s="30">
        <f t="shared" si="63"/>
        <v>267607</v>
      </c>
      <c r="I618" s="30">
        <f ca="1">IFERROR(AVERAGEIF(OFFSET(F618,0,0,MIN(Controls!$B$8,COUNTIF(B618:B$1973,B618)),1),"&gt;"&amp;0),0)</f>
        <v>0</v>
      </c>
      <c r="J618" s="38">
        <f t="shared" ca="1" si="64"/>
        <v>999</v>
      </c>
      <c r="K618" s="30">
        <f t="shared" ca="1" si="68"/>
        <v>0</v>
      </c>
      <c r="L618" t="str">
        <f t="shared" ca="1" si="65"/>
        <v>Overstock</v>
      </c>
      <c r="M618" s="39">
        <f>IFERROR(VLOOKUP("50mg DP",Controls!A:I,7,0),6)</f>
        <v>9</v>
      </c>
      <c r="N618" s="39">
        <f>IFERROR(VLOOKUP("50mg DP",Controls!A:I,8,0),3)</f>
        <v>8</v>
      </c>
      <c r="O618" s="39">
        <f>IFERROR(VLOOKUP("50mg DP",Controls!A:I,9,0),18)</f>
        <v>18</v>
      </c>
      <c r="P618" s="40">
        <f>IFERROR(VLOOKUP("50mg DP",Controls!A:J,5,0),0)</f>
        <v>10000</v>
      </c>
      <c r="Q618" s="39">
        <f>IFERROR(VLOOKUP("50mg DP",Controls!A:J,6,0),3)</f>
        <v>5</v>
      </c>
      <c r="R618" s="21" t="str">
        <f>IFERROR(VLOOKUP("50mg DP",Controls!A:K,10,0),"")</f>
        <v>Patheon PDS-1</v>
      </c>
      <c r="S618" s="41">
        <f t="shared" si="66"/>
        <v>48245</v>
      </c>
      <c r="T618" s="30">
        <f t="shared" si="67"/>
        <v>0</v>
      </c>
      <c r="AB618">
        <f t="shared" si="69"/>
        <v>5</v>
      </c>
    </row>
    <row r="619" spans="1:28" ht="13" customHeight="1" x14ac:dyDescent="0.35">
      <c r="A619" s="153">
        <v>48427</v>
      </c>
      <c r="B619" s="36" t="s">
        <v>43</v>
      </c>
      <c r="C619" s="15" t="s">
        <v>38</v>
      </c>
      <c r="D619" s="15" t="s">
        <v>29</v>
      </c>
      <c r="E619" s="30">
        <f>H618</f>
        <v>267607</v>
      </c>
      <c r="F619" s="37" cm="1">
        <f t="array" ref="F619">IFERROR((SUMPRODUCT(('Production Inputs'!$A:$A="47mg LP")*('Production Inputs'!$B:$B="TOTAL ACTIVE")*'Production Inputs'!$CL:$CL)+SUMPRODUCT(('Production Inputs'!$A:$A="47mg LP - EU Stock")*('Production Inputs'!$B:$B="TOTAL ACTIVE")*'Production Inputs'!$CL:$CL))*Dependencies!$D$5,0)</f>
        <v>0</v>
      </c>
      <c r="G619" s="37">
        <f t="array" ref="G619">IFERROR(SUMPRODUCT(('Production Inputs'!$A:$A="50mg DP")*('Production Inputs'!$B:$B="TOTAL ACTIVE")*'Production Inputs'!$CL:$CL),0)</f>
        <v>0</v>
      </c>
      <c r="H619" s="30">
        <f t="shared" si="63"/>
        <v>267607</v>
      </c>
      <c r="I619" s="30">
        <f ca="1">IFERROR(AVERAGEIF(OFFSET(F619,0,0,MIN(Controls!$B$8,COUNTIF(B619:B$1973,B619)),1),"&gt;"&amp;0),0)</f>
        <v>0</v>
      </c>
      <c r="J619" s="38">
        <f t="shared" ca="1" si="64"/>
        <v>999</v>
      </c>
      <c r="K619" s="30">
        <f t="shared" ca="1" si="68"/>
        <v>0</v>
      </c>
      <c r="L619" t="str">
        <f t="shared" ca="1" si="65"/>
        <v>Overstock</v>
      </c>
      <c r="M619" s="39">
        <f>IFERROR(VLOOKUP("50mg DP",Controls!A:I,7,0),6)</f>
        <v>9</v>
      </c>
      <c r="N619" s="39">
        <f>IFERROR(VLOOKUP("50mg DP",Controls!A:I,8,0),3)</f>
        <v>8</v>
      </c>
      <c r="O619" s="39">
        <f>IFERROR(VLOOKUP("50mg DP",Controls!A:I,9,0),18)</f>
        <v>18</v>
      </c>
      <c r="P619" s="40">
        <f>IFERROR(VLOOKUP("50mg DP",Controls!A:J,5,0),0)</f>
        <v>10000</v>
      </c>
      <c r="Q619" s="39">
        <f>IFERROR(VLOOKUP("50mg DP",Controls!A:J,6,0),3)</f>
        <v>5</v>
      </c>
      <c r="R619" s="21" t="str">
        <f>IFERROR(VLOOKUP("50mg DP",Controls!A:K,10,0),"")</f>
        <v>Patheon PDS-1</v>
      </c>
      <c r="S619" s="41">
        <f t="shared" si="66"/>
        <v>48274</v>
      </c>
      <c r="T619" s="30">
        <f t="shared" si="67"/>
        <v>0</v>
      </c>
      <c r="AB619">
        <f t="shared" si="69"/>
        <v>5</v>
      </c>
    </row>
    <row r="620" spans="1:28" ht="13" customHeight="1" x14ac:dyDescent="0.35">
      <c r="A620" s="153">
        <v>48458</v>
      </c>
      <c r="B620" s="36" t="s">
        <v>43</v>
      </c>
      <c r="C620" s="15" t="s">
        <v>38</v>
      </c>
      <c r="D620" s="15" t="s">
        <v>29</v>
      </c>
      <c r="E620" s="30">
        <f>H619</f>
        <v>267607</v>
      </c>
      <c r="F620" s="37" cm="1">
        <f t="array" ref="F620">IFERROR((SUMPRODUCT(('Production Inputs'!$A:$A="47mg LP")*('Production Inputs'!$B:$B="TOTAL ACTIVE")*'Production Inputs'!$CM:$CM)+SUMPRODUCT(('Production Inputs'!$A:$A="47mg LP - EU Stock")*('Production Inputs'!$B:$B="TOTAL ACTIVE")*'Production Inputs'!$CM:$CM))*Dependencies!$D$5,0)</f>
        <v>0</v>
      </c>
      <c r="G620" s="37">
        <f t="array" ref="G620">IFERROR(SUMPRODUCT(('Production Inputs'!$A:$A="50mg DP")*('Production Inputs'!$B:$B="TOTAL ACTIVE")*'Production Inputs'!$CM:$CM),0)</f>
        <v>0</v>
      </c>
      <c r="H620" s="30">
        <f t="shared" si="63"/>
        <v>267607</v>
      </c>
      <c r="I620" s="30">
        <f ca="1">IFERROR(AVERAGEIF(OFFSET(F620,0,0,MIN(Controls!$B$8,COUNTIF(B620:B$1973,B620)),1),"&gt;"&amp;0),0)</f>
        <v>0</v>
      </c>
      <c r="J620" s="38">
        <f t="shared" ca="1" si="64"/>
        <v>999</v>
      </c>
      <c r="K620" s="30">
        <f t="shared" ca="1" si="68"/>
        <v>0</v>
      </c>
      <c r="L620" t="str">
        <f t="shared" ca="1" si="65"/>
        <v>Overstock</v>
      </c>
      <c r="M620" s="39">
        <f>IFERROR(VLOOKUP("50mg DP",Controls!A:I,7,0),6)</f>
        <v>9</v>
      </c>
      <c r="N620" s="39">
        <f>IFERROR(VLOOKUP("50mg DP",Controls!A:I,8,0),3)</f>
        <v>8</v>
      </c>
      <c r="O620" s="39">
        <f>IFERROR(VLOOKUP("50mg DP",Controls!A:I,9,0),18)</f>
        <v>18</v>
      </c>
      <c r="P620" s="40">
        <f>IFERROR(VLOOKUP("50mg DP",Controls!A:J,5,0),0)</f>
        <v>10000</v>
      </c>
      <c r="Q620" s="39">
        <f>IFERROR(VLOOKUP("50mg DP",Controls!A:J,6,0),3)</f>
        <v>5</v>
      </c>
      <c r="R620" s="21" t="str">
        <f>IFERROR(VLOOKUP("50mg DP",Controls!A:K,10,0),"")</f>
        <v>Patheon PDS-1</v>
      </c>
      <c r="S620" s="41">
        <f t="shared" si="66"/>
        <v>48305</v>
      </c>
      <c r="T620" s="30">
        <f t="shared" si="67"/>
        <v>0</v>
      </c>
      <c r="AB620">
        <f t="shared" si="69"/>
        <v>5</v>
      </c>
    </row>
    <row r="621" spans="1:28" ht="13" customHeight="1" x14ac:dyDescent="0.35">
      <c r="A621" s="153">
        <v>48488</v>
      </c>
      <c r="B621" s="36" t="s">
        <v>43</v>
      </c>
      <c r="C621" s="15" t="s">
        <v>38</v>
      </c>
      <c r="D621" s="15" t="s">
        <v>29</v>
      </c>
      <c r="E621" s="30">
        <f>H620</f>
        <v>267607</v>
      </c>
      <c r="F621" s="37" cm="1">
        <f t="array" ref="F621">IFERROR((SUMPRODUCT(('Production Inputs'!$A:$A="47mg LP")*('Production Inputs'!$B:$B="TOTAL ACTIVE")*'Production Inputs'!$CN:$CN)+SUMPRODUCT(('Production Inputs'!$A:$A="47mg LP - EU Stock")*('Production Inputs'!$B:$B="TOTAL ACTIVE")*'Production Inputs'!$CN:$CN))*Dependencies!$D$5,0)</f>
        <v>0</v>
      </c>
      <c r="G621" s="37">
        <f t="array" ref="G621">IFERROR(SUMPRODUCT(('Production Inputs'!$A:$A="50mg DP")*('Production Inputs'!$B:$B="TOTAL ACTIVE")*'Production Inputs'!$CN:$CN),0)</f>
        <v>0</v>
      </c>
      <c r="H621" s="30">
        <f t="shared" si="63"/>
        <v>267607</v>
      </c>
      <c r="I621" s="30">
        <f ca="1">IFERROR(AVERAGEIF(OFFSET(F621,0,0,MIN(Controls!$B$8,COUNTIF(B621:B$1973,B621)),1),"&gt;"&amp;0),0)</f>
        <v>0</v>
      </c>
      <c r="J621" s="38">
        <f t="shared" ca="1" si="64"/>
        <v>999</v>
      </c>
      <c r="K621" s="30">
        <f t="shared" ca="1" si="68"/>
        <v>0</v>
      </c>
      <c r="L621" t="str">
        <f t="shared" ca="1" si="65"/>
        <v>Overstock</v>
      </c>
      <c r="M621" s="39">
        <f>IFERROR(VLOOKUP("50mg DP",Controls!A:I,7,0),6)</f>
        <v>9</v>
      </c>
      <c r="N621" s="39">
        <f>IFERROR(VLOOKUP("50mg DP",Controls!A:I,8,0),3)</f>
        <v>8</v>
      </c>
      <c r="O621" s="39">
        <f>IFERROR(VLOOKUP("50mg DP",Controls!A:I,9,0),18)</f>
        <v>18</v>
      </c>
      <c r="P621" s="40">
        <f>IFERROR(VLOOKUP("50mg DP",Controls!A:J,5,0),0)</f>
        <v>10000</v>
      </c>
      <c r="Q621" s="39">
        <f>IFERROR(VLOOKUP("50mg DP",Controls!A:J,6,0),3)</f>
        <v>5</v>
      </c>
      <c r="R621" s="21" t="str">
        <f>IFERROR(VLOOKUP("50mg DP",Controls!A:K,10,0),"")</f>
        <v>Patheon PDS-1</v>
      </c>
      <c r="S621" s="41">
        <f t="shared" si="66"/>
        <v>48335</v>
      </c>
      <c r="T621" s="30">
        <f t="shared" si="67"/>
        <v>0</v>
      </c>
      <c r="AB621">
        <f t="shared" si="69"/>
        <v>5</v>
      </c>
    </row>
    <row r="622" spans="1:28" ht="13" customHeight="1" x14ac:dyDescent="0.35">
      <c r="A622" s="153">
        <v>48519</v>
      </c>
      <c r="B622" s="36" t="s">
        <v>43</v>
      </c>
      <c r="C622" s="15" t="s">
        <v>38</v>
      </c>
      <c r="D622" s="15" t="s">
        <v>29</v>
      </c>
      <c r="E622" s="30">
        <f>H621</f>
        <v>267607</v>
      </c>
      <c r="F622" s="37" cm="1">
        <f t="array" ref="F622">IFERROR((SUMPRODUCT(('Production Inputs'!$A:$A="47mg LP")*('Production Inputs'!$B:$B="TOTAL ACTIVE")*'Production Inputs'!$CO:$CO)+SUMPRODUCT(('Production Inputs'!$A:$A="47mg LP - EU Stock")*('Production Inputs'!$B:$B="TOTAL ACTIVE")*'Production Inputs'!$CO:$CO))*Dependencies!$D$5,0)</f>
        <v>0</v>
      </c>
      <c r="G622" s="37">
        <f t="array" ref="G622">IFERROR(SUMPRODUCT(('Production Inputs'!$A:$A="50mg DP")*('Production Inputs'!$B:$B="TOTAL ACTIVE")*'Production Inputs'!$CO:$CO),0)</f>
        <v>0</v>
      </c>
      <c r="H622" s="30">
        <f t="shared" si="63"/>
        <v>267607</v>
      </c>
      <c r="I622" s="30">
        <f ca="1">IFERROR(AVERAGEIF(OFFSET(F622,0,0,MIN(Controls!$B$8,COUNTIF(B622:B$1973,B622)),1),"&gt;"&amp;0),0)</f>
        <v>0</v>
      </c>
      <c r="J622" s="38">
        <f t="shared" ca="1" si="64"/>
        <v>999</v>
      </c>
      <c r="K622" s="30">
        <f t="shared" ca="1" si="68"/>
        <v>0</v>
      </c>
      <c r="L622" t="str">
        <f t="shared" ca="1" si="65"/>
        <v>Overstock</v>
      </c>
      <c r="M622" s="39">
        <f>IFERROR(VLOOKUP("50mg DP",Controls!A:I,7,0),6)</f>
        <v>9</v>
      </c>
      <c r="N622" s="39">
        <f>IFERROR(VLOOKUP("50mg DP",Controls!A:I,8,0),3)</f>
        <v>8</v>
      </c>
      <c r="O622" s="39">
        <f>IFERROR(VLOOKUP("50mg DP",Controls!A:I,9,0),18)</f>
        <v>18</v>
      </c>
      <c r="P622" s="40">
        <f>IFERROR(VLOOKUP("50mg DP",Controls!A:J,5,0),0)</f>
        <v>10000</v>
      </c>
      <c r="Q622" s="39">
        <f>IFERROR(VLOOKUP("50mg DP",Controls!A:J,6,0),3)</f>
        <v>5</v>
      </c>
      <c r="R622" s="21" t="str">
        <f>IFERROR(VLOOKUP("50mg DP",Controls!A:K,10,0),"")</f>
        <v>Patheon PDS-1</v>
      </c>
      <c r="S622" s="41">
        <f t="shared" si="66"/>
        <v>48366</v>
      </c>
      <c r="T622" s="30">
        <f t="shared" si="67"/>
        <v>0</v>
      </c>
      <c r="AB622">
        <f t="shared" si="69"/>
        <v>5</v>
      </c>
    </row>
    <row r="623" spans="1:28" ht="13" customHeight="1" x14ac:dyDescent="0.35">
      <c r="A623" s="153">
        <v>48549</v>
      </c>
      <c r="B623" s="36" t="s">
        <v>43</v>
      </c>
      <c r="C623" s="15" t="s">
        <v>38</v>
      </c>
      <c r="D623" s="15" t="s">
        <v>29</v>
      </c>
      <c r="E623" s="30">
        <f>H622</f>
        <v>267607</v>
      </c>
      <c r="F623" s="37" cm="1">
        <f t="array" ref="F623">IFERROR((SUMPRODUCT(('Production Inputs'!$A:$A="47mg LP")*('Production Inputs'!$B:$B="TOTAL ACTIVE")*'Production Inputs'!$CP:$CP)+SUMPRODUCT(('Production Inputs'!$A:$A="47mg LP - EU Stock")*('Production Inputs'!$B:$B="TOTAL ACTIVE")*'Production Inputs'!$CP:$CP))*Dependencies!$D$5,0)</f>
        <v>0</v>
      </c>
      <c r="G623" s="37">
        <f t="array" ref="G623">IFERROR(SUMPRODUCT(('Production Inputs'!$A:$A="50mg DP")*('Production Inputs'!$B:$B="TOTAL ACTIVE")*'Production Inputs'!$CP:$CP),0)</f>
        <v>0</v>
      </c>
      <c r="H623" s="30">
        <f t="shared" si="63"/>
        <v>267607</v>
      </c>
      <c r="I623" s="30">
        <f ca="1">IFERROR(AVERAGEIF(OFFSET(F623,0,0,MIN(Controls!$B$8,COUNTIF(B623:B$1973,B623)),1),"&gt;"&amp;0),0)</f>
        <v>0</v>
      </c>
      <c r="J623" s="38">
        <f t="shared" ca="1" si="64"/>
        <v>999</v>
      </c>
      <c r="K623" s="30">
        <f t="shared" ca="1" si="68"/>
        <v>0</v>
      </c>
      <c r="L623" t="str">
        <f t="shared" ca="1" si="65"/>
        <v>Overstock</v>
      </c>
      <c r="M623" s="39">
        <f>IFERROR(VLOOKUP("50mg DP",Controls!A:I,7,0),6)</f>
        <v>9</v>
      </c>
      <c r="N623" s="39">
        <f>IFERROR(VLOOKUP("50mg DP",Controls!A:I,8,0),3)</f>
        <v>8</v>
      </c>
      <c r="O623" s="39">
        <f>IFERROR(VLOOKUP("50mg DP",Controls!A:I,9,0),18)</f>
        <v>18</v>
      </c>
      <c r="P623" s="40">
        <f>IFERROR(VLOOKUP("50mg DP",Controls!A:J,5,0),0)</f>
        <v>10000</v>
      </c>
      <c r="Q623" s="39">
        <f>IFERROR(VLOOKUP("50mg DP",Controls!A:J,6,0),3)</f>
        <v>5</v>
      </c>
      <c r="R623" s="21" t="str">
        <f>IFERROR(VLOOKUP("50mg DP",Controls!A:K,10,0),"")</f>
        <v>Patheon PDS-1</v>
      </c>
      <c r="S623" s="41">
        <f t="shared" si="66"/>
        <v>48396</v>
      </c>
      <c r="T623" s="30">
        <f t="shared" si="67"/>
        <v>0</v>
      </c>
      <c r="AB623">
        <f t="shared" si="69"/>
        <v>5</v>
      </c>
    </row>
    <row r="624" spans="1:28" ht="13" customHeight="1" x14ac:dyDescent="0.35">
      <c r="A624" s="153">
        <v>48580</v>
      </c>
      <c r="B624" s="36" t="s">
        <v>43</v>
      </c>
      <c r="C624" s="15" t="s">
        <v>38</v>
      </c>
      <c r="D624" s="15" t="s">
        <v>29</v>
      </c>
      <c r="E624" s="30">
        <f>H623</f>
        <v>267607</v>
      </c>
      <c r="F624" s="37" cm="1">
        <f t="array" ref="F624">IFERROR((SUMPRODUCT(('Production Inputs'!$A:$A="47mg LP")*('Production Inputs'!$B:$B="TOTAL ACTIVE")*'Production Inputs'!$CQ:$CQ)+SUMPRODUCT(('Production Inputs'!$A:$A="47mg LP - EU Stock")*('Production Inputs'!$B:$B="TOTAL ACTIVE")*'Production Inputs'!$CQ:$CQ))*Dependencies!$D$5,0)</f>
        <v>0</v>
      </c>
      <c r="G624" s="37">
        <f t="array" ref="G624">IFERROR(SUMPRODUCT(('Production Inputs'!$A:$A="50mg DP")*('Production Inputs'!$B:$B="TOTAL ACTIVE")*'Production Inputs'!$CQ:$CQ),0)</f>
        <v>0</v>
      </c>
      <c r="H624" s="30">
        <f t="shared" si="63"/>
        <v>267607</v>
      </c>
      <c r="I624" s="30">
        <f ca="1">IFERROR(AVERAGEIF(OFFSET(F624,0,0,MIN(Controls!$B$8,COUNTIF(B624:B$1973,B624)),1),"&gt;"&amp;0),0)</f>
        <v>0</v>
      </c>
      <c r="J624" s="38">
        <f t="shared" ca="1" si="64"/>
        <v>999</v>
      </c>
      <c r="K624" s="30">
        <f t="shared" ca="1" si="68"/>
        <v>0</v>
      </c>
      <c r="L624" t="str">
        <f t="shared" ca="1" si="65"/>
        <v>Overstock</v>
      </c>
      <c r="M624" s="39">
        <f>IFERROR(VLOOKUP("50mg DP",Controls!A:I,7,0),6)</f>
        <v>9</v>
      </c>
      <c r="N624" s="39">
        <f>IFERROR(VLOOKUP("50mg DP",Controls!A:I,8,0),3)</f>
        <v>8</v>
      </c>
      <c r="O624" s="39">
        <f>IFERROR(VLOOKUP("50mg DP",Controls!A:I,9,0),18)</f>
        <v>18</v>
      </c>
      <c r="P624" s="40">
        <f>IFERROR(VLOOKUP("50mg DP",Controls!A:J,5,0),0)</f>
        <v>10000</v>
      </c>
      <c r="Q624" s="39">
        <f>IFERROR(VLOOKUP("50mg DP",Controls!A:J,6,0),3)</f>
        <v>5</v>
      </c>
      <c r="R624" s="21" t="str">
        <f>IFERROR(VLOOKUP("50mg DP",Controls!A:K,10,0),"")</f>
        <v>Patheon PDS-1</v>
      </c>
      <c r="S624" s="41">
        <f t="shared" si="66"/>
        <v>48427</v>
      </c>
      <c r="T624" s="30">
        <f t="shared" si="67"/>
        <v>0</v>
      </c>
      <c r="AB624">
        <f t="shared" si="69"/>
        <v>5</v>
      </c>
    </row>
    <row r="625" spans="1:28" ht="13" customHeight="1" x14ac:dyDescent="0.35">
      <c r="A625" s="153">
        <v>48611</v>
      </c>
      <c r="B625" s="36" t="s">
        <v>43</v>
      </c>
      <c r="C625" s="15" t="s">
        <v>38</v>
      </c>
      <c r="D625" s="15" t="s">
        <v>29</v>
      </c>
      <c r="E625" s="30">
        <f>H624</f>
        <v>267607</v>
      </c>
      <c r="F625" s="37" cm="1">
        <f t="array" ref="F625">IFERROR((SUMPRODUCT(('Production Inputs'!$A:$A="47mg LP")*('Production Inputs'!$B:$B="TOTAL ACTIVE")*'Production Inputs'!$CR:$CR)+SUMPRODUCT(('Production Inputs'!$A:$A="47mg LP - EU Stock")*('Production Inputs'!$B:$B="TOTAL ACTIVE")*'Production Inputs'!$CR:$CR))*Dependencies!$D$5,0)</f>
        <v>0</v>
      </c>
      <c r="G625" s="37">
        <f t="array" ref="G625">IFERROR(SUMPRODUCT(('Production Inputs'!$A:$A="50mg DP")*('Production Inputs'!$B:$B="TOTAL ACTIVE")*'Production Inputs'!$CR:$CR),0)</f>
        <v>0</v>
      </c>
      <c r="H625" s="30">
        <f t="shared" si="63"/>
        <v>267607</v>
      </c>
      <c r="I625" s="30">
        <f ca="1">IFERROR(AVERAGEIF(OFFSET(F625,0,0,MIN(Controls!$B$8,COUNTIF(B625:B$1973,B625)),1),"&gt;"&amp;0),0)</f>
        <v>0</v>
      </c>
      <c r="J625" s="38">
        <f t="shared" ca="1" si="64"/>
        <v>999</v>
      </c>
      <c r="K625" s="30">
        <f t="shared" ca="1" si="68"/>
        <v>0</v>
      </c>
      <c r="L625" t="str">
        <f t="shared" ca="1" si="65"/>
        <v>Overstock</v>
      </c>
      <c r="M625" s="39">
        <f>IFERROR(VLOOKUP("50mg DP",Controls!A:I,7,0),6)</f>
        <v>9</v>
      </c>
      <c r="N625" s="39">
        <f>IFERROR(VLOOKUP("50mg DP",Controls!A:I,8,0),3)</f>
        <v>8</v>
      </c>
      <c r="O625" s="39">
        <f>IFERROR(VLOOKUP("50mg DP",Controls!A:I,9,0),18)</f>
        <v>18</v>
      </c>
      <c r="P625" s="40">
        <f>IFERROR(VLOOKUP("50mg DP",Controls!A:J,5,0),0)</f>
        <v>10000</v>
      </c>
      <c r="Q625" s="39">
        <f>IFERROR(VLOOKUP("50mg DP",Controls!A:J,6,0),3)</f>
        <v>5</v>
      </c>
      <c r="R625" s="21" t="str">
        <f>IFERROR(VLOOKUP("50mg DP",Controls!A:K,10,0),"")</f>
        <v>Patheon PDS-1</v>
      </c>
      <c r="S625" s="41">
        <f t="shared" si="66"/>
        <v>48458</v>
      </c>
      <c r="T625" s="30">
        <f t="shared" si="67"/>
        <v>0</v>
      </c>
      <c r="AB625">
        <f t="shared" si="69"/>
        <v>5</v>
      </c>
    </row>
    <row r="626" spans="1:28" ht="13" customHeight="1" x14ac:dyDescent="0.35">
      <c r="A626" s="153">
        <v>48639</v>
      </c>
      <c r="B626" s="36" t="s">
        <v>43</v>
      </c>
      <c r="C626" s="15" t="s">
        <v>38</v>
      </c>
      <c r="D626" s="15" t="s">
        <v>29</v>
      </c>
      <c r="E626" s="30">
        <f>H625</f>
        <v>267607</v>
      </c>
      <c r="F626" s="37" cm="1">
        <f t="array" ref="F626">IFERROR((SUMPRODUCT(('Production Inputs'!$A:$A="47mg LP")*('Production Inputs'!$B:$B="TOTAL ACTIVE")*'Production Inputs'!$CS:$CS)+SUMPRODUCT(('Production Inputs'!$A:$A="47mg LP - EU Stock")*('Production Inputs'!$B:$B="TOTAL ACTIVE")*'Production Inputs'!$CS:$CS))*Dependencies!$D$5,0)</f>
        <v>0</v>
      </c>
      <c r="G626" s="37">
        <f t="array" ref="G626">IFERROR(SUMPRODUCT(('Production Inputs'!$A:$A="50mg DP")*('Production Inputs'!$B:$B="TOTAL ACTIVE")*'Production Inputs'!$CS:$CS),0)</f>
        <v>0</v>
      </c>
      <c r="H626" s="30">
        <f t="shared" si="63"/>
        <v>267607</v>
      </c>
      <c r="I626" s="30">
        <f ca="1">IFERROR(AVERAGEIF(OFFSET(F626,0,0,MIN(Controls!$B$8,COUNTIF(B626:B$1973,B626)),1),"&gt;"&amp;0),0)</f>
        <v>0</v>
      </c>
      <c r="J626" s="38">
        <f t="shared" ca="1" si="64"/>
        <v>999</v>
      </c>
      <c r="K626" s="30">
        <f t="shared" ca="1" si="68"/>
        <v>0</v>
      </c>
      <c r="L626" t="str">
        <f t="shared" ca="1" si="65"/>
        <v>Overstock</v>
      </c>
      <c r="M626" s="39">
        <f>IFERROR(VLOOKUP("50mg DP",Controls!A:I,7,0),6)</f>
        <v>9</v>
      </c>
      <c r="N626" s="39">
        <f>IFERROR(VLOOKUP("50mg DP",Controls!A:I,8,0),3)</f>
        <v>8</v>
      </c>
      <c r="O626" s="39">
        <f>IFERROR(VLOOKUP("50mg DP",Controls!A:I,9,0),18)</f>
        <v>18</v>
      </c>
      <c r="P626" s="40">
        <f>IFERROR(VLOOKUP("50mg DP",Controls!A:J,5,0),0)</f>
        <v>10000</v>
      </c>
      <c r="Q626" s="39">
        <f>IFERROR(VLOOKUP("50mg DP",Controls!A:J,6,0),3)</f>
        <v>5</v>
      </c>
      <c r="R626" s="21" t="str">
        <f>IFERROR(VLOOKUP("50mg DP",Controls!A:K,10,0),"")</f>
        <v>Patheon PDS-1</v>
      </c>
      <c r="S626" s="41">
        <f t="shared" si="66"/>
        <v>48488</v>
      </c>
      <c r="T626" s="30">
        <f t="shared" si="67"/>
        <v>0</v>
      </c>
      <c r="AB626">
        <f t="shared" si="69"/>
        <v>5</v>
      </c>
    </row>
    <row r="627" spans="1:28" ht="13" customHeight="1" x14ac:dyDescent="0.35">
      <c r="A627" s="153">
        <v>48670</v>
      </c>
      <c r="B627" s="36" t="s">
        <v>43</v>
      </c>
      <c r="C627" s="15" t="s">
        <v>38</v>
      </c>
      <c r="D627" s="15" t="s">
        <v>29</v>
      </c>
      <c r="E627" s="30">
        <f>H626</f>
        <v>267607</v>
      </c>
      <c r="F627" s="37" cm="1">
        <f t="array" ref="F627">IFERROR((SUMPRODUCT(('Production Inputs'!$A:$A="47mg LP")*('Production Inputs'!$B:$B="TOTAL ACTIVE")*'Production Inputs'!$CT:$CT)+SUMPRODUCT(('Production Inputs'!$A:$A="47mg LP - EU Stock")*('Production Inputs'!$B:$B="TOTAL ACTIVE")*'Production Inputs'!$CT:$CT))*Dependencies!$D$5,0)</f>
        <v>0</v>
      </c>
      <c r="G627" s="37">
        <f t="array" ref="G627">IFERROR(SUMPRODUCT(('Production Inputs'!$A:$A="50mg DP")*('Production Inputs'!$B:$B="TOTAL ACTIVE")*'Production Inputs'!$CT:$CT),0)</f>
        <v>0</v>
      </c>
      <c r="H627" s="30">
        <f t="shared" si="63"/>
        <v>267607</v>
      </c>
      <c r="I627" s="30">
        <f ca="1">IFERROR(AVERAGEIF(OFFSET(F627,0,0,MIN(Controls!$B$8,COUNTIF(B627:B$1973,B627)),1),"&gt;"&amp;0),0)</f>
        <v>0</v>
      </c>
      <c r="J627" s="38">
        <f t="shared" ca="1" si="64"/>
        <v>999</v>
      </c>
      <c r="K627" s="30">
        <f t="shared" ca="1" si="68"/>
        <v>0</v>
      </c>
      <c r="L627" t="str">
        <f t="shared" ca="1" si="65"/>
        <v>Overstock</v>
      </c>
      <c r="M627" s="39">
        <f>IFERROR(VLOOKUP("50mg DP",Controls!A:I,7,0),6)</f>
        <v>9</v>
      </c>
      <c r="N627" s="39">
        <f>IFERROR(VLOOKUP("50mg DP",Controls!A:I,8,0),3)</f>
        <v>8</v>
      </c>
      <c r="O627" s="39">
        <f>IFERROR(VLOOKUP("50mg DP",Controls!A:I,9,0),18)</f>
        <v>18</v>
      </c>
      <c r="P627" s="40">
        <f>IFERROR(VLOOKUP("50mg DP",Controls!A:J,5,0),0)</f>
        <v>10000</v>
      </c>
      <c r="Q627" s="39">
        <f>IFERROR(VLOOKUP("50mg DP",Controls!A:J,6,0),3)</f>
        <v>5</v>
      </c>
      <c r="R627" s="21" t="str">
        <f>IFERROR(VLOOKUP("50mg DP",Controls!A:K,10,0),"")</f>
        <v>Patheon PDS-1</v>
      </c>
      <c r="S627" s="41">
        <f t="shared" si="66"/>
        <v>48519</v>
      </c>
      <c r="T627" s="30">
        <f t="shared" si="67"/>
        <v>0</v>
      </c>
      <c r="AB627">
        <f t="shared" si="69"/>
        <v>5</v>
      </c>
    </row>
    <row r="628" spans="1:28" ht="13" customHeight="1" x14ac:dyDescent="0.35">
      <c r="A628" s="153">
        <v>48700</v>
      </c>
      <c r="B628" s="36" t="s">
        <v>43</v>
      </c>
      <c r="C628" s="15" t="s">
        <v>38</v>
      </c>
      <c r="D628" s="15" t="s">
        <v>29</v>
      </c>
      <c r="E628" s="30">
        <f>H627</f>
        <v>267607</v>
      </c>
      <c r="F628" s="37" cm="1">
        <f t="array" ref="F628">IFERROR((SUMPRODUCT(('Production Inputs'!$A:$A="47mg LP")*('Production Inputs'!$B:$B="TOTAL ACTIVE")*'Production Inputs'!$CU:$CU)+SUMPRODUCT(('Production Inputs'!$A:$A="47mg LP - EU Stock")*('Production Inputs'!$B:$B="TOTAL ACTIVE")*'Production Inputs'!$CU:$CU))*Dependencies!$D$5,0)</f>
        <v>0</v>
      </c>
      <c r="G628" s="37">
        <f t="array" ref="G628">IFERROR(SUMPRODUCT(('Production Inputs'!$A:$A="50mg DP")*('Production Inputs'!$B:$B="TOTAL ACTIVE")*'Production Inputs'!$CU:$CU),0)</f>
        <v>0</v>
      </c>
      <c r="H628" s="30">
        <f t="shared" si="63"/>
        <v>267607</v>
      </c>
      <c r="I628" s="30">
        <f ca="1">IFERROR(AVERAGEIF(OFFSET(F628,0,0,MIN(Controls!$B$8,COUNTIF(B628:B$1973,B628)),1),"&gt;"&amp;0),0)</f>
        <v>0</v>
      </c>
      <c r="J628" s="38">
        <f t="shared" ca="1" si="64"/>
        <v>999</v>
      </c>
      <c r="K628" s="30">
        <f t="shared" ca="1" si="68"/>
        <v>0</v>
      </c>
      <c r="L628" t="str">
        <f t="shared" ca="1" si="65"/>
        <v>Overstock</v>
      </c>
      <c r="M628" s="39">
        <f>IFERROR(VLOOKUP("50mg DP",Controls!A:I,7,0),6)</f>
        <v>9</v>
      </c>
      <c r="N628" s="39">
        <f>IFERROR(VLOOKUP("50mg DP",Controls!A:I,8,0),3)</f>
        <v>8</v>
      </c>
      <c r="O628" s="39">
        <f>IFERROR(VLOOKUP("50mg DP",Controls!A:I,9,0),18)</f>
        <v>18</v>
      </c>
      <c r="P628" s="40">
        <f>IFERROR(VLOOKUP("50mg DP",Controls!A:J,5,0),0)</f>
        <v>10000</v>
      </c>
      <c r="Q628" s="39">
        <f>IFERROR(VLOOKUP("50mg DP",Controls!A:J,6,0),3)</f>
        <v>5</v>
      </c>
      <c r="R628" s="21" t="str">
        <f>IFERROR(VLOOKUP("50mg DP",Controls!A:K,10,0),"")</f>
        <v>Patheon PDS-1</v>
      </c>
      <c r="S628" s="41">
        <f t="shared" si="66"/>
        <v>48549</v>
      </c>
      <c r="T628" s="30">
        <f t="shared" si="67"/>
        <v>0</v>
      </c>
      <c r="AB628">
        <f t="shared" si="69"/>
        <v>5</v>
      </c>
    </row>
    <row r="629" spans="1:28" ht="13" customHeight="1" x14ac:dyDescent="0.35">
      <c r="A629" s="153">
        <v>48731</v>
      </c>
      <c r="B629" s="36" t="s">
        <v>43</v>
      </c>
      <c r="C629" s="15" t="s">
        <v>38</v>
      </c>
      <c r="D629" s="15" t="s">
        <v>29</v>
      </c>
      <c r="E629" s="30">
        <f>H628</f>
        <v>267607</v>
      </c>
      <c r="F629" s="37" cm="1">
        <f t="array" ref="F629">IFERROR((SUMPRODUCT(('Production Inputs'!$A:$A="47mg LP")*('Production Inputs'!$B:$B="TOTAL ACTIVE")*'Production Inputs'!$CV:$CV)+SUMPRODUCT(('Production Inputs'!$A:$A="47mg LP - EU Stock")*('Production Inputs'!$B:$B="TOTAL ACTIVE")*'Production Inputs'!$CV:$CV))*Dependencies!$D$5,0)</f>
        <v>0</v>
      </c>
      <c r="G629" s="37">
        <f t="array" ref="G629">IFERROR(SUMPRODUCT(('Production Inputs'!$A:$A="50mg DP")*('Production Inputs'!$B:$B="TOTAL ACTIVE")*'Production Inputs'!$CV:$CV),0)</f>
        <v>0</v>
      </c>
      <c r="H629" s="30">
        <f t="shared" si="63"/>
        <v>267607</v>
      </c>
      <c r="I629" s="30">
        <f ca="1">IFERROR(AVERAGEIF(OFFSET(F629,0,0,MIN(Controls!$B$8,COUNTIF(B629:B$1973,B629)),1),"&gt;"&amp;0),0)</f>
        <v>0</v>
      </c>
      <c r="J629" s="38">
        <f t="shared" ca="1" si="64"/>
        <v>999</v>
      </c>
      <c r="K629" s="30">
        <f t="shared" ca="1" si="68"/>
        <v>0</v>
      </c>
      <c r="L629" t="str">
        <f t="shared" ca="1" si="65"/>
        <v>Overstock</v>
      </c>
      <c r="M629" s="39">
        <f>IFERROR(VLOOKUP("50mg DP",Controls!A:I,7,0),6)</f>
        <v>9</v>
      </c>
      <c r="N629" s="39">
        <f>IFERROR(VLOOKUP("50mg DP",Controls!A:I,8,0),3)</f>
        <v>8</v>
      </c>
      <c r="O629" s="39">
        <f>IFERROR(VLOOKUP("50mg DP",Controls!A:I,9,0),18)</f>
        <v>18</v>
      </c>
      <c r="P629" s="40">
        <f>IFERROR(VLOOKUP("50mg DP",Controls!A:J,5,0),0)</f>
        <v>10000</v>
      </c>
      <c r="Q629" s="39">
        <f>IFERROR(VLOOKUP("50mg DP",Controls!A:J,6,0),3)</f>
        <v>5</v>
      </c>
      <c r="R629" s="21" t="str">
        <f>IFERROR(VLOOKUP("50mg DP",Controls!A:K,10,0),"")</f>
        <v>Patheon PDS-1</v>
      </c>
      <c r="S629" s="41">
        <f t="shared" si="66"/>
        <v>48580</v>
      </c>
      <c r="T629" s="30">
        <f t="shared" si="67"/>
        <v>0</v>
      </c>
      <c r="AB629">
        <f t="shared" si="69"/>
        <v>5</v>
      </c>
    </row>
    <row r="630" spans="1:28" ht="13" customHeight="1" x14ac:dyDescent="0.35">
      <c r="A630" s="153">
        <v>48761</v>
      </c>
      <c r="B630" s="36" t="s">
        <v>43</v>
      </c>
      <c r="C630" s="15" t="s">
        <v>38</v>
      </c>
      <c r="D630" s="15" t="s">
        <v>29</v>
      </c>
      <c r="E630" s="30">
        <f>H629</f>
        <v>267607</v>
      </c>
      <c r="F630" s="37" cm="1">
        <f t="array" ref="F630">IFERROR((SUMPRODUCT(('Production Inputs'!$A:$A="47mg LP")*('Production Inputs'!$B:$B="TOTAL ACTIVE")*'Production Inputs'!$CW:$CW)+SUMPRODUCT(('Production Inputs'!$A:$A="47mg LP - EU Stock")*('Production Inputs'!$B:$B="TOTAL ACTIVE")*'Production Inputs'!$CW:$CW))*Dependencies!$D$5,0)</f>
        <v>0</v>
      </c>
      <c r="G630" s="37">
        <f t="array" ref="G630">IFERROR(SUMPRODUCT(('Production Inputs'!$A:$A="50mg DP")*('Production Inputs'!$B:$B="TOTAL ACTIVE")*'Production Inputs'!$CW:$CW),0)</f>
        <v>0</v>
      </c>
      <c r="H630" s="30">
        <f t="shared" si="63"/>
        <v>267607</v>
      </c>
      <c r="I630" s="30">
        <f ca="1">IFERROR(AVERAGEIF(OFFSET(F630,0,0,MIN(Controls!$B$8,COUNTIF(B630:B$1973,B630)),1),"&gt;"&amp;0),0)</f>
        <v>0</v>
      </c>
      <c r="J630" s="38">
        <f t="shared" ca="1" si="64"/>
        <v>999</v>
      </c>
      <c r="K630" s="30">
        <f t="shared" ca="1" si="68"/>
        <v>0</v>
      </c>
      <c r="L630" t="str">
        <f t="shared" ca="1" si="65"/>
        <v>Overstock</v>
      </c>
      <c r="M630" s="39">
        <f>IFERROR(VLOOKUP("50mg DP",Controls!A:I,7,0),6)</f>
        <v>9</v>
      </c>
      <c r="N630" s="39">
        <f>IFERROR(VLOOKUP("50mg DP",Controls!A:I,8,0),3)</f>
        <v>8</v>
      </c>
      <c r="O630" s="39">
        <f>IFERROR(VLOOKUP("50mg DP",Controls!A:I,9,0),18)</f>
        <v>18</v>
      </c>
      <c r="P630" s="40">
        <f>IFERROR(VLOOKUP("50mg DP",Controls!A:J,5,0),0)</f>
        <v>10000</v>
      </c>
      <c r="Q630" s="39">
        <f>IFERROR(VLOOKUP("50mg DP",Controls!A:J,6,0),3)</f>
        <v>5</v>
      </c>
      <c r="R630" s="21" t="str">
        <f>IFERROR(VLOOKUP("50mg DP",Controls!A:K,10,0),"")</f>
        <v>Patheon PDS-1</v>
      </c>
      <c r="S630" s="41">
        <f t="shared" si="66"/>
        <v>48611</v>
      </c>
      <c r="T630" s="30">
        <f t="shared" si="67"/>
        <v>0</v>
      </c>
      <c r="AB630">
        <f t="shared" si="69"/>
        <v>5</v>
      </c>
    </row>
    <row r="631" spans="1:28" ht="13" customHeight="1" x14ac:dyDescent="0.35">
      <c r="A631" s="153">
        <v>48792</v>
      </c>
      <c r="B631" s="36" t="s">
        <v>43</v>
      </c>
      <c r="C631" s="15" t="s">
        <v>38</v>
      </c>
      <c r="D631" s="15" t="s">
        <v>29</v>
      </c>
      <c r="E631" s="30">
        <f>H630</f>
        <v>267607</v>
      </c>
      <c r="F631" s="37" cm="1">
        <f t="array" ref="F631">IFERROR((SUMPRODUCT(('Production Inputs'!$A:$A="47mg LP")*('Production Inputs'!$B:$B="TOTAL ACTIVE")*'Production Inputs'!$CX:$CX)+SUMPRODUCT(('Production Inputs'!$A:$A="47mg LP - EU Stock")*('Production Inputs'!$B:$B="TOTAL ACTIVE")*'Production Inputs'!$CX:$CX))*Dependencies!$D$5,0)</f>
        <v>0</v>
      </c>
      <c r="G631" s="37">
        <f t="array" ref="G631">IFERROR(SUMPRODUCT(('Production Inputs'!$A:$A="50mg DP")*('Production Inputs'!$B:$B="TOTAL ACTIVE")*'Production Inputs'!$CX:$CX),0)</f>
        <v>0</v>
      </c>
      <c r="H631" s="30">
        <f t="shared" si="63"/>
        <v>267607</v>
      </c>
      <c r="I631" s="30">
        <f ca="1">IFERROR(AVERAGEIF(OFFSET(F631,0,0,MIN(Controls!$B$8,COUNTIF(B631:B$1973,B631)),1),"&gt;"&amp;0),0)</f>
        <v>0</v>
      </c>
      <c r="J631" s="38">
        <f t="shared" ca="1" si="64"/>
        <v>999</v>
      </c>
      <c r="K631" s="30">
        <f t="shared" ca="1" si="68"/>
        <v>0</v>
      </c>
      <c r="L631" t="str">
        <f t="shared" ca="1" si="65"/>
        <v>Overstock</v>
      </c>
      <c r="M631" s="39">
        <f>IFERROR(VLOOKUP("50mg DP",Controls!A:I,7,0),6)</f>
        <v>9</v>
      </c>
      <c r="N631" s="39">
        <f>IFERROR(VLOOKUP("50mg DP",Controls!A:I,8,0),3)</f>
        <v>8</v>
      </c>
      <c r="O631" s="39">
        <f>IFERROR(VLOOKUP("50mg DP",Controls!A:I,9,0),18)</f>
        <v>18</v>
      </c>
      <c r="P631" s="40">
        <f>IFERROR(VLOOKUP("50mg DP",Controls!A:J,5,0),0)</f>
        <v>10000</v>
      </c>
      <c r="Q631" s="39">
        <f>IFERROR(VLOOKUP("50mg DP",Controls!A:J,6,0),3)</f>
        <v>5</v>
      </c>
      <c r="R631" s="21" t="str">
        <f>IFERROR(VLOOKUP("50mg DP",Controls!A:K,10,0),"")</f>
        <v>Patheon PDS-1</v>
      </c>
      <c r="S631" s="41">
        <f t="shared" si="66"/>
        <v>48639</v>
      </c>
      <c r="T631" s="30">
        <f t="shared" si="67"/>
        <v>0</v>
      </c>
      <c r="AB631">
        <f t="shared" si="69"/>
        <v>5</v>
      </c>
    </row>
    <row r="632" spans="1:28" ht="13" customHeight="1" x14ac:dyDescent="0.35">
      <c r="A632" s="153">
        <v>48823</v>
      </c>
      <c r="B632" s="36" t="s">
        <v>43</v>
      </c>
      <c r="C632" s="15" t="s">
        <v>38</v>
      </c>
      <c r="D632" s="15" t="s">
        <v>29</v>
      </c>
      <c r="E632" s="30">
        <f>H631</f>
        <v>267607</v>
      </c>
      <c r="F632" s="37" cm="1">
        <f t="array" ref="F632">IFERROR((SUMPRODUCT(('Production Inputs'!$A:$A="47mg LP")*('Production Inputs'!$B:$B="TOTAL ACTIVE")*'Production Inputs'!$CY:$CY)+SUMPRODUCT(('Production Inputs'!$A:$A="47mg LP - EU Stock")*('Production Inputs'!$B:$B="TOTAL ACTIVE")*'Production Inputs'!$CY:$CY))*Dependencies!$D$5,0)</f>
        <v>0</v>
      </c>
      <c r="G632" s="37">
        <f t="array" ref="G632">IFERROR(SUMPRODUCT(('Production Inputs'!$A:$A="50mg DP")*('Production Inputs'!$B:$B="TOTAL ACTIVE")*'Production Inputs'!$CY:$CY),0)</f>
        <v>0</v>
      </c>
      <c r="H632" s="30">
        <f t="shared" si="63"/>
        <v>267607</v>
      </c>
      <c r="I632" s="30">
        <f ca="1">IFERROR(AVERAGEIF(OFFSET(F632,0,0,MIN(Controls!$B$8,COUNTIF(B632:B$1973,B632)),1),"&gt;"&amp;0),0)</f>
        <v>0</v>
      </c>
      <c r="J632" s="38">
        <f t="shared" ca="1" si="64"/>
        <v>999</v>
      </c>
      <c r="K632" s="30">
        <f t="shared" ca="1" si="68"/>
        <v>0</v>
      </c>
      <c r="L632" t="str">
        <f t="shared" ca="1" si="65"/>
        <v>Overstock</v>
      </c>
      <c r="M632" s="39">
        <f>IFERROR(VLOOKUP("50mg DP",Controls!A:I,7,0),6)</f>
        <v>9</v>
      </c>
      <c r="N632" s="39">
        <f>IFERROR(VLOOKUP("50mg DP",Controls!A:I,8,0),3)</f>
        <v>8</v>
      </c>
      <c r="O632" s="39">
        <f>IFERROR(VLOOKUP("50mg DP",Controls!A:I,9,0),18)</f>
        <v>18</v>
      </c>
      <c r="P632" s="40">
        <f>IFERROR(VLOOKUP("50mg DP",Controls!A:J,5,0),0)</f>
        <v>10000</v>
      </c>
      <c r="Q632" s="39">
        <f>IFERROR(VLOOKUP("50mg DP",Controls!A:J,6,0),3)</f>
        <v>5</v>
      </c>
      <c r="R632" s="21" t="str">
        <f>IFERROR(VLOOKUP("50mg DP",Controls!A:K,10,0),"")</f>
        <v>Patheon PDS-1</v>
      </c>
      <c r="S632" s="41">
        <f t="shared" si="66"/>
        <v>48670</v>
      </c>
      <c r="T632" s="30">
        <f t="shared" si="67"/>
        <v>0</v>
      </c>
      <c r="AB632">
        <f t="shared" si="69"/>
        <v>5</v>
      </c>
    </row>
    <row r="633" spans="1:28" ht="13" customHeight="1" x14ac:dyDescent="0.35">
      <c r="A633" s="153">
        <v>48853</v>
      </c>
      <c r="B633" s="36" t="s">
        <v>43</v>
      </c>
      <c r="C633" s="15" t="s">
        <v>38</v>
      </c>
      <c r="D633" s="15" t="s">
        <v>29</v>
      </c>
      <c r="E633" s="30">
        <f>H632</f>
        <v>267607</v>
      </c>
      <c r="F633" s="37" cm="1">
        <f t="array" ref="F633">IFERROR((SUMPRODUCT(('Production Inputs'!$A:$A="47mg LP")*('Production Inputs'!$B:$B="TOTAL ACTIVE")*'Production Inputs'!$CZ:$CZ)+SUMPRODUCT(('Production Inputs'!$A:$A="47mg LP - EU Stock")*('Production Inputs'!$B:$B="TOTAL ACTIVE")*'Production Inputs'!$CZ:$CZ))*Dependencies!$D$5,0)</f>
        <v>0</v>
      </c>
      <c r="G633" s="37">
        <f t="array" ref="G633">IFERROR(SUMPRODUCT(('Production Inputs'!$A:$A="50mg DP")*('Production Inputs'!$B:$B="TOTAL ACTIVE")*'Production Inputs'!$CZ:$CZ),0)</f>
        <v>0</v>
      </c>
      <c r="H633" s="30">
        <f t="shared" si="63"/>
        <v>267607</v>
      </c>
      <c r="I633" s="30">
        <f ca="1">IFERROR(AVERAGEIF(OFFSET(F633,0,0,MIN(Controls!$B$8,COUNTIF(B633:B$1973,B633)),1),"&gt;"&amp;0),0)</f>
        <v>0</v>
      </c>
      <c r="J633" s="38">
        <f t="shared" ca="1" si="64"/>
        <v>999</v>
      </c>
      <c r="K633" s="30">
        <f t="shared" ca="1" si="68"/>
        <v>0</v>
      </c>
      <c r="L633" t="str">
        <f t="shared" ca="1" si="65"/>
        <v>Overstock</v>
      </c>
      <c r="M633" s="39">
        <f>IFERROR(VLOOKUP("50mg DP",Controls!A:I,7,0),6)</f>
        <v>9</v>
      </c>
      <c r="N633" s="39">
        <f>IFERROR(VLOOKUP("50mg DP",Controls!A:I,8,0),3)</f>
        <v>8</v>
      </c>
      <c r="O633" s="39">
        <f>IFERROR(VLOOKUP("50mg DP",Controls!A:I,9,0),18)</f>
        <v>18</v>
      </c>
      <c r="P633" s="40">
        <f>IFERROR(VLOOKUP("50mg DP",Controls!A:J,5,0),0)</f>
        <v>10000</v>
      </c>
      <c r="Q633" s="39">
        <f>IFERROR(VLOOKUP("50mg DP",Controls!A:J,6,0),3)</f>
        <v>5</v>
      </c>
      <c r="R633" s="21" t="str">
        <f>IFERROR(VLOOKUP("50mg DP",Controls!A:K,10,0),"")</f>
        <v>Patheon PDS-1</v>
      </c>
      <c r="S633" s="41">
        <f t="shared" si="66"/>
        <v>48700</v>
      </c>
      <c r="T633" s="30">
        <f t="shared" si="67"/>
        <v>0</v>
      </c>
      <c r="AB633">
        <f t="shared" si="69"/>
        <v>5</v>
      </c>
    </row>
    <row r="634" spans="1:28" ht="13" customHeight="1" x14ac:dyDescent="0.35">
      <c r="A634" s="153">
        <v>48884</v>
      </c>
      <c r="B634" s="36" t="s">
        <v>43</v>
      </c>
      <c r="C634" s="15" t="s">
        <v>38</v>
      </c>
      <c r="D634" s="15" t="s">
        <v>29</v>
      </c>
      <c r="E634" s="30">
        <f>H633</f>
        <v>267607</v>
      </c>
      <c r="F634" s="37" cm="1">
        <f t="array" ref="F634">IFERROR((SUMPRODUCT(('Production Inputs'!$A:$A="47mg LP")*('Production Inputs'!$B:$B="TOTAL ACTIVE")*'Production Inputs'!$DA:$DA)+SUMPRODUCT(('Production Inputs'!$A:$A="47mg LP - EU Stock")*('Production Inputs'!$B:$B="TOTAL ACTIVE")*'Production Inputs'!$DA:$DA))*Dependencies!$D$5,0)</f>
        <v>0</v>
      </c>
      <c r="G634" s="37">
        <f t="array" ref="G634">IFERROR(SUMPRODUCT(('Production Inputs'!$A:$A="50mg DP")*('Production Inputs'!$B:$B="TOTAL ACTIVE")*'Production Inputs'!$DA:$DA),0)</f>
        <v>0</v>
      </c>
      <c r="H634" s="30">
        <f t="shared" si="63"/>
        <v>267607</v>
      </c>
      <c r="I634" s="30">
        <f ca="1">IFERROR(AVERAGEIF(OFFSET(F634,0,0,MIN(Controls!$B$8,COUNTIF(B634:B$1973,B634)),1),"&gt;"&amp;0),0)</f>
        <v>0</v>
      </c>
      <c r="J634" s="38">
        <f t="shared" ca="1" si="64"/>
        <v>999</v>
      </c>
      <c r="K634" s="30">
        <f t="shared" ca="1" si="68"/>
        <v>0</v>
      </c>
      <c r="L634" t="str">
        <f t="shared" ca="1" si="65"/>
        <v>Overstock</v>
      </c>
      <c r="M634" s="39">
        <f>IFERROR(VLOOKUP("50mg DP",Controls!A:I,7,0),6)</f>
        <v>9</v>
      </c>
      <c r="N634" s="39">
        <f>IFERROR(VLOOKUP("50mg DP",Controls!A:I,8,0),3)</f>
        <v>8</v>
      </c>
      <c r="O634" s="39">
        <f>IFERROR(VLOOKUP("50mg DP",Controls!A:I,9,0),18)</f>
        <v>18</v>
      </c>
      <c r="P634" s="40">
        <f>IFERROR(VLOOKUP("50mg DP",Controls!A:J,5,0),0)</f>
        <v>10000</v>
      </c>
      <c r="Q634" s="39">
        <f>IFERROR(VLOOKUP("50mg DP",Controls!A:J,6,0),3)</f>
        <v>5</v>
      </c>
      <c r="R634" s="21" t="str">
        <f>IFERROR(VLOOKUP("50mg DP",Controls!A:K,10,0),"")</f>
        <v>Patheon PDS-1</v>
      </c>
      <c r="S634" s="41">
        <f t="shared" si="66"/>
        <v>48731</v>
      </c>
      <c r="T634" s="30">
        <f t="shared" si="67"/>
        <v>0</v>
      </c>
      <c r="AB634">
        <f t="shared" si="69"/>
        <v>5</v>
      </c>
    </row>
    <row r="635" spans="1:28" ht="13" customHeight="1" x14ac:dyDescent="0.35">
      <c r="A635" s="153">
        <v>48914</v>
      </c>
      <c r="B635" s="36" t="s">
        <v>43</v>
      </c>
      <c r="C635" s="15" t="s">
        <v>38</v>
      </c>
      <c r="D635" s="15" t="s">
        <v>29</v>
      </c>
      <c r="E635" s="30">
        <f>H634</f>
        <v>267607</v>
      </c>
      <c r="F635" s="37" cm="1">
        <f t="array" ref="F635">IFERROR((SUMPRODUCT(('Production Inputs'!$A:$A="47mg LP")*('Production Inputs'!$B:$B="TOTAL ACTIVE")*'Production Inputs'!$DB:$DB)+SUMPRODUCT(('Production Inputs'!$A:$A="47mg LP - EU Stock")*('Production Inputs'!$B:$B="TOTAL ACTIVE")*'Production Inputs'!$DB:$DB))*Dependencies!$D$5,0)</f>
        <v>0</v>
      </c>
      <c r="G635" s="37">
        <f t="array" ref="G635">IFERROR(SUMPRODUCT(('Production Inputs'!$A:$A="50mg DP")*('Production Inputs'!$B:$B="TOTAL ACTIVE")*'Production Inputs'!$DB:$DB),0)</f>
        <v>0</v>
      </c>
      <c r="H635" s="30">
        <f t="shared" si="63"/>
        <v>267607</v>
      </c>
      <c r="I635" s="30">
        <f ca="1">IFERROR(AVERAGEIF(OFFSET(F635,0,0,MIN(Controls!$B$8,COUNTIF(B635:B$1973,B635)),1),"&gt;"&amp;0),0)</f>
        <v>0</v>
      </c>
      <c r="J635" s="38">
        <f t="shared" ca="1" si="64"/>
        <v>999</v>
      </c>
      <c r="K635" s="30">
        <f t="shared" ca="1" si="68"/>
        <v>0</v>
      </c>
      <c r="L635" t="str">
        <f t="shared" ca="1" si="65"/>
        <v>Overstock</v>
      </c>
      <c r="M635" s="39">
        <f>IFERROR(VLOOKUP("50mg DP",Controls!A:I,7,0),6)</f>
        <v>9</v>
      </c>
      <c r="N635" s="39">
        <f>IFERROR(VLOOKUP("50mg DP",Controls!A:I,8,0),3)</f>
        <v>8</v>
      </c>
      <c r="O635" s="39">
        <f>IFERROR(VLOOKUP("50mg DP",Controls!A:I,9,0),18)</f>
        <v>18</v>
      </c>
      <c r="P635" s="40">
        <f>IFERROR(VLOOKUP("50mg DP",Controls!A:J,5,0),0)</f>
        <v>10000</v>
      </c>
      <c r="Q635" s="39">
        <f>IFERROR(VLOOKUP("50mg DP",Controls!A:J,6,0),3)</f>
        <v>5</v>
      </c>
      <c r="R635" s="21" t="str">
        <f>IFERROR(VLOOKUP("50mg DP",Controls!A:K,10,0),"")</f>
        <v>Patheon PDS-1</v>
      </c>
      <c r="S635" s="41">
        <f t="shared" si="66"/>
        <v>48761</v>
      </c>
      <c r="T635" s="30">
        <f t="shared" si="67"/>
        <v>0</v>
      </c>
      <c r="AB635">
        <f t="shared" si="69"/>
        <v>5</v>
      </c>
    </row>
    <row r="636" spans="1:28" ht="13" customHeight="1" x14ac:dyDescent="0.35">
      <c r="A636" s="153">
        <v>48945</v>
      </c>
      <c r="B636" s="36" t="s">
        <v>43</v>
      </c>
      <c r="C636" s="15" t="s">
        <v>38</v>
      </c>
      <c r="D636" s="15" t="s">
        <v>29</v>
      </c>
      <c r="E636" s="30">
        <f>H635</f>
        <v>267607</v>
      </c>
      <c r="F636" s="37" cm="1">
        <f t="array" ref="F636">IFERROR((SUMPRODUCT(('Production Inputs'!$A:$A="47mg LP")*('Production Inputs'!$B:$B="TOTAL ACTIVE")*'Production Inputs'!$DC:$DC)+SUMPRODUCT(('Production Inputs'!$A:$A="47mg LP - EU Stock")*('Production Inputs'!$B:$B="TOTAL ACTIVE")*'Production Inputs'!$DC:$DC))*Dependencies!$D$5,0)</f>
        <v>0</v>
      </c>
      <c r="G636" s="37">
        <f t="array" ref="G636">IFERROR(SUMPRODUCT(('Production Inputs'!$A:$A="50mg DP")*('Production Inputs'!$B:$B="TOTAL ACTIVE")*'Production Inputs'!$DC:$DC),0)</f>
        <v>0</v>
      </c>
      <c r="H636" s="30">
        <f t="shared" si="63"/>
        <v>267607</v>
      </c>
      <c r="I636" s="30">
        <f ca="1">IFERROR(AVERAGEIF(OFFSET(F636,0,0,MIN(Controls!$B$8,COUNTIF(B636:B$1973,B636)),1),"&gt;"&amp;0),0)</f>
        <v>0</v>
      </c>
      <c r="J636" s="38">
        <f t="shared" ca="1" si="64"/>
        <v>999</v>
      </c>
      <c r="K636" s="30">
        <f t="shared" ca="1" si="68"/>
        <v>0</v>
      </c>
      <c r="L636" t="str">
        <f t="shared" ca="1" si="65"/>
        <v>Overstock</v>
      </c>
      <c r="M636" s="39">
        <f>IFERROR(VLOOKUP("50mg DP",Controls!A:I,7,0),6)</f>
        <v>9</v>
      </c>
      <c r="N636" s="39">
        <f>IFERROR(VLOOKUP("50mg DP",Controls!A:I,8,0),3)</f>
        <v>8</v>
      </c>
      <c r="O636" s="39">
        <f>IFERROR(VLOOKUP("50mg DP",Controls!A:I,9,0),18)</f>
        <v>18</v>
      </c>
      <c r="P636" s="40">
        <f>IFERROR(VLOOKUP("50mg DP",Controls!A:J,5,0),0)</f>
        <v>10000</v>
      </c>
      <c r="Q636" s="39">
        <f>IFERROR(VLOOKUP("50mg DP",Controls!A:J,6,0),3)</f>
        <v>5</v>
      </c>
      <c r="R636" s="21" t="str">
        <f>IFERROR(VLOOKUP("50mg DP",Controls!A:K,10,0),"")</f>
        <v>Patheon PDS-1</v>
      </c>
      <c r="S636" s="41">
        <f t="shared" si="66"/>
        <v>48792</v>
      </c>
      <c r="T636" s="30">
        <f t="shared" si="67"/>
        <v>0</v>
      </c>
      <c r="AB636">
        <f t="shared" si="69"/>
        <v>5</v>
      </c>
    </row>
    <row r="637" spans="1:28" ht="13" customHeight="1" x14ac:dyDescent="0.35">
      <c r="A637" s="153">
        <v>48976</v>
      </c>
      <c r="B637" s="36" t="s">
        <v>43</v>
      </c>
      <c r="C637" s="15" t="s">
        <v>38</v>
      </c>
      <c r="D637" s="15" t="s">
        <v>29</v>
      </c>
      <c r="E637" s="30">
        <f>H636</f>
        <v>267607</v>
      </c>
      <c r="F637" s="37" cm="1">
        <f t="array" ref="F637">IFERROR((SUMPRODUCT(('Production Inputs'!$A:$A="47mg LP")*('Production Inputs'!$B:$B="TOTAL ACTIVE")*'Production Inputs'!$DD:$DD)+SUMPRODUCT(('Production Inputs'!$A:$A="47mg LP - EU Stock")*('Production Inputs'!$B:$B="TOTAL ACTIVE")*'Production Inputs'!$DD:$DD))*Dependencies!$D$5,0)</f>
        <v>0</v>
      </c>
      <c r="G637" s="37">
        <f t="array" ref="G637">IFERROR(SUMPRODUCT(('Production Inputs'!$A:$A="50mg DP")*('Production Inputs'!$B:$B="TOTAL ACTIVE")*'Production Inputs'!$DD:$DD),0)</f>
        <v>0</v>
      </c>
      <c r="H637" s="30">
        <f t="shared" si="63"/>
        <v>267607</v>
      </c>
      <c r="I637" s="30">
        <f ca="1">IFERROR(AVERAGEIF(OFFSET(F637,0,0,MIN(Controls!$B$8,COUNTIF(B637:B$1973,B637)),1),"&gt;"&amp;0),0)</f>
        <v>0</v>
      </c>
      <c r="J637" s="38">
        <f t="shared" ca="1" si="64"/>
        <v>999</v>
      </c>
      <c r="K637" s="30">
        <f t="shared" ca="1" si="68"/>
        <v>0</v>
      </c>
      <c r="L637" t="str">
        <f t="shared" ca="1" si="65"/>
        <v>Overstock</v>
      </c>
      <c r="M637" s="39">
        <f>IFERROR(VLOOKUP("50mg DP",Controls!A:I,7,0),6)</f>
        <v>9</v>
      </c>
      <c r="N637" s="39">
        <f>IFERROR(VLOOKUP("50mg DP",Controls!A:I,8,0),3)</f>
        <v>8</v>
      </c>
      <c r="O637" s="39">
        <f>IFERROR(VLOOKUP("50mg DP",Controls!A:I,9,0),18)</f>
        <v>18</v>
      </c>
      <c r="P637" s="40">
        <f>IFERROR(VLOOKUP("50mg DP",Controls!A:J,5,0),0)</f>
        <v>10000</v>
      </c>
      <c r="Q637" s="39">
        <f>IFERROR(VLOOKUP("50mg DP",Controls!A:J,6,0),3)</f>
        <v>5</v>
      </c>
      <c r="R637" s="21" t="str">
        <f>IFERROR(VLOOKUP("50mg DP",Controls!A:K,10,0),"")</f>
        <v>Patheon PDS-1</v>
      </c>
      <c r="S637" s="41">
        <f t="shared" si="66"/>
        <v>48823</v>
      </c>
      <c r="T637" s="30">
        <f t="shared" si="67"/>
        <v>0</v>
      </c>
      <c r="AB637">
        <f t="shared" si="69"/>
        <v>5</v>
      </c>
    </row>
    <row r="638" spans="1:28" ht="13" customHeight="1" x14ac:dyDescent="0.35">
      <c r="A638" s="153">
        <v>49004</v>
      </c>
      <c r="B638" s="36" t="s">
        <v>43</v>
      </c>
      <c r="C638" s="15" t="s">
        <v>38</v>
      </c>
      <c r="D638" s="15" t="s">
        <v>29</v>
      </c>
      <c r="E638" s="30">
        <f>H637</f>
        <v>267607</v>
      </c>
      <c r="F638" s="37" cm="1">
        <f t="array" ref="F638">IFERROR((SUMPRODUCT(('Production Inputs'!$A:$A="47mg LP")*('Production Inputs'!$B:$B="TOTAL ACTIVE")*'Production Inputs'!$DE:$DE)+SUMPRODUCT(('Production Inputs'!$A:$A="47mg LP - EU Stock")*('Production Inputs'!$B:$B="TOTAL ACTIVE")*'Production Inputs'!$DE:$DE))*Dependencies!$D$5,0)</f>
        <v>0</v>
      </c>
      <c r="G638" s="37">
        <f t="array" ref="G638">IFERROR(SUMPRODUCT(('Production Inputs'!$A:$A="50mg DP")*('Production Inputs'!$B:$B="TOTAL ACTIVE")*'Production Inputs'!$DE:$DE),0)</f>
        <v>0</v>
      </c>
      <c r="H638" s="30">
        <f t="shared" si="63"/>
        <v>267607</v>
      </c>
      <c r="I638" s="30">
        <f ca="1">IFERROR(AVERAGEIF(OFFSET(F638,0,0,MIN(Controls!$B$8,COUNTIF(B638:B$1973,B638)),1),"&gt;"&amp;0),0)</f>
        <v>0</v>
      </c>
      <c r="J638" s="38">
        <f t="shared" ca="1" si="64"/>
        <v>999</v>
      </c>
      <c r="K638" s="30">
        <f t="shared" ca="1" si="68"/>
        <v>0</v>
      </c>
      <c r="L638" t="str">
        <f t="shared" ca="1" si="65"/>
        <v>Overstock</v>
      </c>
      <c r="M638" s="39">
        <f>IFERROR(VLOOKUP("50mg DP",Controls!A:I,7,0),6)</f>
        <v>9</v>
      </c>
      <c r="N638" s="39">
        <f>IFERROR(VLOOKUP("50mg DP",Controls!A:I,8,0),3)</f>
        <v>8</v>
      </c>
      <c r="O638" s="39">
        <f>IFERROR(VLOOKUP("50mg DP",Controls!A:I,9,0),18)</f>
        <v>18</v>
      </c>
      <c r="P638" s="40">
        <f>IFERROR(VLOOKUP("50mg DP",Controls!A:J,5,0),0)</f>
        <v>10000</v>
      </c>
      <c r="Q638" s="39">
        <f>IFERROR(VLOOKUP("50mg DP",Controls!A:J,6,0),3)</f>
        <v>5</v>
      </c>
      <c r="R638" s="21" t="str">
        <f>IFERROR(VLOOKUP("50mg DP",Controls!A:K,10,0),"")</f>
        <v>Patheon PDS-1</v>
      </c>
      <c r="S638" s="41">
        <f t="shared" si="66"/>
        <v>48853</v>
      </c>
      <c r="T638" s="30">
        <f t="shared" si="67"/>
        <v>0</v>
      </c>
      <c r="AB638">
        <f t="shared" si="69"/>
        <v>5</v>
      </c>
    </row>
    <row r="639" spans="1:28" ht="13" customHeight="1" x14ac:dyDescent="0.35">
      <c r="A639" s="153">
        <v>49035</v>
      </c>
      <c r="B639" s="36" t="s">
        <v>43</v>
      </c>
      <c r="C639" s="15" t="s">
        <v>38</v>
      </c>
      <c r="D639" s="15" t="s">
        <v>29</v>
      </c>
      <c r="E639" s="30">
        <f>H638</f>
        <v>267607</v>
      </c>
      <c r="F639" s="37" cm="1">
        <f t="array" ref="F639">IFERROR((SUMPRODUCT(('Production Inputs'!$A:$A="47mg LP")*('Production Inputs'!$B:$B="TOTAL ACTIVE")*'Production Inputs'!$DF:$DF)+SUMPRODUCT(('Production Inputs'!$A:$A="47mg LP - EU Stock")*('Production Inputs'!$B:$B="TOTAL ACTIVE")*'Production Inputs'!$DF:$DF))*Dependencies!$D$5,0)</f>
        <v>0</v>
      </c>
      <c r="G639" s="37">
        <f t="array" ref="G639">IFERROR(SUMPRODUCT(('Production Inputs'!$A:$A="50mg DP")*('Production Inputs'!$B:$B="TOTAL ACTIVE")*'Production Inputs'!$DF:$DF),0)</f>
        <v>0</v>
      </c>
      <c r="H639" s="30">
        <f t="shared" si="63"/>
        <v>267607</v>
      </c>
      <c r="I639" s="30">
        <f ca="1">IFERROR(AVERAGEIF(OFFSET(F639,0,0,MIN(Controls!$B$8,COUNTIF(B639:B$1973,B639)),1),"&gt;"&amp;0),0)</f>
        <v>0</v>
      </c>
      <c r="J639" s="38">
        <f t="shared" ca="1" si="64"/>
        <v>999</v>
      </c>
      <c r="K639" s="30">
        <f t="shared" ca="1" si="68"/>
        <v>0</v>
      </c>
      <c r="L639" t="str">
        <f t="shared" ca="1" si="65"/>
        <v>Overstock</v>
      </c>
      <c r="M639" s="39">
        <f>IFERROR(VLOOKUP("50mg DP",Controls!A:I,7,0),6)</f>
        <v>9</v>
      </c>
      <c r="N639" s="39">
        <f>IFERROR(VLOOKUP("50mg DP",Controls!A:I,8,0),3)</f>
        <v>8</v>
      </c>
      <c r="O639" s="39">
        <f>IFERROR(VLOOKUP("50mg DP",Controls!A:I,9,0),18)</f>
        <v>18</v>
      </c>
      <c r="P639" s="40">
        <f>IFERROR(VLOOKUP("50mg DP",Controls!A:J,5,0),0)</f>
        <v>10000</v>
      </c>
      <c r="Q639" s="39">
        <f>IFERROR(VLOOKUP("50mg DP",Controls!A:J,6,0),3)</f>
        <v>5</v>
      </c>
      <c r="R639" s="21" t="str">
        <f>IFERROR(VLOOKUP("50mg DP",Controls!A:K,10,0),"")</f>
        <v>Patheon PDS-1</v>
      </c>
      <c r="S639" s="41">
        <f t="shared" si="66"/>
        <v>48884</v>
      </c>
      <c r="T639" s="30">
        <f t="shared" si="67"/>
        <v>0</v>
      </c>
      <c r="AB639">
        <f t="shared" si="69"/>
        <v>5</v>
      </c>
    </row>
    <row r="640" spans="1:28" ht="13" customHeight="1" x14ac:dyDescent="0.35">
      <c r="A640" s="153">
        <v>49065</v>
      </c>
      <c r="B640" s="36" t="s">
        <v>43</v>
      </c>
      <c r="C640" s="15" t="s">
        <v>38</v>
      </c>
      <c r="D640" s="15" t="s">
        <v>29</v>
      </c>
      <c r="E640" s="30">
        <f>H639</f>
        <v>267607</v>
      </c>
      <c r="F640" s="37" cm="1">
        <f t="array" ref="F640">IFERROR((SUMPRODUCT(('Production Inputs'!$A:$A="47mg LP")*('Production Inputs'!$B:$B="TOTAL ACTIVE")*'Production Inputs'!$DG:$DG)+SUMPRODUCT(('Production Inputs'!$A:$A="47mg LP - EU Stock")*('Production Inputs'!$B:$B="TOTAL ACTIVE")*'Production Inputs'!$DG:$DG))*Dependencies!$D$5,0)</f>
        <v>0</v>
      </c>
      <c r="G640" s="37">
        <f t="array" ref="G640">IFERROR(SUMPRODUCT(('Production Inputs'!$A:$A="50mg DP")*('Production Inputs'!$B:$B="TOTAL ACTIVE")*'Production Inputs'!$DG:$DG),0)</f>
        <v>0</v>
      </c>
      <c r="H640" s="30">
        <f t="shared" si="63"/>
        <v>267607</v>
      </c>
      <c r="I640" s="30">
        <f ca="1">IFERROR(AVERAGEIF(OFFSET(F640,0,0,MIN(Controls!$B$8,COUNTIF(B640:B$1973,B640)),1),"&gt;"&amp;0),0)</f>
        <v>0</v>
      </c>
      <c r="J640" s="38">
        <f t="shared" ca="1" si="64"/>
        <v>999</v>
      </c>
      <c r="K640" s="30">
        <f t="shared" ca="1" si="68"/>
        <v>0</v>
      </c>
      <c r="L640" t="str">
        <f t="shared" ca="1" si="65"/>
        <v>Overstock</v>
      </c>
      <c r="M640" s="39">
        <f>IFERROR(VLOOKUP("50mg DP",Controls!A:I,7,0),6)</f>
        <v>9</v>
      </c>
      <c r="N640" s="39">
        <f>IFERROR(VLOOKUP("50mg DP",Controls!A:I,8,0),3)</f>
        <v>8</v>
      </c>
      <c r="O640" s="39">
        <f>IFERROR(VLOOKUP("50mg DP",Controls!A:I,9,0),18)</f>
        <v>18</v>
      </c>
      <c r="P640" s="40">
        <f>IFERROR(VLOOKUP("50mg DP",Controls!A:J,5,0),0)</f>
        <v>10000</v>
      </c>
      <c r="Q640" s="39">
        <f>IFERROR(VLOOKUP("50mg DP",Controls!A:J,6,0),3)</f>
        <v>5</v>
      </c>
      <c r="R640" s="21" t="str">
        <f>IFERROR(VLOOKUP("50mg DP",Controls!A:K,10,0),"")</f>
        <v>Patheon PDS-1</v>
      </c>
      <c r="S640" s="41">
        <f t="shared" si="66"/>
        <v>48914</v>
      </c>
      <c r="T640" s="30">
        <f t="shared" si="67"/>
        <v>0</v>
      </c>
      <c r="AB640">
        <f t="shared" si="69"/>
        <v>5</v>
      </c>
    </row>
    <row r="641" spans="1:28" ht="13" customHeight="1" x14ac:dyDescent="0.35">
      <c r="A641" s="153">
        <v>49096</v>
      </c>
      <c r="B641" s="36" t="s">
        <v>43</v>
      </c>
      <c r="C641" s="15" t="s">
        <v>38</v>
      </c>
      <c r="D641" s="15" t="s">
        <v>29</v>
      </c>
      <c r="E641" s="30">
        <f>H640</f>
        <v>267607</v>
      </c>
      <c r="F641" s="37" cm="1">
        <f t="array" ref="F641">IFERROR((SUMPRODUCT(('Production Inputs'!$A:$A="47mg LP")*('Production Inputs'!$B:$B="TOTAL ACTIVE")*'Production Inputs'!$DH:$DH)+SUMPRODUCT(('Production Inputs'!$A:$A="47mg LP - EU Stock")*('Production Inputs'!$B:$B="TOTAL ACTIVE")*'Production Inputs'!$DH:$DH))*Dependencies!$D$5,0)</f>
        <v>0</v>
      </c>
      <c r="G641" s="37">
        <f t="array" ref="G641">IFERROR(SUMPRODUCT(('Production Inputs'!$A:$A="50mg DP")*('Production Inputs'!$B:$B="TOTAL ACTIVE")*'Production Inputs'!$DH:$DH),0)</f>
        <v>0</v>
      </c>
      <c r="H641" s="30">
        <f t="shared" si="63"/>
        <v>267607</v>
      </c>
      <c r="I641" s="30">
        <f ca="1">IFERROR(AVERAGEIF(OFFSET(F641,0,0,MIN(Controls!$B$8,COUNTIF(B641:B$1973,B641)),1),"&gt;"&amp;0),0)</f>
        <v>0</v>
      </c>
      <c r="J641" s="38">
        <f t="shared" ca="1" si="64"/>
        <v>999</v>
      </c>
      <c r="K641" s="30">
        <f t="shared" ca="1" si="68"/>
        <v>0</v>
      </c>
      <c r="L641" t="str">
        <f t="shared" ca="1" si="65"/>
        <v>Overstock</v>
      </c>
      <c r="M641" s="39">
        <f>IFERROR(VLOOKUP("50mg DP",Controls!A:I,7,0),6)</f>
        <v>9</v>
      </c>
      <c r="N641" s="39">
        <f>IFERROR(VLOOKUP("50mg DP",Controls!A:I,8,0),3)</f>
        <v>8</v>
      </c>
      <c r="O641" s="39">
        <f>IFERROR(VLOOKUP("50mg DP",Controls!A:I,9,0),18)</f>
        <v>18</v>
      </c>
      <c r="P641" s="40">
        <f>IFERROR(VLOOKUP("50mg DP",Controls!A:J,5,0),0)</f>
        <v>10000</v>
      </c>
      <c r="Q641" s="39">
        <f>IFERROR(VLOOKUP("50mg DP",Controls!A:J,6,0),3)</f>
        <v>5</v>
      </c>
      <c r="R641" s="21" t="str">
        <f>IFERROR(VLOOKUP("50mg DP",Controls!A:K,10,0),"")</f>
        <v>Patheon PDS-1</v>
      </c>
      <c r="S641" s="41">
        <f t="shared" si="66"/>
        <v>48945</v>
      </c>
      <c r="T641" s="30">
        <f t="shared" si="67"/>
        <v>0</v>
      </c>
      <c r="AB641">
        <f t="shared" si="69"/>
        <v>5</v>
      </c>
    </row>
    <row r="642" spans="1:28" ht="13" customHeight="1" x14ac:dyDescent="0.35">
      <c r="A642" s="153">
        <v>49126</v>
      </c>
      <c r="B642" s="36" t="s">
        <v>43</v>
      </c>
      <c r="C642" s="15" t="s">
        <v>38</v>
      </c>
      <c r="D642" s="15" t="s">
        <v>29</v>
      </c>
      <c r="E642" s="30">
        <f>H641</f>
        <v>267607</v>
      </c>
      <c r="F642" s="37" cm="1">
        <f t="array" ref="F642">IFERROR((SUMPRODUCT(('Production Inputs'!$A:$A="47mg LP")*('Production Inputs'!$B:$B="TOTAL ACTIVE")*'Production Inputs'!$DI:$DI)+SUMPRODUCT(('Production Inputs'!$A:$A="47mg LP - EU Stock")*('Production Inputs'!$B:$B="TOTAL ACTIVE")*'Production Inputs'!$DI:$DI))*Dependencies!$D$5,0)</f>
        <v>0</v>
      </c>
      <c r="G642" s="37">
        <f t="array" ref="G642">IFERROR(SUMPRODUCT(('Production Inputs'!$A:$A="50mg DP")*('Production Inputs'!$B:$B="TOTAL ACTIVE")*'Production Inputs'!$DI:$DI),0)</f>
        <v>0</v>
      </c>
      <c r="H642" s="30">
        <f t="shared" si="63"/>
        <v>267607</v>
      </c>
      <c r="I642" s="30">
        <f ca="1">IFERROR(AVERAGEIF(OFFSET(F642,0,0,MIN(Controls!$B$8,COUNTIF(B642:B$1973,B642)),1),"&gt;"&amp;0),0)</f>
        <v>0</v>
      </c>
      <c r="J642" s="38">
        <f t="shared" ca="1" si="64"/>
        <v>999</v>
      </c>
      <c r="K642" s="30">
        <f t="shared" ca="1" si="68"/>
        <v>0</v>
      </c>
      <c r="L642" t="str">
        <f t="shared" ca="1" si="65"/>
        <v>Overstock</v>
      </c>
      <c r="M642" s="39">
        <f>IFERROR(VLOOKUP("50mg DP",Controls!A:I,7,0),6)</f>
        <v>9</v>
      </c>
      <c r="N642" s="39">
        <f>IFERROR(VLOOKUP("50mg DP",Controls!A:I,8,0),3)</f>
        <v>8</v>
      </c>
      <c r="O642" s="39">
        <f>IFERROR(VLOOKUP("50mg DP",Controls!A:I,9,0),18)</f>
        <v>18</v>
      </c>
      <c r="P642" s="40">
        <f>IFERROR(VLOOKUP("50mg DP",Controls!A:J,5,0),0)</f>
        <v>10000</v>
      </c>
      <c r="Q642" s="39">
        <f>IFERROR(VLOOKUP("50mg DP",Controls!A:J,6,0),3)</f>
        <v>5</v>
      </c>
      <c r="R642" s="21" t="str">
        <f>IFERROR(VLOOKUP("50mg DP",Controls!A:K,10,0),"")</f>
        <v>Patheon PDS-1</v>
      </c>
      <c r="S642" s="41">
        <f t="shared" si="66"/>
        <v>48976</v>
      </c>
      <c r="T642" s="30">
        <f t="shared" si="67"/>
        <v>0</v>
      </c>
      <c r="AB642">
        <f t="shared" si="69"/>
        <v>5</v>
      </c>
    </row>
    <row r="643" spans="1:28" ht="13" customHeight="1" x14ac:dyDescent="0.35">
      <c r="A643" s="153">
        <v>49157</v>
      </c>
      <c r="B643" s="36" t="s">
        <v>43</v>
      </c>
      <c r="C643" s="15" t="s">
        <v>38</v>
      </c>
      <c r="D643" s="15" t="s">
        <v>29</v>
      </c>
      <c r="E643" s="30">
        <f>H642</f>
        <v>267607</v>
      </c>
      <c r="F643" s="37" cm="1">
        <f t="array" ref="F643">IFERROR((SUMPRODUCT(('Production Inputs'!$A:$A="47mg LP")*('Production Inputs'!$B:$B="TOTAL ACTIVE")*'Production Inputs'!$DJ:$DJ)+SUMPRODUCT(('Production Inputs'!$A:$A="47mg LP - EU Stock")*('Production Inputs'!$B:$B="TOTAL ACTIVE")*'Production Inputs'!$DJ:$DJ))*Dependencies!$D$5,0)</f>
        <v>0</v>
      </c>
      <c r="G643" s="37">
        <f t="array" ref="G643">IFERROR(SUMPRODUCT(('Production Inputs'!$A:$A="50mg DP")*('Production Inputs'!$B:$B="TOTAL ACTIVE")*'Production Inputs'!$DJ:$DJ),0)</f>
        <v>0</v>
      </c>
      <c r="H643" s="30">
        <f t="shared" si="63"/>
        <v>267607</v>
      </c>
      <c r="I643" s="30">
        <f ca="1">IFERROR(AVERAGEIF(OFFSET(F643,0,0,MIN(Controls!$B$8,COUNTIF(B643:B$1973,B643)),1),"&gt;"&amp;0),0)</f>
        <v>0</v>
      </c>
      <c r="J643" s="38">
        <f t="shared" ca="1" si="64"/>
        <v>999</v>
      </c>
      <c r="K643" s="30">
        <f t="shared" ca="1" si="68"/>
        <v>0</v>
      </c>
      <c r="L643" t="str">
        <f t="shared" ca="1" si="65"/>
        <v>Overstock</v>
      </c>
      <c r="M643" s="39">
        <f>IFERROR(VLOOKUP("50mg DP",Controls!A:I,7,0),6)</f>
        <v>9</v>
      </c>
      <c r="N643" s="39">
        <f>IFERROR(VLOOKUP("50mg DP",Controls!A:I,8,0),3)</f>
        <v>8</v>
      </c>
      <c r="O643" s="39">
        <f>IFERROR(VLOOKUP("50mg DP",Controls!A:I,9,0),18)</f>
        <v>18</v>
      </c>
      <c r="P643" s="40">
        <f>IFERROR(VLOOKUP("50mg DP",Controls!A:J,5,0),0)</f>
        <v>10000</v>
      </c>
      <c r="Q643" s="39">
        <f>IFERROR(VLOOKUP("50mg DP",Controls!A:J,6,0),3)</f>
        <v>5</v>
      </c>
      <c r="R643" s="21" t="str">
        <f>IFERROR(VLOOKUP("50mg DP",Controls!A:K,10,0),"")</f>
        <v>Patheon PDS-1</v>
      </c>
      <c r="S643" s="41">
        <f t="shared" si="66"/>
        <v>49004</v>
      </c>
      <c r="T643" s="30">
        <f t="shared" si="67"/>
        <v>0</v>
      </c>
      <c r="AB643">
        <f t="shared" si="69"/>
        <v>5</v>
      </c>
    </row>
    <row r="644" spans="1:28" ht="13" customHeight="1" x14ac:dyDescent="0.35">
      <c r="A644" s="153">
        <v>49188</v>
      </c>
      <c r="B644" s="36" t="s">
        <v>43</v>
      </c>
      <c r="C644" s="15" t="s">
        <v>38</v>
      </c>
      <c r="D644" s="15" t="s">
        <v>29</v>
      </c>
      <c r="E644" s="30">
        <f>H643</f>
        <v>267607</v>
      </c>
      <c r="F644" s="37" cm="1">
        <f t="array" ref="F644">IFERROR((SUMPRODUCT(('Production Inputs'!$A:$A="47mg LP")*('Production Inputs'!$B:$B="TOTAL ACTIVE")*'Production Inputs'!$DK:$DK)+SUMPRODUCT(('Production Inputs'!$A:$A="47mg LP - EU Stock")*('Production Inputs'!$B:$B="TOTAL ACTIVE")*'Production Inputs'!$DK:$DK))*Dependencies!$D$5,0)</f>
        <v>0</v>
      </c>
      <c r="G644" s="37">
        <f t="array" ref="G644">IFERROR(SUMPRODUCT(('Production Inputs'!$A:$A="50mg DP")*('Production Inputs'!$B:$B="TOTAL ACTIVE")*'Production Inputs'!$DK:$DK),0)</f>
        <v>0</v>
      </c>
      <c r="H644" s="30">
        <f t="shared" ref="H644:H707" si="70">E644+G644-F644</f>
        <v>267607</v>
      </c>
      <c r="I644" s="30">
        <f ca="1">IFERROR(AVERAGEIF(OFFSET(F644,0,0,MIN(Controls!$B$8,COUNTIF(B644:B$1973,B644)),1),"&gt;"&amp;0),0)</f>
        <v>0</v>
      </c>
      <c r="J644" s="38">
        <f t="shared" ref="J644:J707" ca="1" si="71">IFERROR(H644/I644,IF(H644&gt;0,999,0))</f>
        <v>999</v>
      </c>
      <c r="K644" s="30">
        <f t="shared" ca="1" si="68"/>
        <v>0</v>
      </c>
      <c r="L644" t="str">
        <f t="shared" ref="L644:L707" ca="1" si="72">IF(H644&lt;=0,"High",IF(J644&lt;N644,"High",IF(J644&lt;M644,"Medium",IF(J644&gt;O644,"Overstock","Low"))))</f>
        <v>Overstock</v>
      </c>
      <c r="M644" s="39">
        <f>IFERROR(VLOOKUP("50mg DP",Controls!A:I,7,0),6)</f>
        <v>9</v>
      </c>
      <c r="N644" s="39">
        <f>IFERROR(VLOOKUP("50mg DP",Controls!A:I,8,0),3)</f>
        <v>8</v>
      </c>
      <c r="O644" s="39">
        <f>IFERROR(VLOOKUP("50mg DP",Controls!A:I,9,0),18)</f>
        <v>18</v>
      </c>
      <c r="P644" s="40">
        <f>IFERROR(VLOOKUP("50mg DP",Controls!A:J,5,0),0)</f>
        <v>10000</v>
      </c>
      <c r="Q644" s="39">
        <f>IFERROR(VLOOKUP("50mg DP",Controls!A:J,6,0),3)</f>
        <v>5</v>
      </c>
      <c r="R644" s="21" t="str">
        <f>IFERROR(VLOOKUP("50mg DP",Controls!A:K,10,0),"")</f>
        <v>Patheon PDS-1</v>
      </c>
      <c r="S644" s="41">
        <f t="shared" ref="S644:S707" si="73">IFERROR(EDATE(A644,-Q644),"")</f>
        <v>49035</v>
      </c>
      <c r="T644" s="30">
        <f t="shared" ref="T644:T707" si="74">G644</f>
        <v>0</v>
      </c>
      <c r="AB644">
        <f t="shared" si="69"/>
        <v>5</v>
      </c>
    </row>
    <row r="645" spans="1:28" ht="13" customHeight="1" x14ac:dyDescent="0.35">
      <c r="A645" s="153">
        <v>49218</v>
      </c>
      <c r="B645" s="36" t="s">
        <v>43</v>
      </c>
      <c r="C645" s="15" t="s">
        <v>38</v>
      </c>
      <c r="D645" s="15" t="s">
        <v>29</v>
      </c>
      <c r="E645" s="30">
        <f>H644</f>
        <v>267607</v>
      </c>
      <c r="F645" s="37" cm="1">
        <f t="array" ref="F645">IFERROR((SUMPRODUCT(('Production Inputs'!$A:$A="47mg LP")*('Production Inputs'!$B:$B="TOTAL ACTIVE")*'Production Inputs'!$DL:$DL)+SUMPRODUCT(('Production Inputs'!$A:$A="47mg LP - EU Stock")*('Production Inputs'!$B:$B="TOTAL ACTIVE")*'Production Inputs'!$DL:$DL))*Dependencies!$D$5,0)</f>
        <v>0</v>
      </c>
      <c r="G645" s="37">
        <f t="array" ref="G645">IFERROR(SUMPRODUCT(('Production Inputs'!$A:$A="50mg DP")*('Production Inputs'!$B:$B="TOTAL ACTIVE")*'Production Inputs'!$DL:$DL),0)</f>
        <v>0</v>
      </c>
      <c r="H645" s="30">
        <f t="shared" si="70"/>
        <v>267607</v>
      </c>
      <c r="I645" s="30">
        <f ca="1">IFERROR(AVERAGEIF(OFFSET(F645,0,0,MIN(Controls!$B$8,COUNTIF(B645:B$1973,B645)),1),"&gt;"&amp;0),0)</f>
        <v>0</v>
      </c>
      <c r="J645" s="38">
        <f t="shared" ca="1" si="71"/>
        <v>999</v>
      </c>
      <c r="K645" s="30">
        <f t="shared" ref="K645:K708" ca="1" si="75">IFERROR(IF(H645&lt;(N645*I645), CEILING(MAX(0,ROUND((M645*I645-H645)/P645,0)*P645),P645), 0), 0)</f>
        <v>0</v>
      </c>
      <c r="L645" t="str">
        <f t="shared" ca="1" si="72"/>
        <v>Overstock</v>
      </c>
      <c r="M645" s="39">
        <f>IFERROR(VLOOKUP("50mg DP",Controls!A:I,7,0),6)</f>
        <v>9</v>
      </c>
      <c r="N645" s="39">
        <f>IFERROR(VLOOKUP("50mg DP",Controls!A:I,8,0),3)</f>
        <v>8</v>
      </c>
      <c r="O645" s="39">
        <f>IFERROR(VLOOKUP("50mg DP",Controls!A:I,9,0),18)</f>
        <v>18</v>
      </c>
      <c r="P645" s="40">
        <f>IFERROR(VLOOKUP("50mg DP",Controls!A:J,5,0),0)</f>
        <v>10000</v>
      </c>
      <c r="Q645" s="39">
        <f>IFERROR(VLOOKUP("50mg DP",Controls!A:J,6,0),3)</f>
        <v>5</v>
      </c>
      <c r="R645" s="21" t="str">
        <f>IFERROR(VLOOKUP("50mg DP",Controls!A:K,10,0),"")</f>
        <v>Patheon PDS-1</v>
      </c>
      <c r="S645" s="41">
        <f t="shared" si="73"/>
        <v>49065</v>
      </c>
      <c r="T645" s="30">
        <f t="shared" si="74"/>
        <v>0</v>
      </c>
      <c r="AB645">
        <f t="shared" ref="AB645:AB708" si="76">SUMIFS($F$4:$F$2331,$B$4:$B$2331,B645,$A$4:$A$2331,"&lt;="&amp;A645)</f>
        <v>5</v>
      </c>
    </row>
    <row r="646" spans="1:28" ht="13" customHeight="1" x14ac:dyDescent="0.35">
      <c r="A646" s="153">
        <v>49249</v>
      </c>
      <c r="B646" s="36" t="s">
        <v>43</v>
      </c>
      <c r="C646" s="15" t="s">
        <v>38</v>
      </c>
      <c r="D646" s="15" t="s">
        <v>29</v>
      </c>
      <c r="E646" s="30">
        <f>H645</f>
        <v>267607</v>
      </c>
      <c r="F646" s="37" cm="1">
        <f t="array" ref="F646">IFERROR((SUMPRODUCT(('Production Inputs'!$A:$A="47mg LP")*('Production Inputs'!$B:$B="TOTAL ACTIVE")*'Production Inputs'!$DM:$DM)+SUMPRODUCT(('Production Inputs'!$A:$A="47mg LP - EU Stock")*('Production Inputs'!$B:$B="TOTAL ACTIVE")*'Production Inputs'!$DM:$DM))*Dependencies!$D$5,0)</f>
        <v>0</v>
      </c>
      <c r="G646" s="37">
        <f t="array" ref="G646">IFERROR(SUMPRODUCT(('Production Inputs'!$A:$A="50mg DP")*('Production Inputs'!$B:$B="TOTAL ACTIVE")*'Production Inputs'!$DM:$DM),0)</f>
        <v>0</v>
      </c>
      <c r="H646" s="30">
        <f t="shared" si="70"/>
        <v>267607</v>
      </c>
      <c r="I646" s="30">
        <f ca="1">IFERROR(AVERAGEIF(OFFSET(F646,0,0,MIN(Controls!$B$8,COUNTIF(B646:B$1973,B646)),1),"&gt;"&amp;0),0)</f>
        <v>0</v>
      </c>
      <c r="J646" s="38">
        <f t="shared" ca="1" si="71"/>
        <v>999</v>
      </c>
      <c r="K646" s="30">
        <f t="shared" ca="1" si="75"/>
        <v>0</v>
      </c>
      <c r="L646" t="str">
        <f t="shared" ca="1" si="72"/>
        <v>Overstock</v>
      </c>
      <c r="M646" s="39">
        <f>IFERROR(VLOOKUP("50mg DP",Controls!A:I,7,0),6)</f>
        <v>9</v>
      </c>
      <c r="N646" s="39">
        <f>IFERROR(VLOOKUP("50mg DP",Controls!A:I,8,0),3)</f>
        <v>8</v>
      </c>
      <c r="O646" s="39">
        <f>IFERROR(VLOOKUP("50mg DP",Controls!A:I,9,0),18)</f>
        <v>18</v>
      </c>
      <c r="P646" s="40">
        <f>IFERROR(VLOOKUP("50mg DP",Controls!A:J,5,0),0)</f>
        <v>10000</v>
      </c>
      <c r="Q646" s="39">
        <f>IFERROR(VLOOKUP("50mg DP",Controls!A:J,6,0),3)</f>
        <v>5</v>
      </c>
      <c r="R646" s="21" t="str">
        <f>IFERROR(VLOOKUP("50mg DP",Controls!A:K,10,0),"")</f>
        <v>Patheon PDS-1</v>
      </c>
      <c r="S646" s="41">
        <f t="shared" si="73"/>
        <v>49096</v>
      </c>
      <c r="T646" s="30">
        <f t="shared" si="74"/>
        <v>0</v>
      </c>
      <c r="AB646">
        <f t="shared" si="76"/>
        <v>5</v>
      </c>
    </row>
    <row r="647" spans="1:28" ht="13" customHeight="1" x14ac:dyDescent="0.35">
      <c r="A647" s="153">
        <v>49279</v>
      </c>
      <c r="B647" s="36" t="s">
        <v>43</v>
      </c>
      <c r="C647" s="15" t="s">
        <v>38</v>
      </c>
      <c r="D647" s="15" t="s">
        <v>29</v>
      </c>
      <c r="E647" s="30">
        <f>H646</f>
        <v>267607</v>
      </c>
      <c r="F647" s="37" cm="1">
        <f t="array" ref="F647">IFERROR((SUMPRODUCT(('Production Inputs'!$A:$A="47mg LP")*('Production Inputs'!$B:$B="TOTAL ACTIVE")*'Production Inputs'!$DN:$DN)+SUMPRODUCT(('Production Inputs'!$A:$A="47mg LP - EU Stock")*('Production Inputs'!$B:$B="TOTAL ACTIVE")*'Production Inputs'!$DN:$DN))*Dependencies!$D$5,0)</f>
        <v>0</v>
      </c>
      <c r="G647" s="37">
        <f t="array" ref="G647">IFERROR(SUMPRODUCT(('Production Inputs'!$A:$A="50mg DP")*('Production Inputs'!$B:$B="TOTAL ACTIVE")*'Production Inputs'!$DN:$DN),0)</f>
        <v>0</v>
      </c>
      <c r="H647" s="30">
        <f t="shared" si="70"/>
        <v>267607</v>
      </c>
      <c r="I647" s="30">
        <f ca="1">IFERROR(AVERAGEIF(OFFSET(F647,0,0,MIN(Controls!$B$8,COUNTIF(B647:B$1973,B647)),1),"&gt;"&amp;0),0)</f>
        <v>0</v>
      </c>
      <c r="J647" s="38">
        <f t="shared" ca="1" si="71"/>
        <v>999</v>
      </c>
      <c r="K647" s="30">
        <f t="shared" ca="1" si="75"/>
        <v>0</v>
      </c>
      <c r="L647" t="str">
        <f t="shared" ca="1" si="72"/>
        <v>Overstock</v>
      </c>
      <c r="M647" s="39">
        <f>IFERROR(VLOOKUP("50mg DP",Controls!A:I,7,0),6)</f>
        <v>9</v>
      </c>
      <c r="N647" s="39">
        <f>IFERROR(VLOOKUP("50mg DP",Controls!A:I,8,0),3)</f>
        <v>8</v>
      </c>
      <c r="O647" s="39">
        <f>IFERROR(VLOOKUP("50mg DP",Controls!A:I,9,0),18)</f>
        <v>18</v>
      </c>
      <c r="P647" s="40">
        <f>IFERROR(VLOOKUP("50mg DP",Controls!A:J,5,0),0)</f>
        <v>10000</v>
      </c>
      <c r="Q647" s="39">
        <f>IFERROR(VLOOKUP("50mg DP",Controls!A:J,6,0),3)</f>
        <v>5</v>
      </c>
      <c r="R647" s="21" t="str">
        <f>IFERROR(VLOOKUP("50mg DP",Controls!A:K,10,0),"")</f>
        <v>Patheon PDS-1</v>
      </c>
      <c r="S647" s="41">
        <f t="shared" si="73"/>
        <v>49126</v>
      </c>
      <c r="T647" s="30">
        <f t="shared" si="74"/>
        <v>0</v>
      </c>
      <c r="AB647">
        <f t="shared" si="76"/>
        <v>5</v>
      </c>
    </row>
    <row r="648" spans="1:28" ht="13" customHeight="1" x14ac:dyDescent="0.35">
      <c r="A648" s="153">
        <v>49310</v>
      </c>
      <c r="B648" s="36" t="s">
        <v>43</v>
      </c>
      <c r="C648" s="15" t="s">
        <v>38</v>
      </c>
      <c r="D648" s="15" t="s">
        <v>29</v>
      </c>
      <c r="E648" s="30">
        <f>H647</f>
        <v>267607</v>
      </c>
      <c r="F648" s="37" cm="1">
        <f t="array" ref="F648">IFERROR((SUMPRODUCT(('Production Inputs'!$A:$A="47mg LP")*('Production Inputs'!$B:$B="TOTAL ACTIVE")*'Production Inputs'!$DO:$DO)+SUMPRODUCT(('Production Inputs'!$A:$A="47mg LP - EU Stock")*('Production Inputs'!$B:$B="TOTAL ACTIVE")*'Production Inputs'!$DO:$DO))*Dependencies!$D$5,0)</f>
        <v>0</v>
      </c>
      <c r="G648" s="37">
        <f t="array" ref="G648">IFERROR(SUMPRODUCT(('Production Inputs'!$A:$A="50mg DP")*('Production Inputs'!$B:$B="TOTAL ACTIVE")*'Production Inputs'!$DO:$DO),0)</f>
        <v>0</v>
      </c>
      <c r="H648" s="30">
        <f t="shared" si="70"/>
        <v>267607</v>
      </c>
      <c r="I648" s="30">
        <f ca="1">IFERROR(AVERAGEIF(OFFSET(F648,0,0,MIN(Controls!$B$8,COUNTIF(B648:B$1973,B648)),1),"&gt;"&amp;0),0)</f>
        <v>0</v>
      </c>
      <c r="J648" s="38">
        <f t="shared" ca="1" si="71"/>
        <v>999</v>
      </c>
      <c r="K648" s="30">
        <f t="shared" ca="1" si="75"/>
        <v>0</v>
      </c>
      <c r="L648" t="str">
        <f t="shared" ca="1" si="72"/>
        <v>Overstock</v>
      </c>
      <c r="M648" s="39">
        <f>IFERROR(VLOOKUP("50mg DP",Controls!A:I,7,0),6)</f>
        <v>9</v>
      </c>
      <c r="N648" s="39">
        <f>IFERROR(VLOOKUP("50mg DP",Controls!A:I,8,0),3)</f>
        <v>8</v>
      </c>
      <c r="O648" s="39">
        <f>IFERROR(VLOOKUP("50mg DP",Controls!A:I,9,0),18)</f>
        <v>18</v>
      </c>
      <c r="P648" s="40">
        <f>IFERROR(VLOOKUP("50mg DP",Controls!A:J,5,0),0)</f>
        <v>10000</v>
      </c>
      <c r="Q648" s="39">
        <f>IFERROR(VLOOKUP("50mg DP",Controls!A:J,6,0),3)</f>
        <v>5</v>
      </c>
      <c r="R648" s="21" t="str">
        <f>IFERROR(VLOOKUP("50mg DP",Controls!A:K,10,0),"")</f>
        <v>Patheon PDS-1</v>
      </c>
      <c r="S648" s="41">
        <f t="shared" si="73"/>
        <v>49157</v>
      </c>
      <c r="T648" s="30">
        <f t="shared" si="74"/>
        <v>0</v>
      </c>
      <c r="AB648">
        <f t="shared" si="76"/>
        <v>5</v>
      </c>
    </row>
    <row r="649" spans="1:28" ht="13" customHeight="1" x14ac:dyDescent="0.35">
      <c r="A649" s="153">
        <v>49341</v>
      </c>
      <c r="B649" s="36" t="s">
        <v>43</v>
      </c>
      <c r="C649" s="15" t="s">
        <v>38</v>
      </c>
      <c r="D649" s="15" t="s">
        <v>29</v>
      </c>
      <c r="E649" s="30">
        <f>H648</f>
        <v>267607</v>
      </c>
      <c r="F649" s="37" cm="1">
        <f t="array" ref="F649">IFERROR((SUMPRODUCT(('Production Inputs'!$A:$A="47mg LP")*('Production Inputs'!$B:$B="TOTAL ACTIVE")*'Production Inputs'!$DP:$DP)+SUMPRODUCT(('Production Inputs'!$A:$A="47mg LP - EU Stock")*('Production Inputs'!$B:$B="TOTAL ACTIVE")*'Production Inputs'!$DP:$DP))*Dependencies!$D$5,0)</f>
        <v>0</v>
      </c>
      <c r="G649" s="37">
        <f t="array" ref="G649">IFERROR(SUMPRODUCT(('Production Inputs'!$A:$A="50mg DP")*('Production Inputs'!$B:$B="TOTAL ACTIVE")*'Production Inputs'!$DP:$DP),0)</f>
        <v>0</v>
      </c>
      <c r="H649" s="30">
        <f t="shared" si="70"/>
        <v>267607</v>
      </c>
      <c r="I649" s="30">
        <f ca="1">IFERROR(AVERAGEIF(OFFSET(F649,0,0,MIN(Controls!$B$8,COUNTIF(B649:B$1973,B649)),1),"&gt;"&amp;0),0)</f>
        <v>0</v>
      </c>
      <c r="J649" s="38">
        <f t="shared" ca="1" si="71"/>
        <v>999</v>
      </c>
      <c r="K649" s="30">
        <f t="shared" ca="1" si="75"/>
        <v>0</v>
      </c>
      <c r="L649" t="str">
        <f t="shared" ca="1" si="72"/>
        <v>Overstock</v>
      </c>
      <c r="M649" s="39">
        <f>IFERROR(VLOOKUP("50mg DP",Controls!A:I,7,0),6)</f>
        <v>9</v>
      </c>
      <c r="N649" s="39">
        <f>IFERROR(VLOOKUP("50mg DP",Controls!A:I,8,0),3)</f>
        <v>8</v>
      </c>
      <c r="O649" s="39">
        <f>IFERROR(VLOOKUP("50mg DP",Controls!A:I,9,0),18)</f>
        <v>18</v>
      </c>
      <c r="P649" s="40">
        <f>IFERROR(VLOOKUP("50mg DP",Controls!A:J,5,0),0)</f>
        <v>10000</v>
      </c>
      <c r="Q649" s="39">
        <f>IFERROR(VLOOKUP("50mg DP",Controls!A:J,6,0),3)</f>
        <v>5</v>
      </c>
      <c r="R649" s="21" t="str">
        <f>IFERROR(VLOOKUP("50mg DP",Controls!A:K,10,0),"")</f>
        <v>Patheon PDS-1</v>
      </c>
      <c r="S649" s="41">
        <f t="shared" si="73"/>
        <v>49188</v>
      </c>
      <c r="T649" s="30">
        <f t="shared" si="74"/>
        <v>0</v>
      </c>
      <c r="AB649">
        <f t="shared" si="76"/>
        <v>5</v>
      </c>
    </row>
    <row r="650" spans="1:28" ht="13" customHeight="1" x14ac:dyDescent="0.35">
      <c r="A650" s="153">
        <v>49369</v>
      </c>
      <c r="B650" s="36" t="s">
        <v>43</v>
      </c>
      <c r="C650" s="15" t="s">
        <v>38</v>
      </c>
      <c r="D650" s="15" t="s">
        <v>29</v>
      </c>
      <c r="E650" s="30">
        <f>H649</f>
        <v>267607</v>
      </c>
      <c r="F650" s="37" cm="1">
        <f t="array" ref="F650">IFERROR((SUMPRODUCT(('Production Inputs'!$A:$A="47mg LP")*('Production Inputs'!$B:$B="TOTAL ACTIVE")*'Production Inputs'!$DQ:$DQ)+SUMPRODUCT(('Production Inputs'!$A:$A="47mg LP - EU Stock")*('Production Inputs'!$B:$B="TOTAL ACTIVE")*'Production Inputs'!$DQ:$DQ))*Dependencies!$D$5,0)</f>
        <v>0</v>
      </c>
      <c r="G650" s="37">
        <f t="array" ref="G650">IFERROR(SUMPRODUCT(('Production Inputs'!$A:$A="50mg DP")*('Production Inputs'!$B:$B="TOTAL ACTIVE")*'Production Inputs'!$DQ:$DQ),0)</f>
        <v>0</v>
      </c>
      <c r="H650" s="30">
        <f t="shared" si="70"/>
        <v>267607</v>
      </c>
      <c r="I650" s="30">
        <f ca="1">IFERROR(AVERAGEIF(OFFSET(F650,0,0,MIN(Controls!$B$8,COUNTIF(B650:B$1973,B650)),1),"&gt;"&amp;0),0)</f>
        <v>0</v>
      </c>
      <c r="J650" s="38">
        <f t="shared" ca="1" si="71"/>
        <v>999</v>
      </c>
      <c r="K650" s="30">
        <f t="shared" ca="1" si="75"/>
        <v>0</v>
      </c>
      <c r="L650" t="str">
        <f t="shared" ca="1" si="72"/>
        <v>Overstock</v>
      </c>
      <c r="M650" s="39">
        <f>IFERROR(VLOOKUP("50mg DP",Controls!A:I,7,0),6)</f>
        <v>9</v>
      </c>
      <c r="N650" s="39">
        <f>IFERROR(VLOOKUP("50mg DP",Controls!A:I,8,0),3)</f>
        <v>8</v>
      </c>
      <c r="O650" s="39">
        <f>IFERROR(VLOOKUP("50mg DP",Controls!A:I,9,0),18)</f>
        <v>18</v>
      </c>
      <c r="P650" s="40">
        <f>IFERROR(VLOOKUP("50mg DP",Controls!A:J,5,0),0)</f>
        <v>10000</v>
      </c>
      <c r="Q650" s="39">
        <f>IFERROR(VLOOKUP("50mg DP",Controls!A:J,6,0),3)</f>
        <v>5</v>
      </c>
      <c r="R650" s="21" t="str">
        <f>IFERROR(VLOOKUP("50mg DP",Controls!A:K,10,0),"")</f>
        <v>Patheon PDS-1</v>
      </c>
      <c r="S650" s="41">
        <f t="shared" si="73"/>
        <v>49218</v>
      </c>
      <c r="T650" s="30">
        <f t="shared" si="74"/>
        <v>0</v>
      </c>
      <c r="AB650">
        <f t="shared" si="76"/>
        <v>5</v>
      </c>
    </row>
    <row r="651" spans="1:28" ht="13" customHeight="1" x14ac:dyDescent="0.35">
      <c r="A651" s="153">
        <v>49400</v>
      </c>
      <c r="B651" s="36" t="s">
        <v>43</v>
      </c>
      <c r="C651" s="15" t="s">
        <v>38</v>
      </c>
      <c r="D651" s="15" t="s">
        <v>29</v>
      </c>
      <c r="E651" s="30">
        <f>H650</f>
        <v>267607</v>
      </c>
      <c r="F651" s="37" cm="1">
        <f t="array" ref="F651">IFERROR((SUMPRODUCT(('Production Inputs'!$A:$A="47mg LP")*('Production Inputs'!$B:$B="TOTAL ACTIVE")*'Production Inputs'!$DR:$DR)+SUMPRODUCT(('Production Inputs'!$A:$A="47mg LP - EU Stock")*('Production Inputs'!$B:$B="TOTAL ACTIVE")*'Production Inputs'!$DR:$DR))*Dependencies!$D$5,0)</f>
        <v>0</v>
      </c>
      <c r="G651" s="37">
        <f t="array" ref="G651">IFERROR(SUMPRODUCT(('Production Inputs'!$A:$A="50mg DP")*('Production Inputs'!$B:$B="TOTAL ACTIVE")*'Production Inputs'!$DR:$DR),0)</f>
        <v>0</v>
      </c>
      <c r="H651" s="30">
        <f t="shared" si="70"/>
        <v>267607</v>
      </c>
      <c r="I651" s="30">
        <f ca="1">IFERROR(AVERAGEIF(OFFSET(F651,0,0,MIN(Controls!$B$8,COUNTIF(B651:B$1973,B651)),1),"&gt;"&amp;0),0)</f>
        <v>0</v>
      </c>
      <c r="J651" s="38">
        <f t="shared" ca="1" si="71"/>
        <v>999</v>
      </c>
      <c r="K651" s="30">
        <f t="shared" ca="1" si="75"/>
        <v>0</v>
      </c>
      <c r="L651" t="str">
        <f t="shared" ca="1" si="72"/>
        <v>Overstock</v>
      </c>
      <c r="M651" s="39">
        <f>IFERROR(VLOOKUP("50mg DP",Controls!A:I,7,0),6)</f>
        <v>9</v>
      </c>
      <c r="N651" s="39">
        <f>IFERROR(VLOOKUP("50mg DP",Controls!A:I,8,0),3)</f>
        <v>8</v>
      </c>
      <c r="O651" s="39">
        <f>IFERROR(VLOOKUP("50mg DP",Controls!A:I,9,0),18)</f>
        <v>18</v>
      </c>
      <c r="P651" s="40">
        <f>IFERROR(VLOOKUP("50mg DP",Controls!A:J,5,0),0)</f>
        <v>10000</v>
      </c>
      <c r="Q651" s="39">
        <f>IFERROR(VLOOKUP("50mg DP",Controls!A:J,6,0),3)</f>
        <v>5</v>
      </c>
      <c r="R651" s="21" t="str">
        <f>IFERROR(VLOOKUP("50mg DP",Controls!A:K,10,0),"")</f>
        <v>Patheon PDS-1</v>
      </c>
      <c r="S651" s="41">
        <f t="shared" si="73"/>
        <v>49249</v>
      </c>
      <c r="T651" s="30">
        <f t="shared" si="74"/>
        <v>0</v>
      </c>
      <c r="AB651">
        <f t="shared" si="76"/>
        <v>5</v>
      </c>
    </row>
    <row r="652" spans="1:28" ht="13" customHeight="1" x14ac:dyDescent="0.35">
      <c r="A652" s="153">
        <v>49430</v>
      </c>
      <c r="B652" s="36" t="s">
        <v>43</v>
      </c>
      <c r="C652" s="15" t="s">
        <v>38</v>
      </c>
      <c r="D652" s="15" t="s">
        <v>29</v>
      </c>
      <c r="E652" s="30">
        <f>H651</f>
        <v>267607</v>
      </c>
      <c r="F652" s="37" cm="1">
        <f t="array" ref="F652">IFERROR((SUMPRODUCT(('Production Inputs'!$A:$A="47mg LP")*('Production Inputs'!$B:$B="TOTAL ACTIVE")*'Production Inputs'!$DS:$DS)+SUMPRODUCT(('Production Inputs'!$A:$A="47mg LP - EU Stock")*('Production Inputs'!$B:$B="TOTAL ACTIVE")*'Production Inputs'!$DS:$DS))*Dependencies!$D$5,0)</f>
        <v>0</v>
      </c>
      <c r="G652" s="37">
        <f t="array" ref="G652">IFERROR(SUMPRODUCT(('Production Inputs'!$A:$A="50mg DP")*('Production Inputs'!$B:$B="TOTAL ACTIVE")*'Production Inputs'!$DS:$DS),0)</f>
        <v>0</v>
      </c>
      <c r="H652" s="30">
        <f t="shared" si="70"/>
        <v>267607</v>
      </c>
      <c r="I652" s="30">
        <f ca="1">IFERROR(AVERAGEIF(OFFSET(F652,0,0,MIN(Controls!$B$8,COUNTIF(B652:B$1973,B652)),1),"&gt;"&amp;0),0)</f>
        <v>0</v>
      </c>
      <c r="J652" s="38">
        <f t="shared" ca="1" si="71"/>
        <v>999</v>
      </c>
      <c r="K652" s="30">
        <f t="shared" ca="1" si="75"/>
        <v>0</v>
      </c>
      <c r="L652" t="str">
        <f t="shared" ca="1" si="72"/>
        <v>Overstock</v>
      </c>
      <c r="M652" s="39">
        <f>IFERROR(VLOOKUP("50mg DP",Controls!A:I,7,0),6)</f>
        <v>9</v>
      </c>
      <c r="N652" s="39">
        <f>IFERROR(VLOOKUP("50mg DP",Controls!A:I,8,0),3)</f>
        <v>8</v>
      </c>
      <c r="O652" s="39">
        <f>IFERROR(VLOOKUP("50mg DP",Controls!A:I,9,0),18)</f>
        <v>18</v>
      </c>
      <c r="P652" s="40">
        <f>IFERROR(VLOOKUP("50mg DP",Controls!A:J,5,0),0)</f>
        <v>10000</v>
      </c>
      <c r="Q652" s="39">
        <f>IFERROR(VLOOKUP("50mg DP",Controls!A:J,6,0),3)</f>
        <v>5</v>
      </c>
      <c r="R652" s="21" t="str">
        <f>IFERROR(VLOOKUP("50mg DP",Controls!A:K,10,0),"")</f>
        <v>Patheon PDS-1</v>
      </c>
      <c r="S652" s="41">
        <f t="shared" si="73"/>
        <v>49279</v>
      </c>
      <c r="T652" s="30">
        <f t="shared" si="74"/>
        <v>0</v>
      </c>
      <c r="AB652">
        <f t="shared" si="76"/>
        <v>5</v>
      </c>
    </row>
    <row r="653" spans="1:28" ht="13" customHeight="1" x14ac:dyDescent="0.35">
      <c r="A653" s="153">
        <v>49461</v>
      </c>
      <c r="B653" s="36" t="s">
        <v>43</v>
      </c>
      <c r="C653" s="15" t="s">
        <v>38</v>
      </c>
      <c r="D653" s="15" t="s">
        <v>29</v>
      </c>
      <c r="E653" s="30">
        <f>H652</f>
        <v>267607</v>
      </c>
      <c r="F653" s="37" cm="1">
        <f t="array" ref="F653">IFERROR((SUMPRODUCT(('Production Inputs'!$A:$A="47mg LP")*('Production Inputs'!$B:$B="TOTAL ACTIVE")*'Production Inputs'!$DT:$DT)+SUMPRODUCT(('Production Inputs'!$A:$A="47mg LP - EU Stock")*('Production Inputs'!$B:$B="TOTAL ACTIVE")*'Production Inputs'!$DT:$DT))*Dependencies!$D$5,0)</f>
        <v>0</v>
      </c>
      <c r="G653" s="37">
        <f t="array" ref="G653">IFERROR(SUMPRODUCT(('Production Inputs'!$A:$A="50mg DP")*('Production Inputs'!$B:$B="TOTAL ACTIVE")*'Production Inputs'!$DT:$DT),0)</f>
        <v>0</v>
      </c>
      <c r="H653" s="30">
        <f t="shared" si="70"/>
        <v>267607</v>
      </c>
      <c r="I653" s="30">
        <f ca="1">IFERROR(AVERAGEIF(OFFSET(F653,0,0,MIN(Controls!$B$8,COUNTIF(B653:B$1973,B653)),1),"&gt;"&amp;0),0)</f>
        <v>0</v>
      </c>
      <c r="J653" s="38">
        <f t="shared" ca="1" si="71"/>
        <v>999</v>
      </c>
      <c r="K653" s="30">
        <f t="shared" ca="1" si="75"/>
        <v>0</v>
      </c>
      <c r="L653" t="str">
        <f t="shared" ca="1" si="72"/>
        <v>Overstock</v>
      </c>
      <c r="M653" s="39">
        <f>IFERROR(VLOOKUP("50mg DP",Controls!A:I,7,0),6)</f>
        <v>9</v>
      </c>
      <c r="N653" s="39">
        <f>IFERROR(VLOOKUP("50mg DP",Controls!A:I,8,0),3)</f>
        <v>8</v>
      </c>
      <c r="O653" s="39">
        <f>IFERROR(VLOOKUP("50mg DP",Controls!A:I,9,0),18)</f>
        <v>18</v>
      </c>
      <c r="P653" s="40">
        <f>IFERROR(VLOOKUP("50mg DP",Controls!A:J,5,0),0)</f>
        <v>10000</v>
      </c>
      <c r="Q653" s="39">
        <f>IFERROR(VLOOKUP("50mg DP",Controls!A:J,6,0),3)</f>
        <v>5</v>
      </c>
      <c r="R653" s="21" t="str">
        <f>IFERROR(VLOOKUP("50mg DP",Controls!A:K,10,0),"")</f>
        <v>Patheon PDS-1</v>
      </c>
      <c r="S653" s="41">
        <f t="shared" si="73"/>
        <v>49310</v>
      </c>
      <c r="T653" s="30">
        <f t="shared" si="74"/>
        <v>0</v>
      </c>
      <c r="AB653">
        <f t="shared" si="76"/>
        <v>5</v>
      </c>
    </row>
    <row r="654" spans="1:28" ht="13" customHeight="1" x14ac:dyDescent="0.35">
      <c r="A654" s="153">
        <v>49491</v>
      </c>
      <c r="B654" s="36" t="s">
        <v>43</v>
      </c>
      <c r="C654" s="15" t="s">
        <v>38</v>
      </c>
      <c r="D654" s="15" t="s">
        <v>29</v>
      </c>
      <c r="E654" s="30">
        <f>H653</f>
        <v>267607</v>
      </c>
      <c r="F654" s="37" cm="1">
        <f t="array" ref="F654">IFERROR((SUMPRODUCT(('Production Inputs'!$A:$A="47mg LP")*('Production Inputs'!$B:$B="TOTAL ACTIVE")*'Production Inputs'!$DU:$DU)+SUMPRODUCT(('Production Inputs'!$A:$A="47mg LP - EU Stock")*('Production Inputs'!$B:$B="TOTAL ACTIVE")*'Production Inputs'!$DU:$DU))*Dependencies!$D$5,0)</f>
        <v>0</v>
      </c>
      <c r="G654" s="37">
        <f t="array" ref="G654">IFERROR(SUMPRODUCT(('Production Inputs'!$A:$A="50mg DP")*('Production Inputs'!$B:$B="TOTAL ACTIVE")*'Production Inputs'!$DU:$DU),0)</f>
        <v>0</v>
      </c>
      <c r="H654" s="30">
        <f t="shared" si="70"/>
        <v>267607</v>
      </c>
      <c r="I654" s="30">
        <f ca="1">IFERROR(AVERAGEIF(OFFSET(F654,0,0,MIN(Controls!$B$8,COUNTIF(B654:B$1973,B654)),1),"&gt;"&amp;0),0)</f>
        <v>0</v>
      </c>
      <c r="J654" s="38">
        <f t="shared" ca="1" si="71"/>
        <v>999</v>
      </c>
      <c r="K654" s="30">
        <f t="shared" ca="1" si="75"/>
        <v>0</v>
      </c>
      <c r="L654" t="str">
        <f t="shared" ca="1" si="72"/>
        <v>Overstock</v>
      </c>
      <c r="M654" s="39">
        <f>IFERROR(VLOOKUP("50mg DP",Controls!A:I,7,0),6)</f>
        <v>9</v>
      </c>
      <c r="N654" s="39">
        <f>IFERROR(VLOOKUP("50mg DP",Controls!A:I,8,0),3)</f>
        <v>8</v>
      </c>
      <c r="O654" s="39">
        <f>IFERROR(VLOOKUP("50mg DP",Controls!A:I,9,0),18)</f>
        <v>18</v>
      </c>
      <c r="P654" s="40">
        <f>IFERROR(VLOOKUP("50mg DP",Controls!A:J,5,0),0)</f>
        <v>10000</v>
      </c>
      <c r="Q654" s="39">
        <f>IFERROR(VLOOKUP("50mg DP",Controls!A:J,6,0),3)</f>
        <v>5</v>
      </c>
      <c r="R654" s="21" t="str">
        <f>IFERROR(VLOOKUP("50mg DP",Controls!A:K,10,0),"")</f>
        <v>Patheon PDS-1</v>
      </c>
      <c r="S654" s="41">
        <f t="shared" si="73"/>
        <v>49341</v>
      </c>
      <c r="T654" s="30">
        <f t="shared" si="74"/>
        <v>0</v>
      </c>
      <c r="AB654">
        <f t="shared" si="76"/>
        <v>5</v>
      </c>
    </row>
    <row r="655" spans="1:28" ht="13" customHeight="1" x14ac:dyDescent="0.35">
      <c r="A655" s="153">
        <v>49522</v>
      </c>
      <c r="B655" s="36" t="s">
        <v>43</v>
      </c>
      <c r="C655" s="15" t="s">
        <v>38</v>
      </c>
      <c r="D655" s="15" t="s">
        <v>29</v>
      </c>
      <c r="E655" s="30">
        <f>H654</f>
        <v>267607</v>
      </c>
      <c r="F655" s="37" cm="1">
        <f t="array" ref="F655">IFERROR((SUMPRODUCT(('Production Inputs'!$A:$A="47mg LP")*('Production Inputs'!$B:$B="TOTAL ACTIVE")*'Production Inputs'!$DV:$DV)+SUMPRODUCT(('Production Inputs'!$A:$A="47mg LP - EU Stock")*('Production Inputs'!$B:$B="TOTAL ACTIVE")*'Production Inputs'!$DV:$DV))*Dependencies!$D$5,0)</f>
        <v>0</v>
      </c>
      <c r="G655" s="37">
        <f t="array" ref="G655">IFERROR(SUMPRODUCT(('Production Inputs'!$A:$A="50mg DP")*('Production Inputs'!$B:$B="TOTAL ACTIVE")*'Production Inputs'!$DV:$DV),0)</f>
        <v>0</v>
      </c>
      <c r="H655" s="30">
        <f t="shared" si="70"/>
        <v>267607</v>
      </c>
      <c r="I655" s="30">
        <f ca="1">IFERROR(AVERAGEIF(OFFSET(F655,0,0,MIN(Controls!$B$8,COUNTIF(B655:B$1973,B655)),1),"&gt;"&amp;0),0)</f>
        <v>0</v>
      </c>
      <c r="J655" s="38">
        <f t="shared" ca="1" si="71"/>
        <v>999</v>
      </c>
      <c r="K655" s="30">
        <f t="shared" ca="1" si="75"/>
        <v>0</v>
      </c>
      <c r="L655" t="str">
        <f t="shared" ca="1" si="72"/>
        <v>Overstock</v>
      </c>
      <c r="M655" s="39">
        <f>IFERROR(VLOOKUP("50mg DP",Controls!A:I,7,0),6)</f>
        <v>9</v>
      </c>
      <c r="N655" s="39">
        <f>IFERROR(VLOOKUP("50mg DP",Controls!A:I,8,0),3)</f>
        <v>8</v>
      </c>
      <c r="O655" s="39">
        <f>IFERROR(VLOOKUP("50mg DP",Controls!A:I,9,0),18)</f>
        <v>18</v>
      </c>
      <c r="P655" s="40">
        <f>IFERROR(VLOOKUP("50mg DP",Controls!A:J,5,0),0)</f>
        <v>10000</v>
      </c>
      <c r="Q655" s="39">
        <f>IFERROR(VLOOKUP("50mg DP",Controls!A:J,6,0),3)</f>
        <v>5</v>
      </c>
      <c r="R655" s="21" t="str">
        <f>IFERROR(VLOOKUP("50mg DP",Controls!A:K,10,0),"")</f>
        <v>Patheon PDS-1</v>
      </c>
      <c r="S655" s="41">
        <f t="shared" si="73"/>
        <v>49369</v>
      </c>
      <c r="T655" s="30">
        <f t="shared" si="74"/>
        <v>0</v>
      </c>
      <c r="AB655">
        <f t="shared" si="76"/>
        <v>5</v>
      </c>
    </row>
    <row r="656" spans="1:28" ht="13" customHeight="1" x14ac:dyDescent="0.35">
      <c r="A656" s="153">
        <v>49553</v>
      </c>
      <c r="B656" s="36" t="s">
        <v>43</v>
      </c>
      <c r="C656" s="15" t="s">
        <v>38</v>
      </c>
      <c r="D656" s="15" t="s">
        <v>29</v>
      </c>
      <c r="E656" s="30">
        <f>H655</f>
        <v>267607</v>
      </c>
      <c r="F656" s="37" cm="1">
        <f t="array" ref="F656">IFERROR((SUMPRODUCT(('Production Inputs'!$A:$A="47mg LP")*('Production Inputs'!$B:$B="TOTAL ACTIVE")*'Production Inputs'!$DW:$DW)+SUMPRODUCT(('Production Inputs'!$A:$A="47mg LP - EU Stock")*('Production Inputs'!$B:$B="TOTAL ACTIVE")*'Production Inputs'!$DW:$DW))*Dependencies!$D$5,0)</f>
        <v>0</v>
      </c>
      <c r="G656" s="37">
        <f t="array" ref="G656">IFERROR(SUMPRODUCT(('Production Inputs'!$A:$A="50mg DP")*('Production Inputs'!$B:$B="TOTAL ACTIVE")*'Production Inputs'!$DW:$DW),0)</f>
        <v>0</v>
      </c>
      <c r="H656" s="30">
        <f t="shared" si="70"/>
        <v>267607</v>
      </c>
      <c r="I656" s="30">
        <f ca="1">IFERROR(AVERAGEIF(OFFSET(F656,0,0,MIN(Controls!$B$8,COUNTIF(B656:B$1973,B656)),1),"&gt;"&amp;0),0)</f>
        <v>0</v>
      </c>
      <c r="J656" s="38">
        <f t="shared" ca="1" si="71"/>
        <v>999</v>
      </c>
      <c r="K656" s="30">
        <f t="shared" ca="1" si="75"/>
        <v>0</v>
      </c>
      <c r="L656" t="str">
        <f t="shared" ca="1" si="72"/>
        <v>Overstock</v>
      </c>
      <c r="M656" s="39">
        <f>IFERROR(VLOOKUP("50mg DP",Controls!A:I,7,0),6)</f>
        <v>9</v>
      </c>
      <c r="N656" s="39">
        <f>IFERROR(VLOOKUP("50mg DP",Controls!A:I,8,0),3)</f>
        <v>8</v>
      </c>
      <c r="O656" s="39">
        <f>IFERROR(VLOOKUP("50mg DP",Controls!A:I,9,0),18)</f>
        <v>18</v>
      </c>
      <c r="P656" s="40">
        <f>IFERROR(VLOOKUP("50mg DP",Controls!A:J,5,0),0)</f>
        <v>10000</v>
      </c>
      <c r="Q656" s="39">
        <f>IFERROR(VLOOKUP("50mg DP",Controls!A:J,6,0),3)</f>
        <v>5</v>
      </c>
      <c r="R656" s="21" t="str">
        <f>IFERROR(VLOOKUP("50mg DP",Controls!A:K,10,0),"")</f>
        <v>Patheon PDS-1</v>
      </c>
      <c r="S656" s="41">
        <f t="shared" si="73"/>
        <v>49400</v>
      </c>
      <c r="T656" s="30">
        <f t="shared" si="74"/>
        <v>0</v>
      </c>
      <c r="AB656">
        <f t="shared" si="76"/>
        <v>5</v>
      </c>
    </row>
    <row r="657" spans="1:28" ht="13" customHeight="1" x14ac:dyDescent="0.35">
      <c r="A657" s="153">
        <v>49583</v>
      </c>
      <c r="B657" s="36" t="s">
        <v>43</v>
      </c>
      <c r="C657" s="15" t="s">
        <v>38</v>
      </c>
      <c r="D657" s="15" t="s">
        <v>29</v>
      </c>
      <c r="E657" s="30">
        <f>H656</f>
        <v>267607</v>
      </c>
      <c r="F657" s="37" cm="1">
        <f t="array" ref="F657">IFERROR((SUMPRODUCT(('Production Inputs'!$A:$A="47mg LP")*('Production Inputs'!$B:$B="TOTAL ACTIVE")*'Production Inputs'!$DX:$DX)+SUMPRODUCT(('Production Inputs'!$A:$A="47mg LP - EU Stock")*('Production Inputs'!$B:$B="TOTAL ACTIVE")*'Production Inputs'!$DX:$DX))*Dependencies!$D$5,0)</f>
        <v>0</v>
      </c>
      <c r="G657" s="37">
        <f t="array" ref="G657">IFERROR(SUMPRODUCT(('Production Inputs'!$A:$A="50mg DP")*('Production Inputs'!$B:$B="TOTAL ACTIVE")*'Production Inputs'!$DX:$DX),0)</f>
        <v>0</v>
      </c>
      <c r="H657" s="30">
        <f t="shared" si="70"/>
        <v>267607</v>
      </c>
      <c r="I657" s="30">
        <f ca="1">IFERROR(AVERAGEIF(OFFSET(F657,0,0,MIN(Controls!$B$8,COUNTIF(B657:B$1973,B657)),1),"&gt;"&amp;0),0)</f>
        <v>0</v>
      </c>
      <c r="J657" s="38">
        <f t="shared" ca="1" si="71"/>
        <v>999</v>
      </c>
      <c r="K657" s="30">
        <f t="shared" ca="1" si="75"/>
        <v>0</v>
      </c>
      <c r="L657" t="str">
        <f t="shared" ca="1" si="72"/>
        <v>Overstock</v>
      </c>
      <c r="M657" s="39">
        <f>IFERROR(VLOOKUP("50mg DP",Controls!A:I,7,0),6)</f>
        <v>9</v>
      </c>
      <c r="N657" s="39">
        <f>IFERROR(VLOOKUP("50mg DP",Controls!A:I,8,0),3)</f>
        <v>8</v>
      </c>
      <c r="O657" s="39">
        <f>IFERROR(VLOOKUP("50mg DP",Controls!A:I,9,0),18)</f>
        <v>18</v>
      </c>
      <c r="P657" s="40">
        <f>IFERROR(VLOOKUP("50mg DP",Controls!A:J,5,0),0)</f>
        <v>10000</v>
      </c>
      <c r="Q657" s="39">
        <f>IFERROR(VLOOKUP("50mg DP",Controls!A:J,6,0),3)</f>
        <v>5</v>
      </c>
      <c r="R657" s="21" t="str">
        <f>IFERROR(VLOOKUP("50mg DP",Controls!A:K,10,0),"")</f>
        <v>Patheon PDS-1</v>
      </c>
      <c r="S657" s="41">
        <f t="shared" si="73"/>
        <v>49430</v>
      </c>
      <c r="T657" s="30">
        <f t="shared" si="74"/>
        <v>0</v>
      </c>
      <c r="AB657">
        <f t="shared" si="76"/>
        <v>5</v>
      </c>
    </row>
    <row r="658" spans="1:28" ht="13" customHeight="1" x14ac:dyDescent="0.35">
      <c r="A658" s="153">
        <v>49614</v>
      </c>
      <c r="B658" s="36" t="s">
        <v>43</v>
      </c>
      <c r="C658" s="15" t="s">
        <v>38</v>
      </c>
      <c r="D658" s="15" t="s">
        <v>29</v>
      </c>
      <c r="E658" s="30">
        <f>H657</f>
        <v>267607</v>
      </c>
      <c r="F658" s="37" cm="1">
        <f t="array" ref="F658">IFERROR((SUMPRODUCT(('Production Inputs'!$A:$A="47mg LP")*('Production Inputs'!$B:$B="TOTAL ACTIVE")*'Production Inputs'!$DY:$DY)+SUMPRODUCT(('Production Inputs'!$A:$A="47mg LP - EU Stock")*('Production Inputs'!$B:$B="TOTAL ACTIVE")*'Production Inputs'!$DY:$DY))*Dependencies!$D$5,0)</f>
        <v>0</v>
      </c>
      <c r="G658" s="37">
        <f t="array" ref="G658">IFERROR(SUMPRODUCT(('Production Inputs'!$A:$A="50mg DP")*('Production Inputs'!$B:$B="TOTAL ACTIVE")*'Production Inputs'!$DY:$DY),0)</f>
        <v>0</v>
      </c>
      <c r="H658" s="30">
        <f t="shared" si="70"/>
        <v>267607</v>
      </c>
      <c r="I658" s="30">
        <f ca="1">IFERROR(AVERAGEIF(OFFSET(F658,0,0,MIN(Controls!$B$8,COUNTIF(B658:B$1973,B658)),1),"&gt;"&amp;0),0)</f>
        <v>0</v>
      </c>
      <c r="J658" s="38">
        <f t="shared" ca="1" si="71"/>
        <v>999</v>
      </c>
      <c r="K658" s="30">
        <f t="shared" ca="1" si="75"/>
        <v>0</v>
      </c>
      <c r="L658" t="str">
        <f t="shared" ca="1" si="72"/>
        <v>Overstock</v>
      </c>
      <c r="M658" s="39">
        <f>IFERROR(VLOOKUP("50mg DP",Controls!A:I,7,0),6)</f>
        <v>9</v>
      </c>
      <c r="N658" s="39">
        <f>IFERROR(VLOOKUP("50mg DP",Controls!A:I,8,0),3)</f>
        <v>8</v>
      </c>
      <c r="O658" s="39">
        <f>IFERROR(VLOOKUP("50mg DP",Controls!A:I,9,0),18)</f>
        <v>18</v>
      </c>
      <c r="P658" s="40">
        <f>IFERROR(VLOOKUP("50mg DP",Controls!A:J,5,0),0)</f>
        <v>10000</v>
      </c>
      <c r="Q658" s="39">
        <f>IFERROR(VLOOKUP("50mg DP",Controls!A:J,6,0),3)</f>
        <v>5</v>
      </c>
      <c r="R658" s="21" t="str">
        <f>IFERROR(VLOOKUP("50mg DP",Controls!A:K,10,0),"")</f>
        <v>Patheon PDS-1</v>
      </c>
      <c r="S658" s="41">
        <f t="shared" si="73"/>
        <v>49461</v>
      </c>
      <c r="T658" s="30">
        <f t="shared" si="74"/>
        <v>0</v>
      </c>
      <c r="AB658">
        <f t="shared" si="76"/>
        <v>5</v>
      </c>
    </row>
    <row r="659" spans="1:28" ht="13" customHeight="1" x14ac:dyDescent="0.35">
      <c r="A659" s="153">
        <v>49644</v>
      </c>
      <c r="B659" s="36" t="s">
        <v>43</v>
      </c>
      <c r="C659" s="15" t="s">
        <v>38</v>
      </c>
      <c r="D659" s="15" t="s">
        <v>29</v>
      </c>
      <c r="E659" s="30">
        <f>H658</f>
        <v>267607</v>
      </c>
      <c r="F659" s="37" cm="1">
        <f t="array" ref="F659">IFERROR((SUMPRODUCT(('Production Inputs'!$A:$A="47mg LP")*('Production Inputs'!$B:$B="TOTAL ACTIVE")*'Production Inputs'!$DZ:$DZ)+SUMPRODUCT(('Production Inputs'!$A:$A="47mg LP - EU Stock")*('Production Inputs'!$B:$B="TOTAL ACTIVE")*'Production Inputs'!$DZ:$DZ))*Dependencies!$D$5,0)</f>
        <v>0</v>
      </c>
      <c r="G659" s="37">
        <f t="array" ref="G659">IFERROR(SUMPRODUCT(('Production Inputs'!$A:$A="50mg DP")*('Production Inputs'!$B:$B="TOTAL ACTIVE")*'Production Inputs'!$DZ:$DZ),0)</f>
        <v>0</v>
      </c>
      <c r="H659" s="30">
        <f t="shared" si="70"/>
        <v>267607</v>
      </c>
      <c r="I659" s="30">
        <f ca="1">IFERROR(AVERAGEIF(OFFSET(F659,0,0,MIN(Controls!$B$8,COUNTIF(B659:B$1973,B659)),1),"&gt;"&amp;0),0)</f>
        <v>0</v>
      </c>
      <c r="J659" s="38">
        <f t="shared" ca="1" si="71"/>
        <v>999</v>
      </c>
      <c r="K659" s="30">
        <f t="shared" ca="1" si="75"/>
        <v>0</v>
      </c>
      <c r="L659" t="str">
        <f t="shared" ca="1" si="72"/>
        <v>Overstock</v>
      </c>
      <c r="M659" s="39">
        <f>IFERROR(VLOOKUP("50mg DP",Controls!A:I,7,0),6)</f>
        <v>9</v>
      </c>
      <c r="N659" s="39">
        <f>IFERROR(VLOOKUP("50mg DP",Controls!A:I,8,0),3)</f>
        <v>8</v>
      </c>
      <c r="O659" s="39">
        <f>IFERROR(VLOOKUP("50mg DP",Controls!A:I,9,0),18)</f>
        <v>18</v>
      </c>
      <c r="P659" s="40">
        <f>IFERROR(VLOOKUP("50mg DP",Controls!A:J,5,0),0)</f>
        <v>10000</v>
      </c>
      <c r="Q659" s="39">
        <f>IFERROR(VLOOKUP("50mg DP",Controls!A:J,6,0),3)</f>
        <v>5</v>
      </c>
      <c r="R659" s="21" t="str">
        <f>IFERROR(VLOOKUP("50mg DP",Controls!A:K,10,0),"")</f>
        <v>Patheon PDS-1</v>
      </c>
      <c r="S659" s="41">
        <f t="shared" si="73"/>
        <v>49491</v>
      </c>
      <c r="T659" s="30">
        <f t="shared" si="74"/>
        <v>0</v>
      </c>
      <c r="AB659">
        <f t="shared" si="76"/>
        <v>5</v>
      </c>
    </row>
    <row r="660" spans="1:28" ht="13" customHeight="1" x14ac:dyDescent="0.35">
      <c r="A660" s="153">
        <v>49675</v>
      </c>
      <c r="B660" s="36" t="s">
        <v>43</v>
      </c>
      <c r="C660" s="15" t="s">
        <v>38</v>
      </c>
      <c r="D660" s="15" t="s">
        <v>29</v>
      </c>
      <c r="E660" s="30">
        <f>H659</f>
        <v>267607</v>
      </c>
      <c r="F660" s="37" cm="1">
        <f t="array" ref="F660">IFERROR((SUMPRODUCT(('Production Inputs'!$A:$A="47mg LP")*('Production Inputs'!$B:$B="TOTAL ACTIVE")*'Production Inputs'!$EA:$EA)+SUMPRODUCT(('Production Inputs'!$A:$A="47mg LP - EU Stock")*('Production Inputs'!$B:$B="TOTAL ACTIVE")*'Production Inputs'!$EA:$EA))*Dependencies!$D$5,0)</f>
        <v>0</v>
      </c>
      <c r="G660" s="37">
        <f t="array" ref="G660">IFERROR(SUMPRODUCT(('Production Inputs'!$A:$A="50mg DP")*('Production Inputs'!$B:$B="TOTAL ACTIVE")*'Production Inputs'!$EA:$EA),0)</f>
        <v>0</v>
      </c>
      <c r="H660" s="30">
        <f t="shared" si="70"/>
        <v>267607</v>
      </c>
      <c r="I660" s="30">
        <f ca="1">IFERROR(AVERAGEIF(OFFSET(F660,0,0,MIN(Controls!$B$8,COUNTIF(B660:B$1973,B660)),1),"&gt;"&amp;0),0)</f>
        <v>0</v>
      </c>
      <c r="J660" s="38">
        <f t="shared" ca="1" si="71"/>
        <v>999</v>
      </c>
      <c r="K660" s="30">
        <f t="shared" ca="1" si="75"/>
        <v>0</v>
      </c>
      <c r="L660" t="str">
        <f t="shared" ca="1" si="72"/>
        <v>Overstock</v>
      </c>
      <c r="M660" s="39">
        <f>IFERROR(VLOOKUP("50mg DP",Controls!A:I,7,0),6)</f>
        <v>9</v>
      </c>
      <c r="N660" s="39">
        <f>IFERROR(VLOOKUP("50mg DP",Controls!A:I,8,0),3)</f>
        <v>8</v>
      </c>
      <c r="O660" s="39">
        <f>IFERROR(VLOOKUP("50mg DP",Controls!A:I,9,0),18)</f>
        <v>18</v>
      </c>
      <c r="P660" s="40">
        <f>IFERROR(VLOOKUP("50mg DP",Controls!A:J,5,0),0)</f>
        <v>10000</v>
      </c>
      <c r="Q660" s="39">
        <f>IFERROR(VLOOKUP("50mg DP",Controls!A:J,6,0),3)</f>
        <v>5</v>
      </c>
      <c r="R660" s="21" t="str">
        <f>IFERROR(VLOOKUP("50mg DP",Controls!A:K,10,0),"")</f>
        <v>Patheon PDS-1</v>
      </c>
      <c r="S660" s="41">
        <f t="shared" si="73"/>
        <v>49522</v>
      </c>
      <c r="T660" s="30">
        <f t="shared" si="74"/>
        <v>0</v>
      </c>
      <c r="AB660">
        <f t="shared" si="76"/>
        <v>5</v>
      </c>
    </row>
    <row r="661" spans="1:28" ht="13" customHeight="1" x14ac:dyDescent="0.35">
      <c r="A661" s="153">
        <v>49706</v>
      </c>
      <c r="B661" s="36" t="s">
        <v>43</v>
      </c>
      <c r="C661" s="15" t="s">
        <v>38</v>
      </c>
      <c r="D661" s="15" t="s">
        <v>29</v>
      </c>
      <c r="E661" s="30">
        <f>H660</f>
        <v>267607</v>
      </c>
      <c r="F661" s="37" cm="1">
        <f t="array" ref="F661">IFERROR((SUMPRODUCT(('Production Inputs'!$A:$A="47mg LP")*('Production Inputs'!$B:$B="TOTAL ACTIVE")*'Production Inputs'!$EB:$EB)+SUMPRODUCT(('Production Inputs'!$A:$A="47mg LP - EU Stock")*('Production Inputs'!$B:$B="TOTAL ACTIVE")*'Production Inputs'!$EB:$EB))*Dependencies!$D$5,0)</f>
        <v>0</v>
      </c>
      <c r="G661" s="37">
        <f t="array" ref="G661">IFERROR(SUMPRODUCT(('Production Inputs'!$A:$A="50mg DP")*('Production Inputs'!$B:$B="TOTAL ACTIVE")*'Production Inputs'!$EB:$EB),0)</f>
        <v>0</v>
      </c>
      <c r="H661" s="30">
        <f t="shared" si="70"/>
        <v>267607</v>
      </c>
      <c r="I661" s="30">
        <f ca="1">IFERROR(AVERAGEIF(OFFSET(F661,0,0,MIN(Controls!$B$8,COUNTIF(B661:B$1973,B661)),1),"&gt;"&amp;0),0)</f>
        <v>0</v>
      </c>
      <c r="J661" s="38">
        <f t="shared" ca="1" si="71"/>
        <v>999</v>
      </c>
      <c r="K661" s="30">
        <f t="shared" ca="1" si="75"/>
        <v>0</v>
      </c>
      <c r="L661" t="str">
        <f t="shared" ca="1" si="72"/>
        <v>Overstock</v>
      </c>
      <c r="M661" s="39">
        <f>IFERROR(VLOOKUP("50mg DP",Controls!A:I,7,0),6)</f>
        <v>9</v>
      </c>
      <c r="N661" s="39">
        <f>IFERROR(VLOOKUP("50mg DP",Controls!A:I,8,0),3)</f>
        <v>8</v>
      </c>
      <c r="O661" s="39">
        <f>IFERROR(VLOOKUP("50mg DP",Controls!A:I,9,0),18)</f>
        <v>18</v>
      </c>
      <c r="P661" s="40">
        <f>IFERROR(VLOOKUP("50mg DP",Controls!A:J,5,0),0)</f>
        <v>10000</v>
      </c>
      <c r="Q661" s="39">
        <f>IFERROR(VLOOKUP("50mg DP",Controls!A:J,6,0),3)</f>
        <v>5</v>
      </c>
      <c r="R661" s="21" t="str">
        <f>IFERROR(VLOOKUP("50mg DP",Controls!A:K,10,0),"")</f>
        <v>Patheon PDS-1</v>
      </c>
      <c r="S661" s="41">
        <f t="shared" si="73"/>
        <v>49553</v>
      </c>
      <c r="T661" s="30">
        <f t="shared" si="74"/>
        <v>0</v>
      </c>
      <c r="AB661">
        <f t="shared" si="76"/>
        <v>5</v>
      </c>
    </row>
    <row r="662" spans="1:28" ht="13" customHeight="1" x14ac:dyDescent="0.35">
      <c r="A662" s="153">
        <v>49735</v>
      </c>
      <c r="B662" s="36" t="s">
        <v>43</v>
      </c>
      <c r="C662" s="15" t="s">
        <v>38</v>
      </c>
      <c r="D662" s="15" t="s">
        <v>29</v>
      </c>
      <c r="E662" s="30">
        <f>H661</f>
        <v>267607</v>
      </c>
      <c r="F662" s="37" cm="1">
        <f t="array" ref="F662">IFERROR((SUMPRODUCT(('Production Inputs'!$A:$A="47mg LP")*('Production Inputs'!$B:$B="TOTAL ACTIVE")*'Production Inputs'!$EC:$EC)+SUMPRODUCT(('Production Inputs'!$A:$A="47mg LP - EU Stock")*('Production Inputs'!$B:$B="TOTAL ACTIVE")*'Production Inputs'!$EC:$EC))*Dependencies!$D$5,0)</f>
        <v>0</v>
      </c>
      <c r="G662" s="37">
        <f t="array" ref="G662">IFERROR(SUMPRODUCT(('Production Inputs'!$A:$A="50mg DP")*('Production Inputs'!$B:$B="TOTAL ACTIVE")*'Production Inputs'!$EC:$EC),0)</f>
        <v>0</v>
      </c>
      <c r="H662" s="30">
        <f t="shared" si="70"/>
        <v>267607</v>
      </c>
      <c r="I662" s="30">
        <f ca="1">IFERROR(AVERAGEIF(OFFSET(F662,0,0,MIN(Controls!$B$8,COUNTIF(B662:B$1973,B662)),1),"&gt;"&amp;0),0)</f>
        <v>0</v>
      </c>
      <c r="J662" s="38">
        <f t="shared" ca="1" si="71"/>
        <v>999</v>
      </c>
      <c r="K662" s="30">
        <f t="shared" ca="1" si="75"/>
        <v>0</v>
      </c>
      <c r="L662" t="str">
        <f t="shared" ca="1" si="72"/>
        <v>Overstock</v>
      </c>
      <c r="M662" s="39">
        <f>IFERROR(VLOOKUP("50mg DP",Controls!A:I,7,0),6)</f>
        <v>9</v>
      </c>
      <c r="N662" s="39">
        <f>IFERROR(VLOOKUP("50mg DP",Controls!A:I,8,0),3)</f>
        <v>8</v>
      </c>
      <c r="O662" s="39">
        <f>IFERROR(VLOOKUP("50mg DP",Controls!A:I,9,0),18)</f>
        <v>18</v>
      </c>
      <c r="P662" s="40">
        <f>IFERROR(VLOOKUP("50mg DP",Controls!A:J,5,0),0)</f>
        <v>10000</v>
      </c>
      <c r="Q662" s="39">
        <f>IFERROR(VLOOKUP("50mg DP",Controls!A:J,6,0),3)</f>
        <v>5</v>
      </c>
      <c r="R662" s="21" t="str">
        <f>IFERROR(VLOOKUP("50mg DP",Controls!A:K,10,0),"")</f>
        <v>Patheon PDS-1</v>
      </c>
      <c r="S662" s="41">
        <f t="shared" si="73"/>
        <v>49583</v>
      </c>
      <c r="T662" s="30">
        <f t="shared" si="74"/>
        <v>0</v>
      </c>
      <c r="AB662">
        <f t="shared" si="76"/>
        <v>5</v>
      </c>
    </row>
    <row r="663" spans="1:28" ht="13" customHeight="1" x14ac:dyDescent="0.35">
      <c r="A663" s="153">
        <v>49766</v>
      </c>
      <c r="B663" s="36" t="s">
        <v>43</v>
      </c>
      <c r="C663" s="15" t="s">
        <v>38</v>
      </c>
      <c r="D663" s="15" t="s">
        <v>29</v>
      </c>
      <c r="E663" s="30">
        <f>H662</f>
        <v>267607</v>
      </c>
      <c r="F663" s="37" cm="1">
        <f t="array" ref="F663">IFERROR((SUMPRODUCT(('Production Inputs'!$A:$A="47mg LP")*('Production Inputs'!$B:$B="TOTAL ACTIVE")*'Production Inputs'!$ED:$ED)+SUMPRODUCT(('Production Inputs'!$A:$A="47mg LP - EU Stock")*('Production Inputs'!$B:$B="TOTAL ACTIVE")*'Production Inputs'!$ED:$ED))*Dependencies!$D$5,0)</f>
        <v>0</v>
      </c>
      <c r="G663" s="37">
        <f t="array" ref="G663">IFERROR(SUMPRODUCT(('Production Inputs'!$A:$A="50mg DP")*('Production Inputs'!$B:$B="TOTAL ACTIVE")*'Production Inputs'!$ED:$ED),0)</f>
        <v>0</v>
      </c>
      <c r="H663" s="30">
        <f t="shared" si="70"/>
        <v>267607</v>
      </c>
      <c r="I663" s="30">
        <f ca="1">IFERROR(AVERAGEIF(OFFSET(F663,0,0,MIN(Controls!$B$8,COUNTIF(B663:B$1973,B663)),1),"&gt;"&amp;0),0)</f>
        <v>0</v>
      </c>
      <c r="J663" s="38">
        <f t="shared" ca="1" si="71"/>
        <v>999</v>
      </c>
      <c r="K663" s="30">
        <f t="shared" ca="1" si="75"/>
        <v>0</v>
      </c>
      <c r="L663" t="str">
        <f t="shared" ca="1" si="72"/>
        <v>Overstock</v>
      </c>
      <c r="M663" s="39">
        <f>IFERROR(VLOOKUP("50mg DP",Controls!A:I,7,0),6)</f>
        <v>9</v>
      </c>
      <c r="N663" s="39">
        <f>IFERROR(VLOOKUP("50mg DP",Controls!A:I,8,0),3)</f>
        <v>8</v>
      </c>
      <c r="O663" s="39">
        <f>IFERROR(VLOOKUP("50mg DP",Controls!A:I,9,0),18)</f>
        <v>18</v>
      </c>
      <c r="P663" s="40">
        <f>IFERROR(VLOOKUP("50mg DP",Controls!A:J,5,0),0)</f>
        <v>10000</v>
      </c>
      <c r="Q663" s="39">
        <f>IFERROR(VLOOKUP("50mg DP",Controls!A:J,6,0),3)</f>
        <v>5</v>
      </c>
      <c r="R663" s="21" t="str">
        <f>IFERROR(VLOOKUP("50mg DP",Controls!A:K,10,0),"")</f>
        <v>Patheon PDS-1</v>
      </c>
      <c r="S663" s="41">
        <f t="shared" si="73"/>
        <v>49614</v>
      </c>
      <c r="T663" s="30">
        <f t="shared" si="74"/>
        <v>0</v>
      </c>
      <c r="AB663">
        <f t="shared" si="76"/>
        <v>5</v>
      </c>
    </row>
    <row r="664" spans="1:28" ht="13" customHeight="1" x14ac:dyDescent="0.35">
      <c r="A664" s="153">
        <v>49796</v>
      </c>
      <c r="B664" s="36" t="s">
        <v>43</v>
      </c>
      <c r="C664" s="15" t="s">
        <v>38</v>
      </c>
      <c r="D664" s="15" t="s">
        <v>29</v>
      </c>
      <c r="E664" s="30">
        <f>H663</f>
        <v>267607</v>
      </c>
      <c r="F664" s="37" cm="1">
        <f t="array" ref="F664">IFERROR((SUMPRODUCT(('Production Inputs'!$A:$A="47mg LP")*('Production Inputs'!$B:$B="TOTAL ACTIVE")*'Production Inputs'!$EE:$EE)+SUMPRODUCT(('Production Inputs'!$A:$A="47mg LP - EU Stock")*('Production Inputs'!$B:$B="TOTAL ACTIVE")*'Production Inputs'!$EE:$EE))*Dependencies!$D$5,0)</f>
        <v>0</v>
      </c>
      <c r="G664" s="37">
        <f t="array" ref="G664">IFERROR(SUMPRODUCT(('Production Inputs'!$A:$A="50mg DP")*('Production Inputs'!$B:$B="TOTAL ACTIVE")*'Production Inputs'!$EE:$EE),0)</f>
        <v>0</v>
      </c>
      <c r="H664" s="30">
        <f t="shared" si="70"/>
        <v>267607</v>
      </c>
      <c r="I664" s="30">
        <f ca="1">IFERROR(AVERAGEIF(OFFSET(F664,0,0,MIN(Controls!$B$8,COUNTIF(B664:B$1973,B664)),1),"&gt;"&amp;0),0)</f>
        <v>0</v>
      </c>
      <c r="J664" s="38">
        <f t="shared" ca="1" si="71"/>
        <v>999</v>
      </c>
      <c r="K664" s="30">
        <f t="shared" ca="1" si="75"/>
        <v>0</v>
      </c>
      <c r="L664" t="str">
        <f t="shared" ca="1" si="72"/>
        <v>Overstock</v>
      </c>
      <c r="M664" s="39">
        <f>IFERROR(VLOOKUP("50mg DP",Controls!A:I,7,0),6)</f>
        <v>9</v>
      </c>
      <c r="N664" s="39">
        <f>IFERROR(VLOOKUP("50mg DP",Controls!A:I,8,0),3)</f>
        <v>8</v>
      </c>
      <c r="O664" s="39">
        <f>IFERROR(VLOOKUP("50mg DP",Controls!A:I,9,0),18)</f>
        <v>18</v>
      </c>
      <c r="P664" s="40">
        <f>IFERROR(VLOOKUP("50mg DP",Controls!A:J,5,0),0)</f>
        <v>10000</v>
      </c>
      <c r="Q664" s="39">
        <f>IFERROR(VLOOKUP("50mg DP",Controls!A:J,6,0),3)</f>
        <v>5</v>
      </c>
      <c r="R664" s="21" t="str">
        <f>IFERROR(VLOOKUP("50mg DP",Controls!A:K,10,0),"")</f>
        <v>Patheon PDS-1</v>
      </c>
      <c r="S664" s="41">
        <f t="shared" si="73"/>
        <v>49644</v>
      </c>
      <c r="T664" s="30">
        <f t="shared" si="74"/>
        <v>0</v>
      </c>
      <c r="AB664">
        <f t="shared" si="76"/>
        <v>5</v>
      </c>
    </row>
    <row r="665" spans="1:28" ht="13" customHeight="1" x14ac:dyDescent="0.35">
      <c r="A665" s="153">
        <v>49827</v>
      </c>
      <c r="B665" s="36" t="s">
        <v>43</v>
      </c>
      <c r="C665" s="15" t="s">
        <v>38</v>
      </c>
      <c r="D665" s="15" t="s">
        <v>29</v>
      </c>
      <c r="E665" s="30">
        <f>H664</f>
        <v>267607</v>
      </c>
      <c r="F665" s="37" cm="1">
        <f t="array" ref="F665">IFERROR((SUMPRODUCT(('Production Inputs'!$A:$A="47mg LP")*('Production Inputs'!$B:$B="TOTAL ACTIVE")*'Production Inputs'!$EF:$EF)+SUMPRODUCT(('Production Inputs'!$A:$A="47mg LP - EU Stock")*('Production Inputs'!$B:$B="TOTAL ACTIVE")*'Production Inputs'!$EF:$EF))*Dependencies!$D$5,0)</f>
        <v>0</v>
      </c>
      <c r="G665" s="37">
        <f t="array" ref="G665">IFERROR(SUMPRODUCT(('Production Inputs'!$A:$A="50mg DP")*('Production Inputs'!$B:$B="TOTAL ACTIVE")*'Production Inputs'!$EF:$EF),0)</f>
        <v>0</v>
      </c>
      <c r="H665" s="30">
        <f t="shared" si="70"/>
        <v>267607</v>
      </c>
      <c r="I665" s="30">
        <f ca="1">IFERROR(AVERAGEIF(OFFSET(F665,0,0,MIN(Controls!$B$8,COUNTIF(B665:B$1973,B665)),1),"&gt;"&amp;0),0)</f>
        <v>0</v>
      </c>
      <c r="J665" s="38">
        <f t="shared" ca="1" si="71"/>
        <v>999</v>
      </c>
      <c r="K665" s="30">
        <f t="shared" ca="1" si="75"/>
        <v>0</v>
      </c>
      <c r="L665" t="str">
        <f t="shared" ca="1" si="72"/>
        <v>Overstock</v>
      </c>
      <c r="M665" s="39">
        <f>IFERROR(VLOOKUP("50mg DP",Controls!A:I,7,0),6)</f>
        <v>9</v>
      </c>
      <c r="N665" s="39">
        <f>IFERROR(VLOOKUP("50mg DP",Controls!A:I,8,0),3)</f>
        <v>8</v>
      </c>
      <c r="O665" s="39">
        <f>IFERROR(VLOOKUP("50mg DP",Controls!A:I,9,0),18)</f>
        <v>18</v>
      </c>
      <c r="P665" s="40">
        <f>IFERROR(VLOOKUP("50mg DP",Controls!A:J,5,0),0)</f>
        <v>10000</v>
      </c>
      <c r="Q665" s="39">
        <f>IFERROR(VLOOKUP("50mg DP",Controls!A:J,6,0),3)</f>
        <v>5</v>
      </c>
      <c r="R665" s="21" t="str">
        <f>IFERROR(VLOOKUP("50mg DP",Controls!A:K,10,0),"")</f>
        <v>Patheon PDS-1</v>
      </c>
      <c r="S665" s="41">
        <f t="shared" si="73"/>
        <v>49675</v>
      </c>
      <c r="T665" s="30">
        <f t="shared" si="74"/>
        <v>0</v>
      </c>
      <c r="AB665">
        <f t="shared" si="76"/>
        <v>5</v>
      </c>
    </row>
    <row r="666" spans="1:28" ht="13" customHeight="1" x14ac:dyDescent="0.35">
      <c r="A666" s="153">
        <v>49857</v>
      </c>
      <c r="B666" s="36" t="s">
        <v>43</v>
      </c>
      <c r="C666" s="15" t="s">
        <v>38</v>
      </c>
      <c r="D666" s="15" t="s">
        <v>29</v>
      </c>
      <c r="E666" s="30">
        <f>H665</f>
        <v>267607</v>
      </c>
      <c r="F666" s="37" cm="1">
        <f t="array" ref="F666">IFERROR((SUMPRODUCT(('Production Inputs'!$A:$A="47mg LP")*('Production Inputs'!$B:$B="TOTAL ACTIVE")*'Production Inputs'!$EG:$EG)+SUMPRODUCT(('Production Inputs'!$A:$A="47mg LP - EU Stock")*('Production Inputs'!$B:$B="TOTAL ACTIVE")*'Production Inputs'!$EG:$EG))*Dependencies!$D$5,0)</f>
        <v>0</v>
      </c>
      <c r="G666" s="37">
        <f t="array" ref="G666">IFERROR(SUMPRODUCT(('Production Inputs'!$A:$A="50mg DP")*('Production Inputs'!$B:$B="TOTAL ACTIVE")*'Production Inputs'!$EG:$EG),0)</f>
        <v>0</v>
      </c>
      <c r="H666" s="30">
        <f t="shared" si="70"/>
        <v>267607</v>
      </c>
      <c r="I666" s="30">
        <f ca="1">IFERROR(AVERAGEIF(OFFSET(F666,0,0,MIN(Controls!$B$8,COUNTIF(B666:B$1973,B666)),1),"&gt;"&amp;0),0)</f>
        <v>0</v>
      </c>
      <c r="J666" s="38">
        <f t="shared" ca="1" si="71"/>
        <v>999</v>
      </c>
      <c r="K666" s="30">
        <f t="shared" ca="1" si="75"/>
        <v>0</v>
      </c>
      <c r="L666" t="str">
        <f t="shared" ca="1" si="72"/>
        <v>Overstock</v>
      </c>
      <c r="M666" s="39">
        <f>IFERROR(VLOOKUP("50mg DP",Controls!A:I,7,0),6)</f>
        <v>9</v>
      </c>
      <c r="N666" s="39">
        <f>IFERROR(VLOOKUP("50mg DP",Controls!A:I,8,0),3)</f>
        <v>8</v>
      </c>
      <c r="O666" s="39">
        <f>IFERROR(VLOOKUP("50mg DP",Controls!A:I,9,0),18)</f>
        <v>18</v>
      </c>
      <c r="P666" s="40">
        <f>IFERROR(VLOOKUP("50mg DP",Controls!A:J,5,0),0)</f>
        <v>10000</v>
      </c>
      <c r="Q666" s="39">
        <f>IFERROR(VLOOKUP("50mg DP",Controls!A:J,6,0),3)</f>
        <v>5</v>
      </c>
      <c r="R666" s="21" t="str">
        <f>IFERROR(VLOOKUP("50mg DP",Controls!A:K,10,0),"")</f>
        <v>Patheon PDS-1</v>
      </c>
      <c r="S666" s="41">
        <f t="shared" si="73"/>
        <v>49706</v>
      </c>
      <c r="T666" s="30">
        <f t="shared" si="74"/>
        <v>0</v>
      </c>
      <c r="AB666">
        <f t="shared" si="76"/>
        <v>5</v>
      </c>
    </row>
    <row r="667" spans="1:28" ht="13" customHeight="1" x14ac:dyDescent="0.35">
      <c r="A667" s="153">
        <v>49888</v>
      </c>
      <c r="B667" s="36" t="s">
        <v>43</v>
      </c>
      <c r="C667" s="15" t="s">
        <v>38</v>
      </c>
      <c r="D667" s="15" t="s">
        <v>29</v>
      </c>
      <c r="E667" s="30">
        <f>H666</f>
        <v>267607</v>
      </c>
      <c r="F667" s="37" cm="1">
        <f t="array" ref="F667">IFERROR((SUMPRODUCT(('Production Inputs'!$A:$A="47mg LP")*('Production Inputs'!$B:$B="TOTAL ACTIVE")*'Production Inputs'!$EH:$EH)+SUMPRODUCT(('Production Inputs'!$A:$A="47mg LP - EU Stock")*('Production Inputs'!$B:$B="TOTAL ACTIVE")*'Production Inputs'!$EH:$EH))*Dependencies!$D$5,0)</f>
        <v>0</v>
      </c>
      <c r="G667" s="37">
        <f t="array" ref="G667">IFERROR(SUMPRODUCT(('Production Inputs'!$A:$A="50mg DP")*('Production Inputs'!$B:$B="TOTAL ACTIVE")*'Production Inputs'!$EH:$EH),0)</f>
        <v>0</v>
      </c>
      <c r="H667" s="30">
        <f t="shared" si="70"/>
        <v>267607</v>
      </c>
      <c r="I667" s="30">
        <f ca="1">IFERROR(AVERAGEIF(OFFSET(F667,0,0,MIN(Controls!$B$8,COUNTIF(B667:B$1973,B667)),1),"&gt;"&amp;0),0)</f>
        <v>0</v>
      </c>
      <c r="J667" s="38">
        <f t="shared" ca="1" si="71"/>
        <v>999</v>
      </c>
      <c r="K667" s="30">
        <f t="shared" ca="1" si="75"/>
        <v>0</v>
      </c>
      <c r="L667" t="str">
        <f t="shared" ca="1" si="72"/>
        <v>Overstock</v>
      </c>
      <c r="M667" s="39">
        <f>IFERROR(VLOOKUP("50mg DP",Controls!A:I,7,0),6)</f>
        <v>9</v>
      </c>
      <c r="N667" s="39">
        <f>IFERROR(VLOOKUP("50mg DP",Controls!A:I,8,0),3)</f>
        <v>8</v>
      </c>
      <c r="O667" s="39">
        <f>IFERROR(VLOOKUP("50mg DP",Controls!A:I,9,0),18)</f>
        <v>18</v>
      </c>
      <c r="P667" s="40">
        <f>IFERROR(VLOOKUP("50mg DP",Controls!A:J,5,0),0)</f>
        <v>10000</v>
      </c>
      <c r="Q667" s="39">
        <f>IFERROR(VLOOKUP("50mg DP",Controls!A:J,6,0),3)</f>
        <v>5</v>
      </c>
      <c r="R667" s="21" t="str">
        <f>IFERROR(VLOOKUP("50mg DP",Controls!A:K,10,0),"")</f>
        <v>Patheon PDS-1</v>
      </c>
      <c r="S667" s="41">
        <f t="shared" si="73"/>
        <v>49735</v>
      </c>
      <c r="T667" s="30">
        <f t="shared" si="74"/>
        <v>0</v>
      </c>
      <c r="AB667">
        <f t="shared" si="76"/>
        <v>5</v>
      </c>
    </row>
    <row r="668" spans="1:28" ht="13" customHeight="1" x14ac:dyDescent="0.35">
      <c r="A668" s="153">
        <v>49919</v>
      </c>
      <c r="B668" s="36" t="s">
        <v>43</v>
      </c>
      <c r="C668" s="15" t="s">
        <v>38</v>
      </c>
      <c r="D668" s="15" t="s">
        <v>29</v>
      </c>
      <c r="E668" s="30">
        <f>H667</f>
        <v>267607</v>
      </c>
      <c r="F668" s="37" cm="1">
        <f t="array" ref="F668">IFERROR((SUMPRODUCT(('Production Inputs'!$A:$A="47mg LP")*('Production Inputs'!$B:$B="TOTAL ACTIVE")*'Production Inputs'!$EI:$EI)+SUMPRODUCT(('Production Inputs'!$A:$A="47mg LP - EU Stock")*('Production Inputs'!$B:$B="TOTAL ACTIVE")*'Production Inputs'!$EI:$EI))*Dependencies!$D$5,0)</f>
        <v>0</v>
      </c>
      <c r="G668" s="37">
        <f t="array" ref="G668">IFERROR(SUMPRODUCT(('Production Inputs'!$A:$A="50mg DP")*('Production Inputs'!$B:$B="TOTAL ACTIVE")*'Production Inputs'!$EI:$EI),0)</f>
        <v>0</v>
      </c>
      <c r="H668" s="30">
        <f t="shared" si="70"/>
        <v>267607</v>
      </c>
      <c r="I668" s="30">
        <f ca="1">IFERROR(AVERAGEIF(OFFSET(F668,0,0,MIN(Controls!$B$8,COUNTIF(B668:B$1973,B668)),1),"&gt;"&amp;0),0)</f>
        <v>0</v>
      </c>
      <c r="J668" s="38">
        <f t="shared" ca="1" si="71"/>
        <v>999</v>
      </c>
      <c r="K668" s="30">
        <f t="shared" ca="1" si="75"/>
        <v>0</v>
      </c>
      <c r="L668" t="str">
        <f t="shared" ca="1" si="72"/>
        <v>Overstock</v>
      </c>
      <c r="M668" s="39">
        <f>IFERROR(VLOOKUP("50mg DP",Controls!A:I,7,0),6)</f>
        <v>9</v>
      </c>
      <c r="N668" s="39">
        <f>IFERROR(VLOOKUP("50mg DP",Controls!A:I,8,0),3)</f>
        <v>8</v>
      </c>
      <c r="O668" s="39">
        <f>IFERROR(VLOOKUP("50mg DP",Controls!A:I,9,0),18)</f>
        <v>18</v>
      </c>
      <c r="P668" s="40">
        <f>IFERROR(VLOOKUP("50mg DP",Controls!A:J,5,0),0)</f>
        <v>10000</v>
      </c>
      <c r="Q668" s="39">
        <f>IFERROR(VLOOKUP("50mg DP",Controls!A:J,6,0),3)</f>
        <v>5</v>
      </c>
      <c r="R668" s="21" t="str">
        <f>IFERROR(VLOOKUP("50mg DP",Controls!A:K,10,0),"")</f>
        <v>Patheon PDS-1</v>
      </c>
      <c r="S668" s="41">
        <f t="shared" si="73"/>
        <v>49766</v>
      </c>
      <c r="T668" s="30">
        <f t="shared" si="74"/>
        <v>0</v>
      </c>
      <c r="AB668">
        <f t="shared" si="76"/>
        <v>5</v>
      </c>
    </row>
    <row r="669" spans="1:28" ht="13" customHeight="1" x14ac:dyDescent="0.35">
      <c r="A669" s="153">
        <v>49949</v>
      </c>
      <c r="B669" s="36" t="s">
        <v>43</v>
      </c>
      <c r="C669" s="15" t="s">
        <v>38</v>
      </c>
      <c r="D669" s="15" t="s">
        <v>29</v>
      </c>
      <c r="E669" s="30">
        <f>H668</f>
        <v>267607</v>
      </c>
      <c r="F669" s="37" cm="1">
        <f t="array" ref="F669">IFERROR((SUMPRODUCT(('Production Inputs'!$A:$A="47mg LP")*('Production Inputs'!$B:$B="TOTAL ACTIVE")*'Production Inputs'!$EJ:$EJ)+SUMPRODUCT(('Production Inputs'!$A:$A="47mg LP - EU Stock")*('Production Inputs'!$B:$B="TOTAL ACTIVE")*'Production Inputs'!$EJ:$EJ))*Dependencies!$D$5,0)</f>
        <v>0</v>
      </c>
      <c r="G669" s="37">
        <f t="array" ref="G669">IFERROR(SUMPRODUCT(('Production Inputs'!$A:$A="50mg DP")*('Production Inputs'!$B:$B="TOTAL ACTIVE")*'Production Inputs'!$EJ:$EJ),0)</f>
        <v>0</v>
      </c>
      <c r="H669" s="30">
        <f t="shared" si="70"/>
        <v>267607</v>
      </c>
      <c r="I669" s="30">
        <f ca="1">IFERROR(AVERAGEIF(OFFSET(F669,0,0,MIN(Controls!$B$8,COUNTIF(B669:B$1973,B669)),1),"&gt;"&amp;0),0)</f>
        <v>0</v>
      </c>
      <c r="J669" s="38">
        <f t="shared" ca="1" si="71"/>
        <v>999</v>
      </c>
      <c r="K669" s="30">
        <f t="shared" ca="1" si="75"/>
        <v>0</v>
      </c>
      <c r="L669" t="str">
        <f t="shared" ca="1" si="72"/>
        <v>Overstock</v>
      </c>
      <c r="M669" s="39">
        <f>IFERROR(VLOOKUP("50mg DP",Controls!A:I,7,0),6)</f>
        <v>9</v>
      </c>
      <c r="N669" s="39">
        <f>IFERROR(VLOOKUP("50mg DP",Controls!A:I,8,0),3)</f>
        <v>8</v>
      </c>
      <c r="O669" s="39">
        <f>IFERROR(VLOOKUP("50mg DP",Controls!A:I,9,0),18)</f>
        <v>18</v>
      </c>
      <c r="P669" s="40">
        <f>IFERROR(VLOOKUP("50mg DP",Controls!A:J,5,0),0)</f>
        <v>10000</v>
      </c>
      <c r="Q669" s="39">
        <f>IFERROR(VLOOKUP("50mg DP",Controls!A:J,6,0),3)</f>
        <v>5</v>
      </c>
      <c r="R669" s="21" t="str">
        <f>IFERROR(VLOOKUP("50mg DP",Controls!A:K,10,0),"")</f>
        <v>Patheon PDS-1</v>
      </c>
      <c r="S669" s="41">
        <f t="shared" si="73"/>
        <v>49796</v>
      </c>
      <c r="T669" s="30">
        <f t="shared" si="74"/>
        <v>0</v>
      </c>
      <c r="AB669">
        <f t="shared" si="76"/>
        <v>5</v>
      </c>
    </row>
    <row r="670" spans="1:28" ht="13" customHeight="1" x14ac:dyDescent="0.35">
      <c r="A670" s="153">
        <v>49980</v>
      </c>
      <c r="B670" s="36" t="s">
        <v>43</v>
      </c>
      <c r="C670" s="15" t="s">
        <v>38</v>
      </c>
      <c r="D670" s="15" t="s">
        <v>29</v>
      </c>
      <c r="E670" s="30">
        <f>H669</f>
        <v>267607</v>
      </c>
      <c r="F670" s="37" cm="1">
        <f t="array" ref="F670">IFERROR((SUMPRODUCT(('Production Inputs'!$A:$A="47mg LP")*('Production Inputs'!$B:$B="TOTAL ACTIVE")*'Production Inputs'!$EK:$EK)+SUMPRODUCT(('Production Inputs'!$A:$A="47mg LP - EU Stock")*('Production Inputs'!$B:$B="TOTAL ACTIVE")*'Production Inputs'!$EK:$EK))*Dependencies!$D$5,0)</f>
        <v>0</v>
      </c>
      <c r="G670" s="37">
        <f t="array" ref="G670">IFERROR(SUMPRODUCT(('Production Inputs'!$A:$A="50mg DP")*('Production Inputs'!$B:$B="TOTAL ACTIVE")*'Production Inputs'!$EK:$EK),0)</f>
        <v>0</v>
      </c>
      <c r="H670" s="30">
        <f t="shared" si="70"/>
        <v>267607</v>
      </c>
      <c r="I670" s="30">
        <f ca="1">IFERROR(AVERAGEIF(OFFSET(F670,0,0,MIN(Controls!$B$8,COUNTIF(B670:B$1973,B670)),1),"&gt;"&amp;0),0)</f>
        <v>0</v>
      </c>
      <c r="J670" s="38">
        <f t="shared" ca="1" si="71"/>
        <v>999</v>
      </c>
      <c r="K670" s="30">
        <f t="shared" ca="1" si="75"/>
        <v>0</v>
      </c>
      <c r="L670" t="str">
        <f t="shared" ca="1" si="72"/>
        <v>Overstock</v>
      </c>
      <c r="M670" s="39">
        <f>IFERROR(VLOOKUP("50mg DP",Controls!A:I,7,0),6)</f>
        <v>9</v>
      </c>
      <c r="N670" s="39">
        <f>IFERROR(VLOOKUP("50mg DP",Controls!A:I,8,0),3)</f>
        <v>8</v>
      </c>
      <c r="O670" s="39">
        <f>IFERROR(VLOOKUP("50mg DP",Controls!A:I,9,0),18)</f>
        <v>18</v>
      </c>
      <c r="P670" s="40">
        <f>IFERROR(VLOOKUP("50mg DP",Controls!A:J,5,0),0)</f>
        <v>10000</v>
      </c>
      <c r="Q670" s="39">
        <f>IFERROR(VLOOKUP("50mg DP",Controls!A:J,6,0),3)</f>
        <v>5</v>
      </c>
      <c r="R670" s="21" t="str">
        <f>IFERROR(VLOOKUP("50mg DP",Controls!A:K,10,0),"")</f>
        <v>Patheon PDS-1</v>
      </c>
      <c r="S670" s="41">
        <f t="shared" si="73"/>
        <v>49827</v>
      </c>
      <c r="T670" s="30">
        <f t="shared" si="74"/>
        <v>0</v>
      </c>
      <c r="AB670">
        <f t="shared" si="76"/>
        <v>5</v>
      </c>
    </row>
    <row r="671" spans="1:28" ht="13" customHeight="1" x14ac:dyDescent="0.35">
      <c r="A671" s="153">
        <v>50010</v>
      </c>
      <c r="B671" s="36" t="s">
        <v>43</v>
      </c>
      <c r="C671" s="15" t="s">
        <v>38</v>
      </c>
      <c r="D671" s="15" t="s">
        <v>29</v>
      </c>
      <c r="E671" s="30">
        <f>H670</f>
        <v>267607</v>
      </c>
      <c r="F671" s="37" cm="1">
        <f t="array" ref="F671">IFERROR((SUMPRODUCT(('Production Inputs'!$A:$A="47mg LP")*('Production Inputs'!$B:$B="TOTAL ACTIVE")*'Production Inputs'!$EL:$EL)+SUMPRODUCT(('Production Inputs'!$A:$A="47mg LP - EU Stock")*('Production Inputs'!$B:$B="TOTAL ACTIVE")*'Production Inputs'!$EL:$EL))*Dependencies!$D$5,0)</f>
        <v>0</v>
      </c>
      <c r="G671" s="37">
        <f t="array" ref="G671">IFERROR(SUMPRODUCT(('Production Inputs'!$A:$A="50mg DP")*('Production Inputs'!$B:$B="TOTAL ACTIVE")*'Production Inputs'!$EL:$EL),0)</f>
        <v>0</v>
      </c>
      <c r="H671" s="30">
        <f t="shared" si="70"/>
        <v>267607</v>
      </c>
      <c r="I671" s="30">
        <f ca="1">IFERROR(AVERAGEIF(OFFSET(F671,0,0,MIN(Controls!$B$8,COUNTIF(B671:B$1973,B671)),1),"&gt;"&amp;0),0)</f>
        <v>0</v>
      </c>
      <c r="J671" s="38">
        <f t="shared" ca="1" si="71"/>
        <v>999</v>
      </c>
      <c r="K671" s="30">
        <f t="shared" ca="1" si="75"/>
        <v>0</v>
      </c>
      <c r="L671" t="str">
        <f t="shared" ca="1" si="72"/>
        <v>Overstock</v>
      </c>
      <c r="M671" s="39">
        <f>IFERROR(VLOOKUP("50mg DP",Controls!A:I,7,0),6)</f>
        <v>9</v>
      </c>
      <c r="N671" s="39">
        <f>IFERROR(VLOOKUP("50mg DP",Controls!A:I,8,0),3)</f>
        <v>8</v>
      </c>
      <c r="O671" s="39">
        <f>IFERROR(VLOOKUP("50mg DP",Controls!A:I,9,0),18)</f>
        <v>18</v>
      </c>
      <c r="P671" s="40">
        <f>IFERROR(VLOOKUP("50mg DP",Controls!A:J,5,0),0)</f>
        <v>10000</v>
      </c>
      <c r="Q671" s="39">
        <f>IFERROR(VLOOKUP("50mg DP",Controls!A:J,6,0),3)</f>
        <v>5</v>
      </c>
      <c r="R671" s="21" t="str">
        <f>IFERROR(VLOOKUP("50mg DP",Controls!A:K,10,0),"")</f>
        <v>Patheon PDS-1</v>
      </c>
      <c r="S671" s="41">
        <f t="shared" si="73"/>
        <v>49857</v>
      </c>
      <c r="T671" s="30">
        <f t="shared" si="74"/>
        <v>0</v>
      </c>
      <c r="AB671">
        <f t="shared" si="76"/>
        <v>5</v>
      </c>
    </row>
    <row r="672" spans="1:28" ht="13" customHeight="1" x14ac:dyDescent="0.35">
      <c r="A672" s="153">
        <v>50041</v>
      </c>
      <c r="B672" s="36" t="s">
        <v>43</v>
      </c>
      <c r="C672" s="15" t="s">
        <v>38</v>
      </c>
      <c r="D672" s="15" t="s">
        <v>29</v>
      </c>
      <c r="E672" s="30">
        <f>H671</f>
        <v>267607</v>
      </c>
      <c r="F672" s="37" cm="1">
        <f t="array" ref="F672">IFERROR((SUMPRODUCT(('Production Inputs'!$A:$A="47mg LP")*('Production Inputs'!$B:$B="TOTAL ACTIVE")*'Production Inputs'!$EM:$EM)+SUMPRODUCT(('Production Inputs'!$A:$A="47mg LP - EU Stock")*('Production Inputs'!$B:$B="TOTAL ACTIVE")*'Production Inputs'!$EM:$EM))*Dependencies!$D$5,0)</f>
        <v>0</v>
      </c>
      <c r="G672" s="37">
        <f t="array" ref="G672">IFERROR(SUMPRODUCT(('Production Inputs'!$A:$A="50mg DP")*('Production Inputs'!$B:$B="TOTAL ACTIVE")*'Production Inputs'!$EM:$EM),0)</f>
        <v>0</v>
      </c>
      <c r="H672" s="30">
        <f t="shared" si="70"/>
        <v>267607</v>
      </c>
      <c r="I672" s="30">
        <f ca="1">IFERROR(AVERAGEIF(OFFSET(F672,0,0,MIN(Controls!$B$8,COUNTIF(B672:B$1973,B672)),1),"&gt;"&amp;0),0)</f>
        <v>0</v>
      </c>
      <c r="J672" s="38">
        <f t="shared" ca="1" si="71"/>
        <v>999</v>
      </c>
      <c r="K672" s="30">
        <f t="shared" ca="1" si="75"/>
        <v>0</v>
      </c>
      <c r="L672" t="str">
        <f t="shared" ca="1" si="72"/>
        <v>Overstock</v>
      </c>
      <c r="M672" s="39">
        <f>IFERROR(VLOOKUP("50mg DP",Controls!A:I,7,0),6)</f>
        <v>9</v>
      </c>
      <c r="N672" s="39">
        <f>IFERROR(VLOOKUP("50mg DP",Controls!A:I,8,0),3)</f>
        <v>8</v>
      </c>
      <c r="O672" s="39">
        <f>IFERROR(VLOOKUP("50mg DP",Controls!A:I,9,0),18)</f>
        <v>18</v>
      </c>
      <c r="P672" s="40">
        <f>IFERROR(VLOOKUP("50mg DP",Controls!A:J,5,0),0)</f>
        <v>10000</v>
      </c>
      <c r="Q672" s="39">
        <f>IFERROR(VLOOKUP("50mg DP",Controls!A:J,6,0),3)</f>
        <v>5</v>
      </c>
      <c r="R672" s="21" t="str">
        <f>IFERROR(VLOOKUP("50mg DP",Controls!A:K,10,0),"")</f>
        <v>Patheon PDS-1</v>
      </c>
      <c r="S672" s="41">
        <f t="shared" si="73"/>
        <v>49888</v>
      </c>
      <c r="T672" s="30">
        <f t="shared" si="74"/>
        <v>0</v>
      </c>
      <c r="AB672">
        <f t="shared" si="76"/>
        <v>5</v>
      </c>
    </row>
    <row r="673" spans="1:28" ht="13" customHeight="1" x14ac:dyDescent="0.35">
      <c r="A673" s="153">
        <v>50072</v>
      </c>
      <c r="B673" s="36" t="s">
        <v>43</v>
      </c>
      <c r="C673" s="15" t="s">
        <v>38</v>
      </c>
      <c r="D673" s="15" t="s">
        <v>29</v>
      </c>
      <c r="E673" s="30">
        <f>H672</f>
        <v>267607</v>
      </c>
      <c r="F673" s="37" cm="1">
        <f t="array" ref="F673">IFERROR((SUMPRODUCT(('Production Inputs'!$A:$A="47mg LP")*('Production Inputs'!$B:$B="TOTAL ACTIVE")*'Production Inputs'!$EN:$EN)+SUMPRODUCT(('Production Inputs'!$A:$A="47mg LP - EU Stock")*('Production Inputs'!$B:$B="TOTAL ACTIVE")*'Production Inputs'!$EN:$EN))*Dependencies!$D$5,0)</f>
        <v>0</v>
      </c>
      <c r="G673" s="37">
        <f t="array" ref="G673">IFERROR(SUMPRODUCT(('Production Inputs'!$A:$A="50mg DP")*('Production Inputs'!$B:$B="TOTAL ACTIVE")*'Production Inputs'!$EN:$EN),0)</f>
        <v>0</v>
      </c>
      <c r="H673" s="30">
        <f t="shared" si="70"/>
        <v>267607</v>
      </c>
      <c r="I673" s="30">
        <f ca="1">IFERROR(AVERAGEIF(OFFSET(F673,0,0,MIN(Controls!$B$8,COUNTIF(B673:B$1973,B673)),1),"&gt;"&amp;0),0)</f>
        <v>0</v>
      </c>
      <c r="J673" s="38">
        <f t="shared" ca="1" si="71"/>
        <v>999</v>
      </c>
      <c r="K673" s="30">
        <f t="shared" ca="1" si="75"/>
        <v>0</v>
      </c>
      <c r="L673" t="str">
        <f t="shared" ca="1" si="72"/>
        <v>Overstock</v>
      </c>
      <c r="M673" s="39">
        <f>IFERROR(VLOOKUP("50mg DP",Controls!A:I,7,0),6)</f>
        <v>9</v>
      </c>
      <c r="N673" s="39">
        <f>IFERROR(VLOOKUP("50mg DP",Controls!A:I,8,0),3)</f>
        <v>8</v>
      </c>
      <c r="O673" s="39">
        <f>IFERROR(VLOOKUP("50mg DP",Controls!A:I,9,0),18)</f>
        <v>18</v>
      </c>
      <c r="P673" s="40">
        <f>IFERROR(VLOOKUP("50mg DP",Controls!A:J,5,0),0)</f>
        <v>10000</v>
      </c>
      <c r="Q673" s="39">
        <f>IFERROR(VLOOKUP("50mg DP",Controls!A:J,6,0),3)</f>
        <v>5</v>
      </c>
      <c r="R673" s="21" t="str">
        <f>IFERROR(VLOOKUP("50mg DP",Controls!A:K,10,0),"")</f>
        <v>Patheon PDS-1</v>
      </c>
      <c r="S673" s="41">
        <f t="shared" si="73"/>
        <v>49919</v>
      </c>
      <c r="T673" s="30">
        <f t="shared" si="74"/>
        <v>0</v>
      </c>
      <c r="AB673">
        <f t="shared" si="76"/>
        <v>5</v>
      </c>
    </row>
    <row r="674" spans="1:28" ht="13" customHeight="1" x14ac:dyDescent="0.35">
      <c r="A674" s="153">
        <v>50100</v>
      </c>
      <c r="B674" s="36" t="s">
        <v>43</v>
      </c>
      <c r="C674" s="15" t="s">
        <v>38</v>
      </c>
      <c r="D674" s="15" t="s">
        <v>29</v>
      </c>
      <c r="E674" s="30">
        <f>H673</f>
        <v>267607</v>
      </c>
      <c r="F674" s="37" cm="1">
        <f t="array" ref="F674">IFERROR((SUMPRODUCT(('Production Inputs'!$A:$A="47mg LP")*('Production Inputs'!$B:$B="TOTAL ACTIVE")*'Production Inputs'!$EO:$EO)+SUMPRODUCT(('Production Inputs'!$A:$A="47mg LP - EU Stock")*('Production Inputs'!$B:$B="TOTAL ACTIVE")*'Production Inputs'!$EO:$EO))*Dependencies!$D$5,0)</f>
        <v>0</v>
      </c>
      <c r="G674" s="37">
        <f t="array" ref="G674">IFERROR(SUMPRODUCT(('Production Inputs'!$A:$A="50mg DP")*('Production Inputs'!$B:$B="TOTAL ACTIVE")*'Production Inputs'!$EO:$EO),0)</f>
        <v>0</v>
      </c>
      <c r="H674" s="30">
        <f t="shared" si="70"/>
        <v>267607</v>
      </c>
      <c r="I674" s="30">
        <f ca="1">IFERROR(AVERAGEIF(OFFSET(F674,0,0,MIN(Controls!$B$8,COUNTIF(B674:B$1973,B674)),1),"&gt;"&amp;0),0)</f>
        <v>0</v>
      </c>
      <c r="J674" s="38">
        <f t="shared" ca="1" si="71"/>
        <v>999</v>
      </c>
      <c r="K674" s="30">
        <f t="shared" ca="1" si="75"/>
        <v>0</v>
      </c>
      <c r="L674" t="str">
        <f t="shared" ca="1" si="72"/>
        <v>Overstock</v>
      </c>
      <c r="M674" s="39">
        <f>IFERROR(VLOOKUP("50mg DP",Controls!A:I,7,0),6)</f>
        <v>9</v>
      </c>
      <c r="N674" s="39">
        <f>IFERROR(VLOOKUP("50mg DP",Controls!A:I,8,0),3)</f>
        <v>8</v>
      </c>
      <c r="O674" s="39">
        <f>IFERROR(VLOOKUP("50mg DP",Controls!A:I,9,0),18)</f>
        <v>18</v>
      </c>
      <c r="P674" s="40">
        <f>IFERROR(VLOOKUP("50mg DP",Controls!A:J,5,0),0)</f>
        <v>10000</v>
      </c>
      <c r="Q674" s="39">
        <f>IFERROR(VLOOKUP("50mg DP",Controls!A:J,6,0),3)</f>
        <v>5</v>
      </c>
      <c r="R674" s="21" t="str">
        <f>IFERROR(VLOOKUP("50mg DP",Controls!A:K,10,0),"")</f>
        <v>Patheon PDS-1</v>
      </c>
      <c r="S674" s="41">
        <f t="shared" si="73"/>
        <v>49949</v>
      </c>
      <c r="T674" s="30">
        <f t="shared" si="74"/>
        <v>0</v>
      </c>
      <c r="AB674">
        <f t="shared" si="76"/>
        <v>5</v>
      </c>
    </row>
    <row r="675" spans="1:28" ht="13" customHeight="1" x14ac:dyDescent="0.35">
      <c r="A675" s="153">
        <v>50131</v>
      </c>
      <c r="B675" s="36" t="s">
        <v>43</v>
      </c>
      <c r="C675" s="15" t="s">
        <v>38</v>
      </c>
      <c r="D675" s="15" t="s">
        <v>29</v>
      </c>
      <c r="E675" s="30">
        <f>H674</f>
        <v>267607</v>
      </c>
      <c r="F675" s="37" cm="1">
        <f t="array" ref="F675">IFERROR((SUMPRODUCT(('Production Inputs'!$A:$A="47mg LP")*('Production Inputs'!$B:$B="TOTAL ACTIVE")*'Production Inputs'!$EP:$EP)+SUMPRODUCT(('Production Inputs'!$A:$A="47mg LP - EU Stock")*('Production Inputs'!$B:$B="TOTAL ACTIVE")*'Production Inputs'!$EP:$EP))*Dependencies!$D$5,0)</f>
        <v>0</v>
      </c>
      <c r="G675" s="37">
        <f t="array" ref="G675">IFERROR(SUMPRODUCT(('Production Inputs'!$A:$A="50mg DP")*('Production Inputs'!$B:$B="TOTAL ACTIVE")*'Production Inputs'!$EP:$EP),0)</f>
        <v>0</v>
      </c>
      <c r="H675" s="30">
        <f t="shared" si="70"/>
        <v>267607</v>
      </c>
      <c r="I675" s="30">
        <f ca="1">IFERROR(AVERAGEIF(OFFSET(F675,0,0,MIN(Controls!$B$8,COUNTIF(B675:B$1973,B675)),1),"&gt;"&amp;0),0)</f>
        <v>0</v>
      </c>
      <c r="J675" s="38">
        <f t="shared" ca="1" si="71"/>
        <v>999</v>
      </c>
      <c r="K675" s="30">
        <f t="shared" ca="1" si="75"/>
        <v>0</v>
      </c>
      <c r="L675" t="str">
        <f t="shared" ca="1" si="72"/>
        <v>Overstock</v>
      </c>
      <c r="M675" s="39">
        <f>IFERROR(VLOOKUP("50mg DP",Controls!A:I,7,0),6)</f>
        <v>9</v>
      </c>
      <c r="N675" s="39">
        <f>IFERROR(VLOOKUP("50mg DP",Controls!A:I,8,0),3)</f>
        <v>8</v>
      </c>
      <c r="O675" s="39">
        <f>IFERROR(VLOOKUP("50mg DP",Controls!A:I,9,0),18)</f>
        <v>18</v>
      </c>
      <c r="P675" s="40">
        <f>IFERROR(VLOOKUP("50mg DP",Controls!A:J,5,0),0)</f>
        <v>10000</v>
      </c>
      <c r="Q675" s="39">
        <f>IFERROR(VLOOKUP("50mg DP",Controls!A:J,6,0),3)</f>
        <v>5</v>
      </c>
      <c r="R675" s="21" t="str">
        <f>IFERROR(VLOOKUP("50mg DP",Controls!A:K,10,0),"")</f>
        <v>Patheon PDS-1</v>
      </c>
      <c r="S675" s="41">
        <f t="shared" si="73"/>
        <v>49980</v>
      </c>
      <c r="T675" s="30">
        <f t="shared" si="74"/>
        <v>0</v>
      </c>
      <c r="AB675">
        <f t="shared" si="76"/>
        <v>5</v>
      </c>
    </row>
    <row r="676" spans="1:28" ht="13" customHeight="1" x14ac:dyDescent="0.35">
      <c r="A676" s="153">
        <v>50161</v>
      </c>
      <c r="B676" s="36" t="s">
        <v>43</v>
      </c>
      <c r="C676" s="15" t="s">
        <v>38</v>
      </c>
      <c r="D676" s="15" t="s">
        <v>29</v>
      </c>
      <c r="E676" s="30">
        <f>H675</f>
        <v>267607</v>
      </c>
      <c r="F676" s="37" cm="1">
        <f t="array" ref="F676">IFERROR((SUMPRODUCT(('Production Inputs'!$A:$A="47mg LP")*('Production Inputs'!$B:$B="TOTAL ACTIVE")*'Production Inputs'!$EQ:$EQ)+SUMPRODUCT(('Production Inputs'!$A:$A="47mg LP - EU Stock")*('Production Inputs'!$B:$B="TOTAL ACTIVE")*'Production Inputs'!$EQ:$EQ))*Dependencies!$D$5,0)</f>
        <v>0</v>
      </c>
      <c r="G676" s="37">
        <f t="array" ref="G676">IFERROR(SUMPRODUCT(('Production Inputs'!$A:$A="50mg DP")*('Production Inputs'!$B:$B="TOTAL ACTIVE")*'Production Inputs'!$EQ:$EQ),0)</f>
        <v>0</v>
      </c>
      <c r="H676" s="30">
        <f t="shared" si="70"/>
        <v>267607</v>
      </c>
      <c r="I676" s="30">
        <f ca="1">IFERROR(AVERAGEIF(OFFSET(F676,0,0,MIN(Controls!$B$8,COUNTIF(B676:B$1973,B676)),1),"&gt;"&amp;0),0)</f>
        <v>0</v>
      </c>
      <c r="J676" s="38">
        <f t="shared" ca="1" si="71"/>
        <v>999</v>
      </c>
      <c r="K676" s="30">
        <f t="shared" ca="1" si="75"/>
        <v>0</v>
      </c>
      <c r="L676" t="str">
        <f t="shared" ca="1" si="72"/>
        <v>Overstock</v>
      </c>
      <c r="M676" s="39">
        <f>IFERROR(VLOOKUP("50mg DP",Controls!A:I,7,0),6)</f>
        <v>9</v>
      </c>
      <c r="N676" s="39">
        <f>IFERROR(VLOOKUP("50mg DP",Controls!A:I,8,0),3)</f>
        <v>8</v>
      </c>
      <c r="O676" s="39">
        <f>IFERROR(VLOOKUP("50mg DP",Controls!A:I,9,0),18)</f>
        <v>18</v>
      </c>
      <c r="P676" s="40">
        <f>IFERROR(VLOOKUP("50mg DP",Controls!A:J,5,0),0)</f>
        <v>10000</v>
      </c>
      <c r="Q676" s="39">
        <f>IFERROR(VLOOKUP("50mg DP",Controls!A:J,6,0),3)</f>
        <v>5</v>
      </c>
      <c r="R676" s="21" t="str">
        <f>IFERROR(VLOOKUP("50mg DP",Controls!A:K,10,0),"")</f>
        <v>Patheon PDS-1</v>
      </c>
      <c r="S676" s="41">
        <f t="shared" si="73"/>
        <v>50010</v>
      </c>
      <c r="T676" s="30">
        <f t="shared" si="74"/>
        <v>0</v>
      </c>
      <c r="AB676">
        <f t="shared" si="76"/>
        <v>5</v>
      </c>
    </row>
    <row r="677" spans="1:28" ht="13" customHeight="1" x14ac:dyDescent="0.35">
      <c r="A677" s="153">
        <v>50192</v>
      </c>
      <c r="B677" s="36" t="s">
        <v>43</v>
      </c>
      <c r="C677" s="15" t="s">
        <v>38</v>
      </c>
      <c r="D677" s="15" t="s">
        <v>29</v>
      </c>
      <c r="E677" s="30">
        <f>H676</f>
        <v>267607</v>
      </c>
      <c r="F677" s="37" cm="1">
        <f t="array" ref="F677">IFERROR((SUMPRODUCT(('Production Inputs'!$A:$A="47mg LP")*('Production Inputs'!$B:$B="TOTAL ACTIVE")*'Production Inputs'!$ER:$ER)+SUMPRODUCT(('Production Inputs'!$A:$A="47mg LP - EU Stock")*('Production Inputs'!$B:$B="TOTAL ACTIVE")*'Production Inputs'!$ER:$ER))*Dependencies!$D$5,0)</f>
        <v>0</v>
      </c>
      <c r="G677" s="37">
        <f t="array" ref="G677">IFERROR(SUMPRODUCT(('Production Inputs'!$A:$A="50mg DP")*('Production Inputs'!$B:$B="TOTAL ACTIVE")*'Production Inputs'!$ER:$ER),0)</f>
        <v>0</v>
      </c>
      <c r="H677" s="30">
        <f t="shared" si="70"/>
        <v>267607</v>
      </c>
      <c r="I677" s="30">
        <f ca="1">IFERROR(AVERAGEIF(OFFSET(F677,0,0,MIN(Controls!$B$8,COUNTIF(B677:B$1973,B677)),1),"&gt;"&amp;0),0)</f>
        <v>0</v>
      </c>
      <c r="J677" s="38">
        <f t="shared" ca="1" si="71"/>
        <v>999</v>
      </c>
      <c r="K677" s="30">
        <f t="shared" ca="1" si="75"/>
        <v>0</v>
      </c>
      <c r="L677" t="str">
        <f t="shared" ca="1" si="72"/>
        <v>Overstock</v>
      </c>
      <c r="M677" s="39">
        <f>IFERROR(VLOOKUP("50mg DP",Controls!A:I,7,0),6)</f>
        <v>9</v>
      </c>
      <c r="N677" s="39">
        <f>IFERROR(VLOOKUP("50mg DP",Controls!A:I,8,0),3)</f>
        <v>8</v>
      </c>
      <c r="O677" s="39">
        <f>IFERROR(VLOOKUP("50mg DP",Controls!A:I,9,0),18)</f>
        <v>18</v>
      </c>
      <c r="P677" s="40">
        <f>IFERROR(VLOOKUP("50mg DP",Controls!A:J,5,0),0)</f>
        <v>10000</v>
      </c>
      <c r="Q677" s="39">
        <f>IFERROR(VLOOKUP("50mg DP",Controls!A:J,6,0),3)</f>
        <v>5</v>
      </c>
      <c r="R677" s="21" t="str">
        <f>IFERROR(VLOOKUP("50mg DP",Controls!A:K,10,0),"")</f>
        <v>Patheon PDS-1</v>
      </c>
      <c r="S677" s="41">
        <f t="shared" si="73"/>
        <v>50041</v>
      </c>
      <c r="T677" s="30">
        <f t="shared" si="74"/>
        <v>0</v>
      </c>
      <c r="AB677">
        <f t="shared" si="76"/>
        <v>5</v>
      </c>
    </row>
    <row r="678" spans="1:28" ht="13" customHeight="1" x14ac:dyDescent="0.35">
      <c r="A678" s="153">
        <v>50222</v>
      </c>
      <c r="B678" s="36" t="s">
        <v>43</v>
      </c>
      <c r="C678" s="15" t="s">
        <v>38</v>
      </c>
      <c r="D678" s="15" t="s">
        <v>29</v>
      </c>
      <c r="E678" s="30">
        <f>H677</f>
        <v>267607</v>
      </c>
      <c r="F678" s="37" cm="1">
        <f t="array" ref="F678">IFERROR((SUMPRODUCT(('Production Inputs'!$A:$A="47mg LP")*('Production Inputs'!$B:$B="TOTAL ACTIVE")*'Production Inputs'!$ES:$ES)+SUMPRODUCT(('Production Inputs'!$A:$A="47mg LP - EU Stock")*('Production Inputs'!$B:$B="TOTAL ACTIVE")*'Production Inputs'!$ES:$ES))*Dependencies!$D$5,0)</f>
        <v>0</v>
      </c>
      <c r="G678" s="37">
        <f t="array" ref="G678">IFERROR(SUMPRODUCT(('Production Inputs'!$A:$A="50mg DP")*('Production Inputs'!$B:$B="TOTAL ACTIVE")*'Production Inputs'!$ES:$ES),0)</f>
        <v>0</v>
      </c>
      <c r="H678" s="30">
        <f t="shared" si="70"/>
        <v>267607</v>
      </c>
      <c r="I678" s="30">
        <f ca="1">IFERROR(AVERAGEIF(OFFSET(F678,0,0,MIN(Controls!$B$8,COUNTIF(B678:B$1973,B678)),1),"&gt;"&amp;0),0)</f>
        <v>0</v>
      </c>
      <c r="J678" s="38">
        <f t="shared" ca="1" si="71"/>
        <v>999</v>
      </c>
      <c r="K678" s="30">
        <f t="shared" ca="1" si="75"/>
        <v>0</v>
      </c>
      <c r="L678" t="str">
        <f t="shared" ca="1" si="72"/>
        <v>Overstock</v>
      </c>
      <c r="M678" s="39">
        <f>IFERROR(VLOOKUP("50mg DP",Controls!A:I,7,0),6)</f>
        <v>9</v>
      </c>
      <c r="N678" s="39">
        <f>IFERROR(VLOOKUP("50mg DP",Controls!A:I,8,0),3)</f>
        <v>8</v>
      </c>
      <c r="O678" s="39">
        <f>IFERROR(VLOOKUP("50mg DP",Controls!A:I,9,0),18)</f>
        <v>18</v>
      </c>
      <c r="P678" s="40">
        <f>IFERROR(VLOOKUP("50mg DP",Controls!A:J,5,0),0)</f>
        <v>10000</v>
      </c>
      <c r="Q678" s="39">
        <f>IFERROR(VLOOKUP("50mg DP",Controls!A:J,6,0),3)</f>
        <v>5</v>
      </c>
      <c r="R678" s="21" t="str">
        <f>IFERROR(VLOOKUP("50mg DP",Controls!A:K,10,0),"")</f>
        <v>Patheon PDS-1</v>
      </c>
      <c r="S678" s="41">
        <f t="shared" si="73"/>
        <v>50072</v>
      </c>
      <c r="T678" s="30">
        <f t="shared" si="74"/>
        <v>0</v>
      </c>
      <c r="AB678">
        <f t="shared" si="76"/>
        <v>5</v>
      </c>
    </row>
    <row r="679" spans="1:28" ht="13" customHeight="1" x14ac:dyDescent="0.35">
      <c r="A679" s="153">
        <v>50253</v>
      </c>
      <c r="B679" s="36" t="s">
        <v>43</v>
      </c>
      <c r="C679" s="15" t="s">
        <v>38</v>
      </c>
      <c r="D679" s="15" t="s">
        <v>29</v>
      </c>
      <c r="E679" s="30">
        <f>H678</f>
        <v>267607</v>
      </c>
      <c r="F679" s="37" cm="1">
        <f t="array" ref="F679">IFERROR((SUMPRODUCT(('Production Inputs'!$A:$A="47mg LP")*('Production Inputs'!$B:$B="TOTAL ACTIVE")*'Production Inputs'!$ET:$ET)+SUMPRODUCT(('Production Inputs'!$A:$A="47mg LP - EU Stock")*('Production Inputs'!$B:$B="TOTAL ACTIVE")*'Production Inputs'!$ET:$ET))*Dependencies!$D$5,0)</f>
        <v>0</v>
      </c>
      <c r="G679" s="37">
        <f t="array" ref="G679">IFERROR(SUMPRODUCT(('Production Inputs'!$A:$A="50mg DP")*('Production Inputs'!$B:$B="TOTAL ACTIVE")*'Production Inputs'!$ET:$ET),0)</f>
        <v>0</v>
      </c>
      <c r="H679" s="30">
        <f t="shared" si="70"/>
        <v>267607</v>
      </c>
      <c r="I679" s="30">
        <f ca="1">IFERROR(AVERAGEIF(OFFSET(F679,0,0,MIN(Controls!$B$8,COUNTIF(B679:B$1973,B679)),1),"&gt;"&amp;0),0)</f>
        <v>0</v>
      </c>
      <c r="J679" s="38">
        <f t="shared" ca="1" si="71"/>
        <v>999</v>
      </c>
      <c r="K679" s="30">
        <f t="shared" ca="1" si="75"/>
        <v>0</v>
      </c>
      <c r="L679" t="str">
        <f t="shared" ca="1" si="72"/>
        <v>Overstock</v>
      </c>
      <c r="M679" s="39">
        <f>IFERROR(VLOOKUP("50mg DP",Controls!A:I,7,0),6)</f>
        <v>9</v>
      </c>
      <c r="N679" s="39">
        <f>IFERROR(VLOOKUP("50mg DP",Controls!A:I,8,0),3)</f>
        <v>8</v>
      </c>
      <c r="O679" s="39">
        <f>IFERROR(VLOOKUP("50mg DP",Controls!A:I,9,0),18)</f>
        <v>18</v>
      </c>
      <c r="P679" s="40">
        <f>IFERROR(VLOOKUP("50mg DP",Controls!A:J,5,0),0)</f>
        <v>10000</v>
      </c>
      <c r="Q679" s="39">
        <f>IFERROR(VLOOKUP("50mg DP",Controls!A:J,6,0),3)</f>
        <v>5</v>
      </c>
      <c r="R679" s="21" t="str">
        <f>IFERROR(VLOOKUP("50mg DP",Controls!A:K,10,0),"")</f>
        <v>Patheon PDS-1</v>
      </c>
      <c r="S679" s="41">
        <f t="shared" si="73"/>
        <v>50100</v>
      </c>
      <c r="T679" s="30">
        <f t="shared" si="74"/>
        <v>0</v>
      </c>
      <c r="AB679">
        <f t="shared" si="76"/>
        <v>5</v>
      </c>
    </row>
    <row r="680" spans="1:28" ht="13" customHeight="1" x14ac:dyDescent="0.35">
      <c r="A680" s="153">
        <v>50284</v>
      </c>
      <c r="B680" s="36" t="s">
        <v>43</v>
      </c>
      <c r="C680" s="15" t="s">
        <v>38</v>
      </c>
      <c r="D680" s="15" t="s">
        <v>29</v>
      </c>
      <c r="E680" s="30">
        <f>H679</f>
        <v>267607</v>
      </c>
      <c r="F680" s="37" cm="1">
        <f t="array" ref="F680">IFERROR((SUMPRODUCT(('Production Inputs'!$A:$A="47mg LP")*('Production Inputs'!$B:$B="TOTAL ACTIVE")*'Production Inputs'!$EU:$EU)+SUMPRODUCT(('Production Inputs'!$A:$A="47mg LP - EU Stock")*('Production Inputs'!$B:$B="TOTAL ACTIVE")*'Production Inputs'!$EU:$EU))*Dependencies!$D$5,0)</f>
        <v>0</v>
      </c>
      <c r="G680" s="37">
        <f t="array" ref="G680">IFERROR(SUMPRODUCT(('Production Inputs'!$A:$A="50mg DP")*('Production Inputs'!$B:$B="TOTAL ACTIVE")*'Production Inputs'!$EU:$EU),0)</f>
        <v>0</v>
      </c>
      <c r="H680" s="30">
        <f t="shared" si="70"/>
        <v>267607</v>
      </c>
      <c r="I680" s="30">
        <f ca="1">IFERROR(AVERAGEIF(OFFSET(F680,0,0,MIN(Controls!$B$8,COUNTIF(B680:B$1973,B680)),1),"&gt;"&amp;0),0)</f>
        <v>0</v>
      </c>
      <c r="J680" s="38">
        <f t="shared" ca="1" si="71"/>
        <v>999</v>
      </c>
      <c r="K680" s="30">
        <f t="shared" ca="1" si="75"/>
        <v>0</v>
      </c>
      <c r="L680" t="str">
        <f t="shared" ca="1" si="72"/>
        <v>Overstock</v>
      </c>
      <c r="M680" s="39">
        <f>IFERROR(VLOOKUP("50mg DP",Controls!A:I,7,0),6)</f>
        <v>9</v>
      </c>
      <c r="N680" s="39">
        <f>IFERROR(VLOOKUP("50mg DP",Controls!A:I,8,0),3)</f>
        <v>8</v>
      </c>
      <c r="O680" s="39">
        <f>IFERROR(VLOOKUP("50mg DP",Controls!A:I,9,0),18)</f>
        <v>18</v>
      </c>
      <c r="P680" s="40">
        <f>IFERROR(VLOOKUP("50mg DP",Controls!A:J,5,0),0)</f>
        <v>10000</v>
      </c>
      <c r="Q680" s="39">
        <f>IFERROR(VLOOKUP("50mg DP",Controls!A:J,6,0),3)</f>
        <v>5</v>
      </c>
      <c r="R680" s="21" t="str">
        <f>IFERROR(VLOOKUP("50mg DP",Controls!A:K,10,0),"")</f>
        <v>Patheon PDS-1</v>
      </c>
      <c r="S680" s="41">
        <f t="shared" si="73"/>
        <v>50131</v>
      </c>
      <c r="T680" s="30">
        <f t="shared" si="74"/>
        <v>0</v>
      </c>
      <c r="AB680">
        <f t="shared" si="76"/>
        <v>5</v>
      </c>
    </row>
    <row r="681" spans="1:28" ht="13" customHeight="1" x14ac:dyDescent="0.35">
      <c r="A681" s="153">
        <v>50314</v>
      </c>
      <c r="B681" s="36" t="s">
        <v>43</v>
      </c>
      <c r="C681" s="15" t="s">
        <v>38</v>
      </c>
      <c r="D681" s="15" t="s">
        <v>29</v>
      </c>
      <c r="E681" s="30">
        <f>H680</f>
        <v>267607</v>
      </c>
      <c r="F681" s="37" cm="1">
        <f t="array" ref="F681">IFERROR((SUMPRODUCT(('Production Inputs'!$A:$A="47mg LP")*('Production Inputs'!$B:$B="TOTAL ACTIVE")*'Production Inputs'!$EV:$EV)+SUMPRODUCT(('Production Inputs'!$A:$A="47mg LP - EU Stock")*('Production Inputs'!$B:$B="TOTAL ACTIVE")*'Production Inputs'!$EV:$EV))*Dependencies!$D$5,0)</f>
        <v>0</v>
      </c>
      <c r="G681" s="37">
        <f t="array" ref="G681">IFERROR(SUMPRODUCT(('Production Inputs'!$A:$A="50mg DP")*('Production Inputs'!$B:$B="TOTAL ACTIVE")*'Production Inputs'!$EV:$EV),0)</f>
        <v>0</v>
      </c>
      <c r="H681" s="30">
        <f t="shared" si="70"/>
        <v>267607</v>
      </c>
      <c r="I681" s="30">
        <f ca="1">IFERROR(AVERAGEIF(OFFSET(F681,0,0,MIN(Controls!$B$8,COUNTIF(B681:B$1973,B681)),1),"&gt;"&amp;0),0)</f>
        <v>0</v>
      </c>
      <c r="J681" s="38">
        <f t="shared" ca="1" si="71"/>
        <v>999</v>
      </c>
      <c r="K681" s="30">
        <f t="shared" ca="1" si="75"/>
        <v>0</v>
      </c>
      <c r="L681" t="str">
        <f t="shared" ca="1" si="72"/>
        <v>Overstock</v>
      </c>
      <c r="M681" s="39">
        <f>IFERROR(VLOOKUP("50mg DP",Controls!A:I,7,0),6)</f>
        <v>9</v>
      </c>
      <c r="N681" s="39">
        <f>IFERROR(VLOOKUP("50mg DP",Controls!A:I,8,0),3)</f>
        <v>8</v>
      </c>
      <c r="O681" s="39">
        <f>IFERROR(VLOOKUP("50mg DP",Controls!A:I,9,0),18)</f>
        <v>18</v>
      </c>
      <c r="P681" s="40">
        <f>IFERROR(VLOOKUP("50mg DP",Controls!A:J,5,0),0)</f>
        <v>10000</v>
      </c>
      <c r="Q681" s="39">
        <f>IFERROR(VLOOKUP("50mg DP",Controls!A:J,6,0),3)</f>
        <v>5</v>
      </c>
      <c r="R681" s="21" t="str">
        <f>IFERROR(VLOOKUP("50mg DP",Controls!A:K,10,0),"")</f>
        <v>Patheon PDS-1</v>
      </c>
      <c r="S681" s="41">
        <f t="shared" si="73"/>
        <v>50161</v>
      </c>
      <c r="T681" s="30">
        <f t="shared" si="74"/>
        <v>0</v>
      </c>
      <c r="AB681">
        <f t="shared" si="76"/>
        <v>5</v>
      </c>
    </row>
    <row r="682" spans="1:28" ht="13" customHeight="1" x14ac:dyDescent="0.35">
      <c r="A682" s="153">
        <v>50345</v>
      </c>
      <c r="B682" s="36" t="s">
        <v>43</v>
      </c>
      <c r="C682" s="15" t="s">
        <v>38</v>
      </c>
      <c r="D682" s="15" t="s">
        <v>29</v>
      </c>
      <c r="E682" s="30">
        <f>H681</f>
        <v>267607</v>
      </c>
      <c r="F682" s="37" cm="1">
        <f t="array" ref="F682">IFERROR((SUMPRODUCT(('Production Inputs'!$A:$A="47mg LP")*('Production Inputs'!$B:$B="TOTAL ACTIVE")*'Production Inputs'!$EW:$EW)+SUMPRODUCT(('Production Inputs'!$A:$A="47mg LP - EU Stock")*('Production Inputs'!$B:$B="TOTAL ACTIVE")*'Production Inputs'!$EW:$EW))*Dependencies!$D$5,0)</f>
        <v>0</v>
      </c>
      <c r="G682" s="37">
        <f t="array" ref="G682">IFERROR(SUMPRODUCT(('Production Inputs'!$A:$A="50mg DP")*('Production Inputs'!$B:$B="TOTAL ACTIVE")*'Production Inputs'!$EW:$EW),0)</f>
        <v>0</v>
      </c>
      <c r="H682" s="30">
        <f t="shared" si="70"/>
        <v>267607</v>
      </c>
      <c r="I682" s="30">
        <f ca="1">IFERROR(AVERAGEIF(OFFSET(F682,0,0,MIN(Controls!$B$8,COUNTIF(B682:B$1973,B682)),1),"&gt;"&amp;0),0)</f>
        <v>0</v>
      </c>
      <c r="J682" s="38">
        <f t="shared" ca="1" si="71"/>
        <v>999</v>
      </c>
      <c r="K682" s="30">
        <f t="shared" ca="1" si="75"/>
        <v>0</v>
      </c>
      <c r="L682" t="str">
        <f t="shared" ca="1" si="72"/>
        <v>Overstock</v>
      </c>
      <c r="M682" s="39">
        <f>IFERROR(VLOOKUP("50mg DP",Controls!A:I,7,0),6)</f>
        <v>9</v>
      </c>
      <c r="N682" s="39">
        <f>IFERROR(VLOOKUP("50mg DP",Controls!A:I,8,0),3)</f>
        <v>8</v>
      </c>
      <c r="O682" s="39">
        <f>IFERROR(VLOOKUP("50mg DP",Controls!A:I,9,0),18)</f>
        <v>18</v>
      </c>
      <c r="P682" s="40">
        <f>IFERROR(VLOOKUP("50mg DP",Controls!A:J,5,0),0)</f>
        <v>10000</v>
      </c>
      <c r="Q682" s="39">
        <f>IFERROR(VLOOKUP("50mg DP",Controls!A:J,6,0),3)</f>
        <v>5</v>
      </c>
      <c r="R682" s="21" t="str">
        <f>IFERROR(VLOOKUP("50mg DP",Controls!A:K,10,0),"")</f>
        <v>Patheon PDS-1</v>
      </c>
      <c r="S682" s="41">
        <f t="shared" si="73"/>
        <v>50192</v>
      </c>
      <c r="T682" s="30">
        <f t="shared" si="74"/>
        <v>0</v>
      </c>
      <c r="AB682">
        <f t="shared" si="76"/>
        <v>5</v>
      </c>
    </row>
    <row r="683" spans="1:28" ht="13" customHeight="1" x14ac:dyDescent="0.35">
      <c r="A683" s="153">
        <v>50375</v>
      </c>
      <c r="B683" s="36" t="s">
        <v>43</v>
      </c>
      <c r="C683" s="15" t="s">
        <v>38</v>
      </c>
      <c r="D683" s="15" t="s">
        <v>29</v>
      </c>
      <c r="E683" s="30">
        <f>H682</f>
        <v>267607</v>
      </c>
      <c r="F683" s="37" cm="1">
        <f t="array" ref="F683">IFERROR((SUMPRODUCT(('Production Inputs'!$A:$A="47mg LP")*('Production Inputs'!$B:$B="TOTAL ACTIVE")*'Production Inputs'!$EX:$EX)+SUMPRODUCT(('Production Inputs'!$A:$A="47mg LP - EU Stock")*('Production Inputs'!$B:$B="TOTAL ACTIVE")*'Production Inputs'!$EX:$EX))*Dependencies!$D$5,0)</f>
        <v>0</v>
      </c>
      <c r="G683" s="37">
        <f t="array" ref="G683">IFERROR(SUMPRODUCT(('Production Inputs'!$A:$A="50mg DP")*('Production Inputs'!$B:$B="TOTAL ACTIVE")*'Production Inputs'!$EX:$EX),0)</f>
        <v>0</v>
      </c>
      <c r="H683" s="30">
        <f t="shared" si="70"/>
        <v>267607</v>
      </c>
      <c r="I683" s="30">
        <f ca="1">IFERROR(AVERAGEIF(OFFSET(F683,0,0,MIN(Controls!$B$8,COUNTIF(B683:B$1973,B683)),1),"&gt;"&amp;0),0)</f>
        <v>0</v>
      </c>
      <c r="J683" s="38">
        <f t="shared" ca="1" si="71"/>
        <v>999</v>
      </c>
      <c r="K683" s="30">
        <f t="shared" ca="1" si="75"/>
        <v>0</v>
      </c>
      <c r="L683" t="str">
        <f t="shared" ca="1" si="72"/>
        <v>Overstock</v>
      </c>
      <c r="M683" s="39">
        <f>IFERROR(VLOOKUP("50mg DP",Controls!A:I,7,0),6)</f>
        <v>9</v>
      </c>
      <c r="N683" s="39">
        <f>IFERROR(VLOOKUP("50mg DP",Controls!A:I,8,0),3)</f>
        <v>8</v>
      </c>
      <c r="O683" s="39">
        <f>IFERROR(VLOOKUP("50mg DP",Controls!A:I,9,0),18)</f>
        <v>18</v>
      </c>
      <c r="P683" s="40">
        <f>IFERROR(VLOOKUP("50mg DP",Controls!A:J,5,0),0)</f>
        <v>10000</v>
      </c>
      <c r="Q683" s="39">
        <f>IFERROR(VLOOKUP("50mg DP",Controls!A:J,6,0),3)</f>
        <v>5</v>
      </c>
      <c r="R683" s="21" t="str">
        <f>IFERROR(VLOOKUP("50mg DP",Controls!A:K,10,0),"")</f>
        <v>Patheon PDS-1</v>
      </c>
      <c r="S683" s="41">
        <f t="shared" si="73"/>
        <v>50222</v>
      </c>
      <c r="T683" s="30">
        <f t="shared" si="74"/>
        <v>0</v>
      </c>
      <c r="AB683">
        <f t="shared" si="76"/>
        <v>5</v>
      </c>
    </row>
    <row r="684" spans="1:28" ht="13" customHeight="1" x14ac:dyDescent="0.35">
      <c r="A684" s="153">
        <v>50406</v>
      </c>
      <c r="B684" s="36" t="s">
        <v>43</v>
      </c>
      <c r="C684" s="15" t="s">
        <v>38</v>
      </c>
      <c r="D684" s="15" t="s">
        <v>29</v>
      </c>
      <c r="E684" s="30">
        <f>H683</f>
        <v>267607</v>
      </c>
      <c r="F684" s="37" cm="1">
        <f t="array" ref="F684">IFERROR((SUMPRODUCT(('Production Inputs'!$A:$A="47mg LP")*('Production Inputs'!$B:$B="TOTAL ACTIVE")*'Production Inputs'!$EY:$EY)+SUMPRODUCT(('Production Inputs'!$A:$A="47mg LP - EU Stock")*('Production Inputs'!$B:$B="TOTAL ACTIVE")*'Production Inputs'!$EY:$EY))*Dependencies!$D$5,0)</f>
        <v>0</v>
      </c>
      <c r="G684" s="37">
        <f t="array" ref="G684">IFERROR(SUMPRODUCT(('Production Inputs'!$A:$A="50mg DP")*('Production Inputs'!$B:$B="TOTAL ACTIVE")*'Production Inputs'!$EY:$EY),0)</f>
        <v>0</v>
      </c>
      <c r="H684" s="30">
        <f t="shared" si="70"/>
        <v>267607</v>
      </c>
      <c r="I684" s="30">
        <f ca="1">IFERROR(AVERAGEIF(OFFSET(F684,0,0,MIN(Controls!$B$8,COUNTIF(B684:B$1973,B684)),1),"&gt;"&amp;0),0)</f>
        <v>0</v>
      </c>
      <c r="J684" s="38">
        <f t="shared" ca="1" si="71"/>
        <v>999</v>
      </c>
      <c r="K684" s="30">
        <f t="shared" ca="1" si="75"/>
        <v>0</v>
      </c>
      <c r="L684" t="str">
        <f t="shared" ca="1" si="72"/>
        <v>Overstock</v>
      </c>
      <c r="M684" s="39">
        <f>IFERROR(VLOOKUP("50mg DP",Controls!A:I,7,0),6)</f>
        <v>9</v>
      </c>
      <c r="N684" s="39">
        <f>IFERROR(VLOOKUP("50mg DP",Controls!A:I,8,0),3)</f>
        <v>8</v>
      </c>
      <c r="O684" s="39">
        <f>IFERROR(VLOOKUP("50mg DP",Controls!A:I,9,0),18)</f>
        <v>18</v>
      </c>
      <c r="P684" s="40">
        <f>IFERROR(VLOOKUP("50mg DP",Controls!A:J,5,0),0)</f>
        <v>10000</v>
      </c>
      <c r="Q684" s="39">
        <f>IFERROR(VLOOKUP("50mg DP",Controls!A:J,6,0),3)</f>
        <v>5</v>
      </c>
      <c r="R684" s="21" t="str">
        <f>IFERROR(VLOOKUP("50mg DP",Controls!A:K,10,0),"")</f>
        <v>Patheon PDS-1</v>
      </c>
      <c r="S684" s="41">
        <f t="shared" si="73"/>
        <v>50253</v>
      </c>
      <c r="T684" s="30">
        <f t="shared" si="74"/>
        <v>0</v>
      </c>
      <c r="AB684">
        <f t="shared" si="76"/>
        <v>5</v>
      </c>
    </row>
    <row r="685" spans="1:28" ht="13" customHeight="1" x14ac:dyDescent="0.35">
      <c r="A685" s="153">
        <v>50437</v>
      </c>
      <c r="B685" s="36" t="s">
        <v>43</v>
      </c>
      <c r="C685" s="15" t="s">
        <v>38</v>
      </c>
      <c r="D685" s="15" t="s">
        <v>29</v>
      </c>
      <c r="E685" s="30">
        <f>H684</f>
        <v>267607</v>
      </c>
      <c r="F685" s="37" cm="1">
        <f t="array" ref="F685">IFERROR((SUMPRODUCT(('Production Inputs'!$A:$A="47mg LP")*('Production Inputs'!$B:$B="TOTAL ACTIVE")*'Production Inputs'!$EZ:$EZ)+SUMPRODUCT(('Production Inputs'!$A:$A="47mg LP - EU Stock")*('Production Inputs'!$B:$B="TOTAL ACTIVE")*'Production Inputs'!$EZ:$EZ))*Dependencies!$D$5,0)</f>
        <v>0</v>
      </c>
      <c r="G685" s="37">
        <f t="array" ref="G685">IFERROR(SUMPRODUCT(('Production Inputs'!$A:$A="50mg DP")*('Production Inputs'!$B:$B="TOTAL ACTIVE")*'Production Inputs'!$EZ:$EZ),0)</f>
        <v>0</v>
      </c>
      <c r="H685" s="30">
        <f t="shared" si="70"/>
        <v>267607</v>
      </c>
      <c r="I685" s="30">
        <f ca="1">IFERROR(AVERAGEIF(OFFSET(F685,0,0,MIN(Controls!$B$8,COUNTIF(B685:B$1973,B685)),1),"&gt;"&amp;0),0)</f>
        <v>0</v>
      </c>
      <c r="J685" s="38">
        <f t="shared" ca="1" si="71"/>
        <v>999</v>
      </c>
      <c r="K685" s="30">
        <f t="shared" ca="1" si="75"/>
        <v>0</v>
      </c>
      <c r="L685" t="str">
        <f t="shared" ca="1" si="72"/>
        <v>Overstock</v>
      </c>
      <c r="M685" s="39">
        <f>IFERROR(VLOOKUP("50mg DP",Controls!A:I,7,0),6)</f>
        <v>9</v>
      </c>
      <c r="N685" s="39">
        <f>IFERROR(VLOOKUP("50mg DP",Controls!A:I,8,0),3)</f>
        <v>8</v>
      </c>
      <c r="O685" s="39">
        <f>IFERROR(VLOOKUP("50mg DP",Controls!A:I,9,0),18)</f>
        <v>18</v>
      </c>
      <c r="P685" s="40">
        <f>IFERROR(VLOOKUP("50mg DP",Controls!A:J,5,0),0)</f>
        <v>10000</v>
      </c>
      <c r="Q685" s="39">
        <f>IFERROR(VLOOKUP("50mg DP",Controls!A:J,6,0),3)</f>
        <v>5</v>
      </c>
      <c r="R685" s="21" t="str">
        <f>IFERROR(VLOOKUP("50mg DP",Controls!A:K,10,0),"")</f>
        <v>Patheon PDS-1</v>
      </c>
      <c r="S685" s="41">
        <f t="shared" si="73"/>
        <v>50284</v>
      </c>
      <c r="T685" s="30">
        <f t="shared" si="74"/>
        <v>0</v>
      </c>
      <c r="AB685">
        <f t="shared" si="76"/>
        <v>5</v>
      </c>
    </row>
    <row r="686" spans="1:28" ht="13" customHeight="1" x14ac:dyDescent="0.35">
      <c r="A686" s="153">
        <v>50465</v>
      </c>
      <c r="B686" s="36" t="s">
        <v>43</v>
      </c>
      <c r="C686" s="15" t="s">
        <v>38</v>
      </c>
      <c r="D686" s="15" t="s">
        <v>29</v>
      </c>
      <c r="E686" s="30">
        <f>H685</f>
        <v>267607</v>
      </c>
      <c r="F686" s="37" cm="1">
        <f t="array" ref="F686">IFERROR((SUMPRODUCT(('Production Inputs'!$A:$A="47mg LP")*('Production Inputs'!$B:$B="TOTAL ACTIVE")*'Production Inputs'!$FA:$FA)+SUMPRODUCT(('Production Inputs'!$A:$A="47mg LP - EU Stock")*('Production Inputs'!$B:$B="TOTAL ACTIVE")*'Production Inputs'!$FA:$FA))*Dependencies!$D$5,0)</f>
        <v>0</v>
      </c>
      <c r="G686" s="37">
        <f t="array" ref="G686">IFERROR(SUMPRODUCT(('Production Inputs'!$A:$A="50mg DP")*('Production Inputs'!$B:$B="TOTAL ACTIVE")*'Production Inputs'!$FA:$FA),0)</f>
        <v>0</v>
      </c>
      <c r="H686" s="30">
        <f t="shared" si="70"/>
        <v>267607</v>
      </c>
      <c r="I686" s="30">
        <f ca="1">IFERROR(AVERAGEIF(OFFSET(F686,0,0,MIN(Controls!$B$8,COUNTIF(B686:B$1973,B686)),1),"&gt;"&amp;0),0)</f>
        <v>0</v>
      </c>
      <c r="J686" s="38">
        <f t="shared" ca="1" si="71"/>
        <v>999</v>
      </c>
      <c r="K686" s="30">
        <f t="shared" ca="1" si="75"/>
        <v>0</v>
      </c>
      <c r="L686" t="str">
        <f t="shared" ca="1" si="72"/>
        <v>Overstock</v>
      </c>
      <c r="M686" s="39">
        <f>IFERROR(VLOOKUP("50mg DP",Controls!A:I,7,0),6)</f>
        <v>9</v>
      </c>
      <c r="N686" s="39">
        <f>IFERROR(VLOOKUP("50mg DP",Controls!A:I,8,0),3)</f>
        <v>8</v>
      </c>
      <c r="O686" s="39">
        <f>IFERROR(VLOOKUP("50mg DP",Controls!A:I,9,0),18)</f>
        <v>18</v>
      </c>
      <c r="P686" s="40">
        <f>IFERROR(VLOOKUP("50mg DP",Controls!A:J,5,0),0)</f>
        <v>10000</v>
      </c>
      <c r="Q686" s="39">
        <f>IFERROR(VLOOKUP("50mg DP",Controls!A:J,6,0),3)</f>
        <v>5</v>
      </c>
      <c r="R686" s="21" t="str">
        <f>IFERROR(VLOOKUP("50mg DP",Controls!A:K,10,0),"")</f>
        <v>Patheon PDS-1</v>
      </c>
      <c r="S686" s="41">
        <f t="shared" si="73"/>
        <v>50314</v>
      </c>
      <c r="T686" s="30">
        <f t="shared" si="74"/>
        <v>0</v>
      </c>
      <c r="AB686">
        <f t="shared" si="76"/>
        <v>5</v>
      </c>
    </row>
    <row r="687" spans="1:28" ht="13" customHeight="1" x14ac:dyDescent="0.35">
      <c r="A687" s="153">
        <v>50496</v>
      </c>
      <c r="B687" s="36" t="s">
        <v>43</v>
      </c>
      <c r="C687" s="15" t="s">
        <v>38</v>
      </c>
      <c r="D687" s="15" t="s">
        <v>29</v>
      </c>
      <c r="E687" s="30">
        <f>H686</f>
        <v>267607</v>
      </c>
      <c r="F687" s="37" cm="1">
        <f t="array" ref="F687">IFERROR((SUMPRODUCT(('Production Inputs'!$A:$A="47mg LP")*('Production Inputs'!$B:$B="TOTAL ACTIVE")*'Production Inputs'!$FB:$FB)+SUMPRODUCT(('Production Inputs'!$A:$A="47mg LP - EU Stock")*('Production Inputs'!$B:$B="TOTAL ACTIVE")*'Production Inputs'!$FB:$FB))*Dependencies!$D$5,0)</f>
        <v>0</v>
      </c>
      <c r="G687" s="37">
        <f t="array" ref="G687">IFERROR(SUMPRODUCT(('Production Inputs'!$A:$A="50mg DP")*('Production Inputs'!$B:$B="TOTAL ACTIVE")*'Production Inputs'!$FB:$FB),0)</f>
        <v>0</v>
      </c>
      <c r="H687" s="30">
        <f t="shared" si="70"/>
        <v>267607</v>
      </c>
      <c r="I687" s="30">
        <f ca="1">IFERROR(AVERAGEIF(OFFSET(F687,0,0,MIN(Controls!$B$8,COUNTIF(B687:B$1973,B687)),1),"&gt;"&amp;0),0)</f>
        <v>0</v>
      </c>
      <c r="J687" s="38">
        <f t="shared" ca="1" si="71"/>
        <v>999</v>
      </c>
      <c r="K687" s="30">
        <f t="shared" ca="1" si="75"/>
        <v>0</v>
      </c>
      <c r="L687" t="str">
        <f t="shared" ca="1" si="72"/>
        <v>Overstock</v>
      </c>
      <c r="M687" s="39">
        <f>IFERROR(VLOOKUP("50mg DP",Controls!A:I,7,0),6)</f>
        <v>9</v>
      </c>
      <c r="N687" s="39">
        <f>IFERROR(VLOOKUP("50mg DP",Controls!A:I,8,0),3)</f>
        <v>8</v>
      </c>
      <c r="O687" s="39">
        <f>IFERROR(VLOOKUP("50mg DP",Controls!A:I,9,0),18)</f>
        <v>18</v>
      </c>
      <c r="P687" s="40">
        <f>IFERROR(VLOOKUP("50mg DP",Controls!A:J,5,0),0)</f>
        <v>10000</v>
      </c>
      <c r="Q687" s="39">
        <f>IFERROR(VLOOKUP("50mg DP",Controls!A:J,6,0),3)</f>
        <v>5</v>
      </c>
      <c r="R687" s="21" t="str">
        <f>IFERROR(VLOOKUP("50mg DP",Controls!A:K,10,0),"")</f>
        <v>Patheon PDS-1</v>
      </c>
      <c r="S687" s="41">
        <f t="shared" si="73"/>
        <v>50345</v>
      </c>
      <c r="T687" s="30">
        <f t="shared" si="74"/>
        <v>0</v>
      </c>
      <c r="AB687">
        <f t="shared" si="76"/>
        <v>5</v>
      </c>
    </row>
    <row r="688" spans="1:28" ht="13" customHeight="1" x14ac:dyDescent="0.35">
      <c r="A688" s="153">
        <v>50526</v>
      </c>
      <c r="B688" s="36" t="s">
        <v>43</v>
      </c>
      <c r="C688" s="15" t="s">
        <v>38</v>
      </c>
      <c r="D688" s="15" t="s">
        <v>29</v>
      </c>
      <c r="E688" s="30">
        <f>H687</f>
        <v>267607</v>
      </c>
      <c r="F688" s="37" cm="1">
        <f t="array" ref="F688">IFERROR((SUMPRODUCT(('Production Inputs'!$A:$A="47mg LP")*('Production Inputs'!$B:$B="TOTAL ACTIVE")*'Production Inputs'!$FC:$FC)+SUMPRODUCT(('Production Inputs'!$A:$A="47mg LP - EU Stock")*('Production Inputs'!$B:$B="TOTAL ACTIVE")*'Production Inputs'!$FC:$FC))*Dependencies!$D$5,0)</f>
        <v>0</v>
      </c>
      <c r="G688" s="37">
        <f t="array" ref="G688">IFERROR(SUMPRODUCT(('Production Inputs'!$A:$A="50mg DP")*('Production Inputs'!$B:$B="TOTAL ACTIVE")*'Production Inputs'!$FC:$FC),0)</f>
        <v>0</v>
      </c>
      <c r="H688" s="30">
        <f t="shared" si="70"/>
        <v>267607</v>
      </c>
      <c r="I688" s="30">
        <f ca="1">IFERROR(AVERAGEIF(OFFSET(F688,0,0,MIN(Controls!$B$8,COUNTIF(B688:B$1973,B688)),1),"&gt;"&amp;0),0)</f>
        <v>0</v>
      </c>
      <c r="J688" s="38">
        <f t="shared" ca="1" si="71"/>
        <v>999</v>
      </c>
      <c r="K688" s="30">
        <f t="shared" ca="1" si="75"/>
        <v>0</v>
      </c>
      <c r="L688" t="str">
        <f t="shared" ca="1" si="72"/>
        <v>Overstock</v>
      </c>
      <c r="M688" s="39">
        <f>IFERROR(VLOOKUP("50mg DP",Controls!A:I,7,0),6)</f>
        <v>9</v>
      </c>
      <c r="N688" s="39">
        <f>IFERROR(VLOOKUP("50mg DP",Controls!A:I,8,0),3)</f>
        <v>8</v>
      </c>
      <c r="O688" s="39">
        <f>IFERROR(VLOOKUP("50mg DP",Controls!A:I,9,0),18)</f>
        <v>18</v>
      </c>
      <c r="P688" s="40">
        <f>IFERROR(VLOOKUP("50mg DP",Controls!A:J,5,0),0)</f>
        <v>10000</v>
      </c>
      <c r="Q688" s="39">
        <f>IFERROR(VLOOKUP("50mg DP",Controls!A:J,6,0),3)</f>
        <v>5</v>
      </c>
      <c r="R688" s="21" t="str">
        <f>IFERROR(VLOOKUP("50mg DP",Controls!A:K,10,0),"")</f>
        <v>Patheon PDS-1</v>
      </c>
      <c r="S688" s="41">
        <f t="shared" si="73"/>
        <v>50375</v>
      </c>
      <c r="T688" s="30">
        <f t="shared" si="74"/>
        <v>0</v>
      </c>
      <c r="AB688">
        <f t="shared" si="76"/>
        <v>5</v>
      </c>
    </row>
    <row r="689" spans="1:28" ht="13" customHeight="1" x14ac:dyDescent="0.35">
      <c r="A689" s="153">
        <v>50557</v>
      </c>
      <c r="B689" s="36" t="s">
        <v>43</v>
      </c>
      <c r="C689" s="15" t="s">
        <v>38</v>
      </c>
      <c r="D689" s="15" t="s">
        <v>29</v>
      </c>
      <c r="E689" s="30">
        <f>H688</f>
        <v>267607</v>
      </c>
      <c r="F689" s="37" cm="1">
        <f t="array" ref="F689">IFERROR((SUMPRODUCT(('Production Inputs'!$A:$A="47mg LP")*('Production Inputs'!$B:$B="TOTAL ACTIVE")*'Production Inputs'!$FD:$FD)+SUMPRODUCT(('Production Inputs'!$A:$A="47mg LP - EU Stock")*('Production Inputs'!$B:$B="TOTAL ACTIVE")*'Production Inputs'!$FD:$FD))*Dependencies!$D$5,0)</f>
        <v>0</v>
      </c>
      <c r="G689" s="37">
        <f t="array" ref="G689">IFERROR(SUMPRODUCT(('Production Inputs'!$A:$A="50mg DP")*('Production Inputs'!$B:$B="TOTAL ACTIVE")*'Production Inputs'!$FD:$FD),0)</f>
        <v>0</v>
      </c>
      <c r="H689" s="30">
        <f t="shared" si="70"/>
        <v>267607</v>
      </c>
      <c r="I689" s="30">
        <f ca="1">IFERROR(AVERAGEIF(OFFSET(F689,0,0,MIN(Controls!$B$8,COUNTIF(B689:B$1973,B689)),1),"&gt;"&amp;0),0)</f>
        <v>0</v>
      </c>
      <c r="J689" s="38">
        <f t="shared" ca="1" si="71"/>
        <v>999</v>
      </c>
      <c r="K689" s="30">
        <f t="shared" ca="1" si="75"/>
        <v>0</v>
      </c>
      <c r="L689" t="str">
        <f t="shared" ca="1" si="72"/>
        <v>Overstock</v>
      </c>
      <c r="M689" s="39">
        <f>IFERROR(VLOOKUP("50mg DP",Controls!A:I,7,0),6)</f>
        <v>9</v>
      </c>
      <c r="N689" s="39">
        <f>IFERROR(VLOOKUP("50mg DP",Controls!A:I,8,0),3)</f>
        <v>8</v>
      </c>
      <c r="O689" s="39">
        <f>IFERROR(VLOOKUP("50mg DP",Controls!A:I,9,0),18)</f>
        <v>18</v>
      </c>
      <c r="P689" s="40">
        <f>IFERROR(VLOOKUP("50mg DP",Controls!A:J,5,0),0)</f>
        <v>10000</v>
      </c>
      <c r="Q689" s="39">
        <f>IFERROR(VLOOKUP("50mg DP",Controls!A:J,6,0),3)</f>
        <v>5</v>
      </c>
      <c r="R689" s="21" t="str">
        <f>IFERROR(VLOOKUP("50mg DP",Controls!A:K,10,0),"")</f>
        <v>Patheon PDS-1</v>
      </c>
      <c r="S689" s="41">
        <f t="shared" si="73"/>
        <v>50406</v>
      </c>
      <c r="T689" s="30">
        <f t="shared" si="74"/>
        <v>0</v>
      </c>
      <c r="AB689">
        <f t="shared" si="76"/>
        <v>5</v>
      </c>
    </row>
    <row r="690" spans="1:28" ht="13" customHeight="1" x14ac:dyDescent="0.35">
      <c r="A690" s="153">
        <v>50587</v>
      </c>
      <c r="B690" s="36" t="s">
        <v>43</v>
      </c>
      <c r="C690" s="15" t="s">
        <v>38</v>
      </c>
      <c r="D690" s="15" t="s">
        <v>29</v>
      </c>
      <c r="E690" s="30">
        <f>H689</f>
        <v>267607</v>
      </c>
      <c r="F690" s="37" cm="1">
        <f t="array" ref="F690">IFERROR((SUMPRODUCT(('Production Inputs'!$A:$A="47mg LP")*('Production Inputs'!$B:$B="TOTAL ACTIVE")*'Production Inputs'!$FE:$FE)+SUMPRODUCT(('Production Inputs'!$A:$A="47mg LP - EU Stock")*('Production Inputs'!$B:$B="TOTAL ACTIVE")*'Production Inputs'!$FE:$FE))*Dependencies!$D$5,0)</f>
        <v>0</v>
      </c>
      <c r="G690" s="37">
        <f t="array" ref="G690">IFERROR(SUMPRODUCT(('Production Inputs'!$A:$A="50mg DP")*('Production Inputs'!$B:$B="TOTAL ACTIVE")*'Production Inputs'!$FE:$FE),0)</f>
        <v>0</v>
      </c>
      <c r="H690" s="30">
        <f t="shared" si="70"/>
        <v>267607</v>
      </c>
      <c r="I690" s="30">
        <f ca="1">IFERROR(AVERAGEIF(OFFSET(F690,0,0,MIN(Controls!$B$8,COUNTIF(B690:B$1973,B690)),1),"&gt;"&amp;0),0)</f>
        <v>0</v>
      </c>
      <c r="J690" s="38">
        <f t="shared" ca="1" si="71"/>
        <v>999</v>
      </c>
      <c r="K690" s="30">
        <f t="shared" ca="1" si="75"/>
        <v>0</v>
      </c>
      <c r="L690" t="str">
        <f t="shared" ca="1" si="72"/>
        <v>Overstock</v>
      </c>
      <c r="M690" s="39">
        <f>IFERROR(VLOOKUP("50mg DP",Controls!A:I,7,0),6)</f>
        <v>9</v>
      </c>
      <c r="N690" s="39">
        <f>IFERROR(VLOOKUP("50mg DP",Controls!A:I,8,0),3)</f>
        <v>8</v>
      </c>
      <c r="O690" s="39">
        <f>IFERROR(VLOOKUP("50mg DP",Controls!A:I,9,0),18)</f>
        <v>18</v>
      </c>
      <c r="P690" s="40">
        <f>IFERROR(VLOOKUP("50mg DP",Controls!A:J,5,0),0)</f>
        <v>10000</v>
      </c>
      <c r="Q690" s="39">
        <f>IFERROR(VLOOKUP("50mg DP",Controls!A:J,6,0),3)</f>
        <v>5</v>
      </c>
      <c r="R690" s="21" t="str">
        <f>IFERROR(VLOOKUP("50mg DP",Controls!A:K,10,0),"")</f>
        <v>Patheon PDS-1</v>
      </c>
      <c r="S690" s="41">
        <f t="shared" si="73"/>
        <v>50437</v>
      </c>
      <c r="T690" s="30">
        <f t="shared" si="74"/>
        <v>0</v>
      </c>
      <c r="AB690">
        <f t="shared" si="76"/>
        <v>5</v>
      </c>
    </row>
    <row r="691" spans="1:28" ht="13" customHeight="1" x14ac:dyDescent="0.35">
      <c r="A691" s="153">
        <v>50618</v>
      </c>
      <c r="B691" s="36" t="s">
        <v>43</v>
      </c>
      <c r="C691" s="15" t="s">
        <v>38</v>
      </c>
      <c r="D691" s="15" t="s">
        <v>29</v>
      </c>
      <c r="E691" s="30">
        <f>H690</f>
        <v>267607</v>
      </c>
      <c r="F691" s="37" cm="1">
        <f t="array" ref="F691">IFERROR((SUMPRODUCT(('Production Inputs'!$A:$A="47mg LP")*('Production Inputs'!$B:$B="TOTAL ACTIVE")*'Production Inputs'!$FF:$FF)+SUMPRODUCT(('Production Inputs'!$A:$A="47mg LP - EU Stock")*('Production Inputs'!$B:$B="TOTAL ACTIVE")*'Production Inputs'!$FF:$FF))*Dependencies!$D$5,0)</f>
        <v>0</v>
      </c>
      <c r="G691" s="37">
        <f t="array" ref="G691">IFERROR(SUMPRODUCT(('Production Inputs'!$A:$A="50mg DP")*('Production Inputs'!$B:$B="TOTAL ACTIVE")*'Production Inputs'!$FF:$FF),0)</f>
        <v>0</v>
      </c>
      <c r="H691" s="30">
        <f t="shared" si="70"/>
        <v>267607</v>
      </c>
      <c r="I691" s="30">
        <f ca="1">IFERROR(AVERAGEIF(OFFSET(F691,0,0,MIN(Controls!$B$8,COUNTIF(B691:B$1973,B691)),1),"&gt;"&amp;0),0)</f>
        <v>0</v>
      </c>
      <c r="J691" s="38">
        <f t="shared" ca="1" si="71"/>
        <v>999</v>
      </c>
      <c r="K691" s="30">
        <f t="shared" ca="1" si="75"/>
        <v>0</v>
      </c>
      <c r="L691" t="str">
        <f t="shared" ca="1" si="72"/>
        <v>Overstock</v>
      </c>
      <c r="M691" s="39">
        <f>IFERROR(VLOOKUP("50mg DP",Controls!A:I,7,0),6)</f>
        <v>9</v>
      </c>
      <c r="N691" s="39">
        <f>IFERROR(VLOOKUP("50mg DP",Controls!A:I,8,0),3)</f>
        <v>8</v>
      </c>
      <c r="O691" s="39">
        <f>IFERROR(VLOOKUP("50mg DP",Controls!A:I,9,0),18)</f>
        <v>18</v>
      </c>
      <c r="P691" s="40">
        <f>IFERROR(VLOOKUP("50mg DP",Controls!A:J,5,0),0)</f>
        <v>10000</v>
      </c>
      <c r="Q691" s="39">
        <f>IFERROR(VLOOKUP("50mg DP",Controls!A:J,6,0),3)</f>
        <v>5</v>
      </c>
      <c r="R691" s="21" t="str">
        <f>IFERROR(VLOOKUP("50mg DP",Controls!A:K,10,0),"")</f>
        <v>Patheon PDS-1</v>
      </c>
      <c r="S691" s="41">
        <f t="shared" si="73"/>
        <v>50465</v>
      </c>
      <c r="T691" s="30">
        <f t="shared" si="74"/>
        <v>0</v>
      </c>
      <c r="AB691">
        <f t="shared" si="76"/>
        <v>5</v>
      </c>
    </row>
    <row r="692" spans="1:28" ht="13" customHeight="1" x14ac:dyDescent="0.35">
      <c r="A692" s="153">
        <v>50649</v>
      </c>
      <c r="B692" s="36" t="s">
        <v>43</v>
      </c>
      <c r="C692" s="15" t="s">
        <v>38</v>
      </c>
      <c r="D692" s="15" t="s">
        <v>29</v>
      </c>
      <c r="E692" s="30">
        <f>H691</f>
        <v>267607</v>
      </c>
      <c r="F692" s="37" cm="1">
        <f t="array" ref="F692">IFERROR((SUMPRODUCT(('Production Inputs'!$A:$A="47mg LP")*('Production Inputs'!$B:$B="TOTAL ACTIVE")*'Production Inputs'!$FG:$FG)+SUMPRODUCT(('Production Inputs'!$A:$A="47mg LP - EU Stock")*('Production Inputs'!$B:$B="TOTAL ACTIVE")*'Production Inputs'!$FG:$FG))*Dependencies!$D$5,0)</f>
        <v>0</v>
      </c>
      <c r="G692" s="37">
        <f t="array" ref="G692">IFERROR(SUMPRODUCT(('Production Inputs'!$A:$A="50mg DP")*('Production Inputs'!$B:$B="TOTAL ACTIVE")*'Production Inputs'!$FG:$FG),0)</f>
        <v>0</v>
      </c>
      <c r="H692" s="30">
        <f t="shared" si="70"/>
        <v>267607</v>
      </c>
      <c r="I692" s="30">
        <f ca="1">IFERROR(AVERAGEIF(OFFSET(F692,0,0,MIN(Controls!$B$8,COUNTIF(B692:B$1973,B692)),1),"&gt;"&amp;0),0)</f>
        <v>0</v>
      </c>
      <c r="J692" s="38">
        <f t="shared" ca="1" si="71"/>
        <v>999</v>
      </c>
      <c r="K692" s="30">
        <f t="shared" ca="1" si="75"/>
        <v>0</v>
      </c>
      <c r="L692" t="str">
        <f t="shared" ca="1" si="72"/>
        <v>Overstock</v>
      </c>
      <c r="M692" s="39">
        <f>IFERROR(VLOOKUP("50mg DP",Controls!A:I,7,0),6)</f>
        <v>9</v>
      </c>
      <c r="N692" s="39">
        <f>IFERROR(VLOOKUP("50mg DP",Controls!A:I,8,0),3)</f>
        <v>8</v>
      </c>
      <c r="O692" s="39">
        <f>IFERROR(VLOOKUP("50mg DP",Controls!A:I,9,0),18)</f>
        <v>18</v>
      </c>
      <c r="P692" s="40">
        <f>IFERROR(VLOOKUP("50mg DP",Controls!A:J,5,0),0)</f>
        <v>10000</v>
      </c>
      <c r="Q692" s="39">
        <f>IFERROR(VLOOKUP("50mg DP",Controls!A:J,6,0),3)</f>
        <v>5</v>
      </c>
      <c r="R692" s="21" t="str">
        <f>IFERROR(VLOOKUP("50mg DP",Controls!A:K,10,0),"")</f>
        <v>Patheon PDS-1</v>
      </c>
      <c r="S692" s="41">
        <f t="shared" si="73"/>
        <v>50496</v>
      </c>
      <c r="T692" s="30">
        <f t="shared" si="74"/>
        <v>0</v>
      </c>
      <c r="AB692">
        <f t="shared" si="76"/>
        <v>5</v>
      </c>
    </row>
    <row r="693" spans="1:28" ht="13" customHeight="1" x14ac:dyDescent="0.35">
      <c r="A693" s="153">
        <v>50679</v>
      </c>
      <c r="B693" s="36" t="s">
        <v>43</v>
      </c>
      <c r="C693" s="15" t="s">
        <v>38</v>
      </c>
      <c r="D693" s="15" t="s">
        <v>29</v>
      </c>
      <c r="E693" s="30">
        <f>H692</f>
        <v>267607</v>
      </c>
      <c r="F693" s="37" cm="1">
        <f t="array" ref="F693">IFERROR((SUMPRODUCT(('Production Inputs'!$A:$A="47mg LP")*('Production Inputs'!$B:$B="TOTAL ACTIVE")*'Production Inputs'!$FH:$FH)+SUMPRODUCT(('Production Inputs'!$A:$A="47mg LP - EU Stock")*('Production Inputs'!$B:$B="TOTAL ACTIVE")*'Production Inputs'!$FH:$FH))*Dependencies!$D$5,0)</f>
        <v>0</v>
      </c>
      <c r="G693" s="37">
        <f t="array" ref="G693">IFERROR(SUMPRODUCT(('Production Inputs'!$A:$A="50mg DP")*('Production Inputs'!$B:$B="TOTAL ACTIVE")*'Production Inputs'!$FH:$FH),0)</f>
        <v>0</v>
      </c>
      <c r="H693" s="30">
        <f t="shared" si="70"/>
        <v>267607</v>
      </c>
      <c r="I693" s="30">
        <f ca="1">IFERROR(AVERAGEIF(OFFSET(F693,0,0,MIN(Controls!$B$8,COUNTIF(B693:B$1973,B693)),1),"&gt;"&amp;0),0)</f>
        <v>0</v>
      </c>
      <c r="J693" s="38">
        <f t="shared" ca="1" si="71"/>
        <v>999</v>
      </c>
      <c r="K693" s="30">
        <f t="shared" ca="1" si="75"/>
        <v>0</v>
      </c>
      <c r="L693" t="str">
        <f t="shared" ca="1" si="72"/>
        <v>Overstock</v>
      </c>
      <c r="M693" s="39">
        <f>IFERROR(VLOOKUP("50mg DP",Controls!A:I,7,0),6)</f>
        <v>9</v>
      </c>
      <c r="N693" s="39">
        <f>IFERROR(VLOOKUP("50mg DP",Controls!A:I,8,0),3)</f>
        <v>8</v>
      </c>
      <c r="O693" s="39">
        <f>IFERROR(VLOOKUP("50mg DP",Controls!A:I,9,0),18)</f>
        <v>18</v>
      </c>
      <c r="P693" s="40">
        <f>IFERROR(VLOOKUP("50mg DP",Controls!A:J,5,0),0)</f>
        <v>10000</v>
      </c>
      <c r="Q693" s="39">
        <f>IFERROR(VLOOKUP("50mg DP",Controls!A:J,6,0),3)</f>
        <v>5</v>
      </c>
      <c r="R693" s="21" t="str">
        <f>IFERROR(VLOOKUP("50mg DP",Controls!A:K,10,0),"")</f>
        <v>Patheon PDS-1</v>
      </c>
      <c r="S693" s="41">
        <f t="shared" si="73"/>
        <v>50526</v>
      </c>
      <c r="T693" s="30">
        <f t="shared" si="74"/>
        <v>0</v>
      </c>
      <c r="AB693">
        <f t="shared" si="76"/>
        <v>5</v>
      </c>
    </row>
    <row r="694" spans="1:28" ht="13" customHeight="1" x14ac:dyDescent="0.35">
      <c r="A694" s="153">
        <v>50710</v>
      </c>
      <c r="B694" s="36" t="s">
        <v>43</v>
      </c>
      <c r="C694" s="15" t="s">
        <v>38</v>
      </c>
      <c r="D694" s="15" t="s">
        <v>29</v>
      </c>
      <c r="E694" s="30">
        <f>H693</f>
        <v>267607</v>
      </c>
      <c r="F694" s="37" cm="1">
        <f t="array" ref="F694">IFERROR((SUMPRODUCT(('Production Inputs'!$A:$A="47mg LP")*('Production Inputs'!$B:$B="TOTAL ACTIVE")*'Production Inputs'!$FI:$FI)+SUMPRODUCT(('Production Inputs'!$A:$A="47mg LP - EU Stock")*('Production Inputs'!$B:$B="TOTAL ACTIVE")*'Production Inputs'!$FI:$FI))*Dependencies!$D$5,0)</f>
        <v>0</v>
      </c>
      <c r="G694" s="37">
        <f t="array" ref="G694">IFERROR(SUMPRODUCT(('Production Inputs'!$A:$A="50mg DP")*('Production Inputs'!$B:$B="TOTAL ACTIVE")*'Production Inputs'!$FI:$FI),0)</f>
        <v>0</v>
      </c>
      <c r="H694" s="30">
        <f t="shared" si="70"/>
        <v>267607</v>
      </c>
      <c r="I694" s="30">
        <f ca="1">IFERROR(AVERAGEIF(OFFSET(F694,0,0,MIN(Controls!$B$8,COUNTIF(B694:B$1973,B694)),1),"&gt;"&amp;0),0)</f>
        <v>0</v>
      </c>
      <c r="J694" s="38">
        <f t="shared" ca="1" si="71"/>
        <v>999</v>
      </c>
      <c r="K694" s="30">
        <f t="shared" ca="1" si="75"/>
        <v>0</v>
      </c>
      <c r="L694" t="str">
        <f t="shared" ca="1" si="72"/>
        <v>Overstock</v>
      </c>
      <c r="M694" s="39">
        <f>IFERROR(VLOOKUP("50mg DP",Controls!A:I,7,0),6)</f>
        <v>9</v>
      </c>
      <c r="N694" s="39">
        <f>IFERROR(VLOOKUP("50mg DP",Controls!A:I,8,0),3)</f>
        <v>8</v>
      </c>
      <c r="O694" s="39">
        <f>IFERROR(VLOOKUP("50mg DP",Controls!A:I,9,0),18)</f>
        <v>18</v>
      </c>
      <c r="P694" s="40">
        <f>IFERROR(VLOOKUP("50mg DP",Controls!A:J,5,0),0)</f>
        <v>10000</v>
      </c>
      <c r="Q694" s="39">
        <f>IFERROR(VLOOKUP("50mg DP",Controls!A:J,6,0),3)</f>
        <v>5</v>
      </c>
      <c r="R694" s="21" t="str">
        <f>IFERROR(VLOOKUP("50mg DP",Controls!A:K,10,0),"")</f>
        <v>Patheon PDS-1</v>
      </c>
      <c r="S694" s="41">
        <f t="shared" si="73"/>
        <v>50557</v>
      </c>
      <c r="T694" s="30">
        <f t="shared" si="74"/>
        <v>0</v>
      </c>
      <c r="AB694">
        <f t="shared" si="76"/>
        <v>5</v>
      </c>
    </row>
    <row r="695" spans="1:28" ht="13" customHeight="1" x14ac:dyDescent="0.35">
      <c r="A695" s="153">
        <v>50740</v>
      </c>
      <c r="B695" s="36" t="s">
        <v>43</v>
      </c>
      <c r="C695" s="15" t="s">
        <v>38</v>
      </c>
      <c r="D695" s="15" t="s">
        <v>29</v>
      </c>
      <c r="E695" s="30">
        <f>H694</f>
        <v>267607</v>
      </c>
      <c r="F695" s="37" cm="1">
        <f t="array" ref="F695">IFERROR((SUMPRODUCT(('Production Inputs'!$A:$A="47mg LP")*('Production Inputs'!$B:$B="TOTAL ACTIVE")*'Production Inputs'!$FJ:$FJ)+SUMPRODUCT(('Production Inputs'!$A:$A="47mg LP - EU Stock")*('Production Inputs'!$B:$B="TOTAL ACTIVE")*'Production Inputs'!$FJ:$FJ))*Dependencies!$D$5,0)</f>
        <v>0</v>
      </c>
      <c r="G695" s="37">
        <f t="array" ref="G695">IFERROR(SUMPRODUCT(('Production Inputs'!$A:$A="50mg DP")*('Production Inputs'!$B:$B="TOTAL ACTIVE")*'Production Inputs'!$FJ:$FJ),0)</f>
        <v>0</v>
      </c>
      <c r="H695" s="30">
        <f t="shared" si="70"/>
        <v>267607</v>
      </c>
      <c r="I695" s="30">
        <f ca="1">IFERROR(AVERAGEIF(OFFSET(F695,0,0,MIN(Controls!$B$8,COUNTIF(B695:B$1973,B695)),1),"&gt;"&amp;0),0)</f>
        <v>0</v>
      </c>
      <c r="J695" s="38">
        <f t="shared" ca="1" si="71"/>
        <v>999</v>
      </c>
      <c r="K695" s="30">
        <f t="shared" ca="1" si="75"/>
        <v>0</v>
      </c>
      <c r="L695" t="str">
        <f t="shared" ca="1" si="72"/>
        <v>Overstock</v>
      </c>
      <c r="M695" s="39">
        <f>IFERROR(VLOOKUP("50mg DP",Controls!A:I,7,0),6)</f>
        <v>9</v>
      </c>
      <c r="N695" s="39">
        <f>IFERROR(VLOOKUP("50mg DP",Controls!A:I,8,0),3)</f>
        <v>8</v>
      </c>
      <c r="O695" s="39">
        <f>IFERROR(VLOOKUP("50mg DP",Controls!A:I,9,0),18)</f>
        <v>18</v>
      </c>
      <c r="P695" s="40">
        <f>IFERROR(VLOOKUP("50mg DP",Controls!A:J,5,0),0)</f>
        <v>10000</v>
      </c>
      <c r="Q695" s="39">
        <f>IFERROR(VLOOKUP("50mg DP",Controls!A:J,6,0),3)</f>
        <v>5</v>
      </c>
      <c r="R695" s="21" t="str">
        <f>IFERROR(VLOOKUP("50mg DP",Controls!A:K,10,0),"")</f>
        <v>Patheon PDS-1</v>
      </c>
      <c r="S695" s="41">
        <f t="shared" si="73"/>
        <v>50587</v>
      </c>
      <c r="T695" s="30">
        <f t="shared" si="74"/>
        <v>0</v>
      </c>
      <c r="AB695">
        <f t="shared" si="76"/>
        <v>5</v>
      </c>
    </row>
    <row r="696" spans="1:28" ht="13" customHeight="1" x14ac:dyDescent="0.35">
      <c r="A696" s="153">
        <v>50771</v>
      </c>
      <c r="B696" s="36" t="s">
        <v>43</v>
      </c>
      <c r="C696" s="15" t="s">
        <v>38</v>
      </c>
      <c r="D696" s="15" t="s">
        <v>29</v>
      </c>
      <c r="E696" s="30">
        <f>H695</f>
        <v>267607</v>
      </c>
      <c r="F696" s="37" cm="1">
        <f t="array" ref="F696">IFERROR((SUMPRODUCT(('Production Inputs'!$A:$A="47mg LP")*('Production Inputs'!$B:$B="TOTAL ACTIVE")*'Production Inputs'!$FK:$FK)+SUMPRODUCT(('Production Inputs'!$A:$A="47mg LP - EU Stock")*('Production Inputs'!$B:$B="TOTAL ACTIVE")*'Production Inputs'!$FK:$FK))*Dependencies!$D$5,0)</f>
        <v>0</v>
      </c>
      <c r="G696" s="37">
        <f t="array" ref="G696">IFERROR(SUMPRODUCT(('Production Inputs'!$A:$A="50mg DP")*('Production Inputs'!$B:$B="TOTAL ACTIVE")*'Production Inputs'!$FK:$FK),0)</f>
        <v>0</v>
      </c>
      <c r="H696" s="30">
        <f t="shared" si="70"/>
        <v>267607</v>
      </c>
      <c r="I696" s="30">
        <f ca="1">IFERROR(AVERAGEIF(OFFSET(F696,0,0,MIN(Controls!$B$8,COUNTIF(B696:B$1973,B696)),1),"&gt;"&amp;0),0)</f>
        <v>0</v>
      </c>
      <c r="J696" s="38">
        <f t="shared" ca="1" si="71"/>
        <v>999</v>
      </c>
      <c r="K696" s="30">
        <f t="shared" ca="1" si="75"/>
        <v>0</v>
      </c>
      <c r="L696" t="str">
        <f t="shared" ca="1" si="72"/>
        <v>Overstock</v>
      </c>
      <c r="M696" s="39">
        <f>IFERROR(VLOOKUP("50mg DP",Controls!A:I,7,0),6)</f>
        <v>9</v>
      </c>
      <c r="N696" s="39">
        <f>IFERROR(VLOOKUP("50mg DP",Controls!A:I,8,0),3)</f>
        <v>8</v>
      </c>
      <c r="O696" s="39">
        <f>IFERROR(VLOOKUP("50mg DP",Controls!A:I,9,0),18)</f>
        <v>18</v>
      </c>
      <c r="P696" s="40">
        <f>IFERROR(VLOOKUP("50mg DP",Controls!A:J,5,0),0)</f>
        <v>10000</v>
      </c>
      <c r="Q696" s="39">
        <f>IFERROR(VLOOKUP("50mg DP",Controls!A:J,6,0),3)</f>
        <v>5</v>
      </c>
      <c r="R696" s="21" t="str">
        <f>IFERROR(VLOOKUP("50mg DP",Controls!A:K,10,0),"")</f>
        <v>Patheon PDS-1</v>
      </c>
      <c r="S696" s="41">
        <f t="shared" si="73"/>
        <v>50618</v>
      </c>
      <c r="T696" s="30">
        <f t="shared" si="74"/>
        <v>0</v>
      </c>
      <c r="AB696">
        <f t="shared" si="76"/>
        <v>5</v>
      </c>
    </row>
    <row r="697" spans="1:28" ht="13" customHeight="1" x14ac:dyDescent="0.35">
      <c r="A697" s="153">
        <v>50802</v>
      </c>
      <c r="B697" s="36" t="s">
        <v>43</v>
      </c>
      <c r="C697" s="15" t="s">
        <v>38</v>
      </c>
      <c r="D697" s="15" t="s">
        <v>29</v>
      </c>
      <c r="E697" s="30">
        <f>H696</f>
        <v>267607</v>
      </c>
      <c r="F697" s="37" cm="1">
        <f t="array" ref="F697">IFERROR((SUMPRODUCT(('Production Inputs'!$A:$A="47mg LP")*('Production Inputs'!$B:$B="TOTAL ACTIVE")*'Production Inputs'!$FL:$FL)+SUMPRODUCT(('Production Inputs'!$A:$A="47mg LP - EU Stock")*('Production Inputs'!$B:$B="TOTAL ACTIVE")*'Production Inputs'!$FL:$FL))*Dependencies!$D$5,0)</f>
        <v>0</v>
      </c>
      <c r="G697" s="37">
        <f t="array" ref="G697">IFERROR(SUMPRODUCT(('Production Inputs'!$A:$A="50mg DP")*('Production Inputs'!$B:$B="TOTAL ACTIVE")*'Production Inputs'!$FL:$FL),0)</f>
        <v>0</v>
      </c>
      <c r="H697" s="30">
        <f t="shared" si="70"/>
        <v>267607</v>
      </c>
      <c r="I697" s="30">
        <f ca="1">IFERROR(AVERAGEIF(OFFSET(F697,0,0,MIN(Controls!$B$8,COUNTIF(B697:B$1973,B697)),1),"&gt;"&amp;0),0)</f>
        <v>0</v>
      </c>
      <c r="J697" s="38">
        <f t="shared" ca="1" si="71"/>
        <v>999</v>
      </c>
      <c r="K697" s="30">
        <f t="shared" ca="1" si="75"/>
        <v>0</v>
      </c>
      <c r="L697" t="str">
        <f t="shared" ca="1" si="72"/>
        <v>Overstock</v>
      </c>
      <c r="M697" s="39">
        <f>IFERROR(VLOOKUP("50mg DP",Controls!A:I,7,0),6)</f>
        <v>9</v>
      </c>
      <c r="N697" s="39">
        <f>IFERROR(VLOOKUP("50mg DP",Controls!A:I,8,0),3)</f>
        <v>8</v>
      </c>
      <c r="O697" s="39">
        <f>IFERROR(VLOOKUP("50mg DP",Controls!A:I,9,0),18)</f>
        <v>18</v>
      </c>
      <c r="P697" s="40">
        <f>IFERROR(VLOOKUP("50mg DP",Controls!A:J,5,0),0)</f>
        <v>10000</v>
      </c>
      <c r="Q697" s="39">
        <f>IFERROR(VLOOKUP("50mg DP",Controls!A:J,6,0),3)</f>
        <v>5</v>
      </c>
      <c r="R697" s="21" t="str">
        <f>IFERROR(VLOOKUP("50mg DP",Controls!A:K,10,0),"")</f>
        <v>Patheon PDS-1</v>
      </c>
      <c r="S697" s="41">
        <f t="shared" si="73"/>
        <v>50649</v>
      </c>
      <c r="T697" s="30">
        <f t="shared" si="74"/>
        <v>0</v>
      </c>
      <c r="AB697">
        <f t="shared" si="76"/>
        <v>5</v>
      </c>
    </row>
    <row r="698" spans="1:28" ht="13" customHeight="1" x14ac:dyDescent="0.35">
      <c r="A698" s="153">
        <v>50830</v>
      </c>
      <c r="B698" s="36" t="s">
        <v>43</v>
      </c>
      <c r="C698" s="15" t="s">
        <v>38</v>
      </c>
      <c r="D698" s="15" t="s">
        <v>29</v>
      </c>
      <c r="E698" s="30">
        <f>H697</f>
        <v>267607</v>
      </c>
      <c r="F698" s="37" cm="1">
        <f t="array" ref="F698">IFERROR((SUMPRODUCT(('Production Inputs'!$A:$A="47mg LP")*('Production Inputs'!$B:$B="TOTAL ACTIVE")*'Production Inputs'!$FM:$FM)+SUMPRODUCT(('Production Inputs'!$A:$A="47mg LP - EU Stock")*('Production Inputs'!$B:$B="TOTAL ACTIVE")*'Production Inputs'!$FM:$FM))*Dependencies!$D$5,0)</f>
        <v>0</v>
      </c>
      <c r="G698" s="37">
        <f t="array" ref="G698">IFERROR(SUMPRODUCT(('Production Inputs'!$A:$A="50mg DP")*('Production Inputs'!$B:$B="TOTAL ACTIVE")*'Production Inputs'!$FM:$FM),0)</f>
        <v>0</v>
      </c>
      <c r="H698" s="30">
        <f t="shared" si="70"/>
        <v>267607</v>
      </c>
      <c r="I698" s="30">
        <f ca="1">IFERROR(AVERAGEIF(OFFSET(F698,0,0,MIN(Controls!$B$8,COUNTIF(B698:B$1973,B698)),1),"&gt;"&amp;0),0)</f>
        <v>0</v>
      </c>
      <c r="J698" s="38">
        <f t="shared" ca="1" si="71"/>
        <v>999</v>
      </c>
      <c r="K698" s="30">
        <f t="shared" ca="1" si="75"/>
        <v>0</v>
      </c>
      <c r="L698" t="str">
        <f t="shared" ca="1" si="72"/>
        <v>Overstock</v>
      </c>
      <c r="M698" s="39">
        <f>IFERROR(VLOOKUP("50mg DP",Controls!A:I,7,0),6)</f>
        <v>9</v>
      </c>
      <c r="N698" s="39">
        <f>IFERROR(VLOOKUP("50mg DP",Controls!A:I,8,0),3)</f>
        <v>8</v>
      </c>
      <c r="O698" s="39">
        <f>IFERROR(VLOOKUP("50mg DP",Controls!A:I,9,0),18)</f>
        <v>18</v>
      </c>
      <c r="P698" s="40">
        <f>IFERROR(VLOOKUP("50mg DP",Controls!A:J,5,0),0)</f>
        <v>10000</v>
      </c>
      <c r="Q698" s="39">
        <f>IFERROR(VLOOKUP("50mg DP",Controls!A:J,6,0),3)</f>
        <v>5</v>
      </c>
      <c r="R698" s="21" t="str">
        <f>IFERROR(VLOOKUP("50mg DP",Controls!A:K,10,0),"")</f>
        <v>Patheon PDS-1</v>
      </c>
      <c r="S698" s="41">
        <f t="shared" si="73"/>
        <v>50679</v>
      </c>
      <c r="T698" s="30">
        <f t="shared" si="74"/>
        <v>0</v>
      </c>
      <c r="AB698">
        <f t="shared" si="76"/>
        <v>5</v>
      </c>
    </row>
    <row r="699" spans="1:28" ht="13" customHeight="1" x14ac:dyDescent="0.35">
      <c r="A699" s="153">
        <v>50861</v>
      </c>
      <c r="B699" s="36" t="s">
        <v>43</v>
      </c>
      <c r="C699" s="15" t="s">
        <v>38</v>
      </c>
      <c r="D699" s="15" t="s">
        <v>29</v>
      </c>
      <c r="E699" s="30">
        <f>H698</f>
        <v>267607</v>
      </c>
      <c r="F699" s="37" cm="1">
        <f t="array" ref="F699">IFERROR((SUMPRODUCT(('Production Inputs'!$A:$A="47mg LP")*('Production Inputs'!$B:$B="TOTAL ACTIVE")*'Production Inputs'!$FN:$FN)+SUMPRODUCT(('Production Inputs'!$A:$A="47mg LP - EU Stock")*('Production Inputs'!$B:$B="TOTAL ACTIVE")*'Production Inputs'!$FN:$FN))*Dependencies!$D$5,0)</f>
        <v>0</v>
      </c>
      <c r="G699" s="37">
        <f t="array" ref="G699">IFERROR(SUMPRODUCT(('Production Inputs'!$A:$A="50mg DP")*('Production Inputs'!$B:$B="TOTAL ACTIVE")*'Production Inputs'!$FN:$FN),0)</f>
        <v>0</v>
      </c>
      <c r="H699" s="30">
        <f t="shared" si="70"/>
        <v>267607</v>
      </c>
      <c r="I699" s="30">
        <f ca="1">IFERROR(AVERAGEIF(OFFSET(F699,0,0,MIN(Controls!$B$8,COUNTIF(B699:B$1973,B699)),1),"&gt;"&amp;0),0)</f>
        <v>0</v>
      </c>
      <c r="J699" s="38">
        <f t="shared" ca="1" si="71"/>
        <v>999</v>
      </c>
      <c r="K699" s="30">
        <f t="shared" ca="1" si="75"/>
        <v>0</v>
      </c>
      <c r="L699" t="str">
        <f t="shared" ca="1" si="72"/>
        <v>Overstock</v>
      </c>
      <c r="M699" s="39">
        <f>IFERROR(VLOOKUP("50mg DP",Controls!A:I,7,0),6)</f>
        <v>9</v>
      </c>
      <c r="N699" s="39">
        <f>IFERROR(VLOOKUP("50mg DP",Controls!A:I,8,0),3)</f>
        <v>8</v>
      </c>
      <c r="O699" s="39">
        <f>IFERROR(VLOOKUP("50mg DP",Controls!A:I,9,0),18)</f>
        <v>18</v>
      </c>
      <c r="P699" s="40">
        <f>IFERROR(VLOOKUP("50mg DP",Controls!A:J,5,0),0)</f>
        <v>10000</v>
      </c>
      <c r="Q699" s="39">
        <f>IFERROR(VLOOKUP("50mg DP",Controls!A:J,6,0),3)</f>
        <v>5</v>
      </c>
      <c r="R699" s="21" t="str">
        <f>IFERROR(VLOOKUP("50mg DP",Controls!A:K,10,0),"")</f>
        <v>Patheon PDS-1</v>
      </c>
      <c r="S699" s="41">
        <f t="shared" si="73"/>
        <v>50710</v>
      </c>
      <c r="T699" s="30">
        <f t="shared" si="74"/>
        <v>0</v>
      </c>
      <c r="AB699">
        <f t="shared" si="76"/>
        <v>5</v>
      </c>
    </row>
    <row r="700" spans="1:28" ht="13" customHeight="1" x14ac:dyDescent="0.35">
      <c r="A700" s="153">
        <v>50891</v>
      </c>
      <c r="B700" s="36" t="s">
        <v>43</v>
      </c>
      <c r="C700" s="15" t="s">
        <v>38</v>
      </c>
      <c r="D700" s="15" t="s">
        <v>29</v>
      </c>
      <c r="E700" s="30">
        <f>H699</f>
        <v>267607</v>
      </c>
      <c r="F700" s="37" cm="1">
        <f t="array" ref="F700">IFERROR((SUMPRODUCT(('Production Inputs'!$A:$A="47mg LP")*('Production Inputs'!$B:$B="TOTAL ACTIVE")*'Production Inputs'!$FO:$FO)+SUMPRODUCT(('Production Inputs'!$A:$A="47mg LP - EU Stock")*('Production Inputs'!$B:$B="TOTAL ACTIVE")*'Production Inputs'!$FO:$FO))*Dependencies!$D$5,0)</f>
        <v>0</v>
      </c>
      <c r="G700" s="37">
        <f t="array" ref="G700">IFERROR(SUMPRODUCT(('Production Inputs'!$A:$A="50mg DP")*('Production Inputs'!$B:$B="TOTAL ACTIVE")*'Production Inputs'!$FO:$FO),0)</f>
        <v>0</v>
      </c>
      <c r="H700" s="30">
        <f t="shared" si="70"/>
        <v>267607</v>
      </c>
      <c r="I700" s="30">
        <f ca="1">IFERROR(AVERAGEIF(OFFSET(F700,0,0,MIN(Controls!$B$8,COUNTIF(B700:B$1973,B700)),1),"&gt;"&amp;0),0)</f>
        <v>0</v>
      </c>
      <c r="J700" s="38">
        <f t="shared" ca="1" si="71"/>
        <v>999</v>
      </c>
      <c r="K700" s="30">
        <f t="shared" ca="1" si="75"/>
        <v>0</v>
      </c>
      <c r="L700" t="str">
        <f t="shared" ca="1" si="72"/>
        <v>Overstock</v>
      </c>
      <c r="M700" s="39">
        <f>IFERROR(VLOOKUP("50mg DP",Controls!A:I,7,0),6)</f>
        <v>9</v>
      </c>
      <c r="N700" s="39">
        <f>IFERROR(VLOOKUP("50mg DP",Controls!A:I,8,0),3)</f>
        <v>8</v>
      </c>
      <c r="O700" s="39">
        <f>IFERROR(VLOOKUP("50mg DP",Controls!A:I,9,0),18)</f>
        <v>18</v>
      </c>
      <c r="P700" s="40">
        <f>IFERROR(VLOOKUP("50mg DP",Controls!A:J,5,0),0)</f>
        <v>10000</v>
      </c>
      <c r="Q700" s="39">
        <f>IFERROR(VLOOKUP("50mg DP",Controls!A:J,6,0),3)</f>
        <v>5</v>
      </c>
      <c r="R700" s="21" t="str">
        <f>IFERROR(VLOOKUP("50mg DP",Controls!A:K,10,0),"")</f>
        <v>Patheon PDS-1</v>
      </c>
      <c r="S700" s="41">
        <f t="shared" si="73"/>
        <v>50740</v>
      </c>
      <c r="T700" s="30">
        <f t="shared" si="74"/>
        <v>0</v>
      </c>
      <c r="AB700">
        <f t="shared" si="76"/>
        <v>5</v>
      </c>
    </row>
    <row r="701" spans="1:28" ht="13" customHeight="1" x14ac:dyDescent="0.35">
      <c r="A701" s="153">
        <v>50922</v>
      </c>
      <c r="B701" s="36" t="s">
        <v>43</v>
      </c>
      <c r="C701" s="15" t="s">
        <v>38</v>
      </c>
      <c r="D701" s="15" t="s">
        <v>29</v>
      </c>
      <c r="E701" s="30">
        <f>H700</f>
        <v>267607</v>
      </c>
      <c r="F701" s="37" cm="1">
        <f t="array" ref="F701">IFERROR((SUMPRODUCT(('Production Inputs'!$A:$A="47mg LP")*('Production Inputs'!$B:$B="TOTAL ACTIVE")*'Production Inputs'!$FP:$FP)+SUMPRODUCT(('Production Inputs'!$A:$A="47mg LP - EU Stock")*('Production Inputs'!$B:$B="TOTAL ACTIVE")*'Production Inputs'!$FP:$FP))*Dependencies!$D$5,0)</f>
        <v>0</v>
      </c>
      <c r="G701" s="37">
        <f t="array" ref="G701">IFERROR(SUMPRODUCT(('Production Inputs'!$A:$A="50mg DP")*('Production Inputs'!$B:$B="TOTAL ACTIVE")*'Production Inputs'!$FP:$FP),0)</f>
        <v>0</v>
      </c>
      <c r="H701" s="30">
        <f t="shared" si="70"/>
        <v>267607</v>
      </c>
      <c r="I701" s="30">
        <f ca="1">IFERROR(AVERAGEIF(OFFSET(F701,0,0,MIN(Controls!$B$8,COUNTIF(B701:B$1973,B701)),1),"&gt;"&amp;0),0)</f>
        <v>0</v>
      </c>
      <c r="J701" s="38">
        <f t="shared" ca="1" si="71"/>
        <v>999</v>
      </c>
      <c r="K701" s="30">
        <f t="shared" ca="1" si="75"/>
        <v>0</v>
      </c>
      <c r="L701" t="str">
        <f t="shared" ca="1" si="72"/>
        <v>Overstock</v>
      </c>
      <c r="M701" s="39">
        <f>IFERROR(VLOOKUP("50mg DP",Controls!A:I,7,0),6)</f>
        <v>9</v>
      </c>
      <c r="N701" s="39">
        <f>IFERROR(VLOOKUP("50mg DP",Controls!A:I,8,0),3)</f>
        <v>8</v>
      </c>
      <c r="O701" s="39">
        <f>IFERROR(VLOOKUP("50mg DP",Controls!A:I,9,0),18)</f>
        <v>18</v>
      </c>
      <c r="P701" s="40">
        <f>IFERROR(VLOOKUP("50mg DP",Controls!A:J,5,0),0)</f>
        <v>10000</v>
      </c>
      <c r="Q701" s="39">
        <f>IFERROR(VLOOKUP("50mg DP",Controls!A:J,6,0),3)</f>
        <v>5</v>
      </c>
      <c r="R701" s="21" t="str">
        <f>IFERROR(VLOOKUP("50mg DP",Controls!A:K,10,0),"")</f>
        <v>Patheon PDS-1</v>
      </c>
      <c r="S701" s="41">
        <f t="shared" si="73"/>
        <v>50771</v>
      </c>
      <c r="T701" s="30">
        <f t="shared" si="74"/>
        <v>0</v>
      </c>
      <c r="AB701">
        <f t="shared" si="76"/>
        <v>5</v>
      </c>
    </row>
    <row r="702" spans="1:28" ht="13" customHeight="1" x14ac:dyDescent="0.35">
      <c r="A702" s="153">
        <v>50952</v>
      </c>
      <c r="B702" s="36" t="s">
        <v>43</v>
      </c>
      <c r="C702" s="15" t="s">
        <v>38</v>
      </c>
      <c r="D702" s="15" t="s">
        <v>29</v>
      </c>
      <c r="E702" s="30">
        <f>H701</f>
        <v>267607</v>
      </c>
      <c r="F702" s="37" cm="1">
        <f t="array" ref="F702">IFERROR((SUMPRODUCT(('Production Inputs'!$A:$A="47mg LP")*('Production Inputs'!$B:$B="TOTAL ACTIVE")*'Production Inputs'!$FQ:$FQ)+SUMPRODUCT(('Production Inputs'!$A:$A="47mg LP - EU Stock")*('Production Inputs'!$B:$B="TOTAL ACTIVE")*'Production Inputs'!$FQ:$FQ))*Dependencies!$D$5,0)</f>
        <v>0</v>
      </c>
      <c r="G702" s="37">
        <f t="array" ref="G702">IFERROR(SUMPRODUCT(('Production Inputs'!$A:$A="50mg DP")*('Production Inputs'!$B:$B="TOTAL ACTIVE")*'Production Inputs'!$FQ:$FQ),0)</f>
        <v>0</v>
      </c>
      <c r="H702" s="30">
        <f t="shared" si="70"/>
        <v>267607</v>
      </c>
      <c r="I702" s="30">
        <f ca="1">IFERROR(AVERAGEIF(OFFSET(F702,0,0,MIN(Controls!$B$8,COUNTIF(B702:B$1973,B702)),1),"&gt;"&amp;0),0)</f>
        <v>0</v>
      </c>
      <c r="J702" s="38">
        <f t="shared" ca="1" si="71"/>
        <v>999</v>
      </c>
      <c r="K702" s="30">
        <f t="shared" ca="1" si="75"/>
        <v>0</v>
      </c>
      <c r="L702" t="str">
        <f t="shared" ca="1" si="72"/>
        <v>Overstock</v>
      </c>
      <c r="M702" s="39">
        <f>IFERROR(VLOOKUP("50mg DP",Controls!A:I,7,0),6)</f>
        <v>9</v>
      </c>
      <c r="N702" s="39">
        <f>IFERROR(VLOOKUP("50mg DP",Controls!A:I,8,0),3)</f>
        <v>8</v>
      </c>
      <c r="O702" s="39">
        <f>IFERROR(VLOOKUP("50mg DP",Controls!A:I,9,0),18)</f>
        <v>18</v>
      </c>
      <c r="P702" s="40">
        <f>IFERROR(VLOOKUP("50mg DP",Controls!A:J,5,0),0)</f>
        <v>10000</v>
      </c>
      <c r="Q702" s="39">
        <f>IFERROR(VLOOKUP("50mg DP",Controls!A:J,6,0),3)</f>
        <v>5</v>
      </c>
      <c r="R702" s="21" t="str">
        <f>IFERROR(VLOOKUP("50mg DP",Controls!A:K,10,0),"")</f>
        <v>Patheon PDS-1</v>
      </c>
      <c r="S702" s="41">
        <f t="shared" si="73"/>
        <v>50802</v>
      </c>
      <c r="T702" s="30">
        <f t="shared" si="74"/>
        <v>0</v>
      </c>
      <c r="AB702">
        <f t="shared" si="76"/>
        <v>5</v>
      </c>
    </row>
    <row r="703" spans="1:28" ht="13" customHeight="1" x14ac:dyDescent="0.35">
      <c r="A703" s="153">
        <v>50983</v>
      </c>
      <c r="B703" s="36" t="s">
        <v>43</v>
      </c>
      <c r="C703" s="15" t="s">
        <v>38</v>
      </c>
      <c r="D703" s="15" t="s">
        <v>29</v>
      </c>
      <c r="E703" s="30">
        <f>H702</f>
        <v>267607</v>
      </c>
      <c r="F703" s="37" cm="1">
        <f t="array" ref="F703">IFERROR((SUMPRODUCT(('Production Inputs'!$A:$A="47mg LP")*('Production Inputs'!$B:$B="TOTAL ACTIVE")*'Production Inputs'!$FR:$FR)+SUMPRODUCT(('Production Inputs'!$A:$A="47mg LP - EU Stock")*('Production Inputs'!$B:$B="TOTAL ACTIVE")*'Production Inputs'!$FR:$FR))*Dependencies!$D$5,0)</f>
        <v>0</v>
      </c>
      <c r="G703" s="37">
        <f t="array" ref="G703">IFERROR(SUMPRODUCT(('Production Inputs'!$A:$A="50mg DP")*('Production Inputs'!$B:$B="TOTAL ACTIVE")*'Production Inputs'!$FR:$FR),0)</f>
        <v>0</v>
      </c>
      <c r="H703" s="30">
        <f t="shared" si="70"/>
        <v>267607</v>
      </c>
      <c r="I703" s="30">
        <f ca="1">IFERROR(AVERAGEIF(OFFSET(F703,0,0,MIN(Controls!$B$8,COUNTIF(B703:B$1973,B703)),1),"&gt;"&amp;0),0)</f>
        <v>0</v>
      </c>
      <c r="J703" s="38">
        <f t="shared" ca="1" si="71"/>
        <v>999</v>
      </c>
      <c r="K703" s="30">
        <f t="shared" ca="1" si="75"/>
        <v>0</v>
      </c>
      <c r="L703" t="str">
        <f t="shared" ca="1" si="72"/>
        <v>Overstock</v>
      </c>
      <c r="M703" s="39">
        <f>IFERROR(VLOOKUP("50mg DP",Controls!A:I,7,0),6)</f>
        <v>9</v>
      </c>
      <c r="N703" s="39">
        <f>IFERROR(VLOOKUP("50mg DP",Controls!A:I,8,0),3)</f>
        <v>8</v>
      </c>
      <c r="O703" s="39">
        <f>IFERROR(VLOOKUP("50mg DP",Controls!A:I,9,0),18)</f>
        <v>18</v>
      </c>
      <c r="P703" s="40">
        <f>IFERROR(VLOOKUP("50mg DP",Controls!A:J,5,0),0)</f>
        <v>10000</v>
      </c>
      <c r="Q703" s="39">
        <f>IFERROR(VLOOKUP("50mg DP",Controls!A:J,6,0),3)</f>
        <v>5</v>
      </c>
      <c r="R703" s="21" t="str">
        <f>IFERROR(VLOOKUP("50mg DP",Controls!A:K,10,0),"")</f>
        <v>Patheon PDS-1</v>
      </c>
      <c r="S703" s="41">
        <f t="shared" si="73"/>
        <v>50830</v>
      </c>
      <c r="T703" s="30">
        <f t="shared" si="74"/>
        <v>0</v>
      </c>
      <c r="AB703">
        <f t="shared" si="76"/>
        <v>5</v>
      </c>
    </row>
    <row r="704" spans="1:28" ht="13" customHeight="1" x14ac:dyDescent="0.35">
      <c r="A704" s="153">
        <v>51014</v>
      </c>
      <c r="B704" s="36" t="s">
        <v>43</v>
      </c>
      <c r="C704" s="15" t="s">
        <v>38</v>
      </c>
      <c r="D704" s="15" t="s">
        <v>29</v>
      </c>
      <c r="E704" s="30">
        <f>H703</f>
        <v>267607</v>
      </c>
      <c r="F704" s="37" cm="1">
        <f t="array" ref="F704">IFERROR((SUMPRODUCT(('Production Inputs'!$A:$A="47mg LP")*('Production Inputs'!$B:$B="TOTAL ACTIVE")*'Production Inputs'!$FS:$FS)+SUMPRODUCT(('Production Inputs'!$A:$A="47mg LP - EU Stock")*('Production Inputs'!$B:$B="TOTAL ACTIVE")*'Production Inputs'!$FS:$FS))*Dependencies!$D$5,0)</f>
        <v>0</v>
      </c>
      <c r="G704" s="37">
        <f t="array" ref="G704">IFERROR(SUMPRODUCT(('Production Inputs'!$A:$A="50mg DP")*('Production Inputs'!$B:$B="TOTAL ACTIVE")*'Production Inputs'!$FS:$FS),0)</f>
        <v>0</v>
      </c>
      <c r="H704" s="30">
        <f t="shared" si="70"/>
        <v>267607</v>
      </c>
      <c r="I704" s="30">
        <f ca="1">IFERROR(AVERAGEIF(OFFSET(F704,0,0,MIN(Controls!$B$8,COUNTIF(B704:B$1973,B704)),1),"&gt;"&amp;0),0)</f>
        <v>0</v>
      </c>
      <c r="J704" s="38">
        <f t="shared" ca="1" si="71"/>
        <v>999</v>
      </c>
      <c r="K704" s="30">
        <f t="shared" ca="1" si="75"/>
        <v>0</v>
      </c>
      <c r="L704" t="str">
        <f t="shared" ca="1" si="72"/>
        <v>Overstock</v>
      </c>
      <c r="M704" s="39">
        <f>IFERROR(VLOOKUP("50mg DP",Controls!A:I,7,0),6)</f>
        <v>9</v>
      </c>
      <c r="N704" s="39">
        <f>IFERROR(VLOOKUP("50mg DP",Controls!A:I,8,0),3)</f>
        <v>8</v>
      </c>
      <c r="O704" s="39">
        <f>IFERROR(VLOOKUP("50mg DP",Controls!A:I,9,0),18)</f>
        <v>18</v>
      </c>
      <c r="P704" s="40">
        <f>IFERROR(VLOOKUP("50mg DP",Controls!A:J,5,0),0)</f>
        <v>10000</v>
      </c>
      <c r="Q704" s="39">
        <f>IFERROR(VLOOKUP("50mg DP",Controls!A:J,6,0),3)</f>
        <v>5</v>
      </c>
      <c r="R704" s="21" t="str">
        <f>IFERROR(VLOOKUP("50mg DP",Controls!A:K,10,0),"")</f>
        <v>Patheon PDS-1</v>
      </c>
      <c r="S704" s="41">
        <f t="shared" si="73"/>
        <v>50861</v>
      </c>
      <c r="T704" s="30">
        <f t="shared" si="74"/>
        <v>0</v>
      </c>
      <c r="AB704">
        <f t="shared" si="76"/>
        <v>5</v>
      </c>
    </row>
    <row r="705" spans="1:28" ht="13" customHeight="1" x14ac:dyDescent="0.35">
      <c r="A705" s="153">
        <v>51044</v>
      </c>
      <c r="B705" s="36" t="s">
        <v>43</v>
      </c>
      <c r="C705" s="15" t="s">
        <v>38</v>
      </c>
      <c r="D705" s="15" t="s">
        <v>29</v>
      </c>
      <c r="E705" s="30">
        <f>H704</f>
        <v>267607</v>
      </c>
      <c r="F705" s="37" cm="1">
        <f t="array" ref="F705">IFERROR((SUMPRODUCT(('Production Inputs'!$A:$A="47mg LP")*('Production Inputs'!$B:$B="TOTAL ACTIVE")*'Production Inputs'!$FT:$FT)+SUMPRODUCT(('Production Inputs'!$A:$A="47mg LP - EU Stock")*('Production Inputs'!$B:$B="TOTAL ACTIVE")*'Production Inputs'!$FT:$FT))*Dependencies!$D$5,0)</f>
        <v>0</v>
      </c>
      <c r="G705" s="37">
        <f t="array" ref="G705">IFERROR(SUMPRODUCT(('Production Inputs'!$A:$A="50mg DP")*('Production Inputs'!$B:$B="TOTAL ACTIVE")*'Production Inputs'!$FT:$FT),0)</f>
        <v>0</v>
      </c>
      <c r="H705" s="30">
        <f t="shared" si="70"/>
        <v>267607</v>
      </c>
      <c r="I705" s="30">
        <f ca="1">IFERROR(AVERAGEIF(OFFSET(F705,0,0,MIN(Controls!$B$8,COUNTIF(B705:B$1973,B705)),1),"&gt;"&amp;0),0)</f>
        <v>0</v>
      </c>
      <c r="J705" s="38">
        <f t="shared" ca="1" si="71"/>
        <v>999</v>
      </c>
      <c r="K705" s="30">
        <f t="shared" ca="1" si="75"/>
        <v>0</v>
      </c>
      <c r="L705" t="str">
        <f t="shared" ca="1" si="72"/>
        <v>Overstock</v>
      </c>
      <c r="M705" s="39">
        <f>IFERROR(VLOOKUP("50mg DP",Controls!A:I,7,0),6)</f>
        <v>9</v>
      </c>
      <c r="N705" s="39">
        <f>IFERROR(VLOOKUP("50mg DP",Controls!A:I,8,0),3)</f>
        <v>8</v>
      </c>
      <c r="O705" s="39">
        <f>IFERROR(VLOOKUP("50mg DP",Controls!A:I,9,0),18)</f>
        <v>18</v>
      </c>
      <c r="P705" s="40">
        <f>IFERROR(VLOOKUP("50mg DP",Controls!A:J,5,0),0)</f>
        <v>10000</v>
      </c>
      <c r="Q705" s="39">
        <f>IFERROR(VLOOKUP("50mg DP",Controls!A:J,6,0),3)</f>
        <v>5</v>
      </c>
      <c r="R705" s="21" t="str">
        <f>IFERROR(VLOOKUP("50mg DP",Controls!A:K,10,0),"")</f>
        <v>Patheon PDS-1</v>
      </c>
      <c r="S705" s="41">
        <f t="shared" si="73"/>
        <v>50891</v>
      </c>
      <c r="T705" s="30">
        <f t="shared" si="74"/>
        <v>0</v>
      </c>
      <c r="AB705">
        <f t="shared" si="76"/>
        <v>5</v>
      </c>
    </row>
    <row r="706" spans="1:28" ht="13" customHeight="1" x14ac:dyDescent="0.35">
      <c r="A706" s="153">
        <v>51075</v>
      </c>
      <c r="B706" s="36" t="s">
        <v>43</v>
      </c>
      <c r="C706" s="15" t="s">
        <v>38</v>
      </c>
      <c r="D706" s="15" t="s">
        <v>29</v>
      </c>
      <c r="E706" s="30">
        <f>H705</f>
        <v>267607</v>
      </c>
      <c r="F706" s="37" cm="1">
        <f t="array" ref="F706">IFERROR((SUMPRODUCT(('Production Inputs'!$A:$A="47mg LP")*('Production Inputs'!$B:$B="TOTAL ACTIVE")*'Production Inputs'!$FU:$FU)+SUMPRODUCT(('Production Inputs'!$A:$A="47mg LP - EU Stock")*('Production Inputs'!$B:$B="TOTAL ACTIVE")*'Production Inputs'!$FU:$FU))*Dependencies!$D$5,0)</f>
        <v>0</v>
      </c>
      <c r="G706" s="37">
        <f t="array" ref="G706">IFERROR(SUMPRODUCT(('Production Inputs'!$A:$A="50mg DP")*('Production Inputs'!$B:$B="TOTAL ACTIVE")*'Production Inputs'!$FU:$FU),0)</f>
        <v>0</v>
      </c>
      <c r="H706" s="30">
        <f t="shared" si="70"/>
        <v>267607</v>
      </c>
      <c r="I706" s="30">
        <f ca="1">IFERROR(AVERAGEIF(OFFSET(F706,0,0,MIN(Controls!$B$8,COUNTIF(B706:B$1973,B706)),1),"&gt;"&amp;0),0)</f>
        <v>0</v>
      </c>
      <c r="J706" s="38">
        <f t="shared" ca="1" si="71"/>
        <v>999</v>
      </c>
      <c r="K706" s="30">
        <f t="shared" ca="1" si="75"/>
        <v>0</v>
      </c>
      <c r="L706" t="str">
        <f t="shared" ca="1" si="72"/>
        <v>Overstock</v>
      </c>
      <c r="M706" s="39">
        <f>IFERROR(VLOOKUP("50mg DP",Controls!A:I,7,0),6)</f>
        <v>9</v>
      </c>
      <c r="N706" s="39">
        <f>IFERROR(VLOOKUP("50mg DP",Controls!A:I,8,0),3)</f>
        <v>8</v>
      </c>
      <c r="O706" s="39">
        <f>IFERROR(VLOOKUP("50mg DP",Controls!A:I,9,0),18)</f>
        <v>18</v>
      </c>
      <c r="P706" s="40">
        <f>IFERROR(VLOOKUP("50mg DP",Controls!A:J,5,0),0)</f>
        <v>10000</v>
      </c>
      <c r="Q706" s="39">
        <f>IFERROR(VLOOKUP("50mg DP",Controls!A:J,6,0),3)</f>
        <v>5</v>
      </c>
      <c r="R706" s="21" t="str">
        <f>IFERROR(VLOOKUP("50mg DP",Controls!A:K,10,0),"")</f>
        <v>Patheon PDS-1</v>
      </c>
      <c r="S706" s="41">
        <f t="shared" si="73"/>
        <v>50922</v>
      </c>
      <c r="T706" s="30">
        <f t="shared" si="74"/>
        <v>0</v>
      </c>
      <c r="AB706">
        <f t="shared" si="76"/>
        <v>5</v>
      </c>
    </row>
    <row r="707" spans="1:28" ht="13" customHeight="1" x14ac:dyDescent="0.35">
      <c r="A707" s="153">
        <v>51105</v>
      </c>
      <c r="B707" s="36" t="s">
        <v>43</v>
      </c>
      <c r="C707" s="15" t="s">
        <v>38</v>
      </c>
      <c r="D707" s="15" t="s">
        <v>29</v>
      </c>
      <c r="E707" s="30">
        <f>H706</f>
        <v>267607</v>
      </c>
      <c r="F707" s="37" cm="1">
        <f t="array" ref="F707">IFERROR((SUMPRODUCT(('Production Inputs'!$A:$A="47mg LP")*('Production Inputs'!$B:$B="TOTAL ACTIVE")*'Production Inputs'!$FV:$FV)+SUMPRODUCT(('Production Inputs'!$A:$A="47mg LP - EU Stock")*('Production Inputs'!$B:$B="TOTAL ACTIVE")*'Production Inputs'!$FV:$FV))*Dependencies!$D$5,0)</f>
        <v>0</v>
      </c>
      <c r="G707" s="37">
        <f t="array" ref="G707">IFERROR(SUMPRODUCT(('Production Inputs'!$A:$A="50mg DP")*('Production Inputs'!$B:$B="TOTAL ACTIVE")*'Production Inputs'!$FV:$FV),0)</f>
        <v>0</v>
      </c>
      <c r="H707" s="30">
        <f t="shared" si="70"/>
        <v>267607</v>
      </c>
      <c r="I707" s="30">
        <f ca="1">IFERROR(AVERAGEIF(OFFSET(F707,0,0,MIN(Controls!$B$8,COUNTIF(B707:B$1973,B707)),1),"&gt;"&amp;0),0)</f>
        <v>0</v>
      </c>
      <c r="J707" s="38">
        <f t="shared" ca="1" si="71"/>
        <v>999</v>
      </c>
      <c r="K707" s="30">
        <f t="shared" ca="1" si="75"/>
        <v>0</v>
      </c>
      <c r="L707" t="str">
        <f t="shared" ca="1" si="72"/>
        <v>Overstock</v>
      </c>
      <c r="M707" s="39">
        <f>IFERROR(VLOOKUP("50mg DP",Controls!A:I,7,0),6)</f>
        <v>9</v>
      </c>
      <c r="N707" s="39">
        <f>IFERROR(VLOOKUP("50mg DP",Controls!A:I,8,0),3)</f>
        <v>8</v>
      </c>
      <c r="O707" s="39">
        <f>IFERROR(VLOOKUP("50mg DP",Controls!A:I,9,0),18)</f>
        <v>18</v>
      </c>
      <c r="P707" s="40">
        <f>IFERROR(VLOOKUP("50mg DP",Controls!A:J,5,0),0)</f>
        <v>10000</v>
      </c>
      <c r="Q707" s="39">
        <f>IFERROR(VLOOKUP("50mg DP",Controls!A:J,6,0),3)</f>
        <v>5</v>
      </c>
      <c r="R707" s="21" t="str">
        <f>IFERROR(VLOOKUP("50mg DP",Controls!A:K,10,0),"")</f>
        <v>Patheon PDS-1</v>
      </c>
      <c r="S707" s="41">
        <f t="shared" si="73"/>
        <v>50952</v>
      </c>
      <c r="T707" s="30">
        <f t="shared" si="74"/>
        <v>0</v>
      </c>
      <c r="AB707">
        <f t="shared" si="76"/>
        <v>5</v>
      </c>
    </row>
    <row r="708" spans="1:28" ht="13" customHeight="1" x14ac:dyDescent="0.35">
      <c r="A708" s="153">
        <v>51136</v>
      </c>
      <c r="B708" s="36" t="s">
        <v>43</v>
      </c>
      <c r="C708" s="15" t="s">
        <v>38</v>
      </c>
      <c r="D708" s="15" t="s">
        <v>29</v>
      </c>
      <c r="E708" s="30">
        <f>H707</f>
        <v>267607</v>
      </c>
      <c r="F708" s="37" cm="1">
        <f t="array" ref="F708">IFERROR((SUMPRODUCT(('Production Inputs'!$A:$A="47mg LP")*('Production Inputs'!$B:$B="TOTAL ACTIVE")*'Production Inputs'!$FW:$FW)+SUMPRODUCT(('Production Inputs'!$A:$A="47mg LP - EU Stock")*('Production Inputs'!$B:$B="TOTAL ACTIVE")*'Production Inputs'!$FW:$FW))*Dependencies!$D$5,0)</f>
        <v>0</v>
      </c>
      <c r="G708" s="37">
        <f t="array" ref="G708">IFERROR(SUMPRODUCT(('Production Inputs'!$A:$A="50mg DP")*('Production Inputs'!$B:$B="TOTAL ACTIVE")*'Production Inputs'!$FW:$FW),0)</f>
        <v>0</v>
      </c>
      <c r="H708" s="30">
        <f t="shared" ref="H708:H771" si="77">E708+G708-F708</f>
        <v>267607</v>
      </c>
      <c r="I708" s="30">
        <f ca="1">IFERROR(AVERAGEIF(OFFSET(F708,0,0,MIN(Controls!$B$8,COUNTIF(B708:B$1973,B708)),1),"&gt;"&amp;0),0)</f>
        <v>0</v>
      </c>
      <c r="J708" s="38">
        <f t="shared" ref="J708:J771" ca="1" si="78">IFERROR(H708/I708,IF(H708&gt;0,999,0))</f>
        <v>999</v>
      </c>
      <c r="K708" s="30">
        <f t="shared" ca="1" si="75"/>
        <v>0</v>
      </c>
      <c r="L708" t="str">
        <f t="shared" ref="L708:L771" ca="1" si="79">IF(H708&lt;=0,"High",IF(J708&lt;N708,"High",IF(J708&lt;M708,"Medium",IF(J708&gt;O708,"Overstock","Low"))))</f>
        <v>Overstock</v>
      </c>
      <c r="M708" s="39">
        <f>IFERROR(VLOOKUP("50mg DP",Controls!A:I,7,0),6)</f>
        <v>9</v>
      </c>
      <c r="N708" s="39">
        <f>IFERROR(VLOOKUP("50mg DP",Controls!A:I,8,0),3)</f>
        <v>8</v>
      </c>
      <c r="O708" s="39">
        <f>IFERROR(VLOOKUP("50mg DP",Controls!A:I,9,0),18)</f>
        <v>18</v>
      </c>
      <c r="P708" s="40">
        <f>IFERROR(VLOOKUP("50mg DP",Controls!A:J,5,0),0)</f>
        <v>10000</v>
      </c>
      <c r="Q708" s="39">
        <f>IFERROR(VLOOKUP("50mg DP",Controls!A:J,6,0),3)</f>
        <v>5</v>
      </c>
      <c r="R708" s="21" t="str">
        <f>IFERROR(VLOOKUP("50mg DP",Controls!A:K,10,0),"")</f>
        <v>Patheon PDS-1</v>
      </c>
      <c r="S708" s="41">
        <f t="shared" ref="S708:S771" si="80">IFERROR(EDATE(A708,-Q708),"")</f>
        <v>50983</v>
      </c>
      <c r="T708" s="30">
        <f t="shared" ref="T708:T771" si="81">G708</f>
        <v>0</v>
      </c>
      <c r="AB708">
        <f t="shared" si="76"/>
        <v>5</v>
      </c>
    </row>
    <row r="709" spans="1:28" ht="13" customHeight="1" x14ac:dyDescent="0.35">
      <c r="A709" s="153">
        <v>51167</v>
      </c>
      <c r="B709" s="36" t="s">
        <v>43</v>
      </c>
      <c r="C709" s="15" t="s">
        <v>38</v>
      </c>
      <c r="D709" s="15" t="s">
        <v>29</v>
      </c>
      <c r="E709" s="30">
        <f>H708</f>
        <v>267607</v>
      </c>
      <c r="F709" s="37" cm="1">
        <f t="array" ref="F709">IFERROR((SUMPRODUCT(('Production Inputs'!$A:$A="47mg LP")*('Production Inputs'!$B:$B="TOTAL ACTIVE")*'Production Inputs'!$FX:$FX)+SUMPRODUCT(('Production Inputs'!$A:$A="47mg LP - EU Stock")*('Production Inputs'!$B:$B="TOTAL ACTIVE")*'Production Inputs'!$FX:$FX))*Dependencies!$D$5,0)</f>
        <v>0</v>
      </c>
      <c r="G709" s="37">
        <f t="array" ref="G709">IFERROR(SUMPRODUCT(('Production Inputs'!$A:$A="50mg DP")*('Production Inputs'!$B:$B="TOTAL ACTIVE")*'Production Inputs'!$FX:$FX),0)</f>
        <v>0</v>
      </c>
      <c r="H709" s="30">
        <f t="shared" si="77"/>
        <v>267607</v>
      </c>
      <c r="I709" s="30">
        <f ca="1">IFERROR(AVERAGEIF(OFFSET(F709,0,0,MIN(Controls!$B$8,COUNTIF(B709:B$1973,B709)),1),"&gt;"&amp;0),0)</f>
        <v>0</v>
      </c>
      <c r="J709" s="38">
        <f t="shared" ca="1" si="78"/>
        <v>999</v>
      </c>
      <c r="K709" s="30">
        <f t="shared" ref="K709:K772" ca="1" si="82">IFERROR(IF(H709&lt;(N709*I709), CEILING(MAX(0,ROUND((M709*I709-H709)/P709,0)*P709),P709), 0), 0)</f>
        <v>0</v>
      </c>
      <c r="L709" t="str">
        <f t="shared" ca="1" si="79"/>
        <v>Overstock</v>
      </c>
      <c r="M709" s="39">
        <f>IFERROR(VLOOKUP("50mg DP",Controls!A:I,7,0),6)</f>
        <v>9</v>
      </c>
      <c r="N709" s="39">
        <f>IFERROR(VLOOKUP("50mg DP",Controls!A:I,8,0),3)</f>
        <v>8</v>
      </c>
      <c r="O709" s="39">
        <f>IFERROR(VLOOKUP("50mg DP",Controls!A:I,9,0),18)</f>
        <v>18</v>
      </c>
      <c r="P709" s="40">
        <f>IFERROR(VLOOKUP("50mg DP",Controls!A:J,5,0),0)</f>
        <v>10000</v>
      </c>
      <c r="Q709" s="39">
        <f>IFERROR(VLOOKUP("50mg DP",Controls!A:J,6,0),3)</f>
        <v>5</v>
      </c>
      <c r="R709" s="21" t="str">
        <f>IFERROR(VLOOKUP("50mg DP",Controls!A:K,10,0),"")</f>
        <v>Patheon PDS-1</v>
      </c>
      <c r="S709" s="41">
        <f t="shared" si="80"/>
        <v>51014</v>
      </c>
      <c r="T709" s="30">
        <f t="shared" si="81"/>
        <v>0</v>
      </c>
      <c r="AB709">
        <f t="shared" ref="AB709:AB772" si="83">SUMIFS($F$4:$F$2331,$B$4:$B$2331,B709,$A$4:$A$2331,"&lt;="&amp;A709)</f>
        <v>5</v>
      </c>
    </row>
    <row r="710" spans="1:28" ht="13" customHeight="1" x14ac:dyDescent="0.35">
      <c r="A710" s="153">
        <v>51196</v>
      </c>
      <c r="B710" s="36" t="s">
        <v>43</v>
      </c>
      <c r="C710" s="15" t="s">
        <v>38</v>
      </c>
      <c r="D710" s="15" t="s">
        <v>29</v>
      </c>
      <c r="E710" s="30">
        <f>H709</f>
        <v>267607</v>
      </c>
      <c r="F710" s="37" cm="1">
        <f t="array" ref="F710">IFERROR((SUMPRODUCT(('Production Inputs'!$A:$A="47mg LP")*('Production Inputs'!$B:$B="TOTAL ACTIVE")*'Production Inputs'!$FY:$FY)+SUMPRODUCT(('Production Inputs'!$A:$A="47mg LP - EU Stock")*('Production Inputs'!$B:$B="TOTAL ACTIVE")*'Production Inputs'!$FY:$FY))*Dependencies!$D$5,0)</f>
        <v>0</v>
      </c>
      <c r="G710" s="37">
        <f t="array" ref="G710">IFERROR(SUMPRODUCT(('Production Inputs'!$A:$A="50mg DP")*('Production Inputs'!$B:$B="TOTAL ACTIVE")*'Production Inputs'!$FY:$FY),0)</f>
        <v>0</v>
      </c>
      <c r="H710" s="30">
        <f t="shared" si="77"/>
        <v>267607</v>
      </c>
      <c r="I710" s="30">
        <f ca="1">IFERROR(AVERAGEIF(OFFSET(F710,0,0,MIN(Controls!$B$8,COUNTIF(B710:B$1973,B710)),1),"&gt;"&amp;0),0)</f>
        <v>0</v>
      </c>
      <c r="J710" s="38">
        <f t="shared" ca="1" si="78"/>
        <v>999</v>
      </c>
      <c r="K710" s="30">
        <f t="shared" ca="1" si="82"/>
        <v>0</v>
      </c>
      <c r="L710" t="str">
        <f t="shared" ca="1" si="79"/>
        <v>Overstock</v>
      </c>
      <c r="M710" s="39">
        <f>IFERROR(VLOOKUP("50mg DP",Controls!A:I,7,0),6)</f>
        <v>9</v>
      </c>
      <c r="N710" s="39">
        <f>IFERROR(VLOOKUP("50mg DP",Controls!A:I,8,0),3)</f>
        <v>8</v>
      </c>
      <c r="O710" s="39">
        <f>IFERROR(VLOOKUP("50mg DP",Controls!A:I,9,0),18)</f>
        <v>18</v>
      </c>
      <c r="P710" s="40">
        <f>IFERROR(VLOOKUP("50mg DP",Controls!A:J,5,0),0)</f>
        <v>10000</v>
      </c>
      <c r="Q710" s="39">
        <f>IFERROR(VLOOKUP("50mg DP",Controls!A:J,6,0),3)</f>
        <v>5</v>
      </c>
      <c r="R710" s="21" t="str">
        <f>IFERROR(VLOOKUP("50mg DP",Controls!A:K,10,0),"")</f>
        <v>Patheon PDS-1</v>
      </c>
      <c r="S710" s="41">
        <f t="shared" si="80"/>
        <v>51044</v>
      </c>
      <c r="T710" s="30">
        <f t="shared" si="81"/>
        <v>0</v>
      </c>
      <c r="AB710">
        <f t="shared" si="83"/>
        <v>5</v>
      </c>
    </row>
    <row r="711" spans="1:28" ht="13" customHeight="1" x14ac:dyDescent="0.35">
      <c r="A711" s="153">
        <v>51227</v>
      </c>
      <c r="B711" s="36" t="s">
        <v>43</v>
      </c>
      <c r="C711" s="15" t="s">
        <v>38</v>
      </c>
      <c r="D711" s="15" t="s">
        <v>29</v>
      </c>
      <c r="E711" s="30">
        <f>H710</f>
        <v>267607</v>
      </c>
      <c r="F711" s="37" cm="1">
        <f t="array" ref="F711">IFERROR((SUMPRODUCT(('Production Inputs'!$A:$A="47mg LP")*('Production Inputs'!$B:$B="TOTAL ACTIVE")*'Production Inputs'!$FZ:$FZ)+SUMPRODUCT(('Production Inputs'!$A:$A="47mg LP - EU Stock")*('Production Inputs'!$B:$B="TOTAL ACTIVE")*'Production Inputs'!$FZ:$FZ))*Dependencies!$D$5,0)</f>
        <v>0</v>
      </c>
      <c r="G711" s="37">
        <f t="array" ref="G711">IFERROR(SUMPRODUCT(('Production Inputs'!$A:$A="50mg DP")*('Production Inputs'!$B:$B="TOTAL ACTIVE")*'Production Inputs'!$FZ:$FZ),0)</f>
        <v>0</v>
      </c>
      <c r="H711" s="30">
        <f t="shared" si="77"/>
        <v>267607</v>
      </c>
      <c r="I711" s="30">
        <f ca="1">IFERROR(AVERAGEIF(OFFSET(F711,0,0,MIN(Controls!$B$8,COUNTIF(B711:B$1973,B711)),1),"&gt;"&amp;0),0)</f>
        <v>0</v>
      </c>
      <c r="J711" s="38">
        <f t="shared" ca="1" si="78"/>
        <v>999</v>
      </c>
      <c r="K711" s="30">
        <f t="shared" ca="1" si="82"/>
        <v>0</v>
      </c>
      <c r="L711" t="str">
        <f t="shared" ca="1" si="79"/>
        <v>Overstock</v>
      </c>
      <c r="M711" s="39">
        <f>IFERROR(VLOOKUP("50mg DP",Controls!A:I,7,0),6)</f>
        <v>9</v>
      </c>
      <c r="N711" s="39">
        <f>IFERROR(VLOOKUP("50mg DP",Controls!A:I,8,0),3)</f>
        <v>8</v>
      </c>
      <c r="O711" s="39">
        <f>IFERROR(VLOOKUP("50mg DP",Controls!A:I,9,0),18)</f>
        <v>18</v>
      </c>
      <c r="P711" s="40">
        <f>IFERROR(VLOOKUP("50mg DP",Controls!A:J,5,0),0)</f>
        <v>10000</v>
      </c>
      <c r="Q711" s="39">
        <f>IFERROR(VLOOKUP("50mg DP",Controls!A:J,6,0),3)</f>
        <v>5</v>
      </c>
      <c r="R711" s="21" t="str">
        <f>IFERROR(VLOOKUP("50mg DP",Controls!A:K,10,0),"")</f>
        <v>Patheon PDS-1</v>
      </c>
      <c r="S711" s="41">
        <f t="shared" si="80"/>
        <v>51075</v>
      </c>
      <c r="T711" s="30">
        <f t="shared" si="81"/>
        <v>0</v>
      </c>
      <c r="AB711">
        <f t="shared" si="83"/>
        <v>5</v>
      </c>
    </row>
    <row r="712" spans="1:28" ht="13" customHeight="1" x14ac:dyDescent="0.35">
      <c r="A712" s="153">
        <v>51257</v>
      </c>
      <c r="B712" s="36" t="s">
        <v>43</v>
      </c>
      <c r="C712" s="15" t="s">
        <v>38</v>
      </c>
      <c r="D712" s="15" t="s">
        <v>29</v>
      </c>
      <c r="E712" s="30">
        <f>H711</f>
        <v>267607</v>
      </c>
      <c r="F712" s="37" cm="1">
        <f t="array" ref="F712">IFERROR((SUMPRODUCT(('Production Inputs'!$A:$A="47mg LP")*('Production Inputs'!$B:$B="TOTAL ACTIVE")*'Production Inputs'!$GA:$GA)+SUMPRODUCT(('Production Inputs'!$A:$A="47mg LP - EU Stock")*('Production Inputs'!$B:$B="TOTAL ACTIVE")*'Production Inputs'!$GA:$GA))*Dependencies!$D$5,0)</f>
        <v>0</v>
      </c>
      <c r="G712" s="37">
        <f t="array" ref="G712">IFERROR(SUMPRODUCT(('Production Inputs'!$A:$A="50mg DP")*('Production Inputs'!$B:$B="TOTAL ACTIVE")*'Production Inputs'!$GA:$GA),0)</f>
        <v>0</v>
      </c>
      <c r="H712" s="30">
        <f t="shared" si="77"/>
        <v>267607</v>
      </c>
      <c r="I712" s="30">
        <f ca="1">IFERROR(AVERAGEIF(OFFSET(F712,0,0,MIN(Controls!$B$8,COUNTIF(B712:B$1973,B712)),1),"&gt;"&amp;0),0)</f>
        <v>0</v>
      </c>
      <c r="J712" s="38">
        <f t="shared" ca="1" si="78"/>
        <v>999</v>
      </c>
      <c r="K712" s="30">
        <f t="shared" ca="1" si="82"/>
        <v>0</v>
      </c>
      <c r="L712" t="str">
        <f t="shared" ca="1" si="79"/>
        <v>Overstock</v>
      </c>
      <c r="M712" s="39">
        <f>IFERROR(VLOOKUP("50mg DP",Controls!A:I,7,0),6)</f>
        <v>9</v>
      </c>
      <c r="N712" s="39">
        <f>IFERROR(VLOOKUP("50mg DP",Controls!A:I,8,0),3)</f>
        <v>8</v>
      </c>
      <c r="O712" s="39">
        <f>IFERROR(VLOOKUP("50mg DP",Controls!A:I,9,0),18)</f>
        <v>18</v>
      </c>
      <c r="P712" s="40">
        <f>IFERROR(VLOOKUP("50mg DP",Controls!A:J,5,0),0)</f>
        <v>10000</v>
      </c>
      <c r="Q712" s="39">
        <f>IFERROR(VLOOKUP("50mg DP",Controls!A:J,6,0),3)</f>
        <v>5</v>
      </c>
      <c r="R712" s="21" t="str">
        <f>IFERROR(VLOOKUP("50mg DP",Controls!A:K,10,0),"")</f>
        <v>Patheon PDS-1</v>
      </c>
      <c r="S712" s="41">
        <f t="shared" si="80"/>
        <v>51105</v>
      </c>
      <c r="T712" s="30">
        <f t="shared" si="81"/>
        <v>0</v>
      </c>
      <c r="AB712">
        <f t="shared" si="83"/>
        <v>5</v>
      </c>
    </row>
    <row r="713" spans="1:28" ht="13" customHeight="1" x14ac:dyDescent="0.35">
      <c r="A713" s="153">
        <v>51288</v>
      </c>
      <c r="B713" s="36" t="s">
        <v>43</v>
      </c>
      <c r="C713" s="15" t="s">
        <v>38</v>
      </c>
      <c r="D713" s="15" t="s">
        <v>29</v>
      </c>
      <c r="E713" s="30">
        <f>H712</f>
        <v>267607</v>
      </c>
      <c r="F713" s="37" cm="1">
        <f t="array" ref="F713">IFERROR((SUMPRODUCT(('Production Inputs'!$A:$A="47mg LP")*('Production Inputs'!$B:$B="TOTAL ACTIVE")*'Production Inputs'!$GB:$GB)+SUMPRODUCT(('Production Inputs'!$A:$A="47mg LP - EU Stock")*('Production Inputs'!$B:$B="TOTAL ACTIVE")*'Production Inputs'!$GB:$GB))*Dependencies!$D$5,0)</f>
        <v>0</v>
      </c>
      <c r="G713" s="37">
        <f t="array" ref="G713">IFERROR(SUMPRODUCT(('Production Inputs'!$A:$A="50mg DP")*('Production Inputs'!$B:$B="TOTAL ACTIVE")*'Production Inputs'!$GB:$GB),0)</f>
        <v>0</v>
      </c>
      <c r="H713" s="30">
        <f t="shared" si="77"/>
        <v>267607</v>
      </c>
      <c r="I713" s="30">
        <f ca="1">IFERROR(AVERAGEIF(OFFSET(F713,0,0,MIN(Controls!$B$8,COUNTIF(B713:B$1973,B713)),1),"&gt;"&amp;0),0)</f>
        <v>0</v>
      </c>
      <c r="J713" s="38">
        <f t="shared" ca="1" si="78"/>
        <v>999</v>
      </c>
      <c r="K713" s="30">
        <f t="shared" ca="1" si="82"/>
        <v>0</v>
      </c>
      <c r="L713" t="str">
        <f t="shared" ca="1" si="79"/>
        <v>Overstock</v>
      </c>
      <c r="M713" s="39">
        <f>IFERROR(VLOOKUP("50mg DP",Controls!A:I,7,0),6)</f>
        <v>9</v>
      </c>
      <c r="N713" s="39">
        <f>IFERROR(VLOOKUP("50mg DP",Controls!A:I,8,0),3)</f>
        <v>8</v>
      </c>
      <c r="O713" s="39">
        <f>IFERROR(VLOOKUP("50mg DP",Controls!A:I,9,0),18)</f>
        <v>18</v>
      </c>
      <c r="P713" s="40">
        <f>IFERROR(VLOOKUP("50mg DP",Controls!A:J,5,0),0)</f>
        <v>10000</v>
      </c>
      <c r="Q713" s="39">
        <f>IFERROR(VLOOKUP("50mg DP",Controls!A:J,6,0),3)</f>
        <v>5</v>
      </c>
      <c r="R713" s="21" t="str">
        <f>IFERROR(VLOOKUP("50mg DP",Controls!A:K,10,0),"")</f>
        <v>Patheon PDS-1</v>
      </c>
      <c r="S713" s="41">
        <f t="shared" si="80"/>
        <v>51136</v>
      </c>
      <c r="T713" s="30">
        <f t="shared" si="81"/>
        <v>0</v>
      </c>
      <c r="AB713">
        <f t="shared" si="83"/>
        <v>5</v>
      </c>
    </row>
    <row r="714" spans="1:28" ht="13" customHeight="1" x14ac:dyDescent="0.35">
      <c r="A714" s="153">
        <v>51318</v>
      </c>
      <c r="B714" s="36" t="s">
        <v>43</v>
      </c>
      <c r="C714" s="15" t="s">
        <v>38</v>
      </c>
      <c r="D714" s="15" t="s">
        <v>29</v>
      </c>
      <c r="E714" s="30">
        <f>H713</f>
        <v>267607</v>
      </c>
      <c r="F714" s="37" cm="1">
        <f t="array" ref="F714">IFERROR((SUMPRODUCT(('Production Inputs'!$A:$A="47mg LP")*('Production Inputs'!$B:$B="TOTAL ACTIVE")*'Production Inputs'!$GC:$GC)+SUMPRODUCT(('Production Inputs'!$A:$A="47mg LP - EU Stock")*('Production Inputs'!$B:$B="TOTAL ACTIVE")*'Production Inputs'!$GC:$GC))*Dependencies!$D$5,0)</f>
        <v>0</v>
      </c>
      <c r="G714" s="37">
        <f t="array" ref="G714">IFERROR(SUMPRODUCT(('Production Inputs'!$A:$A="50mg DP")*('Production Inputs'!$B:$B="TOTAL ACTIVE")*'Production Inputs'!$GC:$GC),0)</f>
        <v>0</v>
      </c>
      <c r="H714" s="30">
        <f t="shared" si="77"/>
        <v>267607</v>
      </c>
      <c r="I714" s="30">
        <f ca="1">IFERROR(AVERAGEIF(OFFSET(F714,0,0,MIN(Controls!$B$8,COUNTIF(B714:B$1973,B714)),1),"&gt;"&amp;0),0)</f>
        <v>0</v>
      </c>
      <c r="J714" s="38">
        <f t="shared" ca="1" si="78"/>
        <v>999</v>
      </c>
      <c r="K714" s="30">
        <f t="shared" ca="1" si="82"/>
        <v>0</v>
      </c>
      <c r="L714" t="str">
        <f t="shared" ca="1" si="79"/>
        <v>Overstock</v>
      </c>
      <c r="M714" s="39">
        <f>IFERROR(VLOOKUP("50mg DP",Controls!A:I,7,0),6)</f>
        <v>9</v>
      </c>
      <c r="N714" s="39">
        <f>IFERROR(VLOOKUP("50mg DP",Controls!A:I,8,0),3)</f>
        <v>8</v>
      </c>
      <c r="O714" s="39">
        <f>IFERROR(VLOOKUP("50mg DP",Controls!A:I,9,0),18)</f>
        <v>18</v>
      </c>
      <c r="P714" s="40">
        <f>IFERROR(VLOOKUP("50mg DP",Controls!A:J,5,0),0)</f>
        <v>10000</v>
      </c>
      <c r="Q714" s="39">
        <f>IFERROR(VLOOKUP("50mg DP",Controls!A:J,6,0),3)</f>
        <v>5</v>
      </c>
      <c r="R714" s="21" t="str">
        <f>IFERROR(VLOOKUP("50mg DP",Controls!A:K,10,0),"")</f>
        <v>Patheon PDS-1</v>
      </c>
      <c r="S714" s="41">
        <f t="shared" si="80"/>
        <v>51167</v>
      </c>
      <c r="T714" s="30">
        <f t="shared" si="81"/>
        <v>0</v>
      </c>
      <c r="AB714">
        <f t="shared" si="83"/>
        <v>5</v>
      </c>
    </row>
    <row r="715" spans="1:28" ht="13" customHeight="1" x14ac:dyDescent="0.35">
      <c r="A715" s="153">
        <v>51349</v>
      </c>
      <c r="B715" s="36" t="s">
        <v>43</v>
      </c>
      <c r="C715" s="15" t="s">
        <v>38</v>
      </c>
      <c r="D715" s="15" t="s">
        <v>29</v>
      </c>
      <c r="E715" s="30">
        <f>H714</f>
        <v>267607</v>
      </c>
      <c r="F715" s="37" cm="1">
        <f t="array" ref="F715">IFERROR((SUMPRODUCT(('Production Inputs'!$A:$A="47mg LP")*('Production Inputs'!$B:$B="TOTAL ACTIVE")*'Production Inputs'!$GD:$GD)+SUMPRODUCT(('Production Inputs'!$A:$A="47mg LP - EU Stock")*('Production Inputs'!$B:$B="TOTAL ACTIVE")*'Production Inputs'!$GD:$GD))*Dependencies!$D$5,0)</f>
        <v>0</v>
      </c>
      <c r="G715" s="37">
        <f t="array" ref="G715">IFERROR(SUMPRODUCT(('Production Inputs'!$A:$A="50mg DP")*('Production Inputs'!$B:$B="TOTAL ACTIVE")*'Production Inputs'!$GD:$GD),0)</f>
        <v>0</v>
      </c>
      <c r="H715" s="30">
        <f t="shared" si="77"/>
        <v>267607</v>
      </c>
      <c r="I715" s="30">
        <f ca="1">IFERROR(AVERAGEIF(OFFSET(F715,0,0,MIN(Controls!$B$8,COUNTIF(B715:B$1973,B715)),1),"&gt;"&amp;0),0)</f>
        <v>0</v>
      </c>
      <c r="J715" s="38">
        <f t="shared" ca="1" si="78"/>
        <v>999</v>
      </c>
      <c r="K715" s="30">
        <f t="shared" ca="1" si="82"/>
        <v>0</v>
      </c>
      <c r="L715" t="str">
        <f t="shared" ca="1" si="79"/>
        <v>Overstock</v>
      </c>
      <c r="M715" s="39">
        <f>IFERROR(VLOOKUP("50mg DP",Controls!A:I,7,0),6)</f>
        <v>9</v>
      </c>
      <c r="N715" s="39">
        <f>IFERROR(VLOOKUP("50mg DP",Controls!A:I,8,0),3)</f>
        <v>8</v>
      </c>
      <c r="O715" s="39">
        <f>IFERROR(VLOOKUP("50mg DP",Controls!A:I,9,0),18)</f>
        <v>18</v>
      </c>
      <c r="P715" s="40">
        <f>IFERROR(VLOOKUP("50mg DP",Controls!A:J,5,0),0)</f>
        <v>10000</v>
      </c>
      <c r="Q715" s="39">
        <f>IFERROR(VLOOKUP("50mg DP",Controls!A:J,6,0),3)</f>
        <v>5</v>
      </c>
      <c r="R715" s="21" t="str">
        <f>IFERROR(VLOOKUP("50mg DP",Controls!A:K,10,0),"")</f>
        <v>Patheon PDS-1</v>
      </c>
      <c r="S715" s="41">
        <f t="shared" si="80"/>
        <v>51196</v>
      </c>
      <c r="T715" s="30">
        <f t="shared" si="81"/>
        <v>0</v>
      </c>
      <c r="AB715">
        <f t="shared" si="83"/>
        <v>5</v>
      </c>
    </row>
    <row r="716" spans="1:28" ht="13" customHeight="1" x14ac:dyDescent="0.35">
      <c r="A716" s="153">
        <v>51380</v>
      </c>
      <c r="B716" s="36" t="s">
        <v>43</v>
      </c>
      <c r="C716" s="15" t="s">
        <v>38</v>
      </c>
      <c r="D716" s="15" t="s">
        <v>29</v>
      </c>
      <c r="E716" s="30">
        <f>H715</f>
        <v>267607</v>
      </c>
      <c r="F716" s="37" cm="1">
        <f t="array" ref="F716">IFERROR((SUMPRODUCT(('Production Inputs'!$A:$A="47mg LP")*('Production Inputs'!$B:$B="TOTAL ACTIVE")*'Production Inputs'!$GE:$GE)+SUMPRODUCT(('Production Inputs'!$A:$A="47mg LP - EU Stock")*('Production Inputs'!$B:$B="TOTAL ACTIVE")*'Production Inputs'!$GE:$GE))*Dependencies!$D$5,0)</f>
        <v>0</v>
      </c>
      <c r="G716" s="37">
        <f t="array" ref="G716">IFERROR(SUMPRODUCT(('Production Inputs'!$A:$A="50mg DP")*('Production Inputs'!$B:$B="TOTAL ACTIVE")*'Production Inputs'!$GE:$GE),0)</f>
        <v>0</v>
      </c>
      <c r="H716" s="30">
        <f t="shared" si="77"/>
        <v>267607</v>
      </c>
      <c r="I716" s="30">
        <f ca="1">IFERROR(AVERAGEIF(OFFSET(F716,0,0,MIN(Controls!$B$8,COUNTIF(B716:B$1973,B716)),1),"&gt;"&amp;0),0)</f>
        <v>0</v>
      </c>
      <c r="J716" s="38">
        <f t="shared" ca="1" si="78"/>
        <v>999</v>
      </c>
      <c r="K716" s="30">
        <f t="shared" ca="1" si="82"/>
        <v>0</v>
      </c>
      <c r="L716" t="str">
        <f t="shared" ca="1" si="79"/>
        <v>Overstock</v>
      </c>
      <c r="M716" s="39">
        <f>IFERROR(VLOOKUP("50mg DP",Controls!A:I,7,0),6)</f>
        <v>9</v>
      </c>
      <c r="N716" s="39">
        <f>IFERROR(VLOOKUP("50mg DP",Controls!A:I,8,0),3)</f>
        <v>8</v>
      </c>
      <c r="O716" s="39">
        <f>IFERROR(VLOOKUP("50mg DP",Controls!A:I,9,0),18)</f>
        <v>18</v>
      </c>
      <c r="P716" s="40">
        <f>IFERROR(VLOOKUP("50mg DP",Controls!A:J,5,0),0)</f>
        <v>10000</v>
      </c>
      <c r="Q716" s="39">
        <f>IFERROR(VLOOKUP("50mg DP",Controls!A:J,6,0),3)</f>
        <v>5</v>
      </c>
      <c r="R716" s="21" t="str">
        <f>IFERROR(VLOOKUP("50mg DP",Controls!A:K,10,0),"")</f>
        <v>Patheon PDS-1</v>
      </c>
      <c r="S716" s="41">
        <f t="shared" si="80"/>
        <v>51227</v>
      </c>
      <c r="T716" s="30">
        <f t="shared" si="81"/>
        <v>0</v>
      </c>
      <c r="AB716">
        <f t="shared" si="83"/>
        <v>5</v>
      </c>
    </row>
    <row r="717" spans="1:28" ht="13" customHeight="1" x14ac:dyDescent="0.35">
      <c r="A717" s="153">
        <v>51410</v>
      </c>
      <c r="B717" s="36" t="s">
        <v>43</v>
      </c>
      <c r="C717" s="15" t="s">
        <v>38</v>
      </c>
      <c r="D717" s="15" t="s">
        <v>29</v>
      </c>
      <c r="E717" s="30">
        <f>H716</f>
        <v>267607</v>
      </c>
      <c r="F717" s="37" cm="1">
        <f t="array" ref="F717">IFERROR((SUMPRODUCT(('Production Inputs'!$A:$A="47mg LP")*('Production Inputs'!$B:$B="TOTAL ACTIVE")*'Production Inputs'!$GF:$GF)+SUMPRODUCT(('Production Inputs'!$A:$A="47mg LP - EU Stock")*('Production Inputs'!$B:$B="TOTAL ACTIVE")*'Production Inputs'!$GF:$GF))*Dependencies!$D$5,0)</f>
        <v>0</v>
      </c>
      <c r="G717" s="37">
        <f t="array" ref="G717">IFERROR(SUMPRODUCT(('Production Inputs'!$A:$A="50mg DP")*('Production Inputs'!$B:$B="TOTAL ACTIVE")*'Production Inputs'!$GF:$GF),0)</f>
        <v>0</v>
      </c>
      <c r="H717" s="30">
        <f t="shared" si="77"/>
        <v>267607</v>
      </c>
      <c r="I717" s="30">
        <f ca="1">IFERROR(AVERAGEIF(OFFSET(F717,0,0,MIN(Controls!$B$8,COUNTIF(B717:B$1973,B717)),1),"&gt;"&amp;0),0)</f>
        <v>0</v>
      </c>
      <c r="J717" s="38">
        <f t="shared" ca="1" si="78"/>
        <v>999</v>
      </c>
      <c r="K717" s="30">
        <f t="shared" ca="1" si="82"/>
        <v>0</v>
      </c>
      <c r="L717" t="str">
        <f t="shared" ca="1" si="79"/>
        <v>Overstock</v>
      </c>
      <c r="M717" s="39">
        <f>IFERROR(VLOOKUP("50mg DP",Controls!A:I,7,0),6)</f>
        <v>9</v>
      </c>
      <c r="N717" s="39">
        <f>IFERROR(VLOOKUP("50mg DP",Controls!A:I,8,0),3)</f>
        <v>8</v>
      </c>
      <c r="O717" s="39">
        <f>IFERROR(VLOOKUP("50mg DP",Controls!A:I,9,0),18)</f>
        <v>18</v>
      </c>
      <c r="P717" s="40">
        <f>IFERROR(VLOOKUP("50mg DP",Controls!A:J,5,0),0)</f>
        <v>10000</v>
      </c>
      <c r="Q717" s="39">
        <f>IFERROR(VLOOKUP("50mg DP",Controls!A:J,6,0),3)</f>
        <v>5</v>
      </c>
      <c r="R717" s="21" t="str">
        <f>IFERROR(VLOOKUP("50mg DP",Controls!A:K,10,0),"")</f>
        <v>Patheon PDS-1</v>
      </c>
      <c r="S717" s="41">
        <f t="shared" si="80"/>
        <v>51257</v>
      </c>
      <c r="T717" s="30">
        <f t="shared" si="81"/>
        <v>0</v>
      </c>
      <c r="AB717">
        <f t="shared" si="83"/>
        <v>5</v>
      </c>
    </row>
    <row r="718" spans="1:28" ht="13" customHeight="1" x14ac:dyDescent="0.35">
      <c r="A718" s="153">
        <v>51441</v>
      </c>
      <c r="B718" s="36" t="s">
        <v>43</v>
      </c>
      <c r="C718" s="15" t="s">
        <v>38</v>
      </c>
      <c r="D718" s="15" t="s">
        <v>29</v>
      </c>
      <c r="E718" s="30">
        <f>H717</f>
        <v>267607</v>
      </c>
      <c r="F718" s="37" cm="1">
        <f t="array" ref="F718">IFERROR((SUMPRODUCT(('Production Inputs'!$A:$A="47mg LP")*('Production Inputs'!$B:$B="TOTAL ACTIVE")*'Production Inputs'!$GG:$GG)+SUMPRODUCT(('Production Inputs'!$A:$A="47mg LP - EU Stock")*('Production Inputs'!$B:$B="TOTAL ACTIVE")*'Production Inputs'!$GG:$GG))*Dependencies!$D$5,0)</f>
        <v>0</v>
      </c>
      <c r="G718" s="37">
        <f t="array" ref="G718">IFERROR(SUMPRODUCT(('Production Inputs'!$A:$A="50mg DP")*('Production Inputs'!$B:$B="TOTAL ACTIVE")*'Production Inputs'!$GG:$GG),0)</f>
        <v>0</v>
      </c>
      <c r="H718" s="30">
        <f t="shared" si="77"/>
        <v>267607</v>
      </c>
      <c r="I718" s="30">
        <f ca="1">IFERROR(AVERAGEIF(OFFSET(F718,0,0,MIN(Controls!$B$8,COUNTIF(B718:B$1973,B718)),1),"&gt;"&amp;0),0)</f>
        <v>0</v>
      </c>
      <c r="J718" s="38">
        <f t="shared" ca="1" si="78"/>
        <v>999</v>
      </c>
      <c r="K718" s="30">
        <f t="shared" ca="1" si="82"/>
        <v>0</v>
      </c>
      <c r="L718" t="str">
        <f t="shared" ca="1" si="79"/>
        <v>Overstock</v>
      </c>
      <c r="M718" s="39">
        <f>IFERROR(VLOOKUP("50mg DP",Controls!A:I,7,0),6)</f>
        <v>9</v>
      </c>
      <c r="N718" s="39">
        <f>IFERROR(VLOOKUP("50mg DP",Controls!A:I,8,0),3)</f>
        <v>8</v>
      </c>
      <c r="O718" s="39">
        <f>IFERROR(VLOOKUP("50mg DP",Controls!A:I,9,0),18)</f>
        <v>18</v>
      </c>
      <c r="P718" s="40">
        <f>IFERROR(VLOOKUP("50mg DP",Controls!A:J,5,0),0)</f>
        <v>10000</v>
      </c>
      <c r="Q718" s="39">
        <f>IFERROR(VLOOKUP("50mg DP",Controls!A:J,6,0),3)</f>
        <v>5</v>
      </c>
      <c r="R718" s="21" t="str">
        <f>IFERROR(VLOOKUP("50mg DP",Controls!A:K,10,0),"")</f>
        <v>Patheon PDS-1</v>
      </c>
      <c r="S718" s="41">
        <f t="shared" si="80"/>
        <v>51288</v>
      </c>
      <c r="T718" s="30">
        <f t="shared" si="81"/>
        <v>0</v>
      </c>
      <c r="AB718">
        <f t="shared" si="83"/>
        <v>5</v>
      </c>
    </row>
    <row r="719" spans="1:28" ht="13" customHeight="1" x14ac:dyDescent="0.35">
      <c r="A719" s="153">
        <v>51471</v>
      </c>
      <c r="B719" s="36" t="s">
        <v>43</v>
      </c>
      <c r="C719" s="15" t="s">
        <v>38</v>
      </c>
      <c r="D719" s="15" t="s">
        <v>29</v>
      </c>
      <c r="E719" s="30">
        <f>H718</f>
        <v>267607</v>
      </c>
      <c r="F719" s="37" cm="1">
        <f t="array" ref="F719">IFERROR((SUMPRODUCT(('Production Inputs'!$A:$A="47mg LP")*('Production Inputs'!$B:$B="TOTAL ACTIVE")*'Production Inputs'!$GH:$GH)+SUMPRODUCT(('Production Inputs'!$A:$A="47mg LP - EU Stock")*('Production Inputs'!$B:$B="TOTAL ACTIVE")*'Production Inputs'!$GH:$GH))*Dependencies!$D$5,0)</f>
        <v>0</v>
      </c>
      <c r="G719" s="37">
        <f t="array" ref="G719">IFERROR(SUMPRODUCT(('Production Inputs'!$A:$A="50mg DP")*('Production Inputs'!$B:$B="TOTAL ACTIVE")*'Production Inputs'!$GH:$GH),0)</f>
        <v>0</v>
      </c>
      <c r="H719" s="30">
        <f t="shared" si="77"/>
        <v>267607</v>
      </c>
      <c r="I719" s="30">
        <f ca="1">IFERROR(AVERAGEIF(OFFSET(F719,0,0,MIN(Controls!$B$8,COUNTIF(B719:B$1973,B719)),1),"&gt;"&amp;0),0)</f>
        <v>0</v>
      </c>
      <c r="J719" s="38">
        <f t="shared" ca="1" si="78"/>
        <v>999</v>
      </c>
      <c r="K719" s="30">
        <f t="shared" ca="1" si="82"/>
        <v>0</v>
      </c>
      <c r="L719" t="str">
        <f t="shared" ca="1" si="79"/>
        <v>Overstock</v>
      </c>
      <c r="M719" s="39">
        <f>IFERROR(VLOOKUP("50mg DP",Controls!A:I,7,0),6)</f>
        <v>9</v>
      </c>
      <c r="N719" s="39">
        <f>IFERROR(VLOOKUP("50mg DP",Controls!A:I,8,0),3)</f>
        <v>8</v>
      </c>
      <c r="O719" s="39">
        <f>IFERROR(VLOOKUP("50mg DP",Controls!A:I,9,0),18)</f>
        <v>18</v>
      </c>
      <c r="P719" s="40">
        <f>IFERROR(VLOOKUP("50mg DP",Controls!A:J,5,0),0)</f>
        <v>10000</v>
      </c>
      <c r="Q719" s="39">
        <f>IFERROR(VLOOKUP("50mg DP",Controls!A:J,6,0),3)</f>
        <v>5</v>
      </c>
      <c r="R719" s="21" t="str">
        <f>IFERROR(VLOOKUP("50mg DP",Controls!A:K,10,0),"")</f>
        <v>Patheon PDS-1</v>
      </c>
      <c r="S719" s="41">
        <f t="shared" si="80"/>
        <v>51318</v>
      </c>
      <c r="T719" s="30">
        <f t="shared" si="81"/>
        <v>0</v>
      </c>
      <c r="AB719">
        <f t="shared" si="83"/>
        <v>5</v>
      </c>
    </row>
    <row r="720" spans="1:28" ht="13" customHeight="1" x14ac:dyDescent="0.35">
      <c r="A720" s="153">
        <v>46054</v>
      </c>
      <c r="B720" s="36" t="s">
        <v>45</v>
      </c>
      <c r="C720" s="15" t="s">
        <v>47</v>
      </c>
      <c r="D720" s="15" t="s">
        <v>48</v>
      </c>
      <c r="E720" s="199">
        <f>IFERROR(VLOOKUP("Drug Substance",Controls!A:D,4,0),0)</f>
        <v>78.12</v>
      </c>
      <c r="F720" s="199">
        <f>IFERROR('Production Inputs'!$L$27*Dependencies!$D$6+'Production Inputs'!$L$32*Dependencies!$D$9+'Production Inputs'!$L$26*Dependencies!$D$8+'Production Inputs'!$L$31*Dependencies!$D$10,0)</f>
        <v>0</v>
      </c>
      <c r="G720" s="199">
        <f t="array" ref="G720">IFERROR(SUMPRODUCT(('Production Inputs'!$A:$A="Drug Substance")*('Production Inputs'!$B:$B="TOTAL ACTIVE")*'Production Inputs'!$L:$L),0)</f>
        <v>0</v>
      </c>
      <c r="H720" s="199">
        <f t="shared" si="77"/>
        <v>78.12</v>
      </c>
      <c r="I720" s="30">
        <f ca="1">IFERROR(AVERAGEIF(OFFSET(F720,0,0,MIN(Controls!$B$8,COUNTIF(B720:B$1973,B720)),1),"&gt;"&amp;0),0)</f>
        <v>3.55</v>
      </c>
      <c r="J720" s="38">
        <f t="shared" ca="1" si="78"/>
        <v>22.005633802816902</v>
      </c>
      <c r="K720" s="30">
        <f t="shared" ca="1" si="82"/>
        <v>0</v>
      </c>
      <c r="L720" t="str">
        <f t="shared" ca="1" si="79"/>
        <v>Overstock</v>
      </c>
      <c r="M720" s="39">
        <f>IFERROR(VLOOKUP("Drug Substance",Controls!A:I,7,0),6)</f>
        <v>12</v>
      </c>
      <c r="N720" s="39">
        <f>IFERROR(VLOOKUP("Drug Substance",Controls!A:I,8,0),3)</f>
        <v>9</v>
      </c>
      <c r="O720" s="39">
        <f>IFERROR(VLOOKUP("Drug Substance",Controls!A:I,9,0),18)</f>
        <v>18</v>
      </c>
      <c r="P720" s="40">
        <f>IFERROR(VLOOKUP("Drug Substance",Controls!A:J,5,0),0)</f>
        <v>4.3</v>
      </c>
      <c r="Q720" s="39">
        <f>IFERROR(VLOOKUP("Drug Substance",Controls!A:J,6,0),3)</f>
        <v>5</v>
      </c>
      <c r="R720" s="21" t="str">
        <f>IFERROR(VLOOKUP("Drug Substance",Controls!A:K,10,0),"")</f>
        <v>ST Pharm (Oligo P1 F2)</v>
      </c>
      <c r="S720" s="41">
        <f t="shared" si="80"/>
        <v>45901</v>
      </c>
      <c r="T720" s="30">
        <f t="shared" si="81"/>
        <v>0</v>
      </c>
      <c r="W720" s="205" cm="1">
        <f t="array" ref="W720">IF(0&lt;Controls!$B$7,INDEX(A720:A898,MATCH(Controls!$B$5,A720:A898,1)+0),NA())</f>
        <v>46113</v>
      </c>
      <c r="X720" cm="1">
        <f t="array" ref="X720">IF(0&lt;Controls!$B$7,INDEX(F720:F898,MATCH(Controls!$B$5,A720:A898,1)+0),NA())</f>
        <v>5.6999999999999993</v>
      </c>
      <c r="Y720" cm="1">
        <f t="array" ref="Y720">IF(0&lt;Controls!$B$7,INDEX(G720:G898,MATCH(Controls!$B$5,A720:A898,1)+0),NA())</f>
        <v>0</v>
      </c>
      <c r="Z720" cm="1">
        <f t="array" ref="Z720">IF(0&lt;Controls!$B$7,INDEX(H720:H898,MATCH(Controls!$B$5,A720:A898,1)+0),NA())</f>
        <v>78.12</v>
      </c>
      <c r="AA720" cm="1">
        <f t="array" aca="1" ref="AA720" ca="1">IF(0&lt;Controls!$B$7,INDEX(M720:M898,MATCH(Controls!$B$5,A720:A898,1)+0)*INDEX(I720:I898,MATCH(Controls!$B$5,A720:A898,1)+0),NA())</f>
        <v>42.599999999999994</v>
      </c>
      <c r="AB720">
        <f t="shared" si="83"/>
        <v>0</v>
      </c>
    </row>
    <row r="721" spans="1:28" ht="13" customHeight="1" x14ac:dyDescent="0.35">
      <c r="A721" s="153">
        <v>46082</v>
      </c>
      <c r="B721" s="36" t="s">
        <v>45</v>
      </c>
      <c r="C721" s="15" t="s">
        <v>47</v>
      </c>
      <c r="D721" s="15" t="s">
        <v>48</v>
      </c>
      <c r="E721" s="199">
        <f>H720</f>
        <v>78.12</v>
      </c>
      <c r="F721" s="199">
        <f>IFERROR('Production Inputs'!$M$27*Dependencies!$D$6+'Production Inputs'!$M$32*Dependencies!$D$9+'Production Inputs'!$M$26*Dependencies!$D$8+'Production Inputs'!$M$31*Dependencies!$D$10,0)</f>
        <v>0</v>
      </c>
      <c r="G721" s="199">
        <f t="array" ref="G721">IFERROR(SUMPRODUCT(('Production Inputs'!$A:$A="Drug Substance")*('Production Inputs'!$B:$B="TOTAL ACTIVE")*'Production Inputs'!$M:$M),0)</f>
        <v>0</v>
      </c>
      <c r="H721" s="199">
        <v>78.12</v>
      </c>
      <c r="I721" s="30">
        <f ca="1">IFERROR(AVERAGEIF(OFFSET(F721,0,0,MIN(Controls!$B$8,COUNTIF(B721:B$1973,B721)),1),"&gt;"&amp;0),0)</f>
        <v>3.55</v>
      </c>
      <c r="J721" s="38">
        <f t="shared" ca="1" si="78"/>
        <v>22.005633802816902</v>
      </c>
      <c r="K721" s="30">
        <f t="shared" ca="1" si="82"/>
        <v>0</v>
      </c>
      <c r="L721" t="str">
        <f t="shared" ca="1" si="79"/>
        <v>Overstock</v>
      </c>
      <c r="M721" s="39">
        <f>IFERROR(VLOOKUP("Drug Substance",Controls!A:I,7,0),6)</f>
        <v>12</v>
      </c>
      <c r="N721" s="39">
        <f>IFERROR(VLOOKUP("Drug Substance",Controls!A:I,8,0),3)</f>
        <v>9</v>
      </c>
      <c r="O721" s="39">
        <f>IFERROR(VLOOKUP("Drug Substance",Controls!A:I,9,0),18)</f>
        <v>18</v>
      </c>
      <c r="P721" s="40">
        <f>IFERROR(VLOOKUP("Drug Substance",Controls!A:J,5,0),0)</f>
        <v>4.3</v>
      </c>
      <c r="Q721" s="39">
        <f>IFERROR(VLOOKUP("Drug Substance",Controls!A:J,6,0),3)</f>
        <v>5</v>
      </c>
      <c r="R721" s="21" t="str">
        <f>IFERROR(VLOOKUP("Drug Substance",Controls!A:K,10,0),"")</f>
        <v>ST Pharm (Oligo P1 F2)</v>
      </c>
      <c r="S721" s="41">
        <f t="shared" si="80"/>
        <v>45931</v>
      </c>
      <c r="T721" s="30">
        <f t="shared" si="81"/>
        <v>0</v>
      </c>
      <c r="W721" s="205" cm="1">
        <f t="array" ref="W721">IF(1&lt;Controls!$B$7,INDEX(A720:A898,MATCH(Controls!$B$5,A720:A898,1)+1),NA())</f>
        <v>46143</v>
      </c>
      <c r="X721" cm="1">
        <f t="array" ref="X721">IF(1&lt;Controls!$B$7,INDEX(F720:F898,MATCH(Controls!$B$5,A720:A898,1)+1),NA())</f>
        <v>1.4</v>
      </c>
      <c r="Y721" cm="1">
        <f t="array" ref="Y721">IF(1&lt;Controls!$B$7,INDEX(G720:G898,MATCH(Controls!$B$5,A720:A898,1)+1),NA())</f>
        <v>8.6</v>
      </c>
      <c r="Z721" cm="1">
        <f t="array" ref="Z721">IF(1&lt;Controls!$B$7,INDEX(H720:H898,MATCH(Controls!$B$5,A720:A898,1)+1),NA())</f>
        <v>85.32</v>
      </c>
      <c r="AA721" cm="1">
        <f t="array" aca="1" ref="AA721" ca="1">IF(1&lt;Controls!$B$7,INDEX(M720:M898,MATCH(Controls!$B$5,A720:A898,1)+1)*INDEX(I720:I898,MATCH(Controls!$B$5,A720:A898,1)+1),NA())</f>
        <v>33.999999999999993</v>
      </c>
      <c r="AB721">
        <f t="shared" si="83"/>
        <v>0</v>
      </c>
    </row>
    <row r="722" spans="1:28" ht="13" customHeight="1" x14ac:dyDescent="0.35">
      <c r="A722" s="153">
        <v>46113</v>
      </c>
      <c r="B722" s="36" t="s">
        <v>45</v>
      </c>
      <c r="C722" s="15" t="s">
        <v>47</v>
      </c>
      <c r="D722" s="15" t="s">
        <v>48</v>
      </c>
      <c r="E722" s="390">
        <f>H721</f>
        <v>78.12</v>
      </c>
      <c r="F722" s="391">
        <f>IFERROR('Production Inputs'!$N$27*Dependencies!$D$6+'Production Inputs'!$N$32*Dependencies!$D$9+'Production Inputs'!$N$26*Dependencies!$D$8+'Production Inputs'!$N$31*Dependencies!$D$10,0)</f>
        <v>5.6999999999999993</v>
      </c>
      <c r="G722" s="391">
        <f t="array" ref="G722">IFERROR(SUMPRODUCT(('Production Inputs'!$A:$A="Drug Substance")*('Production Inputs'!$B:$B="TOTAL ACTIVE")*'Production Inputs'!$N:$N),0)</f>
        <v>0</v>
      </c>
      <c r="H722" s="390">
        <v>78.12</v>
      </c>
      <c r="I722" s="30">
        <f ca="1">IFERROR(AVERAGEIF(OFFSET(F722,0,0,MIN(Controls!$B$8,COUNTIF(B722:B$1973,B722)),1),"&gt;"&amp;0),0)</f>
        <v>3.55</v>
      </c>
      <c r="J722" s="38">
        <f t="shared" ca="1" si="78"/>
        <v>22.005633802816902</v>
      </c>
      <c r="K722" s="30">
        <f t="shared" ca="1" si="82"/>
        <v>0</v>
      </c>
      <c r="L722" t="str">
        <f t="shared" ca="1" si="79"/>
        <v>Overstock</v>
      </c>
      <c r="M722" s="39">
        <f>IFERROR(VLOOKUP("Drug Substance",Controls!A:I,7,0),6)</f>
        <v>12</v>
      </c>
      <c r="N722" s="39">
        <f>IFERROR(VLOOKUP("Drug Substance",Controls!A:I,8,0),3)</f>
        <v>9</v>
      </c>
      <c r="O722" s="39">
        <f>IFERROR(VLOOKUP("Drug Substance",Controls!A:I,9,0),18)</f>
        <v>18</v>
      </c>
      <c r="P722" s="40">
        <f>IFERROR(VLOOKUP("Drug Substance",Controls!A:J,5,0),0)</f>
        <v>4.3</v>
      </c>
      <c r="Q722" s="39">
        <f>IFERROR(VLOOKUP("Drug Substance",Controls!A:J,6,0),3)</f>
        <v>5</v>
      </c>
      <c r="R722" s="21" t="str">
        <f>IFERROR(VLOOKUP("Drug Substance",Controls!A:K,10,0),"")</f>
        <v>ST Pharm (Oligo P1 F2)</v>
      </c>
      <c r="S722" s="41">
        <f t="shared" si="80"/>
        <v>45962</v>
      </c>
      <c r="T722" s="30">
        <f t="shared" si="81"/>
        <v>0</v>
      </c>
      <c r="W722" s="205" cm="1">
        <f t="array" ref="W722">IF(2&lt;Controls!$B$7,INDEX(A720:A898,MATCH(Controls!$B$5,A720:A898,1)+2),NA())</f>
        <v>46174</v>
      </c>
      <c r="X722" cm="1">
        <f t="array" ref="X722">IF(2&lt;Controls!$B$7,INDEX(F720:F898,MATCH(Controls!$B$5,A720:A898,1)+2),NA())</f>
        <v>6.3999999999999995</v>
      </c>
      <c r="Y722" cm="1">
        <f t="array" ref="Y722">IF(2&lt;Controls!$B$7,INDEX(G720:G898,MATCH(Controls!$B$5,A720:A898,1)+2),NA())</f>
        <v>12.9</v>
      </c>
      <c r="Z722" cm="1">
        <f t="array" ref="Z722">IF(2&lt;Controls!$B$7,INDEX(H720:H898,MATCH(Controls!$B$5,A720:A898,1)+2),NA())</f>
        <v>91.82</v>
      </c>
      <c r="AA722" cm="1">
        <f t="array" aca="1" ref="AA722" ca="1">IF(2&lt;Controls!$B$7,INDEX(M720:M898,MATCH(Controls!$B$5,A720:A898,1)+2)*INDEX(I720:I898,MATCH(Controls!$B$5,A720:A898,1)+2),NA())</f>
        <v>42.599999999999994</v>
      </c>
      <c r="AB722">
        <f t="shared" si="83"/>
        <v>5.6999999999999993</v>
      </c>
    </row>
    <row r="723" spans="1:28" ht="13" customHeight="1" x14ac:dyDescent="0.35">
      <c r="A723" s="153">
        <v>46143</v>
      </c>
      <c r="B723" s="36" t="s">
        <v>45</v>
      </c>
      <c r="C723" s="15" t="s">
        <v>47</v>
      </c>
      <c r="D723" s="15" t="s">
        <v>48</v>
      </c>
      <c r="E723" s="30">
        <f>H722</f>
        <v>78.12</v>
      </c>
      <c r="F723" s="37">
        <f>IFERROR('Production Inputs'!$O$27*Dependencies!$D$6+'Production Inputs'!$O$32*Dependencies!$D$9+'Production Inputs'!$O$26*Dependencies!$D$8+'Production Inputs'!$O$31*Dependencies!$D$10,0)</f>
        <v>1.4</v>
      </c>
      <c r="G723" s="37">
        <f t="array" ref="G723">IFERROR(SUMPRODUCT(('Production Inputs'!$A:$A="Drug Substance")*('Production Inputs'!$B:$B="TOTAL ACTIVE")*'Production Inputs'!$O:$O),0)</f>
        <v>8.6</v>
      </c>
      <c r="H723" s="30">
        <f t="shared" si="77"/>
        <v>85.32</v>
      </c>
      <c r="I723" s="30">
        <f ca="1">IFERROR(AVERAGEIF(OFFSET(F723,0,0,MIN(Controls!$B$8,COUNTIF(B723:B$1973,B723)),1),"&gt;"&amp;0),0)</f>
        <v>2.8333333333333326</v>
      </c>
      <c r="J723" s="38">
        <f t="shared" ca="1" si="78"/>
        <v>30.112941176470592</v>
      </c>
      <c r="K723" s="30">
        <f t="shared" ca="1" si="82"/>
        <v>0</v>
      </c>
      <c r="L723" t="str">
        <f t="shared" ca="1" si="79"/>
        <v>Overstock</v>
      </c>
      <c r="M723" s="39">
        <f>IFERROR(VLOOKUP("Drug Substance",Controls!A:I,7,0),6)</f>
        <v>12</v>
      </c>
      <c r="N723" s="39">
        <f>IFERROR(VLOOKUP("Drug Substance",Controls!A:I,8,0),3)</f>
        <v>9</v>
      </c>
      <c r="O723" s="39">
        <f>IFERROR(VLOOKUP("Drug Substance",Controls!A:I,9,0),18)</f>
        <v>18</v>
      </c>
      <c r="P723" s="40">
        <f>IFERROR(VLOOKUP("Drug Substance",Controls!A:J,5,0),0)</f>
        <v>4.3</v>
      </c>
      <c r="Q723" s="39">
        <f>IFERROR(VLOOKUP("Drug Substance",Controls!A:J,6,0),3)</f>
        <v>5</v>
      </c>
      <c r="R723" s="21" t="str">
        <f>IFERROR(VLOOKUP("Drug Substance",Controls!A:K,10,0),"")</f>
        <v>ST Pharm (Oligo P1 F2)</v>
      </c>
      <c r="S723" s="41">
        <f t="shared" si="80"/>
        <v>45992</v>
      </c>
      <c r="T723" s="30">
        <f t="shared" si="81"/>
        <v>8.6</v>
      </c>
      <c r="W723" s="205" cm="1">
        <f t="array" ref="W723">IF(3&lt;Controls!$B$7,INDEX(A720:A898,MATCH(Controls!$B$5,A720:A898,1)+3),NA())</f>
        <v>46204</v>
      </c>
      <c r="X723" cm="1">
        <f t="array" ref="X723">IF(3&lt;Controls!$B$7,INDEX(F720:F898,MATCH(Controls!$B$5,A720:A898,1)+3),NA())</f>
        <v>0.7</v>
      </c>
      <c r="Y723" cm="1">
        <f t="array" ref="Y723">IF(3&lt;Controls!$B$7,INDEX(G720:G898,MATCH(Controls!$B$5,A720:A898,1)+3),NA())</f>
        <v>4.3</v>
      </c>
      <c r="Z723" cm="1">
        <f t="array" ref="Z723">IF(3&lt;Controls!$B$7,INDEX(H720:H898,MATCH(Controls!$B$5,A720:A898,1)+3),NA())</f>
        <v>95.419999999999987</v>
      </c>
      <c r="AA723" cm="1">
        <f t="array" aca="1" ref="AA723" ca="1">IF(3&lt;Controls!$B$7,INDEX(M720:M898,MATCH(Controls!$B$5,A720:A898,1)+3)*INDEX(I720:I898,MATCH(Controls!$B$5,A720:A898,1)+3),NA())</f>
        <v>8.3999999999999986</v>
      </c>
      <c r="AB723">
        <f t="shared" si="83"/>
        <v>7.1</v>
      </c>
    </row>
    <row r="724" spans="1:28" ht="13" customHeight="1" x14ac:dyDescent="0.35">
      <c r="A724" s="153">
        <v>46174</v>
      </c>
      <c r="B724" s="36" t="s">
        <v>45</v>
      </c>
      <c r="C724" s="15" t="s">
        <v>47</v>
      </c>
      <c r="D724" s="15" t="s">
        <v>48</v>
      </c>
      <c r="E724" s="30">
        <f>H723</f>
        <v>85.32</v>
      </c>
      <c r="F724" s="37">
        <f>IFERROR('Production Inputs'!$P$27*Dependencies!$D$6+'Production Inputs'!$P$32*Dependencies!$D$9+'Production Inputs'!$P$26*Dependencies!$D$8+'Production Inputs'!$P$31*Dependencies!$D$10,0)</f>
        <v>6.3999999999999995</v>
      </c>
      <c r="G724" s="37">
        <f t="array" ref="G724">IFERROR(SUMPRODUCT(('Production Inputs'!$A:$A="Drug Substance")*('Production Inputs'!$B:$B="TOTAL ACTIVE")*'Production Inputs'!$P:$P),0)</f>
        <v>12.9</v>
      </c>
      <c r="H724" s="30">
        <f t="shared" si="77"/>
        <v>91.82</v>
      </c>
      <c r="I724" s="30">
        <f ca="1">IFERROR(AVERAGEIF(OFFSET(F724,0,0,MIN(Controls!$B$8,COUNTIF(B724:B$1973,B724)),1),"&gt;"&amp;0),0)</f>
        <v>3.55</v>
      </c>
      <c r="J724" s="38">
        <f t="shared" ca="1" si="78"/>
        <v>25.864788732394366</v>
      </c>
      <c r="K724" s="30">
        <f t="shared" ca="1" si="82"/>
        <v>0</v>
      </c>
      <c r="L724" t="str">
        <f t="shared" ca="1" si="79"/>
        <v>Overstock</v>
      </c>
      <c r="M724" s="39">
        <f>IFERROR(VLOOKUP("Drug Substance",Controls!A:I,7,0),6)</f>
        <v>12</v>
      </c>
      <c r="N724" s="39">
        <f>IFERROR(VLOOKUP("Drug Substance",Controls!A:I,8,0),3)</f>
        <v>9</v>
      </c>
      <c r="O724" s="39">
        <f>IFERROR(VLOOKUP("Drug Substance",Controls!A:I,9,0),18)</f>
        <v>18</v>
      </c>
      <c r="P724" s="40">
        <f>IFERROR(VLOOKUP("Drug Substance",Controls!A:J,5,0),0)</f>
        <v>4.3</v>
      </c>
      <c r="Q724" s="39">
        <f>IFERROR(VLOOKUP("Drug Substance",Controls!A:J,6,0),3)</f>
        <v>5</v>
      </c>
      <c r="R724" s="21" t="str">
        <f>IFERROR(VLOOKUP("Drug Substance",Controls!A:K,10,0),"")</f>
        <v>ST Pharm (Oligo P1 F2)</v>
      </c>
      <c r="S724" s="41">
        <f t="shared" si="80"/>
        <v>46023</v>
      </c>
      <c r="T724" s="30">
        <f t="shared" si="81"/>
        <v>12.9</v>
      </c>
      <c r="W724" s="205" cm="1">
        <f t="array" ref="W724">IF(4&lt;Controls!$B$7,INDEX(A720:A898,MATCH(Controls!$B$5,A720:A898,1)+4),NA())</f>
        <v>46235</v>
      </c>
      <c r="X724" cm="1">
        <f t="array" ref="X724">IF(4&lt;Controls!$B$7,INDEX(F720:F898,MATCH(Controls!$B$5,A720:A898,1)+4),NA())</f>
        <v>0</v>
      </c>
      <c r="Y724" cm="1">
        <f t="array" ref="Y724">IF(4&lt;Controls!$B$7,INDEX(G720:G898,MATCH(Controls!$B$5,A720:A898,1)+4),NA())</f>
        <v>0</v>
      </c>
      <c r="Z724" cm="1">
        <f t="array" ref="Z724">IF(4&lt;Controls!$B$7,INDEX(H720:H898,MATCH(Controls!$B$5,A720:A898,1)+4),NA())</f>
        <v>95.419999999999987</v>
      </c>
      <c r="AA724" cm="1">
        <f t="array" aca="1" ref="AA724" ca="1">IF(4&lt;Controls!$B$7,INDEX(M720:M898,MATCH(Controls!$B$5,A720:A898,1)+4)*INDEX(I720:I898,MATCH(Controls!$B$5,A720:A898,1)+4),NA())</f>
        <v>0</v>
      </c>
      <c r="AB724">
        <f t="shared" si="83"/>
        <v>13.5</v>
      </c>
    </row>
    <row r="725" spans="1:28" ht="13" customHeight="1" x14ac:dyDescent="0.35">
      <c r="A725" s="153">
        <v>46204</v>
      </c>
      <c r="B725" s="36" t="s">
        <v>45</v>
      </c>
      <c r="C725" s="15" t="s">
        <v>47</v>
      </c>
      <c r="D725" s="15" t="s">
        <v>48</v>
      </c>
      <c r="E725" s="30">
        <f>H724</f>
        <v>91.82</v>
      </c>
      <c r="F725" s="37">
        <f>IFERROR('Production Inputs'!$Q$27*Dependencies!$D$6+'Production Inputs'!$Q$32*Dependencies!$D$9+'Production Inputs'!$Q$26*Dependencies!$D$8+'Production Inputs'!$Q$31*Dependencies!$D$10,0)</f>
        <v>0.7</v>
      </c>
      <c r="G725" s="37">
        <f t="array" ref="G725">IFERROR(SUMPRODUCT(('Production Inputs'!$A:$A="Drug Substance")*('Production Inputs'!$B:$B="TOTAL ACTIVE")*'Production Inputs'!$Q:$Q),0)</f>
        <v>4.3</v>
      </c>
      <c r="H725" s="30">
        <f t="shared" si="77"/>
        <v>95.419999999999987</v>
      </c>
      <c r="I725" s="30">
        <f ca="1">IFERROR(AVERAGEIF(OFFSET(F725,0,0,MIN(Controls!$B$8,COUNTIF(B725:B$1973,B725)),1),"&gt;"&amp;0),0)</f>
        <v>0.7</v>
      </c>
      <c r="J725" s="38">
        <f t="shared" ca="1" si="78"/>
        <v>136.31428571428572</v>
      </c>
      <c r="K725" s="30">
        <f t="shared" ca="1" si="82"/>
        <v>0</v>
      </c>
      <c r="L725" t="str">
        <f t="shared" ca="1" si="79"/>
        <v>Overstock</v>
      </c>
      <c r="M725" s="39">
        <f>IFERROR(VLOOKUP("Drug Substance",Controls!A:I,7,0),6)</f>
        <v>12</v>
      </c>
      <c r="N725" s="39">
        <f>IFERROR(VLOOKUP("Drug Substance",Controls!A:I,8,0),3)</f>
        <v>9</v>
      </c>
      <c r="O725" s="39">
        <f>IFERROR(VLOOKUP("Drug Substance",Controls!A:I,9,0),18)</f>
        <v>18</v>
      </c>
      <c r="P725" s="40">
        <f>IFERROR(VLOOKUP("Drug Substance",Controls!A:J,5,0),0)</f>
        <v>4.3</v>
      </c>
      <c r="Q725" s="39">
        <f>IFERROR(VLOOKUP("Drug Substance",Controls!A:J,6,0),3)</f>
        <v>5</v>
      </c>
      <c r="R725" s="21" t="str">
        <f>IFERROR(VLOOKUP("Drug Substance",Controls!A:K,10,0),"")</f>
        <v>ST Pharm (Oligo P1 F2)</v>
      </c>
      <c r="S725" s="41">
        <f t="shared" si="80"/>
        <v>46054</v>
      </c>
      <c r="T725" s="30">
        <f t="shared" si="81"/>
        <v>4.3</v>
      </c>
      <c r="W725" s="205" cm="1">
        <f t="array" ref="W725">IF(5&lt;Controls!$B$7,INDEX(A720:A898,MATCH(Controls!$B$5,A720:A898,1)+5),NA())</f>
        <v>46266</v>
      </c>
      <c r="X725" cm="1">
        <f t="array" ref="X725">IF(5&lt;Controls!$B$7,INDEX(F720:F898,MATCH(Controls!$B$5,A720:A898,1)+5),NA())</f>
        <v>0</v>
      </c>
      <c r="Y725" cm="1">
        <f t="array" ref="Y725">IF(5&lt;Controls!$B$7,INDEX(G720:G898,MATCH(Controls!$B$5,A720:A898,1)+5),NA())</f>
        <v>0</v>
      </c>
      <c r="Z725" cm="1">
        <f t="array" ref="Z725">IF(5&lt;Controls!$B$7,INDEX(H720:H898,MATCH(Controls!$B$5,A720:A898,1)+5),NA())</f>
        <v>95.419999999999987</v>
      </c>
      <c r="AA725" cm="1">
        <f t="array" aca="1" ref="AA725" ca="1">IF(5&lt;Controls!$B$7,INDEX(M720:M898,MATCH(Controls!$B$5,A720:A898,1)+5)*INDEX(I720:I898,MATCH(Controls!$B$5,A720:A898,1)+5),NA())</f>
        <v>0</v>
      </c>
      <c r="AB725">
        <f t="shared" si="83"/>
        <v>14.2</v>
      </c>
    </row>
    <row r="726" spans="1:28" ht="13" customHeight="1" x14ac:dyDescent="0.35">
      <c r="A726" s="153">
        <v>46235</v>
      </c>
      <c r="B726" s="36" t="s">
        <v>45</v>
      </c>
      <c r="C726" s="15" t="s">
        <v>47</v>
      </c>
      <c r="D726" s="15" t="s">
        <v>48</v>
      </c>
      <c r="E726" s="30">
        <f>H725</f>
        <v>95.419999999999987</v>
      </c>
      <c r="F726" s="37">
        <f>IFERROR('Production Inputs'!$R$27*Dependencies!$D$6+'Production Inputs'!$R$32*Dependencies!$D$9+'Production Inputs'!$R$26*Dependencies!$D$8+'Production Inputs'!$R$31*Dependencies!$D$10,0)</f>
        <v>0</v>
      </c>
      <c r="G726" s="37">
        <f t="array" ref="G726">IFERROR(SUMPRODUCT(('Production Inputs'!$A:$A="Drug Substance")*('Production Inputs'!$B:$B="TOTAL ACTIVE")*'Production Inputs'!$R:$R),0)</f>
        <v>0</v>
      </c>
      <c r="H726" s="30">
        <f t="shared" si="77"/>
        <v>95.419999999999987</v>
      </c>
      <c r="I726" s="30">
        <f ca="1">IFERROR(AVERAGEIF(OFFSET(F726,0,0,MIN(Controls!$B$8,COUNTIF(B726:B$1973,B726)),1),"&gt;"&amp;0),0)</f>
        <v>0</v>
      </c>
      <c r="J726" s="38">
        <f t="shared" ca="1" si="78"/>
        <v>999</v>
      </c>
      <c r="K726" s="30">
        <f t="shared" ca="1" si="82"/>
        <v>0</v>
      </c>
      <c r="L726" t="str">
        <f t="shared" ca="1" si="79"/>
        <v>Overstock</v>
      </c>
      <c r="M726" s="39">
        <f>IFERROR(VLOOKUP("Drug Substance",Controls!A:I,7,0),6)</f>
        <v>12</v>
      </c>
      <c r="N726" s="39">
        <f>IFERROR(VLOOKUP("Drug Substance",Controls!A:I,8,0),3)</f>
        <v>9</v>
      </c>
      <c r="O726" s="39">
        <f>IFERROR(VLOOKUP("Drug Substance",Controls!A:I,9,0),18)</f>
        <v>18</v>
      </c>
      <c r="P726" s="40">
        <f>IFERROR(VLOOKUP("Drug Substance",Controls!A:J,5,0),0)</f>
        <v>4.3</v>
      </c>
      <c r="Q726" s="39">
        <f>IFERROR(VLOOKUP("Drug Substance",Controls!A:J,6,0),3)</f>
        <v>5</v>
      </c>
      <c r="R726" s="21" t="str">
        <f>IFERROR(VLOOKUP("Drug Substance",Controls!A:K,10,0),"")</f>
        <v>ST Pharm (Oligo P1 F2)</v>
      </c>
      <c r="S726" s="41">
        <f t="shared" si="80"/>
        <v>46082</v>
      </c>
      <c r="T726" s="30">
        <f t="shared" si="81"/>
        <v>0</v>
      </c>
      <c r="W726" s="205" cm="1">
        <f t="array" ref="W726">IF(6&lt;Controls!$B$7,INDEX(A720:A898,MATCH(Controls!$B$5,A720:A898,1)+6),NA())</f>
        <v>46296</v>
      </c>
      <c r="X726" cm="1">
        <f t="array" ref="X726">IF(6&lt;Controls!$B$7,INDEX(F720:F898,MATCH(Controls!$B$5,A720:A898,1)+6),NA())</f>
        <v>0</v>
      </c>
      <c r="Y726" cm="1">
        <f t="array" ref="Y726">IF(6&lt;Controls!$B$7,INDEX(G720:G898,MATCH(Controls!$B$5,A720:A898,1)+6),NA())</f>
        <v>0</v>
      </c>
      <c r="Z726" cm="1">
        <f t="array" ref="Z726">IF(6&lt;Controls!$B$7,INDEX(H720:H898,MATCH(Controls!$B$5,A720:A898,1)+6),NA())</f>
        <v>95.419999999999987</v>
      </c>
      <c r="AA726" cm="1">
        <f t="array" aca="1" ref="AA726" ca="1">IF(6&lt;Controls!$B$7,INDEX(M720:M898,MATCH(Controls!$B$5,A720:A898,1)+6)*INDEX(I720:I898,MATCH(Controls!$B$5,A720:A898,1)+6),NA())</f>
        <v>0</v>
      </c>
      <c r="AB726">
        <f t="shared" si="83"/>
        <v>14.2</v>
      </c>
    </row>
    <row r="727" spans="1:28" ht="13" customHeight="1" x14ac:dyDescent="0.35">
      <c r="A727" s="153">
        <v>46266</v>
      </c>
      <c r="B727" s="36" t="s">
        <v>45</v>
      </c>
      <c r="C727" s="15" t="s">
        <v>47</v>
      </c>
      <c r="D727" s="15" t="s">
        <v>48</v>
      </c>
      <c r="E727" s="30">
        <f>H726</f>
        <v>95.419999999999987</v>
      </c>
      <c r="F727" s="37">
        <f>IFERROR('Production Inputs'!$S$27*Dependencies!$D$6+'Production Inputs'!$S$32*Dependencies!$D$9+'Production Inputs'!$S$26*Dependencies!$D$8+'Production Inputs'!$S$31*Dependencies!$D$10,0)</f>
        <v>0</v>
      </c>
      <c r="G727" s="37">
        <f t="array" ref="G727">IFERROR(SUMPRODUCT(('Production Inputs'!$A:$A="Drug Substance")*('Production Inputs'!$B:$B="TOTAL ACTIVE")*'Production Inputs'!$S:$S),0)</f>
        <v>0</v>
      </c>
      <c r="H727" s="30">
        <f t="shared" si="77"/>
        <v>95.419999999999987</v>
      </c>
      <c r="I727" s="30">
        <f ca="1">IFERROR(AVERAGEIF(OFFSET(F727,0,0,MIN(Controls!$B$8,COUNTIF(B727:B$1973,B727)),1),"&gt;"&amp;0),0)</f>
        <v>0</v>
      </c>
      <c r="J727" s="38">
        <f t="shared" ca="1" si="78"/>
        <v>999</v>
      </c>
      <c r="K727" s="30">
        <f t="shared" ca="1" si="82"/>
        <v>0</v>
      </c>
      <c r="L727" t="str">
        <f t="shared" ca="1" si="79"/>
        <v>Overstock</v>
      </c>
      <c r="M727" s="39">
        <f>IFERROR(VLOOKUP("Drug Substance",Controls!A:I,7,0),6)</f>
        <v>12</v>
      </c>
      <c r="N727" s="39">
        <f>IFERROR(VLOOKUP("Drug Substance",Controls!A:I,8,0),3)</f>
        <v>9</v>
      </c>
      <c r="O727" s="39">
        <f>IFERROR(VLOOKUP("Drug Substance",Controls!A:I,9,0),18)</f>
        <v>18</v>
      </c>
      <c r="P727" s="40">
        <f>IFERROR(VLOOKUP("Drug Substance",Controls!A:J,5,0),0)</f>
        <v>4.3</v>
      </c>
      <c r="Q727" s="39">
        <f>IFERROR(VLOOKUP("Drug Substance",Controls!A:J,6,0),3)</f>
        <v>5</v>
      </c>
      <c r="R727" s="21" t="str">
        <f>IFERROR(VLOOKUP("Drug Substance",Controls!A:K,10,0),"")</f>
        <v>ST Pharm (Oligo P1 F2)</v>
      </c>
      <c r="S727" s="41">
        <f t="shared" si="80"/>
        <v>46113</v>
      </c>
      <c r="T727" s="30">
        <f t="shared" si="81"/>
        <v>0</v>
      </c>
      <c r="W727" s="205" cm="1">
        <f t="array" ref="W727">IF(7&lt;Controls!$B$7,INDEX(A720:A898,MATCH(Controls!$B$5,A720:A898,1)+7),NA())</f>
        <v>46327</v>
      </c>
      <c r="X727" cm="1">
        <f t="array" ref="X727">IF(7&lt;Controls!$B$7,INDEX(F720:F898,MATCH(Controls!$B$5,A720:A898,1)+7),NA())</f>
        <v>0</v>
      </c>
      <c r="Y727" cm="1">
        <f t="array" ref="Y727">IF(7&lt;Controls!$B$7,INDEX(G720:G898,MATCH(Controls!$B$5,A720:A898,1)+7),NA())</f>
        <v>0</v>
      </c>
      <c r="Z727" cm="1">
        <f t="array" ref="Z727">IF(7&lt;Controls!$B$7,INDEX(H720:H898,MATCH(Controls!$B$5,A720:A898,1)+7),NA())</f>
        <v>95.419999999999987</v>
      </c>
      <c r="AA727" cm="1">
        <f t="array" aca="1" ref="AA727" ca="1">IF(7&lt;Controls!$B$7,INDEX(M720:M898,MATCH(Controls!$B$5,A720:A898,1)+7)*INDEX(I720:I898,MATCH(Controls!$B$5,A720:A898,1)+7),NA())</f>
        <v>0</v>
      </c>
      <c r="AB727">
        <f t="shared" si="83"/>
        <v>14.2</v>
      </c>
    </row>
    <row r="728" spans="1:28" ht="13" customHeight="1" x14ac:dyDescent="0.35">
      <c r="A728" s="153">
        <v>46296</v>
      </c>
      <c r="B728" s="36" t="s">
        <v>45</v>
      </c>
      <c r="C728" s="15" t="s">
        <v>47</v>
      </c>
      <c r="D728" s="15" t="s">
        <v>48</v>
      </c>
      <c r="E728" s="30">
        <f>H727</f>
        <v>95.419999999999987</v>
      </c>
      <c r="F728" s="37">
        <f>IFERROR('Production Inputs'!$T$27*Dependencies!$D$6+'Production Inputs'!$T$32*Dependencies!$D$9+'Production Inputs'!$T$26*Dependencies!$D$8+'Production Inputs'!$T$31*Dependencies!$D$10,0)</f>
        <v>0</v>
      </c>
      <c r="G728" s="37">
        <f t="array" ref="G728">IFERROR(SUMPRODUCT(('Production Inputs'!$A:$A="Drug Substance")*('Production Inputs'!$B:$B="TOTAL ACTIVE")*'Production Inputs'!$T:$T),0)</f>
        <v>0</v>
      </c>
      <c r="H728" s="30">
        <f t="shared" si="77"/>
        <v>95.419999999999987</v>
      </c>
      <c r="I728" s="30">
        <f ca="1">IFERROR(AVERAGEIF(OFFSET(F728,0,0,MIN(Controls!$B$8,COUNTIF(B728:B$1973,B728)),1),"&gt;"&amp;0),0)</f>
        <v>0</v>
      </c>
      <c r="J728" s="38">
        <f t="shared" ca="1" si="78"/>
        <v>999</v>
      </c>
      <c r="K728" s="30">
        <f t="shared" ca="1" si="82"/>
        <v>0</v>
      </c>
      <c r="L728" t="str">
        <f t="shared" ca="1" si="79"/>
        <v>Overstock</v>
      </c>
      <c r="M728" s="39">
        <f>IFERROR(VLOOKUP("Drug Substance",Controls!A:I,7,0),6)</f>
        <v>12</v>
      </c>
      <c r="N728" s="39">
        <f>IFERROR(VLOOKUP("Drug Substance",Controls!A:I,8,0),3)</f>
        <v>9</v>
      </c>
      <c r="O728" s="39">
        <f>IFERROR(VLOOKUP("Drug Substance",Controls!A:I,9,0),18)</f>
        <v>18</v>
      </c>
      <c r="P728" s="40">
        <f>IFERROR(VLOOKUP("Drug Substance",Controls!A:J,5,0),0)</f>
        <v>4.3</v>
      </c>
      <c r="Q728" s="39">
        <f>IFERROR(VLOOKUP("Drug Substance",Controls!A:J,6,0),3)</f>
        <v>5</v>
      </c>
      <c r="R728" s="21" t="str">
        <f>IFERROR(VLOOKUP("Drug Substance",Controls!A:K,10,0),"")</f>
        <v>ST Pharm (Oligo P1 F2)</v>
      </c>
      <c r="S728" s="41">
        <f t="shared" si="80"/>
        <v>46143</v>
      </c>
      <c r="T728" s="30">
        <f t="shared" si="81"/>
        <v>0</v>
      </c>
      <c r="W728" s="205" cm="1">
        <f t="array" ref="W728">IF(8&lt;Controls!$B$7,INDEX(A720:A898,MATCH(Controls!$B$5,A720:A898,1)+8),NA())</f>
        <v>46357</v>
      </c>
      <c r="X728" cm="1">
        <f t="array" ref="X728">IF(8&lt;Controls!$B$7,INDEX(F720:F898,MATCH(Controls!$B$5,A720:A898,1)+8),NA())</f>
        <v>0</v>
      </c>
      <c r="Y728" cm="1">
        <f t="array" ref="Y728">IF(8&lt;Controls!$B$7,INDEX(G720:G898,MATCH(Controls!$B$5,A720:A898,1)+8),NA())</f>
        <v>0</v>
      </c>
      <c r="Z728" cm="1">
        <f t="array" ref="Z728">IF(8&lt;Controls!$B$7,INDEX(H720:H898,MATCH(Controls!$B$5,A720:A898,1)+8),NA())</f>
        <v>95.419999999999987</v>
      </c>
      <c r="AA728" cm="1">
        <f t="array" aca="1" ref="AA728" ca="1">IF(8&lt;Controls!$B$7,INDEX(M720:M898,MATCH(Controls!$B$5,A720:A898,1)+8)*INDEX(I720:I898,MATCH(Controls!$B$5,A720:A898,1)+8),NA())</f>
        <v>0</v>
      </c>
      <c r="AB728">
        <f t="shared" si="83"/>
        <v>14.2</v>
      </c>
    </row>
    <row r="729" spans="1:28" ht="13" customHeight="1" x14ac:dyDescent="0.35">
      <c r="A729" s="153">
        <v>46327</v>
      </c>
      <c r="B729" s="36" t="s">
        <v>45</v>
      </c>
      <c r="C729" s="15" t="s">
        <v>47</v>
      </c>
      <c r="D729" s="15" t="s">
        <v>48</v>
      </c>
      <c r="E729" s="30">
        <f>H728</f>
        <v>95.419999999999987</v>
      </c>
      <c r="F729" s="37">
        <f>IFERROR('Production Inputs'!$U$27*Dependencies!$D$6+'Production Inputs'!$U$32*Dependencies!$D$9+'Production Inputs'!$U$26*Dependencies!$D$8+'Production Inputs'!$U$31*Dependencies!$D$10,0)</f>
        <v>0</v>
      </c>
      <c r="G729" s="37">
        <f t="array" ref="G729">IFERROR(SUMPRODUCT(('Production Inputs'!$A:$A="Drug Substance")*('Production Inputs'!$B:$B="TOTAL ACTIVE")*'Production Inputs'!$U:$U),0)</f>
        <v>0</v>
      </c>
      <c r="H729" s="30">
        <f t="shared" si="77"/>
        <v>95.419999999999987</v>
      </c>
      <c r="I729" s="30">
        <f ca="1">IFERROR(AVERAGEIF(OFFSET(F729,0,0,MIN(Controls!$B$8,COUNTIF(B729:B$1973,B729)),1),"&gt;"&amp;0),0)</f>
        <v>0</v>
      </c>
      <c r="J729" s="38">
        <f t="shared" ca="1" si="78"/>
        <v>999</v>
      </c>
      <c r="K729" s="30">
        <f t="shared" ca="1" si="82"/>
        <v>0</v>
      </c>
      <c r="L729" t="str">
        <f t="shared" ca="1" si="79"/>
        <v>Overstock</v>
      </c>
      <c r="M729" s="39">
        <f>IFERROR(VLOOKUP("Drug Substance",Controls!A:I,7,0),6)</f>
        <v>12</v>
      </c>
      <c r="N729" s="39">
        <f>IFERROR(VLOOKUP("Drug Substance",Controls!A:I,8,0),3)</f>
        <v>9</v>
      </c>
      <c r="O729" s="39">
        <f>IFERROR(VLOOKUP("Drug Substance",Controls!A:I,9,0),18)</f>
        <v>18</v>
      </c>
      <c r="P729" s="40">
        <f>IFERROR(VLOOKUP("Drug Substance",Controls!A:J,5,0),0)</f>
        <v>4.3</v>
      </c>
      <c r="Q729" s="39">
        <f>IFERROR(VLOOKUP("Drug Substance",Controls!A:J,6,0),3)</f>
        <v>5</v>
      </c>
      <c r="R729" s="21" t="str">
        <f>IFERROR(VLOOKUP("Drug Substance",Controls!A:K,10,0),"")</f>
        <v>ST Pharm (Oligo P1 F2)</v>
      </c>
      <c r="S729" s="41">
        <f t="shared" si="80"/>
        <v>46174</v>
      </c>
      <c r="T729" s="30">
        <f t="shared" si="81"/>
        <v>0</v>
      </c>
      <c r="W729" s="205" cm="1">
        <f t="array" ref="W729">IF(9&lt;Controls!$B$7,INDEX(A720:A898,MATCH(Controls!$B$5,A720:A898,1)+9),NA())</f>
        <v>46388</v>
      </c>
      <c r="X729" cm="1">
        <f t="array" ref="X729">IF(9&lt;Controls!$B$7,INDEX(F720:F898,MATCH(Controls!$B$5,A720:A898,1)+9),NA())</f>
        <v>0</v>
      </c>
      <c r="Y729" cm="1">
        <f t="array" ref="Y729">IF(9&lt;Controls!$B$7,INDEX(G720:G898,MATCH(Controls!$B$5,A720:A898,1)+9),NA())</f>
        <v>0</v>
      </c>
      <c r="Z729" cm="1">
        <f t="array" ref="Z729">IF(9&lt;Controls!$B$7,INDEX(H720:H898,MATCH(Controls!$B$5,A720:A898,1)+9),NA())</f>
        <v>95.419999999999987</v>
      </c>
      <c r="AA729" cm="1">
        <f t="array" aca="1" ref="AA729" ca="1">IF(9&lt;Controls!$B$7,INDEX(M720:M898,MATCH(Controls!$B$5,A720:A898,1)+9)*INDEX(I720:I898,MATCH(Controls!$B$5,A720:A898,1)+9),NA())</f>
        <v>0</v>
      </c>
      <c r="AB729">
        <f t="shared" si="83"/>
        <v>14.2</v>
      </c>
    </row>
    <row r="730" spans="1:28" ht="13" customHeight="1" x14ac:dyDescent="0.35">
      <c r="A730" s="153">
        <v>46357</v>
      </c>
      <c r="B730" s="36" t="s">
        <v>45</v>
      </c>
      <c r="C730" s="15" t="s">
        <v>47</v>
      </c>
      <c r="D730" s="15" t="s">
        <v>48</v>
      </c>
      <c r="E730" s="30">
        <f>H729</f>
        <v>95.419999999999987</v>
      </c>
      <c r="F730" s="37">
        <f>IFERROR('Production Inputs'!$V$27*Dependencies!$D$6+'Production Inputs'!$V$32*Dependencies!$D$9+'Production Inputs'!$V$26*Dependencies!$D$8+'Production Inputs'!$V$31*Dependencies!$D$10,0)</f>
        <v>0</v>
      </c>
      <c r="G730" s="37">
        <f t="array" ref="G730">IFERROR(SUMPRODUCT(('Production Inputs'!$A:$A="Drug Substance")*('Production Inputs'!$B:$B="TOTAL ACTIVE")*'Production Inputs'!$V:$V),0)</f>
        <v>0</v>
      </c>
      <c r="H730" s="30">
        <f t="shared" si="77"/>
        <v>95.419999999999987</v>
      </c>
      <c r="I730" s="30">
        <f ca="1">IFERROR(AVERAGEIF(OFFSET(F730,0,0,MIN(Controls!$B$8,COUNTIF(B730:B$1973,B730)),1),"&gt;"&amp;0),0)</f>
        <v>0</v>
      </c>
      <c r="J730" s="38">
        <f t="shared" ca="1" si="78"/>
        <v>999</v>
      </c>
      <c r="K730" s="30">
        <f t="shared" ca="1" si="82"/>
        <v>0</v>
      </c>
      <c r="L730" t="str">
        <f t="shared" ca="1" si="79"/>
        <v>Overstock</v>
      </c>
      <c r="M730" s="39">
        <f>IFERROR(VLOOKUP("Drug Substance",Controls!A:I,7,0),6)</f>
        <v>12</v>
      </c>
      <c r="N730" s="39">
        <f>IFERROR(VLOOKUP("Drug Substance",Controls!A:I,8,0),3)</f>
        <v>9</v>
      </c>
      <c r="O730" s="39">
        <f>IFERROR(VLOOKUP("Drug Substance",Controls!A:I,9,0),18)</f>
        <v>18</v>
      </c>
      <c r="P730" s="40">
        <f>IFERROR(VLOOKUP("Drug Substance",Controls!A:J,5,0),0)</f>
        <v>4.3</v>
      </c>
      <c r="Q730" s="39">
        <f>IFERROR(VLOOKUP("Drug Substance",Controls!A:J,6,0),3)</f>
        <v>5</v>
      </c>
      <c r="R730" s="21" t="str">
        <f>IFERROR(VLOOKUP("Drug Substance",Controls!A:K,10,0),"")</f>
        <v>ST Pharm (Oligo P1 F2)</v>
      </c>
      <c r="S730" s="41">
        <f t="shared" si="80"/>
        <v>46204</v>
      </c>
      <c r="T730" s="30">
        <f t="shared" si="81"/>
        <v>0</v>
      </c>
      <c r="W730" s="205" cm="1">
        <f t="array" ref="W730">IF(10&lt;Controls!$B$7,INDEX(A720:A898,MATCH(Controls!$B$5,A720:A898,1)+10),NA())</f>
        <v>46419</v>
      </c>
      <c r="X730" cm="1">
        <f t="array" ref="X730">IF(10&lt;Controls!$B$7,INDEX(F720:F898,MATCH(Controls!$B$5,A720:A898,1)+10),NA())</f>
        <v>0</v>
      </c>
      <c r="Y730" cm="1">
        <f t="array" ref="Y730">IF(10&lt;Controls!$B$7,INDEX(G720:G898,MATCH(Controls!$B$5,A720:A898,1)+10),NA())</f>
        <v>0</v>
      </c>
      <c r="Z730" cm="1">
        <f t="array" ref="Z730">IF(10&lt;Controls!$B$7,INDEX(H720:H898,MATCH(Controls!$B$5,A720:A898,1)+10),NA())</f>
        <v>95.419999999999987</v>
      </c>
      <c r="AA730" cm="1">
        <f t="array" aca="1" ref="AA730" ca="1">IF(10&lt;Controls!$B$7,INDEX(M720:M898,MATCH(Controls!$B$5,A720:A898,1)+10)*INDEX(I720:I898,MATCH(Controls!$B$5,A720:A898,1)+10),NA())</f>
        <v>0</v>
      </c>
      <c r="AB730">
        <f t="shared" si="83"/>
        <v>14.2</v>
      </c>
    </row>
    <row r="731" spans="1:28" ht="13" customHeight="1" x14ac:dyDescent="0.35">
      <c r="A731" s="153">
        <v>46388</v>
      </c>
      <c r="B731" s="36" t="s">
        <v>45</v>
      </c>
      <c r="C731" s="15" t="s">
        <v>47</v>
      </c>
      <c r="D731" s="15" t="s">
        <v>48</v>
      </c>
      <c r="E731" s="30">
        <f>H730</f>
        <v>95.419999999999987</v>
      </c>
      <c r="F731" s="37">
        <f>IFERROR('Production Inputs'!$W$27*Dependencies!$D$6+'Production Inputs'!$W$32*Dependencies!$D$9+'Production Inputs'!$W$26*Dependencies!$D$8+'Production Inputs'!$W$31*Dependencies!$D$10,0)</f>
        <v>0</v>
      </c>
      <c r="G731" s="37">
        <f t="array" ref="G731">IFERROR(SUMPRODUCT(('Production Inputs'!$A:$A="Drug Substance")*('Production Inputs'!$B:$B="TOTAL ACTIVE")*'Production Inputs'!$W:$W),0)</f>
        <v>0</v>
      </c>
      <c r="H731" s="30">
        <f t="shared" si="77"/>
        <v>95.419999999999987</v>
      </c>
      <c r="I731" s="30">
        <f ca="1">IFERROR(AVERAGEIF(OFFSET(F731,0,0,MIN(Controls!$B$8,COUNTIF(B731:B$1973,B731)),1),"&gt;"&amp;0),0)</f>
        <v>0</v>
      </c>
      <c r="J731" s="38">
        <f t="shared" ca="1" si="78"/>
        <v>999</v>
      </c>
      <c r="K731" s="30">
        <f t="shared" ca="1" si="82"/>
        <v>0</v>
      </c>
      <c r="L731" t="str">
        <f t="shared" ca="1" si="79"/>
        <v>Overstock</v>
      </c>
      <c r="M731" s="39">
        <f>IFERROR(VLOOKUP("Drug Substance",Controls!A:I,7,0),6)</f>
        <v>12</v>
      </c>
      <c r="N731" s="39">
        <f>IFERROR(VLOOKUP("Drug Substance",Controls!A:I,8,0),3)</f>
        <v>9</v>
      </c>
      <c r="O731" s="39">
        <f>IFERROR(VLOOKUP("Drug Substance",Controls!A:I,9,0),18)</f>
        <v>18</v>
      </c>
      <c r="P731" s="40">
        <f>IFERROR(VLOOKUP("Drug Substance",Controls!A:J,5,0),0)</f>
        <v>4.3</v>
      </c>
      <c r="Q731" s="39">
        <f>IFERROR(VLOOKUP("Drug Substance",Controls!A:J,6,0),3)</f>
        <v>5</v>
      </c>
      <c r="R731" s="21" t="str">
        <f>IFERROR(VLOOKUP("Drug Substance",Controls!A:K,10,0),"")</f>
        <v>ST Pharm (Oligo P1 F2)</v>
      </c>
      <c r="S731" s="41">
        <f t="shared" si="80"/>
        <v>46235</v>
      </c>
      <c r="T731" s="30">
        <f t="shared" si="81"/>
        <v>0</v>
      </c>
      <c r="W731" s="205" cm="1">
        <f t="array" ref="W731">IF(11&lt;Controls!$B$7,INDEX(A720:A898,MATCH(Controls!$B$5,A720:A898,1)+11),NA())</f>
        <v>46447</v>
      </c>
      <c r="X731" cm="1">
        <f t="array" ref="X731">IF(11&lt;Controls!$B$7,INDEX(F720:F898,MATCH(Controls!$B$5,A720:A898,1)+11),NA())</f>
        <v>0</v>
      </c>
      <c r="Y731" cm="1">
        <f t="array" ref="Y731">IF(11&lt;Controls!$B$7,INDEX(G720:G898,MATCH(Controls!$B$5,A720:A898,1)+11),NA())</f>
        <v>0</v>
      </c>
      <c r="Z731" cm="1">
        <f t="array" ref="Z731">IF(11&lt;Controls!$B$7,INDEX(H720:H898,MATCH(Controls!$B$5,A720:A898,1)+11),NA())</f>
        <v>95.419999999999987</v>
      </c>
      <c r="AA731" cm="1">
        <f t="array" aca="1" ref="AA731" ca="1">IF(11&lt;Controls!$B$7,INDEX(M720:M898,MATCH(Controls!$B$5,A720:A898,1)+11)*INDEX(I720:I898,MATCH(Controls!$B$5,A720:A898,1)+11),NA())</f>
        <v>0</v>
      </c>
      <c r="AB731">
        <f t="shared" si="83"/>
        <v>14.2</v>
      </c>
    </row>
    <row r="732" spans="1:28" ht="13" customHeight="1" x14ac:dyDescent="0.35">
      <c r="A732" s="153">
        <v>46419</v>
      </c>
      <c r="B732" s="36" t="s">
        <v>45</v>
      </c>
      <c r="C732" s="15" t="s">
        <v>47</v>
      </c>
      <c r="D732" s="15" t="s">
        <v>48</v>
      </c>
      <c r="E732" s="30">
        <f>H731</f>
        <v>95.419999999999987</v>
      </c>
      <c r="F732" s="37">
        <f>IFERROR('Production Inputs'!$X$27*Dependencies!$D$6+'Production Inputs'!$X$32*Dependencies!$D$9+'Production Inputs'!$X$26*Dependencies!$D$8+'Production Inputs'!$X$31*Dependencies!$D$10,0)</f>
        <v>0</v>
      </c>
      <c r="G732" s="37">
        <f t="array" ref="G732">IFERROR(SUMPRODUCT(('Production Inputs'!$A:$A="Drug Substance")*('Production Inputs'!$B:$B="TOTAL ACTIVE")*'Production Inputs'!$X:$X),0)</f>
        <v>0</v>
      </c>
      <c r="H732" s="30">
        <f t="shared" si="77"/>
        <v>95.419999999999987</v>
      </c>
      <c r="I732" s="30">
        <f ca="1">IFERROR(AVERAGEIF(OFFSET(F732,0,0,MIN(Controls!$B$8,COUNTIF(B732:B$1973,B732)),1),"&gt;"&amp;0),0)</f>
        <v>0</v>
      </c>
      <c r="J732" s="38">
        <f t="shared" ca="1" si="78"/>
        <v>999</v>
      </c>
      <c r="K732" s="30">
        <f t="shared" ca="1" si="82"/>
        <v>0</v>
      </c>
      <c r="L732" t="str">
        <f t="shared" ca="1" si="79"/>
        <v>Overstock</v>
      </c>
      <c r="M732" s="39">
        <f>IFERROR(VLOOKUP("Drug Substance",Controls!A:I,7,0),6)</f>
        <v>12</v>
      </c>
      <c r="N732" s="39">
        <f>IFERROR(VLOOKUP("Drug Substance",Controls!A:I,8,0),3)</f>
        <v>9</v>
      </c>
      <c r="O732" s="39">
        <f>IFERROR(VLOOKUP("Drug Substance",Controls!A:I,9,0),18)</f>
        <v>18</v>
      </c>
      <c r="P732" s="40">
        <f>IFERROR(VLOOKUP("Drug Substance",Controls!A:J,5,0),0)</f>
        <v>4.3</v>
      </c>
      <c r="Q732" s="39">
        <f>IFERROR(VLOOKUP("Drug Substance",Controls!A:J,6,0),3)</f>
        <v>5</v>
      </c>
      <c r="R732" s="21" t="str">
        <f>IFERROR(VLOOKUP("Drug Substance",Controls!A:K,10,0),"")</f>
        <v>ST Pharm (Oligo P1 F2)</v>
      </c>
      <c r="S732" s="41">
        <f t="shared" si="80"/>
        <v>46266</v>
      </c>
      <c r="T732" s="30">
        <f t="shared" si="81"/>
        <v>0</v>
      </c>
      <c r="W732" s="205" cm="1">
        <f t="array" ref="W732">IF(12&lt;Controls!$B$7,INDEX(A720:A898,MATCH(Controls!$B$5,A720:A898,1)+12),NA())</f>
        <v>46478</v>
      </c>
      <c r="X732" cm="1">
        <f t="array" ref="X732">IF(12&lt;Controls!$B$7,INDEX(F720:F898,MATCH(Controls!$B$5,A720:A898,1)+12),NA())</f>
        <v>0</v>
      </c>
      <c r="Y732" cm="1">
        <f t="array" ref="Y732">IF(12&lt;Controls!$B$7,INDEX(G720:G898,MATCH(Controls!$B$5,A720:A898,1)+12),NA())</f>
        <v>8.6</v>
      </c>
      <c r="Z732" cm="1">
        <f t="array" ref="Z732">IF(12&lt;Controls!$B$7,INDEX(H720:H898,MATCH(Controls!$B$5,A720:A898,1)+12),NA())</f>
        <v>104.01999999999998</v>
      </c>
      <c r="AA732" cm="1">
        <f t="array" aca="1" ref="AA732" ca="1">IF(12&lt;Controls!$B$7,INDEX(M720:M898,MATCH(Controls!$B$5,A720:A898,1)+12)*INDEX(I720:I898,MATCH(Controls!$B$5,A720:A898,1)+12),NA())</f>
        <v>0</v>
      </c>
      <c r="AB732">
        <f t="shared" si="83"/>
        <v>14.2</v>
      </c>
    </row>
    <row r="733" spans="1:28" ht="13" customHeight="1" x14ac:dyDescent="0.35">
      <c r="A733" s="153">
        <v>46447</v>
      </c>
      <c r="B733" s="36" t="s">
        <v>45</v>
      </c>
      <c r="C733" s="15" t="s">
        <v>47</v>
      </c>
      <c r="D733" s="15" t="s">
        <v>48</v>
      </c>
      <c r="E733" s="30">
        <f>H732</f>
        <v>95.419999999999987</v>
      </c>
      <c r="F733" s="37">
        <f>IFERROR('Production Inputs'!$Y$27*Dependencies!$D$6+'Production Inputs'!$Y$32*Dependencies!$D$9+'Production Inputs'!$Y$26*Dependencies!$D$8+'Production Inputs'!$Y$31*Dependencies!$D$10,0)</f>
        <v>0</v>
      </c>
      <c r="G733" s="37">
        <f t="array" ref="G733">IFERROR(SUMPRODUCT(('Production Inputs'!$A:$A="Drug Substance")*('Production Inputs'!$B:$B="TOTAL ACTIVE")*'Production Inputs'!$Y:$Y),0)</f>
        <v>0</v>
      </c>
      <c r="H733" s="30">
        <f t="shared" si="77"/>
        <v>95.419999999999987</v>
      </c>
      <c r="I733" s="30">
        <f ca="1">IFERROR(AVERAGEIF(OFFSET(F733,0,0,MIN(Controls!$B$8,COUNTIF(B733:B$1973,B733)),1),"&gt;"&amp;0),0)</f>
        <v>0</v>
      </c>
      <c r="J733" s="38">
        <f t="shared" ca="1" si="78"/>
        <v>999</v>
      </c>
      <c r="K733" s="30">
        <f t="shared" ca="1" si="82"/>
        <v>0</v>
      </c>
      <c r="L733" t="str">
        <f t="shared" ca="1" si="79"/>
        <v>Overstock</v>
      </c>
      <c r="M733" s="39">
        <f>IFERROR(VLOOKUP("Drug Substance",Controls!A:I,7,0),6)</f>
        <v>12</v>
      </c>
      <c r="N733" s="39">
        <f>IFERROR(VLOOKUP("Drug Substance",Controls!A:I,8,0),3)</f>
        <v>9</v>
      </c>
      <c r="O733" s="39">
        <f>IFERROR(VLOOKUP("Drug Substance",Controls!A:I,9,0),18)</f>
        <v>18</v>
      </c>
      <c r="P733" s="40">
        <f>IFERROR(VLOOKUP("Drug Substance",Controls!A:J,5,0),0)</f>
        <v>4.3</v>
      </c>
      <c r="Q733" s="39">
        <f>IFERROR(VLOOKUP("Drug Substance",Controls!A:J,6,0),3)</f>
        <v>5</v>
      </c>
      <c r="R733" s="21" t="str">
        <f>IFERROR(VLOOKUP("Drug Substance",Controls!A:K,10,0),"")</f>
        <v>ST Pharm (Oligo P1 F2)</v>
      </c>
      <c r="S733" s="41">
        <f t="shared" si="80"/>
        <v>46296</v>
      </c>
      <c r="T733" s="30">
        <f t="shared" si="81"/>
        <v>0</v>
      </c>
      <c r="W733" s="205" cm="1">
        <f t="array" ref="W733">IF(13&lt;Controls!$B$7,INDEX(A720:A898,MATCH(Controls!$B$5,A720:A898,1)+13),NA())</f>
        <v>46508</v>
      </c>
      <c r="X733" cm="1">
        <f t="array" ref="X733">IF(13&lt;Controls!$B$7,INDEX(F720:F898,MATCH(Controls!$B$5,A720:A898,1)+13),NA())</f>
        <v>0</v>
      </c>
      <c r="Y733" cm="1">
        <f t="array" ref="Y733">IF(13&lt;Controls!$B$7,INDEX(G720:G898,MATCH(Controls!$B$5,A720:A898,1)+13),NA())</f>
        <v>8.6</v>
      </c>
      <c r="Z733" cm="1">
        <f t="array" ref="Z733">IF(13&lt;Controls!$B$7,INDEX(H720:H898,MATCH(Controls!$B$5,A720:A898,1)+13),NA())</f>
        <v>112.61999999999998</v>
      </c>
      <c r="AA733" cm="1">
        <f t="array" aca="1" ref="AA733" ca="1">IF(13&lt;Controls!$B$7,INDEX(M720:M898,MATCH(Controls!$B$5,A720:A898,1)+13)*INDEX(I720:I898,MATCH(Controls!$B$5,A720:A898,1)+13),NA())</f>
        <v>0</v>
      </c>
      <c r="AB733">
        <f t="shared" si="83"/>
        <v>14.2</v>
      </c>
    </row>
    <row r="734" spans="1:28" ht="13" customHeight="1" x14ac:dyDescent="0.35">
      <c r="A734" s="153">
        <v>46478</v>
      </c>
      <c r="B734" s="36" t="s">
        <v>45</v>
      </c>
      <c r="C734" s="15" t="s">
        <v>47</v>
      </c>
      <c r="D734" s="15" t="s">
        <v>48</v>
      </c>
      <c r="E734" s="30">
        <f>H733</f>
        <v>95.419999999999987</v>
      </c>
      <c r="F734" s="37">
        <f>IFERROR('Production Inputs'!$Z$27*Dependencies!$D$6+'Production Inputs'!$Z$32*Dependencies!$D$9+'Production Inputs'!$Z$26*Dependencies!$D$8+'Production Inputs'!$Z$31*Dependencies!$D$10,0)</f>
        <v>0</v>
      </c>
      <c r="G734" s="37">
        <f t="array" ref="G734">IFERROR(SUMPRODUCT(('Production Inputs'!$A:$A="Drug Substance")*('Production Inputs'!$B:$B="TOTAL ACTIVE")*'Production Inputs'!$Z:$Z),0)</f>
        <v>8.6</v>
      </c>
      <c r="H734" s="30">
        <f t="shared" si="77"/>
        <v>104.01999999999998</v>
      </c>
      <c r="I734" s="30">
        <f ca="1">IFERROR(AVERAGEIF(OFFSET(F734,0,0,MIN(Controls!$B$8,COUNTIF(B734:B$1973,B734)),1),"&gt;"&amp;0),0)</f>
        <v>0</v>
      </c>
      <c r="J734" s="38">
        <f t="shared" ca="1" si="78"/>
        <v>999</v>
      </c>
      <c r="K734" s="30">
        <f t="shared" ca="1" si="82"/>
        <v>0</v>
      </c>
      <c r="L734" t="str">
        <f t="shared" ca="1" si="79"/>
        <v>Overstock</v>
      </c>
      <c r="M734" s="39">
        <f>IFERROR(VLOOKUP("Drug Substance",Controls!A:I,7,0),6)</f>
        <v>12</v>
      </c>
      <c r="N734" s="39">
        <f>IFERROR(VLOOKUP("Drug Substance",Controls!A:I,8,0),3)</f>
        <v>9</v>
      </c>
      <c r="O734" s="39">
        <f>IFERROR(VLOOKUP("Drug Substance",Controls!A:I,9,0),18)</f>
        <v>18</v>
      </c>
      <c r="P734" s="40">
        <f>IFERROR(VLOOKUP("Drug Substance",Controls!A:J,5,0),0)</f>
        <v>4.3</v>
      </c>
      <c r="Q734" s="39">
        <f>IFERROR(VLOOKUP("Drug Substance",Controls!A:J,6,0),3)</f>
        <v>5</v>
      </c>
      <c r="R734" s="21" t="str">
        <f>IFERROR(VLOOKUP("Drug Substance",Controls!A:K,10,0),"")</f>
        <v>ST Pharm (Oligo P1 F2)</v>
      </c>
      <c r="S734" s="41">
        <f t="shared" si="80"/>
        <v>46327</v>
      </c>
      <c r="T734" s="30">
        <f t="shared" si="81"/>
        <v>8.6</v>
      </c>
      <c r="W734" s="205" cm="1">
        <f t="array" ref="W734">IF(14&lt;Controls!$B$7,INDEX(A720:A898,MATCH(Controls!$B$5,A720:A898,1)+14),NA())</f>
        <v>46539</v>
      </c>
      <c r="X734" cm="1">
        <f t="array" ref="X734">IF(14&lt;Controls!$B$7,INDEX(F720:F898,MATCH(Controls!$B$5,A720:A898,1)+14),NA())</f>
        <v>0</v>
      </c>
      <c r="Y734" cm="1">
        <f t="array" ref="Y734">IF(14&lt;Controls!$B$7,INDEX(G720:G898,MATCH(Controls!$B$5,A720:A898,1)+14),NA())</f>
        <v>8.6</v>
      </c>
      <c r="Z734" cm="1">
        <f t="array" ref="Z734">IF(14&lt;Controls!$B$7,INDEX(H720:H898,MATCH(Controls!$B$5,A720:A898,1)+14),NA())</f>
        <v>121.21999999999997</v>
      </c>
      <c r="AA734" cm="1">
        <f t="array" aca="1" ref="AA734" ca="1">IF(14&lt;Controls!$B$7,INDEX(M720:M898,MATCH(Controls!$B$5,A720:A898,1)+14)*INDEX(I720:I898,MATCH(Controls!$B$5,A720:A898,1)+14),NA())</f>
        <v>0</v>
      </c>
      <c r="AB734">
        <f t="shared" si="83"/>
        <v>14.2</v>
      </c>
    </row>
    <row r="735" spans="1:28" ht="13" customHeight="1" x14ac:dyDescent="0.35">
      <c r="A735" s="153">
        <v>46508</v>
      </c>
      <c r="B735" s="36" t="s">
        <v>45</v>
      </c>
      <c r="C735" s="15" t="s">
        <v>47</v>
      </c>
      <c r="D735" s="15" t="s">
        <v>48</v>
      </c>
      <c r="E735" s="30">
        <f>H734</f>
        <v>104.01999999999998</v>
      </c>
      <c r="F735" s="37">
        <f>IFERROR('Production Inputs'!$AA$27*Dependencies!$D$6+'Production Inputs'!$AA$32*Dependencies!$D$9+'Production Inputs'!$AA$26*Dependencies!$D$8+'Production Inputs'!$AA$31*Dependencies!$D$10,0)</f>
        <v>0</v>
      </c>
      <c r="G735" s="37">
        <f t="array" ref="G735">IFERROR(SUMPRODUCT(('Production Inputs'!$A:$A="Drug Substance")*('Production Inputs'!$B:$B="TOTAL ACTIVE")*'Production Inputs'!$AA:$AA),0)</f>
        <v>8.6</v>
      </c>
      <c r="H735" s="30">
        <f t="shared" si="77"/>
        <v>112.61999999999998</v>
      </c>
      <c r="I735" s="30">
        <f ca="1">IFERROR(AVERAGEIF(OFFSET(F735,0,0,MIN(Controls!$B$8,COUNTIF(B735:B$1973,B735)),1),"&gt;"&amp;0),0)</f>
        <v>0</v>
      </c>
      <c r="J735" s="38">
        <f t="shared" ca="1" si="78"/>
        <v>999</v>
      </c>
      <c r="K735" s="30">
        <f t="shared" ca="1" si="82"/>
        <v>0</v>
      </c>
      <c r="L735" t="str">
        <f t="shared" ca="1" si="79"/>
        <v>Overstock</v>
      </c>
      <c r="M735" s="39">
        <f>IFERROR(VLOOKUP("Drug Substance",Controls!A:I,7,0),6)</f>
        <v>12</v>
      </c>
      <c r="N735" s="39">
        <f>IFERROR(VLOOKUP("Drug Substance",Controls!A:I,8,0),3)</f>
        <v>9</v>
      </c>
      <c r="O735" s="39">
        <f>IFERROR(VLOOKUP("Drug Substance",Controls!A:I,9,0),18)</f>
        <v>18</v>
      </c>
      <c r="P735" s="40">
        <f>IFERROR(VLOOKUP("Drug Substance",Controls!A:J,5,0),0)</f>
        <v>4.3</v>
      </c>
      <c r="Q735" s="39">
        <f>IFERROR(VLOOKUP("Drug Substance",Controls!A:J,6,0),3)</f>
        <v>5</v>
      </c>
      <c r="R735" s="21" t="str">
        <f>IFERROR(VLOOKUP("Drug Substance",Controls!A:K,10,0),"")</f>
        <v>ST Pharm (Oligo P1 F2)</v>
      </c>
      <c r="S735" s="41">
        <f t="shared" si="80"/>
        <v>46357</v>
      </c>
      <c r="T735" s="30">
        <f t="shared" si="81"/>
        <v>8.6</v>
      </c>
      <c r="W735" s="205" cm="1">
        <f t="array" ref="W735">IF(15&lt;Controls!$B$7,INDEX(A720:A898,MATCH(Controls!$B$5,A720:A898,1)+15),NA())</f>
        <v>46569</v>
      </c>
      <c r="X735" cm="1">
        <f t="array" ref="X735">IF(15&lt;Controls!$B$7,INDEX(F720:F898,MATCH(Controls!$B$5,A720:A898,1)+15),NA())</f>
        <v>0</v>
      </c>
      <c r="Y735" cm="1">
        <f t="array" ref="Y735">IF(15&lt;Controls!$B$7,INDEX(G720:G898,MATCH(Controls!$B$5,A720:A898,1)+15),NA())</f>
        <v>8.6</v>
      </c>
      <c r="Z735" cm="1">
        <f t="array" ref="Z735">IF(15&lt;Controls!$B$7,INDEX(H720:H898,MATCH(Controls!$B$5,A720:A898,1)+15),NA())</f>
        <v>129.81999999999996</v>
      </c>
      <c r="AA735" cm="1">
        <f t="array" aca="1" ref="AA735" ca="1">IF(15&lt;Controls!$B$7,INDEX(M720:M898,MATCH(Controls!$B$5,A720:A898,1)+15)*INDEX(I720:I898,MATCH(Controls!$B$5,A720:A898,1)+15),NA())</f>
        <v>0</v>
      </c>
      <c r="AB735">
        <f t="shared" si="83"/>
        <v>14.2</v>
      </c>
    </row>
    <row r="736" spans="1:28" ht="13" customHeight="1" x14ac:dyDescent="0.35">
      <c r="A736" s="153">
        <v>46539</v>
      </c>
      <c r="B736" s="36" t="s">
        <v>45</v>
      </c>
      <c r="C736" s="15" t="s">
        <v>47</v>
      </c>
      <c r="D736" s="15" t="s">
        <v>48</v>
      </c>
      <c r="E736" s="30">
        <f>H735</f>
        <v>112.61999999999998</v>
      </c>
      <c r="F736" s="37">
        <f>IFERROR('Production Inputs'!$AB$27*Dependencies!$D$6+'Production Inputs'!$AB$32*Dependencies!$D$9+'Production Inputs'!$AB$26*Dependencies!$D$8+'Production Inputs'!$AB$31*Dependencies!$D$10,0)</f>
        <v>0</v>
      </c>
      <c r="G736" s="37">
        <f t="array" ref="G736">IFERROR(SUMPRODUCT(('Production Inputs'!$A:$A="Drug Substance")*('Production Inputs'!$B:$B="TOTAL ACTIVE")*'Production Inputs'!$AB:$AB),0)</f>
        <v>8.6</v>
      </c>
      <c r="H736" s="30">
        <f t="shared" si="77"/>
        <v>121.21999999999997</v>
      </c>
      <c r="I736" s="30">
        <f ca="1">IFERROR(AVERAGEIF(OFFSET(F736,0,0,MIN(Controls!$B$8,COUNTIF(B736:B$1973,B736)),1),"&gt;"&amp;0),0)</f>
        <v>0</v>
      </c>
      <c r="J736" s="38">
        <f t="shared" ca="1" si="78"/>
        <v>999</v>
      </c>
      <c r="K736" s="30">
        <f t="shared" ca="1" si="82"/>
        <v>0</v>
      </c>
      <c r="L736" t="str">
        <f t="shared" ca="1" si="79"/>
        <v>Overstock</v>
      </c>
      <c r="M736" s="39">
        <f>IFERROR(VLOOKUP("Drug Substance",Controls!A:I,7,0),6)</f>
        <v>12</v>
      </c>
      <c r="N736" s="39">
        <f>IFERROR(VLOOKUP("Drug Substance",Controls!A:I,8,0),3)</f>
        <v>9</v>
      </c>
      <c r="O736" s="39">
        <f>IFERROR(VLOOKUP("Drug Substance",Controls!A:I,9,0),18)</f>
        <v>18</v>
      </c>
      <c r="P736" s="40">
        <f>IFERROR(VLOOKUP("Drug Substance",Controls!A:J,5,0),0)</f>
        <v>4.3</v>
      </c>
      <c r="Q736" s="39">
        <f>IFERROR(VLOOKUP("Drug Substance",Controls!A:J,6,0),3)</f>
        <v>5</v>
      </c>
      <c r="R736" s="21" t="str">
        <f>IFERROR(VLOOKUP("Drug Substance",Controls!A:K,10,0),"")</f>
        <v>ST Pharm (Oligo P1 F2)</v>
      </c>
      <c r="S736" s="41">
        <f t="shared" si="80"/>
        <v>46388</v>
      </c>
      <c r="T736" s="30">
        <f t="shared" si="81"/>
        <v>8.6</v>
      </c>
      <c r="W736" s="205" cm="1">
        <f t="array" ref="W736">IF(16&lt;Controls!$B$7,INDEX(A720:A898,MATCH(Controls!$B$5,A720:A898,1)+16),NA())</f>
        <v>46600</v>
      </c>
      <c r="X736" cm="1">
        <f t="array" ref="X736">IF(16&lt;Controls!$B$7,INDEX(F720:F898,MATCH(Controls!$B$5,A720:A898,1)+16),NA())</f>
        <v>0</v>
      </c>
      <c r="Y736" cm="1">
        <f t="array" ref="Y736">IF(16&lt;Controls!$B$7,INDEX(G720:G898,MATCH(Controls!$B$5,A720:A898,1)+16),NA())</f>
        <v>0</v>
      </c>
      <c r="Z736" cm="1">
        <f t="array" ref="Z736">IF(16&lt;Controls!$B$7,INDEX(H720:H898,MATCH(Controls!$B$5,A720:A898,1)+16),NA())</f>
        <v>129.81999999999996</v>
      </c>
      <c r="AA736" cm="1">
        <f t="array" aca="1" ref="AA736" ca="1">IF(16&lt;Controls!$B$7,INDEX(M720:M898,MATCH(Controls!$B$5,A720:A898,1)+16)*INDEX(I720:I898,MATCH(Controls!$B$5,A720:A898,1)+16),NA())</f>
        <v>0</v>
      </c>
      <c r="AB736">
        <f t="shared" si="83"/>
        <v>14.2</v>
      </c>
    </row>
    <row r="737" spans="1:28" ht="13" customHeight="1" x14ac:dyDescent="0.35">
      <c r="A737" s="153">
        <v>46569</v>
      </c>
      <c r="B737" s="36" t="s">
        <v>45</v>
      </c>
      <c r="C737" s="15" t="s">
        <v>47</v>
      </c>
      <c r="D737" s="15" t="s">
        <v>48</v>
      </c>
      <c r="E737" s="30">
        <f>H736</f>
        <v>121.21999999999997</v>
      </c>
      <c r="F737" s="37">
        <f>IFERROR('Production Inputs'!$AC$27*Dependencies!$D$6+'Production Inputs'!$AC$32*Dependencies!$D$9+'Production Inputs'!$AC$26*Dependencies!$D$8+'Production Inputs'!$AC$31*Dependencies!$D$10,0)</f>
        <v>0</v>
      </c>
      <c r="G737" s="37">
        <f t="array" ref="G737">IFERROR(SUMPRODUCT(('Production Inputs'!$A:$A="Drug Substance")*('Production Inputs'!$B:$B="TOTAL ACTIVE")*'Production Inputs'!$AC:$AC),0)</f>
        <v>8.6</v>
      </c>
      <c r="H737" s="30">
        <f t="shared" si="77"/>
        <v>129.81999999999996</v>
      </c>
      <c r="I737" s="30">
        <f ca="1">IFERROR(AVERAGEIF(OFFSET(F737,0,0,MIN(Controls!$B$8,COUNTIF(B737:B$1973,B737)),1),"&gt;"&amp;0),0)</f>
        <v>0</v>
      </c>
      <c r="J737" s="38">
        <f t="shared" ca="1" si="78"/>
        <v>999</v>
      </c>
      <c r="K737" s="30">
        <f t="shared" ca="1" si="82"/>
        <v>0</v>
      </c>
      <c r="L737" t="str">
        <f t="shared" ca="1" si="79"/>
        <v>Overstock</v>
      </c>
      <c r="M737" s="39">
        <f>IFERROR(VLOOKUP("Drug Substance",Controls!A:I,7,0),6)</f>
        <v>12</v>
      </c>
      <c r="N737" s="39">
        <f>IFERROR(VLOOKUP("Drug Substance",Controls!A:I,8,0),3)</f>
        <v>9</v>
      </c>
      <c r="O737" s="39">
        <f>IFERROR(VLOOKUP("Drug Substance",Controls!A:I,9,0),18)</f>
        <v>18</v>
      </c>
      <c r="P737" s="40">
        <f>IFERROR(VLOOKUP("Drug Substance",Controls!A:J,5,0),0)</f>
        <v>4.3</v>
      </c>
      <c r="Q737" s="39">
        <f>IFERROR(VLOOKUP("Drug Substance",Controls!A:J,6,0),3)</f>
        <v>5</v>
      </c>
      <c r="R737" s="21" t="str">
        <f>IFERROR(VLOOKUP("Drug Substance",Controls!A:K,10,0),"")</f>
        <v>ST Pharm (Oligo P1 F2)</v>
      </c>
      <c r="S737" s="41">
        <f t="shared" si="80"/>
        <v>46419</v>
      </c>
      <c r="T737" s="30">
        <f t="shared" si="81"/>
        <v>8.6</v>
      </c>
      <c r="W737" s="205" cm="1">
        <f t="array" ref="W737">IF(17&lt;Controls!$B$7,INDEX(A720:A898,MATCH(Controls!$B$5,A720:A898,1)+17),NA())</f>
        <v>46631</v>
      </c>
      <c r="X737" cm="1">
        <f t="array" ref="X737">IF(17&lt;Controls!$B$7,INDEX(F720:F898,MATCH(Controls!$B$5,A720:A898,1)+17),NA())</f>
        <v>0</v>
      </c>
      <c r="Y737" cm="1">
        <f t="array" ref="Y737">IF(17&lt;Controls!$B$7,INDEX(G720:G898,MATCH(Controls!$B$5,A720:A898,1)+17),NA())</f>
        <v>0</v>
      </c>
      <c r="Z737" cm="1">
        <f t="array" ref="Z737">IF(17&lt;Controls!$B$7,INDEX(H720:H898,MATCH(Controls!$B$5,A720:A898,1)+17),NA())</f>
        <v>129.81999999999996</v>
      </c>
      <c r="AA737" cm="1">
        <f t="array" aca="1" ref="AA737" ca="1">IF(17&lt;Controls!$B$7,INDEX(M720:M898,MATCH(Controls!$B$5,A720:A898,1)+17)*INDEX(I720:I898,MATCH(Controls!$B$5,A720:A898,1)+17),NA())</f>
        <v>0</v>
      </c>
      <c r="AB737">
        <f t="shared" si="83"/>
        <v>14.2</v>
      </c>
    </row>
    <row r="738" spans="1:28" ht="13" customHeight="1" x14ac:dyDescent="0.35">
      <c r="A738" s="153">
        <v>46600</v>
      </c>
      <c r="B738" s="36" t="s">
        <v>45</v>
      </c>
      <c r="C738" s="15" t="s">
        <v>47</v>
      </c>
      <c r="D738" s="15" t="s">
        <v>48</v>
      </c>
      <c r="E738" s="30">
        <f>H737</f>
        <v>129.81999999999996</v>
      </c>
      <c r="F738" s="37">
        <f>IFERROR('Production Inputs'!$AD$27*Dependencies!$D$6+'Production Inputs'!$AD$32*Dependencies!$D$9+'Production Inputs'!$AD$26*Dependencies!$D$8+'Production Inputs'!$AD$31*Dependencies!$D$10,0)</f>
        <v>0</v>
      </c>
      <c r="G738" s="37">
        <f t="array" ref="G738">IFERROR(SUMPRODUCT(('Production Inputs'!$A:$A="Drug Substance")*('Production Inputs'!$B:$B="TOTAL ACTIVE")*'Production Inputs'!$AD:$AD),0)</f>
        <v>0</v>
      </c>
      <c r="H738" s="30">
        <f t="shared" si="77"/>
        <v>129.81999999999996</v>
      </c>
      <c r="I738" s="30">
        <f ca="1">IFERROR(AVERAGEIF(OFFSET(F738,0,0,MIN(Controls!$B$8,COUNTIF(B738:B$1973,B738)),1),"&gt;"&amp;0),0)</f>
        <v>0</v>
      </c>
      <c r="J738" s="38">
        <f t="shared" ca="1" si="78"/>
        <v>999</v>
      </c>
      <c r="K738" s="30">
        <f t="shared" ca="1" si="82"/>
        <v>0</v>
      </c>
      <c r="L738" t="str">
        <f t="shared" ca="1" si="79"/>
        <v>Overstock</v>
      </c>
      <c r="M738" s="39">
        <f>IFERROR(VLOOKUP("Drug Substance",Controls!A:I,7,0),6)</f>
        <v>12</v>
      </c>
      <c r="N738" s="39">
        <f>IFERROR(VLOOKUP("Drug Substance",Controls!A:I,8,0),3)</f>
        <v>9</v>
      </c>
      <c r="O738" s="39">
        <f>IFERROR(VLOOKUP("Drug Substance",Controls!A:I,9,0),18)</f>
        <v>18</v>
      </c>
      <c r="P738" s="40">
        <f>IFERROR(VLOOKUP("Drug Substance",Controls!A:J,5,0),0)</f>
        <v>4.3</v>
      </c>
      <c r="Q738" s="39">
        <f>IFERROR(VLOOKUP("Drug Substance",Controls!A:J,6,0),3)</f>
        <v>5</v>
      </c>
      <c r="R738" s="21" t="str">
        <f>IFERROR(VLOOKUP("Drug Substance",Controls!A:K,10,0),"")</f>
        <v>ST Pharm (Oligo P1 F2)</v>
      </c>
      <c r="S738" s="41">
        <f t="shared" si="80"/>
        <v>46447</v>
      </c>
      <c r="T738" s="30">
        <f t="shared" si="81"/>
        <v>0</v>
      </c>
      <c r="W738" s="205" t="e" cm="1">
        <f t="array" ref="W738">IF(18&lt;Controls!$B$7,INDEX(A720:A898,MATCH(Controls!$B$5,A720:A898,1)+18),NA())</f>
        <v>#N/A</v>
      </c>
      <c r="X738" t="e" cm="1">
        <f t="array" ref="X738">IF(18&lt;Controls!$B$7,INDEX(F720:F898,MATCH(Controls!$B$5,A720:A898,1)+18),NA())</f>
        <v>#N/A</v>
      </c>
      <c r="Y738" t="e" cm="1">
        <f t="array" ref="Y738">IF(18&lt;Controls!$B$7,INDEX(G720:G898,MATCH(Controls!$B$5,A720:A898,1)+18),NA())</f>
        <v>#N/A</v>
      </c>
      <c r="Z738" t="e" cm="1">
        <f t="array" ref="Z738">IF(18&lt;Controls!$B$7,INDEX(H720:H898,MATCH(Controls!$B$5,A720:A898,1)+18),NA())</f>
        <v>#N/A</v>
      </c>
      <c r="AA738" t="e" cm="1">
        <f t="array" ref="AA738">IF(18&lt;Controls!$B$7,INDEX(M720:M898,MATCH(Controls!$B$5,A720:A898,1)+18)*INDEX(I720:I898,MATCH(Controls!$B$5,A720:A898,1)+18),NA())</f>
        <v>#N/A</v>
      </c>
      <c r="AB738">
        <f t="shared" si="83"/>
        <v>14.2</v>
      </c>
    </row>
    <row r="739" spans="1:28" ht="13" customHeight="1" x14ac:dyDescent="0.35">
      <c r="A739" s="153">
        <v>46631</v>
      </c>
      <c r="B739" s="36" t="s">
        <v>45</v>
      </c>
      <c r="C739" s="15" t="s">
        <v>47</v>
      </c>
      <c r="D739" s="15" t="s">
        <v>48</v>
      </c>
      <c r="E739" s="30">
        <f>H738</f>
        <v>129.81999999999996</v>
      </c>
      <c r="F739" s="37">
        <f>IFERROR('Production Inputs'!$AE$27*Dependencies!$D$6+'Production Inputs'!$AE$32*Dependencies!$D$9+'Production Inputs'!$AE$26*Dependencies!$D$8+'Production Inputs'!$AE$31*Dependencies!$D$10,0)</f>
        <v>0</v>
      </c>
      <c r="G739" s="37">
        <f t="array" ref="G739">IFERROR(SUMPRODUCT(('Production Inputs'!$A:$A="Drug Substance")*('Production Inputs'!$B:$B="TOTAL ACTIVE")*'Production Inputs'!$AE:$AE),0)</f>
        <v>0</v>
      </c>
      <c r="H739" s="30">
        <f t="shared" si="77"/>
        <v>129.81999999999996</v>
      </c>
      <c r="I739" s="30">
        <f ca="1">IFERROR(AVERAGEIF(OFFSET(F739,0,0,MIN(Controls!$B$8,COUNTIF(B739:B$1973,B739)),1),"&gt;"&amp;0),0)</f>
        <v>0</v>
      </c>
      <c r="J739" s="38">
        <f t="shared" ca="1" si="78"/>
        <v>999</v>
      </c>
      <c r="K739" s="30">
        <f t="shared" ca="1" si="82"/>
        <v>0</v>
      </c>
      <c r="L739" t="str">
        <f t="shared" ca="1" si="79"/>
        <v>Overstock</v>
      </c>
      <c r="M739" s="39">
        <f>IFERROR(VLOOKUP("Drug Substance",Controls!A:I,7,0),6)</f>
        <v>12</v>
      </c>
      <c r="N739" s="39">
        <f>IFERROR(VLOOKUP("Drug Substance",Controls!A:I,8,0),3)</f>
        <v>9</v>
      </c>
      <c r="O739" s="39">
        <f>IFERROR(VLOOKUP("Drug Substance",Controls!A:I,9,0),18)</f>
        <v>18</v>
      </c>
      <c r="P739" s="40">
        <f>IFERROR(VLOOKUP("Drug Substance",Controls!A:J,5,0),0)</f>
        <v>4.3</v>
      </c>
      <c r="Q739" s="39">
        <f>IFERROR(VLOOKUP("Drug Substance",Controls!A:J,6,0),3)</f>
        <v>5</v>
      </c>
      <c r="R739" s="21" t="str">
        <f>IFERROR(VLOOKUP("Drug Substance",Controls!A:K,10,0),"")</f>
        <v>ST Pharm (Oligo P1 F2)</v>
      </c>
      <c r="S739" s="41">
        <f t="shared" si="80"/>
        <v>46478</v>
      </c>
      <c r="T739" s="30">
        <f t="shared" si="81"/>
        <v>0</v>
      </c>
      <c r="W739" s="205" t="e" cm="1">
        <f t="array" ref="W739">IF(19&lt;Controls!$B$7,INDEX(A720:A898,MATCH(Controls!$B$5,A720:A898,1)+19),NA())</f>
        <v>#N/A</v>
      </c>
      <c r="X739" t="e" cm="1">
        <f t="array" ref="X739">IF(19&lt;Controls!$B$7,INDEX(F720:F898,MATCH(Controls!$B$5,A720:A898,1)+19),NA())</f>
        <v>#N/A</v>
      </c>
      <c r="Y739" t="e" cm="1">
        <f t="array" ref="Y739">IF(19&lt;Controls!$B$7,INDEX(G720:G898,MATCH(Controls!$B$5,A720:A898,1)+19),NA())</f>
        <v>#N/A</v>
      </c>
      <c r="Z739" t="e" cm="1">
        <f t="array" ref="Z739">IF(19&lt;Controls!$B$7,INDEX(H720:H898,MATCH(Controls!$B$5,A720:A898,1)+19),NA())</f>
        <v>#N/A</v>
      </c>
      <c r="AA739" t="e" cm="1">
        <f t="array" ref="AA739">IF(19&lt;Controls!$B$7,INDEX(M720:M898,MATCH(Controls!$B$5,A720:A898,1)+19)*INDEX(I720:I898,MATCH(Controls!$B$5,A720:A898,1)+19),NA())</f>
        <v>#N/A</v>
      </c>
      <c r="AB739">
        <f t="shared" si="83"/>
        <v>14.2</v>
      </c>
    </row>
    <row r="740" spans="1:28" ht="13" customHeight="1" x14ac:dyDescent="0.35">
      <c r="A740" s="153">
        <v>46661</v>
      </c>
      <c r="B740" s="36" t="s">
        <v>45</v>
      </c>
      <c r="C740" s="15" t="s">
        <v>47</v>
      </c>
      <c r="D740" s="15" t="s">
        <v>48</v>
      </c>
      <c r="E740" s="30">
        <f>H739</f>
        <v>129.81999999999996</v>
      </c>
      <c r="F740" s="37">
        <f>IFERROR('Production Inputs'!$AF$27*Dependencies!$D$6+'Production Inputs'!$AF$32*Dependencies!$D$9+'Production Inputs'!$AF$26*Dependencies!$D$8+'Production Inputs'!$AF$31*Dependencies!$D$10,0)</f>
        <v>0</v>
      </c>
      <c r="G740" s="37">
        <f t="array" ref="G740">IFERROR(SUMPRODUCT(('Production Inputs'!$A:$A="Drug Substance")*('Production Inputs'!$B:$B="TOTAL ACTIVE")*'Production Inputs'!$AF:$AF),0)</f>
        <v>0</v>
      </c>
      <c r="H740" s="30">
        <f t="shared" si="77"/>
        <v>129.81999999999996</v>
      </c>
      <c r="I740" s="30">
        <f ca="1">IFERROR(AVERAGEIF(OFFSET(F740,0,0,MIN(Controls!$B$8,COUNTIF(B740:B$1973,B740)),1),"&gt;"&amp;0),0)</f>
        <v>0</v>
      </c>
      <c r="J740" s="38">
        <f t="shared" ca="1" si="78"/>
        <v>999</v>
      </c>
      <c r="K740" s="30">
        <f t="shared" ca="1" si="82"/>
        <v>0</v>
      </c>
      <c r="L740" t="str">
        <f t="shared" ca="1" si="79"/>
        <v>Overstock</v>
      </c>
      <c r="M740" s="39">
        <f>IFERROR(VLOOKUP("Drug Substance",Controls!A:I,7,0),6)</f>
        <v>12</v>
      </c>
      <c r="N740" s="39">
        <f>IFERROR(VLOOKUP("Drug Substance",Controls!A:I,8,0),3)</f>
        <v>9</v>
      </c>
      <c r="O740" s="39">
        <f>IFERROR(VLOOKUP("Drug Substance",Controls!A:I,9,0),18)</f>
        <v>18</v>
      </c>
      <c r="P740" s="40">
        <f>IFERROR(VLOOKUP("Drug Substance",Controls!A:J,5,0),0)</f>
        <v>4.3</v>
      </c>
      <c r="Q740" s="39">
        <f>IFERROR(VLOOKUP("Drug Substance",Controls!A:J,6,0),3)</f>
        <v>5</v>
      </c>
      <c r="R740" s="21" t="str">
        <f>IFERROR(VLOOKUP("Drug Substance",Controls!A:K,10,0),"")</f>
        <v>ST Pharm (Oligo P1 F2)</v>
      </c>
      <c r="S740" s="41">
        <f t="shared" si="80"/>
        <v>46508</v>
      </c>
      <c r="T740" s="30">
        <f t="shared" si="81"/>
        <v>0</v>
      </c>
      <c r="W740" s="205" t="e" cm="1">
        <f t="array" ref="W740">IF(20&lt;Controls!$B$7,INDEX(A720:A898,MATCH(Controls!$B$5,A720:A898,1)+20),NA())</f>
        <v>#N/A</v>
      </c>
      <c r="X740" t="e" cm="1">
        <f t="array" ref="X740">IF(20&lt;Controls!$B$7,INDEX(F720:F898,MATCH(Controls!$B$5,A720:A898,1)+20),NA())</f>
        <v>#N/A</v>
      </c>
      <c r="Y740" t="e" cm="1">
        <f t="array" ref="Y740">IF(20&lt;Controls!$B$7,INDEX(G720:G898,MATCH(Controls!$B$5,A720:A898,1)+20),NA())</f>
        <v>#N/A</v>
      </c>
      <c r="Z740" t="e" cm="1">
        <f t="array" ref="Z740">IF(20&lt;Controls!$B$7,INDEX(H720:H898,MATCH(Controls!$B$5,A720:A898,1)+20),NA())</f>
        <v>#N/A</v>
      </c>
      <c r="AA740" t="e" cm="1">
        <f t="array" ref="AA740">IF(20&lt;Controls!$B$7,INDEX(M720:M898,MATCH(Controls!$B$5,A720:A898,1)+20)*INDEX(I720:I898,MATCH(Controls!$B$5,A720:A898,1)+20),NA())</f>
        <v>#N/A</v>
      </c>
      <c r="AB740">
        <f t="shared" si="83"/>
        <v>14.2</v>
      </c>
    </row>
    <row r="741" spans="1:28" ht="13" customHeight="1" x14ac:dyDescent="0.35">
      <c r="A741" s="153">
        <v>46692</v>
      </c>
      <c r="B741" s="36" t="s">
        <v>45</v>
      </c>
      <c r="C741" s="15" t="s">
        <v>47</v>
      </c>
      <c r="D741" s="15" t="s">
        <v>48</v>
      </c>
      <c r="E741" s="30">
        <f>H740</f>
        <v>129.81999999999996</v>
      </c>
      <c r="F741" s="37">
        <f>IFERROR('Production Inputs'!$AG$27*Dependencies!$D$6+'Production Inputs'!$AG$32*Dependencies!$D$9+'Production Inputs'!$AG$26*Dependencies!$D$8+'Production Inputs'!$AG$31*Dependencies!$D$10,0)</f>
        <v>0</v>
      </c>
      <c r="G741" s="37">
        <f t="array" ref="G741">IFERROR(SUMPRODUCT(('Production Inputs'!$A:$A="Drug Substance")*('Production Inputs'!$B:$B="TOTAL ACTIVE")*'Production Inputs'!$AG:$AG),0)</f>
        <v>0</v>
      </c>
      <c r="H741" s="30">
        <f t="shared" si="77"/>
        <v>129.81999999999996</v>
      </c>
      <c r="I741" s="30">
        <f ca="1">IFERROR(AVERAGEIF(OFFSET(F741,0,0,MIN(Controls!$B$8,COUNTIF(B741:B$1973,B741)),1),"&gt;"&amp;0),0)</f>
        <v>0</v>
      </c>
      <c r="J741" s="38">
        <f t="shared" ca="1" si="78"/>
        <v>999</v>
      </c>
      <c r="K741" s="30">
        <f t="shared" ca="1" si="82"/>
        <v>0</v>
      </c>
      <c r="L741" t="str">
        <f t="shared" ca="1" si="79"/>
        <v>Overstock</v>
      </c>
      <c r="M741" s="39">
        <f>IFERROR(VLOOKUP("Drug Substance",Controls!A:I,7,0),6)</f>
        <v>12</v>
      </c>
      <c r="N741" s="39">
        <f>IFERROR(VLOOKUP("Drug Substance",Controls!A:I,8,0),3)</f>
        <v>9</v>
      </c>
      <c r="O741" s="39">
        <f>IFERROR(VLOOKUP("Drug Substance",Controls!A:I,9,0),18)</f>
        <v>18</v>
      </c>
      <c r="P741" s="40">
        <f>IFERROR(VLOOKUP("Drug Substance",Controls!A:J,5,0),0)</f>
        <v>4.3</v>
      </c>
      <c r="Q741" s="39">
        <f>IFERROR(VLOOKUP("Drug Substance",Controls!A:J,6,0),3)</f>
        <v>5</v>
      </c>
      <c r="R741" s="21" t="str">
        <f>IFERROR(VLOOKUP("Drug Substance",Controls!A:K,10,0),"")</f>
        <v>ST Pharm (Oligo P1 F2)</v>
      </c>
      <c r="S741" s="41">
        <f t="shared" si="80"/>
        <v>46539</v>
      </c>
      <c r="T741" s="30">
        <f t="shared" si="81"/>
        <v>0</v>
      </c>
      <c r="W741" s="205" t="e" cm="1">
        <f t="array" ref="W741">IF(21&lt;Controls!$B$7,INDEX(A720:A898,MATCH(Controls!$B$5,A720:A898,1)+21),NA())</f>
        <v>#N/A</v>
      </c>
      <c r="X741" t="e" cm="1">
        <f t="array" ref="X741">IF(21&lt;Controls!$B$7,INDEX(F720:F898,MATCH(Controls!$B$5,A720:A898,1)+21),NA())</f>
        <v>#N/A</v>
      </c>
      <c r="Y741" t="e" cm="1">
        <f t="array" ref="Y741">IF(21&lt;Controls!$B$7,INDEX(G720:G898,MATCH(Controls!$B$5,A720:A898,1)+21),NA())</f>
        <v>#N/A</v>
      </c>
      <c r="Z741" t="e" cm="1">
        <f t="array" ref="Z741">IF(21&lt;Controls!$B$7,INDEX(H720:H898,MATCH(Controls!$B$5,A720:A898,1)+21),NA())</f>
        <v>#N/A</v>
      </c>
      <c r="AA741" t="e" cm="1">
        <f t="array" ref="AA741">IF(21&lt;Controls!$B$7,INDEX(M720:M898,MATCH(Controls!$B$5,A720:A898,1)+21)*INDEX(I720:I898,MATCH(Controls!$B$5,A720:A898,1)+21),NA())</f>
        <v>#N/A</v>
      </c>
      <c r="AB741">
        <f t="shared" si="83"/>
        <v>14.2</v>
      </c>
    </row>
    <row r="742" spans="1:28" ht="13" customHeight="1" x14ac:dyDescent="0.35">
      <c r="A742" s="153">
        <v>46722</v>
      </c>
      <c r="B742" s="36" t="s">
        <v>45</v>
      </c>
      <c r="C742" s="15" t="s">
        <v>47</v>
      </c>
      <c r="D742" s="15" t="s">
        <v>48</v>
      </c>
      <c r="E742" s="30">
        <f>H741</f>
        <v>129.81999999999996</v>
      </c>
      <c r="F742" s="37">
        <f>IFERROR('Production Inputs'!$AH$27*Dependencies!$D$6+'Production Inputs'!$AH$32*Dependencies!$D$9+'Production Inputs'!$AH$26*Dependencies!$D$8+'Production Inputs'!$AH$31*Dependencies!$D$10,0)</f>
        <v>0</v>
      </c>
      <c r="G742" s="37">
        <f t="array" ref="G742">IFERROR(SUMPRODUCT(('Production Inputs'!$A:$A="Drug Substance")*('Production Inputs'!$B:$B="TOTAL ACTIVE")*'Production Inputs'!$AH:$AH),0)</f>
        <v>0</v>
      </c>
      <c r="H742" s="30">
        <f t="shared" si="77"/>
        <v>129.81999999999996</v>
      </c>
      <c r="I742" s="30">
        <f ca="1">IFERROR(AVERAGEIF(OFFSET(F742,0,0,MIN(Controls!$B$8,COUNTIF(B742:B$1973,B742)),1),"&gt;"&amp;0),0)</f>
        <v>57.168252314814815</v>
      </c>
      <c r="J742" s="38">
        <f t="shared" ca="1" si="78"/>
        <v>2.2708408031280305</v>
      </c>
      <c r="K742" s="30">
        <f t="shared" ca="1" si="82"/>
        <v>554.69999999999993</v>
      </c>
      <c r="L742" t="str">
        <f t="shared" ca="1" si="79"/>
        <v>High</v>
      </c>
      <c r="M742" s="39">
        <f>IFERROR(VLOOKUP("Drug Substance",Controls!A:I,7,0),6)</f>
        <v>12</v>
      </c>
      <c r="N742" s="39">
        <f>IFERROR(VLOOKUP("Drug Substance",Controls!A:I,8,0),3)</f>
        <v>9</v>
      </c>
      <c r="O742" s="39">
        <f>IFERROR(VLOOKUP("Drug Substance",Controls!A:I,9,0),18)</f>
        <v>18</v>
      </c>
      <c r="P742" s="40">
        <f>IFERROR(VLOOKUP("Drug Substance",Controls!A:J,5,0),0)</f>
        <v>4.3</v>
      </c>
      <c r="Q742" s="39">
        <f>IFERROR(VLOOKUP("Drug Substance",Controls!A:J,6,0),3)</f>
        <v>5</v>
      </c>
      <c r="R742" s="21" t="str">
        <f>IFERROR(VLOOKUP("Drug Substance",Controls!A:K,10,0),"")</f>
        <v>ST Pharm (Oligo P1 F2)</v>
      </c>
      <c r="S742" s="41">
        <f t="shared" si="80"/>
        <v>46569</v>
      </c>
      <c r="T742" s="30">
        <f t="shared" si="81"/>
        <v>0</v>
      </c>
      <c r="W742" s="205" t="e" cm="1">
        <f t="array" ref="W742">IF(22&lt;Controls!$B$7,INDEX(A720:A898,MATCH(Controls!$B$5,A720:A898,1)+22),NA())</f>
        <v>#N/A</v>
      </c>
      <c r="X742" t="e" cm="1">
        <f t="array" ref="X742">IF(22&lt;Controls!$B$7,INDEX(F720:F898,MATCH(Controls!$B$5,A720:A898,1)+22),NA())</f>
        <v>#N/A</v>
      </c>
      <c r="Y742" t="e" cm="1">
        <f t="array" ref="Y742">IF(22&lt;Controls!$B$7,INDEX(G720:G898,MATCH(Controls!$B$5,A720:A898,1)+22),NA())</f>
        <v>#N/A</v>
      </c>
      <c r="Z742" t="e" cm="1">
        <f t="array" ref="Z742">IF(22&lt;Controls!$B$7,INDEX(H720:H898,MATCH(Controls!$B$5,A720:A898,1)+22),NA())</f>
        <v>#N/A</v>
      </c>
      <c r="AA742" t="e" cm="1">
        <f t="array" ref="AA742">IF(22&lt;Controls!$B$7,INDEX(M720:M898,MATCH(Controls!$B$5,A720:A898,1)+22)*INDEX(I720:I898,MATCH(Controls!$B$5,A720:A898,1)+22),NA())</f>
        <v>#N/A</v>
      </c>
      <c r="AB742">
        <f t="shared" si="83"/>
        <v>14.2</v>
      </c>
    </row>
    <row r="743" spans="1:28" ht="13" customHeight="1" x14ac:dyDescent="0.35">
      <c r="A743" s="153">
        <v>46753</v>
      </c>
      <c r="B743" s="36" t="s">
        <v>45</v>
      </c>
      <c r="C743" s="15" t="s">
        <v>47</v>
      </c>
      <c r="D743" s="15" t="s">
        <v>48</v>
      </c>
      <c r="E743" s="30">
        <f>H742</f>
        <v>129.81999999999996</v>
      </c>
      <c r="F743" s="37">
        <f>IFERROR('Production Inputs'!$AI$27*Dependencies!$D$6+'Production Inputs'!$AI$32*Dependencies!$D$9+'Production Inputs'!$AI$26*Dependencies!$D$8+'Production Inputs'!$AI$31*Dependencies!$D$10,0)</f>
        <v>0</v>
      </c>
      <c r="G743" s="37">
        <f t="array" ref="G743">IFERROR(SUMPRODUCT(('Production Inputs'!$A:$A="Drug Substance")*('Production Inputs'!$B:$B="TOTAL ACTIVE")*'Production Inputs'!$AI:$AI),0)</f>
        <v>0</v>
      </c>
      <c r="H743" s="30">
        <f t="shared" si="77"/>
        <v>129.81999999999996</v>
      </c>
      <c r="I743" s="30">
        <f ca="1">IFERROR(AVERAGEIF(OFFSET(F743,0,0,MIN(Controls!$B$8,COUNTIF(B743:B$1973,B743)),1),"&gt;"&amp;0),0)</f>
        <v>57.168252314814815</v>
      </c>
      <c r="J743" s="38">
        <f t="shared" ca="1" si="78"/>
        <v>2.2708408031280305</v>
      </c>
      <c r="K743" s="30">
        <f t="shared" ca="1" si="82"/>
        <v>554.69999999999993</v>
      </c>
      <c r="L743" t="str">
        <f t="shared" ca="1" si="79"/>
        <v>High</v>
      </c>
      <c r="M743" s="39">
        <f>IFERROR(VLOOKUP("Drug Substance",Controls!A:I,7,0),6)</f>
        <v>12</v>
      </c>
      <c r="N743" s="39">
        <f>IFERROR(VLOOKUP("Drug Substance",Controls!A:I,8,0),3)</f>
        <v>9</v>
      </c>
      <c r="O743" s="39">
        <f>IFERROR(VLOOKUP("Drug Substance",Controls!A:I,9,0),18)</f>
        <v>18</v>
      </c>
      <c r="P743" s="40">
        <f>IFERROR(VLOOKUP("Drug Substance",Controls!A:J,5,0),0)</f>
        <v>4.3</v>
      </c>
      <c r="Q743" s="39">
        <f>IFERROR(VLOOKUP("Drug Substance",Controls!A:J,6,0),3)</f>
        <v>5</v>
      </c>
      <c r="R743" s="21" t="str">
        <f>IFERROR(VLOOKUP("Drug Substance",Controls!A:K,10,0),"")</f>
        <v>ST Pharm (Oligo P1 F2)</v>
      </c>
      <c r="S743" s="41">
        <f t="shared" si="80"/>
        <v>46600</v>
      </c>
      <c r="T743" s="30">
        <f t="shared" si="81"/>
        <v>0</v>
      </c>
      <c r="W743" s="205" t="e" cm="1">
        <f t="array" ref="W743">IF(23&lt;Controls!$B$7,INDEX(A720:A898,MATCH(Controls!$B$5,A720:A898,1)+23),NA())</f>
        <v>#N/A</v>
      </c>
      <c r="X743" t="e" cm="1">
        <f t="array" ref="X743">IF(23&lt;Controls!$B$7,INDEX(F720:F898,MATCH(Controls!$B$5,A720:A898,1)+23),NA())</f>
        <v>#N/A</v>
      </c>
      <c r="Y743" t="e" cm="1">
        <f t="array" ref="Y743">IF(23&lt;Controls!$B$7,INDEX(G720:G898,MATCH(Controls!$B$5,A720:A898,1)+23),NA())</f>
        <v>#N/A</v>
      </c>
      <c r="Z743" t="e" cm="1">
        <f t="array" ref="Z743">IF(23&lt;Controls!$B$7,INDEX(H720:H898,MATCH(Controls!$B$5,A720:A898,1)+23),NA())</f>
        <v>#N/A</v>
      </c>
      <c r="AA743" t="e" cm="1">
        <f t="array" ref="AA743">IF(23&lt;Controls!$B$7,INDEX(M720:M898,MATCH(Controls!$B$5,A720:A898,1)+23)*INDEX(I720:I898,MATCH(Controls!$B$5,A720:A898,1)+23),NA())</f>
        <v>#N/A</v>
      </c>
      <c r="AB743">
        <f t="shared" si="83"/>
        <v>14.2</v>
      </c>
    </row>
    <row r="744" spans="1:28" ht="13" customHeight="1" x14ac:dyDescent="0.35">
      <c r="A744" s="153">
        <v>46784</v>
      </c>
      <c r="B744" s="36" t="s">
        <v>45</v>
      </c>
      <c r="C744" s="15" t="s">
        <v>47</v>
      </c>
      <c r="D744" s="15" t="s">
        <v>48</v>
      </c>
      <c r="E744" s="30">
        <f>H743</f>
        <v>129.81999999999996</v>
      </c>
      <c r="F744" s="37">
        <f>IFERROR('Production Inputs'!$AJ$27*Dependencies!$D$6+'Production Inputs'!$AJ$32*Dependencies!$D$9+'Production Inputs'!$AJ$26*Dependencies!$D$8+'Production Inputs'!$AJ$31*Dependencies!$D$10,0)</f>
        <v>0</v>
      </c>
      <c r="G744" s="37">
        <f t="array" ref="G744">IFERROR(SUMPRODUCT(('Production Inputs'!$A:$A="Drug Substance")*('Production Inputs'!$B:$B="TOTAL ACTIVE")*'Production Inputs'!$AJ:$AJ),0)</f>
        <v>0</v>
      </c>
      <c r="H744" s="30">
        <f t="shared" si="77"/>
        <v>129.81999999999996</v>
      </c>
      <c r="I744" s="30">
        <f ca="1">IFERROR(AVERAGEIF(OFFSET(F744,0,0,MIN(Controls!$B$8,COUNTIF(B744:B$1973,B744)),1),"&gt;"&amp;0),0)</f>
        <v>57.168252314814815</v>
      </c>
      <c r="J744" s="38">
        <f t="shared" ca="1" si="78"/>
        <v>2.2708408031280305</v>
      </c>
      <c r="K744" s="30">
        <f t="shared" ca="1" si="82"/>
        <v>554.69999999999993</v>
      </c>
      <c r="L744" t="str">
        <f t="shared" ca="1" si="79"/>
        <v>High</v>
      </c>
      <c r="M744" s="39">
        <f>IFERROR(VLOOKUP("Drug Substance",Controls!A:I,7,0),6)</f>
        <v>12</v>
      </c>
      <c r="N744" s="39">
        <f>IFERROR(VLOOKUP("Drug Substance",Controls!A:I,8,0),3)</f>
        <v>9</v>
      </c>
      <c r="O744" s="39">
        <f>IFERROR(VLOOKUP("Drug Substance",Controls!A:I,9,0),18)</f>
        <v>18</v>
      </c>
      <c r="P744" s="40">
        <f>IFERROR(VLOOKUP("Drug Substance",Controls!A:J,5,0),0)</f>
        <v>4.3</v>
      </c>
      <c r="Q744" s="39">
        <f>IFERROR(VLOOKUP("Drug Substance",Controls!A:J,6,0),3)</f>
        <v>5</v>
      </c>
      <c r="R744" s="21" t="str">
        <f>IFERROR(VLOOKUP("Drug Substance",Controls!A:K,10,0),"")</f>
        <v>ST Pharm (Oligo P1 F2)</v>
      </c>
      <c r="S744" s="41">
        <f t="shared" si="80"/>
        <v>46631</v>
      </c>
      <c r="T744" s="30">
        <f t="shared" si="81"/>
        <v>0</v>
      </c>
      <c r="W744" s="205" t="e" cm="1">
        <f t="array" ref="W744">IF(24&lt;Controls!$B$7,INDEX(A720:A898,MATCH(Controls!$B$5,A720:A898,1)+24),NA())</f>
        <v>#N/A</v>
      </c>
      <c r="X744" t="e" cm="1">
        <f t="array" ref="X744">IF(24&lt;Controls!$B$7,INDEX(F720:F898,MATCH(Controls!$B$5,A720:A898,1)+24),NA())</f>
        <v>#N/A</v>
      </c>
      <c r="Y744" t="e" cm="1">
        <f t="array" ref="Y744">IF(24&lt;Controls!$B$7,INDEX(G720:G898,MATCH(Controls!$B$5,A720:A898,1)+24),NA())</f>
        <v>#N/A</v>
      </c>
      <c r="Z744" t="e" cm="1">
        <f t="array" ref="Z744">IF(24&lt;Controls!$B$7,INDEX(H720:H898,MATCH(Controls!$B$5,A720:A898,1)+24),NA())</f>
        <v>#N/A</v>
      </c>
      <c r="AA744" t="e" cm="1">
        <f t="array" ref="AA744">IF(24&lt;Controls!$B$7,INDEX(M720:M898,MATCH(Controls!$B$5,A720:A898,1)+24)*INDEX(I720:I898,MATCH(Controls!$B$5,A720:A898,1)+24),NA())</f>
        <v>#N/A</v>
      </c>
      <c r="AB744">
        <f t="shared" si="83"/>
        <v>14.2</v>
      </c>
    </row>
    <row r="745" spans="1:28" ht="13" customHeight="1" x14ac:dyDescent="0.35">
      <c r="A745" s="153">
        <v>46813</v>
      </c>
      <c r="B745" s="36" t="s">
        <v>45</v>
      </c>
      <c r="C745" s="15" t="s">
        <v>47</v>
      </c>
      <c r="D745" s="15" t="s">
        <v>48</v>
      </c>
      <c r="E745" s="30">
        <f>H744</f>
        <v>129.81999999999996</v>
      </c>
      <c r="F745" s="37">
        <f>IFERROR('Production Inputs'!$AK$27*Dependencies!$D$6+'Production Inputs'!$AK$32*Dependencies!$D$9+'Production Inputs'!$AK$26*Dependencies!$D$8+'Production Inputs'!$AK$31*Dependencies!$D$10,0)</f>
        <v>0</v>
      </c>
      <c r="G745" s="37">
        <f t="array" ref="G745">IFERROR(SUMPRODUCT(('Production Inputs'!$A:$A="Drug Substance")*('Production Inputs'!$B:$B="TOTAL ACTIVE")*'Production Inputs'!$AK:$AK),0)</f>
        <v>0</v>
      </c>
      <c r="H745" s="30">
        <f t="shared" si="77"/>
        <v>129.81999999999996</v>
      </c>
      <c r="I745" s="30">
        <f ca="1">IFERROR(AVERAGEIF(OFFSET(F745,0,0,MIN(Controls!$B$8,COUNTIF(B745:B$1973,B745)),1),"&gt;"&amp;0),0)</f>
        <v>57.168252314814815</v>
      </c>
      <c r="J745" s="38">
        <f t="shared" ca="1" si="78"/>
        <v>2.2708408031280305</v>
      </c>
      <c r="K745" s="30">
        <f t="shared" ca="1" si="82"/>
        <v>554.69999999999993</v>
      </c>
      <c r="L745" t="str">
        <f t="shared" ca="1" si="79"/>
        <v>High</v>
      </c>
      <c r="M745" s="39">
        <f>IFERROR(VLOOKUP("Drug Substance",Controls!A:I,7,0),6)</f>
        <v>12</v>
      </c>
      <c r="N745" s="39">
        <f>IFERROR(VLOOKUP("Drug Substance",Controls!A:I,8,0),3)</f>
        <v>9</v>
      </c>
      <c r="O745" s="39">
        <f>IFERROR(VLOOKUP("Drug Substance",Controls!A:I,9,0),18)</f>
        <v>18</v>
      </c>
      <c r="P745" s="40">
        <f>IFERROR(VLOOKUP("Drug Substance",Controls!A:J,5,0),0)</f>
        <v>4.3</v>
      </c>
      <c r="Q745" s="39">
        <f>IFERROR(VLOOKUP("Drug Substance",Controls!A:J,6,0),3)</f>
        <v>5</v>
      </c>
      <c r="R745" s="21" t="str">
        <f>IFERROR(VLOOKUP("Drug Substance",Controls!A:K,10,0),"")</f>
        <v>ST Pharm (Oligo P1 F2)</v>
      </c>
      <c r="S745" s="41">
        <f t="shared" si="80"/>
        <v>46661</v>
      </c>
      <c r="T745" s="30">
        <f t="shared" si="81"/>
        <v>0</v>
      </c>
      <c r="W745" s="205" t="e" cm="1">
        <f t="array" ref="W745">IF(25&lt;Controls!$B$7,INDEX(A720:A898,MATCH(Controls!$B$5,A720:A898,1)+25),NA())</f>
        <v>#N/A</v>
      </c>
      <c r="X745" t="e" cm="1">
        <f t="array" ref="X745">IF(25&lt;Controls!$B$7,INDEX(F720:F898,MATCH(Controls!$B$5,A720:A898,1)+25),NA())</f>
        <v>#N/A</v>
      </c>
      <c r="Y745" t="e" cm="1">
        <f t="array" ref="Y745">IF(25&lt;Controls!$B$7,INDEX(G720:G898,MATCH(Controls!$B$5,A720:A898,1)+25),NA())</f>
        <v>#N/A</v>
      </c>
      <c r="Z745" t="e" cm="1">
        <f t="array" ref="Z745">IF(25&lt;Controls!$B$7,INDEX(H720:H898,MATCH(Controls!$B$5,A720:A898,1)+25),NA())</f>
        <v>#N/A</v>
      </c>
      <c r="AA745" t="e" cm="1">
        <f t="array" ref="AA745">IF(25&lt;Controls!$B$7,INDEX(M720:M898,MATCH(Controls!$B$5,A720:A898,1)+25)*INDEX(I720:I898,MATCH(Controls!$B$5,A720:A898,1)+25),NA())</f>
        <v>#N/A</v>
      </c>
      <c r="AB745">
        <f t="shared" si="83"/>
        <v>14.2</v>
      </c>
    </row>
    <row r="746" spans="1:28" ht="13" customHeight="1" x14ac:dyDescent="0.35">
      <c r="A746" s="153">
        <v>46844</v>
      </c>
      <c r="B746" s="36" t="s">
        <v>45</v>
      </c>
      <c r="C746" s="15" t="s">
        <v>47</v>
      </c>
      <c r="D746" s="15" t="s">
        <v>48</v>
      </c>
      <c r="E746" s="30">
        <f>H745</f>
        <v>129.81999999999996</v>
      </c>
      <c r="F746" s="37">
        <f>IFERROR('Production Inputs'!$AL$27*Dependencies!$D$6+'Production Inputs'!$AL$32*Dependencies!$D$9+'Production Inputs'!$AL$26*Dependencies!$D$8+'Production Inputs'!$AL$31*Dependencies!$D$10,0)</f>
        <v>0</v>
      </c>
      <c r="G746" s="37">
        <f t="array" ref="G746">IFERROR(SUMPRODUCT(('Production Inputs'!$A:$A="Drug Substance")*('Production Inputs'!$B:$B="TOTAL ACTIVE")*'Production Inputs'!$AL:$AL),0)</f>
        <v>0</v>
      </c>
      <c r="H746" s="30">
        <f t="shared" si="77"/>
        <v>129.81999999999996</v>
      </c>
      <c r="I746" s="30">
        <f ca="1">IFERROR(AVERAGEIF(OFFSET(F746,0,0,MIN(Controls!$B$8,COUNTIF(B746:B$1973,B746)),1),"&gt;"&amp;0),0)</f>
        <v>57.168252314814815</v>
      </c>
      <c r="J746" s="38">
        <f t="shared" ca="1" si="78"/>
        <v>2.2708408031280305</v>
      </c>
      <c r="K746" s="30">
        <f t="shared" ca="1" si="82"/>
        <v>554.69999999999993</v>
      </c>
      <c r="L746" t="str">
        <f t="shared" ca="1" si="79"/>
        <v>High</v>
      </c>
      <c r="M746" s="39">
        <f>IFERROR(VLOOKUP("Drug Substance",Controls!A:I,7,0),6)</f>
        <v>12</v>
      </c>
      <c r="N746" s="39">
        <f>IFERROR(VLOOKUP("Drug Substance",Controls!A:I,8,0),3)</f>
        <v>9</v>
      </c>
      <c r="O746" s="39">
        <f>IFERROR(VLOOKUP("Drug Substance",Controls!A:I,9,0),18)</f>
        <v>18</v>
      </c>
      <c r="P746" s="40">
        <f>IFERROR(VLOOKUP("Drug Substance",Controls!A:J,5,0),0)</f>
        <v>4.3</v>
      </c>
      <c r="Q746" s="39">
        <f>IFERROR(VLOOKUP("Drug Substance",Controls!A:J,6,0),3)</f>
        <v>5</v>
      </c>
      <c r="R746" s="21" t="str">
        <f>IFERROR(VLOOKUP("Drug Substance",Controls!A:K,10,0),"")</f>
        <v>ST Pharm (Oligo P1 F2)</v>
      </c>
      <c r="S746" s="41">
        <f t="shared" si="80"/>
        <v>46692</v>
      </c>
      <c r="T746" s="30">
        <f t="shared" si="81"/>
        <v>0</v>
      </c>
      <c r="W746" s="205" t="e" cm="1">
        <f t="array" ref="W746">IF(26&lt;Controls!$B$7,INDEX(A720:A898,MATCH(Controls!$B$5,A720:A898,1)+26),NA())</f>
        <v>#N/A</v>
      </c>
      <c r="X746" t="e" cm="1">
        <f t="array" ref="X746">IF(26&lt;Controls!$B$7,INDEX(F720:F898,MATCH(Controls!$B$5,A720:A898,1)+26),NA())</f>
        <v>#N/A</v>
      </c>
      <c r="Y746" t="e" cm="1">
        <f t="array" ref="Y746">IF(26&lt;Controls!$B$7,INDEX(G720:G898,MATCH(Controls!$B$5,A720:A898,1)+26),NA())</f>
        <v>#N/A</v>
      </c>
      <c r="Z746" t="e" cm="1">
        <f t="array" ref="Z746">IF(26&lt;Controls!$B$7,INDEX(H720:H898,MATCH(Controls!$B$5,A720:A898,1)+26),NA())</f>
        <v>#N/A</v>
      </c>
      <c r="AA746" t="e" cm="1">
        <f t="array" ref="AA746">IF(26&lt;Controls!$B$7,INDEX(M720:M898,MATCH(Controls!$B$5,A720:A898,1)+26)*INDEX(I720:I898,MATCH(Controls!$B$5,A720:A898,1)+26),NA())</f>
        <v>#N/A</v>
      </c>
      <c r="AB746">
        <f t="shared" si="83"/>
        <v>14.2</v>
      </c>
    </row>
    <row r="747" spans="1:28" ht="13" customHeight="1" x14ac:dyDescent="0.35">
      <c r="A747" s="153">
        <v>46874</v>
      </c>
      <c r="B747" s="36" t="s">
        <v>45</v>
      </c>
      <c r="C747" s="15" t="s">
        <v>47</v>
      </c>
      <c r="D747" s="15" t="s">
        <v>48</v>
      </c>
      <c r="E747" s="30">
        <f>H746</f>
        <v>129.81999999999996</v>
      </c>
      <c r="F747" s="37">
        <f>IFERROR('Production Inputs'!$AM$27*Dependencies!$D$6+'Production Inputs'!$AM$32*Dependencies!$D$9+'Production Inputs'!$AM$26*Dependencies!$D$8+'Production Inputs'!$AM$31*Dependencies!$D$10,0)</f>
        <v>0</v>
      </c>
      <c r="G747" s="37">
        <f t="array" ref="G747">IFERROR(SUMPRODUCT(('Production Inputs'!$A:$A="Drug Substance")*('Production Inputs'!$B:$B="TOTAL ACTIVE")*'Production Inputs'!$AM:$AM),0)</f>
        <v>0</v>
      </c>
      <c r="H747" s="30">
        <f t="shared" si="77"/>
        <v>129.81999999999996</v>
      </c>
      <c r="I747" s="30">
        <f ca="1">IFERROR(AVERAGEIF(OFFSET(F747,0,0,MIN(Controls!$B$8,COUNTIF(B747:B$1973,B747)),1),"&gt;"&amp;0),0)</f>
        <v>57.168252314814815</v>
      </c>
      <c r="J747" s="38">
        <f t="shared" ca="1" si="78"/>
        <v>2.2708408031280305</v>
      </c>
      <c r="K747" s="30">
        <f t="shared" ca="1" si="82"/>
        <v>554.69999999999993</v>
      </c>
      <c r="L747" t="str">
        <f t="shared" ca="1" si="79"/>
        <v>High</v>
      </c>
      <c r="M747" s="39">
        <f>IFERROR(VLOOKUP("Drug Substance",Controls!A:I,7,0),6)</f>
        <v>12</v>
      </c>
      <c r="N747" s="39">
        <f>IFERROR(VLOOKUP("Drug Substance",Controls!A:I,8,0),3)</f>
        <v>9</v>
      </c>
      <c r="O747" s="39">
        <f>IFERROR(VLOOKUP("Drug Substance",Controls!A:I,9,0),18)</f>
        <v>18</v>
      </c>
      <c r="P747" s="40">
        <f>IFERROR(VLOOKUP("Drug Substance",Controls!A:J,5,0),0)</f>
        <v>4.3</v>
      </c>
      <c r="Q747" s="39">
        <f>IFERROR(VLOOKUP("Drug Substance",Controls!A:J,6,0),3)</f>
        <v>5</v>
      </c>
      <c r="R747" s="21" t="str">
        <f>IFERROR(VLOOKUP("Drug Substance",Controls!A:K,10,0),"")</f>
        <v>ST Pharm (Oligo P1 F2)</v>
      </c>
      <c r="S747" s="41">
        <f t="shared" si="80"/>
        <v>46722</v>
      </c>
      <c r="T747" s="30">
        <f t="shared" si="81"/>
        <v>0</v>
      </c>
      <c r="W747" s="205" t="e" cm="1">
        <f t="array" ref="W747">IF(27&lt;Controls!$B$7,INDEX(A720:A898,MATCH(Controls!$B$5,A720:A898,1)+27),NA())</f>
        <v>#N/A</v>
      </c>
      <c r="X747" t="e" cm="1">
        <f t="array" ref="X747">IF(27&lt;Controls!$B$7,INDEX(F720:F898,MATCH(Controls!$B$5,A720:A898,1)+27),NA())</f>
        <v>#N/A</v>
      </c>
      <c r="Y747" t="e" cm="1">
        <f t="array" ref="Y747">IF(27&lt;Controls!$B$7,INDEX(G720:G898,MATCH(Controls!$B$5,A720:A898,1)+27),NA())</f>
        <v>#N/A</v>
      </c>
      <c r="Z747" t="e" cm="1">
        <f t="array" ref="Z747">IF(27&lt;Controls!$B$7,INDEX(H720:H898,MATCH(Controls!$B$5,A720:A898,1)+27),NA())</f>
        <v>#N/A</v>
      </c>
      <c r="AA747" t="e" cm="1">
        <f t="array" ref="AA747">IF(27&lt;Controls!$B$7,INDEX(M720:M898,MATCH(Controls!$B$5,A720:A898,1)+27)*INDEX(I720:I898,MATCH(Controls!$B$5,A720:A898,1)+27),NA())</f>
        <v>#N/A</v>
      </c>
      <c r="AB747">
        <f t="shared" si="83"/>
        <v>14.2</v>
      </c>
    </row>
    <row r="748" spans="1:28" ht="13" customHeight="1" x14ac:dyDescent="0.35">
      <c r="A748" s="153">
        <v>46905</v>
      </c>
      <c r="B748" s="36" t="s">
        <v>45</v>
      </c>
      <c r="C748" s="15" t="s">
        <v>47</v>
      </c>
      <c r="D748" s="15" t="s">
        <v>48</v>
      </c>
      <c r="E748" s="30">
        <f>H747</f>
        <v>129.81999999999996</v>
      </c>
      <c r="F748" s="37">
        <f>IFERROR('Production Inputs'!$AN$27*Dependencies!$D$6+'Production Inputs'!$AN$32*Dependencies!$D$9+'Production Inputs'!$AN$26*Dependencies!$D$8+'Production Inputs'!$AN$31*Dependencies!$D$10,0)</f>
        <v>0</v>
      </c>
      <c r="G748" s="37">
        <f t="array" ref="G748">IFERROR(SUMPRODUCT(('Production Inputs'!$A:$A="Drug Substance")*('Production Inputs'!$B:$B="TOTAL ACTIVE")*'Production Inputs'!$AN:$AN),0)</f>
        <v>0</v>
      </c>
      <c r="H748" s="30">
        <f t="shared" si="77"/>
        <v>129.81999999999996</v>
      </c>
      <c r="I748" s="30">
        <f ca="1">IFERROR(AVERAGEIF(OFFSET(F748,0,0,MIN(Controls!$B$8,COUNTIF(B748:B$1973,B748)),1),"&gt;"&amp;0),0)</f>
        <v>57.168252314814815</v>
      </c>
      <c r="J748" s="38">
        <f t="shared" ca="1" si="78"/>
        <v>2.2708408031280305</v>
      </c>
      <c r="K748" s="30">
        <f t="shared" ca="1" si="82"/>
        <v>554.69999999999993</v>
      </c>
      <c r="L748" t="str">
        <f t="shared" ca="1" si="79"/>
        <v>High</v>
      </c>
      <c r="M748" s="39">
        <f>IFERROR(VLOOKUP("Drug Substance",Controls!A:I,7,0),6)</f>
        <v>12</v>
      </c>
      <c r="N748" s="39">
        <f>IFERROR(VLOOKUP("Drug Substance",Controls!A:I,8,0),3)</f>
        <v>9</v>
      </c>
      <c r="O748" s="39">
        <f>IFERROR(VLOOKUP("Drug Substance",Controls!A:I,9,0),18)</f>
        <v>18</v>
      </c>
      <c r="P748" s="40">
        <f>IFERROR(VLOOKUP("Drug Substance",Controls!A:J,5,0),0)</f>
        <v>4.3</v>
      </c>
      <c r="Q748" s="39">
        <f>IFERROR(VLOOKUP("Drug Substance",Controls!A:J,6,0),3)</f>
        <v>5</v>
      </c>
      <c r="R748" s="21" t="str">
        <f>IFERROR(VLOOKUP("Drug Substance",Controls!A:K,10,0),"")</f>
        <v>ST Pharm (Oligo P1 F2)</v>
      </c>
      <c r="S748" s="41">
        <f t="shared" si="80"/>
        <v>46753</v>
      </c>
      <c r="T748" s="30">
        <f t="shared" si="81"/>
        <v>0</v>
      </c>
      <c r="W748" s="205" t="e" cm="1">
        <f t="array" ref="W748">IF(28&lt;Controls!$B$7,INDEX(A720:A898,MATCH(Controls!$B$5,A720:A898,1)+28),NA())</f>
        <v>#N/A</v>
      </c>
      <c r="X748" t="e" cm="1">
        <f t="array" ref="X748">IF(28&lt;Controls!$B$7,INDEX(F720:F898,MATCH(Controls!$B$5,A720:A898,1)+28),NA())</f>
        <v>#N/A</v>
      </c>
      <c r="Y748" t="e" cm="1">
        <f t="array" ref="Y748">IF(28&lt;Controls!$B$7,INDEX(G720:G898,MATCH(Controls!$B$5,A720:A898,1)+28),NA())</f>
        <v>#N/A</v>
      </c>
      <c r="Z748" t="e" cm="1">
        <f t="array" ref="Z748">IF(28&lt;Controls!$B$7,INDEX(H720:H898,MATCH(Controls!$B$5,A720:A898,1)+28),NA())</f>
        <v>#N/A</v>
      </c>
      <c r="AA748" t="e" cm="1">
        <f t="array" ref="AA748">IF(28&lt;Controls!$B$7,INDEX(M720:M898,MATCH(Controls!$B$5,A720:A898,1)+28)*INDEX(I720:I898,MATCH(Controls!$B$5,A720:A898,1)+28),NA())</f>
        <v>#N/A</v>
      </c>
      <c r="AB748">
        <f t="shared" si="83"/>
        <v>14.2</v>
      </c>
    </row>
    <row r="749" spans="1:28" ht="13" customHeight="1" x14ac:dyDescent="0.35">
      <c r="A749" s="153">
        <v>46935</v>
      </c>
      <c r="B749" s="36" t="s">
        <v>45</v>
      </c>
      <c r="C749" s="15" t="s">
        <v>47</v>
      </c>
      <c r="D749" s="15" t="s">
        <v>48</v>
      </c>
      <c r="E749" s="30">
        <f>H748</f>
        <v>129.81999999999996</v>
      </c>
      <c r="F749" s="37">
        <f>IFERROR('Production Inputs'!$AO$27*Dependencies!$D$6+'Production Inputs'!$AO$32*Dependencies!$D$9+'Production Inputs'!$AO$26*Dependencies!$D$8+'Production Inputs'!$AO$31*Dependencies!$D$10,0)</f>
        <v>0</v>
      </c>
      <c r="G749" s="37">
        <f t="array" ref="G749">IFERROR(SUMPRODUCT(('Production Inputs'!$A:$A="Drug Substance")*('Production Inputs'!$B:$B="TOTAL ACTIVE")*'Production Inputs'!$AO:$AO),0)</f>
        <v>0</v>
      </c>
      <c r="H749" s="30">
        <f t="shared" si="77"/>
        <v>129.81999999999996</v>
      </c>
      <c r="I749" s="30">
        <f ca="1">IFERROR(AVERAGEIF(OFFSET(F749,0,0,MIN(Controls!$B$8,COUNTIF(B749:B$1973,B749)),1),"&gt;"&amp;0),0)</f>
        <v>57.168252314814815</v>
      </c>
      <c r="J749" s="38">
        <f t="shared" ca="1" si="78"/>
        <v>2.2708408031280305</v>
      </c>
      <c r="K749" s="30">
        <f t="shared" ca="1" si="82"/>
        <v>554.69999999999993</v>
      </c>
      <c r="L749" t="str">
        <f t="shared" ca="1" si="79"/>
        <v>High</v>
      </c>
      <c r="M749" s="39">
        <f>IFERROR(VLOOKUP("Drug Substance",Controls!A:I,7,0),6)</f>
        <v>12</v>
      </c>
      <c r="N749" s="39">
        <f>IFERROR(VLOOKUP("Drug Substance",Controls!A:I,8,0),3)</f>
        <v>9</v>
      </c>
      <c r="O749" s="39">
        <f>IFERROR(VLOOKUP("Drug Substance",Controls!A:I,9,0),18)</f>
        <v>18</v>
      </c>
      <c r="P749" s="40">
        <f>IFERROR(VLOOKUP("Drug Substance",Controls!A:J,5,0),0)</f>
        <v>4.3</v>
      </c>
      <c r="Q749" s="39">
        <f>IFERROR(VLOOKUP("Drug Substance",Controls!A:J,6,0),3)</f>
        <v>5</v>
      </c>
      <c r="R749" s="21" t="str">
        <f>IFERROR(VLOOKUP("Drug Substance",Controls!A:K,10,0),"")</f>
        <v>ST Pharm (Oligo P1 F2)</v>
      </c>
      <c r="S749" s="41">
        <f t="shared" si="80"/>
        <v>46784</v>
      </c>
      <c r="T749" s="30">
        <f t="shared" si="81"/>
        <v>0</v>
      </c>
      <c r="W749" s="205" t="e" cm="1">
        <f t="array" ref="W749">IF(29&lt;Controls!$B$7,INDEX(A720:A898,MATCH(Controls!$B$5,A720:A898,1)+29),NA())</f>
        <v>#N/A</v>
      </c>
      <c r="X749" t="e" cm="1">
        <f t="array" ref="X749">IF(29&lt;Controls!$B$7,INDEX(F720:F898,MATCH(Controls!$B$5,A720:A898,1)+29),NA())</f>
        <v>#N/A</v>
      </c>
      <c r="Y749" t="e" cm="1">
        <f t="array" ref="Y749">IF(29&lt;Controls!$B$7,INDEX(G720:G898,MATCH(Controls!$B$5,A720:A898,1)+29),NA())</f>
        <v>#N/A</v>
      </c>
      <c r="Z749" t="e" cm="1">
        <f t="array" ref="Z749">IF(29&lt;Controls!$B$7,INDEX(H720:H898,MATCH(Controls!$B$5,A720:A898,1)+29),NA())</f>
        <v>#N/A</v>
      </c>
      <c r="AA749" t="e" cm="1">
        <f t="array" ref="AA749">IF(29&lt;Controls!$B$7,INDEX(M720:M898,MATCH(Controls!$B$5,A720:A898,1)+29)*INDEX(I720:I898,MATCH(Controls!$B$5,A720:A898,1)+29),NA())</f>
        <v>#N/A</v>
      </c>
      <c r="AB749">
        <f t="shared" si="83"/>
        <v>14.2</v>
      </c>
    </row>
    <row r="750" spans="1:28" ht="13" customHeight="1" x14ac:dyDescent="0.35">
      <c r="A750" s="153">
        <v>46966</v>
      </c>
      <c r="B750" s="36" t="s">
        <v>45</v>
      </c>
      <c r="C750" s="15" t="s">
        <v>47</v>
      </c>
      <c r="D750" s="15" t="s">
        <v>48</v>
      </c>
      <c r="E750" s="30">
        <f>H749</f>
        <v>129.81999999999996</v>
      </c>
      <c r="F750" s="37">
        <f>IFERROR('Production Inputs'!$AP$27*Dependencies!$D$6+'Production Inputs'!$AP$32*Dependencies!$D$9+'Production Inputs'!$AP$26*Dependencies!$D$8+'Production Inputs'!$AP$31*Dependencies!$D$10,0)</f>
        <v>57.168252314814815</v>
      </c>
      <c r="G750" s="37">
        <f t="array" ref="G750">IFERROR(SUMPRODUCT(('Production Inputs'!$A:$A="Drug Substance")*('Production Inputs'!$B:$B="TOTAL ACTIVE")*'Production Inputs'!$AP:$AP),0)</f>
        <v>0</v>
      </c>
      <c r="H750" s="30">
        <f t="shared" si="77"/>
        <v>72.651747685185143</v>
      </c>
      <c r="I750" s="30">
        <f ca="1">IFERROR(AVERAGEIF(OFFSET(F750,0,0,MIN(Controls!$B$8,COUNTIF(B750:B$1973,B750)),1),"&gt;"&amp;0),0)</f>
        <v>57.168252314814815</v>
      </c>
      <c r="J750" s="38">
        <f t="shared" ca="1" si="78"/>
        <v>1.2708408031280305</v>
      </c>
      <c r="K750" s="30">
        <f t="shared" ca="1" si="82"/>
        <v>614.9</v>
      </c>
      <c r="L750" t="str">
        <f t="shared" ca="1" si="79"/>
        <v>High</v>
      </c>
      <c r="M750" s="39">
        <f>IFERROR(VLOOKUP("Drug Substance",Controls!A:I,7,0),6)</f>
        <v>12</v>
      </c>
      <c r="N750" s="39">
        <f>IFERROR(VLOOKUP("Drug Substance",Controls!A:I,8,0),3)</f>
        <v>9</v>
      </c>
      <c r="O750" s="39">
        <f>IFERROR(VLOOKUP("Drug Substance",Controls!A:I,9,0),18)</f>
        <v>18</v>
      </c>
      <c r="P750" s="40">
        <f>IFERROR(VLOOKUP("Drug Substance",Controls!A:J,5,0),0)</f>
        <v>4.3</v>
      </c>
      <c r="Q750" s="39">
        <f>IFERROR(VLOOKUP("Drug Substance",Controls!A:J,6,0),3)</f>
        <v>5</v>
      </c>
      <c r="R750" s="21" t="str">
        <f>IFERROR(VLOOKUP("Drug Substance",Controls!A:K,10,0),"")</f>
        <v>ST Pharm (Oligo P1 F2)</v>
      </c>
      <c r="S750" s="41">
        <f t="shared" si="80"/>
        <v>46813</v>
      </c>
      <c r="T750" s="30">
        <f t="shared" si="81"/>
        <v>0</v>
      </c>
      <c r="W750" s="205" t="e" cm="1">
        <f t="array" ref="W750">IF(30&lt;Controls!$B$7,INDEX(A720:A898,MATCH(Controls!$B$5,A720:A898,1)+30),NA())</f>
        <v>#N/A</v>
      </c>
      <c r="X750" t="e" cm="1">
        <f t="array" ref="X750">IF(30&lt;Controls!$B$7,INDEX(F720:F898,MATCH(Controls!$B$5,A720:A898,1)+30),NA())</f>
        <v>#N/A</v>
      </c>
      <c r="Y750" t="e" cm="1">
        <f t="array" ref="Y750">IF(30&lt;Controls!$B$7,INDEX(G720:G898,MATCH(Controls!$B$5,A720:A898,1)+30),NA())</f>
        <v>#N/A</v>
      </c>
      <c r="Z750" t="e" cm="1">
        <f t="array" ref="Z750">IF(30&lt;Controls!$B$7,INDEX(H720:H898,MATCH(Controls!$B$5,A720:A898,1)+30),NA())</f>
        <v>#N/A</v>
      </c>
      <c r="AA750" t="e" cm="1">
        <f t="array" ref="AA750">IF(30&lt;Controls!$B$7,INDEX(M720:M898,MATCH(Controls!$B$5,A720:A898,1)+30)*INDEX(I720:I898,MATCH(Controls!$B$5,A720:A898,1)+30),NA())</f>
        <v>#N/A</v>
      </c>
      <c r="AB750">
        <f t="shared" si="83"/>
        <v>71.368252314814811</v>
      </c>
    </row>
    <row r="751" spans="1:28" ht="13" customHeight="1" x14ac:dyDescent="0.35">
      <c r="A751" s="153">
        <v>46997</v>
      </c>
      <c r="B751" s="36" t="s">
        <v>45</v>
      </c>
      <c r="C751" s="15" t="s">
        <v>47</v>
      </c>
      <c r="D751" s="15" t="s">
        <v>48</v>
      </c>
      <c r="E751" s="30">
        <f>H750</f>
        <v>72.651747685185143</v>
      </c>
      <c r="F751" s="37">
        <f>IFERROR('Production Inputs'!$AQ$27*Dependencies!$D$6+'Production Inputs'!$AQ$32*Dependencies!$D$9+'Production Inputs'!$AQ$26*Dependencies!$D$8+'Production Inputs'!$AQ$31*Dependencies!$D$10,0)</f>
        <v>0</v>
      </c>
      <c r="G751" s="37">
        <f t="array" ref="G751">IFERROR(SUMPRODUCT(('Production Inputs'!$A:$A="Drug Substance")*('Production Inputs'!$B:$B="TOTAL ACTIVE")*'Production Inputs'!$AQ:$AQ),0)</f>
        <v>0</v>
      </c>
      <c r="H751" s="30">
        <f t="shared" si="77"/>
        <v>72.651747685185143</v>
      </c>
      <c r="I751" s="30">
        <f ca="1">IFERROR(AVERAGEIF(OFFSET(F751,0,0,MIN(Controls!$B$8,COUNTIF(B751:B$1973,B751)),1),"&gt;"&amp;0),0)</f>
        <v>0</v>
      </c>
      <c r="J751" s="38">
        <f t="shared" ca="1" si="78"/>
        <v>999</v>
      </c>
      <c r="K751" s="30">
        <f t="shared" ca="1" si="82"/>
        <v>0</v>
      </c>
      <c r="L751" t="str">
        <f t="shared" ca="1" si="79"/>
        <v>Overstock</v>
      </c>
      <c r="M751" s="39">
        <f>IFERROR(VLOOKUP("Drug Substance",Controls!A:I,7,0),6)</f>
        <v>12</v>
      </c>
      <c r="N751" s="39">
        <f>IFERROR(VLOOKUP("Drug Substance",Controls!A:I,8,0),3)</f>
        <v>9</v>
      </c>
      <c r="O751" s="39">
        <f>IFERROR(VLOOKUP("Drug Substance",Controls!A:I,9,0),18)</f>
        <v>18</v>
      </c>
      <c r="P751" s="40">
        <f>IFERROR(VLOOKUP("Drug Substance",Controls!A:J,5,0),0)</f>
        <v>4.3</v>
      </c>
      <c r="Q751" s="39">
        <f>IFERROR(VLOOKUP("Drug Substance",Controls!A:J,6,0),3)</f>
        <v>5</v>
      </c>
      <c r="R751" s="21" t="str">
        <f>IFERROR(VLOOKUP("Drug Substance",Controls!A:K,10,0),"")</f>
        <v>ST Pharm (Oligo P1 F2)</v>
      </c>
      <c r="S751" s="41">
        <f t="shared" si="80"/>
        <v>46844</v>
      </c>
      <c r="T751" s="30">
        <f t="shared" si="81"/>
        <v>0</v>
      </c>
      <c r="W751" s="205" t="e" cm="1">
        <f t="array" ref="W751">IF(31&lt;Controls!$B$7,INDEX(A720:A898,MATCH(Controls!$B$5,A720:A898,1)+31),NA())</f>
        <v>#N/A</v>
      </c>
      <c r="X751" t="e" cm="1">
        <f t="array" ref="X751">IF(31&lt;Controls!$B$7,INDEX(F720:F898,MATCH(Controls!$B$5,A720:A898,1)+31),NA())</f>
        <v>#N/A</v>
      </c>
      <c r="Y751" t="e" cm="1">
        <f t="array" ref="Y751">IF(31&lt;Controls!$B$7,INDEX(G720:G898,MATCH(Controls!$B$5,A720:A898,1)+31),NA())</f>
        <v>#N/A</v>
      </c>
      <c r="Z751" t="e" cm="1">
        <f t="array" ref="Z751">IF(31&lt;Controls!$B$7,INDEX(H720:H898,MATCH(Controls!$B$5,A720:A898,1)+31),NA())</f>
        <v>#N/A</v>
      </c>
      <c r="AA751" t="e" cm="1">
        <f t="array" ref="AA751">IF(31&lt;Controls!$B$7,INDEX(M720:M898,MATCH(Controls!$B$5,A720:A898,1)+31)*INDEX(I720:I898,MATCH(Controls!$B$5,A720:A898,1)+31),NA())</f>
        <v>#N/A</v>
      </c>
      <c r="AB751">
        <f t="shared" si="83"/>
        <v>71.368252314814811</v>
      </c>
    </row>
    <row r="752" spans="1:28" ht="13" customHeight="1" x14ac:dyDescent="0.35">
      <c r="A752" s="153">
        <v>47027</v>
      </c>
      <c r="B752" s="36" t="s">
        <v>45</v>
      </c>
      <c r="C752" s="15" t="s">
        <v>47</v>
      </c>
      <c r="D752" s="15" t="s">
        <v>48</v>
      </c>
      <c r="E752" s="30">
        <f>H751</f>
        <v>72.651747685185143</v>
      </c>
      <c r="F752" s="37">
        <f>IFERROR('Production Inputs'!$AR$27*Dependencies!$D$6+'Production Inputs'!$AR$32*Dependencies!$D$9+'Production Inputs'!$AR$26*Dependencies!$D$8+'Production Inputs'!$AR$31*Dependencies!$D$10,0)</f>
        <v>0</v>
      </c>
      <c r="G752" s="37">
        <f t="array" ref="G752">IFERROR(SUMPRODUCT(('Production Inputs'!$A:$A="Drug Substance")*('Production Inputs'!$B:$B="TOTAL ACTIVE")*'Production Inputs'!$AR:$AR),0)</f>
        <v>0</v>
      </c>
      <c r="H752" s="30">
        <f t="shared" si="77"/>
        <v>72.651747685185143</v>
      </c>
      <c r="I752" s="30">
        <f ca="1">IFERROR(AVERAGEIF(OFFSET(F752,0,0,MIN(Controls!$B$8,COUNTIF(B752:B$1973,B752)),1),"&gt;"&amp;0),0)</f>
        <v>0</v>
      </c>
      <c r="J752" s="38">
        <f t="shared" ca="1" si="78"/>
        <v>999</v>
      </c>
      <c r="K752" s="30">
        <f t="shared" ca="1" si="82"/>
        <v>0</v>
      </c>
      <c r="L752" t="str">
        <f t="shared" ca="1" si="79"/>
        <v>Overstock</v>
      </c>
      <c r="M752" s="39">
        <f>IFERROR(VLOOKUP("Drug Substance",Controls!A:I,7,0),6)</f>
        <v>12</v>
      </c>
      <c r="N752" s="39">
        <f>IFERROR(VLOOKUP("Drug Substance",Controls!A:I,8,0),3)</f>
        <v>9</v>
      </c>
      <c r="O752" s="39">
        <f>IFERROR(VLOOKUP("Drug Substance",Controls!A:I,9,0),18)</f>
        <v>18</v>
      </c>
      <c r="P752" s="40">
        <f>IFERROR(VLOOKUP("Drug Substance",Controls!A:J,5,0),0)</f>
        <v>4.3</v>
      </c>
      <c r="Q752" s="39">
        <f>IFERROR(VLOOKUP("Drug Substance",Controls!A:J,6,0),3)</f>
        <v>5</v>
      </c>
      <c r="R752" s="21" t="str">
        <f>IFERROR(VLOOKUP("Drug Substance",Controls!A:K,10,0),"")</f>
        <v>ST Pharm (Oligo P1 F2)</v>
      </c>
      <c r="S752" s="41">
        <f t="shared" si="80"/>
        <v>46874</v>
      </c>
      <c r="T752" s="30">
        <f t="shared" si="81"/>
        <v>0</v>
      </c>
      <c r="W752" s="205" t="e" cm="1">
        <f t="array" ref="W752">IF(32&lt;Controls!$B$7,INDEX(A720:A898,MATCH(Controls!$B$5,A720:A898,1)+32),NA())</f>
        <v>#N/A</v>
      </c>
      <c r="X752" t="e" cm="1">
        <f t="array" ref="X752">IF(32&lt;Controls!$B$7,INDEX(F720:F898,MATCH(Controls!$B$5,A720:A898,1)+32),NA())</f>
        <v>#N/A</v>
      </c>
      <c r="Y752" t="e" cm="1">
        <f t="array" ref="Y752">IF(32&lt;Controls!$B$7,INDEX(G720:G898,MATCH(Controls!$B$5,A720:A898,1)+32),NA())</f>
        <v>#N/A</v>
      </c>
      <c r="Z752" t="e" cm="1">
        <f t="array" ref="Z752">IF(32&lt;Controls!$B$7,INDEX(H720:H898,MATCH(Controls!$B$5,A720:A898,1)+32),NA())</f>
        <v>#N/A</v>
      </c>
      <c r="AA752" t="e" cm="1">
        <f t="array" ref="AA752">IF(32&lt;Controls!$B$7,INDEX(M720:M898,MATCH(Controls!$B$5,A720:A898,1)+32)*INDEX(I720:I898,MATCH(Controls!$B$5,A720:A898,1)+32),NA())</f>
        <v>#N/A</v>
      </c>
      <c r="AB752">
        <f t="shared" si="83"/>
        <v>71.368252314814811</v>
      </c>
    </row>
    <row r="753" spans="1:28" ht="13" customHeight="1" x14ac:dyDescent="0.35">
      <c r="A753" s="153">
        <v>47058</v>
      </c>
      <c r="B753" s="36" t="s">
        <v>45</v>
      </c>
      <c r="C753" s="15" t="s">
        <v>47</v>
      </c>
      <c r="D753" s="15" t="s">
        <v>48</v>
      </c>
      <c r="E753" s="30">
        <f>H752</f>
        <v>72.651747685185143</v>
      </c>
      <c r="F753" s="37">
        <f>IFERROR('Production Inputs'!$AS$27*Dependencies!$D$6+'Production Inputs'!$AS$32*Dependencies!$D$9+'Production Inputs'!$AS$26*Dependencies!$D$8+'Production Inputs'!$AS$31*Dependencies!$D$10,0)</f>
        <v>0</v>
      </c>
      <c r="G753" s="37">
        <f t="array" ref="G753">IFERROR(SUMPRODUCT(('Production Inputs'!$A:$A="Drug Substance")*('Production Inputs'!$B:$B="TOTAL ACTIVE")*'Production Inputs'!$AS:$AS),0)</f>
        <v>0</v>
      </c>
      <c r="H753" s="30">
        <f t="shared" si="77"/>
        <v>72.651747685185143</v>
      </c>
      <c r="I753" s="30">
        <f ca="1">IFERROR(AVERAGEIF(OFFSET(F753,0,0,MIN(Controls!$B$8,COUNTIF(B753:B$1973,B753)),1),"&gt;"&amp;0),0)</f>
        <v>0</v>
      </c>
      <c r="J753" s="38">
        <f t="shared" ca="1" si="78"/>
        <v>999</v>
      </c>
      <c r="K753" s="30">
        <f t="shared" ca="1" si="82"/>
        <v>0</v>
      </c>
      <c r="L753" t="str">
        <f t="shared" ca="1" si="79"/>
        <v>Overstock</v>
      </c>
      <c r="M753" s="39">
        <f>IFERROR(VLOOKUP("Drug Substance",Controls!A:I,7,0),6)</f>
        <v>12</v>
      </c>
      <c r="N753" s="39">
        <f>IFERROR(VLOOKUP("Drug Substance",Controls!A:I,8,0),3)</f>
        <v>9</v>
      </c>
      <c r="O753" s="39">
        <f>IFERROR(VLOOKUP("Drug Substance",Controls!A:I,9,0),18)</f>
        <v>18</v>
      </c>
      <c r="P753" s="40">
        <f>IFERROR(VLOOKUP("Drug Substance",Controls!A:J,5,0),0)</f>
        <v>4.3</v>
      </c>
      <c r="Q753" s="39">
        <f>IFERROR(VLOOKUP("Drug Substance",Controls!A:J,6,0),3)</f>
        <v>5</v>
      </c>
      <c r="R753" s="21" t="str">
        <f>IFERROR(VLOOKUP("Drug Substance",Controls!A:K,10,0),"")</f>
        <v>ST Pharm (Oligo P1 F2)</v>
      </c>
      <c r="S753" s="41">
        <f t="shared" si="80"/>
        <v>46905</v>
      </c>
      <c r="T753" s="30">
        <f t="shared" si="81"/>
        <v>0</v>
      </c>
      <c r="W753" s="205" t="e" cm="1">
        <f t="array" ref="W753">IF(33&lt;Controls!$B$7,INDEX(A720:A898,MATCH(Controls!$B$5,A720:A898,1)+33),NA())</f>
        <v>#N/A</v>
      </c>
      <c r="X753" t="e" cm="1">
        <f t="array" ref="X753">IF(33&lt;Controls!$B$7,INDEX(F720:F898,MATCH(Controls!$B$5,A720:A898,1)+33),NA())</f>
        <v>#N/A</v>
      </c>
      <c r="Y753" t="e" cm="1">
        <f t="array" ref="Y753">IF(33&lt;Controls!$B$7,INDEX(G720:G898,MATCH(Controls!$B$5,A720:A898,1)+33),NA())</f>
        <v>#N/A</v>
      </c>
      <c r="Z753" t="e" cm="1">
        <f t="array" ref="Z753">IF(33&lt;Controls!$B$7,INDEX(H720:H898,MATCH(Controls!$B$5,A720:A898,1)+33),NA())</f>
        <v>#N/A</v>
      </c>
      <c r="AA753" t="e" cm="1">
        <f t="array" ref="AA753">IF(33&lt;Controls!$B$7,INDEX(M720:M898,MATCH(Controls!$B$5,A720:A898,1)+33)*INDEX(I720:I898,MATCH(Controls!$B$5,A720:A898,1)+33),NA())</f>
        <v>#N/A</v>
      </c>
      <c r="AB753">
        <f t="shared" si="83"/>
        <v>71.368252314814811</v>
      </c>
    </row>
    <row r="754" spans="1:28" ht="13" customHeight="1" x14ac:dyDescent="0.35">
      <c r="A754" s="153">
        <v>47088</v>
      </c>
      <c r="B754" s="36" t="s">
        <v>45</v>
      </c>
      <c r="C754" s="15" t="s">
        <v>47</v>
      </c>
      <c r="D754" s="15" t="s">
        <v>48</v>
      </c>
      <c r="E754" s="30">
        <f>H753</f>
        <v>72.651747685185143</v>
      </c>
      <c r="F754" s="37">
        <f>IFERROR('Production Inputs'!$AT$27*Dependencies!$D$6+'Production Inputs'!$AT$32*Dependencies!$D$9+'Production Inputs'!$AT$26*Dependencies!$D$8+'Production Inputs'!$AT$31*Dependencies!$D$10,0)</f>
        <v>0</v>
      </c>
      <c r="G754" s="37">
        <f t="array" ref="G754">IFERROR(SUMPRODUCT(('Production Inputs'!$A:$A="Drug Substance")*('Production Inputs'!$B:$B="TOTAL ACTIVE")*'Production Inputs'!$AT:$AT),0)</f>
        <v>0</v>
      </c>
      <c r="H754" s="30">
        <f t="shared" si="77"/>
        <v>72.651747685185143</v>
      </c>
      <c r="I754" s="30">
        <f ca="1">IFERROR(AVERAGEIF(OFFSET(F754,0,0,MIN(Controls!$B$8,COUNTIF(B754:B$1973,B754)),1),"&gt;"&amp;0),0)</f>
        <v>0</v>
      </c>
      <c r="J754" s="38">
        <f t="shared" ca="1" si="78"/>
        <v>999</v>
      </c>
      <c r="K754" s="30">
        <f t="shared" ca="1" si="82"/>
        <v>0</v>
      </c>
      <c r="L754" t="str">
        <f t="shared" ca="1" si="79"/>
        <v>Overstock</v>
      </c>
      <c r="M754" s="39">
        <f>IFERROR(VLOOKUP("Drug Substance",Controls!A:I,7,0),6)</f>
        <v>12</v>
      </c>
      <c r="N754" s="39">
        <f>IFERROR(VLOOKUP("Drug Substance",Controls!A:I,8,0),3)</f>
        <v>9</v>
      </c>
      <c r="O754" s="39">
        <f>IFERROR(VLOOKUP("Drug Substance",Controls!A:I,9,0),18)</f>
        <v>18</v>
      </c>
      <c r="P754" s="40">
        <f>IFERROR(VLOOKUP("Drug Substance",Controls!A:J,5,0),0)</f>
        <v>4.3</v>
      </c>
      <c r="Q754" s="39">
        <f>IFERROR(VLOOKUP("Drug Substance",Controls!A:J,6,0),3)</f>
        <v>5</v>
      </c>
      <c r="R754" s="21" t="str">
        <f>IFERROR(VLOOKUP("Drug Substance",Controls!A:K,10,0),"")</f>
        <v>ST Pharm (Oligo P1 F2)</v>
      </c>
      <c r="S754" s="41">
        <f t="shared" si="80"/>
        <v>46935</v>
      </c>
      <c r="T754" s="30">
        <f t="shared" si="81"/>
        <v>0</v>
      </c>
      <c r="W754" s="205" t="e" cm="1">
        <f t="array" ref="W754">IF(34&lt;Controls!$B$7,INDEX(A720:A898,MATCH(Controls!$B$5,A720:A898,1)+34),NA())</f>
        <v>#N/A</v>
      </c>
      <c r="X754" t="e" cm="1">
        <f t="array" ref="X754">IF(34&lt;Controls!$B$7,INDEX(F720:F898,MATCH(Controls!$B$5,A720:A898,1)+34),NA())</f>
        <v>#N/A</v>
      </c>
      <c r="Y754" t="e" cm="1">
        <f t="array" ref="Y754">IF(34&lt;Controls!$B$7,INDEX(G720:G898,MATCH(Controls!$B$5,A720:A898,1)+34),NA())</f>
        <v>#N/A</v>
      </c>
      <c r="Z754" t="e" cm="1">
        <f t="array" ref="Z754">IF(34&lt;Controls!$B$7,INDEX(H720:H898,MATCH(Controls!$B$5,A720:A898,1)+34),NA())</f>
        <v>#N/A</v>
      </c>
      <c r="AA754" t="e" cm="1">
        <f t="array" ref="AA754">IF(34&lt;Controls!$B$7,INDEX(M720:M898,MATCH(Controls!$B$5,A720:A898,1)+34)*INDEX(I720:I898,MATCH(Controls!$B$5,A720:A898,1)+34),NA())</f>
        <v>#N/A</v>
      </c>
      <c r="AB754">
        <f t="shared" si="83"/>
        <v>71.368252314814811</v>
      </c>
    </row>
    <row r="755" spans="1:28" ht="13" customHeight="1" x14ac:dyDescent="0.35">
      <c r="A755" s="153">
        <v>47119</v>
      </c>
      <c r="B755" s="36" t="s">
        <v>45</v>
      </c>
      <c r="C755" s="15" t="s">
        <v>47</v>
      </c>
      <c r="D755" s="15" t="s">
        <v>48</v>
      </c>
      <c r="E755" s="30">
        <f>H754</f>
        <v>72.651747685185143</v>
      </c>
      <c r="F755" s="37">
        <f>IFERROR('Production Inputs'!$AU$27*Dependencies!$D$6+'Production Inputs'!$AU$32*Dependencies!$D$9+'Production Inputs'!$AU$26*Dependencies!$D$8+'Production Inputs'!$AU$31*Dependencies!$D$10,0)</f>
        <v>0</v>
      </c>
      <c r="G755" s="37">
        <f t="array" ref="G755">IFERROR(SUMPRODUCT(('Production Inputs'!$A:$A="Drug Substance")*('Production Inputs'!$B:$B="TOTAL ACTIVE")*'Production Inputs'!$AU:$AU),0)</f>
        <v>0</v>
      </c>
      <c r="H755" s="30">
        <f t="shared" si="77"/>
        <v>72.651747685185143</v>
      </c>
      <c r="I755" s="30">
        <f ca="1">IFERROR(AVERAGEIF(OFFSET(F755,0,0,MIN(Controls!$B$8,COUNTIF(B755:B$1973,B755)),1),"&gt;"&amp;0),0)</f>
        <v>0</v>
      </c>
      <c r="J755" s="38">
        <f t="shared" ca="1" si="78"/>
        <v>999</v>
      </c>
      <c r="K755" s="30">
        <f t="shared" ca="1" si="82"/>
        <v>0</v>
      </c>
      <c r="L755" t="str">
        <f t="shared" ca="1" si="79"/>
        <v>Overstock</v>
      </c>
      <c r="M755" s="39">
        <f>IFERROR(VLOOKUP("Drug Substance",Controls!A:I,7,0),6)</f>
        <v>12</v>
      </c>
      <c r="N755" s="39">
        <f>IFERROR(VLOOKUP("Drug Substance",Controls!A:I,8,0),3)</f>
        <v>9</v>
      </c>
      <c r="O755" s="39">
        <f>IFERROR(VLOOKUP("Drug Substance",Controls!A:I,9,0),18)</f>
        <v>18</v>
      </c>
      <c r="P755" s="40">
        <f>IFERROR(VLOOKUP("Drug Substance",Controls!A:J,5,0),0)</f>
        <v>4.3</v>
      </c>
      <c r="Q755" s="39">
        <f>IFERROR(VLOOKUP("Drug Substance",Controls!A:J,6,0),3)</f>
        <v>5</v>
      </c>
      <c r="R755" s="21" t="str">
        <f>IFERROR(VLOOKUP("Drug Substance",Controls!A:K,10,0),"")</f>
        <v>ST Pharm (Oligo P1 F2)</v>
      </c>
      <c r="S755" s="41">
        <f t="shared" si="80"/>
        <v>46966</v>
      </c>
      <c r="T755" s="30">
        <f t="shared" si="81"/>
        <v>0</v>
      </c>
      <c r="W755" s="205" t="e" cm="1">
        <f t="array" ref="W755">IF(35&lt;Controls!$B$7,INDEX(A720:A898,MATCH(Controls!$B$5,A720:A898,1)+35),NA())</f>
        <v>#N/A</v>
      </c>
      <c r="X755" t="e" cm="1">
        <f t="array" ref="X755">IF(35&lt;Controls!$B$7,INDEX(F720:F898,MATCH(Controls!$B$5,A720:A898,1)+35),NA())</f>
        <v>#N/A</v>
      </c>
      <c r="Y755" t="e" cm="1">
        <f t="array" ref="Y755">IF(35&lt;Controls!$B$7,INDEX(G720:G898,MATCH(Controls!$B$5,A720:A898,1)+35),NA())</f>
        <v>#N/A</v>
      </c>
      <c r="Z755" t="e" cm="1">
        <f t="array" ref="Z755">IF(35&lt;Controls!$B$7,INDEX(H720:H898,MATCH(Controls!$B$5,A720:A898,1)+35),NA())</f>
        <v>#N/A</v>
      </c>
      <c r="AA755" t="e" cm="1">
        <f t="array" ref="AA755">IF(35&lt;Controls!$B$7,INDEX(M720:M898,MATCH(Controls!$B$5,A720:A898,1)+35)*INDEX(I720:I898,MATCH(Controls!$B$5,A720:A898,1)+35),NA())</f>
        <v>#N/A</v>
      </c>
      <c r="AB755">
        <f t="shared" si="83"/>
        <v>71.368252314814811</v>
      </c>
    </row>
    <row r="756" spans="1:28" ht="13" customHeight="1" x14ac:dyDescent="0.35">
      <c r="A756" s="153">
        <v>47150</v>
      </c>
      <c r="B756" s="36" t="s">
        <v>45</v>
      </c>
      <c r="C756" s="15" t="s">
        <v>47</v>
      </c>
      <c r="D756" s="15" t="s">
        <v>48</v>
      </c>
      <c r="E756" s="30">
        <f>H755</f>
        <v>72.651747685185143</v>
      </c>
      <c r="F756" s="37">
        <f>IFERROR('Production Inputs'!$AV$27*Dependencies!$D$6+'Production Inputs'!$AV$32*Dependencies!$D$9+'Production Inputs'!$AV$26*Dependencies!$D$8+'Production Inputs'!$AV$31*Dependencies!$D$10,0)</f>
        <v>0</v>
      </c>
      <c r="G756" s="37">
        <f t="array" ref="G756">IFERROR(SUMPRODUCT(('Production Inputs'!$A:$A="Drug Substance")*('Production Inputs'!$B:$B="TOTAL ACTIVE")*'Production Inputs'!$AV:$AV),0)</f>
        <v>0</v>
      </c>
      <c r="H756" s="30">
        <f t="shared" si="77"/>
        <v>72.651747685185143</v>
      </c>
      <c r="I756" s="30">
        <f ca="1">IFERROR(AVERAGEIF(OFFSET(F756,0,0,MIN(Controls!$B$8,COUNTIF(B756:B$1973,B756)),1),"&gt;"&amp;0),0)</f>
        <v>0</v>
      </c>
      <c r="J756" s="38">
        <f t="shared" ca="1" si="78"/>
        <v>999</v>
      </c>
      <c r="K756" s="30">
        <f t="shared" ca="1" si="82"/>
        <v>0</v>
      </c>
      <c r="L756" t="str">
        <f t="shared" ca="1" si="79"/>
        <v>Overstock</v>
      </c>
      <c r="M756" s="39">
        <f>IFERROR(VLOOKUP("Drug Substance",Controls!A:I,7,0),6)</f>
        <v>12</v>
      </c>
      <c r="N756" s="39">
        <f>IFERROR(VLOOKUP("Drug Substance",Controls!A:I,8,0),3)</f>
        <v>9</v>
      </c>
      <c r="O756" s="39">
        <f>IFERROR(VLOOKUP("Drug Substance",Controls!A:I,9,0),18)</f>
        <v>18</v>
      </c>
      <c r="P756" s="40">
        <f>IFERROR(VLOOKUP("Drug Substance",Controls!A:J,5,0),0)</f>
        <v>4.3</v>
      </c>
      <c r="Q756" s="39">
        <f>IFERROR(VLOOKUP("Drug Substance",Controls!A:J,6,0),3)</f>
        <v>5</v>
      </c>
      <c r="R756" s="21" t="str">
        <f>IFERROR(VLOOKUP("Drug Substance",Controls!A:K,10,0),"")</f>
        <v>ST Pharm (Oligo P1 F2)</v>
      </c>
      <c r="S756" s="41">
        <f t="shared" si="80"/>
        <v>46997</v>
      </c>
      <c r="T756" s="30">
        <f t="shared" si="81"/>
        <v>0</v>
      </c>
      <c r="AB756">
        <f t="shared" si="83"/>
        <v>71.368252314814811</v>
      </c>
    </row>
    <row r="757" spans="1:28" ht="13" customHeight="1" x14ac:dyDescent="0.35">
      <c r="A757" s="153">
        <v>47178</v>
      </c>
      <c r="B757" s="36" t="s">
        <v>45</v>
      </c>
      <c r="C757" s="15" t="s">
        <v>47</v>
      </c>
      <c r="D757" s="15" t="s">
        <v>48</v>
      </c>
      <c r="E757" s="30">
        <f>H756</f>
        <v>72.651747685185143</v>
      </c>
      <c r="F757" s="37">
        <f>IFERROR('Production Inputs'!$AW$27*Dependencies!$D$6+'Production Inputs'!$AW$32*Dependencies!$D$9+'Production Inputs'!$AW$26*Dependencies!$D$8+'Production Inputs'!$AW$31*Dependencies!$D$10,0)</f>
        <v>0</v>
      </c>
      <c r="G757" s="37">
        <f t="array" ref="G757">IFERROR(SUMPRODUCT(('Production Inputs'!$A:$A="Drug Substance")*('Production Inputs'!$B:$B="TOTAL ACTIVE")*'Production Inputs'!$AW:$AW),0)</f>
        <v>0</v>
      </c>
      <c r="H757" s="30">
        <f t="shared" si="77"/>
        <v>72.651747685185143</v>
      </c>
      <c r="I757" s="30">
        <f ca="1">IFERROR(AVERAGEIF(OFFSET(F757,0,0,MIN(Controls!$B$8,COUNTIF(B757:B$1973,B757)),1),"&gt;"&amp;0),0)</f>
        <v>0</v>
      </c>
      <c r="J757" s="38">
        <f t="shared" ca="1" si="78"/>
        <v>999</v>
      </c>
      <c r="K757" s="30">
        <f t="shared" ca="1" si="82"/>
        <v>0</v>
      </c>
      <c r="L757" t="str">
        <f t="shared" ca="1" si="79"/>
        <v>Overstock</v>
      </c>
      <c r="M757" s="39">
        <f>IFERROR(VLOOKUP("Drug Substance",Controls!A:I,7,0),6)</f>
        <v>12</v>
      </c>
      <c r="N757" s="39">
        <f>IFERROR(VLOOKUP("Drug Substance",Controls!A:I,8,0),3)</f>
        <v>9</v>
      </c>
      <c r="O757" s="39">
        <f>IFERROR(VLOOKUP("Drug Substance",Controls!A:I,9,0),18)</f>
        <v>18</v>
      </c>
      <c r="P757" s="40">
        <f>IFERROR(VLOOKUP("Drug Substance",Controls!A:J,5,0),0)</f>
        <v>4.3</v>
      </c>
      <c r="Q757" s="39">
        <f>IFERROR(VLOOKUP("Drug Substance",Controls!A:J,6,0),3)</f>
        <v>5</v>
      </c>
      <c r="R757" s="21" t="str">
        <f>IFERROR(VLOOKUP("Drug Substance",Controls!A:K,10,0),"")</f>
        <v>ST Pharm (Oligo P1 F2)</v>
      </c>
      <c r="S757" s="41">
        <f t="shared" si="80"/>
        <v>47027</v>
      </c>
      <c r="T757" s="30">
        <f t="shared" si="81"/>
        <v>0</v>
      </c>
      <c r="AB757">
        <f t="shared" si="83"/>
        <v>71.368252314814811</v>
      </c>
    </row>
    <row r="758" spans="1:28" ht="13" customHeight="1" x14ac:dyDescent="0.35">
      <c r="A758" s="153">
        <v>47209</v>
      </c>
      <c r="B758" s="36" t="s">
        <v>45</v>
      </c>
      <c r="C758" s="15" t="s">
        <v>47</v>
      </c>
      <c r="D758" s="15" t="s">
        <v>48</v>
      </c>
      <c r="E758" s="30">
        <f>H757</f>
        <v>72.651747685185143</v>
      </c>
      <c r="F758" s="37">
        <f>IFERROR('Production Inputs'!$AX$27*Dependencies!$D$6+'Production Inputs'!$AX$32*Dependencies!$D$9+'Production Inputs'!$AX$26*Dependencies!$D$8+'Production Inputs'!$AX$31*Dependencies!$D$10,0)</f>
        <v>0</v>
      </c>
      <c r="G758" s="37">
        <f t="array" ref="G758">IFERROR(SUMPRODUCT(('Production Inputs'!$A:$A="Drug Substance")*('Production Inputs'!$B:$B="TOTAL ACTIVE")*'Production Inputs'!$AX:$AX),0)</f>
        <v>0</v>
      </c>
      <c r="H758" s="30">
        <f t="shared" si="77"/>
        <v>72.651747685185143</v>
      </c>
      <c r="I758" s="30">
        <f ca="1">IFERROR(AVERAGEIF(OFFSET(F758,0,0,MIN(Controls!$B$8,COUNTIF(B758:B$1973,B758)),1),"&gt;"&amp;0),0)</f>
        <v>0</v>
      </c>
      <c r="J758" s="38">
        <f t="shared" ca="1" si="78"/>
        <v>999</v>
      </c>
      <c r="K758" s="30">
        <f t="shared" ca="1" si="82"/>
        <v>0</v>
      </c>
      <c r="L758" t="str">
        <f t="shared" ca="1" si="79"/>
        <v>Overstock</v>
      </c>
      <c r="M758" s="39">
        <f>IFERROR(VLOOKUP("Drug Substance",Controls!A:I,7,0),6)</f>
        <v>12</v>
      </c>
      <c r="N758" s="39">
        <f>IFERROR(VLOOKUP("Drug Substance",Controls!A:I,8,0),3)</f>
        <v>9</v>
      </c>
      <c r="O758" s="39">
        <f>IFERROR(VLOOKUP("Drug Substance",Controls!A:I,9,0),18)</f>
        <v>18</v>
      </c>
      <c r="P758" s="40">
        <f>IFERROR(VLOOKUP("Drug Substance",Controls!A:J,5,0),0)</f>
        <v>4.3</v>
      </c>
      <c r="Q758" s="39">
        <f>IFERROR(VLOOKUP("Drug Substance",Controls!A:J,6,0),3)</f>
        <v>5</v>
      </c>
      <c r="R758" s="21" t="str">
        <f>IFERROR(VLOOKUP("Drug Substance",Controls!A:K,10,0),"")</f>
        <v>ST Pharm (Oligo P1 F2)</v>
      </c>
      <c r="S758" s="41">
        <f t="shared" si="80"/>
        <v>47058</v>
      </c>
      <c r="T758" s="30">
        <f t="shared" si="81"/>
        <v>0</v>
      </c>
      <c r="AB758">
        <f t="shared" si="83"/>
        <v>71.368252314814811</v>
      </c>
    </row>
    <row r="759" spans="1:28" ht="13" customHeight="1" x14ac:dyDescent="0.35">
      <c r="A759" s="153">
        <v>47239</v>
      </c>
      <c r="B759" s="36" t="s">
        <v>45</v>
      </c>
      <c r="C759" s="15" t="s">
        <v>47</v>
      </c>
      <c r="D759" s="15" t="s">
        <v>48</v>
      </c>
      <c r="E759" s="30">
        <f>H758</f>
        <v>72.651747685185143</v>
      </c>
      <c r="F759" s="37">
        <f>IFERROR('Production Inputs'!$AY$27*Dependencies!$D$6+'Production Inputs'!$AY$32*Dependencies!$D$9+'Production Inputs'!$AY$26*Dependencies!$D$8+'Production Inputs'!$AY$31*Dependencies!$D$10,0)</f>
        <v>0</v>
      </c>
      <c r="G759" s="37">
        <f t="array" ref="G759">IFERROR(SUMPRODUCT(('Production Inputs'!$A:$A="Drug Substance")*('Production Inputs'!$B:$B="TOTAL ACTIVE")*'Production Inputs'!$AY:$AY),0)</f>
        <v>0</v>
      </c>
      <c r="H759" s="30">
        <f t="shared" si="77"/>
        <v>72.651747685185143</v>
      </c>
      <c r="I759" s="30">
        <f ca="1">IFERROR(AVERAGEIF(OFFSET(F759,0,0,MIN(Controls!$B$8,COUNTIF(B759:B$1973,B759)),1),"&gt;"&amp;0),0)</f>
        <v>0</v>
      </c>
      <c r="J759" s="38">
        <f t="shared" ca="1" si="78"/>
        <v>999</v>
      </c>
      <c r="K759" s="30">
        <f t="shared" ca="1" si="82"/>
        <v>0</v>
      </c>
      <c r="L759" t="str">
        <f t="shared" ca="1" si="79"/>
        <v>Overstock</v>
      </c>
      <c r="M759" s="39">
        <f>IFERROR(VLOOKUP("Drug Substance",Controls!A:I,7,0),6)</f>
        <v>12</v>
      </c>
      <c r="N759" s="39">
        <f>IFERROR(VLOOKUP("Drug Substance",Controls!A:I,8,0),3)</f>
        <v>9</v>
      </c>
      <c r="O759" s="39">
        <f>IFERROR(VLOOKUP("Drug Substance",Controls!A:I,9,0),18)</f>
        <v>18</v>
      </c>
      <c r="P759" s="40">
        <f>IFERROR(VLOOKUP("Drug Substance",Controls!A:J,5,0),0)</f>
        <v>4.3</v>
      </c>
      <c r="Q759" s="39">
        <f>IFERROR(VLOOKUP("Drug Substance",Controls!A:J,6,0),3)</f>
        <v>5</v>
      </c>
      <c r="R759" s="21" t="str">
        <f>IFERROR(VLOOKUP("Drug Substance",Controls!A:K,10,0),"")</f>
        <v>ST Pharm (Oligo P1 F2)</v>
      </c>
      <c r="S759" s="41">
        <f t="shared" si="80"/>
        <v>47088</v>
      </c>
      <c r="T759" s="30">
        <f t="shared" si="81"/>
        <v>0</v>
      </c>
      <c r="AB759">
        <f t="shared" si="83"/>
        <v>71.368252314814811</v>
      </c>
    </row>
    <row r="760" spans="1:28" ht="13" customHeight="1" x14ac:dyDescent="0.35">
      <c r="A760" s="153">
        <v>47270</v>
      </c>
      <c r="B760" s="36" t="s">
        <v>45</v>
      </c>
      <c r="C760" s="15" t="s">
        <v>47</v>
      </c>
      <c r="D760" s="15" t="s">
        <v>48</v>
      </c>
      <c r="E760" s="30">
        <f>H759</f>
        <v>72.651747685185143</v>
      </c>
      <c r="F760" s="37">
        <f>IFERROR('Production Inputs'!$AZ$27*Dependencies!$D$6+'Production Inputs'!$AZ$32*Dependencies!$D$9+'Production Inputs'!$AZ$26*Dependencies!$D$8+'Production Inputs'!$AZ$31*Dependencies!$D$10,0)</f>
        <v>0</v>
      </c>
      <c r="G760" s="37">
        <f t="array" ref="G760">IFERROR(SUMPRODUCT(('Production Inputs'!$A:$A="Drug Substance")*('Production Inputs'!$B:$B="TOTAL ACTIVE")*'Production Inputs'!$AZ:$AZ),0)</f>
        <v>0</v>
      </c>
      <c r="H760" s="30">
        <f t="shared" si="77"/>
        <v>72.651747685185143</v>
      </c>
      <c r="I760" s="30">
        <f ca="1">IFERROR(AVERAGEIF(OFFSET(F760,0,0,MIN(Controls!$B$8,COUNTIF(B760:B$1973,B760)),1),"&gt;"&amp;0),0)</f>
        <v>0</v>
      </c>
      <c r="J760" s="38">
        <f t="shared" ca="1" si="78"/>
        <v>999</v>
      </c>
      <c r="K760" s="30">
        <f t="shared" ca="1" si="82"/>
        <v>0</v>
      </c>
      <c r="L760" t="str">
        <f t="shared" ca="1" si="79"/>
        <v>Overstock</v>
      </c>
      <c r="M760" s="39">
        <f>IFERROR(VLOOKUP("Drug Substance",Controls!A:I,7,0),6)</f>
        <v>12</v>
      </c>
      <c r="N760" s="39">
        <f>IFERROR(VLOOKUP("Drug Substance",Controls!A:I,8,0),3)</f>
        <v>9</v>
      </c>
      <c r="O760" s="39">
        <f>IFERROR(VLOOKUP("Drug Substance",Controls!A:I,9,0),18)</f>
        <v>18</v>
      </c>
      <c r="P760" s="40">
        <f>IFERROR(VLOOKUP("Drug Substance",Controls!A:J,5,0),0)</f>
        <v>4.3</v>
      </c>
      <c r="Q760" s="39">
        <f>IFERROR(VLOOKUP("Drug Substance",Controls!A:J,6,0),3)</f>
        <v>5</v>
      </c>
      <c r="R760" s="21" t="str">
        <f>IFERROR(VLOOKUP("Drug Substance",Controls!A:K,10,0),"")</f>
        <v>ST Pharm (Oligo P1 F2)</v>
      </c>
      <c r="S760" s="41">
        <f t="shared" si="80"/>
        <v>47119</v>
      </c>
      <c r="T760" s="30">
        <f t="shared" si="81"/>
        <v>0</v>
      </c>
      <c r="AB760">
        <f t="shared" si="83"/>
        <v>71.368252314814811</v>
      </c>
    </row>
    <row r="761" spans="1:28" ht="13" customHeight="1" x14ac:dyDescent="0.35">
      <c r="A761" s="153">
        <v>47300</v>
      </c>
      <c r="B761" s="36" t="s">
        <v>45</v>
      </c>
      <c r="C761" s="15" t="s">
        <v>47</v>
      </c>
      <c r="D761" s="15" t="s">
        <v>48</v>
      </c>
      <c r="E761" s="30">
        <f>H760</f>
        <v>72.651747685185143</v>
      </c>
      <c r="F761" s="37">
        <f>IFERROR('Production Inputs'!$BA$27*Dependencies!$D$6+'Production Inputs'!$BA$32*Dependencies!$D$9+'Production Inputs'!$BA$26*Dependencies!$D$8+'Production Inputs'!$BA$31*Dependencies!$D$10,0)</f>
        <v>0</v>
      </c>
      <c r="G761" s="37">
        <f t="array" ref="G761">IFERROR(SUMPRODUCT(('Production Inputs'!$A:$A="Drug Substance")*('Production Inputs'!$B:$B="TOTAL ACTIVE")*'Production Inputs'!$BA:$BA),0)</f>
        <v>0</v>
      </c>
      <c r="H761" s="30">
        <f t="shared" si="77"/>
        <v>72.651747685185143</v>
      </c>
      <c r="I761" s="30">
        <f ca="1">IFERROR(AVERAGEIF(OFFSET(F761,0,0,MIN(Controls!$B$8,COUNTIF(B761:B$1973,B761)),1),"&gt;"&amp;0),0)</f>
        <v>0</v>
      </c>
      <c r="J761" s="38">
        <f t="shared" ca="1" si="78"/>
        <v>999</v>
      </c>
      <c r="K761" s="30">
        <f t="shared" ca="1" si="82"/>
        <v>0</v>
      </c>
      <c r="L761" t="str">
        <f t="shared" ca="1" si="79"/>
        <v>Overstock</v>
      </c>
      <c r="M761" s="39">
        <f>IFERROR(VLOOKUP("Drug Substance",Controls!A:I,7,0),6)</f>
        <v>12</v>
      </c>
      <c r="N761" s="39">
        <f>IFERROR(VLOOKUP("Drug Substance",Controls!A:I,8,0),3)</f>
        <v>9</v>
      </c>
      <c r="O761" s="39">
        <f>IFERROR(VLOOKUP("Drug Substance",Controls!A:I,9,0),18)</f>
        <v>18</v>
      </c>
      <c r="P761" s="40">
        <f>IFERROR(VLOOKUP("Drug Substance",Controls!A:J,5,0),0)</f>
        <v>4.3</v>
      </c>
      <c r="Q761" s="39">
        <f>IFERROR(VLOOKUP("Drug Substance",Controls!A:J,6,0),3)</f>
        <v>5</v>
      </c>
      <c r="R761" s="21" t="str">
        <f>IFERROR(VLOOKUP("Drug Substance",Controls!A:K,10,0),"")</f>
        <v>ST Pharm (Oligo P1 F2)</v>
      </c>
      <c r="S761" s="41">
        <f t="shared" si="80"/>
        <v>47150</v>
      </c>
      <c r="T761" s="30">
        <f t="shared" si="81"/>
        <v>0</v>
      </c>
      <c r="AB761">
        <f t="shared" si="83"/>
        <v>71.368252314814811</v>
      </c>
    </row>
    <row r="762" spans="1:28" ht="13" customHeight="1" x14ac:dyDescent="0.35">
      <c r="A762" s="153">
        <v>47331</v>
      </c>
      <c r="B762" s="36" t="s">
        <v>45</v>
      </c>
      <c r="C762" s="15" t="s">
        <v>47</v>
      </c>
      <c r="D762" s="15" t="s">
        <v>48</v>
      </c>
      <c r="E762" s="30">
        <f>H761</f>
        <v>72.651747685185143</v>
      </c>
      <c r="F762" s="37">
        <f>IFERROR('Production Inputs'!$BB$27*Dependencies!$D$6+'Production Inputs'!$BB$32*Dependencies!$D$9+'Production Inputs'!$BB$26*Dependencies!$D$8+'Production Inputs'!$BB$31*Dependencies!$D$10,0)</f>
        <v>0</v>
      </c>
      <c r="G762" s="37">
        <f t="array" ref="G762">IFERROR(SUMPRODUCT(('Production Inputs'!$A:$A="Drug Substance")*('Production Inputs'!$B:$B="TOTAL ACTIVE")*'Production Inputs'!$BB:$BB),0)</f>
        <v>0</v>
      </c>
      <c r="H762" s="30">
        <f t="shared" si="77"/>
        <v>72.651747685185143</v>
      </c>
      <c r="I762" s="30">
        <f ca="1">IFERROR(AVERAGEIF(OFFSET(F762,0,0,MIN(Controls!$B$8,COUNTIF(B762:B$1973,B762)),1),"&gt;"&amp;0),0)</f>
        <v>0</v>
      </c>
      <c r="J762" s="38">
        <f t="shared" ca="1" si="78"/>
        <v>999</v>
      </c>
      <c r="K762" s="30">
        <f t="shared" ca="1" si="82"/>
        <v>0</v>
      </c>
      <c r="L762" t="str">
        <f t="shared" ca="1" si="79"/>
        <v>Overstock</v>
      </c>
      <c r="M762" s="39">
        <f>IFERROR(VLOOKUP("Drug Substance",Controls!A:I,7,0),6)</f>
        <v>12</v>
      </c>
      <c r="N762" s="39">
        <f>IFERROR(VLOOKUP("Drug Substance",Controls!A:I,8,0),3)</f>
        <v>9</v>
      </c>
      <c r="O762" s="39">
        <f>IFERROR(VLOOKUP("Drug Substance",Controls!A:I,9,0),18)</f>
        <v>18</v>
      </c>
      <c r="P762" s="40">
        <f>IFERROR(VLOOKUP("Drug Substance",Controls!A:J,5,0),0)</f>
        <v>4.3</v>
      </c>
      <c r="Q762" s="39">
        <f>IFERROR(VLOOKUP("Drug Substance",Controls!A:J,6,0),3)</f>
        <v>5</v>
      </c>
      <c r="R762" s="21" t="str">
        <f>IFERROR(VLOOKUP("Drug Substance",Controls!A:K,10,0),"")</f>
        <v>ST Pharm (Oligo P1 F2)</v>
      </c>
      <c r="S762" s="41">
        <f t="shared" si="80"/>
        <v>47178</v>
      </c>
      <c r="T762" s="30">
        <f t="shared" si="81"/>
        <v>0</v>
      </c>
      <c r="AB762">
        <f t="shared" si="83"/>
        <v>71.368252314814811</v>
      </c>
    </row>
    <row r="763" spans="1:28" ht="13" customHeight="1" x14ac:dyDescent="0.35">
      <c r="A763" s="153">
        <v>47362</v>
      </c>
      <c r="B763" s="36" t="s">
        <v>45</v>
      </c>
      <c r="C763" s="15" t="s">
        <v>47</v>
      </c>
      <c r="D763" s="15" t="s">
        <v>48</v>
      </c>
      <c r="E763" s="30">
        <f>H762</f>
        <v>72.651747685185143</v>
      </c>
      <c r="F763" s="37">
        <f>IFERROR('Production Inputs'!$BC$27*Dependencies!$D$6+'Production Inputs'!$BC$32*Dependencies!$D$9+'Production Inputs'!$BC$26*Dependencies!$D$8+'Production Inputs'!$BC$31*Dependencies!$D$10,0)</f>
        <v>0</v>
      </c>
      <c r="G763" s="37">
        <f t="array" ref="G763">IFERROR(SUMPRODUCT(('Production Inputs'!$A:$A="Drug Substance")*('Production Inputs'!$B:$B="TOTAL ACTIVE")*'Production Inputs'!$BC:$BC),0)</f>
        <v>0</v>
      </c>
      <c r="H763" s="30">
        <f t="shared" si="77"/>
        <v>72.651747685185143</v>
      </c>
      <c r="I763" s="30">
        <f ca="1">IFERROR(AVERAGEIF(OFFSET(F763,0,0,MIN(Controls!$B$8,COUNTIF(B763:B$1973,B763)),1),"&gt;"&amp;0),0)</f>
        <v>0</v>
      </c>
      <c r="J763" s="38">
        <f t="shared" ca="1" si="78"/>
        <v>999</v>
      </c>
      <c r="K763" s="30">
        <f t="shared" ca="1" si="82"/>
        <v>0</v>
      </c>
      <c r="L763" t="str">
        <f t="shared" ca="1" si="79"/>
        <v>Overstock</v>
      </c>
      <c r="M763" s="39">
        <f>IFERROR(VLOOKUP("Drug Substance",Controls!A:I,7,0),6)</f>
        <v>12</v>
      </c>
      <c r="N763" s="39">
        <f>IFERROR(VLOOKUP("Drug Substance",Controls!A:I,8,0),3)</f>
        <v>9</v>
      </c>
      <c r="O763" s="39">
        <f>IFERROR(VLOOKUP("Drug Substance",Controls!A:I,9,0),18)</f>
        <v>18</v>
      </c>
      <c r="P763" s="40">
        <f>IFERROR(VLOOKUP("Drug Substance",Controls!A:J,5,0),0)</f>
        <v>4.3</v>
      </c>
      <c r="Q763" s="39">
        <f>IFERROR(VLOOKUP("Drug Substance",Controls!A:J,6,0),3)</f>
        <v>5</v>
      </c>
      <c r="R763" s="21" t="str">
        <f>IFERROR(VLOOKUP("Drug Substance",Controls!A:K,10,0),"")</f>
        <v>ST Pharm (Oligo P1 F2)</v>
      </c>
      <c r="S763" s="41">
        <f t="shared" si="80"/>
        <v>47209</v>
      </c>
      <c r="T763" s="30">
        <f t="shared" si="81"/>
        <v>0</v>
      </c>
      <c r="AB763">
        <f t="shared" si="83"/>
        <v>71.368252314814811</v>
      </c>
    </row>
    <row r="764" spans="1:28" ht="13" customHeight="1" x14ac:dyDescent="0.35">
      <c r="A764" s="153">
        <v>47392</v>
      </c>
      <c r="B764" s="36" t="s">
        <v>45</v>
      </c>
      <c r="C764" s="15" t="s">
        <v>47</v>
      </c>
      <c r="D764" s="15" t="s">
        <v>48</v>
      </c>
      <c r="E764" s="30">
        <f>H763</f>
        <v>72.651747685185143</v>
      </c>
      <c r="F764" s="37">
        <f>IFERROR('Production Inputs'!$BD$27*Dependencies!$D$6+'Production Inputs'!$BD$32*Dependencies!$D$9+'Production Inputs'!$BD$26*Dependencies!$D$8+'Production Inputs'!$BD$31*Dependencies!$D$10,0)</f>
        <v>0</v>
      </c>
      <c r="G764" s="37">
        <f t="array" ref="G764">IFERROR(SUMPRODUCT(('Production Inputs'!$A:$A="Drug Substance")*('Production Inputs'!$B:$B="TOTAL ACTIVE")*'Production Inputs'!$BD:$BD),0)</f>
        <v>0</v>
      </c>
      <c r="H764" s="30">
        <f t="shared" si="77"/>
        <v>72.651747685185143</v>
      </c>
      <c r="I764" s="30">
        <f ca="1">IFERROR(AVERAGEIF(OFFSET(F764,0,0,MIN(Controls!$B$8,COUNTIF(B764:B$1973,B764)),1),"&gt;"&amp;0),0)</f>
        <v>0</v>
      </c>
      <c r="J764" s="38">
        <f t="shared" ca="1" si="78"/>
        <v>999</v>
      </c>
      <c r="K764" s="30">
        <f t="shared" ca="1" si="82"/>
        <v>0</v>
      </c>
      <c r="L764" t="str">
        <f t="shared" ca="1" si="79"/>
        <v>Overstock</v>
      </c>
      <c r="M764" s="39">
        <f>IFERROR(VLOOKUP("Drug Substance",Controls!A:I,7,0),6)</f>
        <v>12</v>
      </c>
      <c r="N764" s="39">
        <f>IFERROR(VLOOKUP("Drug Substance",Controls!A:I,8,0),3)</f>
        <v>9</v>
      </c>
      <c r="O764" s="39">
        <f>IFERROR(VLOOKUP("Drug Substance",Controls!A:I,9,0),18)</f>
        <v>18</v>
      </c>
      <c r="P764" s="40">
        <f>IFERROR(VLOOKUP("Drug Substance",Controls!A:J,5,0),0)</f>
        <v>4.3</v>
      </c>
      <c r="Q764" s="39">
        <f>IFERROR(VLOOKUP("Drug Substance",Controls!A:J,6,0),3)</f>
        <v>5</v>
      </c>
      <c r="R764" s="21" t="str">
        <f>IFERROR(VLOOKUP("Drug Substance",Controls!A:K,10,0),"")</f>
        <v>ST Pharm (Oligo P1 F2)</v>
      </c>
      <c r="S764" s="41">
        <f t="shared" si="80"/>
        <v>47239</v>
      </c>
      <c r="T764" s="30">
        <f t="shared" si="81"/>
        <v>0</v>
      </c>
      <c r="AB764">
        <f t="shared" si="83"/>
        <v>71.368252314814811</v>
      </c>
    </row>
    <row r="765" spans="1:28" ht="13" customHeight="1" x14ac:dyDescent="0.35">
      <c r="A765" s="153">
        <v>47423</v>
      </c>
      <c r="B765" s="36" t="s">
        <v>45</v>
      </c>
      <c r="C765" s="15" t="s">
        <v>47</v>
      </c>
      <c r="D765" s="15" t="s">
        <v>48</v>
      </c>
      <c r="E765" s="30">
        <f>H764</f>
        <v>72.651747685185143</v>
      </c>
      <c r="F765" s="37">
        <f>IFERROR('Production Inputs'!$BE$27*Dependencies!$D$6+'Production Inputs'!$BE$32*Dependencies!$D$9+'Production Inputs'!$BE$26*Dependencies!$D$8+'Production Inputs'!$BE$31*Dependencies!$D$10,0)</f>
        <v>0</v>
      </c>
      <c r="G765" s="37">
        <f t="array" ref="G765">IFERROR(SUMPRODUCT(('Production Inputs'!$A:$A="Drug Substance")*('Production Inputs'!$B:$B="TOTAL ACTIVE")*'Production Inputs'!$BE:$BE),0)</f>
        <v>0</v>
      </c>
      <c r="H765" s="30">
        <f t="shared" si="77"/>
        <v>72.651747685185143</v>
      </c>
      <c r="I765" s="30">
        <f ca="1">IFERROR(AVERAGEIF(OFFSET(F765,0,0,MIN(Controls!$B$8,COUNTIF(B765:B$1973,B765)),1),"&gt;"&amp;0),0)</f>
        <v>0</v>
      </c>
      <c r="J765" s="38">
        <f t="shared" ca="1" si="78"/>
        <v>999</v>
      </c>
      <c r="K765" s="30">
        <f t="shared" ca="1" si="82"/>
        <v>0</v>
      </c>
      <c r="L765" t="str">
        <f t="shared" ca="1" si="79"/>
        <v>Overstock</v>
      </c>
      <c r="M765" s="39">
        <f>IFERROR(VLOOKUP("Drug Substance",Controls!A:I,7,0),6)</f>
        <v>12</v>
      </c>
      <c r="N765" s="39">
        <f>IFERROR(VLOOKUP("Drug Substance",Controls!A:I,8,0),3)</f>
        <v>9</v>
      </c>
      <c r="O765" s="39">
        <f>IFERROR(VLOOKUP("Drug Substance",Controls!A:I,9,0),18)</f>
        <v>18</v>
      </c>
      <c r="P765" s="40">
        <f>IFERROR(VLOOKUP("Drug Substance",Controls!A:J,5,0),0)</f>
        <v>4.3</v>
      </c>
      <c r="Q765" s="39">
        <f>IFERROR(VLOOKUP("Drug Substance",Controls!A:J,6,0),3)</f>
        <v>5</v>
      </c>
      <c r="R765" s="21" t="str">
        <f>IFERROR(VLOOKUP("Drug Substance",Controls!A:K,10,0),"")</f>
        <v>ST Pharm (Oligo P1 F2)</v>
      </c>
      <c r="S765" s="41">
        <f t="shared" si="80"/>
        <v>47270</v>
      </c>
      <c r="T765" s="30">
        <f t="shared" si="81"/>
        <v>0</v>
      </c>
      <c r="AB765">
        <f t="shared" si="83"/>
        <v>71.368252314814811</v>
      </c>
    </row>
    <row r="766" spans="1:28" ht="13" customHeight="1" x14ac:dyDescent="0.35">
      <c r="A766" s="153">
        <v>47453</v>
      </c>
      <c r="B766" s="36" t="s">
        <v>45</v>
      </c>
      <c r="C766" s="15" t="s">
        <v>47</v>
      </c>
      <c r="D766" s="15" t="s">
        <v>48</v>
      </c>
      <c r="E766" s="30">
        <f>H765</f>
        <v>72.651747685185143</v>
      </c>
      <c r="F766" s="37">
        <f>IFERROR('Production Inputs'!$BF$27*Dependencies!$D$6+'Production Inputs'!$BF$32*Dependencies!$D$9+'Production Inputs'!$BF$26*Dependencies!$D$8+'Production Inputs'!$BF$31*Dependencies!$D$10,0)</f>
        <v>0</v>
      </c>
      <c r="G766" s="37">
        <f t="array" ref="G766">IFERROR(SUMPRODUCT(('Production Inputs'!$A:$A="Drug Substance")*('Production Inputs'!$B:$B="TOTAL ACTIVE")*'Production Inputs'!$BF:$BF),0)</f>
        <v>0</v>
      </c>
      <c r="H766" s="30">
        <f t="shared" si="77"/>
        <v>72.651747685185143</v>
      </c>
      <c r="I766" s="30">
        <f ca="1">IFERROR(AVERAGEIF(OFFSET(F766,0,0,MIN(Controls!$B$8,COUNTIF(B766:B$1973,B766)),1),"&gt;"&amp;0),0)</f>
        <v>0</v>
      </c>
      <c r="J766" s="38">
        <f t="shared" ca="1" si="78"/>
        <v>999</v>
      </c>
      <c r="K766" s="30">
        <f t="shared" ca="1" si="82"/>
        <v>0</v>
      </c>
      <c r="L766" t="str">
        <f t="shared" ca="1" si="79"/>
        <v>Overstock</v>
      </c>
      <c r="M766" s="39">
        <f>IFERROR(VLOOKUP("Drug Substance",Controls!A:I,7,0),6)</f>
        <v>12</v>
      </c>
      <c r="N766" s="39">
        <f>IFERROR(VLOOKUP("Drug Substance",Controls!A:I,8,0),3)</f>
        <v>9</v>
      </c>
      <c r="O766" s="39">
        <f>IFERROR(VLOOKUP("Drug Substance",Controls!A:I,9,0),18)</f>
        <v>18</v>
      </c>
      <c r="P766" s="40">
        <f>IFERROR(VLOOKUP("Drug Substance",Controls!A:J,5,0),0)</f>
        <v>4.3</v>
      </c>
      <c r="Q766" s="39">
        <f>IFERROR(VLOOKUP("Drug Substance",Controls!A:J,6,0),3)</f>
        <v>5</v>
      </c>
      <c r="R766" s="21" t="str">
        <f>IFERROR(VLOOKUP("Drug Substance",Controls!A:K,10,0),"")</f>
        <v>ST Pharm (Oligo P1 F2)</v>
      </c>
      <c r="S766" s="41">
        <f t="shared" si="80"/>
        <v>47300</v>
      </c>
      <c r="T766" s="30">
        <f t="shared" si="81"/>
        <v>0</v>
      </c>
      <c r="AB766">
        <f t="shared" si="83"/>
        <v>71.368252314814811</v>
      </c>
    </row>
    <row r="767" spans="1:28" ht="13" customHeight="1" x14ac:dyDescent="0.35">
      <c r="A767" s="153">
        <v>47484</v>
      </c>
      <c r="B767" s="36" t="s">
        <v>45</v>
      </c>
      <c r="C767" s="15" t="s">
        <v>47</v>
      </c>
      <c r="D767" s="15" t="s">
        <v>48</v>
      </c>
      <c r="E767" s="30">
        <f>H766</f>
        <v>72.651747685185143</v>
      </c>
      <c r="F767" s="37">
        <f>IFERROR('Production Inputs'!$BG$27*Dependencies!$D$6+'Production Inputs'!$BG$32*Dependencies!$D$9+'Production Inputs'!$BG$26*Dependencies!$D$8+'Production Inputs'!$BG$31*Dependencies!$D$10,0)</f>
        <v>0</v>
      </c>
      <c r="G767" s="37">
        <f t="array" ref="G767">IFERROR(SUMPRODUCT(('Production Inputs'!$A:$A="Drug Substance")*('Production Inputs'!$B:$B="TOTAL ACTIVE")*'Production Inputs'!$BG:$BG),0)</f>
        <v>0</v>
      </c>
      <c r="H767" s="30">
        <f t="shared" si="77"/>
        <v>72.651747685185143</v>
      </c>
      <c r="I767" s="30">
        <f ca="1">IFERROR(AVERAGEIF(OFFSET(F767,0,0,MIN(Controls!$B$8,COUNTIF(B767:B$1973,B767)),1),"&gt;"&amp;0),0)</f>
        <v>0</v>
      </c>
      <c r="J767" s="38">
        <f t="shared" ca="1" si="78"/>
        <v>999</v>
      </c>
      <c r="K767" s="30">
        <f t="shared" ca="1" si="82"/>
        <v>0</v>
      </c>
      <c r="L767" t="str">
        <f t="shared" ca="1" si="79"/>
        <v>Overstock</v>
      </c>
      <c r="M767" s="39">
        <f>IFERROR(VLOOKUP("Drug Substance",Controls!A:I,7,0),6)</f>
        <v>12</v>
      </c>
      <c r="N767" s="39">
        <f>IFERROR(VLOOKUP("Drug Substance",Controls!A:I,8,0),3)</f>
        <v>9</v>
      </c>
      <c r="O767" s="39">
        <f>IFERROR(VLOOKUP("Drug Substance",Controls!A:I,9,0),18)</f>
        <v>18</v>
      </c>
      <c r="P767" s="40">
        <f>IFERROR(VLOOKUP("Drug Substance",Controls!A:J,5,0),0)</f>
        <v>4.3</v>
      </c>
      <c r="Q767" s="39">
        <f>IFERROR(VLOOKUP("Drug Substance",Controls!A:J,6,0),3)</f>
        <v>5</v>
      </c>
      <c r="R767" s="21" t="str">
        <f>IFERROR(VLOOKUP("Drug Substance",Controls!A:K,10,0),"")</f>
        <v>ST Pharm (Oligo P1 F2)</v>
      </c>
      <c r="S767" s="41">
        <f t="shared" si="80"/>
        <v>47331</v>
      </c>
      <c r="T767" s="30">
        <f t="shared" si="81"/>
        <v>0</v>
      </c>
      <c r="AB767">
        <f t="shared" si="83"/>
        <v>71.368252314814811</v>
      </c>
    </row>
    <row r="768" spans="1:28" ht="13" customHeight="1" x14ac:dyDescent="0.35">
      <c r="A768" s="153">
        <v>47515</v>
      </c>
      <c r="B768" s="36" t="s">
        <v>45</v>
      </c>
      <c r="C768" s="15" t="s">
        <v>47</v>
      </c>
      <c r="D768" s="15" t="s">
        <v>48</v>
      </c>
      <c r="E768" s="30">
        <f>H767</f>
        <v>72.651747685185143</v>
      </c>
      <c r="F768" s="37">
        <f>IFERROR('Production Inputs'!$BH$27*Dependencies!$D$6+'Production Inputs'!$BH$32*Dependencies!$D$9+'Production Inputs'!$BH$26*Dependencies!$D$8+'Production Inputs'!$BH$31*Dependencies!$D$10,0)</f>
        <v>0</v>
      </c>
      <c r="G768" s="37">
        <f t="array" ref="G768">IFERROR(SUMPRODUCT(('Production Inputs'!$A:$A="Drug Substance")*('Production Inputs'!$B:$B="TOTAL ACTIVE")*'Production Inputs'!$BH:$BH),0)</f>
        <v>0</v>
      </c>
      <c r="H768" s="30">
        <f t="shared" si="77"/>
        <v>72.651747685185143</v>
      </c>
      <c r="I768" s="30">
        <f ca="1">IFERROR(AVERAGEIF(OFFSET(F768,0,0,MIN(Controls!$B$8,COUNTIF(B768:B$1973,B768)),1),"&gt;"&amp;0),0)</f>
        <v>0</v>
      </c>
      <c r="J768" s="38">
        <f t="shared" ca="1" si="78"/>
        <v>999</v>
      </c>
      <c r="K768" s="30">
        <f t="shared" ca="1" si="82"/>
        <v>0</v>
      </c>
      <c r="L768" t="str">
        <f t="shared" ca="1" si="79"/>
        <v>Overstock</v>
      </c>
      <c r="M768" s="39">
        <f>IFERROR(VLOOKUP("Drug Substance",Controls!A:I,7,0),6)</f>
        <v>12</v>
      </c>
      <c r="N768" s="39">
        <f>IFERROR(VLOOKUP("Drug Substance",Controls!A:I,8,0),3)</f>
        <v>9</v>
      </c>
      <c r="O768" s="39">
        <f>IFERROR(VLOOKUP("Drug Substance",Controls!A:I,9,0),18)</f>
        <v>18</v>
      </c>
      <c r="P768" s="40">
        <f>IFERROR(VLOOKUP("Drug Substance",Controls!A:J,5,0),0)</f>
        <v>4.3</v>
      </c>
      <c r="Q768" s="39">
        <f>IFERROR(VLOOKUP("Drug Substance",Controls!A:J,6,0),3)</f>
        <v>5</v>
      </c>
      <c r="R768" s="21" t="str">
        <f>IFERROR(VLOOKUP("Drug Substance",Controls!A:K,10,0),"")</f>
        <v>ST Pharm (Oligo P1 F2)</v>
      </c>
      <c r="S768" s="41">
        <f t="shared" si="80"/>
        <v>47362</v>
      </c>
      <c r="T768" s="30">
        <f t="shared" si="81"/>
        <v>0</v>
      </c>
      <c r="AB768">
        <f t="shared" si="83"/>
        <v>71.368252314814811</v>
      </c>
    </row>
    <row r="769" spans="1:28" ht="13" customHeight="1" x14ac:dyDescent="0.35">
      <c r="A769" s="153">
        <v>47543</v>
      </c>
      <c r="B769" s="36" t="s">
        <v>45</v>
      </c>
      <c r="C769" s="15" t="s">
        <v>47</v>
      </c>
      <c r="D769" s="15" t="s">
        <v>48</v>
      </c>
      <c r="E769" s="30">
        <f>H768</f>
        <v>72.651747685185143</v>
      </c>
      <c r="F769" s="37">
        <f>IFERROR('Production Inputs'!$BI$27*Dependencies!$D$6+'Production Inputs'!$BI$32*Dependencies!$D$9+'Production Inputs'!$BI$26*Dependencies!$D$8+'Production Inputs'!$BI$31*Dependencies!$D$10,0)</f>
        <v>0</v>
      </c>
      <c r="G769" s="37">
        <f t="array" ref="G769">IFERROR(SUMPRODUCT(('Production Inputs'!$A:$A="Drug Substance")*('Production Inputs'!$B:$B="TOTAL ACTIVE")*'Production Inputs'!$BI:$BI),0)</f>
        <v>0</v>
      </c>
      <c r="H769" s="30">
        <f t="shared" si="77"/>
        <v>72.651747685185143</v>
      </c>
      <c r="I769" s="30">
        <f ca="1">IFERROR(AVERAGEIF(OFFSET(F769,0,0,MIN(Controls!$B$8,COUNTIF(B769:B$1973,B769)),1),"&gt;"&amp;0),0)</f>
        <v>0</v>
      </c>
      <c r="J769" s="38">
        <f t="shared" ca="1" si="78"/>
        <v>999</v>
      </c>
      <c r="K769" s="30">
        <f t="shared" ca="1" si="82"/>
        <v>0</v>
      </c>
      <c r="L769" t="str">
        <f t="shared" ca="1" si="79"/>
        <v>Overstock</v>
      </c>
      <c r="M769" s="39">
        <f>IFERROR(VLOOKUP("Drug Substance",Controls!A:I,7,0),6)</f>
        <v>12</v>
      </c>
      <c r="N769" s="39">
        <f>IFERROR(VLOOKUP("Drug Substance",Controls!A:I,8,0),3)</f>
        <v>9</v>
      </c>
      <c r="O769" s="39">
        <f>IFERROR(VLOOKUP("Drug Substance",Controls!A:I,9,0),18)</f>
        <v>18</v>
      </c>
      <c r="P769" s="40">
        <f>IFERROR(VLOOKUP("Drug Substance",Controls!A:J,5,0),0)</f>
        <v>4.3</v>
      </c>
      <c r="Q769" s="39">
        <f>IFERROR(VLOOKUP("Drug Substance",Controls!A:J,6,0),3)</f>
        <v>5</v>
      </c>
      <c r="R769" s="21" t="str">
        <f>IFERROR(VLOOKUP("Drug Substance",Controls!A:K,10,0),"")</f>
        <v>ST Pharm (Oligo P1 F2)</v>
      </c>
      <c r="S769" s="41">
        <f t="shared" si="80"/>
        <v>47392</v>
      </c>
      <c r="T769" s="30">
        <f t="shared" si="81"/>
        <v>0</v>
      </c>
      <c r="AB769">
        <f t="shared" si="83"/>
        <v>71.368252314814811</v>
      </c>
    </row>
    <row r="770" spans="1:28" ht="13" customHeight="1" x14ac:dyDescent="0.35">
      <c r="A770" s="153">
        <v>47574</v>
      </c>
      <c r="B770" s="36" t="s">
        <v>45</v>
      </c>
      <c r="C770" s="15" t="s">
        <v>47</v>
      </c>
      <c r="D770" s="15" t="s">
        <v>48</v>
      </c>
      <c r="E770" s="30">
        <f>H769</f>
        <v>72.651747685185143</v>
      </c>
      <c r="F770" s="37">
        <f>IFERROR('Production Inputs'!$BJ$27*Dependencies!$D$6+'Production Inputs'!$BJ$32*Dependencies!$D$9+'Production Inputs'!$BJ$26*Dependencies!$D$8+'Production Inputs'!$BJ$31*Dependencies!$D$10,0)</f>
        <v>0</v>
      </c>
      <c r="G770" s="37">
        <f t="array" ref="G770">IFERROR(SUMPRODUCT(('Production Inputs'!$A:$A="Drug Substance")*('Production Inputs'!$B:$B="TOTAL ACTIVE")*'Production Inputs'!$BJ:$BJ),0)</f>
        <v>0</v>
      </c>
      <c r="H770" s="30">
        <f t="shared" si="77"/>
        <v>72.651747685185143</v>
      </c>
      <c r="I770" s="30">
        <f ca="1">IFERROR(AVERAGEIF(OFFSET(F770,0,0,MIN(Controls!$B$8,COUNTIF(B770:B$1973,B770)),1),"&gt;"&amp;0),0)</f>
        <v>0</v>
      </c>
      <c r="J770" s="38">
        <f t="shared" ca="1" si="78"/>
        <v>999</v>
      </c>
      <c r="K770" s="30">
        <f t="shared" ca="1" si="82"/>
        <v>0</v>
      </c>
      <c r="L770" t="str">
        <f t="shared" ca="1" si="79"/>
        <v>Overstock</v>
      </c>
      <c r="M770" s="39">
        <f>IFERROR(VLOOKUP("Drug Substance",Controls!A:I,7,0),6)</f>
        <v>12</v>
      </c>
      <c r="N770" s="39">
        <f>IFERROR(VLOOKUP("Drug Substance",Controls!A:I,8,0),3)</f>
        <v>9</v>
      </c>
      <c r="O770" s="39">
        <f>IFERROR(VLOOKUP("Drug Substance",Controls!A:I,9,0),18)</f>
        <v>18</v>
      </c>
      <c r="P770" s="40">
        <f>IFERROR(VLOOKUP("Drug Substance",Controls!A:J,5,0),0)</f>
        <v>4.3</v>
      </c>
      <c r="Q770" s="39">
        <f>IFERROR(VLOOKUP("Drug Substance",Controls!A:J,6,0),3)</f>
        <v>5</v>
      </c>
      <c r="R770" s="21" t="str">
        <f>IFERROR(VLOOKUP("Drug Substance",Controls!A:K,10,0),"")</f>
        <v>ST Pharm (Oligo P1 F2)</v>
      </c>
      <c r="S770" s="41">
        <f t="shared" si="80"/>
        <v>47423</v>
      </c>
      <c r="T770" s="30">
        <f t="shared" si="81"/>
        <v>0</v>
      </c>
      <c r="AB770">
        <f t="shared" si="83"/>
        <v>71.368252314814811</v>
      </c>
    </row>
    <row r="771" spans="1:28" ht="13" customHeight="1" x14ac:dyDescent="0.35">
      <c r="A771" s="153">
        <v>47604</v>
      </c>
      <c r="B771" s="36" t="s">
        <v>45</v>
      </c>
      <c r="C771" s="15" t="s">
        <v>47</v>
      </c>
      <c r="D771" s="15" t="s">
        <v>48</v>
      </c>
      <c r="E771" s="30">
        <f>H770</f>
        <v>72.651747685185143</v>
      </c>
      <c r="F771" s="37">
        <f>IFERROR('Production Inputs'!$BK$27*Dependencies!$D$6+'Production Inputs'!$BK$32*Dependencies!$D$9+'Production Inputs'!$BK$26*Dependencies!$D$8+'Production Inputs'!$BK$31*Dependencies!$D$10,0)</f>
        <v>0</v>
      </c>
      <c r="G771" s="37">
        <f t="array" ref="G771">IFERROR(SUMPRODUCT(('Production Inputs'!$A:$A="Drug Substance")*('Production Inputs'!$B:$B="TOTAL ACTIVE")*'Production Inputs'!$BK:$BK),0)</f>
        <v>0</v>
      </c>
      <c r="H771" s="30">
        <f t="shared" si="77"/>
        <v>72.651747685185143</v>
      </c>
      <c r="I771" s="30">
        <f ca="1">IFERROR(AVERAGEIF(OFFSET(F771,0,0,MIN(Controls!$B$8,COUNTIF(B771:B$1973,B771)),1),"&gt;"&amp;0),0)</f>
        <v>0</v>
      </c>
      <c r="J771" s="38">
        <f t="shared" ca="1" si="78"/>
        <v>999</v>
      </c>
      <c r="K771" s="30">
        <f t="shared" ca="1" si="82"/>
        <v>0</v>
      </c>
      <c r="L771" t="str">
        <f t="shared" ca="1" si="79"/>
        <v>Overstock</v>
      </c>
      <c r="M771" s="39">
        <f>IFERROR(VLOOKUP("Drug Substance",Controls!A:I,7,0),6)</f>
        <v>12</v>
      </c>
      <c r="N771" s="39">
        <f>IFERROR(VLOOKUP("Drug Substance",Controls!A:I,8,0),3)</f>
        <v>9</v>
      </c>
      <c r="O771" s="39">
        <f>IFERROR(VLOOKUP("Drug Substance",Controls!A:I,9,0),18)</f>
        <v>18</v>
      </c>
      <c r="P771" s="40">
        <f>IFERROR(VLOOKUP("Drug Substance",Controls!A:J,5,0),0)</f>
        <v>4.3</v>
      </c>
      <c r="Q771" s="39">
        <f>IFERROR(VLOOKUP("Drug Substance",Controls!A:J,6,0),3)</f>
        <v>5</v>
      </c>
      <c r="R771" s="21" t="str">
        <f>IFERROR(VLOOKUP("Drug Substance",Controls!A:K,10,0),"")</f>
        <v>ST Pharm (Oligo P1 F2)</v>
      </c>
      <c r="S771" s="41">
        <f t="shared" si="80"/>
        <v>47453</v>
      </c>
      <c r="T771" s="30">
        <f t="shared" si="81"/>
        <v>0</v>
      </c>
      <c r="AB771">
        <f t="shared" si="83"/>
        <v>71.368252314814811</v>
      </c>
    </row>
    <row r="772" spans="1:28" ht="13" customHeight="1" x14ac:dyDescent="0.35">
      <c r="A772" s="153">
        <v>47635</v>
      </c>
      <c r="B772" s="36" t="s">
        <v>45</v>
      </c>
      <c r="C772" s="15" t="s">
        <v>47</v>
      </c>
      <c r="D772" s="15" t="s">
        <v>48</v>
      </c>
      <c r="E772" s="30">
        <f>H771</f>
        <v>72.651747685185143</v>
      </c>
      <c r="F772" s="37">
        <f>IFERROR('Production Inputs'!$BL$27*Dependencies!$D$6+'Production Inputs'!$BL$32*Dependencies!$D$9+'Production Inputs'!$BL$26*Dependencies!$D$8+'Production Inputs'!$BL$31*Dependencies!$D$10,0)</f>
        <v>0</v>
      </c>
      <c r="G772" s="37">
        <f t="array" ref="G772">IFERROR(SUMPRODUCT(('Production Inputs'!$A:$A="Drug Substance")*('Production Inputs'!$B:$B="TOTAL ACTIVE")*'Production Inputs'!$BL:$BL),0)</f>
        <v>0</v>
      </c>
      <c r="H772" s="30">
        <f t="shared" ref="H772:H835" si="84">E772+G772-F772</f>
        <v>72.651747685185143</v>
      </c>
      <c r="I772" s="30">
        <f ca="1">IFERROR(AVERAGEIF(OFFSET(F772,0,0,MIN(Controls!$B$8,COUNTIF(B772:B$1973,B772)),1),"&gt;"&amp;0),0)</f>
        <v>0</v>
      </c>
      <c r="J772" s="38">
        <f t="shared" ref="J772:J835" ca="1" si="85">IFERROR(H772/I772,IF(H772&gt;0,999,0))</f>
        <v>999</v>
      </c>
      <c r="K772" s="30">
        <f t="shared" ca="1" si="82"/>
        <v>0</v>
      </c>
      <c r="L772" t="str">
        <f t="shared" ref="L772:L835" ca="1" si="86">IF(H772&lt;=0,"High",IF(J772&lt;N772,"High",IF(J772&lt;M772,"Medium",IF(J772&gt;O772,"Overstock","Low"))))</f>
        <v>Overstock</v>
      </c>
      <c r="M772" s="39">
        <f>IFERROR(VLOOKUP("Drug Substance",Controls!A:I,7,0),6)</f>
        <v>12</v>
      </c>
      <c r="N772" s="39">
        <f>IFERROR(VLOOKUP("Drug Substance",Controls!A:I,8,0),3)</f>
        <v>9</v>
      </c>
      <c r="O772" s="39">
        <f>IFERROR(VLOOKUP("Drug Substance",Controls!A:I,9,0),18)</f>
        <v>18</v>
      </c>
      <c r="P772" s="40">
        <f>IFERROR(VLOOKUP("Drug Substance",Controls!A:J,5,0),0)</f>
        <v>4.3</v>
      </c>
      <c r="Q772" s="39">
        <f>IFERROR(VLOOKUP("Drug Substance",Controls!A:J,6,0),3)</f>
        <v>5</v>
      </c>
      <c r="R772" s="21" t="str">
        <f>IFERROR(VLOOKUP("Drug Substance",Controls!A:K,10,0),"")</f>
        <v>ST Pharm (Oligo P1 F2)</v>
      </c>
      <c r="S772" s="41">
        <f t="shared" ref="S772:S835" si="87">IFERROR(EDATE(A772,-Q772),"")</f>
        <v>47484</v>
      </c>
      <c r="T772" s="30">
        <f t="shared" ref="T772:T835" si="88">G772</f>
        <v>0</v>
      </c>
      <c r="AB772">
        <f t="shared" si="83"/>
        <v>71.368252314814811</v>
      </c>
    </row>
    <row r="773" spans="1:28" ht="13" customHeight="1" x14ac:dyDescent="0.35">
      <c r="A773" s="153">
        <v>47665</v>
      </c>
      <c r="B773" s="36" t="s">
        <v>45</v>
      </c>
      <c r="C773" s="15" t="s">
        <v>47</v>
      </c>
      <c r="D773" s="15" t="s">
        <v>48</v>
      </c>
      <c r="E773" s="30">
        <f>H772</f>
        <v>72.651747685185143</v>
      </c>
      <c r="F773" s="37">
        <f>IFERROR('Production Inputs'!$BM$27*Dependencies!$D$6+'Production Inputs'!$BM$32*Dependencies!$D$9+'Production Inputs'!$BM$26*Dependencies!$D$8+'Production Inputs'!$BM$31*Dependencies!$D$10,0)</f>
        <v>0</v>
      </c>
      <c r="G773" s="37">
        <f t="array" ref="G773">IFERROR(SUMPRODUCT(('Production Inputs'!$A:$A="Drug Substance")*('Production Inputs'!$B:$B="TOTAL ACTIVE")*'Production Inputs'!$BM:$BM),0)</f>
        <v>0</v>
      </c>
      <c r="H773" s="30">
        <f t="shared" si="84"/>
        <v>72.651747685185143</v>
      </c>
      <c r="I773" s="30">
        <f ca="1">IFERROR(AVERAGEIF(OFFSET(F773,0,0,MIN(Controls!$B$8,COUNTIF(B773:B$1973,B773)),1),"&gt;"&amp;0),0)</f>
        <v>0</v>
      </c>
      <c r="J773" s="38">
        <f t="shared" ca="1" si="85"/>
        <v>999</v>
      </c>
      <c r="K773" s="30">
        <f t="shared" ref="K773:K836" ca="1" si="89">IFERROR(IF(H773&lt;(N773*I773), CEILING(MAX(0,ROUND((M773*I773-H773)/P773,0)*P773),P773), 0), 0)</f>
        <v>0</v>
      </c>
      <c r="L773" t="str">
        <f t="shared" ca="1" si="86"/>
        <v>Overstock</v>
      </c>
      <c r="M773" s="39">
        <f>IFERROR(VLOOKUP("Drug Substance",Controls!A:I,7,0),6)</f>
        <v>12</v>
      </c>
      <c r="N773" s="39">
        <f>IFERROR(VLOOKUP("Drug Substance",Controls!A:I,8,0),3)</f>
        <v>9</v>
      </c>
      <c r="O773" s="39">
        <f>IFERROR(VLOOKUP("Drug Substance",Controls!A:I,9,0),18)</f>
        <v>18</v>
      </c>
      <c r="P773" s="40">
        <f>IFERROR(VLOOKUP("Drug Substance",Controls!A:J,5,0),0)</f>
        <v>4.3</v>
      </c>
      <c r="Q773" s="39">
        <f>IFERROR(VLOOKUP("Drug Substance",Controls!A:J,6,0),3)</f>
        <v>5</v>
      </c>
      <c r="R773" s="21" t="str">
        <f>IFERROR(VLOOKUP("Drug Substance",Controls!A:K,10,0),"")</f>
        <v>ST Pharm (Oligo P1 F2)</v>
      </c>
      <c r="S773" s="41">
        <f t="shared" si="87"/>
        <v>47515</v>
      </c>
      <c r="T773" s="30">
        <f t="shared" si="88"/>
        <v>0</v>
      </c>
      <c r="AB773">
        <f t="shared" ref="AB773:AB836" si="90">SUMIFS($F$4:$F$2331,$B$4:$B$2331,B773,$A$4:$A$2331,"&lt;="&amp;A773)</f>
        <v>71.368252314814811</v>
      </c>
    </row>
    <row r="774" spans="1:28" ht="13" customHeight="1" x14ac:dyDescent="0.35">
      <c r="A774" s="153">
        <v>47696</v>
      </c>
      <c r="B774" s="36" t="s">
        <v>45</v>
      </c>
      <c r="C774" s="15" t="s">
        <v>47</v>
      </c>
      <c r="D774" s="15" t="s">
        <v>48</v>
      </c>
      <c r="E774" s="30">
        <f>H773</f>
        <v>72.651747685185143</v>
      </c>
      <c r="F774" s="37">
        <f>IFERROR('Production Inputs'!$BN$27*Dependencies!$D$6+'Production Inputs'!$BN$32*Dependencies!$D$9+'Production Inputs'!$BN$26*Dependencies!$D$8+'Production Inputs'!$BN$31*Dependencies!$D$10,0)</f>
        <v>0</v>
      </c>
      <c r="G774" s="37">
        <f t="array" ref="G774">IFERROR(SUMPRODUCT(('Production Inputs'!$A:$A="Drug Substance")*('Production Inputs'!$B:$B="TOTAL ACTIVE")*'Production Inputs'!$BN:$BN),0)</f>
        <v>0</v>
      </c>
      <c r="H774" s="30">
        <f t="shared" si="84"/>
        <v>72.651747685185143</v>
      </c>
      <c r="I774" s="30">
        <f ca="1">IFERROR(AVERAGEIF(OFFSET(F774,0,0,MIN(Controls!$B$8,COUNTIF(B774:B$1973,B774)),1),"&gt;"&amp;0),0)</f>
        <v>0</v>
      </c>
      <c r="J774" s="38">
        <f t="shared" ca="1" si="85"/>
        <v>999</v>
      </c>
      <c r="K774" s="30">
        <f t="shared" ca="1" si="89"/>
        <v>0</v>
      </c>
      <c r="L774" t="str">
        <f t="shared" ca="1" si="86"/>
        <v>Overstock</v>
      </c>
      <c r="M774" s="39">
        <f>IFERROR(VLOOKUP("Drug Substance",Controls!A:I,7,0),6)</f>
        <v>12</v>
      </c>
      <c r="N774" s="39">
        <f>IFERROR(VLOOKUP("Drug Substance",Controls!A:I,8,0),3)</f>
        <v>9</v>
      </c>
      <c r="O774" s="39">
        <f>IFERROR(VLOOKUP("Drug Substance",Controls!A:I,9,0),18)</f>
        <v>18</v>
      </c>
      <c r="P774" s="40">
        <f>IFERROR(VLOOKUP("Drug Substance",Controls!A:J,5,0),0)</f>
        <v>4.3</v>
      </c>
      <c r="Q774" s="39">
        <f>IFERROR(VLOOKUP("Drug Substance",Controls!A:J,6,0),3)</f>
        <v>5</v>
      </c>
      <c r="R774" s="21" t="str">
        <f>IFERROR(VLOOKUP("Drug Substance",Controls!A:K,10,0),"")</f>
        <v>ST Pharm (Oligo P1 F2)</v>
      </c>
      <c r="S774" s="41">
        <f t="shared" si="87"/>
        <v>47543</v>
      </c>
      <c r="T774" s="30">
        <f t="shared" si="88"/>
        <v>0</v>
      </c>
      <c r="AB774">
        <f t="shared" si="90"/>
        <v>71.368252314814811</v>
      </c>
    </row>
    <row r="775" spans="1:28" ht="13" customHeight="1" x14ac:dyDescent="0.35">
      <c r="A775" s="153">
        <v>47727</v>
      </c>
      <c r="B775" s="36" t="s">
        <v>45</v>
      </c>
      <c r="C775" s="15" t="s">
        <v>47</v>
      </c>
      <c r="D775" s="15" t="s">
        <v>48</v>
      </c>
      <c r="E775" s="30">
        <f>H774</f>
        <v>72.651747685185143</v>
      </c>
      <c r="F775" s="37">
        <f>IFERROR('Production Inputs'!$BO$27*Dependencies!$D$6+'Production Inputs'!$BO$32*Dependencies!$D$9+'Production Inputs'!$BO$26*Dependencies!$D$8+'Production Inputs'!$BO$31*Dependencies!$D$10,0)</f>
        <v>0</v>
      </c>
      <c r="G775" s="37">
        <f t="array" ref="G775">IFERROR(SUMPRODUCT(('Production Inputs'!$A:$A="Drug Substance")*('Production Inputs'!$B:$B="TOTAL ACTIVE")*'Production Inputs'!$BO:$BO),0)</f>
        <v>0</v>
      </c>
      <c r="H775" s="30">
        <f t="shared" si="84"/>
        <v>72.651747685185143</v>
      </c>
      <c r="I775" s="30">
        <f ca="1">IFERROR(AVERAGEIF(OFFSET(F775,0,0,MIN(Controls!$B$8,COUNTIF(B775:B$1973,B775)),1),"&gt;"&amp;0),0)</f>
        <v>0</v>
      </c>
      <c r="J775" s="38">
        <f t="shared" ca="1" si="85"/>
        <v>999</v>
      </c>
      <c r="K775" s="30">
        <f t="shared" ca="1" si="89"/>
        <v>0</v>
      </c>
      <c r="L775" t="str">
        <f t="shared" ca="1" si="86"/>
        <v>Overstock</v>
      </c>
      <c r="M775" s="39">
        <f>IFERROR(VLOOKUP("Drug Substance",Controls!A:I,7,0),6)</f>
        <v>12</v>
      </c>
      <c r="N775" s="39">
        <f>IFERROR(VLOOKUP("Drug Substance",Controls!A:I,8,0),3)</f>
        <v>9</v>
      </c>
      <c r="O775" s="39">
        <f>IFERROR(VLOOKUP("Drug Substance",Controls!A:I,9,0),18)</f>
        <v>18</v>
      </c>
      <c r="P775" s="40">
        <f>IFERROR(VLOOKUP("Drug Substance",Controls!A:J,5,0),0)</f>
        <v>4.3</v>
      </c>
      <c r="Q775" s="39">
        <f>IFERROR(VLOOKUP("Drug Substance",Controls!A:J,6,0),3)</f>
        <v>5</v>
      </c>
      <c r="R775" s="21" t="str">
        <f>IFERROR(VLOOKUP("Drug Substance",Controls!A:K,10,0),"")</f>
        <v>ST Pharm (Oligo P1 F2)</v>
      </c>
      <c r="S775" s="41">
        <f t="shared" si="87"/>
        <v>47574</v>
      </c>
      <c r="T775" s="30">
        <f t="shared" si="88"/>
        <v>0</v>
      </c>
      <c r="AB775">
        <f t="shared" si="90"/>
        <v>71.368252314814811</v>
      </c>
    </row>
    <row r="776" spans="1:28" ht="13" customHeight="1" x14ac:dyDescent="0.35">
      <c r="A776" s="153">
        <v>47757</v>
      </c>
      <c r="B776" s="36" t="s">
        <v>45</v>
      </c>
      <c r="C776" s="15" t="s">
        <v>47</v>
      </c>
      <c r="D776" s="15" t="s">
        <v>48</v>
      </c>
      <c r="E776" s="30">
        <f>H775</f>
        <v>72.651747685185143</v>
      </c>
      <c r="F776" s="37">
        <f>IFERROR('Production Inputs'!$BP$27*Dependencies!$D$6+'Production Inputs'!$BP$32*Dependencies!$D$9+'Production Inputs'!$BP$26*Dependencies!$D$8+'Production Inputs'!$BP$31*Dependencies!$D$10,0)</f>
        <v>0</v>
      </c>
      <c r="G776" s="37">
        <f t="array" ref="G776">IFERROR(SUMPRODUCT(('Production Inputs'!$A:$A="Drug Substance")*('Production Inputs'!$B:$B="TOTAL ACTIVE")*'Production Inputs'!$BP:$BP),0)</f>
        <v>0</v>
      </c>
      <c r="H776" s="30">
        <f t="shared" si="84"/>
        <v>72.651747685185143</v>
      </c>
      <c r="I776" s="30">
        <f ca="1">IFERROR(AVERAGEIF(OFFSET(F776,0,0,MIN(Controls!$B$8,COUNTIF(B776:B$1973,B776)),1),"&gt;"&amp;0),0)</f>
        <v>0</v>
      </c>
      <c r="J776" s="38">
        <f t="shared" ca="1" si="85"/>
        <v>999</v>
      </c>
      <c r="K776" s="30">
        <f t="shared" ca="1" si="89"/>
        <v>0</v>
      </c>
      <c r="L776" t="str">
        <f t="shared" ca="1" si="86"/>
        <v>Overstock</v>
      </c>
      <c r="M776" s="39">
        <f>IFERROR(VLOOKUP("Drug Substance",Controls!A:I,7,0),6)</f>
        <v>12</v>
      </c>
      <c r="N776" s="39">
        <f>IFERROR(VLOOKUP("Drug Substance",Controls!A:I,8,0),3)</f>
        <v>9</v>
      </c>
      <c r="O776" s="39">
        <f>IFERROR(VLOOKUP("Drug Substance",Controls!A:I,9,0),18)</f>
        <v>18</v>
      </c>
      <c r="P776" s="40">
        <f>IFERROR(VLOOKUP("Drug Substance",Controls!A:J,5,0),0)</f>
        <v>4.3</v>
      </c>
      <c r="Q776" s="39">
        <f>IFERROR(VLOOKUP("Drug Substance",Controls!A:J,6,0),3)</f>
        <v>5</v>
      </c>
      <c r="R776" s="21" t="str">
        <f>IFERROR(VLOOKUP("Drug Substance",Controls!A:K,10,0),"")</f>
        <v>ST Pharm (Oligo P1 F2)</v>
      </c>
      <c r="S776" s="41">
        <f t="shared" si="87"/>
        <v>47604</v>
      </c>
      <c r="T776" s="30">
        <f t="shared" si="88"/>
        <v>0</v>
      </c>
      <c r="AB776">
        <f t="shared" si="90"/>
        <v>71.368252314814811</v>
      </c>
    </row>
    <row r="777" spans="1:28" ht="13" customHeight="1" x14ac:dyDescent="0.35">
      <c r="A777" s="153">
        <v>47788</v>
      </c>
      <c r="B777" s="36" t="s">
        <v>45</v>
      </c>
      <c r="C777" s="15" t="s">
        <v>47</v>
      </c>
      <c r="D777" s="15" t="s">
        <v>48</v>
      </c>
      <c r="E777" s="30">
        <f>H776</f>
        <v>72.651747685185143</v>
      </c>
      <c r="F777" s="37">
        <f>IFERROR('Production Inputs'!$BQ$27*Dependencies!$D$6+'Production Inputs'!$BQ$32*Dependencies!$D$9+'Production Inputs'!$BQ$26*Dependencies!$D$8+'Production Inputs'!$BQ$31*Dependencies!$D$10,0)</f>
        <v>0</v>
      </c>
      <c r="G777" s="37">
        <f t="array" ref="G777">IFERROR(SUMPRODUCT(('Production Inputs'!$A:$A="Drug Substance")*('Production Inputs'!$B:$B="TOTAL ACTIVE")*'Production Inputs'!$BQ:$BQ),0)</f>
        <v>0</v>
      </c>
      <c r="H777" s="30">
        <f t="shared" si="84"/>
        <v>72.651747685185143</v>
      </c>
      <c r="I777" s="30">
        <f ca="1">IFERROR(AVERAGEIF(OFFSET(F777,0,0,MIN(Controls!$B$8,COUNTIF(B777:B$1973,B777)),1),"&gt;"&amp;0),0)</f>
        <v>0</v>
      </c>
      <c r="J777" s="38">
        <f t="shared" ca="1" si="85"/>
        <v>999</v>
      </c>
      <c r="K777" s="30">
        <f t="shared" ca="1" si="89"/>
        <v>0</v>
      </c>
      <c r="L777" t="str">
        <f t="shared" ca="1" si="86"/>
        <v>Overstock</v>
      </c>
      <c r="M777" s="39">
        <f>IFERROR(VLOOKUP("Drug Substance",Controls!A:I,7,0),6)</f>
        <v>12</v>
      </c>
      <c r="N777" s="39">
        <f>IFERROR(VLOOKUP("Drug Substance",Controls!A:I,8,0),3)</f>
        <v>9</v>
      </c>
      <c r="O777" s="39">
        <f>IFERROR(VLOOKUP("Drug Substance",Controls!A:I,9,0),18)</f>
        <v>18</v>
      </c>
      <c r="P777" s="40">
        <f>IFERROR(VLOOKUP("Drug Substance",Controls!A:J,5,0),0)</f>
        <v>4.3</v>
      </c>
      <c r="Q777" s="39">
        <f>IFERROR(VLOOKUP("Drug Substance",Controls!A:J,6,0),3)</f>
        <v>5</v>
      </c>
      <c r="R777" s="21" t="str">
        <f>IFERROR(VLOOKUP("Drug Substance",Controls!A:K,10,0),"")</f>
        <v>ST Pharm (Oligo P1 F2)</v>
      </c>
      <c r="S777" s="41">
        <f t="shared" si="87"/>
        <v>47635</v>
      </c>
      <c r="T777" s="30">
        <f t="shared" si="88"/>
        <v>0</v>
      </c>
      <c r="AB777">
        <f t="shared" si="90"/>
        <v>71.368252314814811</v>
      </c>
    </row>
    <row r="778" spans="1:28" ht="13" customHeight="1" x14ac:dyDescent="0.35">
      <c r="A778" s="153">
        <v>47818</v>
      </c>
      <c r="B778" s="36" t="s">
        <v>45</v>
      </c>
      <c r="C778" s="15" t="s">
        <v>47</v>
      </c>
      <c r="D778" s="15" t="s">
        <v>48</v>
      </c>
      <c r="E778" s="30">
        <f>H777</f>
        <v>72.651747685185143</v>
      </c>
      <c r="F778" s="37">
        <f>IFERROR('Production Inputs'!$BR$27*Dependencies!$D$6+'Production Inputs'!$BR$32*Dependencies!$D$9+'Production Inputs'!$BR$26*Dependencies!$D$8+'Production Inputs'!$BR$31*Dependencies!$D$10,0)</f>
        <v>0</v>
      </c>
      <c r="G778" s="37">
        <f t="array" ref="G778">IFERROR(SUMPRODUCT(('Production Inputs'!$A:$A="Drug Substance")*('Production Inputs'!$B:$B="TOTAL ACTIVE")*'Production Inputs'!$BR:$BR),0)</f>
        <v>0</v>
      </c>
      <c r="H778" s="30">
        <f t="shared" si="84"/>
        <v>72.651747685185143</v>
      </c>
      <c r="I778" s="30">
        <f ca="1">IFERROR(AVERAGEIF(OFFSET(F778,0,0,MIN(Controls!$B$8,COUNTIF(B778:B$1973,B778)),1),"&gt;"&amp;0),0)</f>
        <v>0</v>
      </c>
      <c r="J778" s="38">
        <f t="shared" ca="1" si="85"/>
        <v>999</v>
      </c>
      <c r="K778" s="30">
        <f t="shared" ca="1" si="89"/>
        <v>0</v>
      </c>
      <c r="L778" t="str">
        <f t="shared" ca="1" si="86"/>
        <v>Overstock</v>
      </c>
      <c r="M778" s="39">
        <f>IFERROR(VLOOKUP("Drug Substance",Controls!A:I,7,0),6)</f>
        <v>12</v>
      </c>
      <c r="N778" s="39">
        <f>IFERROR(VLOOKUP("Drug Substance",Controls!A:I,8,0),3)</f>
        <v>9</v>
      </c>
      <c r="O778" s="39">
        <f>IFERROR(VLOOKUP("Drug Substance",Controls!A:I,9,0),18)</f>
        <v>18</v>
      </c>
      <c r="P778" s="40">
        <f>IFERROR(VLOOKUP("Drug Substance",Controls!A:J,5,0),0)</f>
        <v>4.3</v>
      </c>
      <c r="Q778" s="39">
        <f>IFERROR(VLOOKUP("Drug Substance",Controls!A:J,6,0),3)</f>
        <v>5</v>
      </c>
      <c r="R778" s="21" t="str">
        <f>IFERROR(VLOOKUP("Drug Substance",Controls!A:K,10,0),"")</f>
        <v>ST Pharm (Oligo P1 F2)</v>
      </c>
      <c r="S778" s="41">
        <f t="shared" si="87"/>
        <v>47665</v>
      </c>
      <c r="T778" s="30">
        <f t="shared" si="88"/>
        <v>0</v>
      </c>
      <c r="AB778">
        <f t="shared" si="90"/>
        <v>71.368252314814811</v>
      </c>
    </row>
    <row r="779" spans="1:28" ht="13" customHeight="1" x14ac:dyDescent="0.35">
      <c r="A779" s="153">
        <v>47849</v>
      </c>
      <c r="B779" s="36" t="s">
        <v>45</v>
      </c>
      <c r="C779" s="15" t="s">
        <v>47</v>
      </c>
      <c r="D779" s="15" t="s">
        <v>48</v>
      </c>
      <c r="E779" s="30">
        <f>H778</f>
        <v>72.651747685185143</v>
      </c>
      <c r="F779" s="37">
        <f>IFERROR('Production Inputs'!$BS$27*Dependencies!$D$6+'Production Inputs'!$BS$32*Dependencies!$D$9+'Production Inputs'!$BS$26*Dependencies!$D$8+'Production Inputs'!$BS$31*Dependencies!$D$10,0)</f>
        <v>0</v>
      </c>
      <c r="G779" s="37">
        <f t="array" ref="G779">IFERROR(SUMPRODUCT(('Production Inputs'!$A:$A="Drug Substance")*('Production Inputs'!$B:$B="TOTAL ACTIVE")*'Production Inputs'!$BS:$BS),0)</f>
        <v>0</v>
      </c>
      <c r="H779" s="30">
        <f t="shared" si="84"/>
        <v>72.651747685185143</v>
      </c>
      <c r="I779" s="30">
        <f ca="1">IFERROR(AVERAGEIF(OFFSET(F779,0,0,MIN(Controls!$B$8,COUNTIF(B779:B$1973,B779)),1),"&gt;"&amp;0),0)</f>
        <v>0</v>
      </c>
      <c r="J779" s="38">
        <f t="shared" ca="1" si="85"/>
        <v>999</v>
      </c>
      <c r="K779" s="30">
        <f t="shared" ca="1" si="89"/>
        <v>0</v>
      </c>
      <c r="L779" t="str">
        <f t="shared" ca="1" si="86"/>
        <v>Overstock</v>
      </c>
      <c r="M779" s="39">
        <f>IFERROR(VLOOKUP("Drug Substance",Controls!A:I,7,0),6)</f>
        <v>12</v>
      </c>
      <c r="N779" s="39">
        <f>IFERROR(VLOOKUP("Drug Substance",Controls!A:I,8,0),3)</f>
        <v>9</v>
      </c>
      <c r="O779" s="39">
        <f>IFERROR(VLOOKUP("Drug Substance",Controls!A:I,9,0),18)</f>
        <v>18</v>
      </c>
      <c r="P779" s="40">
        <f>IFERROR(VLOOKUP("Drug Substance",Controls!A:J,5,0),0)</f>
        <v>4.3</v>
      </c>
      <c r="Q779" s="39">
        <f>IFERROR(VLOOKUP("Drug Substance",Controls!A:J,6,0),3)</f>
        <v>5</v>
      </c>
      <c r="R779" s="21" t="str">
        <f>IFERROR(VLOOKUP("Drug Substance",Controls!A:K,10,0),"")</f>
        <v>ST Pharm (Oligo P1 F2)</v>
      </c>
      <c r="S779" s="41">
        <f t="shared" si="87"/>
        <v>47696</v>
      </c>
      <c r="T779" s="30">
        <f t="shared" si="88"/>
        <v>0</v>
      </c>
      <c r="AB779">
        <f t="shared" si="90"/>
        <v>71.368252314814811</v>
      </c>
    </row>
    <row r="780" spans="1:28" ht="13" customHeight="1" x14ac:dyDescent="0.35">
      <c r="A780" s="153">
        <v>47880</v>
      </c>
      <c r="B780" s="36" t="s">
        <v>45</v>
      </c>
      <c r="C780" s="15" t="s">
        <v>47</v>
      </c>
      <c r="D780" s="15" t="s">
        <v>48</v>
      </c>
      <c r="E780" s="30">
        <f>H779</f>
        <v>72.651747685185143</v>
      </c>
      <c r="F780" s="37">
        <f>IFERROR('Production Inputs'!$BT$27*Dependencies!$D$6+'Production Inputs'!$BT$32*Dependencies!$D$9+'Production Inputs'!$BT$26*Dependencies!$D$8+'Production Inputs'!$BT$31*Dependencies!$D$10,0)</f>
        <v>0</v>
      </c>
      <c r="G780" s="37">
        <f t="array" ref="G780">IFERROR(SUMPRODUCT(('Production Inputs'!$A:$A="Drug Substance")*('Production Inputs'!$B:$B="TOTAL ACTIVE")*'Production Inputs'!$BT:$BT),0)</f>
        <v>0</v>
      </c>
      <c r="H780" s="30">
        <f t="shared" si="84"/>
        <v>72.651747685185143</v>
      </c>
      <c r="I780" s="30">
        <f ca="1">IFERROR(AVERAGEIF(OFFSET(F780,0,0,MIN(Controls!$B$8,COUNTIF(B780:B$1973,B780)),1),"&gt;"&amp;0),0)</f>
        <v>0</v>
      </c>
      <c r="J780" s="38">
        <f t="shared" ca="1" si="85"/>
        <v>999</v>
      </c>
      <c r="K780" s="30">
        <f t="shared" ca="1" si="89"/>
        <v>0</v>
      </c>
      <c r="L780" t="str">
        <f t="shared" ca="1" si="86"/>
        <v>Overstock</v>
      </c>
      <c r="M780" s="39">
        <f>IFERROR(VLOOKUP("Drug Substance",Controls!A:I,7,0),6)</f>
        <v>12</v>
      </c>
      <c r="N780" s="39">
        <f>IFERROR(VLOOKUP("Drug Substance",Controls!A:I,8,0),3)</f>
        <v>9</v>
      </c>
      <c r="O780" s="39">
        <f>IFERROR(VLOOKUP("Drug Substance",Controls!A:I,9,0),18)</f>
        <v>18</v>
      </c>
      <c r="P780" s="40">
        <f>IFERROR(VLOOKUP("Drug Substance",Controls!A:J,5,0),0)</f>
        <v>4.3</v>
      </c>
      <c r="Q780" s="39">
        <f>IFERROR(VLOOKUP("Drug Substance",Controls!A:J,6,0),3)</f>
        <v>5</v>
      </c>
      <c r="R780" s="21" t="str">
        <f>IFERROR(VLOOKUP("Drug Substance",Controls!A:K,10,0),"")</f>
        <v>ST Pharm (Oligo P1 F2)</v>
      </c>
      <c r="S780" s="41">
        <f t="shared" si="87"/>
        <v>47727</v>
      </c>
      <c r="T780" s="30">
        <f t="shared" si="88"/>
        <v>0</v>
      </c>
      <c r="AB780">
        <f t="shared" si="90"/>
        <v>71.368252314814811</v>
      </c>
    </row>
    <row r="781" spans="1:28" ht="13" customHeight="1" x14ac:dyDescent="0.35">
      <c r="A781" s="153">
        <v>47908</v>
      </c>
      <c r="B781" s="36" t="s">
        <v>45</v>
      </c>
      <c r="C781" s="15" t="s">
        <v>47</v>
      </c>
      <c r="D781" s="15" t="s">
        <v>48</v>
      </c>
      <c r="E781" s="30">
        <f>H780</f>
        <v>72.651747685185143</v>
      </c>
      <c r="F781" s="37">
        <f>IFERROR('Production Inputs'!$BU$27*Dependencies!$D$6+'Production Inputs'!$BU$32*Dependencies!$D$9+'Production Inputs'!$BU$26*Dependencies!$D$8+'Production Inputs'!$BU$31*Dependencies!$D$10,0)</f>
        <v>0</v>
      </c>
      <c r="G781" s="37">
        <f t="array" ref="G781">IFERROR(SUMPRODUCT(('Production Inputs'!$A:$A="Drug Substance")*('Production Inputs'!$B:$B="TOTAL ACTIVE")*'Production Inputs'!$BU:$BU),0)</f>
        <v>0</v>
      </c>
      <c r="H781" s="30">
        <f t="shared" si="84"/>
        <v>72.651747685185143</v>
      </c>
      <c r="I781" s="30">
        <f ca="1">IFERROR(AVERAGEIF(OFFSET(F781,0,0,MIN(Controls!$B$8,COUNTIF(B781:B$1973,B781)),1),"&gt;"&amp;0),0)</f>
        <v>0</v>
      </c>
      <c r="J781" s="38">
        <f t="shared" ca="1" si="85"/>
        <v>999</v>
      </c>
      <c r="K781" s="30">
        <f t="shared" ca="1" si="89"/>
        <v>0</v>
      </c>
      <c r="L781" t="str">
        <f t="shared" ca="1" si="86"/>
        <v>Overstock</v>
      </c>
      <c r="M781" s="39">
        <f>IFERROR(VLOOKUP("Drug Substance",Controls!A:I,7,0),6)</f>
        <v>12</v>
      </c>
      <c r="N781" s="39">
        <f>IFERROR(VLOOKUP("Drug Substance",Controls!A:I,8,0),3)</f>
        <v>9</v>
      </c>
      <c r="O781" s="39">
        <f>IFERROR(VLOOKUP("Drug Substance",Controls!A:I,9,0),18)</f>
        <v>18</v>
      </c>
      <c r="P781" s="40">
        <f>IFERROR(VLOOKUP("Drug Substance",Controls!A:J,5,0),0)</f>
        <v>4.3</v>
      </c>
      <c r="Q781" s="39">
        <f>IFERROR(VLOOKUP("Drug Substance",Controls!A:J,6,0),3)</f>
        <v>5</v>
      </c>
      <c r="R781" s="21" t="str">
        <f>IFERROR(VLOOKUP("Drug Substance",Controls!A:K,10,0),"")</f>
        <v>ST Pharm (Oligo P1 F2)</v>
      </c>
      <c r="S781" s="41">
        <f t="shared" si="87"/>
        <v>47757</v>
      </c>
      <c r="T781" s="30">
        <f t="shared" si="88"/>
        <v>0</v>
      </c>
      <c r="AB781">
        <f t="shared" si="90"/>
        <v>71.368252314814811</v>
      </c>
    </row>
    <row r="782" spans="1:28" ht="13" customHeight="1" x14ac:dyDescent="0.35">
      <c r="A782" s="153">
        <v>47939</v>
      </c>
      <c r="B782" s="36" t="s">
        <v>45</v>
      </c>
      <c r="C782" s="15" t="s">
        <v>47</v>
      </c>
      <c r="D782" s="15" t="s">
        <v>48</v>
      </c>
      <c r="E782" s="30">
        <f>H781</f>
        <v>72.651747685185143</v>
      </c>
      <c r="F782" s="37">
        <f>IFERROR('Production Inputs'!$BV$27*Dependencies!$D$6+'Production Inputs'!$BV$32*Dependencies!$D$9+'Production Inputs'!$BV$26*Dependencies!$D$8+'Production Inputs'!$BV$31*Dependencies!$D$10,0)</f>
        <v>0</v>
      </c>
      <c r="G782" s="37">
        <f t="array" ref="G782">IFERROR(SUMPRODUCT(('Production Inputs'!$A:$A="Drug Substance")*('Production Inputs'!$B:$B="TOTAL ACTIVE")*'Production Inputs'!$BV:$BV),0)</f>
        <v>0</v>
      </c>
      <c r="H782" s="30">
        <f t="shared" si="84"/>
        <v>72.651747685185143</v>
      </c>
      <c r="I782" s="30">
        <f ca="1">IFERROR(AVERAGEIF(OFFSET(F782,0,0,MIN(Controls!$B$8,COUNTIF(B782:B$1973,B782)),1),"&gt;"&amp;0),0)</f>
        <v>0</v>
      </c>
      <c r="J782" s="38">
        <f t="shared" ca="1" si="85"/>
        <v>999</v>
      </c>
      <c r="K782" s="30">
        <f t="shared" ca="1" si="89"/>
        <v>0</v>
      </c>
      <c r="L782" t="str">
        <f t="shared" ca="1" si="86"/>
        <v>Overstock</v>
      </c>
      <c r="M782" s="39">
        <f>IFERROR(VLOOKUP("Drug Substance",Controls!A:I,7,0),6)</f>
        <v>12</v>
      </c>
      <c r="N782" s="39">
        <f>IFERROR(VLOOKUP("Drug Substance",Controls!A:I,8,0),3)</f>
        <v>9</v>
      </c>
      <c r="O782" s="39">
        <f>IFERROR(VLOOKUP("Drug Substance",Controls!A:I,9,0),18)</f>
        <v>18</v>
      </c>
      <c r="P782" s="40">
        <f>IFERROR(VLOOKUP("Drug Substance",Controls!A:J,5,0),0)</f>
        <v>4.3</v>
      </c>
      <c r="Q782" s="39">
        <f>IFERROR(VLOOKUP("Drug Substance",Controls!A:J,6,0),3)</f>
        <v>5</v>
      </c>
      <c r="R782" s="21" t="str">
        <f>IFERROR(VLOOKUP("Drug Substance",Controls!A:K,10,0),"")</f>
        <v>ST Pharm (Oligo P1 F2)</v>
      </c>
      <c r="S782" s="41">
        <f t="shared" si="87"/>
        <v>47788</v>
      </c>
      <c r="T782" s="30">
        <f t="shared" si="88"/>
        <v>0</v>
      </c>
      <c r="AB782">
        <f t="shared" si="90"/>
        <v>71.368252314814811</v>
      </c>
    </row>
    <row r="783" spans="1:28" ht="13" customHeight="1" x14ac:dyDescent="0.35">
      <c r="A783" s="153">
        <v>47969</v>
      </c>
      <c r="B783" s="36" t="s">
        <v>45</v>
      </c>
      <c r="C783" s="15" t="s">
        <v>47</v>
      </c>
      <c r="D783" s="15" t="s">
        <v>48</v>
      </c>
      <c r="E783" s="30">
        <f>H782</f>
        <v>72.651747685185143</v>
      </c>
      <c r="F783" s="37">
        <f>IFERROR('Production Inputs'!$BW$27*Dependencies!$D$6+'Production Inputs'!$BW$32*Dependencies!$D$9+'Production Inputs'!$BW$26*Dependencies!$D$8+'Production Inputs'!$BW$31*Dependencies!$D$10,0)</f>
        <v>0</v>
      </c>
      <c r="G783" s="37">
        <f t="array" ref="G783">IFERROR(SUMPRODUCT(('Production Inputs'!$A:$A="Drug Substance")*('Production Inputs'!$B:$B="TOTAL ACTIVE")*'Production Inputs'!$BW:$BW),0)</f>
        <v>0</v>
      </c>
      <c r="H783" s="30">
        <f t="shared" si="84"/>
        <v>72.651747685185143</v>
      </c>
      <c r="I783" s="30">
        <f ca="1">IFERROR(AVERAGEIF(OFFSET(F783,0,0,MIN(Controls!$B$8,COUNTIF(B783:B$1973,B783)),1),"&gt;"&amp;0),0)</f>
        <v>0</v>
      </c>
      <c r="J783" s="38">
        <f t="shared" ca="1" si="85"/>
        <v>999</v>
      </c>
      <c r="K783" s="30">
        <f t="shared" ca="1" si="89"/>
        <v>0</v>
      </c>
      <c r="L783" t="str">
        <f t="shared" ca="1" si="86"/>
        <v>Overstock</v>
      </c>
      <c r="M783" s="39">
        <f>IFERROR(VLOOKUP("Drug Substance",Controls!A:I,7,0),6)</f>
        <v>12</v>
      </c>
      <c r="N783" s="39">
        <f>IFERROR(VLOOKUP("Drug Substance",Controls!A:I,8,0),3)</f>
        <v>9</v>
      </c>
      <c r="O783" s="39">
        <f>IFERROR(VLOOKUP("Drug Substance",Controls!A:I,9,0),18)</f>
        <v>18</v>
      </c>
      <c r="P783" s="40">
        <f>IFERROR(VLOOKUP("Drug Substance",Controls!A:J,5,0),0)</f>
        <v>4.3</v>
      </c>
      <c r="Q783" s="39">
        <f>IFERROR(VLOOKUP("Drug Substance",Controls!A:J,6,0),3)</f>
        <v>5</v>
      </c>
      <c r="R783" s="21" t="str">
        <f>IFERROR(VLOOKUP("Drug Substance",Controls!A:K,10,0),"")</f>
        <v>ST Pharm (Oligo P1 F2)</v>
      </c>
      <c r="S783" s="41">
        <f t="shared" si="87"/>
        <v>47818</v>
      </c>
      <c r="T783" s="30">
        <f t="shared" si="88"/>
        <v>0</v>
      </c>
      <c r="AB783">
        <f t="shared" si="90"/>
        <v>71.368252314814811</v>
      </c>
    </row>
    <row r="784" spans="1:28" ht="13" customHeight="1" x14ac:dyDescent="0.35">
      <c r="A784" s="153">
        <v>48000</v>
      </c>
      <c r="B784" s="36" t="s">
        <v>45</v>
      </c>
      <c r="C784" s="15" t="s">
        <v>47</v>
      </c>
      <c r="D784" s="15" t="s">
        <v>48</v>
      </c>
      <c r="E784" s="30">
        <f>H783</f>
        <v>72.651747685185143</v>
      </c>
      <c r="F784" s="37">
        <f>IFERROR('Production Inputs'!$BX$27*Dependencies!$D$6+'Production Inputs'!$BX$32*Dependencies!$D$9+'Production Inputs'!$BX$26*Dependencies!$D$8+'Production Inputs'!$BX$31*Dependencies!$D$10,0)</f>
        <v>0</v>
      </c>
      <c r="G784" s="37">
        <f t="array" ref="G784">IFERROR(SUMPRODUCT(('Production Inputs'!$A:$A="Drug Substance")*('Production Inputs'!$B:$B="TOTAL ACTIVE")*'Production Inputs'!$BX:$BX),0)</f>
        <v>0</v>
      </c>
      <c r="H784" s="30">
        <f t="shared" si="84"/>
        <v>72.651747685185143</v>
      </c>
      <c r="I784" s="30">
        <f ca="1">IFERROR(AVERAGEIF(OFFSET(F784,0,0,MIN(Controls!$B$8,COUNTIF(B784:B$1973,B784)),1),"&gt;"&amp;0),0)</f>
        <v>0</v>
      </c>
      <c r="J784" s="38">
        <f t="shared" ca="1" si="85"/>
        <v>999</v>
      </c>
      <c r="K784" s="30">
        <f t="shared" ca="1" si="89"/>
        <v>0</v>
      </c>
      <c r="L784" t="str">
        <f t="shared" ca="1" si="86"/>
        <v>Overstock</v>
      </c>
      <c r="M784" s="39">
        <f>IFERROR(VLOOKUP("Drug Substance",Controls!A:I,7,0),6)</f>
        <v>12</v>
      </c>
      <c r="N784" s="39">
        <f>IFERROR(VLOOKUP("Drug Substance",Controls!A:I,8,0),3)</f>
        <v>9</v>
      </c>
      <c r="O784" s="39">
        <f>IFERROR(VLOOKUP("Drug Substance",Controls!A:I,9,0),18)</f>
        <v>18</v>
      </c>
      <c r="P784" s="40">
        <f>IFERROR(VLOOKUP("Drug Substance",Controls!A:J,5,0),0)</f>
        <v>4.3</v>
      </c>
      <c r="Q784" s="39">
        <f>IFERROR(VLOOKUP("Drug Substance",Controls!A:J,6,0),3)</f>
        <v>5</v>
      </c>
      <c r="R784" s="21" t="str">
        <f>IFERROR(VLOOKUP("Drug Substance",Controls!A:K,10,0),"")</f>
        <v>ST Pharm (Oligo P1 F2)</v>
      </c>
      <c r="S784" s="41">
        <f t="shared" si="87"/>
        <v>47849</v>
      </c>
      <c r="T784" s="30">
        <f t="shared" si="88"/>
        <v>0</v>
      </c>
      <c r="AB784">
        <f t="shared" si="90"/>
        <v>71.368252314814811</v>
      </c>
    </row>
    <row r="785" spans="1:28" ht="13" customHeight="1" x14ac:dyDescent="0.35">
      <c r="A785" s="153">
        <v>48030</v>
      </c>
      <c r="B785" s="36" t="s">
        <v>45</v>
      </c>
      <c r="C785" s="15" t="s">
        <v>47</v>
      </c>
      <c r="D785" s="15" t="s">
        <v>48</v>
      </c>
      <c r="E785" s="30">
        <f>H784</f>
        <v>72.651747685185143</v>
      </c>
      <c r="F785" s="37">
        <f>IFERROR('Production Inputs'!$BY$27*Dependencies!$D$6+'Production Inputs'!$BY$32*Dependencies!$D$9+'Production Inputs'!$BY$26*Dependencies!$D$8+'Production Inputs'!$BY$31*Dependencies!$D$10,0)</f>
        <v>0</v>
      </c>
      <c r="G785" s="37">
        <f t="array" ref="G785">IFERROR(SUMPRODUCT(('Production Inputs'!$A:$A="Drug Substance")*('Production Inputs'!$B:$B="TOTAL ACTIVE")*'Production Inputs'!$BY:$BY),0)</f>
        <v>0</v>
      </c>
      <c r="H785" s="30">
        <f t="shared" si="84"/>
        <v>72.651747685185143</v>
      </c>
      <c r="I785" s="30">
        <f ca="1">IFERROR(AVERAGEIF(OFFSET(F785,0,0,MIN(Controls!$B$8,COUNTIF(B785:B$1973,B785)),1),"&gt;"&amp;0),0)</f>
        <v>0</v>
      </c>
      <c r="J785" s="38">
        <f t="shared" ca="1" si="85"/>
        <v>999</v>
      </c>
      <c r="K785" s="30">
        <f t="shared" ca="1" si="89"/>
        <v>0</v>
      </c>
      <c r="L785" t="str">
        <f t="shared" ca="1" si="86"/>
        <v>Overstock</v>
      </c>
      <c r="M785" s="39">
        <f>IFERROR(VLOOKUP("Drug Substance",Controls!A:I,7,0),6)</f>
        <v>12</v>
      </c>
      <c r="N785" s="39">
        <f>IFERROR(VLOOKUP("Drug Substance",Controls!A:I,8,0),3)</f>
        <v>9</v>
      </c>
      <c r="O785" s="39">
        <f>IFERROR(VLOOKUP("Drug Substance",Controls!A:I,9,0),18)</f>
        <v>18</v>
      </c>
      <c r="P785" s="40">
        <f>IFERROR(VLOOKUP("Drug Substance",Controls!A:J,5,0),0)</f>
        <v>4.3</v>
      </c>
      <c r="Q785" s="39">
        <f>IFERROR(VLOOKUP("Drug Substance",Controls!A:J,6,0),3)</f>
        <v>5</v>
      </c>
      <c r="R785" s="21" t="str">
        <f>IFERROR(VLOOKUP("Drug Substance",Controls!A:K,10,0),"")</f>
        <v>ST Pharm (Oligo P1 F2)</v>
      </c>
      <c r="S785" s="41">
        <f t="shared" si="87"/>
        <v>47880</v>
      </c>
      <c r="T785" s="30">
        <f t="shared" si="88"/>
        <v>0</v>
      </c>
      <c r="AB785">
        <f t="shared" si="90"/>
        <v>71.368252314814811</v>
      </c>
    </row>
    <row r="786" spans="1:28" ht="13" customHeight="1" x14ac:dyDescent="0.35">
      <c r="A786" s="153">
        <v>48061</v>
      </c>
      <c r="B786" s="36" t="s">
        <v>45</v>
      </c>
      <c r="C786" s="15" t="s">
        <v>47</v>
      </c>
      <c r="D786" s="15" t="s">
        <v>48</v>
      </c>
      <c r="E786" s="30">
        <f>H785</f>
        <v>72.651747685185143</v>
      </c>
      <c r="F786" s="37">
        <f>IFERROR('Production Inputs'!$BZ$27*Dependencies!$D$6+'Production Inputs'!$BZ$32*Dependencies!$D$9+'Production Inputs'!$BZ$26*Dependencies!$D$8+'Production Inputs'!$BZ$31*Dependencies!$D$10,0)</f>
        <v>0</v>
      </c>
      <c r="G786" s="37">
        <f t="array" ref="G786">IFERROR(SUMPRODUCT(('Production Inputs'!$A:$A="Drug Substance")*('Production Inputs'!$B:$B="TOTAL ACTIVE")*'Production Inputs'!$BZ:$BZ),0)</f>
        <v>0</v>
      </c>
      <c r="H786" s="30">
        <f t="shared" si="84"/>
        <v>72.651747685185143</v>
      </c>
      <c r="I786" s="30">
        <f ca="1">IFERROR(AVERAGEIF(OFFSET(F786,0,0,MIN(Controls!$B$8,COUNTIF(B786:B$1973,B786)),1),"&gt;"&amp;0),0)</f>
        <v>0</v>
      </c>
      <c r="J786" s="38">
        <f t="shared" ca="1" si="85"/>
        <v>999</v>
      </c>
      <c r="K786" s="30">
        <f t="shared" ca="1" si="89"/>
        <v>0</v>
      </c>
      <c r="L786" t="str">
        <f t="shared" ca="1" si="86"/>
        <v>Overstock</v>
      </c>
      <c r="M786" s="39">
        <f>IFERROR(VLOOKUP("Drug Substance",Controls!A:I,7,0),6)</f>
        <v>12</v>
      </c>
      <c r="N786" s="39">
        <f>IFERROR(VLOOKUP("Drug Substance",Controls!A:I,8,0),3)</f>
        <v>9</v>
      </c>
      <c r="O786" s="39">
        <f>IFERROR(VLOOKUP("Drug Substance",Controls!A:I,9,0),18)</f>
        <v>18</v>
      </c>
      <c r="P786" s="40">
        <f>IFERROR(VLOOKUP("Drug Substance",Controls!A:J,5,0),0)</f>
        <v>4.3</v>
      </c>
      <c r="Q786" s="39">
        <f>IFERROR(VLOOKUP("Drug Substance",Controls!A:J,6,0),3)</f>
        <v>5</v>
      </c>
      <c r="R786" s="21" t="str">
        <f>IFERROR(VLOOKUP("Drug Substance",Controls!A:K,10,0),"")</f>
        <v>ST Pharm (Oligo P1 F2)</v>
      </c>
      <c r="S786" s="41">
        <f t="shared" si="87"/>
        <v>47908</v>
      </c>
      <c r="T786" s="30">
        <f t="shared" si="88"/>
        <v>0</v>
      </c>
      <c r="AB786">
        <f t="shared" si="90"/>
        <v>71.368252314814811</v>
      </c>
    </row>
    <row r="787" spans="1:28" ht="13" customHeight="1" x14ac:dyDescent="0.35">
      <c r="A787" s="153">
        <v>48092</v>
      </c>
      <c r="B787" s="36" t="s">
        <v>45</v>
      </c>
      <c r="C787" s="15" t="s">
        <v>47</v>
      </c>
      <c r="D787" s="15" t="s">
        <v>48</v>
      </c>
      <c r="E787" s="30">
        <f>H786</f>
        <v>72.651747685185143</v>
      </c>
      <c r="F787" s="37">
        <f>IFERROR('Production Inputs'!$CA$27*Dependencies!$D$6+'Production Inputs'!$CA$32*Dependencies!$D$9+'Production Inputs'!$CA$26*Dependencies!$D$8+'Production Inputs'!$CA$31*Dependencies!$D$10,0)</f>
        <v>0</v>
      </c>
      <c r="G787" s="37">
        <f t="array" ref="G787">IFERROR(SUMPRODUCT(('Production Inputs'!$A:$A="Drug Substance")*('Production Inputs'!$B:$B="TOTAL ACTIVE")*'Production Inputs'!$CA:$CA),0)</f>
        <v>0</v>
      </c>
      <c r="H787" s="30">
        <f t="shared" si="84"/>
        <v>72.651747685185143</v>
      </c>
      <c r="I787" s="30">
        <f ca="1">IFERROR(AVERAGEIF(OFFSET(F787,0,0,MIN(Controls!$B$8,COUNTIF(B787:B$1973,B787)),1),"&gt;"&amp;0),0)</f>
        <v>0</v>
      </c>
      <c r="J787" s="38">
        <f t="shared" ca="1" si="85"/>
        <v>999</v>
      </c>
      <c r="K787" s="30">
        <f t="shared" ca="1" si="89"/>
        <v>0</v>
      </c>
      <c r="L787" t="str">
        <f t="shared" ca="1" si="86"/>
        <v>Overstock</v>
      </c>
      <c r="M787" s="39">
        <f>IFERROR(VLOOKUP("Drug Substance",Controls!A:I,7,0),6)</f>
        <v>12</v>
      </c>
      <c r="N787" s="39">
        <f>IFERROR(VLOOKUP("Drug Substance",Controls!A:I,8,0),3)</f>
        <v>9</v>
      </c>
      <c r="O787" s="39">
        <f>IFERROR(VLOOKUP("Drug Substance",Controls!A:I,9,0),18)</f>
        <v>18</v>
      </c>
      <c r="P787" s="40">
        <f>IFERROR(VLOOKUP("Drug Substance",Controls!A:J,5,0),0)</f>
        <v>4.3</v>
      </c>
      <c r="Q787" s="39">
        <f>IFERROR(VLOOKUP("Drug Substance",Controls!A:J,6,0),3)</f>
        <v>5</v>
      </c>
      <c r="R787" s="21" t="str">
        <f>IFERROR(VLOOKUP("Drug Substance",Controls!A:K,10,0),"")</f>
        <v>ST Pharm (Oligo P1 F2)</v>
      </c>
      <c r="S787" s="41">
        <f t="shared" si="87"/>
        <v>47939</v>
      </c>
      <c r="T787" s="30">
        <f t="shared" si="88"/>
        <v>0</v>
      </c>
      <c r="AB787">
        <f t="shared" si="90"/>
        <v>71.368252314814811</v>
      </c>
    </row>
    <row r="788" spans="1:28" ht="13" customHeight="1" x14ac:dyDescent="0.35">
      <c r="A788" s="153">
        <v>48122</v>
      </c>
      <c r="B788" s="36" t="s">
        <v>45</v>
      </c>
      <c r="C788" s="15" t="s">
        <v>47</v>
      </c>
      <c r="D788" s="15" t="s">
        <v>48</v>
      </c>
      <c r="E788" s="30">
        <f>H787</f>
        <v>72.651747685185143</v>
      </c>
      <c r="F788" s="37">
        <f>IFERROR('Production Inputs'!$CB$27*Dependencies!$D$6+'Production Inputs'!$CB$32*Dependencies!$D$9+'Production Inputs'!$CB$26*Dependencies!$D$8+'Production Inputs'!$CB$31*Dependencies!$D$10,0)</f>
        <v>0</v>
      </c>
      <c r="G788" s="37">
        <f t="array" ref="G788">IFERROR(SUMPRODUCT(('Production Inputs'!$A:$A="Drug Substance")*('Production Inputs'!$B:$B="TOTAL ACTIVE")*'Production Inputs'!$CB:$CB),0)</f>
        <v>0</v>
      </c>
      <c r="H788" s="30">
        <f t="shared" si="84"/>
        <v>72.651747685185143</v>
      </c>
      <c r="I788" s="30">
        <f ca="1">IFERROR(AVERAGEIF(OFFSET(F788,0,0,MIN(Controls!$B$8,COUNTIF(B788:B$1973,B788)),1),"&gt;"&amp;0),0)</f>
        <v>0</v>
      </c>
      <c r="J788" s="38">
        <f t="shared" ca="1" si="85"/>
        <v>999</v>
      </c>
      <c r="K788" s="30">
        <f t="shared" ca="1" si="89"/>
        <v>0</v>
      </c>
      <c r="L788" t="str">
        <f t="shared" ca="1" si="86"/>
        <v>Overstock</v>
      </c>
      <c r="M788" s="39">
        <f>IFERROR(VLOOKUP("Drug Substance",Controls!A:I,7,0),6)</f>
        <v>12</v>
      </c>
      <c r="N788" s="39">
        <f>IFERROR(VLOOKUP("Drug Substance",Controls!A:I,8,0),3)</f>
        <v>9</v>
      </c>
      <c r="O788" s="39">
        <f>IFERROR(VLOOKUP("Drug Substance",Controls!A:I,9,0),18)</f>
        <v>18</v>
      </c>
      <c r="P788" s="40">
        <f>IFERROR(VLOOKUP("Drug Substance",Controls!A:J,5,0),0)</f>
        <v>4.3</v>
      </c>
      <c r="Q788" s="39">
        <f>IFERROR(VLOOKUP("Drug Substance",Controls!A:J,6,0),3)</f>
        <v>5</v>
      </c>
      <c r="R788" s="21" t="str">
        <f>IFERROR(VLOOKUP("Drug Substance",Controls!A:K,10,0),"")</f>
        <v>ST Pharm (Oligo P1 F2)</v>
      </c>
      <c r="S788" s="41">
        <f t="shared" si="87"/>
        <v>47969</v>
      </c>
      <c r="T788" s="30">
        <f t="shared" si="88"/>
        <v>0</v>
      </c>
      <c r="AB788">
        <f t="shared" si="90"/>
        <v>71.368252314814811</v>
      </c>
    </row>
    <row r="789" spans="1:28" ht="13" customHeight="1" x14ac:dyDescent="0.35">
      <c r="A789" s="153">
        <v>48153</v>
      </c>
      <c r="B789" s="36" t="s">
        <v>45</v>
      </c>
      <c r="C789" s="15" t="s">
        <v>47</v>
      </c>
      <c r="D789" s="15" t="s">
        <v>48</v>
      </c>
      <c r="E789" s="30">
        <f>H788</f>
        <v>72.651747685185143</v>
      </c>
      <c r="F789" s="37">
        <f>IFERROR('Production Inputs'!$CC$27*Dependencies!$D$6+'Production Inputs'!$CC$32*Dependencies!$D$9+'Production Inputs'!$CC$26*Dependencies!$D$8+'Production Inputs'!$CC$31*Dependencies!$D$10,0)</f>
        <v>0</v>
      </c>
      <c r="G789" s="37">
        <f t="array" ref="G789">IFERROR(SUMPRODUCT(('Production Inputs'!$A:$A="Drug Substance")*('Production Inputs'!$B:$B="TOTAL ACTIVE")*'Production Inputs'!$CC:$CC),0)</f>
        <v>0</v>
      </c>
      <c r="H789" s="30">
        <f t="shared" si="84"/>
        <v>72.651747685185143</v>
      </c>
      <c r="I789" s="30">
        <f ca="1">IFERROR(AVERAGEIF(OFFSET(F789,0,0,MIN(Controls!$B$8,COUNTIF(B789:B$1973,B789)),1),"&gt;"&amp;0),0)</f>
        <v>0</v>
      </c>
      <c r="J789" s="38">
        <f t="shared" ca="1" si="85"/>
        <v>999</v>
      </c>
      <c r="K789" s="30">
        <f t="shared" ca="1" si="89"/>
        <v>0</v>
      </c>
      <c r="L789" t="str">
        <f t="shared" ca="1" si="86"/>
        <v>Overstock</v>
      </c>
      <c r="M789" s="39">
        <f>IFERROR(VLOOKUP("Drug Substance",Controls!A:I,7,0),6)</f>
        <v>12</v>
      </c>
      <c r="N789" s="39">
        <f>IFERROR(VLOOKUP("Drug Substance",Controls!A:I,8,0),3)</f>
        <v>9</v>
      </c>
      <c r="O789" s="39">
        <f>IFERROR(VLOOKUP("Drug Substance",Controls!A:I,9,0),18)</f>
        <v>18</v>
      </c>
      <c r="P789" s="40">
        <f>IFERROR(VLOOKUP("Drug Substance",Controls!A:J,5,0),0)</f>
        <v>4.3</v>
      </c>
      <c r="Q789" s="39">
        <f>IFERROR(VLOOKUP("Drug Substance",Controls!A:J,6,0),3)</f>
        <v>5</v>
      </c>
      <c r="R789" s="21" t="str">
        <f>IFERROR(VLOOKUP("Drug Substance",Controls!A:K,10,0),"")</f>
        <v>ST Pharm (Oligo P1 F2)</v>
      </c>
      <c r="S789" s="41">
        <f t="shared" si="87"/>
        <v>48000</v>
      </c>
      <c r="T789" s="30">
        <f t="shared" si="88"/>
        <v>0</v>
      </c>
      <c r="AB789">
        <f t="shared" si="90"/>
        <v>71.368252314814811</v>
      </c>
    </row>
    <row r="790" spans="1:28" ht="13" customHeight="1" x14ac:dyDescent="0.35">
      <c r="A790" s="153">
        <v>48183</v>
      </c>
      <c r="B790" s="36" t="s">
        <v>45</v>
      </c>
      <c r="C790" s="15" t="s">
        <v>47</v>
      </c>
      <c r="D790" s="15" t="s">
        <v>48</v>
      </c>
      <c r="E790" s="30">
        <f>H789</f>
        <v>72.651747685185143</v>
      </c>
      <c r="F790" s="37">
        <f>IFERROR('Production Inputs'!$CD$27*Dependencies!$D$6+'Production Inputs'!$CD$32*Dependencies!$D$9+'Production Inputs'!$CD$26*Dependencies!$D$8+'Production Inputs'!$CD$31*Dependencies!$D$10,0)</f>
        <v>0</v>
      </c>
      <c r="G790" s="37">
        <f t="array" ref="G790">IFERROR(SUMPRODUCT(('Production Inputs'!$A:$A="Drug Substance")*('Production Inputs'!$B:$B="TOTAL ACTIVE")*'Production Inputs'!$CD:$CD),0)</f>
        <v>0</v>
      </c>
      <c r="H790" s="30">
        <f t="shared" si="84"/>
        <v>72.651747685185143</v>
      </c>
      <c r="I790" s="30">
        <f ca="1">IFERROR(AVERAGEIF(OFFSET(F790,0,0,MIN(Controls!$B$8,COUNTIF(B790:B$1973,B790)),1),"&gt;"&amp;0),0)</f>
        <v>0</v>
      </c>
      <c r="J790" s="38">
        <f t="shared" ca="1" si="85"/>
        <v>999</v>
      </c>
      <c r="K790" s="30">
        <f t="shared" ca="1" si="89"/>
        <v>0</v>
      </c>
      <c r="L790" t="str">
        <f t="shared" ca="1" si="86"/>
        <v>Overstock</v>
      </c>
      <c r="M790" s="39">
        <f>IFERROR(VLOOKUP("Drug Substance",Controls!A:I,7,0),6)</f>
        <v>12</v>
      </c>
      <c r="N790" s="39">
        <f>IFERROR(VLOOKUP("Drug Substance",Controls!A:I,8,0),3)</f>
        <v>9</v>
      </c>
      <c r="O790" s="39">
        <f>IFERROR(VLOOKUP("Drug Substance",Controls!A:I,9,0),18)</f>
        <v>18</v>
      </c>
      <c r="P790" s="40">
        <f>IFERROR(VLOOKUP("Drug Substance",Controls!A:J,5,0),0)</f>
        <v>4.3</v>
      </c>
      <c r="Q790" s="39">
        <f>IFERROR(VLOOKUP("Drug Substance",Controls!A:J,6,0),3)</f>
        <v>5</v>
      </c>
      <c r="R790" s="21" t="str">
        <f>IFERROR(VLOOKUP("Drug Substance",Controls!A:K,10,0),"")</f>
        <v>ST Pharm (Oligo P1 F2)</v>
      </c>
      <c r="S790" s="41">
        <f t="shared" si="87"/>
        <v>48030</v>
      </c>
      <c r="T790" s="30">
        <f t="shared" si="88"/>
        <v>0</v>
      </c>
      <c r="AB790">
        <f t="shared" si="90"/>
        <v>71.368252314814811</v>
      </c>
    </row>
    <row r="791" spans="1:28" ht="13" customHeight="1" x14ac:dyDescent="0.35">
      <c r="A791" s="153">
        <v>48214</v>
      </c>
      <c r="B791" s="36" t="s">
        <v>45</v>
      </c>
      <c r="C791" s="15" t="s">
        <v>47</v>
      </c>
      <c r="D791" s="15" t="s">
        <v>48</v>
      </c>
      <c r="E791" s="30">
        <f>H790</f>
        <v>72.651747685185143</v>
      </c>
      <c r="F791" s="37">
        <f>IFERROR('Production Inputs'!$CE$27*Dependencies!$D$6+'Production Inputs'!$CE$32*Dependencies!$D$9+'Production Inputs'!$CE$26*Dependencies!$D$8+'Production Inputs'!$CE$31*Dependencies!$D$10,0)</f>
        <v>0</v>
      </c>
      <c r="G791" s="37">
        <f t="array" ref="G791">IFERROR(SUMPRODUCT(('Production Inputs'!$A:$A="Drug Substance")*('Production Inputs'!$B:$B="TOTAL ACTIVE")*'Production Inputs'!$CE:$CE),0)</f>
        <v>0</v>
      </c>
      <c r="H791" s="30">
        <f t="shared" si="84"/>
        <v>72.651747685185143</v>
      </c>
      <c r="I791" s="30">
        <f ca="1">IFERROR(AVERAGEIF(OFFSET(F791,0,0,MIN(Controls!$B$8,COUNTIF(B791:B$1973,B791)),1),"&gt;"&amp;0),0)</f>
        <v>0</v>
      </c>
      <c r="J791" s="38">
        <f t="shared" ca="1" si="85"/>
        <v>999</v>
      </c>
      <c r="K791" s="30">
        <f t="shared" ca="1" si="89"/>
        <v>0</v>
      </c>
      <c r="L791" t="str">
        <f t="shared" ca="1" si="86"/>
        <v>Overstock</v>
      </c>
      <c r="M791" s="39">
        <f>IFERROR(VLOOKUP("Drug Substance",Controls!A:I,7,0),6)</f>
        <v>12</v>
      </c>
      <c r="N791" s="39">
        <f>IFERROR(VLOOKUP("Drug Substance",Controls!A:I,8,0),3)</f>
        <v>9</v>
      </c>
      <c r="O791" s="39">
        <f>IFERROR(VLOOKUP("Drug Substance",Controls!A:I,9,0),18)</f>
        <v>18</v>
      </c>
      <c r="P791" s="40">
        <f>IFERROR(VLOOKUP("Drug Substance",Controls!A:J,5,0),0)</f>
        <v>4.3</v>
      </c>
      <c r="Q791" s="39">
        <f>IFERROR(VLOOKUP("Drug Substance",Controls!A:J,6,0),3)</f>
        <v>5</v>
      </c>
      <c r="R791" s="21" t="str">
        <f>IFERROR(VLOOKUP("Drug Substance",Controls!A:K,10,0),"")</f>
        <v>ST Pharm (Oligo P1 F2)</v>
      </c>
      <c r="S791" s="41">
        <f t="shared" si="87"/>
        <v>48061</v>
      </c>
      <c r="T791" s="30">
        <f t="shared" si="88"/>
        <v>0</v>
      </c>
      <c r="AB791">
        <f t="shared" si="90"/>
        <v>71.368252314814811</v>
      </c>
    </row>
    <row r="792" spans="1:28" ht="13" customHeight="1" x14ac:dyDescent="0.35">
      <c r="A792" s="153">
        <v>48245</v>
      </c>
      <c r="B792" s="36" t="s">
        <v>45</v>
      </c>
      <c r="C792" s="15" t="s">
        <v>47</v>
      </c>
      <c r="D792" s="15" t="s">
        <v>48</v>
      </c>
      <c r="E792" s="30">
        <f>H791</f>
        <v>72.651747685185143</v>
      </c>
      <c r="F792" s="37">
        <f>IFERROR('Production Inputs'!$CF$27*Dependencies!$D$6+'Production Inputs'!$CF$32*Dependencies!$D$9+'Production Inputs'!$CF$26*Dependencies!$D$8+'Production Inputs'!$CF$31*Dependencies!$D$10,0)</f>
        <v>0</v>
      </c>
      <c r="G792" s="37">
        <f t="array" ref="G792">IFERROR(SUMPRODUCT(('Production Inputs'!$A:$A="Drug Substance")*('Production Inputs'!$B:$B="TOTAL ACTIVE")*'Production Inputs'!$CF:$CF),0)</f>
        <v>0</v>
      </c>
      <c r="H792" s="30">
        <f t="shared" si="84"/>
        <v>72.651747685185143</v>
      </c>
      <c r="I792" s="30">
        <f ca="1">IFERROR(AVERAGEIF(OFFSET(F792,0,0,MIN(Controls!$B$8,COUNTIF(B792:B$1973,B792)),1),"&gt;"&amp;0),0)</f>
        <v>0</v>
      </c>
      <c r="J792" s="38">
        <f t="shared" ca="1" si="85"/>
        <v>999</v>
      </c>
      <c r="K792" s="30">
        <f t="shared" ca="1" si="89"/>
        <v>0</v>
      </c>
      <c r="L792" t="str">
        <f t="shared" ca="1" si="86"/>
        <v>Overstock</v>
      </c>
      <c r="M792" s="39">
        <f>IFERROR(VLOOKUP("Drug Substance",Controls!A:I,7,0),6)</f>
        <v>12</v>
      </c>
      <c r="N792" s="39">
        <f>IFERROR(VLOOKUP("Drug Substance",Controls!A:I,8,0),3)</f>
        <v>9</v>
      </c>
      <c r="O792" s="39">
        <f>IFERROR(VLOOKUP("Drug Substance",Controls!A:I,9,0),18)</f>
        <v>18</v>
      </c>
      <c r="P792" s="40">
        <f>IFERROR(VLOOKUP("Drug Substance",Controls!A:J,5,0),0)</f>
        <v>4.3</v>
      </c>
      <c r="Q792" s="39">
        <f>IFERROR(VLOOKUP("Drug Substance",Controls!A:J,6,0),3)</f>
        <v>5</v>
      </c>
      <c r="R792" s="21" t="str">
        <f>IFERROR(VLOOKUP("Drug Substance",Controls!A:K,10,0),"")</f>
        <v>ST Pharm (Oligo P1 F2)</v>
      </c>
      <c r="S792" s="41">
        <f t="shared" si="87"/>
        <v>48092</v>
      </c>
      <c r="T792" s="30">
        <f t="shared" si="88"/>
        <v>0</v>
      </c>
      <c r="AB792">
        <f t="shared" si="90"/>
        <v>71.368252314814811</v>
      </c>
    </row>
    <row r="793" spans="1:28" ht="13" customHeight="1" x14ac:dyDescent="0.35">
      <c r="A793" s="153">
        <v>48274</v>
      </c>
      <c r="B793" s="36" t="s">
        <v>45</v>
      </c>
      <c r="C793" s="15" t="s">
        <v>47</v>
      </c>
      <c r="D793" s="15" t="s">
        <v>48</v>
      </c>
      <c r="E793" s="30">
        <f>H792</f>
        <v>72.651747685185143</v>
      </c>
      <c r="F793" s="37">
        <f>IFERROR('Production Inputs'!$CG$27*Dependencies!$D$6+'Production Inputs'!$CG$32*Dependencies!$D$9+'Production Inputs'!$CG$26*Dependencies!$D$8+'Production Inputs'!$CG$31*Dependencies!$D$10,0)</f>
        <v>0</v>
      </c>
      <c r="G793" s="37">
        <f t="array" ref="G793">IFERROR(SUMPRODUCT(('Production Inputs'!$A:$A="Drug Substance")*('Production Inputs'!$B:$B="TOTAL ACTIVE")*'Production Inputs'!$CG:$CG),0)</f>
        <v>0</v>
      </c>
      <c r="H793" s="30">
        <f t="shared" si="84"/>
        <v>72.651747685185143</v>
      </c>
      <c r="I793" s="30">
        <f ca="1">IFERROR(AVERAGEIF(OFFSET(F793,0,0,MIN(Controls!$B$8,COUNTIF(B793:B$1973,B793)),1),"&gt;"&amp;0),0)</f>
        <v>0</v>
      </c>
      <c r="J793" s="38">
        <f t="shared" ca="1" si="85"/>
        <v>999</v>
      </c>
      <c r="K793" s="30">
        <f t="shared" ca="1" si="89"/>
        <v>0</v>
      </c>
      <c r="L793" t="str">
        <f t="shared" ca="1" si="86"/>
        <v>Overstock</v>
      </c>
      <c r="M793" s="39">
        <f>IFERROR(VLOOKUP("Drug Substance",Controls!A:I,7,0),6)</f>
        <v>12</v>
      </c>
      <c r="N793" s="39">
        <f>IFERROR(VLOOKUP("Drug Substance",Controls!A:I,8,0),3)</f>
        <v>9</v>
      </c>
      <c r="O793" s="39">
        <f>IFERROR(VLOOKUP("Drug Substance",Controls!A:I,9,0),18)</f>
        <v>18</v>
      </c>
      <c r="P793" s="40">
        <f>IFERROR(VLOOKUP("Drug Substance",Controls!A:J,5,0),0)</f>
        <v>4.3</v>
      </c>
      <c r="Q793" s="39">
        <f>IFERROR(VLOOKUP("Drug Substance",Controls!A:J,6,0),3)</f>
        <v>5</v>
      </c>
      <c r="R793" s="21" t="str">
        <f>IFERROR(VLOOKUP("Drug Substance",Controls!A:K,10,0),"")</f>
        <v>ST Pharm (Oligo P1 F2)</v>
      </c>
      <c r="S793" s="41">
        <f t="shared" si="87"/>
        <v>48122</v>
      </c>
      <c r="T793" s="30">
        <f t="shared" si="88"/>
        <v>0</v>
      </c>
      <c r="AB793">
        <f t="shared" si="90"/>
        <v>71.368252314814811</v>
      </c>
    </row>
    <row r="794" spans="1:28" ht="13" customHeight="1" x14ac:dyDescent="0.35">
      <c r="A794" s="153">
        <v>48305</v>
      </c>
      <c r="B794" s="36" t="s">
        <v>45</v>
      </c>
      <c r="C794" s="15" t="s">
        <v>47</v>
      </c>
      <c r="D794" s="15" t="s">
        <v>48</v>
      </c>
      <c r="E794" s="30">
        <f>H793</f>
        <v>72.651747685185143</v>
      </c>
      <c r="F794" s="37">
        <f>IFERROR('Production Inputs'!$CH$27*Dependencies!$D$6+'Production Inputs'!$CH$32*Dependencies!$D$9+'Production Inputs'!$CH$26*Dependencies!$D$8+'Production Inputs'!$CH$31*Dependencies!$D$10,0)</f>
        <v>0</v>
      </c>
      <c r="G794" s="37">
        <f t="array" ref="G794">IFERROR(SUMPRODUCT(('Production Inputs'!$A:$A="Drug Substance")*('Production Inputs'!$B:$B="TOTAL ACTIVE")*'Production Inputs'!$CH:$CH),0)</f>
        <v>0</v>
      </c>
      <c r="H794" s="30">
        <f t="shared" si="84"/>
        <v>72.651747685185143</v>
      </c>
      <c r="I794" s="30">
        <f ca="1">IFERROR(AVERAGEIF(OFFSET(F794,0,0,MIN(Controls!$B$8,COUNTIF(B794:B$1973,B794)),1),"&gt;"&amp;0),0)</f>
        <v>0</v>
      </c>
      <c r="J794" s="38">
        <f t="shared" ca="1" si="85"/>
        <v>999</v>
      </c>
      <c r="K794" s="30">
        <f t="shared" ca="1" si="89"/>
        <v>0</v>
      </c>
      <c r="L794" t="str">
        <f t="shared" ca="1" si="86"/>
        <v>Overstock</v>
      </c>
      <c r="M794" s="39">
        <f>IFERROR(VLOOKUP("Drug Substance",Controls!A:I,7,0),6)</f>
        <v>12</v>
      </c>
      <c r="N794" s="39">
        <f>IFERROR(VLOOKUP("Drug Substance",Controls!A:I,8,0),3)</f>
        <v>9</v>
      </c>
      <c r="O794" s="39">
        <f>IFERROR(VLOOKUP("Drug Substance",Controls!A:I,9,0),18)</f>
        <v>18</v>
      </c>
      <c r="P794" s="40">
        <f>IFERROR(VLOOKUP("Drug Substance",Controls!A:J,5,0),0)</f>
        <v>4.3</v>
      </c>
      <c r="Q794" s="39">
        <f>IFERROR(VLOOKUP("Drug Substance",Controls!A:J,6,0),3)</f>
        <v>5</v>
      </c>
      <c r="R794" s="21" t="str">
        <f>IFERROR(VLOOKUP("Drug Substance",Controls!A:K,10,0),"")</f>
        <v>ST Pharm (Oligo P1 F2)</v>
      </c>
      <c r="S794" s="41">
        <f t="shared" si="87"/>
        <v>48153</v>
      </c>
      <c r="T794" s="30">
        <f t="shared" si="88"/>
        <v>0</v>
      </c>
      <c r="AB794">
        <f t="shared" si="90"/>
        <v>71.368252314814811</v>
      </c>
    </row>
    <row r="795" spans="1:28" ht="13" customHeight="1" x14ac:dyDescent="0.35">
      <c r="A795" s="153">
        <v>48335</v>
      </c>
      <c r="B795" s="36" t="s">
        <v>45</v>
      </c>
      <c r="C795" s="15" t="s">
        <v>47</v>
      </c>
      <c r="D795" s="15" t="s">
        <v>48</v>
      </c>
      <c r="E795" s="30">
        <f>H794</f>
        <v>72.651747685185143</v>
      </c>
      <c r="F795" s="37">
        <f>IFERROR('Production Inputs'!$CI$27*Dependencies!$D$6+'Production Inputs'!$CI$32*Dependencies!$D$9+'Production Inputs'!$CI$26*Dependencies!$D$8+'Production Inputs'!$CI$31*Dependencies!$D$10,0)</f>
        <v>0</v>
      </c>
      <c r="G795" s="37">
        <f t="array" ref="G795">IFERROR(SUMPRODUCT(('Production Inputs'!$A:$A="Drug Substance")*('Production Inputs'!$B:$B="TOTAL ACTIVE")*'Production Inputs'!$CI:$CI),0)</f>
        <v>0</v>
      </c>
      <c r="H795" s="30">
        <f t="shared" si="84"/>
        <v>72.651747685185143</v>
      </c>
      <c r="I795" s="30">
        <f ca="1">IFERROR(AVERAGEIF(OFFSET(F795,0,0,MIN(Controls!$B$8,COUNTIF(B795:B$1973,B795)),1),"&gt;"&amp;0),0)</f>
        <v>0</v>
      </c>
      <c r="J795" s="38">
        <f t="shared" ca="1" si="85"/>
        <v>999</v>
      </c>
      <c r="K795" s="30">
        <f t="shared" ca="1" si="89"/>
        <v>0</v>
      </c>
      <c r="L795" t="str">
        <f t="shared" ca="1" si="86"/>
        <v>Overstock</v>
      </c>
      <c r="M795" s="39">
        <f>IFERROR(VLOOKUP("Drug Substance",Controls!A:I,7,0),6)</f>
        <v>12</v>
      </c>
      <c r="N795" s="39">
        <f>IFERROR(VLOOKUP("Drug Substance",Controls!A:I,8,0),3)</f>
        <v>9</v>
      </c>
      <c r="O795" s="39">
        <f>IFERROR(VLOOKUP("Drug Substance",Controls!A:I,9,0),18)</f>
        <v>18</v>
      </c>
      <c r="P795" s="40">
        <f>IFERROR(VLOOKUP("Drug Substance",Controls!A:J,5,0),0)</f>
        <v>4.3</v>
      </c>
      <c r="Q795" s="39">
        <f>IFERROR(VLOOKUP("Drug Substance",Controls!A:J,6,0),3)</f>
        <v>5</v>
      </c>
      <c r="R795" s="21" t="str">
        <f>IFERROR(VLOOKUP("Drug Substance",Controls!A:K,10,0),"")</f>
        <v>ST Pharm (Oligo P1 F2)</v>
      </c>
      <c r="S795" s="41">
        <f t="shared" si="87"/>
        <v>48183</v>
      </c>
      <c r="T795" s="30">
        <f t="shared" si="88"/>
        <v>0</v>
      </c>
      <c r="AB795">
        <f t="shared" si="90"/>
        <v>71.368252314814811</v>
      </c>
    </row>
    <row r="796" spans="1:28" ht="13" customHeight="1" x14ac:dyDescent="0.35">
      <c r="A796" s="153">
        <v>48366</v>
      </c>
      <c r="B796" s="36" t="s">
        <v>45</v>
      </c>
      <c r="C796" s="15" t="s">
        <v>47</v>
      </c>
      <c r="D796" s="15" t="s">
        <v>48</v>
      </c>
      <c r="E796" s="30">
        <f>H795</f>
        <v>72.651747685185143</v>
      </c>
      <c r="F796" s="37">
        <f>IFERROR('Production Inputs'!$CJ$27*Dependencies!$D$6+'Production Inputs'!$CJ$32*Dependencies!$D$9+'Production Inputs'!$CJ$26*Dependencies!$D$8+'Production Inputs'!$CJ$31*Dependencies!$D$10,0)</f>
        <v>0</v>
      </c>
      <c r="G796" s="37">
        <f t="array" ref="G796">IFERROR(SUMPRODUCT(('Production Inputs'!$A:$A="Drug Substance")*('Production Inputs'!$B:$B="TOTAL ACTIVE")*'Production Inputs'!$CJ:$CJ),0)</f>
        <v>0</v>
      </c>
      <c r="H796" s="30">
        <f t="shared" si="84"/>
        <v>72.651747685185143</v>
      </c>
      <c r="I796" s="30">
        <f ca="1">IFERROR(AVERAGEIF(OFFSET(F796,0,0,MIN(Controls!$B$8,COUNTIF(B796:B$1973,B796)),1),"&gt;"&amp;0),0)</f>
        <v>0</v>
      </c>
      <c r="J796" s="38">
        <f t="shared" ca="1" si="85"/>
        <v>999</v>
      </c>
      <c r="K796" s="30">
        <f t="shared" ca="1" si="89"/>
        <v>0</v>
      </c>
      <c r="L796" t="str">
        <f t="shared" ca="1" si="86"/>
        <v>Overstock</v>
      </c>
      <c r="M796" s="39">
        <f>IFERROR(VLOOKUP("Drug Substance",Controls!A:I,7,0),6)</f>
        <v>12</v>
      </c>
      <c r="N796" s="39">
        <f>IFERROR(VLOOKUP("Drug Substance",Controls!A:I,8,0),3)</f>
        <v>9</v>
      </c>
      <c r="O796" s="39">
        <f>IFERROR(VLOOKUP("Drug Substance",Controls!A:I,9,0),18)</f>
        <v>18</v>
      </c>
      <c r="P796" s="40">
        <f>IFERROR(VLOOKUP("Drug Substance",Controls!A:J,5,0),0)</f>
        <v>4.3</v>
      </c>
      <c r="Q796" s="39">
        <f>IFERROR(VLOOKUP("Drug Substance",Controls!A:J,6,0),3)</f>
        <v>5</v>
      </c>
      <c r="R796" s="21" t="str">
        <f>IFERROR(VLOOKUP("Drug Substance",Controls!A:K,10,0),"")</f>
        <v>ST Pharm (Oligo P1 F2)</v>
      </c>
      <c r="S796" s="41">
        <f t="shared" si="87"/>
        <v>48214</v>
      </c>
      <c r="T796" s="30">
        <f t="shared" si="88"/>
        <v>0</v>
      </c>
      <c r="AB796">
        <f t="shared" si="90"/>
        <v>71.368252314814811</v>
      </c>
    </row>
    <row r="797" spans="1:28" ht="13" customHeight="1" x14ac:dyDescent="0.35">
      <c r="A797" s="153">
        <v>48396</v>
      </c>
      <c r="B797" s="36" t="s">
        <v>45</v>
      </c>
      <c r="C797" s="15" t="s">
        <v>47</v>
      </c>
      <c r="D797" s="15" t="s">
        <v>48</v>
      </c>
      <c r="E797" s="30">
        <f>H796</f>
        <v>72.651747685185143</v>
      </c>
      <c r="F797" s="37">
        <f>IFERROR('Production Inputs'!$CK$27*Dependencies!$D$6+'Production Inputs'!$CK$32*Dependencies!$D$9+'Production Inputs'!$CK$26*Dependencies!$D$8+'Production Inputs'!$CK$31*Dependencies!$D$10,0)</f>
        <v>0</v>
      </c>
      <c r="G797" s="37">
        <f t="array" ref="G797">IFERROR(SUMPRODUCT(('Production Inputs'!$A:$A="Drug Substance")*('Production Inputs'!$B:$B="TOTAL ACTIVE")*'Production Inputs'!$CK:$CK),0)</f>
        <v>0</v>
      </c>
      <c r="H797" s="30">
        <f t="shared" si="84"/>
        <v>72.651747685185143</v>
      </c>
      <c r="I797" s="30">
        <f ca="1">IFERROR(AVERAGEIF(OFFSET(F797,0,0,MIN(Controls!$B$8,COUNTIF(B797:B$1973,B797)),1),"&gt;"&amp;0),0)</f>
        <v>0</v>
      </c>
      <c r="J797" s="38">
        <f t="shared" ca="1" si="85"/>
        <v>999</v>
      </c>
      <c r="K797" s="30">
        <f t="shared" ca="1" si="89"/>
        <v>0</v>
      </c>
      <c r="L797" t="str">
        <f t="shared" ca="1" si="86"/>
        <v>Overstock</v>
      </c>
      <c r="M797" s="39">
        <f>IFERROR(VLOOKUP("Drug Substance",Controls!A:I,7,0),6)</f>
        <v>12</v>
      </c>
      <c r="N797" s="39">
        <f>IFERROR(VLOOKUP("Drug Substance",Controls!A:I,8,0),3)</f>
        <v>9</v>
      </c>
      <c r="O797" s="39">
        <f>IFERROR(VLOOKUP("Drug Substance",Controls!A:I,9,0),18)</f>
        <v>18</v>
      </c>
      <c r="P797" s="40">
        <f>IFERROR(VLOOKUP("Drug Substance",Controls!A:J,5,0),0)</f>
        <v>4.3</v>
      </c>
      <c r="Q797" s="39">
        <f>IFERROR(VLOOKUP("Drug Substance",Controls!A:J,6,0),3)</f>
        <v>5</v>
      </c>
      <c r="R797" s="21" t="str">
        <f>IFERROR(VLOOKUP("Drug Substance",Controls!A:K,10,0),"")</f>
        <v>ST Pharm (Oligo P1 F2)</v>
      </c>
      <c r="S797" s="41">
        <f t="shared" si="87"/>
        <v>48245</v>
      </c>
      <c r="T797" s="30">
        <f t="shared" si="88"/>
        <v>0</v>
      </c>
      <c r="AB797">
        <f t="shared" si="90"/>
        <v>71.368252314814811</v>
      </c>
    </row>
    <row r="798" spans="1:28" ht="13" customHeight="1" x14ac:dyDescent="0.35">
      <c r="A798" s="153">
        <v>48427</v>
      </c>
      <c r="B798" s="36" t="s">
        <v>45</v>
      </c>
      <c r="C798" s="15" t="s">
        <v>47</v>
      </c>
      <c r="D798" s="15" t="s">
        <v>48</v>
      </c>
      <c r="E798" s="30">
        <f>H797</f>
        <v>72.651747685185143</v>
      </c>
      <c r="F798" s="37">
        <f>IFERROR('Production Inputs'!$CL$27*Dependencies!$D$6+'Production Inputs'!$CL$32*Dependencies!$D$9+'Production Inputs'!$CL$26*Dependencies!$D$8+'Production Inputs'!$CL$31*Dependencies!$D$10,0)</f>
        <v>0</v>
      </c>
      <c r="G798" s="37">
        <f t="array" ref="G798">IFERROR(SUMPRODUCT(('Production Inputs'!$A:$A="Drug Substance")*('Production Inputs'!$B:$B="TOTAL ACTIVE")*'Production Inputs'!$CL:$CL),0)</f>
        <v>0</v>
      </c>
      <c r="H798" s="30">
        <f t="shared" si="84"/>
        <v>72.651747685185143</v>
      </c>
      <c r="I798" s="30">
        <f ca="1">IFERROR(AVERAGEIF(OFFSET(F798,0,0,MIN(Controls!$B$8,COUNTIF(B798:B$1973,B798)),1),"&gt;"&amp;0),0)</f>
        <v>0</v>
      </c>
      <c r="J798" s="38">
        <f t="shared" ca="1" si="85"/>
        <v>999</v>
      </c>
      <c r="K798" s="30">
        <f t="shared" ca="1" si="89"/>
        <v>0</v>
      </c>
      <c r="L798" t="str">
        <f t="shared" ca="1" si="86"/>
        <v>Overstock</v>
      </c>
      <c r="M798" s="39">
        <f>IFERROR(VLOOKUP("Drug Substance",Controls!A:I,7,0),6)</f>
        <v>12</v>
      </c>
      <c r="N798" s="39">
        <f>IFERROR(VLOOKUP("Drug Substance",Controls!A:I,8,0),3)</f>
        <v>9</v>
      </c>
      <c r="O798" s="39">
        <f>IFERROR(VLOOKUP("Drug Substance",Controls!A:I,9,0),18)</f>
        <v>18</v>
      </c>
      <c r="P798" s="40">
        <f>IFERROR(VLOOKUP("Drug Substance",Controls!A:J,5,0),0)</f>
        <v>4.3</v>
      </c>
      <c r="Q798" s="39">
        <f>IFERROR(VLOOKUP("Drug Substance",Controls!A:J,6,0),3)</f>
        <v>5</v>
      </c>
      <c r="R798" s="21" t="str">
        <f>IFERROR(VLOOKUP("Drug Substance",Controls!A:K,10,0),"")</f>
        <v>ST Pharm (Oligo P1 F2)</v>
      </c>
      <c r="S798" s="41">
        <f t="shared" si="87"/>
        <v>48274</v>
      </c>
      <c r="T798" s="30">
        <f t="shared" si="88"/>
        <v>0</v>
      </c>
      <c r="AB798">
        <f t="shared" si="90"/>
        <v>71.368252314814811</v>
      </c>
    </row>
    <row r="799" spans="1:28" ht="13" customHeight="1" x14ac:dyDescent="0.35">
      <c r="A799" s="153">
        <v>48458</v>
      </c>
      <c r="B799" s="36" t="s">
        <v>45</v>
      </c>
      <c r="C799" s="15" t="s">
        <v>47</v>
      </c>
      <c r="D799" s="15" t="s">
        <v>48</v>
      </c>
      <c r="E799" s="30">
        <f>H798</f>
        <v>72.651747685185143</v>
      </c>
      <c r="F799" s="37">
        <f>IFERROR('Production Inputs'!$CM$27*Dependencies!$D$6+'Production Inputs'!$CM$32*Dependencies!$D$9+'Production Inputs'!$CM$26*Dependencies!$D$8+'Production Inputs'!$CM$31*Dependencies!$D$10,0)</f>
        <v>0</v>
      </c>
      <c r="G799" s="37">
        <f t="array" ref="G799">IFERROR(SUMPRODUCT(('Production Inputs'!$A:$A="Drug Substance")*('Production Inputs'!$B:$B="TOTAL ACTIVE")*'Production Inputs'!$CM:$CM),0)</f>
        <v>0</v>
      </c>
      <c r="H799" s="30">
        <f t="shared" si="84"/>
        <v>72.651747685185143</v>
      </c>
      <c r="I799" s="30">
        <f ca="1">IFERROR(AVERAGEIF(OFFSET(F799,0,0,MIN(Controls!$B$8,COUNTIF(B799:B$1973,B799)),1),"&gt;"&amp;0),0)</f>
        <v>0</v>
      </c>
      <c r="J799" s="38">
        <f t="shared" ca="1" si="85"/>
        <v>999</v>
      </c>
      <c r="K799" s="30">
        <f t="shared" ca="1" si="89"/>
        <v>0</v>
      </c>
      <c r="L799" t="str">
        <f t="shared" ca="1" si="86"/>
        <v>Overstock</v>
      </c>
      <c r="M799" s="39">
        <f>IFERROR(VLOOKUP("Drug Substance",Controls!A:I,7,0),6)</f>
        <v>12</v>
      </c>
      <c r="N799" s="39">
        <f>IFERROR(VLOOKUP("Drug Substance",Controls!A:I,8,0),3)</f>
        <v>9</v>
      </c>
      <c r="O799" s="39">
        <f>IFERROR(VLOOKUP("Drug Substance",Controls!A:I,9,0),18)</f>
        <v>18</v>
      </c>
      <c r="P799" s="40">
        <f>IFERROR(VLOOKUP("Drug Substance",Controls!A:J,5,0),0)</f>
        <v>4.3</v>
      </c>
      <c r="Q799" s="39">
        <f>IFERROR(VLOOKUP("Drug Substance",Controls!A:J,6,0),3)</f>
        <v>5</v>
      </c>
      <c r="R799" s="21" t="str">
        <f>IFERROR(VLOOKUP("Drug Substance",Controls!A:K,10,0),"")</f>
        <v>ST Pharm (Oligo P1 F2)</v>
      </c>
      <c r="S799" s="41">
        <f t="shared" si="87"/>
        <v>48305</v>
      </c>
      <c r="T799" s="30">
        <f t="shared" si="88"/>
        <v>0</v>
      </c>
      <c r="AB799">
        <f t="shared" si="90"/>
        <v>71.368252314814811</v>
      </c>
    </row>
    <row r="800" spans="1:28" ht="13" customHeight="1" x14ac:dyDescent="0.35">
      <c r="A800" s="153">
        <v>48488</v>
      </c>
      <c r="B800" s="36" t="s">
        <v>45</v>
      </c>
      <c r="C800" s="15" t="s">
        <v>47</v>
      </c>
      <c r="D800" s="15" t="s">
        <v>48</v>
      </c>
      <c r="E800" s="30">
        <f>H799</f>
        <v>72.651747685185143</v>
      </c>
      <c r="F800" s="37">
        <f>IFERROR('Production Inputs'!$CN$27*Dependencies!$D$6+'Production Inputs'!$CN$32*Dependencies!$D$9+'Production Inputs'!$CN$26*Dependencies!$D$8+'Production Inputs'!$CN$31*Dependencies!$D$10,0)</f>
        <v>0</v>
      </c>
      <c r="G800" s="37">
        <f t="array" ref="G800">IFERROR(SUMPRODUCT(('Production Inputs'!$A:$A="Drug Substance")*('Production Inputs'!$B:$B="TOTAL ACTIVE")*'Production Inputs'!$CN:$CN),0)</f>
        <v>0</v>
      </c>
      <c r="H800" s="30">
        <f t="shared" si="84"/>
        <v>72.651747685185143</v>
      </c>
      <c r="I800" s="30">
        <f ca="1">IFERROR(AVERAGEIF(OFFSET(F800,0,0,MIN(Controls!$B$8,COUNTIF(B800:B$1973,B800)),1),"&gt;"&amp;0),0)</f>
        <v>0</v>
      </c>
      <c r="J800" s="38">
        <f t="shared" ca="1" si="85"/>
        <v>999</v>
      </c>
      <c r="K800" s="30">
        <f t="shared" ca="1" si="89"/>
        <v>0</v>
      </c>
      <c r="L800" t="str">
        <f t="shared" ca="1" si="86"/>
        <v>Overstock</v>
      </c>
      <c r="M800" s="39">
        <f>IFERROR(VLOOKUP("Drug Substance",Controls!A:I,7,0),6)</f>
        <v>12</v>
      </c>
      <c r="N800" s="39">
        <f>IFERROR(VLOOKUP("Drug Substance",Controls!A:I,8,0),3)</f>
        <v>9</v>
      </c>
      <c r="O800" s="39">
        <f>IFERROR(VLOOKUP("Drug Substance",Controls!A:I,9,0),18)</f>
        <v>18</v>
      </c>
      <c r="P800" s="40">
        <f>IFERROR(VLOOKUP("Drug Substance",Controls!A:J,5,0),0)</f>
        <v>4.3</v>
      </c>
      <c r="Q800" s="39">
        <f>IFERROR(VLOOKUP("Drug Substance",Controls!A:J,6,0),3)</f>
        <v>5</v>
      </c>
      <c r="R800" s="21" t="str">
        <f>IFERROR(VLOOKUP("Drug Substance",Controls!A:K,10,0),"")</f>
        <v>ST Pharm (Oligo P1 F2)</v>
      </c>
      <c r="S800" s="41">
        <f t="shared" si="87"/>
        <v>48335</v>
      </c>
      <c r="T800" s="30">
        <f t="shared" si="88"/>
        <v>0</v>
      </c>
      <c r="AB800">
        <f t="shared" si="90"/>
        <v>71.368252314814811</v>
      </c>
    </row>
    <row r="801" spans="1:28" ht="13" customHeight="1" x14ac:dyDescent="0.35">
      <c r="A801" s="153">
        <v>48519</v>
      </c>
      <c r="B801" s="36" t="s">
        <v>45</v>
      </c>
      <c r="C801" s="15" t="s">
        <v>47</v>
      </c>
      <c r="D801" s="15" t="s">
        <v>48</v>
      </c>
      <c r="E801" s="30">
        <f>H800</f>
        <v>72.651747685185143</v>
      </c>
      <c r="F801" s="37">
        <f>IFERROR('Production Inputs'!$CO$27*Dependencies!$D$6+'Production Inputs'!$CO$32*Dependencies!$D$9+'Production Inputs'!$CO$26*Dependencies!$D$8+'Production Inputs'!$CO$31*Dependencies!$D$10,0)</f>
        <v>0</v>
      </c>
      <c r="G801" s="37">
        <f t="array" ref="G801">IFERROR(SUMPRODUCT(('Production Inputs'!$A:$A="Drug Substance")*('Production Inputs'!$B:$B="TOTAL ACTIVE")*'Production Inputs'!$CO:$CO),0)</f>
        <v>0</v>
      </c>
      <c r="H801" s="30">
        <f t="shared" si="84"/>
        <v>72.651747685185143</v>
      </c>
      <c r="I801" s="30">
        <f ca="1">IFERROR(AVERAGEIF(OFFSET(F801,0,0,MIN(Controls!$B$8,COUNTIF(B801:B$1973,B801)),1),"&gt;"&amp;0),0)</f>
        <v>0</v>
      </c>
      <c r="J801" s="38">
        <f t="shared" ca="1" si="85"/>
        <v>999</v>
      </c>
      <c r="K801" s="30">
        <f t="shared" ca="1" si="89"/>
        <v>0</v>
      </c>
      <c r="L801" t="str">
        <f t="shared" ca="1" si="86"/>
        <v>Overstock</v>
      </c>
      <c r="M801" s="39">
        <f>IFERROR(VLOOKUP("Drug Substance",Controls!A:I,7,0),6)</f>
        <v>12</v>
      </c>
      <c r="N801" s="39">
        <f>IFERROR(VLOOKUP("Drug Substance",Controls!A:I,8,0),3)</f>
        <v>9</v>
      </c>
      <c r="O801" s="39">
        <f>IFERROR(VLOOKUP("Drug Substance",Controls!A:I,9,0),18)</f>
        <v>18</v>
      </c>
      <c r="P801" s="40">
        <f>IFERROR(VLOOKUP("Drug Substance",Controls!A:J,5,0),0)</f>
        <v>4.3</v>
      </c>
      <c r="Q801" s="39">
        <f>IFERROR(VLOOKUP("Drug Substance",Controls!A:J,6,0),3)</f>
        <v>5</v>
      </c>
      <c r="R801" s="21" t="str">
        <f>IFERROR(VLOOKUP("Drug Substance",Controls!A:K,10,0),"")</f>
        <v>ST Pharm (Oligo P1 F2)</v>
      </c>
      <c r="S801" s="41">
        <f t="shared" si="87"/>
        <v>48366</v>
      </c>
      <c r="T801" s="30">
        <f t="shared" si="88"/>
        <v>0</v>
      </c>
      <c r="AB801">
        <f t="shared" si="90"/>
        <v>71.368252314814811</v>
      </c>
    </row>
    <row r="802" spans="1:28" ht="13" customHeight="1" x14ac:dyDescent="0.35">
      <c r="A802" s="153">
        <v>48549</v>
      </c>
      <c r="B802" s="36" t="s">
        <v>45</v>
      </c>
      <c r="C802" s="15" t="s">
        <v>47</v>
      </c>
      <c r="D802" s="15" t="s">
        <v>48</v>
      </c>
      <c r="E802" s="30">
        <f>H801</f>
        <v>72.651747685185143</v>
      </c>
      <c r="F802" s="37">
        <f>IFERROR('Production Inputs'!$CP$27*Dependencies!$D$6+'Production Inputs'!$CP$32*Dependencies!$D$9+'Production Inputs'!$CP$26*Dependencies!$D$8+'Production Inputs'!$CP$31*Dependencies!$D$10,0)</f>
        <v>0</v>
      </c>
      <c r="G802" s="37">
        <f t="array" ref="G802">IFERROR(SUMPRODUCT(('Production Inputs'!$A:$A="Drug Substance")*('Production Inputs'!$B:$B="TOTAL ACTIVE")*'Production Inputs'!$CP:$CP),0)</f>
        <v>0</v>
      </c>
      <c r="H802" s="30">
        <f t="shared" si="84"/>
        <v>72.651747685185143</v>
      </c>
      <c r="I802" s="30">
        <f ca="1">IFERROR(AVERAGEIF(OFFSET(F802,0,0,MIN(Controls!$B$8,COUNTIF(B802:B$1973,B802)),1),"&gt;"&amp;0),0)</f>
        <v>0</v>
      </c>
      <c r="J802" s="38">
        <f t="shared" ca="1" si="85"/>
        <v>999</v>
      </c>
      <c r="K802" s="30">
        <f t="shared" ca="1" si="89"/>
        <v>0</v>
      </c>
      <c r="L802" t="str">
        <f t="shared" ca="1" si="86"/>
        <v>Overstock</v>
      </c>
      <c r="M802" s="39">
        <f>IFERROR(VLOOKUP("Drug Substance",Controls!A:I,7,0),6)</f>
        <v>12</v>
      </c>
      <c r="N802" s="39">
        <f>IFERROR(VLOOKUP("Drug Substance",Controls!A:I,8,0),3)</f>
        <v>9</v>
      </c>
      <c r="O802" s="39">
        <f>IFERROR(VLOOKUP("Drug Substance",Controls!A:I,9,0),18)</f>
        <v>18</v>
      </c>
      <c r="P802" s="40">
        <f>IFERROR(VLOOKUP("Drug Substance",Controls!A:J,5,0),0)</f>
        <v>4.3</v>
      </c>
      <c r="Q802" s="39">
        <f>IFERROR(VLOOKUP("Drug Substance",Controls!A:J,6,0),3)</f>
        <v>5</v>
      </c>
      <c r="R802" s="21" t="str">
        <f>IFERROR(VLOOKUP("Drug Substance",Controls!A:K,10,0),"")</f>
        <v>ST Pharm (Oligo P1 F2)</v>
      </c>
      <c r="S802" s="41">
        <f t="shared" si="87"/>
        <v>48396</v>
      </c>
      <c r="T802" s="30">
        <f t="shared" si="88"/>
        <v>0</v>
      </c>
      <c r="AB802">
        <f t="shared" si="90"/>
        <v>71.368252314814811</v>
      </c>
    </row>
    <row r="803" spans="1:28" ht="13" customHeight="1" x14ac:dyDescent="0.35">
      <c r="A803" s="153">
        <v>48580</v>
      </c>
      <c r="B803" s="36" t="s">
        <v>45</v>
      </c>
      <c r="C803" s="15" t="s">
        <v>47</v>
      </c>
      <c r="D803" s="15" t="s">
        <v>48</v>
      </c>
      <c r="E803" s="30">
        <f>H802</f>
        <v>72.651747685185143</v>
      </c>
      <c r="F803" s="37">
        <f>IFERROR('Production Inputs'!$CQ$27*Dependencies!$D$6+'Production Inputs'!$CQ$32*Dependencies!$D$9+'Production Inputs'!$CQ$26*Dependencies!$D$8+'Production Inputs'!$CQ$31*Dependencies!$D$10,0)</f>
        <v>0</v>
      </c>
      <c r="G803" s="37">
        <f t="array" ref="G803">IFERROR(SUMPRODUCT(('Production Inputs'!$A:$A="Drug Substance")*('Production Inputs'!$B:$B="TOTAL ACTIVE")*'Production Inputs'!$CQ:$CQ),0)</f>
        <v>0</v>
      </c>
      <c r="H803" s="30">
        <f t="shared" si="84"/>
        <v>72.651747685185143</v>
      </c>
      <c r="I803" s="30">
        <f ca="1">IFERROR(AVERAGEIF(OFFSET(F803,0,0,MIN(Controls!$B$8,COUNTIF(B803:B$1973,B803)),1),"&gt;"&amp;0),0)</f>
        <v>0</v>
      </c>
      <c r="J803" s="38">
        <f t="shared" ca="1" si="85"/>
        <v>999</v>
      </c>
      <c r="K803" s="30">
        <f t="shared" ca="1" si="89"/>
        <v>0</v>
      </c>
      <c r="L803" t="str">
        <f t="shared" ca="1" si="86"/>
        <v>Overstock</v>
      </c>
      <c r="M803" s="39">
        <f>IFERROR(VLOOKUP("Drug Substance",Controls!A:I,7,0),6)</f>
        <v>12</v>
      </c>
      <c r="N803" s="39">
        <f>IFERROR(VLOOKUP("Drug Substance",Controls!A:I,8,0),3)</f>
        <v>9</v>
      </c>
      <c r="O803" s="39">
        <f>IFERROR(VLOOKUP("Drug Substance",Controls!A:I,9,0),18)</f>
        <v>18</v>
      </c>
      <c r="P803" s="40">
        <f>IFERROR(VLOOKUP("Drug Substance",Controls!A:J,5,0),0)</f>
        <v>4.3</v>
      </c>
      <c r="Q803" s="39">
        <f>IFERROR(VLOOKUP("Drug Substance",Controls!A:J,6,0),3)</f>
        <v>5</v>
      </c>
      <c r="R803" s="21" t="str">
        <f>IFERROR(VLOOKUP("Drug Substance",Controls!A:K,10,0),"")</f>
        <v>ST Pharm (Oligo P1 F2)</v>
      </c>
      <c r="S803" s="41">
        <f t="shared" si="87"/>
        <v>48427</v>
      </c>
      <c r="T803" s="30">
        <f t="shared" si="88"/>
        <v>0</v>
      </c>
      <c r="AB803">
        <f t="shared" si="90"/>
        <v>71.368252314814811</v>
      </c>
    </row>
    <row r="804" spans="1:28" ht="13" customHeight="1" x14ac:dyDescent="0.35">
      <c r="A804" s="153">
        <v>48611</v>
      </c>
      <c r="B804" s="36" t="s">
        <v>45</v>
      </c>
      <c r="C804" s="15" t="s">
        <v>47</v>
      </c>
      <c r="D804" s="15" t="s">
        <v>48</v>
      </c>
      <c r="E804" s="30">
        <f>H803</f>
        <v>72.651747685185143</v>
      </c>
      <c r="F804" s="37">
        <f>IFERROR('Production Inputs'!$CR$27*Dependencies!$D$6+'Production Inputs'!$CR$32*Dependencies!$D$9+'Production Inputs'!$CR$26*Dependencies!$D$8+'Production Inputs'!$CR$31*Dependencies!$D$10,0)</f>
        <v>0</v>
      </c>
      <c r="G804" s="37">
        <f t="array" ref="G804">IFERROR(SUMPRODUCT(('Production Inputs'!$A:$A="Drug Substance")*('Production Inputs'!$B:$B="TOTAL ACTIVE")*'Production Inputs'!$CR:$CR),0)</f>
        <v>0</v>
      </c>
      <c r="H804" s="30">
        <f t="shared" si="84"/>
        <v>72.651747685185143</v>
      </c>
      <c r="I804" s="30">
        <f ca="1">IFERROR(AVERAGEIF(OFFSET(F804,0,0,MIN(Controls!$B$8,COUNTIF(B804:B$1973,B804)),1),"&gt;"&amp;0),0)</f>
        <v>0</v>
      </c>
      <c r="J804" s="38">
        <f t="shared" ca="1" si="85"/>
        <v>999</v>
      </c>
      <c r="K804" s="30">
        <f t="shared" ca="1" si="89"/>
        <v>0</v>
      </c>
      <c r="L804" t="str">
        <f t="shared" ca="1" si="86"/>
        <v>Overstock</v>
      </c>
      <c r="M804" s="39">
        <f>IFERROR(VLOOKUP("Drug Substance",Controls!A:I,7,0),6)</f>
        <v>12</v>
      </c>
      <c r="N804" s="39">
        <f>IFERROR(VLOOKUP("Drug Substance",Controls!A:I,8,0),3)</f>
        <v>9</v>
      </c>
      <c r="O804" s="39">
        <f>IFERROR(VLOOKUP("Drug Substance",Controls!A:I,9,0),18)</f>
        <v>18</v>
      </c>
      <c r="P804" s="40">
        <f>IFERROR(VLOOKUP("Drug Substance",Controls!A:J,5,0),0)</f>
        <v>4.3</v>
      </c>
      <c r="Q804" s="39">
        <f>IFERROR(VLOOKUP("Drug Substance",Controls!A:J,6,0),3)</f>
        <v>5</v>
      </c>
      <c r="R804" s="21" t="str">
        <f>IFERROR(VLOOKUP("Drug Substance",Controls!A:K,10,0),"")</f>
        <v>ST Pharm (Oligo P1 F2)</v>
      </c>
      <c r="S804" s="41">
        <f t="shared" si="87"/>
        <v>48458</v>
      </c>
      <c r="T804" s="30">
        <f t="shared" si="88"/>
        <v>0</v>
      </c>
      <c r="AB804">
        <f t="shared" si="90"/>
        <v>71.368252314814811</v>
      </c>
    </row>
    <row r="805" spans="1:28" ht="13" customHeight="1" x14ac:dyDescent="0.35">
      <c r="A805" s="153">
        <v>48639</v>
      </c>
      <c r="B805" s="36" t="s">
        <v>45</v>
      </c>
      <c r="C805" s="15" t="s">
        <v>47</v>
      </c>
      <c r="D805" s="15" t="s">
        <v>48</v>
      </c>
      <c r="E805" s="30">
        <f>H804</f>
        <v>72.651747685185143</v>
      </c>
      <c r="F805" s="37">
        <f>IFERROR('Production Inputs'!$CS$27*Dependencies!$D$6+'Production Inputs'!$CS$32*Dependencies!$D$9+'Production Inputs'!$CS$26*Dependencies!$D$8+'Production Inputs'!$CS$31*Dependencies!$D$10,0)</f>
        <v>0</v>
      </c>
      <c r="G805" s="37">
        <f t="array" ref="G805">IFERROR(SUMPRODUCT(('Production Inputs'!$A:$A="Drug Substance")*('Production Inputs'!$B:$B="TOTAL ACTIVE")*'Production Inputs'!$CS:$CS),0)</f>
        <v>0</v>
      </c>
      <c r="H805" s="30">
        <f t="shared" si="84"/>
        <v>72.651747685185143</v>
      </c>
      <c r="I805" s="30">
        <f ca="1">IFERROR(AVERAGEIF(OFFSET(F805,0,0,MIN(Controls!$B$8,COUNTIF(B805:B$1973,B805)),1),"&gt;"&amp;0),0)</f>
        <v>0</v>
      </c>
      <c r="J805" s="38">
        <f t="shared" ca="1" si="85"/>
        <v>999</v>
      </c>
      <c r="K805" s="30">
        <f t="shared" ca="1" si="89"/>
        <v>0</v>
      </c>
      <c r="L805" t="str">
        <f t="shared" ca="1" si="86"/>
        <v>Overstock</v>
      </c>
      <c r="M805" s="39">
        <f>IFERROR(VLOOKUP("Drug Substance",Controls!A:I,7,0),6)</f>
        <v>12</v>
      </c>
      <c r="N805" s="39">
        <f>IFERROR(VLOOKUP("Drug Substance",Controls!A:I,8,0),3)</f>
        <v>9</v>
      </c>
      <c r="O805" s="39">
        <f>IFERROR(VLOOKUP("Drug Substance",Controls!A:I,9,0),18)</f>
        <v>18</v>
      </c>
      <c r="P805" s="40">
        <f>IFERROR(VLOOKUP("Drug Substance",Controls!A:J,5,0),0)</f>
        <v>4.3</v>
      </c>
      <c r="Q805" s="39">
        <f>IFERROR(VLOOKUP("Drug Substance",Controls!A:J,6,0),3)</f>
        <v>5</v>
      </c>
      <c r="R805" s="21" t="str">
        <f>IFERROR(VLOOKUP("Drug Substance",Controls!A:K,10,0),"")</f>
        <v>ST Pharm (Oligo P1 F2)</v>
      </c>
      <c r="S805" s="41">
        <f t="shared" si="87"/>
        <v>48488</v>
      </c>
      <c r="T805" s="30">
        <f t="shared" si="88"/>
        <v>0</v>
      </c>
      <c r="AB805">
        <f t="shared" si="90"/>
        <v>71.368252314814811</v>
      </c>
    </row>
    <row r="806" spans="1:28" ht="13" customHeight="1" x14ac:dyDescent="0.35">
      <c r="A806" s="153">
        <v>48670</v>
      </c>
      <c r="B806" s="36" t="s">
        <v>45</v>
      </c>
      <c r="C806" s="15" t="s">
        <v>47</v>
      </c>
      <c r="D806" s="15" t="s">
        <v>48</v>
      </c>
      <c r="E806" s="30">
        <f>H805</f>
        <v>72.651747685185143</v>
      </c>
      <c r="F806" s="37">
        <f>IFERROR('Production Inputs'!$CT$27*Dependencies!$D$6+'Production Inputs'!$CT$32*Dependencies!$D$9+'Production Inputs'!$CT$26*Dependencies!$D$8+'Production Inputs'!$CT$31*Dependencies!$D$10,0)</f>
        <v>0</v>
      </c>
      <c r="G806" s="37">
        <f t="array" ref="G806">IFERROR(SUMPRODUCT(('Production Inputs'!$A:$A="Drug Substance")*('Production Inputs'!$B:$B="TOTAL ACTIVE")*'Production Inputs'!$CT:$CT),0)</f>
        <v>0</v>
      </c>
      <c r="H806" s="30">
        <f t="shared" si="84"/>
        <v>72.651747685185143</v>
      </c>
      <c r="I806" s="30">
        <f ca="1">IFERROR(AVERAGEIF(OFFSET(F806,0,0,MIN(Controls!$B$8,COUNTIF(B806:B$1973,B806)),1),"&gt;"&amp;0),0)</f>
        <v>0</v>
      </c>
      <c r="J806" s="38">
        <f t="shared" ca="1" si="85"/>
        <v>999</v>
      </c>
      <c r="K806" s="30">
        <f t="shared" ca="1" si="89"/>
        <v>0</v>
      </c>
      <c r="L806" t="str">
        <f t="shared" ca="1" si="86"/>
        <v>Overstock</v>
      </c>
      <c r="M806" s="39">
        <f>IFERROR(VLOOKUP("Drug Substance",Controls!A:I,7,0),6)</f>
        <v>12</v>
      </c>
      <c r="N806" s="39">
        <f>IFERROR(VLOOKUP("Drug Substance",Controls!A:I,8,0),3)</f>
        <v>9</v>
      </c>
      <c r="O806" s="39">
        <f>IFERROR(VLOOKUP("Drug Substance",Controls!A:I,9,0),18)</f>
        <v>18</v>
      </c>
      <c r="P806" s="40">
        <f>IFERROR(VLOOKUP("Drug Substance",Controls!A:J,5,0),0)</f>
        <v>4.3</v>
      </c>
      <c r="Q806" s="39">
        <f>IFERROR(VLOOKUP("Drug Substance",Controls!A:J,6,0),3)</f>
        <v>5</v>
      </c>
      <c r="R806" s="21" t="str">
        <f>IFERROR(VLOOKUP("Drug Substance",Controls!A:K,10,0),"")</f>
        <v>ST Pharm (Oligo P1 F2)</v>
      </c>
      <c r="S806" s="41">
        <f t="shared" si="87"/>
        <v>48519</v>
      </c>
      <c r="T806" s="30">
        <f t="shared" si="88"/>
        <v>0</v>
      </c>
      <c r="AB806">
        <f t="shared" si="90"/>
        <v>71.368252314814811</v>
      </c>
    </row>
    <row r="807" spans="1:28" ht="13" customHeight="1" x14ac:dyDescent="0.35">
      <c r="A807" s="153">
        <v>48700</v>
      </c>
      <c r="B807" s="36" t="s">
        <v>45</v>
      </c>
      <c r="C807" s="15" t="s">
        <v>47</v>
      </c>
      <c r="D807" s="15" t="s">
        <v>48</v>
      </c>
      <c r="E807" s="30">
        <f>H806</f>
        <v>72.651747685185143</v>
      </c>
      <c r="F807" s="37">
        <f>IFERROR('Production Inputs'!$CU$27*Dependencies!$D$6+'Production Inputs'!$CU$32*Dependencies!$D$9+'Production Inputs'!$CU$26*Dependencies!$D$8+'Production Inputs'!$CU$31*Dependencies!$D$10,0)</f>
        <v>0</v>
      </c>
      <c r="G807" s="37">
        <f t="array" ref="G807">IFERROR(SUMPRODUCT(('Production Inputs'!$A:$A="Drug Substance")*('Production Inputs'!$B:$B="TOTAL ACTIVE")*'Production Inputs'!$CU:$CU),0)</f>
        <v>0</v>
      </c>
      <c r="H807" s="30">
        <f t="shared" si="84"/>
        <v>72.651747685185143</v>
      </c>
      <c r="I807" s="30">
        <f ca="1">IFERROR(AVERAGEIF(OFFSET(F807,0,0,MIN(Controls!$B$8,COUNTIF(B807:B$1973,B807)),1),"&gt;"&amp;0),0)</f>
        <v>0</v>
      </c>
      <c r="J807" s="38">
        <f t="shared" ca="1" si="85"/>
        <v>999</v>
      </c>
      <c r="K807" s="30">
        <f t="shared" ca="1" si="89"/>
        <v>0</v>
      </c>
      <c r="L807" t="str">
        <f t="shared" ca="1" si="86"/>
        <v>Overstock</v>
      </c>
      <c r="M807" s="39">
        <f>IFERROR(VLOOKUP("Drug Substance",Controls!A:I,7,0),6)</f>
        <v>12</v>
      </c>
      <c r="N807" s="39">
        <f>IFERROR(VLOOKUP("Drug Substance",Controls!A:I,8,0),3)</f>
        <v>9</v>
      </c>
      <c r="O807" s="39">
        <f>IFERROR(VLOOKUP("Drug Substance",Controls!A:I,9,0),18)</f>
        <v>18</v>
      </c>
      <c r="P807" s="40">
        <f>IFERROR(VLOOKUP("Drug Substance",Controls!A:J,5,0),0)</f>
        <v>4.3</v>
      </c>
      <c r="Q807" s="39">
        <f>IFERROR(VLOOKUP("Drug Substance",Controls!A:J,6,0),3)</f>
        <v>5</v>
      </c>
      <c r="R807" s="21" t="str">
        <f>IFERROR(VLOOKUP("Drug Substance",Controls!A:K,10,0),"")</f>
        <v>ST Pharm (Oligo P1 F2)</v>
      </c>
      <c r="S807" s="41">
        <f t="shared" si="87"/>
        <v>48549</v>
      </c>
      <c r="T807" s="30">
        <f t="shared" si="88"/>
        <v>0</v>
      </c>
      <c r="AB807">
        <f t="shared" si="90"/>
        <v>71.368252314814811</v>
      </c>
    </row>
    <row r="808" spans="1:28" ht="13" customHeight="1" x14ac:dyDescent="0.35">
      <c r="A808" s="153">
        <v>48731</v>
      </c>
      <c r="B808" s="36" t="s">
        <v>45</v>
      </c>
      <c r="C808" s="15" t="s">
        <v>47</v>
      </c>
      <c r="D808" s="15" t="s">
        <v>48</v>
      </c>
      <c r="E808" s="30">
        <f>H807</f>
        <v>72.651747685185143</v>
      </c>
      <c r="F808" s="37">
        <f>IFERROR('Production Inputs'!$CV$27*Dependencies!$D$6+'Production Inputs'!$CV$32*Dependencies!$D$9+'Production Inputs'!$CV$26*Dependencies!$D$8+'Production Inputs'!$CV$31*Dependencies!$D$10,0)</f>
        <v>0</v>
      </c>
      <c r="G808" s="37">
        <f t="array" ref="G808">IFERROR(SUMPRODUCT(('Production Inputs'!$A:$A="Drug Substance")*('Production Inputs'!$B:$B="TOTAL ACTIVE")*'Production Inputs'!$CV:$CV),0)</f>
        <v>0</v>
      </c>
      <c r="H808" s="30">
        <f t="shared" si="84"/>
        <v>72.651747685185143</v>
      </c>
      <c r="I808" s="30">
        <f ca="1">IFERROR(AVERAGEIF(OFFSET(F808,0,0,MIN(Controls!$B$8,COUNTIF(B808:B$1973,B808)),1),"&gt;"&amp;0),0)</f>
        <v>0</v>
      </c>
      <c r="J808" s="38">
        <f t="shared" ca="1" si="85"/>
        <v>999</v>
      </c>
      <c r="K808" s="30">
        <f t="shared" ca="1" si="89"/>
        <v>0</v>
      </c>
      <c r="L808" t="str">
        <f t="shared" ca="1" si="86"/>
        <v>Overstock</v>
      </c>
      <c r="M808" s="39">
        <f>IFERROR(VLOOKUP("Drug Substance",Controls!A:I,7,0),6)</f>
        <v>12</v>
      </c>
      <c r="N808" s="39">
        <f>IFERROR(VLOOKUP("Drug Substance",Controls!A:I,8,0),3)</f>
        <v>9</v>
      </c>
      <c r="O808" s="39">
        <f>IFERROR(VLOOKUP("Drug Substance",Controls!A:I,9,0),18)</f>
        <v>18</v>
      </c>
      <c r="P808" s="40">
        <f>IFERROR(VLOOKUP("Drug Substance",Controls!A:J,5,0),0)</f>
        <v>4.3</v>
      </c>
      <c r="Q808" s="39">
        <f>IFERROR(VLOOKUP("Drug Substance",Controls!A:J,6,0),3)</f>
        <v>5</v>
      </c>
      <c r="R808" s="21" t="str">
        <f>IFERROR(VLOOKUP("Drug Substance",Controls!A:K,10,0),"")</f>
        <v>ST Pharm (Oligo P1 F2)</v>
      </c>
      <c r="S808" s="41">
        <f t="shared" si="87"/>
        <v>48580</v>
      </c>
      <c r="T808" s="30">
        <f t="shared" si="88"/>
        <v>0</v>
      </c>
      <c r="AB808">
        <f t="shared" si="90"/>
        <v>71.368252314814811</v>
      </c>
    </row>
    <row r="809" spans="1:28" ht="13" customHeight="1" x14ac:dyDescent="0.35">
      <c r="A809" s="153">
        <v>48761</v>
      </c>
      <c r="B809" s="36" t="s">
        <v>45</v>
      </c>
      <c r="C809" s="15" t="s">
        <v>47</v>
      </c>
      <c r="D809" s="15" t="s">
        <v>48</v>
      </c>
      <c r="E809" s="30">
        <f>H808</f>
        <v>72.651747685185143</v>
      </c>
      <c r="F809" s="37">
        <f>IFERROR('Production Inputs'!$CW$27*Dependencies!$D$6+'Production Inputs'!$CW$32*Dependencies!$D$9+'Production Inputs'!$CW$26*Dependencies!$D$8+'Production Inputs'!$CW$31*Dependencies!$D$10,0)</f>
        <v>0</v>
      </c>
      <c r="G809" s="37">
        <f t="array" ref="G809">IFERROR(SUMPRODUCT(('Production Inputs'!$A:$A="Drug Substance")*('Production Inputs'!$B:$B="TOTAL ACTIVE")*'Production Inputs'!$CW:$CW),0)</f>
        <v>0</v>
      </c>
      <c r="H809" s="30">
        <f t="shared" si="84"/>
        <v>72.651747685185143</v>
      </c>
      <c r="I809" s="30">
        <f ca="1">IFERROR(AVERAGEIF(OFFSET(F809,0,0,MIN(Controls!$B$8,COUNTIF(B809:B$1973,B809)),1),"&gt;"&amp;0),0)</f>
        <v>0</v>
      </c>
      <c r="J809" s="38">
        <f t="shared" ca="1" si="85"/>
        <v>999</v>
      </c>
      <c r="K809" s="30">
        <f t="shared" ca="1" si="89"/>
        <v>0</v>
      </c>
      <c r="L809" t="str">
        <f t="shared" ca="1" si="86"/>
        <v>Overstock</v>
      </c>
      <c r="M809" s="39">
        <f>IFERROR(VLOOKUP("Drug Substance",Controls!A:I,7,0),6)</f>
        <v>12</v>
      </c>
      <c r="N809" s="39">
        <f>IFERROR(VLOOKUP("Drug Substance",Controls!A:I,8,0),3)</f>
        <v>9</v>
      </c>
      <c r="O809" s="39">
        <f>IFERROR(VLOOKUP("Drug Substance",Controls!A:I,9,0),18)</f>
        <v>18</v>
      </c>
      <c r="P809" s="40">
        <f>IFERROR(VLOOKUP("Drug Substance",Controls!A:J,5,0),0)</f>
        <v>4.3</v>
      </c>
      <c r="Q809" s="39">
        <f>IFERROR(VLOOKUP("Drug Substance",Controls!A:J,6,0),3)</f>
        <v>5</v>
      </c>
      <c r="R809" s="21" t="str">
        <f>IFERROR(VLOOKUP("Drug Substance",Controls!A:K,10,0),"")</f>
        <v>ST Pharm (Oligo P1 F2)</v>
      </c>
      <c r="S809" s="41">
        <f t="shared" si="87"/>
        <v>48611</v>
      </c>
      <c r="T809" s="30">
        <f t="shared" si="88"/>
        <v>0</v>
      </c>
      <c r="AB809">
        <f t="shared" si="90"/>
        <v>71.368252314814811</v>
      </c>
    </row>
    <row r="810" spans="1:28" ht="13" customHeight="1" x14ac:dyDescent="0.35">
      <c r="A810" s="153">
        <v>48792</v>
      </c>
      <c r="B810" s="36" t="s">
        <v>45</v>
      </c>
      <c r="C810" s="15" t="s">
        <v>47</v>
      </c>
      <c r="D810" s="15" t="s">
        <v>48</v>
      </c>
      <c r="E810" s="30">
        <f>H809</f>
        <v>72.651747685185143</v>
      </c>
      <c r="F810" s="37">
        <f>IFERROR('Production Inputs'!$CX$27*Dependencies!$D$6+'Production Inputs'!$CX$32*Dependencies!$D$9+'Production Inputs'!$CX$26*Dependencies!$D$8+'Production Inputs'!$CX$31*Dependencies!$D$10,0)</f>
        <v>0</v>
      </c>
      <c r="G810" s="37">
        <f t="array" ref="G810">IFERROR(SUMPRODUCT(('Production Inputs'!$A:$A="Drug Substance")*('Production Inputs'!$B:$B="TOTAL ACTIVE")*'Production Inputs'!$CX:$CX),0)</f>
        <v>0</v>
      </c>
      <c r="H810" s="30">
        <f t="shared" si="84"/>
        <v>72.651747685185143</v>
      </c>
      <c r="I810" s="30">
        <f ca="1">IFERROR(AVERAGEIF(OFFSET(F810,0,0,MIN(Controls!$B$8,COUNTIF(B810:B$1973,B810)),1),"&gt;"&amp;0),0)</f>
        <v>0</v>
      </c>
      <c r="J810" s="38">
        <f t="shared" ca="1" si="85"/>
        <v>999</v>
      </c>
      <c r="K810" s="30">
        <f t="shared" ca="1" si="89"/>
        <v>0</v>
      </c>
      <c r="L810" t="str">
        <f t="shared" ca="1" si="86"/>
        <v>Overstock</v>
      </c>
      <c r="M810" s="39">
        <f>IFERROR(VLOOKUP("Drug Substance",Controls!A:I,7,0),6)</f>
        <v>12</v>
      </c>
      <c r="N810" s="39">
        <f>IFERROR(VLOOKUP("Drug Substance",Controls!A:I,8,0),3)</f>
        <v>9</v>
      </c>
      <c r="O810" s="39">
        <f>IFERROR(VLOOKUP("Drug Substance",Controls!A:I,9,0),18)</f>
        <v>18</v>
      </c>
      <c r="P810" s="40">
        <f>IFERROR(VLOOKUP("Drug Substance",Controls!A:J,5,0),0)</f>
        <v>4.3</v>
      </c>
      <c r="Q810" s="39">
        <f>IFERROR(VLOOKUP("Drug Substance",Controls!A:J,6,0),3)</f>
        <v>5</v>
      </c>
      <c r="R810" s="21" t="str">
        <f>IFERROR(VLOOKUP("Drug Substance",Controls!A:K,10,0),"")</f>
        <v>ST Pharm (Oligo P1 F2)</v>
      </c>
      <c r="S810" s="41">
        <f t="shared" si="87"/>
        <v>48639</v>
      </c>
      <c r="T810" s="30">
        <f t="shared" si="88"/>
        <v>0</v>
      </c>
      <c r="AB810">
        <f t="shared" si="90"/>
        <v>71.368252314814811</v>
      </c>
    </row>
    <row r="811" spans="1:28" ht="13" customHeight="1" x14ac:dyDescent="0.35">
      <c r="A811" s="153">
        <v>48823</v>
      </c>
      <c r="B811" s="36" t="s">
        <v>45</v>
      </c>
      <c r="C811" s="15" t="s">
        <v>47</v>
      </c>
      <c r="D811" s="15" t="s">
        <v>48</v>
      </c>
      <c r="E811" s="30">
        <f>H810</f>
        <v>72.651747685185143</v>
      </c>
      <c r="F811" s="37">
        <f>IFERROR('Production Inputs'!$CY$27*Dependencies!$D$6+'Production Inputs'!$CY$32*Dependencies!$D$9+'Production Inputs'!$CY$26*Dependencies!$D$8+'Production Inputs'!$CY$31*Dependencies!$D$10,0)</f>
        <v>0</v>
      </c>
      <c r="G811" s="37">
        <f t="array" ref="G811">IFERROR(SUMPRODUCT(('Production Inputs'!$A:$A="Drug Substance")*('Production Inputs'!$B:$B="TOTAL ACTIVE")*'Production Inputs'!$CY:$CY),0)</f>
        <v>0</v>
      </c>
      <c r="H811" s="30">
        <f t="shared" si="84"/>
        <v>72.651747685185143</v>
      </c>
      <c r="I811" s="30">
        <f ca="1">IFERROR(AVERAGEIF(OFFSET(F811,0,0,MIN(Controls!$B$8,COUNTIF(B811:B$1973,B811)),1),"&gt;"&amp;0),0)</f>
        <v>0</v>
      </c>
      <c r="J811" s="38">
        <f t="shared" ca="1" si="85"/>
        <v>999</v>
      </c>
      <c r="K811" s="30">
        <f t="shared" ca="1" si="89"/>
        <v>0</v>
      </c>
      <c r="L811" t="str">
        <f t="shared" ca="1" si="86"/>
        <v>Overstock</v>
      </c>
      <c r="M811" s="39">
        <f>IFERROR(VLOOKUP("Drug Substance",Controls!A:I,7,0),6)</f>
        <v>12</v>
      </c>
      <c r="N811" s="39">
        <f>IFERROR(VLOOKUP("Drug Substance",Controls!A:I,8,0),3)</f>
        <v>9</v>
      </c>
      <c r="O811" s="39">
        <f>IFERROR(VLOOKUP("Drug Substance",Controls!A:I,9,0),18)</f>
        <v>18</v>
      </c>
      <c r="P811" s="40">
        <f>IFERROR(VLOOKUP("Drug Substance",Controls!A:J,5,0),0)</f>
        <v>4.3</v>
      </c>
      <c r="Q811" s="39">
        <f>IFERROR(VLOOKUP("Drug Substance",Controls!A:J,6,0),3)</f>
        <v>5</v>
      </c>
      <c r="R811" s="21" t="str">
        <f>IFERROR(VLOOKUP("Drug Substance",Controls!A:K,10,0),"")</f>
        <v>ST Pharm (Oligo P1 F2)</v>
      </c>
      <c r="S811" s="41">
        <f t="shared" si="87"/>
        <v>48670</v>
      </c>
      <c r="T811" s="30">
        <f t="shared" si="88"/>
        <v>0</v>
      </c>
      <c r="AB811">
        <f t="shared" si="90"/>
        <v>71.368252314814811</v>
      </c>
    </row>
    <row r="812" spans="1:28" ht="13" customHeight="1" x14ac:dyDescent="0.35">
      <c r="A812" s="153">
        <v>48853</v>
      </c>
      <c r="B812" s="36" t="s">
        <v>45</v>
      </c>
      <c r="C812" s="15" t="s">
        <v>47</v>
      </c>
      <c r="D812" s="15" t="s">
        <v>48</v>
      </c>
      <c r="E812" s="30">
        <f>H811</f>
        <v>72.651747685185143</v>
      </c>
      <c r="F812" s="37">
        <f>IFERROR('Production Inputs'!$CZ$27*Dependencies!$D$6+'Production Inputs'!$CZ$32*Dependencies!$D$9+'Production Inputs'!$CZ$26*Dependencies!$D$8+'Production Inputs'!$CZ$31*Dependencies!$D$10,0)</f>
        <v>0</v>
      </c>
      <c r="G812" s="37">
        <f t="array" ref="G812">IFERROR(SUMPRODUCT(('Production Inputs'!$A:$A="Drug Substance")*('Production Inputs'!$B:$B="TOTAL ACTIVE")*'Production Inputs'!$CZ:$CZ),0)</f>
        <v>0</v>
      </c>
      <c r="H812" s="30">
        <f t="shared" si="84"/>
        <v>72.651747685185143</v>
      </c>
      <c r="I812" s="30">
        <f ca="1">IFERROR(AVERAGEIF(OFFSET(F812,0,0,MIN(Controls!$B$8,COUNTIF(B812:B$1973,B812)),1),"&gt;"&amp;0),0)</f>
        <v>0</v>
      </c>
      <c r="J812" s="38">
        <f t="shared" ca="1" si="85"/>
        <v>999</v>
      </c>
      <c r="K812" s="30">
        <f t="shared" ca="1" si="89"/>
        <v>0</v>
      </c>
      <c r="L812" t="str">
        <f t="shared" ca="1" si="86"/>
        <v>Overstock</v>
      </c>
      <c r="M812" s="39">
        <f>IFERROR(VLOOKUP("Drug Substance",Controls!A:I,7,0),6)</f>
        <v>12</v>
      </c>
      <c r="N812" s="39">
        <f>IFERROR(VLOOKUP("Drug Substance",Controls!A:I,8,0),3)</f>
        <v>9</v>
      </c>
      <c r="O812" s="39">
        <f>IFERROR(VLOOKUP("Drug Substance",Controls!A:I,9,0),18)</f>
        <v>18</v>
      </c>
      <c r="P812" s="40">
        <f>IFERROR(VLOOKUP("Drug Substance",Controls!A:J,5,0),0)</f>
        <v>4.3</v>
      </c>
      <c r="Q812" s="39">
        <f>IFERROR(VLOOKUP("Drug Substance",Controls!A:J,6,0),3)</f>
        <v>5</v>
      </c>
      <c r="R812" s="21" t="str">
        <f>IFERROR(VLOOKUP("Drug Substance",Controls!A:K,10,0),"")</f>
        <v>ST Pharm (Oligo P1 F2)</v>
      </c>
      <c r="S812" s="41">
        <f t="shared" si="87"/>
        <v>48700</v>
      </c>
      <c r="T812" s="30">
        <f t="shared" si="88"/>
        <v>0</v>
      </c>
      <c r="AB812">
        <f t="shared" si="90"/>
        <v>71.368252314814811</v>
      </c>
    </row>
    <row r="813" spans="1:28" ht="13" customHeight="1" x14ac:dyDescent="0.35">
      <c r="A813" s="153">
        <v>48884</v>
      </c>
      <c r="B813" s="36" t="s">
        <v>45</v>
      </c>
      <c r="C813" s="15" t="s">
        <v>47</v>
      </c>
      <c r="D813" s="15" t="s">
        <v>48</v>
      </c>
      <c r="E813" s="30">
        <f>H812</f>
        <v>72.651747685185143</v>
      </c>
      <c r="F813" s="37">
        <f>IFERROR('Production Inputs'!$DA$27*Dependencies!$D$6+'Production Inputs'!$DA$32*Dependencies!$D$9+'Production Inputs'!$DA$26*Dependencies!$D$8+'Production Inputs'!$DA$31*Dependencies!$D$10,0)</f>
        <v>0</v>
      </c>
      <c r="G813" s="37">
        <f t="array" ref="G813">IFERROR(SUMPRODUCT(('Production Inputs'!$A:$A="Drug Substance")*('Production Inputs'!$B:$B="TOTAL ACTIVE")*'Production Inputs'!$DA:$DA),0)</f>
        <v>0</v>
      </c>
      <c r="H813" s="30">
        <f t="shared" si="84"/>
        <v>72.651747685185143</v>
      </c>
      <c r="I813" s="30">
        <f ca="1">IFERROR(AVERAGEIF(OFFSET(F813,0,0,MIN(Controls!$B$8,COUNTIF(B813:B$1973,B813)),1),"&gt;"&amp;0),0)</f>
        <v>0</v>
      </c>
      <c r="J813" s="38">
        <f t="shared" ca="1" si="85"/>
        <v>999</v>
      </c>
      <c r="K813" s="30">
        <f t="shared" ca="1" si="89"/>
        <v>0</v>
      </c>
      <c r="L813" t="str">
        <f t="shared" ca="1" si="86"/>
        <v>Overstock</v>
      </c>
      <c r="M813" s="39">
        <f>IFERROR(VLOOKUP("Drug Substance",Controls!A:I,7,0),6)</f>
        <v>12</v>
      </c>
      <c r="N813" s="39">
        <f>IFERROR(VLOOKUP("Drug Substance",Controls!A:I,8,0),3)</f>
        <v>9</v>
      </c>
      <c r="O813" s="39">
        <f>IFERROR(VLOOKUP("Drug Substance",Controls!A:I,9,0),18)</f>
        <v>18</v>
      </c>
      <c r="P813" s="40">
        <f>IFERROR(VLOOKUP("Drug Substance",Controls!A:J,5,0),0)</f>
        <v>4.3</v>
      </c>
      <c r="Q813" s="39">
        <f>IFERROR(VLOOKUP("Drug Substance",Controls!A:J,6,0),3)</f>
        <v>5</v>
      </c>
      <c r="R813" s="21" t="str">
        <f>IFERROR(VLOOKUP("Drug Substance",Controls!A:K,10,0),"")</f>
        <v>ST Pharm (Oligo P1 F2)</v>
      </c>
      <c r="S813" s="41">
        <f t="shared" si="87"/>
        <v>48731</v>
      </c>
      <c r="T813" s="30">
        <f t="shared" si="88"/>
        <v>0</v>
      </c>
      <c r="AB813">
        <f t="shared" si="90"/>
        <v>71.368252314814811</v>
      </c>
    </row>
    <row r="814" spans="1:28" ht="13" customHeight="1" x14ac:dyDescent="0.35">
      <c r="A814" s="153">
        <v>48914</v>
      </c>
      <c r="B814" s="36" t="s">
        <v>45</v>
      </c>
      <c r="C814" s="15" t="s">
        <v>47</v>
      </c>
      <c r="D814" s="15" t="s">
        <v>48</v>
      </c>
      <c r="E814" s="30">
        <f>H813</f>
        <v>72.651747685185143</v>
      </c>
      <c r="F814" s="37">
        <f>IFERROR('Production Inputs'!$DB$27*Dependencies!$D$6+'Production Inputs'!$DB$32*Dependencies!$D$9+'Production Inputs'!$DB$26*Dependencies!$D$8+'Production Inputs'!$DB$31*Dependencies!$D$10,0)</f>
        <v>0</v>
      </c>
      <c r="G814" s="37">
        <f t="array" ref="G814">IFERROR(SUMPRODUCT(('Production Inputs'!$A:$A="Drug Substance")*('Production Inputs'!$B:$B="TOTAL ACTIVE")*'Production Inputs'!$DB:$DB),0)</f>
        <v>0</v>
      </c>
      <c r="H814" s="30">
        <f t="shared" si="84"/>
        <v>72.651747685185143</v>
      </c>
      <c r="I814" s="30">
        <f ca="1">IFERROR(AVERAGEIF(OFFSET(F814,0,0,MIN(Controls!$B$8,COUNTIF(B814:B$1973,B814)),1),"&gt;"&amp;0),0)</f>
        <v>0</v>
      </c>
      <c r="J814" s="38">
        <f t="shared" ca="1" si="85"/>
        <v>999</v>
      </c>
      <c r="K814" s="30">
        <f t="shared" ca="1" si="89"/>
        <v>0</v>
      </c>
      <c r="L814" t="str">
        <f t="shared" ca="1" si="86"/>
        <v>Overstock</v>
      </c>
      <c r="M814" s="39">
        <f>IFERROR(VLOOKUP("Drug Substance",Controls!A:I,7,0),6)</f>
        <v>12</v>
      </c>
      <c r="N814" s="39">
        <f>IFERROR(VLOOKUP("Drug Substance",Controls!A:I,8,0),3)</f>
        <v>9</v>
      </c>
      <c r="O814" s="39">
        <f>IFERROR(VLOOKUP("Drug Substance",Controls!A:I,9,0),18)</f>
        <v>18</v>
      </c>
      <c r="P814" s="40">
        <f>IFERROR(VLOOKUP("Drug Substance",Controls!A:J,5,0),0)</f>
        <v>4.3</v>
      </c>
      <c r="Q814" s="39">
        <f>IFERROR(VLOOKUP("Drug Substance",Controls!A:J,6,0),3)</f>
        <v>5</v>
      </c>
      <c r="R814" s="21" t="str">
        <f>IFERROR(VLOOKUP("Drug Substance",Controls!A:K,10,0),"")</f>
        <v>ST Pharm (Oligo P1 F2)</v>
      </c>
      <c r="S814" s="41">
        <f t="shared" si="87"/>
        <v>48761</v>
      </c>
      <c r="T814" s="30">
        <f t="shared" si="88"/>
        <v>0</v>
      </c>
      <c r="AB814">
        <f t="shared" si="90"/>
        <v>71.368252314814811</v>
      </c>
    </row>
    <row r="815" spans="1:28" ht="13" customHeight="1" x14ac:dyDescent="0.35">
      <c r="A815" s="153">
        <v>48945</v>
      </c>
      <c r="B815" s="36" t="s">
        <v>45</v>
      </c>
      <c r="C815" s="15" t="s">
        <v>47</v>
      </c>
      <c r="D815" s="15" t="s">
        <v>48</v>
      </c>
      <c r="E815" s="30">
        <f>H814</f>
        <v>72.651747685185143</v>
      </c>
      <c r="F815" s="37">
        <f>IFERROR('Production Inputs'!$DC$27*Dependencies!$D$6+'Production Inputs'!$DC$32*Dependencies!$D$9+'Production Inputs'!$DC$26*Dependencies!$D$8+'Production Inputs'!$DC$31*Dependencies!$D$10,0)</f>
        <v>0</v>
      </c>
      <c r="G815" s="37">
        <f t="array" ref="G815">IFERROR(SUMPRODUCT(('Production Inputs'!$A:$A="Drug Substance")*('Production Inputs'!$B:$B="TOTAL ACTIVE")*'Production Inputs'!$DC:$DC),0)</f>
        <v>0</v>
      </c>
      <c r="H815" s="30">
        <f t="shared" si="84"/>
        <v>72.651747685185143</v>
      </c>
      <c r="I815" s="30">
        <f ca="1">IFERROR(AVERAGEIF(OFFSET(F815,0,0,MIN(Controls!$B$8,COUNTIF(B815:B$1973,B815)),1),"&gt;"&amp;0),0)</f>
        <v>0</v>
      </c>
      <c r="J815" s="38">
        <f t="shared" ca="1" si="85"/>
        <v>999</v>
      </c>
      <c r="K815" s="30">
        <f t="shared" ca="1" si="89"/>
        <v>0</v>
      </c>
      <c r="L815" t="str">
        <f t="shared" ca="1" si="86"/>
        <v>Overstock</v>
      </c>
      <c r="M815" s="39">
        <f>IFERROR(VLOOKUP("Drug Substance",Controls!A:I,7,0),6)</f>
        <v>12</v>
      </c>
      <c r="N815" s="39">
        <f>IFERROR(VLOOKUP("Drug Substance",Controls!A:I,8,0),3)</f>
        <v>9</v>
      </c>
      <c r="O815" s="39">
        <f>IFERROR(VLOOKUP("Drug Substance",Controls!A:I,9,0),18)</f>
        <v>18</v>
      </c>
      <c r="P815" s="40">
        <f>IFERROR(VLOOKUP("Drug Substance",Controls!A:J,5,0),0)</f>
        <v>4.3</v>
      </c>
      <c r="Q815" s="39">
        <f>IFERROR(VLOOKUP("Drug Substance",Controls!A:J,6,0),3)</f>
        <v>5</v>
      </c>
      <c r="R815" s="21" t="str">
        <f>IFERROR(VLOOKUP("Drug Substance",Controls!A:K,10,0),"")</f>
        <v>ST Pharm (Oligo P1 F2)</v>
      </c>
      <c r="S815" s="41">
        <f t="shared" si="87"/>
        <v>48792</v>
      </c>
      <c r="T815" s="30">
        <f t="shared" si="88"/>
        <v>0</v>
      </c>
      <c r="AB815">
        <f t="shared" si="90"/>
        <v>71.368252314814811</v>
      </c>
    </row>
    <row r="816" spans="1:28" ht="13" customHeight="1" x14ac:dyDescent="0.35">
      <c r="A816" s="153">
        <v>48976</v>
      </c>
      <c r="B816" s="36" t="s">
        <v>45</v>
      </c>
      <c r="C816" s="15" t="s">
        <v>47</v>
      </c>
      <c r="D816" s="15" t="s">
        <v>48</v>
      </c>
      <c r="E816" s="30">
        <f>H815</f>
        <v>72.651747685185143</v>
      </c>
      <c r="F816" s="37">
        <f>IFERROR('Production Inputs'!$DD$27*Dependencies!$D$6+'Production Inputs'!$DD$32*Dependencies!$D$9+'Production Inputs'!$DD$26*Dependencies!$D$8+'Production Inputs'!$DD$31*Dependencies!$D$10,0)</f>
        <v>0</v>
      </c>
      <c r="G816" s="37">
        <f t="array" ref="G816">IFERROR(SUMPRODUCT(('Production Inputs'!$A:$A="Drug Substance")*('Production Inputs'!$B:$B="TOTAL ACTIVE")*'Production Inputs'!$DD:$DD),0)</f>
        <v>0</v>
      </c>
      <c r="H816" s="30">
        <f t="shared" si="84"/>
        <v>72.651747685185143</v>
      </c>
      <c r="I816" s="30">
        <f ca="1">IFERROR(AVERAGEIF(OFFSET(F816,0,0,MIN(Controls!$B$8,COUNTIF(B816:B$1973,B816)),1),"&gt;"&amp;0),0)</f>
        <v>0</v>
      </c>
      <c r="J816" s="38">
        <f t="shared" ca="1" si="85"/>
        <v>999</v>
      </c>
      <c r="K816" s="30">
        <f t="shared" ca="1" si="89"/>
        <v>0</v>
      </c>
      <c r="L816" t="str">
        <f t="shared" ca="1" si="86"/>
        <v>Overstock</v>
      </c>
      <c r="M816" s="39">
        <f>IFERROR(VLOOKUP("Drug Substance",Controls!A:I,7,0),6)</f>
        <v>12</v>
      </c>
      <c r="N816" s="39">
        <f>IFERROR(VLOOKUP("Drug Substance",Controls!A:I,8,0),3)</f>
        <v>9</v>
      </c>
      <c r="O816" s="39">
        <f>IFERROR(VLOOKUP("Drug Substance",Controls!A:I,9,0),18)</f>
        <v>18</v>
      </c>
      <c r="P816" s="40">
        <f>IFERROR(VLOOKUP("Drug Substance",Controls!A:J,5,0),0)</f>
        <v>4.3</v>
      </c>
      <c r="Q816" s="39">
        <f>IFERROR(VLOOKUP("Drug Substance",Controls!A:J,6,0),3)</f>
        <v>5</v>
      </c>
      <c r="R816" s="21" t="str">
        <f>IFERROR(VLOOKUP("Drug Substance",Controls!A:K,10,0),"")</f>
        <v>ST Pharm (Oligo P1 F2)</v>
      </c>
      <c r="S816" s="41">
        <f t="shared" si="87"/>
        <v>48823</v>
      </c>
      <c r="T816" s="30">
        <f t="shared" si="88"/>
        <v>0</v>
      </c>
      <c r="AB816">
        <f t="shared" si="90"/>
        <v>71.368252314814811</v>
      </c>
    </row>
    <row r="817" spans="1:28" ht="13" customHeight="1" x14ac:dyDescent="0.35">
      <c r="A817" s="153">
        <v>49004</v>
      </c>
      <c r="B817" s="36" t="s">
        <v>45</v>
      </c>
      <c r="C817" s="15" t="s">
        <v>47</v>
      </c>
      <c r="D817" s="15" t="s">
        <v>48</v>
      </c>
      <c r="E817" s="30">
        <f>H816</f>
        <v>72.651747685185143</v>
      </c>
      <c r="F817" s="37">
        <f>IFERROR('Production Inputs'!$DE$27*Dependencies!$D$6+'Production Inputs'!$DE$32*Dependencies!$D$9+'Production Inputs'!$DE$26*Dependencies!$D$8+'Production Inputs'!$DE$31*Dependencies!$D$10,0)</f>
        <v>0</v>
      </c>
      <c r="G817" s="37">
        <f t="array" ref="G817">IFERROR(SUMPRODUCT(('Production Inputs'!$A:$A="Drug Substance")*('Production Inputs'!$B:$B="TOTAL ACTIVE")*'Production Inputs'!$DE:$DE),0)</f>
        <v>0</v>
      </c>
      <c r="H817" s="30">
        <f t="shared" si="84"/>
        <v>72.651747685185143</v>
      </c>
      <c r="I817" s="30">
        <f ca="1">IFERROR(AVERAGEIF(OFFSET(F817,0,0,MIN(Controls!$B$8,COUNTIF(B817:B$1973,B817)),1),"&gt;"&amp;0),0)</f>
        <v>0</v>
      </c>
      <c r="J817" s="38">
        <f t="shared" ca="1" si="85"/>
        <v>999</v>
      </c>
      <c r="K817" s="30">
        <f t="shared" ca="1" si="89"/>
        <v>0</v>
      </c>
      <c r="L817" t="str">
        <f t="shared" ca="1" si="86"/>
        <v>Overstock</v>
      </c>
      <c r="M817" s="39">
        <f>IFERROR(VLOOKUP("Drug Substance",Controls!A:I,7,0),6)</f>
        <v>12</v>
      </c>
      <c r="N817" s="39">
        <f>IFERROR(VLOOKUP("Drug Substance",Controls!A:I,8,0),3)</f>
        <v>9</v>
      </c>
      <c r="O817" s="39">
        <f>IFERROR(VLOOKUP("Drug Substance",Controls!A:I,9,0),18)</f>
        <v>18</v>
      </c>
      <c r="P817" s="40">
        <f>IFERROR(VLOOKUP("Drug Substance",Controls!A:J,5,0),0)</f>
        <v>4.3</v>
      </c>
      <c r="Q817" s="39">
        <f>IFERROR(VLOOKUP("Drug Substance",Controls!A:J,6,0),3)</f>
        <v>5</v>
      </c>
      <c r="R817" s="21" t="str">
        <f>IFERROR(VLOOKUP("Drug Substance",Controls!A:K,10,0),"")</f>
        <v>ST Pharm (Oligo P1 F2)</v>
      </c>
      <c r="S817" s="41">
        <f t="shared" si="87"/>
        <v>48853</v>
      </c>
      <c r="T817" s="30">
        <f t="shared" si="88"/>
        <v>0</v>
      </c>
      <c r="AB817">
        <f t="shared" si="90"/>
        <v>71.368252314814811</v>
      </c>
    </row>
    <row r="818" spans="1:28" ht="13" customHeight="1" x14ac:dyDescent="0.35">
      <c r="A818" s="153">
        <v>49035</v>
      </c>
      <c r="B818" s="36" t="s">
        <v>45</v>
      </c>
      <c r="C818" s="15" t="s">
        <v>47</v>
      </c>
      <c r="D818" s="15" t="s">
        <v>48</v>
      </c>
      <c r="E818" s="30">
        <f>H817</f>
        <v>72.651747685185143</v>
      </c>
      <c r="F818" s="37">
        <f>IFERROR('Production Inputs'!$DF$27*Dependencies!$D$6+'Production Inputs'!$DF$32*Dependencies!$D$9+'Production Inputs'!$DF$26*Dependencies!$D$8+'Production Inputs'!$DF$31*Dependencies!$D$10,0)</f>
        <v>0</v>
      </c>
      <c r="G818" s="37">
        <f t="array" ref="G818">IFERROR(SUMPRODUCT(('Production Inputs'!$A:$A="Drug Substance")*('Production Inputs'!$B:$B="TOTAL ACTIVE")*'Production Inputs'!$DF:$DF),0)</f>
        <v>0</v>
      </c>
      <c r="H818" s="30">
        <f t="shared" si="84"/>
        <v>72.651747685185143</v>
      </c>
      <c r="I818" s="30">
        <f ca="1">IFERROR(AVERAGEIF(OFFSET(F818,0,0,MIN(Controls!$B$8,COUNTIF(B818:B$1973,B818)),1),"&gt;"&amp;0),0)</f>
        <v>0</v>
      </c>
      <c r="J818" s="38">
        <f t="shared" ca="1" si="85"/>
        <v>999</v>
      </c>
      <c r="K818" s="30">
        <f t="shared" ca="1" si="89"/>
        <v>0</v>
      </c>
      <c r="L818" t="str">
        <f t="shared" ca="1" si="86"/>
        <v>Overstock</v>
      </c>
      <c r="M818" s="39">
        <f>IFERROR(VLOOKUP("Drug Substance",Controls!A:I,7,0),6)</f>
        <v>12</v>
      </c>
      <c r="N818" s="39">
        <f>IFERROR(VLOOKUP("Drug Substance",Controls!A:I,8,0),3)</f>
        <v>9</v>
      </c>
      <c r="O818" s="39">
        <f>IFERROR(VLOOKUP("Drug Substance",Controls!A:I,9,0),18)</f>
        <v>18</v>
      </c>
      <c r="P818" s="40">
        <f>IFERROR(VLOOKUP("Drug Substance",Controls!A:J,5,0),0)</f>
        <v>4.3</v>
      </c>
      <c r="Q818" s="39">
        <f>IFERROR(VLOOKUP("Drug Substance",Controls!A:J,6,0),3)</f>
        <v>5</v>
      </c>
      <c r="R818" s="21" t="str">
        <f>IFERROR(VLOOKUP("Drug Substance",Controls!A:K,10,0),"")</f>
        <v>ST Pharm (Oligo P1 F2)</v>
      </c>
      <c r="S818" s="41">
        <f t="shared" si="87"/>
        <v>48884</v>
      </c>
      <c r="T818" s="30">
        <f t="shared" si="88"/>
        <v>0</v>
      </c>
      <c r="AB818">
        <f t="shared" si="90"/>
        <v>71.368252314814811</v>
      </c>
    </row>
    <row r="819" spans="1:28" ht="13" customHeight="1" x14ac:dyDescent="0.35">
      <c r="A819" s="153">
        <v>49065</v>
      </c>
      <c r="B819" s="36" t="s">
        <v>45</v>
      </c>
      <c r="C819" s="15" t="s">
        <v>47</v>
      </c>
      <c r="D819" s="15" t="s">
        <v>48</v>
      </c>
      <c r="E819" s="30">
        <f>H818</f>
        <v>72.651747685185143</v>
      </c>
      <c r="F819" s="37">
        <f>IFERROR('Production Inputs'!$DG$27*Dependencies!$D$6+'Production Inputs'!$DG$32*Dependencies!$D$9+'Production Inputs'!$DG$26*Dependencies!$D$8+'Production Inputs'!$DG$31*Dependencies!$D$10,0)</f>
        <v>0</v>
      </c>
      <c r="G819" s="37">
        <f t="array" ref="G819">IFERROR(SUMPRODUCT(('Production Inputs'!$A:$A="Drug Substance")*('Production Inputs'!$B:$B="TOTAL ACTIVE")*'Production Inputs'!$DG:$DG),0)</f>
        <v>0</v>
      </c>
      <c r="H819" s="30">
        <f t="shared" si="84"/>
        <v>72.651747685185143</v>
      </c>
      <c r="I819" s="30">
        <f ca="1">IFERROR(AVERAGEIF(OFFSET(F819,0,0,MIN(Controls!$B$8,COUNTIF(B819:B$1973,B819)),1),"&gt;"&amp;0),0)</f>
        <v>0</v>
      </c>
      <c r="J819" s="38">
        <f t="shared" ca="1" si="85"/>
        <v>999</v>
      </c>
      <c r="K819" s="30">
        <f t="shared" ca="1" si="89"/>
        <v>0</v>
      </c>
      <c r="L819" t="str">
        <f t="shared" ca="1" si="86"/>
        <v>Overstock</v>
      </c>
      <c r="M819" s="39">
        <f>IFERROR(VLOOKUP("Drug Substance",Controls!A:I,7,0),6)</f>
        <v>12</v>
      </c>
      <c r="N819" s="39">
        <f>IFERROR(VLOOKUP("Drug Substance",Controls!A:I,8,0),3)</f>
        <v>9</v>
      </c>
      <c r="O819" s="39">
        <f>IFERROR(VLOOKUP("Drug Substance",Controls!A:I,9,0),18)</f>
        <v>18</v>
      </c>
      <c r="P819" s="40">
        <f>IFERROR(VLOOKUP("Drug Substance",Controls!A:J,5,0),0)</f>
        <v>4.3</v>
      </c>
      <c r="Q819" s="39">
        <f>IFERROR(VLOOKUP("Drug Substance",Controls!A:J,6,0),3)</f>
        <v>5</v>
      </c>
      <c r="R819" s="21" t="str">
        <f>IFERROR(VLOOKUP("Drug Substance",Controls!A:K,10,0),"")</f>
        <v>ST Pharm (Oligo P1 F2)</v>
      </c>
      <c r="S819" s="41">
        <f t="shared" si="87"/>
        <v>48914</v>
      </c>
      <c r="T819" s="30">
        <f t="shared" si="88"/>
        <v>0</v>
      </c>
      <c r="AB819">
        <f t="shared" si="90"/>
        <v>71.368252314814811</v>
      </c>
    </row>
    <row r="820" spans="1:28" ht="13" customHeight="1" x14ac:dyDescent="0.35">
      <c r="A820" s="153">
        <v>49096</v>
      </c>
      <c r="B820" s="36" t="s">
        <v>45</v>
      </c>
      <c r="C820" s="15" t="s">
        <v>47</v>
      </c>
      <c r="D820" s="15" t="s">
        <v>48</v>
      </c>
      <c r="E820" s="30">
        <f>H819</f>
        <v>72.651747685185143</v>
      </c>
      <c r="F820" s="37">
        <f>IFERROR('Production Inputs'!$DH$27*Dependencies!$D$6+'Production Inputs'!$DH$32*Dependencies!$D$9+'Production Inputs'!$DH$26*Dependencies!$D$8+'Production Inputs'!$DH$31*Dependencies!$D$10,0)</f>
        <v>0</v>
      </c>
      <c r="G820" s="37">
        <f t="array" ref="G820">IFERROR(SUMPRODUCT(('Production Inputs'!$A:$A="Drug Substance")*('Production Inputs'!$B:$B="TOTAL ACTIVE")*'Production Inputs'!$DH:$DH),0)</f>
        <v>0</v>
      </c>
      <c r="H820" s="30">
        <f t="shared" si="84"/>
        <v>72.651747685185143</v>
      </c>
      <c r="I820" s="30">
        <f ca="1">IFERROR(AVERAGEIF(OFFSET(F820,0,0,MIN(Controls!$B$8,COUNTIF(B820:B$1973,B820)),1),"&gt;"&amp;0),0)</f>
        <v>0</v>
      </c>
      <c r="J820" s="38">
        <f t="shared" ca="1" si="85"/>
        <v>999</v>
      </c>
      <c r="K820" s="30">
        <f t="shared" ca="1" si="89"/>
        <v>0</v>
      </c>
      <c r="L820" t="str">
        <f t="shared" ca="1" si="86"/>
        <v>Overstock</v>
      </c>
      <c r="M820" s="39">
        <f>IFERROR(VLOOKUP("Drug Substance",Controls!A:I,7,0),6)</f>
        <v>12</v>
      </c>
      <c r="N820" s="39">
        <f>IFERROR(VLOOKUP("Drug Substance",Controls!A:I,8,0),3)</f>
        <v>9</v>
      </c>
      <c r="O820" s="39">
        <f>IFERROR(VLOOKUP("Drug Substance",Controls!A:I,9,0),18)</f>
        <v>18</v>
      </c>
      <c r="P820" s="40">
        <f>IFERROR(VLOOKUP("Drug Substance",Controls!A:J,5,0),0)</f>
        <v>4.3</v>
      </c>
      <c r="Q820" s="39">
        <f>IFERROR(VLOOKUP("Drug Substance",Controls!A:J,6,0),3)</f>
        <v>5</v>
      </c>
      <c r="R820" s="21" t="str">
        <f>IFERROR(VLOOKUP("Drug Substance",Controls!A:K,10,0),"")</f>
        <v>ST Pharm (Oligo P1 F2)</v>
      </c>
      <c r="S820" s="41">
        <f t="shared" si="87"/>
        <v>48945</v>
      </c>
      <c r="T820" s="30">
        <f t="shared" si="88"/>
        <v>0</v>
      </c>
      <c r="AB820">
        <f t="shared" si="90"/>
        <v>71.368252314814811</v>
      </c>
    </row>
    <row r="821" spans="1:28" ht="13" customHeight="1" x14ac:dyDescent="0.35">
      <c r="A821" s="153">
        <v>49126</v>
      </c>
      <c r="B821" s="36" t="s">
        <v>45</v>
      </c>
      <c r="C821" s="15" t="s">
        <v>47</v>
      </c>
      <c r="D821" s="15" t="s">
        <v>48</v>
      </c>
      <c r="E821" s="30">
        <f>H820</f>
        <v>72.651747685185143</v>
      </c>
      <c r="F821" s="37">
        <f>IFERROR('Production Inputs'!$DI$27*Dependencies!$D$6+'Production Inputs'!$DI$32*Dependencies!$D$9+'Production Inputs'!$DI$26*Dependencies!$D$8+'Production Inputs'!$DI$31*Dependencies!$D$10,0)</f>
        <v>0</v>
      </c>
      <c r="G821" s="37">
        <f t="array" ref="G821">IFERROR(SUMPRODUCT(('Production Inputs'!$A:$A="Drug Substance")*('Production Inputs'!$B:$B="TOTAL ACTIVE")*'Production Inputs'!$DI:$DI),0)</f>
        <v>0</v>
      </c>
      <c r="H821" s="30">
        <f t="shared" si="84"/>
        <v>72.651747685185143</v>
      </c>
      <c r="I821" s="30">
        <f ca="1">IFERROR(AVERAGEIF(OFFSET(F821,0,0,MIN(Controls!$B$8,COUNTIF(B821:B$1973,B821)),1),"&gt;"&amp;0),0)</f>
        <v>0</v>
      </c>
      <c r="J821" s="38">
        <f t="shared" ca="1" si="85"/>
        <v>999</v>
      </c>
      <c r="K821" s="30">
        <f t="shared" ca="1" si="89"/>
        <v>0</v>
      </c>
      <c r="L821" t="str">
        <f t="shared" ca="1" si="86"/>
        <v>Overstock</v>
      </c>
      <c r="M821" s="39">
        <f>IFERROR(VLOOKUP("Drug Substance",Controls!A:I,7,0),6)</f>
        <v>12</v>
      </c>
      <c r="N821" s="39">
        <f>IFERROR(VLOOKUP("Drug Substance",Controls!A:I,8,0),3)</f>
        <v>9</v>
      </c>
      <c r="O821" s="39">
        <f>IFERROR(VLOOKUP("Drug Substance",Controls!A:I,9,0),18)</f>
        <v>18</v>
      </c>
      <c r="P821" s="40">
        <f>IFERROR(VLOOKUP("Drug Substance",Controls!A:J,5,0),0)</f>
        <v>4.3</v>
      </c>
      <c r="Q821" s="39">
        <f>IFERROR(VLOOKUP("Drug Substance",Controls!A:J,6,0),3)</f>
        <v>5</v>
      </c>
      <c r="R821" s="21" t="str">
        <f>IFERROR(VLOOKUP("Drug Substance",Controls!A:K,10,0),"")</f>
        <v>ST Pharm (Oligo P1 F2)</v>
      </c>
      <c r="S821" s="41">
        <f t="shared" si="87"/>
        <v>48976</v>
      </c>
      <c r="T821" s="30">
        <f t="shared" si="88"/>
        <v>0</v>
      </c>
      <c r="AB821">
        <f t="shared" si="90"/>
        <v>71.368252314814811</v>
      </c>
    </row>
    <row r="822" spans="1:28" ht="13" customHeight="1" x14ac:dyDescent="0.35">
      <c r="A822" s="153">
        <v>49157</v>
      </c>
      <c r="B822" s="36" t="s">
        <v>45</v>
      </c>
      <c r="C822" s="15" t="s">
        <v>47</v>
      </c>
      <c r="D822" s="15" t="s">
        <v>48</v>
      </c>
      <c r="E822" s="30">
        <f>H821</f>
        <v>72.651747685185143</v>
      </c>
      <c r="F822" s="37">
        <f>IFERROR('Production Inputs'!$DJ$27*Dependencies!$D$6+'Production Inputs'!$DJ$32*Dependencies!$D$9+'Production Inputs'!$DJ$26*Dependencies!$D$8+'Production Inputs'!$DJ$31*Dependencies!$D$10,0)</f>
        <v>0</v>
      </c>
      <c r="G822" s="37">
        <f t="array" ref="G822">IFERROR(SUMPRODUCT(('Production Inputs'!$A:$A="Drug Substance")*('Production Inputs'!$B:$B="TOTAL ACTIVE")*'Production Inputs'!$DJ:$DJ),0)</f>
        <v>0</v>
      </c>
      <c r="H822" s="30">
        <f t="shared" si="84"/>
        <v>72.651747685185143</v>
      </c>
      <c r="I822" s="30">
        <f ca="1">IFERROR(AVERAGEIF(OFFSET(F822,0,0,MIN(Controls!$B$8,COUNTIF(B822:B$1973,B822)),1),"&gt;"&amp;0),0)</f>
        <v>0</v>
      </c>
      <c r="J822" s="38">
        <f t="shared" ca="1" si="85"/>
        <v>999</v>
      </c>
      <c r="K822" s="30">
        <f t="shared" ca="1" si="89"/>
        <v>0</v>
      </c>
      <c r="L822" t="str">
        <f t="shared" ca="1" si="86"/>
        <v>Overstock</v>
      </c>
      <c r="M822" s="39">
        <f>IFERROR(VLOOKUP("Drug Substance",Controls!A:I,7,0),6)</f>
        <v>12</v>
      </c>
      <c r="N822" s="39">
        <f>IFERROR(VLOOKUP("Drug Substance",Controls!A:I,8,0),3)</f>
        <v>9</v>
      </c>
      <c r="O822" s="39">
        <f>IFERROR(VLOOKUP("Drug Substance",Controls!A:I,9,0),18)</f>
        <v>18</v>
      </c>
      <c r="P822" s="40">
        <f>IFERROR(VLOOKUP("Drug Substance",Controls!A:J,5,0),0)</f>
        <v>4.3</v>
      </c>
      <c r="Q822" s="39">
        <f>IFERROR(VLOOKUP("Drug Substance",Controls!A:J,6,0),3)</f>
        <v>5</v>
      </c>
      <c r="R822" s="21" t="str">
        <f>IFERROR(VLOOKUP("Drug Substance",Controls!A:K,10,0),"")</f>
        <v>ST Pharm (Oligo P1 F2)</v>
      </c>
      <c r="S822" s="41">
        <f t="shared" si="87"/>
        <v>49004</v>
      </c>
      <c r="T822" s="30">
        <f t="shared" si="88"/>
        <v>0</v>
      </c>
      <c r="AB822">
        <f t="shared" si="90"/>
        <v>71.368252314814811</v>
      </c>
    </row>
    <row r="823" spans="1:28" ht="13" customHeight="1" x14ac:dyDescent="0.35">
      <c r="A823" s="153">
        <v>49188</v>
      </c>
      <c r="B823" s="36" t="s">
        <v>45</v>
      </c>
      <c r="C823" s="15" t="s">
        <v>47</v>
      </c>
      <c r="D823" s="15" t="s">
        <v>48</v>
      </c>
      <c r="E823" s="30">
        <f>H822</f>
        <v>72.651747685185143</v>
      </c>
      <c r="F823" s="37">
        <f>IFERROR('Production Inputs'!$DK$27*Dependencies!$D$6+'Production Inputs'!$DK$32*Dependencies!$D$9+'Production Inputs'!$DK$26*Dependencies!$D$8+'Production Inputs'!$DK$31*Dependencies!$D$10,0)</f>
        <v>0</v>
      </c>
      <c r="G823" s="37">
        <f t="array" ref="G823">IFERROR(SUMPRODUCT(('Production Inputs'!$A:$A="Drug Substance")*('Production Inputs'!$B:$B="TOTAL ACTIVE")*'Production Inputs'!$DK:$DK),0)</f>
        <v>0</v>
      </c>
      <c r="H823" s="30">
        <f t="shared" si="84"/>
        <v>72.651747685185143</v>
      </c>
      <c r="I823" s="30">
        <f ca="1">IFERROR(AVERAGEIF(OFFSET(F823,0,0,MIN(Controls!$B$8,COUNTIF(B823:B$1973,B823)),1),"&gt;"&amp;0),0)</f>
        <v>0</v>
      </c>
      <c r="J823" s="38">
        <f t="shared" ca="1" si="85"/>
        <v>999</v>
      </c>
      <c r="K823" s="30">
        <f t="shared" ca="1" si="89"/>
        <v>0</v>
      </c>
      <c r="L823" t="str">
        <f t="shared" ca="1" si="86"/>
        <v>Overstock</v>
      </c>
      <c r="M823" s="39">
        <f>IFERROR(VLOOKUP("Drug Substance",Controls!A:I,7,0),6)</f>
        <v>12</v>
      </c>
      <c r="N823" s="39">
        <f>IFERROR(VLOOKUP("Drug Substance",Controls!A:I,8,0),3)</f>
        <v>9</v>
      </c>
      <c r="O823" s="39">
        <f>IFERROR(VLOOKUP("Drug Substance",Controls!A:I,9,0),18)</f>
        <v>18</v>
      </c>
      <c r="P823" s="40">
        <f>IFERROR(VLOOKUP("Drug Substance",Controls!A:J,5,0),0)</f>
        <v>4.3</v>
      </c>
      <c r="Q823" s="39">
        <f>IFERROR(VLOOKUP("Drug Substance",Controls!A:J,6,0),3)</f>
        <v>5</v>
      </c>
      <c r="R823" s="21" t="str">
        <f>IFERROR(VLOOKUP("Drug Substance",Controls!A:K,10,0),"")</f>
        <v>ST Pharm (Oligo P1 F2)</v>
      </c>
      <c r="S823" s="41">
        <f t="shared" si="87"/>
        <v>49035</v>
      </c>
      <c r="T823" s="30">
        <f t="shared" si="88"/>
        <v>0</v>
      </c>
      <c r="AB823">
        <f t="shared" si="90"/>
        <v>71.368252314814811</v>
      </c>
    </row>
    <row r="824" spans="1:28" ht="13" customHeight="1" x14ac:dyDescent="0.35">
      <c r="A824" s="153">
        <v>49218</v>
      </c>
      <c r="B824" s="36" t="s">
        <v>45</v>
      </c>
      <c r="C824" s="15" t="s">
        <v>47</v>
      </c>
      <c r="D824" s="15" t="s">
        <v>48</v>
      </c>
      <c r="E824" s="30">
        <f>H823</f>
        <v>72.651747685185143</v>
      </c>
      <c r="F824" s="37">
        <f>IFERROR('Production Inputs'!$DL$27*Dependencies!$D$6+'Production Inputs'!$DL$32*Dependencies!$D$9+'Production Inputs'!$DL$26*Dependencies!$D$8+'Production Inputs'!$DL$31*Dependencies!$D$10,0)</f>
        <v>0</v>
      </c>
      <c r="G824" s="37">
        <f t="array" ref="G824">IFERROR(SUMPRODUCT(('Production Inputs'!$A:$A="Drug Substance")*('Production Inputs'!$B:$B="TOTAL ACTIVE")*'Production Inputs'!$DL:$DL),0)</f>
        <v>0</v>
      </c>
      <c r="H824" s="30">
        <f t="shared" si="84"/>
        <v>72.651747685185143</v>
      </c>
      <c r="I824" s="30">
        <f ca="1">IFERROR(AVERAGEIF(OFFSET(F824,0,0,MIN(Controls!$B$8,COUNTIF(B824:B$1973,B824)),1),"&gt;"&amp;0),0)</f>
        <v>0</v>
      </c>
      <c r="J824" s="38">
        <f t="shared" ca="1" si="85"/>
        <v>999</v>
      </c>
      <c r="K824" s="30">
        <f t="shared" ca="1" si="89"/>
        <v>0</v>
      </c>
      <c r="L824" t="str">
        <f t="shared" ca="1" si="86"/>
        <v>Overstock</v>
      </c>
      <c r="M824" s="39">
        <f>IFERROR(VLOOKUP("Drug Substance",Controls!A:I,7,0),6)</f>
        <v>12</v>
      </c>
      <c r="N824" s="39">
        <f>IFERROR(VLOOKUP("Drug Substance",Controls!A:I,8,0),3)</f>
        <v>9</v>
      </c>
      <c r="O824" s="39">
        <f>IFERROR(VLOOKUP("Drug Substance",Controls!A:I,9,0),18)</f>
        <v>18</v>
      </c>
      <c r="P824" s="40">
        <f>IFERROR(VLOOKUP("Drug Substance",Controls!A:J,5,0),0)</f>
        <v>4.3</v>
      </c>
      <c r="Q824" s="39">
        <f>IFERROR(VLOOKUP("Drug Substance",Controls!A:J,6,0),3)</f>
        <v>5</v>
      </c>
      <c r="R824" s="21" t="str">
        <f>IFERROR(VLOOKUP("Drug Substance",Controls!A:K,10,0),"")</f>
        <v>ST Pharm (Oligo P1 F2)</v>
      </c>
      <c r="S824" s="41">
        <f t="shared" si="87"/>
        <v>49065</v>
      </c>
      <c r="T824" s="30">
        <f t="shared" si="88"/>
        <v>0</v>
      </c>
      <c r="AB824">
        <f t="shared" si="90"/>
        <v>71.368252314814811</v>
      </c>
    </row>
    <row r="825" spans="1:28" ht="13" customHeight="1" x14ac:dyDescent="0.35">
      <c r="A825" s="153">
        <v>49249</v>
      </c>
      <c r="B825" s="36" t="s">
        <v>45</v>
      </c>
      <c r="C825" s="15" t="s">
        <v>47</v>
      </c>
      <c r="D825" s="15" t="s">
        <v>48</v>
      </c>
      <c r="E825" s="30">
        <f>H824</f>
        <v>72.651747685185143</v>
      </c>
      <c r="F825" s="37">
        <f>IFERROR('Production Inputs'!$DM$27*Dependencies!$D$6+'Production Inputs'!$DM$32*Dependencies!$D$9+'Production Inputs'!$DM$26*Dependencies!$D$8+'Production Inputs'!$DM$31*Dependencies!$D$10,0)</f>
        <v>0</v>
      </c>
      <c r="G825" s="37">
        <f t="array" ref="G825">IFERROR(SUMPRODUCT(('Production Inputs'!$A:$A="Drug Substance")*('Production Inputs'!$B:$B="TOTAL ACTIVE")*'Production Inputs'!$DM:$DM),0)</f>
        <v>0</v>
      </c>
      <c r="H825" s="30">
        <f t="shared" si="84"/>
        <v>72.651747685185143</v>
      </c>
      <c r="I825" s="30">
        <f ca="1">IFERROR(AVERAGEIF(OFFSET(F825,0,0,MIN(Controls!$B$8,COUNTIF(B825:B$1973,B825)),1),"&gt;"&amp;0),0)</f>
        <v>0</v>
      </c>
      <c r="J825" s="38">
        <f t="shared" ca="1" si="85"/>
        <v>999</v>
      </c>
      <c r="K825" s="30">
        <f t="shared" ca="1" si="89"/>
        <v>0</v>
      </c>
      <c r="L825" t="str">
        <f t="shared" ca="1" si="86"/>
        <v>Overstock</v>
      </c>
      <c r="M825" s="39">
        <f>IFERROR(VLOOKUP("Drug Substance",Controls!A:I,7,0),6)</f>
        <v>12</v>
      </c>
      <c r="N825" s="39">
        <f>IFERROR(VLOOKUP("Drug Substance",Controls!A:I,8,0),3)</f>
        <v>9</v>
      </c>
      <c r="O825" s="39">
        <f>IFERROR(VLOOKUP("Drug Substance",Controls!A:I,9,0),18)</f>
        <v>18</v>
      </c>
      <c r="P825" s="40">
        <f>IFERROR(VLOOKUP("Drug Substance",Controls!A:J,5,0),0)</f>
        <v>4.3</v>
      </c>
      <c r="Q825" s="39">
        <f>IFERROR(VLOOKUP("Drug Substance",Controls!A:J,6,0),3)</f>
        <v>5</v>
      </c>
      <c r="R825" s="21" t="str">
        <f>IFERROR(VLOOKUP("Drug Substance",Controls!A:K,10,0),"")</f>
        <v>ST Pharm (Oligo P1 F2)</v>
      </c>
      <c r="S825" s="41">
        <f t="shared" si="87"/>
        <v>49096</v>
      </c>
      <c r="T825" s="30">
        <f t="shared" si="88"/>
        <v>0</v>
      </c>
      <c r="AB825">
        <f t="shared" si="90"/>
        <v>71.368252314814811</v>
      </c>
    </row>
    <row r="826" spans="1:28" ht="13" customHeight="1" x14ac:dyDescent="0.35">
      <c r="A826" s="153">
        <v>49279</v>
      </c>
      <c r="B826" s="36" t="s">
        <v>45</v>
      </c>
      <c r="C826" s="15" t="s">
        <v>47</v>
      </c>
      <c r="D826" s="15" t="s">
        <v>48</v>
      </c>
      <c r="E826" s="30">
        <f>H825</f>
        <v>72.651747685185143</v>
      </c>
      <c r="F826" s="37">
        <f>IFERROR('Production Inputs'!$DN$27*Dependencies!$D$6+'Production Inputs'!$DN$32*Dependencies!$D$9+'Production Inputs'!$DN$26*Dependencies!$D$8+'Production Inputs'!$DN$31*Dependencies!$D$10,0)</f>
        <v>0</v>
      </c>
      <c r="G826" s="37">
        <f t="array" ref="G826">IFERROR(SUMPRODUCT(('Production Inputs'!$A:$A="Drug Substance")*('Production Inputs'!$B:$B="TOTAL ACTIVE")*'Production Inputs'!$DN:$DN),0)</f>
        <v>0</v>
      </c>
      <c r="H826" s="30">
        <f t="shared" si="84"/>
        <v>72.651747685185143</v>
      </c>
      <c r="I826" s="30">
        <f ca="1">IFERROR(AVERAGEIF(OFFSET(F826,0,0,MIN(Controls!$B$8,COUNTIF(B826:B$1973,B826)),1),"&gt;"&amp;0),0)</f>
        <v>0</v>
      </c>
      <c r="J826" s="38">
        <f t="shared" ca="1" si="85"/>
        <v>999</v>
      </c>
      <c r="K826" s="30">
        <f t="shared" ca="1" si="89"/>
        <v>0</v>
      </c>
      <c r="L826" t="str">
        <f t="shared" ca="1" si="86"/>
        <v>Overstock</v>
      </c>
      <c r="M826" s="39">
        <f>IFERROR(VLOOKUP("Drug Substance",Controls!A:I,7,0),6)</f>
        <v>12</v>
      </c>
      <c r="N826" s="39">
        <f>IFERROR(VLOOKUP("Drug Substance",Controls!A:I,8,0),3)</f>
        <v>9</v>
      </c>
      <c r="O826" s="39">
        <f>IFERROR(VLOOKUP("Drug Substance",Controls!A:I,9,0),18)</f>
        <v>18</v>
      </c>
      <c r="P826" s="40">
        <f>IFERROR(VLOOKUP("Drug Substance",Controls!A:J,5,0),0)</f>
        <v>4.3</v>
      </c>
      <c r="Q826" s="39">
        <f>IFERROR(VLOOKUP("Drug Substance",Controls!A:J,6,0),3)</f>
        <v>5</v>
      </c>
      <c r="R826" s="21" t="str">
        <f>IFERROR(VLOOKUP("Drug Substance",Controls!A:K,10,0),"")</f>
        <v>ST Pharm (Oligo P1 F2)</v>
      </c>
      <c r="S826" s="41">
        <f t="shared" si="87"/>
        <v>49126</v>
      </c>
      <c r="T826" s="30">
        <f t="shared" si="88"/>
        <v>0</v>
      </c>
      <c r="AB826">
        <f t="shared" si="90"/>
        <v>71.368252314814811</v>
      </c>
    </row>
    <row r="827" spans="1:28" ht="13" customHeight="1" x14ac:dyDescent="0.35">
      <c r="A827" s="153">
        <v>49310</v>
      </c>
      <c r="B827" s="36" t="s">
        <v>45</v>
      </c>
      <c r="C827" s="15" t="s">
        <v>47</v>
      </c>
      <c r="D827" s="15" t="s">
        <v>48</v>
      </c>
      <c r="E827" s="30">
        <f>H826</f>
        <v>72.651747685185143</v>
      </c>
      <c r="F827" s="37">
        <f>IFERROR('Production Inputs'!$DO$27*Dependencies!$D$6+'Production Inputs'!$DO$32*Dependencies!$D$9+'Production Inputs'!$DO$26*Dependencies!$D$8+'Production Inputs'!$DO$31*Dependencies!$D$10,0)</f>
        <v>0</v>
      </c>
      <c r="G827" s="37">
        <f t="array" ref="G827">IFERROR(SUMPRODUCT(('Production Inputs'!$A:$A="Drug Substance")*('Production Inputs'!$B:$B="TOTAL ACTIVE")*'Production Inputs'!$DO:$DO),0)</f>
        <v>0</v>
      </c>
      <c r="H827" s="30">
        <f t="shared" si="84"/>
        <v>72.651747685185143</v>
      </c>
      <c r="I827" s="30">
        <f ca="1">IFERROR(AVERAGEIF(OFFSET(F827,0,0,MIN(Controls!$B$8,COUNTIF(B827:B$1973,B827)),1),"&gt;"&amp;0),0)</f>
        <v>0</v>
      </c>
      <c r="J827" s="38">
        <f t="shared" ca="1" si="85"/>
        <v>999</v>
      </c>
      <c r="K827" s="30">
        <f t="shared" ca="1" si="89"/>
        <v>0</v>
      </c>
      <c r="L827" t="str">
        <f t="shared" ca="1" si="86"/>
        <v>Overstock</v>
      </c>
      <c r="M827" s="39">
        <f>IFERROR(VLOOKUP("Drug Substance",Controls!A:I,7,0),6)</f>
        <v>12</v>
      </c>
      <c r="N827" s="39">
        <f>IFERROR(VLOOKUP("Drug Substance",Controls!A:I,8,0),3)</f>
        <v>9</v>
      </c>
      <c r="O827" s="39">
        <f>IFERROR(VLOOKUP("Drug Substance",Controls!A:I,9,0),18)</f>
        <v>18</v>
      </c>
      <c r="P827" s="40">
        <f>IFERROR(VLOOKUP("Drug Substance",Controls!A:J,5,0),0)</f>
        <v>4.3</v>
      </c>
      <c r="Q827" s="39">
        <f>IFERROR(VLOOKUP("Drug Substance",Controls!A:J,6,0),3)</f>
        <v>5</v>
      </c>
      <c r="R827" s="21" t="str">
        <f>IFERROR(VLOOKUP("Drug Substance",Controls!A:K,10,0),"")</f>
        <v>ST Pharm (Oligo P1 F2)</v>
      </c>
      <c r="S827" s="41">
        <f t="shared" si="87"/>
        <v>49157</v>
      </c>
      <c r="T827" s="30">
        <f t="shared" si="88"/>
        <v>0</v>
      </c>
      <c r="AB827">
        <f t="shared" si="90"/>
        <v>71.368252314814811</v>
      </c>
    </row>
    <row r="828" spans="1:28" ht="13" customHeight="1" x14ac:dyDescent="0.35">
      <c r="A828" s="153">
        <v>49341</v>
      </c>
      <c r="B828" s="36" t="s">
        <v>45</v>
      </c>
      <c r="C828" s="15" t="s">
        <v>47</v>
      </c>
      <c r="D828" s="15" t="s">
        <v>48</v>
      </c>
      <c r="E828" s="30">
        <f>H827</f>
        <v>72.651747685185143</v>
      </c>
      <c r="F828" s="37">
        <f>IFERROR('Production Inputs'!$DP$27*Dependencies!$D$6+'Production Inputs'!$DP$32*Dependencies!$D$9+'Production Inputs'!$DP$26*Dependencies!$D$8+'Production Inputs'!$DP$31*Dependencies!$D$10,0)</f>
        <v>0</v>
      </c>
      <c r="G828" s="37">
        <f t="array" ref="G828">IFERROR(SUMPRODUCT(('Production Inputs'!$A:$A="Drug Substance")*('Production Inputs'!$B:$B="TOTAL ACTIVE")*'Production Inputs'!$DP:$DP),0)</f>
        <v>0</v>
      </c>
      <c r="H828" s="30">
        <f t="shared" si="84"/>
        <v>72.651747685185143</v>
      </c>
      <c r="I828" s="30">
        <f ca="1">IFERROR(AVERAGEIF(OFFSET(F828,0,0,MIN(Controls!$B$8,COUNTIF(B828:B$1973,B828)),1),"&gt;"&amp;0),0)</f>
        <v>0</v>
      </c>
      <c r="J828" s="38">
        <f t="shared" ca="1" si="85"/>
        <v>999</v>
      </c>
      <c r="K828" s="30">
        <f t="shared" ca="1" si="89"/>
        <v>0</v>
      </c>
      <c r="L828" t="str">
        <f t="shared" ca="1" si="86"/>
        <v>Overstock</v>
      </c>
      <c r="M828" s="39">
        <f>IFERROR(VLOOKUP("Drug Substance",Controls!A:I,7,0),6)</f>
        <v>12</v>
      </c>
      <c r="N828" s="39">
        <f>IFERROR(VLOOKUP("Drug Substance",Controls!A:I,8,0),3)</f>
        <v>9</v>
      </c>
      <c r="O828" s="39">
        <f>IFERROR(VLOOKUP("Drug Substance",Controls!A:I,9,0),18)</f>
        <v>18</v>
      </c>
      <c r="P828" s="40">
        <f>IFERROR(VLOOKUP("Drug Substance",Controls!A:J,5,0),0)</f>
        <v>4.3</v>
      </c>
      <c r="Q828" s="39">
        <f>IFERROR(VLOOKUP("Drug Substance",Controls!A:J,6,0),3)</f>
        <v>5</v>
      </c>
      <c r="R828" s="21" t="str">
        <f>IFERROR(VLOOKUP("Drug Substance",Controls!A:K,10,0),"")</f>
        <v>ST Pharm (Oligo P1 F2)</v>
      </c>
      <c r="S828" s="41">
        <f t="shared" si="87"/>
        <v>49188</v>
      </c>
      <c r="T828" s="30">
        <f t="shared" si="88"/>
        <v>0</v>
      </c>
      <c r="AB828">
        <f t="shared" si="90"/>
        <v>71.368252314814811</v>
      </c>
    </row>
    <row r="829" spans="1:28" ht="13" customHeight="1" x14ac:dyDescent="0.35">
      <c r="A829" s="153">
        <v>49369</v>
      </c>
      <c r="B829" s="36" t="s">
        <v>45</v>
      </c>
      <c r="C829" s="15" t="s">
        <v>47</v>
      </c>
      <c r="D829" s="15" t="s">
        <v>48</v>
      </c>
      <c r="E829" s="30">
        <f>H828</f>
        <v>72.651747685185143</v>
      </c>
      <c r="F829" s="37">
        <f>IFERROR('Production Inputs'!$DQ$27*Dependencies!$D$6+'Production Inputs'!$DQ$32*Dependencies!$D$9+'Production Inputs'!$DQ$26*Dependencies!$D$8+'Production Inputs'!$DQ$31*Dependencies!$D$10,0)</f>
        <v>0</v>
      </c>
      <c r="G829" s="37">
        <f t="array" ref="G829">IFERROR(SUMPRODUCT(('Production Inputs'!$A:$A="Drug Substance")*('Production Inputs'!$B:$B="TOTAL ACTIVE")*'Production Inputs'!$DQ:$DQ),0)</f>
        <v>0</v>
      </c>
      <c r="H829" s="30">
        <f t="shared" si="84"/>
        <v>72.651747685185143</v>
      </c>
      <c r="I829" s="30">
        <f ca="1">IFERROR(AVERAGEIF(OFFSET(F829,0,0,MIN(Controls!$B$8,COUNTIF(B829:B$1973,B829)),1),"&gt;"&amp;0),0)</f>
        <v>0</v>
      </c>
      <c r="J829" s="38">
        <f t="shared" ca="1" si="85"/>
        <v>999</v>
      </c>
      <c r="K829" s="30">
        <f t="shared" ca="1" si="89"/>
        <v>0</v>
      </c>
      <c r="L829" t="str">
        <f t="shared" ca="1" si="86"/>
        <v>Overstock</v>
      </c>
      <c r="M829" s="39">
        <f>IFERROR(VLOOKUP("Drug Substance",Controls!A:I,7,0),6)</f>
        <v>12</v>
      </c>
      <c r="N829" s="39">
        <f>IFERROR(VLOOKUP("Drug Substance",Controls!A:I,8,0),3)</f>
        <v>9</v>
      </c>
      <c r="O829" s="39">
        <f>IFERROR(VLOOKUP("Drug Substance",Controls!A:I,9,0),18)</f>
        <v>18</v>
      </c>
      <c r="P829" s="40">
        <f>IFERROR(VLOOKUP("Drug Substance",Controls!A:J,5,0),0)</f>
        <v>4.3</v>
      </c>
      <c r="Q829" s="39">
        <f>IFERROR(VLOOKUP("Drug Substance",Controls!A:J,6,0),3)</f>
        <v>5</v>
      </c>
      <c r="R829" s="21" t="str">
        <f>IFERROR(VLOOKUP("Drug Substance",Controls!A:K,10,0),"")</f>
        <v>ST Pharm (Oligo P1 F2)</v>
      </c>
      <c r="S829" s="41">
        <f t="shared" si="87"/>
        <v>49218</v>
      </c>
      <c r="T829" s="30">
        <f t="shared" si="88"/>
        <v>0</v>
      </c>
      <c r="AB829">
        <f t="shared" si="90"/>
        <v>71.368252314814811</v>
      </c>
    </row>
    <row r="830" spans="1:28" ht="13" customHeight="1" x14ac:dyDescent="0.35">
      <c r="A830" s="153">
        <v>49400</v>
      </c>
      <c r="B830" s="36" t="s">
        <v>45</v>
      </c>
      <c r="C830" s="15" t="s">
        <v>47</v>
      </c>
      <c r="D830" s="15" t="s">
        <v>48</v>
      </c>
      <c r="E830" s="30">
        <f>H829</f>
        <v>72.651747685185143</v>
      </c>
      <c r="F830" s="37">
        <f>IFERROR('Production Inputs'!$DR$27*Dependencies!$D$6+'Production Inputs'!$DR$32*Dependencies!$D$9+'Production Inputs'!$DR$26*Dependencies!$D$8+'Production Inputs'!$DR$31*Dependencies!$D$10,0)</f>
        <v>0</v>
      </c>
      <c r="G830" s="37">
        <f t="array" ref="G830">IFERROR(SUMPRODUCT(('Production Inputs'!$A:$A="Drug Substance")*('Production Inputs'!$B:$B="TOTAL ACTIVE")*'Production Inputs'!$DR:$DR),0)</f>
        <v>0</v>
      </c>
      <c r="H830" s="30">
        <f t="shared" si="84"/>
        <v>72.651747685185143</v>
      </c>
      <c r="I830" s="30">
        <f ca="1">IFERROR(AVERAGEIF(OFFSET(F830,0,0,MIN(Controls!$B$8,COUNTIF(B830:B$1973,B830)),1),"&gt;"&amp;0),0)</f>
        <v>0</v>
      </c>
      <c r="J830" s="38">
        <f t="shared" ca="1" si="85"/>
        <v>999</v>
      </c>
      <c r="K830" s="30">
        <f t="shared" ca="1" si="89"/>
        <v>0</v>
      </c>
      <c r="L830" t="str">
        <f t="shared" ca="1" si="86"/>
        <v>Overstock</v>
      </c>
      <c r="M830" s="39">
        <f>IFERROR(VLOOKUP("Drug Substance",Controls!A:I,7,0),6)</f>
        <v>12</v>
      </c>
      <c r="N830" s="39">
        <f>IFERROR(VLOOKUP("Drug Substance",Controls!A:I,8,0),3)</f>
        <v>9</v>
      </c>
      <c r="O830" s="39">
        <f>IFERROR(VLOOKUP("Drug Substance",Controls!A:I,9,0),18)</f>
        <v>18</v>
      </c>
      <c r="P830" s="40">
        <f>IFERROR(VLOOKUP("Drug Substance",Controls!A:J,5,0),0)</f>
        <v>4.3</v>
      </c>
      <c r="Q830" s="39">
        <f>IFERROR(VLOOKUP("Drug Substance",Controls!A:J,6,0),3)</f>
        <v>5</v>
      </c>
      <c r="R830" s="21" t="str">
        <f>IFERROR(VLOOKUP("Drug Substance",Controls!A:K,10,0),"")</f>
        <v>ST Pharm (Oligo P1 F2)</v>
      </c>
      <c r="S830" s="41">
        <f t="shared" si="87"/>
        <v>49249</v>
      </c>
      <c r="T830" s="30">
        <f t="shared" si="88"/>
        <v>0</v>
      </c>
      <c r="AB830">
        <f t="shared" si="90"/>
        <v>71.368252314814811</v>
      </c>
    </row>
    <row r="831" spans="1:28" ht="13" customHeight="1" x14ac:dyDescent="0.35">
      <c r="A831" s="153">
        <v>49430</v>
      </c>
      <c r="B831" s="36" t="s">
        <v>45</v>
      </c>
      <c r="C831" s="15" t="s">
        <v>47</v>
      </c>
      <c r="D831" s="15" t="s">
        <v>48</v>
      </c>
      <c r="E831" s="30">
        <f>H830</f>
        <v>72.651747685185143</v>
      </c>
      <c r="F831" s="37">
        <f>IFERROR('Production Inputs'!$DS$27*Dependencies!$D$6+'Production Inputs'!$DS$32*Dependencies!$D$9+'Production Inputs'!$DS$26*Dependencies!$D$8+'Production Inputs'!$DS$31*Dependencies!$D$10,0)</f>
        <v>0</v>
      </c>
      <c r="G831" s="37">
        <f t="array" ref="G831">IFERROR(SUMPRODUCT(('Production Inputs'!$A:$A="Drug Substance")*('Production Inputs'!$B:$B="TOTAL ACTIVE")*'Production Inputs'!$DS:$DS),0)</f>
        <v>0</v>
      </c>
      <c r="H831" s="30">
        <f t="shared" si="84"/>
        <v>72.651747685185143</v>
      </c>
      <c r="I831" s="30">
        <f ca="1">IFERROR(AVERAGEIF(OFFSET(F831,0,0,MIN(Controls!$B$8,COUNTIF(B831:B$1973,B831)),1),"&gt;"&amp;0),0)</f>
        <v>0</v>
      </c>
      <c r="J831" s="38">
        <f t="shared" ca="1" si="85"/>
        <v>999</v>
      </c>
      <c r="K831" s="30">
        <f t="shared" ca="1" si="89"/>
        <v>0</v>
      </c>
      <c r="L831" t="str">
        <f t="shared" ca="1" si="86"/>
        <v>Overstock</v>
      </c>
      <c r="M831" s="39">
        <f>IFERROR(VLOOKUP("Drug Substance",Controls!A:I,7,0),6)</f>
        <v>12</v>
      </c>
      <c r="N831" s="39">
        <f>IFERROR(VLOOKUP("Drug Substance",Controls!A:I,8,0),3)</f>
        <v>9</v>
      </c>
      <c r="O831" s="39">
        <f>IFERROR(VLOOKUP("Drug Substance",Controls!A:I,9,0),18)</f>
        <v>18</v>
      </c>
      <c r="P831" s="40">
        <f>IFERROR(VLOOKUP("Drug Substance",Controls!A:J,5,0),0)</f>
        <v>4.3</v>
      </c>
      <c r="Q831" s="39">
        <f>IFERROR(VLOOKUP("Drug Substance",Controls!A:J,6,0),3)</f>
        <v>5</v>
      </c>
      <c r="R831" s="21" t="str">
        <f>IFERROR(VLOOKUP("Drug Substance",Controls!A:K,10,0),"")</f>
        <v>ST Pharm (Oligo P1 F2)</v>
      </c>
      <c r="S831" s="41">
        <f t="shared" si="87"/>
        <v>49279</v>
      </c>
      <c r="T831" s="30">
        <f t="shared" si="88"/>
        <v>0</v>
      </c>
      <c r="AB831">
        <f t="shared" si="90"/>
        <v>71.368252314814811</v>
      </c>
    </row>
    <row r="832" spans="1:28" ht="13" customHeight="1" x14ac:dyDescent="0.35">
      <c r="A832" s="153">
        <v>49461</v>
      </c>
      <c r="B832" s="36" t="s">
        <v>45</v>
      </c>
      <c r="C832" s="15" t="s">
        <v>47</v>
      </c>
      <c r="D832" s="15" t="s">
        <v>48</v>
      </c>
      <c r="E832" s="30">
        <f>H831</f>
        <v>72.651747685185143</v>
      </c>
      <c r="F832" s="37">
        <f>IFERROR('Production Inputs'!$DT$27*Dependencies!$D$6+'Production Inputs'!$DT$32*Dependencies!$D$9+'Production Inputs'!$DT$26*Dependencies!$D$8+'Production Inputs'!$DT$31*Dependencies!$D$10,0)</f>
        <v>0</v>
      </c>
      <c r="G832" s="37">
        <f t="array" ref="G832">IFERROR(SUMPRODUCT(('Production Inputs'!$A:$A="Drug Substance")*('Production Inputs'!$B:$B="TOTAL ACTIVE")*'Production Inputs'!$DT:$DT),0)</f>
        <v>0</v>
      </c>
      <c r="H832" s="30">
        <f t="shared" si="84"/>
        <v>72.651747685185143</v>
      </c>
      <c r="I832" s="30">
        <f ca="1">IFERROR(AVERAGEIF(OFFSET(F832,0,0,MIN(Controls!$B$8,COUNTIF(B832:B$1973,B832)),1),"&gt;"&amp;0),0)</f>
        <v>0</v>
      </c>
      <c r="J832" s="38">
        <f t="shared" ca="1" si="85"/>
        <v>999</v>
      </c>
      <c r="K832" s="30">
        <f t="shared" ca="1" si="89"/>
        <v>0</v>
      </c>
      <c r="L832" t="str">
        <f t="shared" ca="1" si="86"/>
        <v>Overstock</v>
      </c>
      <c r="M832" s="39">
        <f>IFERROR(VLOOKUP("Drug Substance",Controls!A:I,7,0),6)</f>
        <v>12</v>
      </c>
      <c r="N832" s="39">
        <f>IFERROR(VLOOKUP("Drug Substance",Controls!A:I,8,0),3)</f>
        <v>9</v>
      </c>
      <c r="O832" s="39">
        <f>IFERROR(VLOOKUP("Drug Substance",Controls!A:I,9,0),18)</f>
        <v>18</v>
      </c>
      <c r="P832" s="40">
        <f>IFERROR(VLOOKUP("Drug Substance",Controls!A:J,5,0),0)</f>
        <v>4.3</v>
      </c>
      <c r="Q832" s="39">
        <f>IFERROR(VLOOKUP("Drug Substance",Controls!A:J,6,0),3)</f>
        <v>5</v>
      </c>
      <c r="R832" s="21" t="str">
        <f>IFERROR(VLOOKUP("Drug Substance",Controls!A:K,10,0),"")</f>
        <v>ST Pharm (Oligo P1 F2)</v>
      </c>
      <c r="S832" s="41">
        <f t="shared" si="87"/>
        <v>49310</v>
      </c>
      <c r="T832" s="30">
        <f t="shared" si="88"/>
        <v>0</v>
      </c>
      <c r="AB832">
        <f t="shared" si="90"/>
        <v>71.368252314814811</v>
      </c>
    </row>
    <row r="833" spans="1:28" ht="13" customHeight="1" x14ac:dyDescent="0.35">
      <c r="A833" s="153">
        <v>49491</v>
      </c>
      <c r="B833" s="36" t="s">
        <v>45</v>
      </c>
      <c r="C833" s="15" t="s">
        <v>47</v>
      </c>
      <c r="D833" s="15" t="s">
        <v>48</v>
      </c>
      <c r="E833" s="30">
        <f>H832</f>
        <v>72.651747685185143</v>
      </c>
      <c r="F833" s="37">
        <f>IFERROR('Production Inputs'!$DU$27*Dependencies!$D$6+'Production Inputs'!$DU$32*Dependencies!$D$9+'Production Inputs'!$DU$26*Dependencies!$D$8+'Production Inputs'!$DU$31*Dependencies!$D$10,0)</f>
        <v>0</v>
      </c>
      <c r="G833" s="37">
        <f t="array" ref="G833">IFERROR(SUMPRODUCT(('Production Inputs'!$A:$A="Drug Substance")*('Production Inputs'!$B:$B="TOTAL ACTIVE")*'Production Inputs'!$DU:$DU),0)</f>
        <v>0</v>
      </c>
      <c r="H833" s="30">
        <f t="shared" si="84"/>
        <v>72.651747685185143</v>
      </c>
      <c r="I833" s="30">
        <f ca="1">IFERROR(AVERAGEIF(OFFSET(F833,0,0,MIN(Controls!$B$8,COUNTIF(B833:B$1973,B833)),1),"&gt;"&amp;0),0)</f>
        <v>0</v>
      </c>
      <c r="J833" s="38">
        <f t="shared" ca="1" si="85"/>
        <v>999</v>
      </c>
      <c r="K833" s="30">
        <f t="shared" ca="1" si="89"/>
        <v>0</v>
      </c>
      <c r="L833" t="str">
        <f t="shared" ca="1" si="86"/>
        <v>Overstock</v>
      </c>
      <c r="M833" s="39">
        <f>IFERROR(VLOOKUP("Drug Substance",Controls!A:I,7,0),6)</f>
        <v>12</v>
      </c>
      <c r="N833" s="39">
        <f>IFERROR(VLOOKUP("Drug Substance",Controls!A:I,8,0),3)</f>
        <v>9</v>
      </c>
      <c r="O833" s="39">
        <f>IFERROR(VLOOKUP("Drug Substance",Controls!A:I,9,0),18)</f>
        <v>18</v>
      </c>
      <c r="P833" s="40">
        <f>IFERROR(VLOOKUP("Drug Substance",Controls!A:J,5,0),0)</f>
        <v>4.3</v>
      </c>
      <c r="Q833" s="39">
        <f>IFERROR(VLOOKUP("Drug Substance",Controls!A:J,6,0),3)</f>
        <v>5</v>
      </c>
      <c r="R833" s="21" t="str">
        <f>IFERROR(VLOOKUP("Drug Substance",Controls!A:K,10,0),"")</f>
        <v>ST Pharm (Oligo P1 F2)</v>
      </c>
      <c r="S833" s="41">
        <f t="shared" si="87"/>
        <v>49341</v>
      </c>
      <c r="T833" s="30">
        <f t="shared" si="88"/>
        <v>0</v>
      </c>
      <c r="AB833">
        <f t="shared" si="90"/>
        <v>71.368252314814811</v>
      </c>
    </row>
    <row r="834" spans="1:28" ht="13" customHeight="1" x14ac:dyDescent="0.35">
      <c r="A834" s="153">
        <v>49522</v>
      </c>
      <c r="B834" s="36" t="s">
        <v>45</v>
      </c>
      <c r="C834" s="15" t="s">
        <v>47</v>
      </c>
      <c r="D834" s="15" t="s">
        <v>48</v>
      </c>
      <c r="E834" s="30">
        <f>H833</f>
        <v>72.651747685185143</v>
      </c>
      <c r="F834" s="37">
        <f>IFERROR('Production Inputs'!$DV$27*Dependencies!$D$6+'Production Inputs'!$DV$32*Dependencies!$D$9+'Production Inputs'!$DV$26*Dependencies!$D$8+'Production Inputs'!$DV$31*Dependencies!$D$10,0)</f>
        <v>0</v>
      </c>
      <c r="G834" s="37">
        <f t="array" ref="G834">IFERROR(SUMPRODUCT(('Production Inputs'!$A:$A="Drug Substance")*('Production Inputs'!$B:$B="TOTAL ACTIVE")*'Production Inputs'!$DV:$DV),0)</f>
        <v>0</v>
      </c>
      <c r="H834" s="30">
        <f t="shared" si="84"/>
        <v>72.651747685185143</v>
      </c>
      <c r="I834" s="30">
        <f ca="1">IFERROR(AVERAGEIF(OFFSET(F834,0,0,MIN(Controls!$B$8,COUNTIF(B834:B$1973,B834)),1),"&gt;"&amp;0),0)</f>
        <v>0</v>
      </c>
      <c r="J834" s="38">
        <f t="shared" ca="1" si="85"/>
        <v>999</v>
      </c>
      <c r="K834" s="30">
        <f t="shared" ca="1" si="89"/>
        <v>0</v>
      </c>
      <c r="L834" t="str">
        <f t="shared" ca="1" si="86"/>
        <v>Overstock</v>
      </c>
      <c r="M834" s="39">
        <f>IFERROR(VLOOKUP("Drug Substance",Controls!A:I,7,0),6)</f>
        <v>12</v>
      </c>
      <c r="N834" s="39">
        <f>IFERROR(VLOOKUP("Drug Substance",Controls!A:I,8,0),3)</f>
        <v>9</v>
      </c>
      <c r="O834" s="39">
        <f>IFERROR(VLOOKUP("Drug Substance",Controls!A:I,9,0),18)</f>
        <v>18</v>
      </c>
      <c r="P834" s="40">
        <f>IFERROR(VLOOKUP("Drug Substance",Controls!A:J,5,0),0)</f>
        <v>4.3</v>
      </c>
      <c r="Q834" s="39">
        <f>IFERROR(VLOOKUP("Drug Substance",Controls!A:J,6,0),3)</f>
        <v>5</v>
      </c>
      <c r="R834" s="21" t="str">
        <f>IFERROR(VLOOKUP("Drug Substance",Controls!A:K,10,0),"")</f>
        <v>ST Pharm (Oligo P1 F2)</v>
      </c>
      <c r="S834" s="41">
        <f t="shared" si="87"/>
        <v>49369</v>
      </c>
      <c r="T834" s="30">
        <f t="shared" si="88"/>
        <v>0</v>
      </c>
      <c r="AB834">
        <f t="shared" si="90"/>
        <v>71.368252314814811</v>
      </c>
    </row>
    <row r="835" spans="1:28" ht="13" customHeight="1" x14ac:dyDescent="0.35">
      <c r="A835" s="153">
        <v>49553</v>
      </c>
      <c r="B835" s="36" t="s">
        <v>45</v>
      </c>
      <c r="C835" s="15" t="s">
        <v>47</v>
      </c>
      <c r="D835" s="15" t="s">
        <v>48</v>
      </c>
      <c r="E835" s="30">
        <f>H834</f>
        <v>72.651747685185143</v>
      </c>
      <c r="F835" s="37">
        <f>IFERROR('Production Inputs'!$DW$27*Dependencies!$D$6+'Production Inputs'!$DW$32*Dependencies!$D$9+'Production Inputs'!$DW$26*Dependencies!$D$8+'Production Inputs'!$DW$31*Dependencies!$D$10,0)</f>
        <v>0</v>
      </c>
      <c r="G835" s="37">
        <f t="array" ref="G835">IFERROR(SUMPRODUCT(('Production Inputs'!$A:$A="Drug Substance")*('Production Inputs'!$B:$B="TOTAL ACTIVE")*'Production Inputs'!$DW:$DW),0)</f>
        <v>0</v>
      </c>
      <c r="H835" s="30">
        <f t="shared" si="84"/>
        <v>72.651747685185143</v>
      </c>
      <c r="I835" s="30">
        <f ca="1">IFERROR(AVERAGEIF(OFFSET(F835,0,0,MIN(Controls!$B$8,COUNTIF(B835:B$1973,B835)),1),"&gt;"&amp;0),0)</f>
        <v>0</v>
      </c>
      <c r="J835" s="38">
        <f t="shared" ca="1" si="85"/>
        <v>999</v>
      </c>
      <c r="K835" s="30">
        <f t="shared" ca="1" si="89"/>
        <v>0</v>
      </c>
      <c r="L835" t="str">
        <f t="shared" ca="1" si="86"/>
        <v>Overstock</v>
      </c>
      <c r="M835" s="39">
        <f>IFERROR(VLOOKUP("Drug Substance",Controls!A:I,7,0),6)</f>
        <v>12</v>
      </c>
      <c r="N835" s="39">
        <f>IFERROR(VLOOKUP("Drug Substance",Controls!A:I,8,0),3)</f>
        <v>9</v>
      </c>
      <c r="O835" s="39">
        <f>IFERROR(VLOOKUP("Drug Substance",Controls!A:I,9,0),18)</f>
        <v>18</v>
      </c>
      <c r="P835" s="40">
        <f>IFERROR(VLOOKUP("Drug Substance",Controls!A:J,5,0),0)</f>
        <v>4.3</v>
      </c>
      <c r="Q835" s="39">
        <f>IFERROR(VLOOKUP("Drug Substance",Controls!A:J,6,0),3)</f>
        <v>5</v>
      </c>
      <c r="R835" s="21" t="str">
        <f>IFERROR(VLOOKUP("Drug Substance",Controls!A:K,10,0),"")</f>
        <v>ST Pharm (Oligo P1 F2)</v>
      </c>
      <c r="S835" s="41">
        <f t="shared" si="87"/>
        <v>49400</v>
      </c>
      <c r="T835" s="30">
        <f t="shared" si="88"/>
        <v>0</v>
      </c>
      <c r="AB835">
        <f t="shared" si="90"/>
        <v>71.368252314814811</v>
      </c>
    </row>
    <row r="836" spans="1:28" ht="13" customHeight="1" x14ac:dyDescent="0.35">
      <c r="A836" s="153">
        <v>49583</v>
      </c>
      <c r="B836" s="36" t="s">
        <v>45</v>
      </c>
      <c r="C836" s="15" t="s">
        <v>47</v>
      </c>
      <c r="D836" s="15" t="s">
        <v>48</v>
      </c>
      <c r="E836" s="30">
        <f>H835</f>
        <v>72.651747685185143</v>
      </c>
      <c r="F836" s="37">
        <f>IFERROR('Production Inputs'!$DX$27*Dependencies!$D$6+'Production Inputs'!$DX$32*Dependencies!$D$9+'Production Inputs'!$DX$26*Dependencies!$D$8+'Production Inputs'!$DX$31*Dependencies!$D$10,0)</f>
        <v>0</v>
      </c>
      <c r="G836" s="37">
        <f t="array" ref="G836">IFERROR(SUMPRODUCT(('Production Inputs'!$A:$A="Drug Substance")*('Production Inputs'!$B:$B="TOTAL ACTIVE")*'Production Inputs'!$DX:$DX),0)</f>
        <v>0</v>
      </c>
      <c r="H836" s="30">
        <f t="shared" ref="H836:H899" si="91">E836+G836-F836</f>
        <v>72.651747685185143</v>
      </c>
      <c r="I836" s="30">
        <f ca="1">IFERROR(AVERAGEIF(OFFSET(F836,0,0,MIN(Controls!$B$8,COUNTIF(B836:B$1973,B836)),1),"&gt;"&amp;0),0)</f>
        <v>0</v>
      </c>
      <c r="J836" s="38">
        <f t="shared" ref="J836:J899" ca="1" si="92">IFERROR(H836/I836,IF(H836&gt;0,999,0))</f>
        <v>999</v>
      </c>
      <c r="K836" s="30">
        <f t="shared" ca="1" si="89"/>
        <v>0</v>
      </c>
      <c r="L836" t="str">
        <f t="shared" ref="L836:L899" ca="1" si="93">IF(H836&lt;=0,"High",IF(J836&lt;N836,"High",IF(J836&lt;M836,"Medium",IF(J836&gt;O836,"Overstock","Low"))))</f>
        <v>Overstock</v>
      </c>
      <c r="M836" s="39">
        <f>IFERROR(VLOOKUP("Drug Substance",Controls!A:I,7,0),6)</f>
        <v>12</v>
      </c>
      <c r="N836" s="39">
        <f>IFERROR(VLOOKUP("Drug Substance",Controls!A:I,8,0),3)</f>
        <v>9</v>
      </c>
      <c r="O836" s="39">
        <f>IFERROR(VLOOKUP("Drug Substance",Controls!A:I,9,0),18)</f>
        <v>18</v>
      </c>
      <c r="P836" s="40">
        <f>IFERROR(VLOOKUP("Drug Substance",Controls!A:J,5,0),0)</f>
        <v>4.3</v>
      </c>
      <c r="Q836" s="39">
        <f>IFERROR(VLOOKUP("Drug Substance",Controls!A:J,6,0),3)</f>
        <v>5</v>
      </c>
      <c r="R836" s="21" t="str">
        <f>IFERROR(VLOOKUP("Drug Substance",Controls!A:K,10,0),"")</f>
        <v>ST Pharm (Oligo P1 F2)</v>
      </c>
      <c r="S836" s="41">
        <f t="shared" ref="S836:S899" si="94">IFERROR(EDATE(A836,-Q836),"")</f>
        <v>49430</v>
      </c>
      <c r="T836" s="30">
        <f t="shared" ref="T836:T899" si="95">G836</f>
        <v>0</v>
      </c>
      <c r="AB836">
        <f t="shared" si="90"/>
        <v>71.368252314814811</v>
      </c>
    </row>
    <row r="837" spans="1:28" ht="13" customHeight="1" x14ac:dyDescent="0.35">
      <c r="A837" s="153">
        <v>49614</v>
      </c>
      <c r="B837" s="36" t="s">
        <v>45</v>
      </c>
      <c r="C837" s="15" t="s">
        <v>47</v>
      </c>
      <c r="D837" s="15" t="s">
        <v>48</v>
      </c>
      <c r="E837" s="30">
        <f>H836</f>
        <v>72.651747685185143</v>
      </c>
      <c r="F837" s="37">
        <f>IFERROR('Production Inputs'!$DY$27*Dependencies!$D$6+'Production Inputs'!$DY$32*Dependencies!$D$9+'Production Inputs'!$DY$26*Dependencies!$D$8+'Production Inputs'!$DY$31*Dependencies!$D$10,0)</f>
        <v>0</v>
      </c>
      <c r="G837" s="37">
        <f t="array" ref="G837">IFERROR(SUMPRODUCT(('Production Inputs'!$A:$A="Drug Substance")*('Production Inputs'!$B:$B="TOTAL ACTIVE")*'Production Inputs'!$DY:$DY),0)</f>
        <v>0</v>
      </c>
      <c r="H837" s="30">
        <f t="shared" si="91"/>
        <v>72.651747685185143</v>
      </c>
      <c r="I837" s="30">
        <f ca="1">IFERROR(AVERAGEIF(OFFSET(F837,0,0,MIN(Controls!$B$8,COUNTIF(B837:B$1973,B837)),1),"&gt;"&amp;0),0)</f>
        <v>0</v>
      </c>
      <c r="J837" s="38">
        <f t="shared" ca="1" si="92"/>
        <v>999</v>
      </c>
      <c r="K837" s="30">
        <f t="shared" ref="K837:K900" ca="1" si="96">IFERROR(IF(H837&lt;(N837*I837), CEILING(MAX(0,ROUND((M837*I837-H837)/P837,0)*P837),P837), 0), 0)</f>
        <v>0</v>
      </c>
      <c r="L837" t="str">
        <f t="shared" ca="1" si="93"/>
        <v>Overstock</v>
      </c>
      <c r="M837" s="39">
        <f>IFERROR(VLOOKUP("Drug Substance",Controls!A:I,7,0),6)</f>
        <v>12</v>
      </c>
      <c r="N837" s="39">
        <f>IFERROR(VLOOKUP("Drug Substance",Controls!A:I,8,0),3)</f>
        <v>9</v>
      </c>
      <c r="O837" s="39">
        <f>IFERROR(VLOOKUP("Drug Substance",Controls!A:I,9,0),18)</f>
        <v>18</v>
      </c>
      <c r="P837" s="40">
        <f>IFERROR(VLOOKUP("Drug Substance",Controls!A:J,5,0),0)</f>
        <v>4.3</v>
      </c>
      <c r="Q837" s="39">
        <f>IFERROR(VLOOKUP("Drug Substance",Controls!A:J,6,0),3)</f>
        <v>5</v>
      </c>
      <c r="R837" s="21" t="str">
        <f>IFERROR(VLOOKUP("Drug Substance",Controls!A:K,10,0),"")</f>
        <v>ST Pharm (Oligo P1 F2)</v>
      </c>
      <c r="S837" s="41">
        <f t="shared" si="94"/>
        <v>49461</v>
      </c>
      <c r="T837" s="30">
        <f t="shared" si="95"/>
        <v>0</v>
      </c>
      <c r="AB837">
        <f t="shared" ref="AB837:AB900" si="97">SUMIFS($F$4:$F$2331,$B$4:$B$2331,B837,$A$4:$A$2331,"&lt;="&amp;A837)</f>
        <v>71.368252314814811</v>
      </c>
    </row>
    <row r="838" spans="1:28" ht="13" customHeight="1" x14ac:dyDescent="0.35">
      <c r="A838" s="153">
        <v>49644</v>
      </c>
      <c r="B838" s="36" t="s">
        <v>45</v>
      </c>
      <c r="C838" s="15" t="s">
        <v>47</v>
      </c>
      <c r="D838" s="15" t="s">
        <v>48</v>
      </c>
      <c r="E838" s="30">
        <f>H837</f>
        <v>72.651747685185143</v>
      </c>
      <c r="F838" s="37">
        <f>IFERROR('Production Inputs'!$DZ$27*Dependencies!$D$6+'Production Inputs'!$DZ$32*Dependencies!$D$9+'Production Inputs'!$DZ$26*Dependencies!$D$8+'Production Inputs'!$DZ$31*Dependencies!$D$10,0)</f>
        <v>0</v>
      </c>
      <c r="G838" s="37">
        <f t="array" ref="G838">IFERROR(SUMPRODUCT(('Production Inputs'!$A:$A="Drug Substance")*('Production Inputs'!$B:$B="TOTAL ACTIVE")*'Production Inputs'!$DZ:$DZ),0)</f>
        <v>0</v>
      </c>
      <c r="H838" s="30">
        <f t="shared" si="91"/>
        <v>72.651747685185143</v>
      </c>
      <c r="I838" s="30">
        <f ca="1">IFERROR(AVERAGEIF(OFFSET(F838,0,0,MIN(Controls!$B$8,COUNTIF(B838:B$1973,B838)),1),"&gt;"&amp;0),0)</f>
        <v>0</v>
      </c>
      <c r="J838" s="38">
        <f t="shared" ca="1" si="92"/>
        <v>999</v>
      </c>
      <c r="K838" s="30">
        <f t="shared" ca="1" si="96"/>
        <v>0</v>
      </c>
      <c r="L838" t="str">
        <f t="shared" ca="1" si="93"/>
        <v>Overstock</v>
      </c>
      <c r="M838" s="39">
        <f>IFERROR(VLOOKUP("Drug Substance",Controls!A:I,7,0),6)</f>
        <v>12</v>
      </c>
      <c r="N838" s="39">
        <f>IFERROR(VLOOKUP("Drug Substance",Controls!A:I,8,0),3)</f>
        <v>9</v>
      </c>
      <c r="O838" s="39">
        <f>IFERROR(VLOOKUP("Drug Substance",Controls!A:I,9,0),18)</f>
        <v>18</v>
      </c>
      <c r="P838" s="40">
        <f>IFERROR(VLOOKUP("Drug Substance",Controls!A:J,5,0),0)</f>
        <v>4.3</v>
      </c>
      <c r="Q838" s="39">
        <f>IFERROR(VLOOKUP("Drug Substance",Controls!A:J,6,0),3)</f>
        <v>5</v>
      </c>
      <c r="R838" s="21" t="str">
        <f>IFERROR(VLOOKUP("Drug Substance",Controls!A:K,10,0),"")</f>
        <v>ST Pharm (Oligo P1 F2)</v>
      </c>
      <c r="S838" s="41">
        <f t="shared" si="94"/>
        <v>49491</v>
      </c>
      <c r="T838" s="30">
        <f t="shared" si="95"/>
        <v>0</v>
      </c>
      <c r="AB838">
        <f t="shared" si="97"/>
        <v>71.368252314814811</v>
      </c>
    </row>
    <row r="839" spans="1:28" ht="13" customHeight="1" x14ac:dyDescent="0.35">
      <c r="A839" s="153">
        <v>49675</v>
      </c>
      <c r="B839" s="36" t="s">
        <v>45</v>
      </c>
      <c r="C839" s="15" t="s">
        <v>47</v>
      </c>
      <c r="D839" s="15" t="s">
        <v>48</v>
      </c>
      <c r="E839" s="30">
        <f>H838</f>
        <v>72.651747685185143</v>
      </c>
      <c r="F839" s="37">
        <f>IFERROR('Production Inputs'!$EA$27*Dependencies!$D$6+'Production Inputs'!$EA$32*Dependencies!$D$9+'Production Inputs'!$EA$26*Dependencies!$D$8+'Production Inputs'!$EA$31*Dependencies!$D$10,0)</f>
        <v>0</v>
      </c>
      <c r="G839" s="37">
        <f t="array" ref="G839">IFERROR(SUMPRODUCT(('Production Inputs'!$A:$A="Drug Substance")*('Production Inputs'!$B:$B="TOTAL ACTIVE")*'Production Inputs'!$EA:$EA),0)</f>
        <v>0</v>
      </c>
      <c r="H839" s="30">
        <f t="shared" si="91"/>
        <v>72.651747685185143</v>
      </c>
      <c r="I839" s="30">
        <f ca="1">IFERROR(AVERAGEIF(OFFSET(F839,0,0,MIN(Controls!$B$8,COUNTIF(B839:B$1973,B839)),1),"&gt;"&amp;0),0)</f>
        <v>0</v>
      </c>
      <c r="J839" s="38">
        <f t="shared" ca="1" si="92"/>
        <v>999</v>
      </c>
      <c r="K839" s="30">
        <f t="shared" ca="1" si="96"/>
        <v>0</v>
      </c>
      <c r="L839" t="str">
        <f t="shared" ca="1" si="93"/>
        <v>Overstock</v>
      </c>
      <c r="M839" s="39">
        <f>IFERROR(VLOOKUP("Drug Substance",Controls!A:I,7,0),6)</f>
        <v>12</v>
      </c>
      <c r="N839" s="39">
        <f>IFERROR(VLOOKUP("Drug Substance",Controls!A:I,8,0),3)</f>
        <v>9</v>
      </c>
      <c r="O839" s="39">
        <f>IFERROR(VLOOKUP("Drug Substance",Controls!A:I,9,0),18)</f>
        <v>18</v>
      </c>
      <c r="P839" s="40">
        <f>IFERROR(VLOOKUP("Drug Substance",Controls!A:J,5,0),0)</f>
        <v>4.3</v>
      </c>
      <c r="Q839" s="39">
        <f>IFERROR(VLOOKUP("Drug Substance",Controls!A:J,6,0),3)</f>
        <v>5</v>
      </c>
      <c r="R839" s="21" t="str">
        <f>IFERROR(VLOOKUP("Drug Substance",Controls!A:K,10,0),"")</f>
        <v>ST Pharm (Oligo P1 F2)</v>
      </c>
      <c r="S839" s="41">
        <f t="shared" si="94"/>
        <v>49522</v>
      </c>
      <c r="T839" s="30">
        <f t="shared" si="95"/>
        <v>0</v>
      </c>
      <c r="AB839">
        <f t="shared" si="97"/>
        <v>71.368252314814811</v>
      </c>
    </row>
    <row r="840" spans="1:28" ht="13" customHeight="1" x14ac:dyDescent="0.35">
      <c r="A840" s="153">
        <v>49706</v>
      </c>
      <c r="B840" s="36" t="s">
        <v>45</v>
      </c>
      <c r="C840" s="15" t="s">
        <v>47</v>
      </c>
      <c r="D840" s="15" t="s">
        <v>48</v>
      </c>
      <c r="E840" s="30">
        <f>H839</f>
        <v>72.651747685185143</v>
      </c>
      <c r="F840" s="37">
        <f>IFERROR('Production Inputs'!$EB$27*Dependencies!$D$6+'Production Inputs'!$EB$32*Dependencies!$D$9+'Production Inputs'!$EB$26*Dependencies!$D$8+'Production Inputs'!$EB$31*Dependencies!$D$10,0)</f>
        <v>0</v>
      </c>
      <c r="G840" s="37">
        <f t="array" ref="G840">IFERROR(SUMPRODUCT(('Production Inputs'!$A:$A="Drug Substance")*('Production Inputs'!$B:$B="TOTAL ACTIVE")*'Production Inputs'!$EB:$EB),0)</f>
        <v>0</v>
      </c>
      <c r="H840" s="30">
        <f t="shared" si="91"/>
        <v>72.651747685185143</v>
      </c>
      <c r="I840" s="30">
        <f ca="1">IFERROR(AVERAGEIF(OFFSET(F840,0,0,MIN(Controls!$B$8,COUNTIF(B840:B$1973,B840)),1),"&gt;"&amp;0),0)</f>
        <v>0</v>
      </c>
      <c r="J840" s="38">
        <f t="shared" ca="1" si="92"/>
        <v>999</v>
      </c>
      <c r="K840" s="30">
        <f t="shared" ca="1" si="96"/>
        <v>0</v>
      </c>
      <c r="L840" t="str">
        <f t="shared" ca="1" si="93"/>
        <v>Overstock</v>
      </c>
      <c r="M840" s="39">
        <f>IFERROR(VLOOKUP("Drug Substance",Controls!A:I,7,0),6)</f>
        <v>12</v>
      </c>
      <c r="N840" s="39">
        <f>IFERROR(VLOOKUP("Drug Substance",Controls!A:I,8,0),3)</f>
        <v>9</v>
      </c>
      <c r="O840" s="39">
        <f>IFERROR(VLOOKUP("Drug Substance",Controls!A:I,9,0),18)</f>
        <v>18</v>
      </c>
      <c r="P840" s="40">
        <f>IFERROR(VLOOKUP("Drug Substance",Controls!A:J,5,0),0)</f>
        <v>4.3</v>
      </c>
      <c r="Q840" s="39">
        <f>IFERROR(VLOOKUP("Drug Substance",Controls!A:J,6,0),3)</f>
        <v>5</v>
      </c>
      <c r="R840" s="21" t="str">
        <f>IFERROR(VLOOKUP("Drug Substance",Controls!A:K,10,0),"")</f>
        <v>ST Pharm (Oligo P1 F2)</v>
      </c>
      <c r="S840" s="41">
        <f t="shared" si="94"/>
        <v>49553</v>
      </c>
      <c r="T840" s="30">
        <f t="shared" si="95"/>
        <v>0</v>
      </c>
      <c r="AB840">
        <f t="shared" si="97"/>
        <v>71.368252314814811</v>
      </c>
    </row>
    <row r="841" spans="1:28" ht="13" customHeight="1" x14ac:dyDescent="0.35">
      <c r="A841" s="153">
        <v>49735</v>
      </c>
      <c r="B841" s="36" t="s">
        <v>45</v>
      </c>
      <c r="C841" s="15" t="s">
        <v>47</v>
      </c>
      <c r="D841" s="15" t="s">
        <v>48</v>
      </c>
      <c r="E841" s="30">
        <f>H840</f>
        <v>72.651747685185143</v>
      </c>
      <c r="F841" s="37">
        <f>IFERROR('Production Inputs'!$EC$27*Dependencies!$D$6+'Production Inputs'!$EC$32*Dependencies!$D$9+'Production Inputs'!$EC$26*Dependencies!$D$8+'Production Inputs'!$EC$31*Dependencies!$D$10,0)</f>
        <v>0</v>
      </c>
      <c r="G841" s="37">
        <f t="array" ref="G841">IFERROR(SUMPRODUCT(('Production Inputs'!$A:$A="Drug Substance")*('Production Inputs'!$B:$B="TOTAL ACTIVE")*'Production Inputs'!$EC:$EC),0)</f>
        <v>0</v>
      </c>
      <c r="H841" s="30">
        <f t="shared" si="91"/>
        <v>72.651747685185143</v>
      </c>
      <c r="I841" s="30">
        <f ca="1">IFERROR(AVERAGEIF(OFFSET(F841,0,0,MIN(Controls!$B$8,COUNTIF(B841:B$1973,B841)),1),"&gt;"&amp;0),0)</f>
        <v>0</v>
      </c>
      <c r="J841" s="38">
        <f t="shared" ca="1" si="92"/>
        <v>999</v>
      </c>
      <c r="K841" s="30">
        <f t="shared" ca="1" si="96"/>
        <v>0</v>
      </c>
      <c r="L841" t="str">
        <f t="shared" ca="1" si="93"/>
        <v>Overstock</v>
      </c>
      <c r="M841" s="39">
        <f>IFERROR(VLOOKUP("Drug Substance",Controls!A:I,7,0),6)</f>
        <v>12</v>
      </c>
      <c r="N841" s="39">
        <f>IFERROR(VLOOKUP("Drug Substance",Controls!A:I,8,0),3)</f>
        <v>9</v>
      </c>
      <c r="O841" s="39">
        <f>IFERROR(VLOOKUP("Drug Substance",Controls!A:I,9,0),18)</f>
        <v>18</v>
      </c>
      <c r="P841" s="40">
        <f>IFERROR(VLOOKUP("Drug Substance",Controls!A:J,5,0),0)</f>
        <v>4.3</v>
      </c>
      <c r="Q841" s="39">
        <f>IFERROR(VLOOKUP("Drug Substance",Controls!A:J,6,0),3)</f>
        <v>5</v>
      </c>
      <c r="R841" s="21" t="str">
        <f>IFERROR(VLOOKUP("Drug Substance",Controls!A:K,10,0),"")</f>
        <v>ST Pharm (Oligo P1 F2)</v>
      </c>
      <c r="S841" s="41">
        <f t="shared" si="94"/>
        <v>49583</v>
      </c>
      <c r="T841" s="30">
        <f t="shared" si="95"/>
        <v>0</v>
      </c>
      <c r="AB841">
        <f t="shared" si="97"/>
        <v>71.368252314814811</v>
      </c>
    </row>
    <row r="842" spans="1:28" ht="13" customHeight="1" x14ac:dyDescent="0.35">
      <c r="A842" s="153">
        <v>49766</v>
      </c>
      <c r="B842" s="36" t="s">
        <v>45</v>
      </c>
      <c r="C842" s="15" t="s">
        <v>47</v>
      </c>
      <c r="D842" s="15" t="s">
        <v>48</v>
      </c>
      <c r="E842" s="30">
        <f>H841</f>
        <v>72.651747685185143</v>
      </c>
      <c r="F842" s="37">
        <f>IFERROR('Production Inputs'!$ED$27*Dependencies!$D$6+'Production Inputs'!$ED$32*Dependencies!$D$9+'Production Inputs'!$ED$26*Dependencies!$D$8+'Production Inputs'!$ED$31*Dependencies!$D$10,0)</f>
        <v>0</v>
      </c>
      <c r="G842" s="37">
        <f t="array" ref="G842">IFERROR(SUMPRODUCT(('Production Inputs'!$A:$A="Drug Substance")*('Production Inputs'!$B:$B="TOTAL ACTIVE")*'Production Inputs'!$ED:$ED),0)</f>
        <v>0</v>
      </c>
      <c r="H842" s="30">
        <f t="shared" si="91"/>
        <v>72.651747685185143</v>
      </c>
      <c r="I842" s="30">
        <f ca="1">IFERROR(AVERAGEIF(OFFSET(F842,0,0,MIN(Controls!$B$8,COUNTIF(B842:B$1973,B842)),1),"&gt;"&amp;0),0)</f>
        <v>0</v>
      </c>
      <c r="J842" s="38">
        <f t="shared" ca="1" si="92"/>
        <v>999</v>
      </c>
      <c r="K842" s="30">
        <f t="shared" ca="1" si="96"/>
        <v>0</v>
      </c>
      <c r="L842" t="str">
        <f t="shared" ca="1" si="93"/>
        <v>Overstock</v>
      </c>
      <c r="M842" s="39">
        <f>IFERROR(VLOOKUP("Drug Substance",Controls!A:I,7,0),6)</f>
        <v>12</v>
      </c>
      <c r="N842" s="39">
        <f>IFERROR(VLOOKUP("Drug Substance",Controls!A:I,8,0),3)</f>
        <v>9</v>
      </c>
      <c r="O842" s="39">
        <f>IFERROR(VLOOKUP("Drug Substance",Controls!A:I,9,0),18)</f>
        <v>18</v>
      </c>
      <c r="P842" s="40">
        <f>IFERROR(VLOOKUP("Drug Substance",Controls!A:J,5,0),0)</f>
        <v>4.3</v>
      </c>
      <c r="Q842" s="39">
        <f>IFERROR(VLOOKUP("Drug Substance",Controls!A:J,6,0),3)</f>
        <v>5</v>
      </c>
      <c r="R842" s="21" t="str">
        <f>IFERROR(VLOOKUP("Drug Substance",Controls!A:K,10,0),"")</f>
        <v>ST Pharm (Oligo P1 F2)</v>
      </c>
      <c r="S842" s="41">
        <f t="shared" si="94"/>
        <v>49614</v>
      </c>
      <c r="T842" s="30">
        <f t="shared" si="95"/>
        <v>0</v>
      </c>
      <c r="AB842">
        <f t="shared" si="97"/>
        <v>71.368252314814811</v>
      </c>
    </row>
    <row r="843" spans="1:28" ht="13" customHeight="1" x14ac:dyDescent="0.35">
      <c r="A843" s="153">
        <v>49796</v>
      </c>
      <c r="B843" s="36" t="s">
        <v>45</v>
      </c>
      <c r="C843" s="15" t="s">
        <v>47</v>
      </c>
      <c r="D843" s="15" t="s">
        <v>48</v>
      </c>
      <c r="E843" s="30">
        <f>H842</f>
        <v>72.651747685185143</v>
      </c>
      <c r="F843" s="37">
        <f>IFERROR('Production Inputs'!$EE$27*Dependencies!$D$6+'Production Inputs'!$EE$32*Dependencies!$D$9+'Production Inputs'!$EE$26*Dependencies!$D$8+'Production Inputs'!$EE$31*Dependencies!$D$10,0)</f>
        <v>0</v>
      </c>
      <c r="G843" s="37">
        <f t="array" ref="G843">IFERROR(SUMPRODUCT(('Production Inputs'!$A:$A="Drug Substance")*('Production Inputs'!$B:$B="TOTAL ACTIVE")*'Production Inputs'!$EE:$EE),0)</f>
        <v>0</v>
      </c>
      <c r="H843" s="30">
        <f t="shared" si="91"/>
        <v>72.651747685185143</v>
      </c>
      <c r="I843" s="30">
        <f ca="1">IFERROR(AVERAGEIF(OFFSET(F843,0,0,MIN(Controls!$B$8,COUNTIF(B843:B$1973,B843)),1),"&gt;"&amp;0),0)</f>
        <v>0</v>
      </c>
      <c r="J843" s="38">
        <f t="shared" ca="1" si="92"/>
        <v>999</v>
      </c>
      <c r="K843" s="30">
        <f t="shared" ca="1" si="96"/>
        <v>0</v>
      </c>
      <c r="L843" t="str">
        <f t="shared" ca="1" si="93"/>
        <v>Overstock</v>
      </c>
      <c r="M843" s="39">
        <f>IFERROR(VLOOKUP("Drug Substance",Controls!A:I,7,0),6)</f>
        <v>12</v>
      </c>
      <c r="N843" s="39">
        <f>IFERROR(VLOOKUP("Drug Substance",Controls!A:I,8,0),3)</f>
        <v>9</v>
      </c>
      <c r="O843" s="39">
        <f>IFERROR(VLOOKUP("Drug Substance",Controls!A:I,9,0),18)</f>
        <v>18</v>
      </c>
      <c r="P843" s="40">
        <f>IFERROR(VLOOKUP("Drug Substance",Controls!A:J,5,0),0)</f>
        <v>4.3</v>
      </c>
      <c r="Q843" s="39">
        <f>IFERROR(VLOOKUP("Drug Substance",Controls!A:J,6,0),3)</f>
        <v>5</v>
      </c>
      <c r="R843" s="21" t="str">
        <f>IFERROR(VLOOKUP("Drug Substance",Controls!A:K,10,0),"")</f>
        <v>ST Pharm (Oligo P1 F2)</v>
      </c>
      <c r="S843" s="41">
        <f t="shared" si="94"/>
        <v>49644</v>
      </c>
      <c r="T843" s="30">
        <f t="shared" si="95"/>
        <v>0</v>
      </c>
      <c r="AB843">
        <f t="shared" si="97"/>
        <v>71.368252314814811</v>
      </c>
    </row>
    <row r="844" spans="1:28" ht="13" customHeight="1" x14ac:dyDescent="0.35">
      <c r="A844" s="153">
        <v>49827</v>
      </c>
      <c r="B844" s="36" t="s">
        <v>45</v>
      </c>
      <c r="C844" s="15" t="s">
        <v>47</v>
      </c>
      <c r="D844" s="15" t="s">
        <v>48</v>
      </c>
      <c r="E844" s="30">
        <f>H843</f>
        <v>72.651747685185143</v>
      </c>
      <c r="F844" s="37">
        <f>IFERROR('Production Inputs'!$EF$27*Dependencies!$D$6+'Production Inputs'!$EF$32*Dependencies!$D$9+'Production Inputs'!$EF$26*Dependencies!$D$8+'Production Inputs'!$EF$31*Dependencies!$D$10,0)</f>
        <v>0</v>
      </c>
      <c r="G844" s="37">
        <f t="array" ref="G844">IFERROR(SUMPRODUCT(('Production Inputs'!$A:$A="Drug Substance")*('Production Inputs'!$B:$B="TOTAL ACTIVE")*'Production Inputs'!$EF:$EF),0)</f>
        <v>0</v>
      </c>
      <c r="H844" s="30">
        <f t="shared" si="91"/>
        <v>72.651747685185143</v>
      </c>
      <c r="I844" s="30">
        <f ca="1">IFERROR(AVERAGEIF(OFFSET(F844,0,0,MIN(Controls!$B$8,COUNTIF(B844:B$1973,B844)),1),"&gt;"&amp;0),0)</f>
        <v>0</v>
      </c>
      <c r="J844" s="38">
        <f t="shared" ca="1" si="92"/>
        <v>999</v>
      </c>
      <c r="K844" s="30">
        <f t="shared" ca="1" si="96"/>
        <v>0</v>
      </c>
      <c r="L844" t="str">
        <f t="shared" ca="1" si="93"/>
        <v>Overstock</v>
      </c>
      <c r="M844" s="39">
        <f>IFERROR(VLOOKUP("Drug Substance",Controls!A:I,7,0),6)</f>
        <v>12</v>
      </c>
      <c r="N844" s="39">
        <f>IFERROR(VLOOKUP("Drug Substance",Controls!A:I,8,0),3)</f>
        <v>9</v>
      </c>
      <c r="O844" s="39">
        <f>IFERROR(VLOOKUP("Drug Substance",Controls!A:I,9,0),18)</f>
        <v>18</v>
      </c>
      <c r="P844" s="40">
        <f>IFERROR(VLOOKUP("Drug Substance",Controls!A:J,5,0),0)</f>
        <v>4.3</v>
      </c>
      <c r="Q844" s="39">
        <f>IFERROR(VLOOKUP("Drug Substance",Controls!A:J,6,0),3)</f>
        <v>5</v>
      </c>
      <c r="R844" s="21" t="str">
        <f>IFERROR(VLOOKUP("Drug Substance",Controls!A:K,10,0),"")</f>
        <v>ST Pharm (Oligo P1 F2)</v>
      </c>
      <c r="S844" s="41">
        <f t="shared" si="94"/>
        <v>49675</v>
      </c>
      <c r="T844" s="30">
        <f t="shared" si="95"/>
        <v>0</v>
      </c>
      <c r="AB844">
        <f t="shared" si="97"/>
        <v>71.368252314814811</v>
      </c>
    </row>
    <row r="845" spans="1:28" ht="13" customHeight="1" x14ac:dyDescent="0.35">
      <c r="A845" s="153">
        <v>49857</v>
      </c>
      <c r="B845" s="36" t="s">
        <v>45</v>
      </c>
      <c r="C845" s="15" t="s">
        <v>47</v>
      </c>
      <c r="D845" s="15" t="s">
        <v>48</v>
      </c>
      <c r="E845" s="30">
        <f>H844</f>
        <v>72.651747685185143</v>
      </c>
      <c r="F845" s="37">
        <f>IFERROR('Production Inputs'!$EG$27*Dependencies!$D$6+'Production Inputs'!$EG$32*Dependencies!$D$9+'Production Inputs'!$EG$26*Dependencies!$D$8+'Production Inputs'!$EG$31*Dependencies!$D$10,0)</f>
        <v>0</v>
      </c>
      <c r="G845" s="37">
        <f t="array" ref="G845">IFERROR(SUMPRODUCT(('Production Inputs'!$A:$A="Drug Substance")*('Production Inputs'!$B:$B="TOTAL ACTIVE")*'Production Inputs'!$EG:$EG),0)</f>
        <v>0</v>
      </c>
      <c r="H845" s="30">
        <f t="shared" si="91"/>
        <v>72.651747685185143</v>
      </c>
      <c r="I845" s="30">
        <f ca="1">IFERROR(AVERAGEIF(OFFSET(F845,0,0,MIN(Controls!$B$8,COUNTIF(B845:B$1973,B845)),1),"&gt;"&amp;0),0)</f>
        <v>0</v>
      </c>
      <c r="J845" s="38">
        <f t="shared" ca="1" si="92"/>
        <v>999</v>
      </c>
      <c r="K845" s="30">
        <f t="shared" ca="1" si="96"/>
        <v>0</v>
      </c>
      <c r="L845" t="str">
        <f t="shared" ca="1" si="93"/>
        <v>Overstock</v>
      </c>
      <c r="M845" s="39">
        <f>IFERROR(VLOOKUP("Drug Substance",Controls!A:I,7,0),6)</f>
        <v>12</v>
      </c>
      <c r="N845" s="39">
        <f>IFERROR(VLOOKUP("Drug Substance",Controls!A:I,8,0),3)</f>
        <v>9</v>
      </c>
      <c r="O845" s="39">
        <f>IFERROR(VLOOKUP("Drug Substance",Controls!A:I,9,0),18)</f>
        <v>18</v>
      </c>
      <c r="P845" s="40">
        <f>IFERROR(VLOOKUP("Drug Substance",Controls!A:J,5,0),0)</f>
        <v>4.3</v>
      </c>
      <c r="Q845" s="39">
        <f>IFERROR(VLOOKUP("Drug Substance",Controls!A:J,6,0),3)</f>
        <v>5</v>
      </c>
      <c r="R845" s="21" t="str">
        <f>IFERROR(VLOOKUP("Drug Substance",Controls!A:K,10,0),"")</f>
        <v>ST Pharm (Oligo P1 F2)</v>
      </c>
      <c r="S845" s="41">
        <f t="shared" si="94"/>
        <v>49706</v>
      </c>
      <c r="T845" s="30">
        <f t="shared" si="95"/>
        <v>0</v>
      </c>
      <c r="AB845">
        <f t="shared" si="97"/>
        <v>71.368252314814811</v>
      </c>
    </row>
    <row r="846" spans="1:28" ht="13" customHeight="1" x14ac:dyDescent="0.35">
      <c r="A846" s="153">
        <v>49888</v>
      </c>
      <c r="B846" s="36" t="s">
        <v>45</v>
      </c>
      <c r="C846" s="15" t="s">
        <v>47</v>
      </c>
      <c r="D846" s="15" t="s">
        <v>48</v>
      </c>
      <c r="E846" s="30">
        <f>H845</f>
        <v>72.651747685185143</v>
      </c>
      <c r="F846" s="37">
        <f>IFERROR('Production Inputs'!$EH$27*Dependencies!$D$6+'Production Inputs'!$EH$32*Dependencies!$D$9+'Production Inputs'!$EH$26*Dependencies!$D$8+'Production Inputs'!$EH$31*Dependencies!$D$10,0)</f>
        <v>0</v>
      </c>
      <c r="G846" s="37">
        <f t="array" ref="G846">IFERROR(SUMPRODUCT(('Production Inputs'!$A:$A="Drug Substance")*('Production Inputs'!$B:$B="TOTAL ACTIVE")*'Production Inputs'!$EH:$EH),0)</f>
        <v>0</v>
      </c>
      <c r="H846" s="30">
        <f t="shared" si="91"/>
        <v>72.651747685185143</v>
      </c>
      <c r="I846" s="30">
        <f ca="1">IFERROR(AVERAGEIF(OFFSET(F846,0,0,MIN(Controls!$B$8,COUNTIF(B846:B$1973,B846)),1),"&gt;"&amp;0),0)</f>
        <v>0</v>
      </c>
      <c r="J846" s="38">
        <f t="shared" ca="1" si="92"/>
        <v>999</v>
      </c>
      <c r="K846" s="30">
        <f t="shared" ca="1" si="96"/>
        <v>0</v>
      </c>
      <c r="L846" t="str">
        <f t="shared" ca="1" si="93"/>
        <v>Overstock</v>
      </c>
      <c r="M846" s="39">
        <f>IFERROR(VLOOKUP("Drug Substance",Controls!A:I,7,0),6)</f>
        <v>12</v>
      </c>
      <c r="N846" s="39">
        <f>IFERROR(VLOOKUP("Drug Substance",Controls!A:I,8,0),3)</f>
        <v>9</v>
      </c>
      <c r="O846" s="39">
        <f>IFERROR(VLOOKUP("Drug Substance",Controls!A:I,9,0),18)</f>
        <v>18</v>
      </c>
      <c r="P846" s="40">
        <f>IFERROR(VLOOKUP("Drug Substance",Controls!A:J,5,0),0)</f>
        <v>4.3</v>
      </c>
      <c r="Q846" s="39">
        <f>IFERROR(VLOOKUP("Drug Substance",Controls!A:J,6,0),3)</f>
        <v>5</v>
      </c>
      <c r="R846" s="21" t="str">
        <f>IFERROR(VLOOKUP("Drug Substance",Controls!A:K,10,0),"")</f>
        <v>ST Pharm (Oligo P1 F2)</v>
      </c>
      <c r="S846" s="41">
        <f t="shared" si="94"/>
        <v>49735</v>
      </c>
      <c r="T846" s="30">
        <f t="shared" si="95"/>
        <v>0</v>
      </c>
      <c r="AB846">
        <f t="shared" si="97"/>
        <v>71.368252314814811</v>
      </c>
    </row>
    <row r="847" spans="1:28" ht="13" customHeight="1" x14ac:dyDescent="0.35">
      <c r="A847" s="153">
        <v>49919</v>
      </c>
      <c r="B847" s="36" t="s">
        <v>45</v>
      </c>
      <c r="C847" s="15" t="s">
        <v>47</v>
      </c>
      <c r="D847" s="15" t="s">
        <v>48</v>
      </c>
      <c r="E847" s="30">
        <f>H846</f>
        <v>72.651747685185143</v>
      </c>
      <c r="F847" s="37">
        <f>IFERROR('Production Inputs'!$EI$27*Dependencies!$D$6+'Production Inputs'!$EI$32*Dependencies!$D$9+'Production Inputs'!$EI$26*Dependencies!$D$8+'Production Inputs'!$EI$31*Dependencies!$D$10,0)</f>
        <v>0</v>
      </c>
      <c r="G847" s="37">
        <f t="array" ref="G847">IFERROR(SUMPRODUCT(('Production Inputs'!$A:$A="Drug Substance")*('Production Inputs'!$B:$B="TOTAL ACTIVE")*'Production Inputs'!$EI:$EI),0)</f>
        <v>0</v>
      </c>
      <c r="H847" s="30">
        <f t="shared" si="91"/>
        <v>72.651747685185143</v>
      </c>
      <c r="I847" s="30">
        <f ca="1">IFERROR(AVERAGEIF(OFFSET(F847,0,0,MIN(Controls!$B$8,COUNTIF(B847:B$1973,B847)),1),"&gt;"&amp;0),0)</f>
        <v>0</v>
      </c>
      <c r="J847" s="38">
        <f t="shared" ca="1" si="92"/>
        <v>999</v>
      </c>
      <c r="K847" s="30">
        <f t="shared" ca="1" si="96"/>
        <v>0</v>
      </c>
      <c r="L847" t="str">
        <f t="shared" ca="1" si="93"/>
        <v>Overstock</v>
      </c>
      <c r="M847" s="39">
        <f>IFERROR(VLOOKUP("Drug Substance",Controls!A:I,7,0),6)</f>
        <v>12</v>
      </c>
      <c r="N847" s="39">
        <f>IFERROR(VLOOKUP("Drug Substance",Controls!A:I,8,0),3)</f>
        <v>9</v>
      </c>
      <c r="O847" s="39">
        <f>IFERROR(VLOOKUP("Drug Substance",Controls!A:I,9,0),18)</f>
        <v>18</v>
      </c>
      <c r="P847" s="40">
        <f>IFERROR(VLOOKUP("Drug Substance",Controls!A:J,5,0),0)</f>
        <v>4.3</v>
      </c>
      <c r="Q847" s="39">
        <f>IFERROR(VLOOKUP("Drug Substance",Controls!A:J,6,0),3)</f>
        <v>5</v>
      </c>
      <c r="R847" s="21" t="str">
        <f>IFERROR(VLOOKUP("Drug Substance",Controls!A:K,10,0),"")</f>
        <v>ST Pharm (Oligo P1 F2)</v>
      </c>
      <c r="S847" s="41">
        <f t="shared" si="94"/>
        <v>49766</v>
      </c>
      <c r="T847" s="30">
        <f t="shared" si="95"/>
        <v>0</v>
      </c>
      <c r="AB847">
        <f t="shared" si="97"/>
        <v>71.368252314814811</v>
      </c>
    </row>
    <row r="848" spans="1:28" ht="13" customHeight="1" x14ac:dyDescent="0.35">
      <c r="A848" s="153">
        <v>49949</v>
      </c>
      <c r="B848" s="36" t="s">
        <v>45</v>
      </c>
      <c r="C848" s="15" t="s">
        <v>47</v>
      </c>
      <c r="D848" s="15" t="s">
        <v>48</v>
      </c>
      <c r="E848" s="30">
        <f>H847</f>
        <v>72.651747685185143</v>
      </c>
      <c r="F848" s="37">
        <f>IFERROR('Production Inputs'!$EJ$27*Dependencies!$D$6+'Production Inputs'!$EJ$32*Dependencies!$D$9+'Production Inputs'!$EJ$26*Dependencies!$D$8+'Production Inputs'!$EJ$31*Dependencies!$D$10,0)</f>
        <v>0</v>
      </c>
      <c r="G848" s="37">
        <f t="array" ref="G848">IFERROR(SUMPRODUCT(('Production Inputs'!$A:$A="Drug Substance")*('Production Inputs'!$B:$B="TOTAL ACTIVE")*'Production Inputs'!$EJ:$EJ),0)</f>
        <v>0</v>
      </c>
      <c r="H848" s="30">
        <f t="shared" si="91"/>
        <v>72.651747685185143</v>
      </c>
      <c r="I848" s="30">
        <f ca="1">IFERROR(AVERAGEIF(OFFSET(F848,0,0,MIN(Controls!$B$8,COUNTIF(B848:B$1973,B848)),1),"&gt;"&amp;0),0)</f>
        <v>0</v>
      </c>
      <c r="J848" s="38">
        <f t="shared" ca="1" si="92"/>
        <v>999</v>
      </c>
      <c r="K848" s="30">
        <f t="shared" ca="1" si="96"/>
        <v>0</v>
      </c>
      <c r="L848" t="str">
        <f t="shared" ca="1" si="93"/>
        <v>Overstock</v>
      </c>
      <c r="M848" s="39">
        <f>IFERROR(VLOOKUP("Drug Substance",Controls!A:I,7,0),6)</f>
        <v>12</v>
      </c>
      <c r="N848" s="39">
        <f>IFERROR(VLOOKUP("Drug Substance",Controls!A:I,8,0),3)</f>
        <v>9</v>
      </c>
      <c r="O848" s="39">
        <f>IFERROR(VLOOKUP("Drug Substance",Controls!A:I,9,0),18)</f>
        <v>18</v>
      </c>
      <c r="P848" s="40">
        <f>IFERROR(VLOOKUP("Drug Substance",Controls!A:J,5,0),0)</f>
        <v>4.3</v>
      </c>
      <c r="Q848" s="39">
        <f>IFERROR(VLOOKUP("Drug Substance",Controls!A:J,6,0),3)</f>
        <v>5</v>
      </c>
      <c r="R848" s="21" t="str">
        <f>IFERROR(VLOOKUP("Drug Substance",Controls!A:K,10,0),"")</f>
        <v>ST Pharm (Oligo P1 F2)</v>
      </c>
      <c r="S848" s="41">
        <f t="shared" si="94"/>
        <v>49796</v>
      </c>
      <c r="T848" s="30">
        <f t="shared" si="95"/>
        <v>0</v>
      </c>
      <c r="AB848">
        <f t="shared" si="97"/>
        <v>71.368252314814811</v>
      </c>
    </row>
    <row r="849" spans="1:28" ht="13" customHeight="1" x14ac:dyDescent="0.35">
      <c r="A849" s="153">
        <v>49980</v>
      </c>
      <c r="B849" s="36" t="s">
        <v>45</v>
      </c>
      <c r="C849" s="15" t="s">
        <v>47</v>
      </c>
      <c r="D849" s="15" t="s">
        <v>48</v>
      </c>
      <c r="E849" s="30">
        <f>H848</f>
        <v>72.651747685185143</v>
      </c>
      <c r="F849" s="37">
        <f>IFERROR('Production Inputs'!$EK$27*Dependencies!$D$6+'Production Inputs'!$EK$32*Dependencies!$D$9+'Production Inputs'!$EK$26*Dependencies!$D$8+'Production Inputs'!$EK$31*Dependencies!$D$10,0)</f>
        <v>0</v>
      </c>
      <c r="G849" s="37">
        <f t="array" ref="G849">IFERROR(SUMPRODUCT(('Production Inputs'!$A:$A="Drug Substance")*('Production Inputs'!$B:$B="TOTAL ACTIVE")*'Production Inputs'!$EK:$EK),0)</f>
        <v>0</v>
      </c>
      <c r="H849" s="30">
        <f t="shared" si="91"/>
        <v>72.651747685185143</v>
      </c>
      <c r="I849" s="30">
        <f ca="1">IFERROR(AVERAGEIF(OFFSET(F849,0,0,MIN(Controls!$B$8,COUNTIF(B849:B$1973,B849)),1),"&gt;"&amp;0),0)</f>
        <v>0</v>
      </c>
      <c r="J849" s="38">
        <f t="shared" ca="1" si="92"/>
        <v>999</v>
      </c>
      <c r="K849" s="30">
        <f t="shared" ca="1" si="96"/>
        <v>0</v>
      </c>
      <c r="L849" t="str">
        <f t="shared" ca="1" si="93"/>
        <v>Overstock</v>
      </c>
      <c r="M849" s="39">
        <f>IFERROR(VLOOKUP("Drug Substance",Controls!A:I,7,0),6)</f>
        <v>12</v>
      </c>
      <c r="N849" s="39">
        <f>IFERROR(VLOOKUP("Drug Substance",Controls!A:I,8,0),3)</f>
        <v>9</v>
      </c>
      <c r="O849" s="39">
        <f>IFERROR(VLOOKUP("Drug Substance",Controls!A:I,9,0),18)</f>
        <v>18</v>
      </c>
      <c r="P849" s="40">
        <f>IFERROR(VLOOKUP("Drug Substance",Controls!A:J,5,0),0)</f>
        <v>4.3</v>
      </c>
      <c r="Q849" s="39">
        <f>IFERROR(VLOOKUP("Drug Substance",Controls!A:J,6,0),3)</f>
        <v>5</v>
      </c>
      <c r="R849" s="21" t="str">
        <f>IFERROR(VLOOKUP("Drug Substance",Controls!A:K,10,0),"")</f>
        <v>ST Pharm (Oligo P1 F2)</v>
      </c>
      <c r="S849" s="41">
        <f t="shared" si="94"/>
        <v>49827</v>
      </c>
      <c r="T849" s="30">
        <f t="shared" si="95"/>
        <v>0</v>
      </c>
      <c r="AB849">
        <f t="shared" si="97"/>
        <v>71.368252314814811</v>
      </c>
    </row>
    <row r="850" spans="1:28" ht="13" customHeight="1" x14ac:dyDescent="0.35">
      <c r="A850" s="153">
        <v>50010</v>
      </c>
      <c r="B850" s="36" t="s">
        <v>45</v>
      </c>
      <c r="C850" s="15" t="s">
        <v>47</v>
      </c>
      <c r="D850" s="15" t="s">
        <v>48</v>
      </c>
      <c r="E850" s="30">
        <f>H849</f>
        <v>72.651747685185143</v>
      </c>
      <c r="F850" s="37">
        <f>IFERROR('Production Inputs'!$EL$27*Dependencies!$D$6+'Production Inputs'!$EL$32*Dependencies!$D$9+'Production Inputs'!$EL$26*Dependencies!$D$8+'Production Inputs'!$EL$31*Dependencies!$D$10,0)</f>
        <v>0</v>
      </c>
      <c r="G850" s="37">
        <f t="array" ref="G850">IFERROR(SUMPRODUCT(('Production Inputs'!$A:$A="Drug Substance")*('Production Inputs'!$B:$B="TOTAL ACTIVE")*'Production Inputs'!$EL:$EL),0)</f>
        <v>0</v>
      </c>
      <c r="H850" s="30">
        <f t="shared" si="91"/>
        <v>72.651747685185143</v>
      </c>
      <c r="I850" s="30">
        <f ca="1">IFERROR(AVERAGEIF(OFFSET(F850,0,0,MIN(Controls!$B$8,COUNTIF(B850:B$1973,B850)),1),"&gt;"&amp;0),0)</f>
        <v>0</v>
      </c>
      <c r="J850" s="38">
        <f t="shared" ca="1" si="92"/>
        <v>999</v>
      </c>
      <c r="K850" s="30">
        <f t="shared" ca="1" si="96"/>
        <v>0</v>
      </c>
      <c r="L850" t="str">
        <f t="shared" ca="1" si="93"/>
        <v>Overstock</v>
      </c>
      <c r="M850" s="39">
        <f>IFERROR(VLOOKUP("Drug Substance",Controls!A:I,7,0),6)</f>
        <v>12</v>
      </c>
      <c r="N850" s="39">
        <f>IFERROR(VLOOKUP("Drug Substance",Controls!A:I,8,0),3)</f>
        <v>9</v>
      </c>
      <c r="O850" s="39">
        <f>IFERROR(VLOOKUP("Drug Substance",Controls!A:I,9,0),18)</f>
        <v>18</v>
      </c>
      <c r="P850" s="40">
        <f>IFERROR(VLOOKUP("Drug Substance",Controls!A:J,5,0),0)</f>
        <v>4.3</v>
      </c>
      <c r="Q850" s="39">
        <f>IFERROR(VLOOKUP("Drug Substance",Controls!A:J,6,0),3)</f>
        <v>5</v>
      </c>
      <c r="R850" s="21" t="str">
        <f>IFERROR(VLOOKUP("Drug Substance",Controls!A:K,10,0),"")</f>
        <v>ST Pharm (Oligo P1 F2)</v>
      </c>
      <c r="S850" s="41">
        <f t="shared" si="94"/>
        <v>49857</v>
      </c>
      <c r="T850" s="30">
        <f t="shared" si="95"/>
        <v>0</v>
      </c>
      <c r="AB850">
        <f t="shared" si="97"/>
        <v>71.368252314814811</v>
      </c>
    </row>
    <row r="851" spans="1:28" ht="13" customHeight="1" x14ac:dyDescent="0.35">
      <c r="A851" s="153">
        <v>50041</v>
      </c>
      <c r="B851" s="36" t="s">
        <v>45</v>
      </c>
      <c r="C851" s="15" t="s">
        <v>47</v>
      </c>
      <c r="D851" s="15" t="s">
        <v>48</v>
      </c>
      <c r="E851" s="30">
        <f>H850</f>
        <v>72.651747685185143</v>
      </c>
      <c r="F851" s="37">
        <f>IFERROR('Production Inputs'!$EM$27*Dependencies!$D$6+'Production Inputs'!$EM$32*Dependencies!$D$9+'Production Inputs'!$EM$26*Dependencies!$D$8+'Production Inputs'!$EM$31*Dependencies!$D$10,0)</f>
        <v>0</v>
      </c>
      <c r="G851" s="37">
        <f t="array" ref="G851">IFERROR(SUMPRODUCT(('Production Inputs'!$A:$A="Drug Substance")*('Production Inputs'!$B:$B="TOTAL ACTIVE")*'Production Inputs'!$EM:$EM),0)</f>
        <v>0</v>
      </c>
      <c r="H851" s="30">
        <f t="shared" si="91"/>
        <v>72.651747685185143</v>
      </c>
      <c r="I851" s="30">
        <f ca="1">IFERROR(AVERAGEIF(OFFSET(F851,0,0,MIN(Controls!$B$8,COUNTIF(B851:B$1973,B851)),1),"&gt;"&amp;0),0)</f>
        <v>0</v>
      </c>
      <c r="J851" s="38">
        <f t="shared" ca="1" si="92"/>
        <v>999</v>
      </c>
      <c r="K851" s="30">
        <f t="shared" ca="1" si="96"/>
        <v>0</v>
      </c>
      <c r="L851" t="str">
        <f t="shared" ca="1" si="93"/>
        <v>Overstock</v>
      </c>
      <c r="M851" s="39">
        <f>IFERROR(VLOOKUP("Drug Substance",Controls!A:I,7,0),6)</f>
        <v>12</v>
      </c>
      <c r="N851" s="39">
        <f>IFERROR(VLOOKUP("Drug Substance",Controls!A:I,8,0),3)</f>
        <v>9</v>
      </c>
      <c r="O851" s="39">
        <f>IFERROR(VLOOKUP("Drug Substance",Controls!A:I,9,0),18)</f>
        <v>18</v>
      </c>
      <c r="P851" s="40">
        <f>IFERROR(VLOOKUP("Drug Substance",Controls!A:J,5,0),0)</f>
        <v>4.3</v>
      </c>
      <c r="Q851" s="39">
        <f>IFERROR(VLOOKUP("Drug Substance",Controls!A:J,6,0),3)</f>
        <v>5</v>
      </c>
      <c r="R851" s="21" t="str">
        <f>IFERROR(VLOOKUP("Drug Substance",Controls!A:K,10,0),"")</f>
        <v>ST Pharm (Oligo P1 F2)</v>
      </c>
      <c r="S851" s="41">
        <f t="shared" si="94"/>
        <v>49888</v>
      </c>
      <c r="T851" s="30">
        <f t="shared" si="95"/>
        <v>0</v>
      </c>
      <c r="AB851">
        <f t="shared" si="97"/>
        <v>71.368252314814811</v>
      </c>
    </row>
    <row r="852" spans="1:28" ht="13" customHeight="1" x14ac:dyDescent="0.35">
      <c r="A852" s="153">
        <v>50072</v>
      </c>
      <c r="B852" s="36" t="s">
        <v>45</v>
      </c>
      <c r="C852" s="15" t="s">
        <v>47</v>
      </c>
      <c r="D852" s="15" t="s">
        <v>48</v>
      </c>
      <c r="E852" s="30">
        <f>H851</f>
        <v>72.651747685185143</v>
      </c>
      <c r="F852" s="37">
        <f>IFERROR('Production Inputs'!$EN$27*Dependencies!$D$6+'Production Inputs'!$EN$32*Dependencies!$D$9+'Production Inputs'!$EN$26*Dependencies!$D$8+'Production Inputs'!$EN$31*Dependencies!$D$10,0)</f>
        <v>0</v>
      </c>
      <c r="G852" s="37">
        <f t="array" ref="G852">IFERROR(SUMPRODUCT(('Production Inputs'!$A:$A="Drug Substance")*('Production Inputs'!$B:$B="TOTAL ACTIVE")*'Production Inputs'!$EN:$EN),0)</f>
        <v>0</v>
      </c>
      <c r="H852" s="30">
        <f t="shared" si="91"/>
        <v>72.651747685185143</v>
      </c>
      <c r="I852" s="30">
        <f ca="1">IFERROR(AVERAGEIF(OFFSET(F852,0,0,MIN(Controls!$B$8,COUNTIF(B852:B$1973,B852)),1),"&gt;"&amp;0),0)</f>
        <v>0</v>
      </c>
      <c r="J852" s="38">
        <f t="shared" ca="1" si="92"/>
        <v>999</v>
      </c>
      <c r="K852" s="30">
        <f t="shared" ca="1" si="96"/>
        <v>0</v>
      </c>
      <c r="L852" t="str">
        <f t="shared" ca="1" si="93"/>
        <v>Overstock</v>
      </c>
      <c r="M852" s="39">
        <f>IFERROR(VLOOKUP("Drug Substance",Controls!A:I,7,0),6)</f>
        <v>12</v>
      </c>
      <c r="N852" s="39">
        <f>IFERROR(VLOOKUP("Drug Substance",Controls!A:I,8,0),3)</f>
        <v>9</v>
      </c>
      <c r="O852" s="39">
        <f>IFERROR(VLOOKUP("Drug Substance",Controls!A:I,9,0),18)</f>
        <v>18</v>
      </c>
      <c r="P852" s="40">
        <f>IFERROR(VLOOKUP("Drug Substance",Controls!A:J,5,0),0)</f>
        <v>4.3</v>
      </c>
      <c r="Q852" s="39">
        <f>IFERROR(VLOOKUP("Drug Substance",Controls!A:J,6,0),3)</f>
        <v>5</v>
      </c>
      <c r="R852" s="21" t="str">
        <f>IFERROR(VLOOKUP("Drug Substance",Controls!A:K,10,0),"")</f>
        <v>ST Pharm (Oligo P1 F2)</v>
      </c>
      <c r="S852" s="41">
        <f t="shared" si="94"/>
        <v>49919</v>
      </c>
      <c r="T852" s="30">
        <f t="shared" si="95"/>
        <v>0</v>
      </c>
      <c r="AB852">
        <f t="shared" si="97"/>
        <v>71.368252314814811</v>
      </c>
    </row>
    <row r="853" spans="1:28" ht="13" customHeight="1" x14ac:dyDescent="0.35">
      <c r="A853" s="153">
        <v>50100</v>
      </c>
      <c r="B853" s="36" t="s">
        <v>45</v>
      </c>
      <c r="C853" s="15" t="s">
        <v>47</v>
      </c>
      <c r="D853" s="15" t="s">
        <v>48</v>
      </c>
      <c r="E853" s="30">
        <f>H852</f>
        <v>72.651747685185143</v>
      </c>
      <c r="F853" s="37">
        <f>IFERROR('Production Inputs'!$EO$27*Dependencies!$D$6+'Production Inputs'!$EO$32*Dependencies!$D$9+'Production Inputs'!$EO$26*Dependencies!$D$8+'Production Inputs'!$EO$31*Dependencies!$D$10,0)</f>
        <v>0</v>
      </c>
      <c r="G853" s="37">
        <f t="array" ref="G853">IFERROR(SUMPRODUCT(('Production Inputs'!$A:$A="Drug Substance")*('Production Inputs'!$B:$B="TOTAL ACTIVE")*'Production Inputs'!$EO:$EO),0)</f>
        <v>0</v>
      </c>
      <c r="H853" s="30">
        <f t="shared" si="91"/>
        <v>72.651747685185143</v>
      </c>
      <c r="I853" s="30">
        <f ca="1">IFERROR(AVERAGEIF(OFFSET(F853,0,0,MIN(Controls!$B$8,COUNTIF(B853:B$1973,B853)),1),"&gt;"&amp;0),0)</f>
        <v>0</v>
      </c>
      <c r="J853" s="38">
        <f t="shared" ca="1" si="92"/>
        <v>999</v>
      </c>
      <c r="K853" s="30">
        <f t="shared" ca="1" si="96"/>
        <v>0</v>
      </c>
      <c r="L853" t="str">
        <f t="shared" ca="1" si="93"/>
        <v>Overstock</v>
      </c>
      <c r="M853" s="39">
        <f>IFERROR(VLOOKUP("Drug Substance",Controls!A:I,7,0),6)</f>
        <v>12</v>
      </c>
      <c r="N853" s="39">
        <f>IFERROR(VLOOKUP("Drug Substance",Controls!A:I,8,0),3)</f>
        <v>9</v>
      </c>
      <c r="O853" s="39">
        <f>IFERROR(VLOOKUP("Drug Substance",Controls!A:I,9,0),18)</f>
        <v>18</v>
      </c>
      <c r="P853" s="40">
        <f>IFERROR(VLOOKUP("Drug Substance",Controls!A:J,5,0),0)</f>
        <v>4.3</v>
      </c>
      <c r="Q853" s="39">
        <f>IFERROR(VLOOKUP("Drug Substance",Controls!A:J,6,0),3)</f>
        <v>5</v>
      </c>
      <c r="R853" s="21" t="str">
        <f>IFERROR(VLOOKUP("Drug Substance",Controls!A:K,10,0),"")</f>
        <v>ST Pharm (Oligo P1 F2)</v>
      </c>
      <c r="S853" s="41">
        <f t="shared" si="94"/>
        <v>49949</v>
      </c>
      <c r="T853" s="30">
        <f t="shared" si="95"/>
        <v>0</v>
      </c>
      <c r="AB853">
        <f t="shared" si="97"/>
        <v>71.368252314814811</v>
      </c>
    </row>
    <row r="854" spans="1:28" ht="13" customHeight="1" x14ac:dyDescent="0.35">
      <c r="A854" s="153">
        <v>50131</v>
      </c>
      <c r="B854" s="36" t="s">
        <v>45</v>
      </c>
      <c r="C854" s="15" t="s">
        <v>47</v>
      </c>
      <c r="D854" s="15" t="s">
        <v>48</v>
      </c>
      <c r="E854" s="30">
        <f>H853</f>
        <v>72.651747685185143</v>
      </c>
      <c r="F854" s="37">
        <f>IFERROR('Production Inputs'!$EP$27*Dependencies!$D$6+'Production Inputs'!$EP$32*Dependencies!$D$9+'Production Inputs'!$EP$26*Dependencies!$D$8+'Production Inputs'!$EP$31*Dependencies!$D$10,0)</f>
        <v>0</v>
      </c>
      <c r="G854" s="37">
        <f t="array" ref="G854">IFERROR(SUMPRODUCT(('Production Inputs'!$A:$A="Drug Substance")*('Production Inputs'!$B:$B="TOTAL ACTIVE")*'Production Inputs'!$EP:$EP),0)</f>
        <v>0</v>
      </c>
      <c r="H854" s="30">
        <f t="shared" si="91"/>
        <v>72.651747685185143</v>
      </c>
      <c r="I854" s="30">
        <f ca="1">IFERROR(AVERAGEIF(OFFSET(F854,0,0,MIN(Controls!$B$8,COUNTIF(B854:B$1973,B854)),1),"&gt;"&amp;0),0)</f>
        <v>0</v>
      </c>
      <c r="J854" s="38">
        <f t="shared" ca="1" si="92"/>
        <v>999</v>
      </c>
      <c r="K854" s="30">
        <f t="shared" ca="1" si="96"/>
        <v>0</v>
      </c>
      <c r="L854" t="str">
        <f t="shared" ca="1" si="93"/>
        <v>Overstock</v>
      </c>
      <c r="M854" s="39">
        <f>IFERROR(VLOOKUP("Drug Substance",Controls!A:I,7,0),6)</f>
        <v>12</v>
      </c>
      <c r="N854" s="39">
        <f>IFERROR(VLOOKUP("Drug Substance",Controls!A:I,8,0),3)</f>
        <v>9</v>
      </c>
      <c r="O854" s="39">
        <f>IFERROR(VLOOKUP("Drug Substance",Controls!A:I,9,0),18)</f>
        <v>18</v>
      </c>
      <c r="P854" s="40">
        <f>IFERROR(VLOOKUP("Drug Substance",Controls!A:J,5,0),0)</f>
        <v>4.3</v>
      </c>
      <c r="Q854" s="39">
        <f>IFERROR(VLOOKUP("Drug Substance",Controls!A:J,6,0),3)</f>
        <v>5</v>
      </c>
      <c r="R854" s="21" t="str">
        <f>IFERROR(VLOOKUP("Drug Substance",Controls!A:K,10,0),"")</f>
        <v>ST Pharm (Oligo P1 F2)</v>
      </c>
      <c r="S854" s="41">
        <f t="shared" si="94"/>
        <v>49980</v>
      </c>
      <c r="T854" s="30">
        <f t="shared" si="95"/>
        <v>0</v>
      </c>
      <c r="AB854">
        <f t="shared" si="97"/>
        <v>71.368252314814811</v>
      </c>
    </row>
    <row r="855" spans="1:28" ht="13" customHeight="1" x14ac:dyDescent="0.35">
      <c r="A855" s="153">
        <v>50161</v>
      </c>
      <c r="B855" s="36" t="s">
        <v>45</v>
      </c>
      <c r="C855" s="15" t="s">
        <v>47</v>
      </c>
      <c r="D855" s="15" t="s">
        <v>48</v>
      </c>
      <c r="E855" s="30">
        <f>H854</f>
        <v>72.651747685185143</v>
      </c>
      <c r="F855" s="37">
        <f>IFERROR('Production Inputs'!$EQ$27*Dependencies!$D$6+'Production Inputs'!$EQ$32*Dependencies!$D$9+'Production Inputs'!$EQ$26*Dependencies!$D$8+'Production Inputs'!$EQ$31*Dependencies!$D$10,0)</f>
        <v>0</v>
      </c>
      <c r="G855" s="37">
        <f t="array" ref="G855">IFERROR(SUMPRODUCT(('Production Inputs'!$A:$A="Drug Substance")*('Production Inputs'!$B:$B="TOTAL ACTIVE")*'Production Inputs'!$EQ:$EQ),0)</f>
        <v>0</v>
      </c>
      <c r="H855" s="30">
        <f t="shared" si="91"/>
        <v>72.651747685185143</v>
      </c>
      <c r="I855" s="30">
        <f ca="1">IFERROR(AVERAGEIF(OFFSET(F855,0,0,MIN(Controls!$B$8,COUNTIF(B855:B$1973,B855)),1),"&gt;"&amp;0),0)</f>
        <v>0</v>
      </c>
      <c r="J855" s="38">
        <f t="shared" ca="1" si="92"/>
        <v>999</v>
      </c>
      <c r="K855" s="30">
        <f t="shared" ca="1" si="96"/>
        <v>0</v>
      </c>
      <c r="L855" t="str">
        <f t="shared" ca="1" si="93"/>
        <v>Overstock</v>
      </c>
      <c r="M855" s="39">
        <f>IFERROR(VLOOKUP("Drug Substance",Controls!A:I,7,0),6)</f>
        <v>12</v>
      </c>
      <c r="N855" s="39">
        <f>IFERROR(VLOOKUP("Drug Substance",Controls!A:I,8,0),3)</f>
        <v>9</v>
      </c>
      <c r="O855" s="39">
        <f>IFERROR(VLOOKUP("Drug Substance",Controls!A:I,9,0),18)</f>
        <v>18</v>
      </c>
      <c r="P855" s="40">
        <f>IFERROR(VLOOKUP("Drug Substance",Controls!A:J,5,0),0)</f>
        <v>4.3</v>
      </c>
      <c r="Q855" s="39">
        <f>IFERROR(VLOOKUP("Drug Substance",Controls!A:J,6,0),3)</f>
        <v>5</v>
      </c>
      <c r="R855" s="21" t="str">
        <f>IFERROR(VLOOKUP("Drug Substance",Controls!A:K,10,0),"")</f>
        <v>ST Pharm (Oligo P1 F2)</v>
      </c>
      <c r="S855" s="41">
        <f t="shared" si="94"/>
        <v>50010</v>
      </c>
      <c r="T855" s="30">
        <f t="shared" si="95"/>
        <v>0</v>
      </c>
      <c r="AB855">
        <f t="shared" si="97"/>
        <v>71.368252314814811</v>
      </c>
    </row>
    <row r="856" spans="1:28" ht="13" customHeight="1" x14ac:dyDescent="0.35">
      <c r="A856" s="153">
        <v>50192</v>
      </c>
      <c r="B856" s="36" t="s">
        <v>45</v>
      </c>
      <c r="C856" s="15" t="s">
        <v>47</v>
      </c>
      <c r="D856" s="15" t="s">
        <v>48</v>
      </c>
      <c r="E856" s="30">
        <f>H855</f>
        <v>72.651747685185143</v>
      </c>
      <c r="F856" s="37">
        <f>IFERROR('Production Inputs'!$ER$27*Dependencies!$D$6+'Production Inputs'!$ER$32*Dependencies!$D$9+'Production Inputs'!$ER$26*Dependencies!$D$8+'Production Inputs'!$ER$31*Dependencies!$D$10,0)</f>
        <v>0</v>
      </c>
      <c r="G856" s="37">
        <f t="array" ref="G856">IFERROR(SUMPRODUCT(('Production Inputs'!$A:$A="Drug Substance")*('Production Inputs'!$B:$B="TOTAL ACTIVE")*'Production Inputs'!$ER:$ER),0)</f>
        <v>0</v>
      </c>
      <c r="H856" s="30">
        <f t="shared" si="91"/>
        <v>72.651747685185143</v>
      </c>
      <c r="I856" s="30">
        <f ca="1">IFERROR(AVERAGEIF(OFFSET(F856,0,0,MIN(Controls!$B$8,COUNTIF(B856:B$1973,B856)),1),"&gt;"&amp;0),0)</f>
        <v>0</v>
      </c>
      <c r="J856" s="38">
        <f t="shared" ca="1" si="92"/>
        <v>999</v>
      </c>
      <c r="K856" s="30">
        <f t="shared" ca="1" si="96"/>
        <v>0</v>
      </c>
      <c r="L856" t="str">
        <f t="shared" ca="1" si="93"/>
        <v>Overstock</v>
      </c>
      <c r="M856" s="39">
        <f>IFERROR(VLOOKUP("Drug Substance",Controls!A:I,7,0),6)</f>
        <v>12</v>
      </c>
      <c r="N856" s="39">
        <f>IFERROR(VLOOKUP("Drug Substance",Controls!A:I,8,0),3)</f>
        <v>9</v>
      </c>
      <c r="O856" s="39">
        <f>IFERROR(VLOOKUP("Drug Substance",Controls!A:I,9,0),18)</f>
        <v>18</v>
      </c>
      <c r="P856" s="40">
        <f>IFERROR(VLOOKUP("Drug Substance",Controls!A:J,5,0),0)</f>
        <v>4.3</v>
      </c>
      <c r="Q856" s="39">
        <f>IFERROR(VLOOKUP("Drug Substance",Controls!A:J,6,0),3)</f>
        <v>5</v>
      </c>
      <c r="R856" s="21" t="str">
        <f>IFERROR(VLOOKUP("Drug Substance",Controls!A:K,10,0),"")</f>
        <v>ST Pharm (Oligo P1 F2)</v>
      </c>
      <c r="S856" s="41">
        <f t="shared" si="94"/>
        <v>50041</v>
      </c>
      <c r="T856" s="30">
        <f t="shared" si="95"/>
        <v>0</v>
      </c>
      <c r="AB856">
        <f t="shared" si="97"/>
        <v>71.368252314814811</v>
      </c>
    </row>
    <row r="857" spans="1:28" ht="13" customHeight="1" x14ac:dyDescent="0.35">
      <c r="A857" s="153">
        <v>50222</v>
      </c>
      <c r="B857" s="36" t="s">
        <v>45</v>
      </c>
      <c r="C857" s="15" t="s">
        <v>47</v>
      </c>
      <c r="D857" s="15" t="s">
        <v>48</v>
      </c>
      <c r="E857" s="30">
        <f>H856</f>
        <v>72.651747685185143</v>
      </c>
      <c r="F857" s="37">
        <f>IFERROR('Production Inputs'!$ES$27*Dependencies!$D$6+'Production Inputs'!$ES$32*Dependencies!$D$9+'Production Inputs'!$ES$26*Dependencies!$D$8+'Production Inputs'!$ES$31*Dependencies!$D$10,0)</f>
        <v>0</v>
      </c>
      <c r="G857" s="37">
        <f t="array" ref="G857">IFERROR(SUMPRODUCT(('Production Inputs'!$A:$A="Drug Substance")*('Production Inputs'!$B:$B="TOTAL ACTIVE")*'Production Inputs'!$ES:$ES),0)</f>
        <v>0</v>
      </c>
      <c r="H857" s="30">
        <f t="shared" si="91"/>
        <v>72.651747685185143</v>
      </c>
      <c r="I857" s="30">
        <f ca="1">IFERROR(AVERAGEIF(OFFSET(F857,0,0,MIN(Controls!$B$8,COUNTIF(B857:B$1973,B857)),1),"&gt;"&amp;0),0)</f>
        <v>0</v>
      </c>
      <c r="J857" s="38">
        <f t="shared" ca="1" si="92"/>
        <v>999</v>
      </c>
      <c r="K857" s="30">
        <f t="shared" ca="1" si="96"/>
        <v>0</v>
      </c>
      <c r="L857" t="str">
        <f t="shared" ca="1" si="93"/>
        <v>Overstock</v>
      </c>
      <c r="M857" s="39">
        <f>IFERROR(VLOOKUP("Drug Substance",Controls!A:I,7,0),6)</f>
        <v>12</v>
      </c>
      <c r="N857" s="39">
        <f>IFERROR(VLOOKUP("Drug Substance",Controls!A:I,8,0),3)</f>
        <v>9</v>
      </c>
      <c r="O857" s="39">
        <f>IFERROR(VLOOKUP("Drug Substance",Controls!A:I,9,0),18)</f>
        <v>18</v>
      </c>
      <c r="P857" s="40">
        <f>IFERROR(VLOOKUP("Drug Substance",Controls!A:J,5,0),0)</f>
        <v>4.3</v>
      </c>
      <c r="Q857" s="39">
        <f>IFERROR(VLOOKUP("Drug Substance",Controls!A:J,6,0),3)</f>
        <v>5</v>
      </c>
      <c r="R857" s="21" t="str">
        <f>IFERROR(VLOOKUP("Drug Substance",Controls!A:K,10,0),"")</f>
        <v>ST Pharm (Oligo P1 F2)</v>
      </c>
      <c r="S857" s="41">
        <f t="shared" si="94"/>
        <v>50072</v>
      </c>
      <c r="T857" s="30">
        <f t="shared" si="95"/>
        <v>0</v>
      </c>
      <c r="AB857">
        <f t="shared" si="97"/>
        <v>71.368252314814811</v>
      </c>
    </row>
    <row r="858" spans="1:28" ht="13" customHeight="1" x14ac:dyDescent="0.35">
      <c r="A858" s="153">
        <v>50253</v>
      </c>
      <c r="B858" s="36" t="s">
        <v>45</v>
      </c>
      <c r="C858" s="15" t="s">
        <v>47</v>
      </c>
      <c r="D858" s="15" t="s">
        <v>48</v>
      </c>
      <c r="E858" s="30">
        <f>H857</f>
        <v>72.651747685185143</v>
      </c>
      <c r="F858" s="37">
        <f>IFERROR('Production Inputs'!$ET$27*Dependencies!$D$6+'Production Inputs'!$ET$32*Dependencies!$D$9+'Production Inputs'!$ET$26*Dependencies!$D$8+'Production Inputs'!$ET$31*Dependencies!$D$10,0)</f>
        <v>0</v>
      </c>
      <c r="G858" s="37">
        <f t="array" ref="G858">IFERROR(SUMPRODUCT(('Production Inputs'!$A:$A="Drug Substance")*('Production Inputs'!$B:$B="TOTAL ACTIVE")*'Production Inputs'!$ET:$ET),0)</f>
        <v>0</v>
      </c>
      <c r="H858" s="30">
        <f t="shared" si="91"/>
        <v>72.651747685185143</v>
      </c>
      <c r="I858" s="30">
        <f ca="1">IFERROR(AVERAGEIF(OFFSET(F858,0,0,MIN(Controls!$B$8,COUNTIF(B858:B$1973,B858)),1),"&gt;"&amp;0),0)</f>
        <v>0</v>
      </c>
      <c r="J858" s="38">
        <f t="shared" ca="1" si="92"/>
        <v>999</v>
      </c>
      <c r="K858" s="30">
        <f t="shared" ca="1" si="96"/>
        <v>0</v>
      </c>
      <c r="L858" t="str">
        <f t="shared" ca="1" si="93"/>
        <v>Overstock</v>
      </c>
      <c r="M858" s="39">
        <f>IFERROR(VLOOKUP("Drug Substance",Controls!A:I,7,0),6)</f>
        <v>12</v>
      </c>
      <c r="N858" s="39">
        <f>IFERROR(VLOOKUP("Drug Substance",Controls!A:I,8,0),3)</f>
        <v>9</v>
      </c>
      <c r="O858" s="39">
        <f>IFERROR(VLOOKUP("Drug Substance",Controls!A:I,9,0),18)</f>
        <v>18</v>
      </c>
      <c r="P858" s="40">
        <f>IFERROR(VLOOKUP("Drug Substance",Controls!A:J,5,0),0)</f>
        <v>4.3</v>
      </c>
      <c r="Q858" s="39">
        <f>IFERROR(VLOOKUP("Drug Substance",Controls!A:J,6,0),3)</f>
        <v>5</v>
      </c>
      <c r="R858" s="21" t="str">
        <f>IFERROR(VLOOKUP("Drug Substance",Controls!A:K,10,0),"")</f>
        <v>ST Pharm (Oligo P1 F2)</v>
      </c>
      <c r="S858" s="41">
        <f t="shared" si="94"/>
        <v>50100</v>
      </c>
      <c r="T858" s="30">
        <f t="shared" si="95"/>
        <v>0</v>
      </c>
      <c r="AB858">
        <f t="shared" si="97"/>
        <v>71.368252314814811</v>
      </c>
    </row>
    <row r="859" spans="1:28" ht="13" customHeight="1" x14ac:dyDescent="0.35">
      <c r="A859" s="153">
        <v>50284</v>
      </c>
      <c r="B859" s="36" t="s">
        <v>45</v>
      </c>
      <c r="C859" s="15" t="s">
        <v>47</v>
      </c>
      <c r="D859" s="15" t="s">
        <v>48</v>
      </c>
      <c r="E859" s="30">
        <f>H858</f>
        <v>72.651747685185143</v>
      </c>
      <c r="F859" s="37">
        <f>IFERROR('Production Inputs'!$EU$27*Dependencies!$D$6+'Production Inputs'!$EU$32*Dependencies!$D$9+'Production Inputs'!$EU$26*Dependencies!$D$8+'Production Inputs'!$EU$31*Dependencies!$D$10,0)</f>
        <v>0</v>
      </c>
      <c r="G859" s="37">
        <f t="array" ref="G859">IFERROR(SUMPRODUCT(('Production Inputs'!$A:$A="Drug Substance")*('Production Inputs'!$B:$B="TOTAL ACTIVE")*'Production Inputs'!$EU:$EU),0)</f>
        <v>0</v>
      </c>
      <c r="H859" s="30">
        <f t="shared" si="91"/>
        <v>72.651747685185143</v>
      </c>
      <c r="I859" s="30">
        <f ca="1">IFERROR(AVERAGEIF(OFFSET(F859,0,0,MIN(Controls!$B$8,COUNTIF(B859:B$1973,B859)),1),"&gt;"&amp;0),0)</f>
        <v>0</v>
      </c>
      <c r="J859" s="38">
        <f t="shared" ca="1" si="92"/>
        <v>999</v>
      </c>
      <c r="K859" s="30">
        <f t="shared" ca="1" si="96"/>
        <v>0</v>
      </c>
      <c r="L859" t="str">
        <f t="shared" ca="1" si="93"/>
        <v>Overstock</v>
      </c>
      <c r="M859" s="39">
        <f>IFERROR(VLOOKUP("Drug Substance",Controls!A:I,7,0),6)</f>
        <v>12</v>
      </c>
      <c r="N859" s="39">
        <f>IFERROR(VLOOKUP("Drug Substance",Controls!A:I,8,0),3)</f>
        <v>9</v>
      </c>
      <c r="O859" s="39">
        <f>IFERROR(VLOOKUP("Drug Substance",Controls!A:I,9,0),18)</f>
        <v>18</v>
      </c>
      <c r="P859" s="40">
        <f>IFERROR(VLOOKUP("Drug Substance",Controls!A:J,5,0),0)</f>
        <v>4.3</v>
      </c>
      <c r="Q859" s="39">
        <f>IFERROR(VLOOKUP("Drug Substance",Controls!A:J,6,0),3)</f>
        <v>5</v>
      </c>
      <c r="R859" s="21" t="str">
        <f>IFERROR(VLOOKUP("Drug Substance",Controls!A:K,10,0),"")</f>
        <v>ST Pharm (Oligo P1 F2)</v>
      </c>
      <c r="S859" s="41">
        <f t="shared" si="94"/>
        <v>50131</v>
      </c>
      <c r="T859" s="30">
        <f t="shared" si="95"/>
        <v>0</v>
      </c>
      <c r="AB859">
        <f t="shared" si="97"/>
        <v>71.368252314814811</v>
      </c>
    </row>
    <row r="860" spans="1:28" ht="13" customHeight="1" x14ac:dyDescent="0.35">
      <c r="A860" s="153">
        <v>50314</v>
      </c>
      <c r="B860" s="36" t="s">
        <v>45</v>
      </c>
      <c r="C860" s="15" t="s">
        <v>47</v>
      </c>
      <c r="D860" s="15" t="s">
        <v>48</v>
      </c>
      <c r="E860" s="30">
        <f>H859</f>
        <v>72.651747685185143</v>
      </c>
      <c r="F860" s="37">
        <f>IFERROR('Production Inputs'!$EV$27*Dependencies!$D$6+'Production Inputs'!$EV$32*Dependencies!$D$9+'Production Inputs'!$EV$26*Dependencies!$D$8+'Production Inputs'!$EV$31*Dependencies!$D$10,0)</f>
        <v>0</v>
      </c>
      <c r="G860" s="37">
        <f t="array" ref="G860">IFERROR(SUMPRODUCT(('Production Inputs'!$A:$A="Drug Substance")*('Production Inputs'!$B:$B="TOTAL ACTIVE")*'Production Inputs'!$EV:$EV),0)</f>
        <v>0</v>
      </c>
      <c r="H860" s="30">
        <f t="shared" si="91"/>
        <v>72.651747685185143</v>
      </c>
      <c r="I860" s="30">
        <f ca="1">IFERROR(AVERAGEIF(OFFSET(F860,0,0,MIN(Controls!$B$8,COUNTIF(B860:B$1973,B860)),1),"&gt;"&amp;0),0)</f>
        <v>0</v>
      </c>
      <c r="J860" s="38">
        <f t="shared" ca="1" si="92"/>
        <v>999</v>
      </c>
      <c r="K860" s="30">
        <f t="shared" ca="1" si="96"/>
        <v>0</v>
      </c>
      <c r="L860" t="str">
        <f t="shared" ca="1" si="93"/>
        <v>Overstock</v>
      </c>
      <c r="M860" s="39">
        <f>IFERROR(VLOOKUP("Drug Substance",Controls!A:I,7,0),6)</f>
        <v>12</v>
      </c>
      <c r="N860" s="39">
        <f>IFERROR(VLOOKUP("Drug Substance",Controls!A:I,8,0),3)</f>
        <v>9</v>
      </c>
      <c r="O860" s="39">
        <f>IFERROR(VLOOKUP("Drug Substance",Controls!A:I,9,0),18)</f>
        <v>18</v>
      </c>
      <c r="P860" s="40">
        <f>IFERROR(VLOOKUP("Drug Substance",Controls!A:J,5,0),0)</f>
        <v>4.3</v>
      </c>
      <c r="Q860" s="39">
        <f>IFERROR(VLOOKUP("Drug Substance",Controls!A:J,6,0),3)</f>
        <v>5</v>
      </c>
      <c r="R860" s="21" t="str">
        <f>IFERROR(VLOOKUP("Drug Substance",Controls!A:K,10,0),"")</f>
        <v>ST Pharm (Oligo P1 F2)</v>
      </c>
      <c r="S860" s="41">
        <f t="shared" si="94"/>
        <v>50161</v>
      </c>
      <c r="T860" s="30">
        <f t="shared" si="95"/>
        <v>0</v>
      </c>
      <c r="AB860">
        <f t="shared" si="97"/>
        <v>71.368252314814811</v>
      </c>
    </row>
    <row r="861" spans="1:28" ht="13" customHeight="1" x14ac:dyDescent="0.35">
      <c r="A861" s="153">
        <v>50345</v>
      </c>
      <c r="B861" s="36" t="s">
        <v>45</v>
      </c>
      <c r="C861" s="15" t="s">
        <v>47</v>
      </c>
      <c r="D861" s="15" t="s">
        <v>48</v>
      </c>
      <c r="E861" s="30">
        <f>H860</f>
        <v>72.651747685185143</v>
      </c>
      <c r="F861" s="37">
        <f>IFERROR('Production Inputs'!$EW$27*Dependencies!$D$6+'Production Inputs'!$EW$32*Dependencies!$D$9+'Production Inputs'!$EW$26*Dependencies!$D$8+'Production Inputs'!$EW$31*Dependencies!$D$10,0)</f>
        <v>0</v>
      </c>
      <c r="G861" s="37">
        <f t="array" ref="G861">IFERROR(SUMPRODUCT(('Production Inputs'!$A:$A="Drug Substance")*('Production Inputs'!$B:$B="TOTAL ACTIVE")*'Production Inputs'!$EW:$EW),0)</f>
        <v>0</v>
      </c>
      <c r="H861" s="30">
        <f t="shared" si="91"/>
        <v>72.651747685185143</v>
      </c>
      <c r="I861" s="30">
        <f ca="1">IFERROR(AVERAGEIF(OFFSET(F861,0,0,MIN(Controls!$B$8,COUNTIF(B861:B$1973,B861)),1),"&gt;"&amp;0),0)</f>
        <v>0</v>
      </c>
      <c r="J861" s="38">
        <f t="shared" ca="1" si="92"/>
        <v>999</v>
      </c>
      <c r="K861" s="30">
        <f t="shared" ca="1" si="96"/>
        <v>0</v>
      </c>
      <c r="L861" t="str">
        <f t="shared" ca="1" si="93"/>
        <v>Overstock</v>
      </c>
      <c r="M861" s="39">
        <f>IFERROR(VLOOKUP("Drug Substance",Controls!A:I,7,0),6)</f>
        <v>12</v>
      </c>
      <c r="N861" s="39">
        <f>IFERROR(VLOOKUP("Drug Substance",Controls!A:I,8,0),3)</f>
        <v>9</v>
      </c>
      <c r="O861" s="39">
        <f>IFERROR(VLOOKUP("Drug Substance",Controls!A:I,9,0),18)</f>
        <v>18</v>
      </c>
      <c r="P861" s="40">
        <f>IFERROR(VLOOKUP("Drug Substance",Controls!A:J,5,0),0)</f>
        <v>4.3</v>
      </c>
      <c r="Q861" s="39">
        <f>IFERROR(VLOOKUP("Drug Substance",Controls!A:J,6,0),3)</f>
        <v>5</v>
      </c>
      <c r="R861" s="21" t="str">
        <f>IFERROR(VLOOKUP("Drug Substance",Controls!A:K,10,0),"")</f>
        <v>ST Pharm (Oligo P1 F2)</v>
      </c>
      <c r="S861" s="41">
        <f t="shared" si="94"/>
        <v>50192</v>
      </c>
      <c r="T861" s="30">
        <f t="shared" si="95"/>
        <v>0</v>
      </c>
      <c r="AB861">
        <f t="shared" si="97"/>
        <v>71.368252314814811</v>
      </c>
    </row>
    <row r="862" spans="1:28" ht="13" customHeight="1" x14ac:dyDescent="0.35">
      <c r="A862" s="153">
        <v>50375</v>
      </c>
      <c r="B862" s="36" t="s">
        <v>45</v>
      </c>
      <c r="C862" s="15" t="s">
        <v>47</v>
      </c>
      <c r="D862" s="15" t="s">
        <v>48</v>
      </c>
      <c r="E862" s="30">
        <f>H861</f>
        <v>72.651747685185143</v>
      </c>
      <c r="F862" s="37">
        <f>IFERROR('Production Inputs'!$EX$27*Dependencies!$D$6+'Production Inputs'!$EX$32*Dependencies!$D$9+'Production Inputs'!$EX$26*Dependencies!$D$8+'Production Inputs'!$EX$31*Dependencies!$D$10,0)</f>
        <v>0</v>
      </c>
      <c r="G862" s="37">
        <f t="array" ref="G862">IFERROR(SUMPRODUCT(('Production Inputs'!$A:$A="Drug Substance")*('Production Inputs'!$B:$B="TOTAL ACTIVE")*'Production Inputs'!$EX:$EX),0)</f>
        <v>0</v>
      </c>
      <c r="H862" s="30">
        <f t="shared" si="91"/>
        <v>72.651747685185143</v>
      </c>
      <c r="I862" s="30">
        <f ca="1">IFERROR(AVERAGEIF(OFFSET(F862,0,0,MIN(Controls!$B$8,COUNTIF(B862:B$1973,B862)),1),"&gt;"&amp;0),0)</f>
        <v>0</v>
      </c>
      <c r="J862" s="38">
        <f t="shared" ca="1" si="92"/>
        <v>999</v>
      </c>
      <c r="K862" s="30">
        <f t="shared" ca="1" si="96"/>
        <v>0</v>
      </c>
      <c r="L862" t="str">
        <f t="shared" ca="1" si="93"/>
        <v>Overstock</v>
      </c>
      <c r="M862" s="39">
        <f>IFERROR(VLOOKUP("Drug Substance",Controls!A:I,7,0),6)</f>
        <v>12</v>
      </c>
      <c r="N862" s="39">
        <f>IFERROR(VLOOKUP("Drug Substance",Controls!A:I,8,0),3)</f>
        <v>9</v>
      </c>
      <c r="O862" s="39">
        <f>IFERROR(VLOOKUP("Drug Substance",Controls!A:I,9,0),18)</f>
        <v>18</v>
      </c>
      <c r="P862" s="40">
        <f>IFERROR(VLOOKUP("Drug Substance",Controls!A:J,5,0),0)</f>
        <v>4.3</v>
      </c>
      <c r="Q862" s="39">
        <f>IFERROR(VLOOKUP("Drug Substance",Controls!A:J,6,0),3)</f>
        <v>5</v>
      </c>
      <c r="R862" s="21" t="str">
        <f>IFERROR(VLOOKUP("Drug Substance",Controls!A:K,10,0),"")</f>
        <v>ST Pharm (Oligo P1 F2)</v>
      </c>
      <c r="S862" s="41">
        <f t="shared" si="94"/>
        <v>50222</v>
      </c>
      <c r="T862" s="30">
        <f t="shared" si="95"/>
        <v>0</v>
      </c>
      <c r="AB862">
        <f t="shared" si="97"/>
        <v>71.368252314814811</v>
      </c>
    </row>
    <row r="863" spans="1:28" ht="13" customHeight="1" x14ac:dyDescent="0.35">
      <c r="A863" s="153">
        <v>50406</v>
      </c>
      <c r="B863" s="36" t="s">
        <v>45</v>
      </c>
      <c r="C863" s="15" t="s">
        <v>47</v>
      </c>
      <c r="D863" s="15" t="s">
        <v>48</v>
      </c>
      <c r="E863" s="30">
        <f>H862</f>
        <v>72.651747685185143</v>
      </c>
      <c r="F863" s="37">
        <f>IFERROR('Production Inputs'!$EY$27*Dependencies!$D$6+'Production Inputs'!$EY$32*Dependencies!$D$9+'Production Inputs'!$EY$26*Dependencies!$D$8+'Production Inputs'!$EY$31*Dependencies!$D$10,0)</f>
        <v>0</v>
      </c>
      <c r="G863" s="37">
        <f t="array" ref="G863">IFERROR(SUMPRODUCT(('Production Inputs'!$A:$A="Drug Substance")*('Production Inputs'!$B:$B="TOTAL ACTIVE")*'Production Inputs'!$EY:$EY),0)</f>
        <v>0</v>
      </c>
      <c r="H863" s="30">
        <f t="shared" si="91"/>
        <v>72.651747685185143</v>
      </c>
      <c r="I863" s="30">
        <f ca="1">IFERROR(AVERAGEIF(OFFSET(F863,0,0,MIN(Controls!$B$8,COUNTIF(B863:B$1973,B863)),1),"&gt;"&amp;0),0)</f>
        <v>0</v>
      </c>
      <c r="J863" s="38">
        <f t="shared" ca="1" si="92"/>
        <v>999</v>
      </c>
      <c r="K863" s="30">
        <f t="shared" ca="1" si="96"/>
        <v>0</v>
      </c>
      <c r="L863" t="str">
        <f t="shared" ca="1" si="93"/>
        <v>Overstock</v>
      </c>
      <c r="M863" s="39">
        <f>IFERROR(VLOOKUP("Drug Substance",Controls!A:I,7,0),6)</f>
        <v>12</v>
      </c>
      <c r="N863" s="39">
        <f>IFERROR(VLOOKUP("Drug Substance",Controls!A:I,8,0),3)</f>
        <v>9</v>
      </c>
      <c r="O863" s="39">
        <f>IFERROR(VLOOKUP("Drug Substance",Controls!A:I,9,0),18)</f>
        <v>18</v>
      </c>
      <c r="P863" s="40">
        <f>IFERROR(VLOOKUP("Drug Substance",Controls!A:J,5,0),0)</f>
        <v>4.3</v>
      </c>
      <c r="Q863" s="39">
        <f>IFERROR(VLOOKUP("Drug Substance",Controls!A:J,6,0),3)</f>
        <v>5</v>
      </c>
      <c r="R863" s="21" t="str">
        <f>IFERROR(VLOOKUP("Drug Substance",Controls!A:K,10,0),"")</f>
        <v>ST Pharm (Oligo P1 F2)</v>
      </c>
      <c r="S863" s="41">
        <f t="shared" si="94"/>
        <v>50253</v>
      </c>
      <c r="T863" s="30">
        <f t="shared" si="95"/>
        <v>0</v>
      </c>
      <c r="AB863">
        <f t="shared" si="97"/>
        <v>71.368252314814811</v>
      </c>
    </row>
    <row r="864" spans="1:28" ht="13" customHeight="1" x14ac:dyDescent="0.35">
      <c r="A864" s="153">
        <v>50437</v>
      </c>
      <c r="B864" s="36" t="s">
        <v>45</v>
      </c>
      <c r="C864" s="15" t="s">
        <v>47</v>
      </c>
      <c r="D864" s="15" t="s">
        <v>48</v>
      </c>
      <c r="E864" s="30">
        <f>H863</f>
        <v>72.651747685185143</v>
      </c>
      <c r="F864" s="37">
        <f>IFERROR('Production Inputs'!$EZ$27*Dependencies!$D$6+'Production Inputs'!$EZ$32*Dependencies!$D$9+'Production Inputs'!$EZ$26*Dependencies!$D$8+'Production Inputs'!$EZ$31*Dependencies!$D$10,0)</f>
        <v>0</v>
      </c>
      <c r="G864" s="37">
        <f t="array" ref="G864">IFERROR(SUMPRODUCT(('Production Inputs'!$A:$A="Drug Substance")*('Production Inputs'!$B:$B="TOTAL ACTIVE")*'Production Inputs'!$EZ:$EZ),0)</f>
        <v>0</v>
      </c>
      <c r="H864" s="30">
        <f t="shared" si="91"/>
        <v>72.651747685185143</v>
      </c>
      <c r="I864" s="30">
        <f ca="1">IFERROR(AVERAGEIF(OFFSET(F864,0,0,MIN(Controls!$B$8,COUNTIF(B864:B$1973,B864)),1),"&gt;"&amp;0),0)</f>
        <v>0</v>
      </c>
      <c r="J864" s="38">
        <f t="shared" ca="1" si="92"/>
        <v>999</v>
      </c>
      <c r="K864" s="30">
        <f t="shared" ca="1" si="96"/>
        <v>0</v>
      </c>
      <c r="L864" t="str">
        <f t="shared" ca="1" si="93"/>
        <v>Overstock</v>
      </c>
      <c r="M864" s="39">
        <f>IFERROR(VLOOKUP("Drug Substance",Controls!A:I,7,0),6)</f>
        <v>12</v>
      </c>
      <c r="N864" s="39">
        <f>IFERROR(VLOOKUP("Drug Substance",Controls!A:I,8,0),3)</f>
        <v>9</v>
      </c>
      <c r="O864" s="39">
        <f>IFERROR(VLOOKUP("Drug Substance",Controls!A:I,9,0),18)</f>
        <v>18</v>
      </c>
      <c r="P864" s="40">
        <f>IFERROR(VLOOKUP("Drug Substance",Controls!A:J,5,0),0)</f>
        <v>4.3</v>
      </c>
      <c r="Q864" s="39">
        <f>IFERROR(VLOOKUP("Drug Substance",Controls!A:J,6,0),3)</f>
        <v>5</v>
      </c>
      <c r="R864" s="21" t="str">
        <f>IFERROR(VLOOKUP("Drug Substance",Controls!A:K,10,0),"")</f>
        <v>ST Pharm (Oligo P1 F2)</v>
      </c>
      <c r="S864" s="41">
        <f t="shared" si="94"/>
        <v>50284</v>
      </c>
      <c r="T864" s="30">
        <f t="shared" si="95"/>
        <v>0</v>
      </c>
      <c r="AB864">
        <f t="shared" si="97"/>
        <v>71.368252314814811</v>
      </c>
    </row>
    <row r="865" spans="1:28" ht="13" customHeight="1" x14ac:dyDescent="0.35">
      <c r="A865" s="153">
        <v>50465</v>
      </c>
      <c r="B865" s="36" t="s">
        <v>45</v>
      </c>
      <c r="C865" s="15" t="s">
        <v>47</v>
      </c>
      <c r="D865" s="15" t="s">
        <v>48</v>
      </c>
      <c r="E865" s="30">
        <f>H864</f>
        <v>72.651747685185143</v>
      </c>
      <c r="F865" s="37">
        <f>IFERROR('Production Inputs'!$FA$27*Dependencies!$D$6+'Production Inputs'!$FA$32*Dependencies!$D$9+'Production Inputs'!$FA$26*Dependencies!$D$8+'Production Inputs'!$FA$31*Dependencies!$D$10,0)</f>
        <v>0</v>
      </c>
      <c r="G865" s="37">
        <f t="array" ref="G865">IFERROR(SUMPRODUCT(('Production Inputs'!$A:$A="Drug Substance")*('Production Inputs'!$B:$B="TOTAL ACTIVE")*'Production Inputs'!$FA:$FA),0)</f>
        <v>0</v>
      </c>
      <c r="H865" s="30">
        <f t="shared" si="91"/>
        <v>72.651747685185143</v>
      </c>
      <c r="I865" s="30">
        <f ca="1">IFERROR(AVERAGEIF(OFFSET(F865,0,0,MIN(Controls!$B$8,COUNTIF(B865:B$1973,B865)),1),"&gt;"&amp;0),0)</f>
        <v>0</v>
      </c>
      <c r="J865" s="38">
        <f t="shared" ca="1" si="92"/>
        <v>999</v>
      </c>
      <c r="K865" s="30">
        <f t="shared" ca="1" si="96"/>
        <v>0</v>
      </c>
      <c r="L865" t="str">
        <f t="shared" ca="1" si="93"/>
        <v>Overstock</v>
      </c>
      <c r="M865" s="39">
        <f>IFERROR(VLOOKUP("Drug Substance",Controls!A:I,7,0),6)</f>
        <v>12</v>
      </c>
      <c r="N865" s="39">
        <f>IFERROR(VLOOKUP("Drug Substance",Controls!A:I,8,0),3)</f>
        <v>9</v>
      </c>
      <c r="O865" s="39">
        <f>IFERROR(VLOOKUP("Drug Substance",Controls!A:I,9,0),18)</f>
        <v>18</v>
      </c>
      <c r="P865" s="40">
        <f>IFERROR(VLOOKUP("Drug Substance",Controls!A:J,5,0),0)</f>
        <v>4.3</v>
      </c>
      <c r="Q865" s="39">
        <f>IFERROR(VLOOKUP("Drug Substance",Controls!A:J,6,0),3)</f>
        <v>5</v>
      </c>
      <c r="R865" s="21" t="str">
        <f>IFERROR(VLOOKUP("Drug Substance",Controls!A:K,10,0),"")</f>
        <v>ST Pharm (Oligo P1 F2)</v>
      </c>
      <c r="S865" s="41">
        <f t="shared" si="94"/>
        <v>50314</v>
      </c>
      <c r="T865" s="30">
        <f t="shared" si="95"/>
        <v>0</v>
      </c>
      <c r="AB865">
        <f t="shared" si="97"/>
        <v>71.368252314814811</v>
      </c>
    </row>
    <row r="866" spans="1:28" ht="13" customHeight="1" x14ac:dyDescent="0.35">
      <c r="A866" s="153">
        <v>50496</v>
      </c>
      <c r="B866" s="36" t="s">
        <v>45</v>
      </c>
      <c r="C866" s="15" t="s">
        <v>47</v>
      </c>
      <c r="D866" s="15" t="s">
        <v>48</v>
      </c>
      <c r="E866" s="30">
        <f>H865</f>
        <v>72.651747685185143</v>
      </c>
      <c r="F866" s="37">
        <f>IFERROR('Production Inputs'!$FB$27*Dependencies!$D$6+'Production Inputs'!$FB$32*Dependencies!$D$9+'Production Inputs'!$FB$26*Dependencies!$D$8+'Production Inputs'!$FB$31*Dependencies!$D$10,0)</f>
        <v>0</v>
      </c>
      <c r="G866" s="37">
        <f t="array" ref="G866">IFERROR(SUMPRODUCT(('Production Inputs'!$A:$A="Drug Substance")*('Production Inputs'!$B:$B="TOTAL ACTIVE")*'Production Inputs'!$FB:$FB),0)</f>
        <v>0</v>
      </c>
      <c r="H866" s="30">
        <f t="shared" si="91"/>
        <v>72.651747685185143</v>
      </c>
      <c r="I866" s="30">
        <f ca="1">IFERROR(AVERAGEIF(OFFSET(F866,0,0,MIN(Controls!$B$8,COUNTIF(B866:B$1973,B866)),1),"&gt;"&amp;0),0)</f>
        <v>0</v>
      </c>
      <c r="J866" s="38">
        <f t="shared" ca="1" si="92"/>
        <v>999</v>
      </c>
      <c r="K866" s="30">
        <f t="shared" ca="1" si="96"/>
        <v>0</v>
      </c>
      <c r="L866" t="str">
        <f t="shared" ca="1" si="93"/>
        <v>Overstock</v>
      </c>
      <c r="M866" s="39">
        <f>IFERROR(VLOOKUP("Drug Substance",Controls!A:I,7,0),6)</f>
        <v>12</v>
      </c>
      <c r="N866" s="39">
        <f>IFERROR(VLOOKUP("Drug Substance",Controls!A:I,8,0),3)</f>
        <v>9</v>
      </c>
      <c r="O866" s="39">
        <f>IFERROR(VLOOKUP("Drug Substance",Controls!A:I,9,0),18)</f>
        <v>18</v>
      </c>
      <c r="P866" s="40">
        <f>IFERROR(VLOOKUP("Drug Substance",Controls!A:J,5,0),0)</f>
        <v>4.3</v>
      </c>
      <c r="Q866" s="39">
        <f>IFERROR(VLOOKUP("Drug Substance",Controls!A:J,6,0),3)</f>
        <v>5</v>
      </c>
      <c r="R866" s="21" t="str">
        <f>IFERROR(VLOOKUP("Drug Substance",Controls!A:K,10,0),"")</f>
        <v>ST Pharm (Oligo P1 F2)</v>
      </c>
      <c r="S866" s="41">
        <f t="shared" si="94"/>
        <v>50345</v>
      </c>
      <c r="T866" s="30">
        <f t="shared" si="95"/>
        <v>0</v>
      </c>
      <c r="AB866">
        <f t="shared" si="97"/>
        <v>71.368252314814811</v>
      </c>
    </row>
    <row r="867" spans="1:28" ht="13" customHeight="1" x14ac:dyDescent="0.35">
      <c r="A867" s="153">
        <v>50526</v>
      </c>
      <c r="B867" s="36" t="s">
        <v>45</v>
      </c>
      <c r="C867" s="15" t="s">
        <v>47</v>
      </c>
      <c r="D867" s="15" t="s">
        <v>48</v>
      </c>
      <c r="E867" s="30">
        <f>H866</f>
        <v>72.651747685185143</v>
      </c>
      <c r="F867" s="37">
        <f>IFERROR('Production Inputs'!$FC$27*Dependencies!$D$6+'Production Inputs'!$FC$32*Dependencies!$D$9+'Production Inputs'!$FC$26*Dependencies!$D$8+'Production Inputs'!$FC$31*Dependencies!$D$10,0)</f>
        <v>0</v>
      </c>
      <c r="G867" s="37">
        <f t="array" ref="G867">IFERROR(SUMPRODUCT(('Production Inputs'!$A:$A="Drug Substance")*('Production Inputs'!$B:$B="TOTAL ACTIVE")*'Production Inputs'!$FC:$FC),0)</f>
        <v>0</v>
      </c>
      <c r="H867" s="30">
        <f t="shared" si="91"/>
        <v>72.651747685185143</v>
      </c>
      <c r="I867" s="30">
        <f ca="1">IFERROR(AVERAGEIF(OFFSET(F867,0,0,MIN(Controls!$B$8,COUNTIF(B867:B$1973,B867)),1),"&gt;"&amp;0),0)</f>
        <v>0</v>
      </c>
      <c r="J867" s="38">
        <f t="shared" ca="1" si="92"/>
        <v>999</v>
      </c>
      <c r="K867" s="30">
        <f t="shared" ca="1" si="96"/>
        <v>0</v>
      </c>
      <c r="L867" t="str">
        <f t="shared" ca="1" si="93"/>
        <v>Overstock</v>
      </c>
      <c r="M867" s="39">
        <f>IFERROR(VLOOKUP("Drug Substance",Controls!A:I,7,0),6)</f>
        <v>12</v>
      </c>
      <c r="N867" s="39">
        <f>IFERROR(VLOOKUP("Drug Substance",Controls!A:I,8,0),3)</f>
        <v>9</v>
      </c>
      <c r="O867" s="39">
        <f>IFERROR(VLOOKUP("Drug Substance",Controls!A:I,9,0),18)</f>
        <v>18</v>
      </c>
      <c r="P867" s="40">
        <f>IFERROR(VLOOKUP("Drug Substance",Controls!A:J,5,0),0)</f>
        <v>4.3</v>
      </c>
      <c r="Q867" s="39">
        <f>IFERROR(VLOOKUP("Drug Substance",Controls!A:J,6,0),3)</f>
        <v>5</v>
      </c>
      <c r="R867" s="21" t="str">
        <f>IFERROR(VLOOKUP("Drug Substance",Controls!A:K,10,0),"")</f>
        <v>ST Pharm (Oligo P1 F2)</v>
      </c>
      <c r="S867" s="41">
        <f t="shared" si="94"/>
        <v>50375</v>
      </c>
      <c r="T867" s="30">
        <f t="shared" si="95"/>
        <v>0</v>
      </c>
      <c r="AB867">
        <f t="shared" si="97"/>
        <v>71.368252314814811</v>
      </c>
    </row>
    <row r="868" spans="1:28" ht="13" customHeight="1" x14ac:dyDescent="0.35">
      <c r="A868" s="153">
        <v>50557</v>
      </c>
      <c r="B868" s="36" t="s">
        <v>45</v>
      </c>
      <c r="C868" s="15" t="s">
        <v>47</v>
      </c>
      <c r="D868" s="15" t="s">
        <v>48</v>
      </c>
      <c r="E868" s="30">
        <f>H867</f>
        <v>72.651747685185143</v>
      </c>
      <c r="F868" s="37">
        <f>IFERROR('Production Inputs'!$FD$27*Dependencies!$D$6+'Production Inputs'!$FD$32*Dependencies!$D$9+'Production Inputs'!$FD$26*Dependencies!$D$8+'Production Inputs'!$FD$31*Dependencies!$D$10,0)</f>
        <v>0</v>
      </c>
      <c r="G868" s="37">
        <f t="array" ref="G868">IFERROR(SUMPRODUCT(('Production Inputs'!$A:$A="Drug Substance")*('Production Inputs'!$B:$B="TOTAL ACTIVE")*'Production Inputs'!$FD:$FD),0)</f>
        <v>0</v>
      </c>
      <c r="H868" s="30">
        <f t="shared" si="91"/>
        <v>72.651747685185143</v>
      </c>
      <c r="I868" s="30">
        <f ca="1">IFERROR(AVERAGEIF(OFFSET(F868,0,0,MIN(Controls!$B$8,COUNTIF(B868:B$1973,B868)),1),"&gt;"&amp;0),0)</f>
        <v>0</v>
      </c>
      <c r="J868" s="38">
        <f t="shared" ca="1" si="92"/>
        <v>999</v>
      </c>
      <c r="K868" s="30">
        <f t="shared" ca="1" si="96"/>
        <v>0</v>
      </c>
      <c r="L868" t="str">
        <f t="shared" ca="1" si="93"/>
        <v>Overstock</v>
      </c>
      <c r="M868" s="39">
        <f>IFERROR(VLOOKUP("Drug Substance",Controls!A:I,7,0),6)</f>
        <v>12</v>
      </c>
      <c r="N868" s="39">
        <f>IFERROR(VLOOKUP("Drug Substance",Controls!A:I,8,0),3)</f>
        <v>9</v>
      </c>
      <c r="O868" s="39">
        <f>IFERROR(VLOOKUP("Drug Substance",Controls!A:I,9,0),18)</f>
        <v>18</v>
      </c>
      <c r="P868" s="40">
        <f>IFERROR(VLOOKUP("Drug Substance",Controls!A:J,5,0),0)</f>
        <v>4.3</v>
      </c>
      <c r="Q868" s="39">
        <f>IFERROR(VLOOKUP("Drug Substance",Controls!A:J,6,0),3)</f>
        <v>5</v>
      </c>
      <c r="R868" s="21" t="str">
        <f>IFERROR(VLOOKUP("Drug Substance",Controls!A:K,10,0),"")</f>
        <v>ST Pharm (Oligo P1 F2)</v>
      </c>
      <c r="S868" s="41">
        <f t="shared" si="94"/>
        <v>50406</v>
      </c>
      <c r="T868" s="30">
        <f t="shared" si="95"/>
        <v>0</v>
      </c>
      <c r="AB868">
        <f t="shared" si="97"/>
        <v>71.368252314814811</v>
      </c>
    </row>
    <row r="869" spans="1:28" ht="13" customHeight="1" x14ac:dyDescent="0.35">
      <c r="A869" s="153">
        <v>50587</v>
      </c>
      <c r="B869" s="36" t="s">
        <v>45</v>
      </c>
      <c r="C869" s="15" t="s">
        <v>47</v>
      </c>
      <c r="D869" s="15" t="s">
        <v>48</v>
      </c>
      <c r="E869" s="30">
        <f>H868</f>
        <v>72.651747685185143</v>
      </c>
      <c r="F869" s="37">
        <f>IFERROR('Production Inputs'!$FE$27*Dependencies!$D$6+'Production Inputs'!$FE$32*Dependencies!$D$9+'Production Inputs'!$FE$26*Dependencies!$D$8+'Production Inputs'!$FE$31*Dependencies!$D$10,0)</f>
        <v>0</v>
      </c>
      <c r="G869" s="37">
        <f t="array" ref="G869">IFERROR(SUMPRODUCT(('Production Inputs'!$A:$A="Drug Substance")*('Production Inputs'!$B:$B="TOTAL ACTIVE")*'Production Inputs'!$FE:$FE),0)</f>
        <v>0</v>
      </c>
      <c r="H869" s="30">
        <f t="shared" si="91"/>
        <v>72.651747685185143</v>
      </c>
      <c r="I869" s="30">
        <f ca="1">IFERROR(AVERAGEIF(OFFSET(F869,0,0,MIN(Controls!$B$8,COUNTIF(B869:B$1973,B869)),1),"&gt;"&amp;0),0)</f>
        <v>0</v>
      </c>
      <c r="J869" s="38">
        <f t="shared" ca="1" si="92"/>
        <v>999</v>
      </c>
      <c r="K869" s="30">
        <f t="shared" ca="1" si="96"/>
        <v>0</v>
      </c>
      <c r="L869" t="str">
        <f t="shared" ca="1" si="93"/>
        <v>Overstock</v>
      </c>
      <c r="M869" s="39">
        <f>IFERROR(VLOOKUP("Drug Substance",Controls!A:I,7,0),6)</f>
        <v>12</v>
      </c>
      <c r="N869" s="39">
        <f>IFERROR(VLOOKUP("Drug Substance",Controls!A:I,8,0),3)</f>
        <v>9</v>
      </c>
      <c r="O869" s="39">
        <f>IFERROR(VLOOKUP("Drug Substance",Controls!A:I,9,0),18)</f>
        <v>18</v>
      </c>
      <c r="P869" s="40">
        <f>IFERROR(VLOOKUP("Drug Substance",Controls!A:J,5,0),0)</f>
        <v>4.3</v>
      </c>
      <c r="Q869" s="39">
        <f>IFERROR(VLOOKUP("Drug Substance",Controls!A:J,6,0),3)</f>
        <v>5</v>
      </c>
      <c r="R869" s="21" t="str">
        <f>IFERROR(VLOOKUP("Drug Substance",Controls!A:K,10,0),"")</f>
        <v>ST Pharm (Oligo P1 F2)</v>
      </c>
      <c r="S869" s="41">
        <f t="shared" si="94"/>
        <v>50437</v>
      </c>
      <c r="T869" s="30">
        <f t="shared" si="95"/>
        <v>0</v>
      </c>
      <c r="AB869">
        <f t="shared" si="97"/>
        <v>71.368252314814811</v>
      </c>
    </row>
    <row r="870" spans="1:28" ht="13" customHeight="1" x14ac:dyDescent="0.35">
      <c r="A870" s="153">
        <v>50618</v>
      </c>
      <c r="B870" s="36" t="s">
        <v>45</v>
      </c>
      <c r="C870" s="15" t="s">
        <v>47</v>
      </c>
      <c r="D870" s="15" t="s">
        <v>48</v>
      </c>
      <c r="E870" s="30">
        <f>H869</f>
        <v>72.651747685185143</v>
      </c>
      <c r="F870" s="37">
        <f>IFERROR('Production Inputs'!$FF$27*Dependencies!$D$6+'Production Inputs'!$FF$32*Dependencies!$D$9+'Production Inputs'!$FF$26*Dependencies!$D$8+'Production Inputs'!$FF$31*Dependencies!$D$10,0)</f>
        <v>0</v>
      </c>
      <c r="G870" s="37">
        <f t="array" ref="G870">IFERROR(SUMPRODUCT(('Production Inputs'!$A:$A="Drug Substance")*('Production Inputs'!$B:$B="TOTAL ACTIVE")*'Production Inputs'!$FF:$FF),0)</f>
        <v>0</v>
      </c>
      <c r="H870" s="30">
        <f t="shared" si="91"/>
        <v>72.651747685185143</v>
      </c>
      <c r="I870" s="30">
        <f ca="1">IFERROR(AVERAGEIF(OFFSET(F870,0,0,MIN(Controls!$B$8,COUNTIF(B870:B$1973,B870)),1),"&gt;"&amp;0),0)</f>
        <v>0</v>
      </c>
      <c r="J870" s="38">
        <f t="shared" ca="1" si="92"/>
        <v>999</v>
      </c>
      <c r="K870" s="30">
        <f t="shared" ca="1" si="96"/>
        <v>0</v>
      </c>
      <c r="L870" t="str">
        <f t="shared" ca="1" si="93"/>
        <v>Overstock</v>
      </c>
      <c r="M870" s="39">
        <f>IFERROR(VLOOKUP("Drug Substance",Controls!A:I,7,0),6)</f>
        <v>12</v>
      </c>
      <c r="N870" s="39">
        <f>IFERROR(VLOOKUP("Drug Substance",Controls!A:I,8,0),3)</f>
        <v>9</v>
      </c>
      <c r="O870" s="39">
        <f>IFERROR(VLOOKUP("Drug Substance",Controls!A:I,9,0),18)</f>
        <v>18</v>
      </c>
      <c r="P870" s="40">
        <f>IFERROR(VLOOKUP("Drug Substance",Controls!A:J,5,0),0)</f>
        <v>4.3</v>
      </c>
      <c r="Q870" s="39">
        <f>IFERROR(VLOOKUP("Drug Substance",Controls!A:J,6,0),3)</f>
        <v>5</v>
      </c>
      <c r="R870" s="21" t="str">
        <f>IFERROR(VLOOKUP("Drug Substance",Controls!A:K,10,0),"")</f>
        <v>ST Pharm (Oligo P1 F2)</v>
      </c>
      <c r="S870" s="41">
        <f t="shared" si="94"/>
        <v>50465</v>
      </c>
      <c r="T870" s="30">
        <f t="shared" si="95"/>
        <v>0</v>
      </c>
      <c r="AB870">
        <f t="shared" si="97"/>
        <v>71.368252314814811</v>
      </c>
    </row>
    <row r="871" spans="1:28" ht="13" customHeight="1" x14ac:dyDescent="0.35">
      <c r="A871" s="153">
        <v>50649</v>
      </c>
      <c r="B871" s="36" t="s">
        <v>45</v>
      </c>
      <c r="C871" s="15" t="s">
        <v>47</v>
      </c>
      <c r="D871" s="15" t="s">
        <v>48</v>
      </c>
      <c r="E871" s="30">
        <f>H870</f>
        <v>72.651747685185143</v>
      </c>
      <c r="F871" s="37">
        <f>IFERROR('Production Inputs'!$FG$27*Dependencies!$D$6+'Production Inputs'!$FG$32*Dependencies!$D$9+'Production Inputs'!$FG$26*Dependencies!$D$8+'Production Inputs'!$FG$31*Dependencies!$D$10,0)</f>
        <v>0</v>
      </c>
      <c r="G871" s="37">
        <f t="array" ref="G871">IFERROR(SUMPRODUCT(('Production Inputs'!$A:$A="Drug Substance")*('Production Inputs'!$B:$B="TOTAL ACTIVE")*'Production Inputs'!$FG:$FG),0)</f>
        <v>0</v>
      </c>
      <c r="H871" s="30">
        <f t="shared" si="91"/>
        <v>72.651747685185143</v>
      </c>
      <c r="I871" s="30">
        <f ca="1">IFERROR(AVERAGEIF(OFFSET(F871,0,0,MIN(Controls!$B$8,COUNTIF(B871:B$1973,B871)),1),"&gt;"&amp;0),0)</f>
        <v>0</v>
      </c>
      <c r="J871" s="38">
        <f t="shared" ca="1" si="92"/>
        <v>999</v>
      </c>
      <c r="K871" s="30">
        <f t="shared" ca="1" si="96"/>
        <v>0</v>
      </c>
      <c r="L871" t="str">
        <f t="shared" ca="1" si="93"/>
        <v>Overstock</v>
      </c>
      <c r="M871" s="39">
        <f>IFERROR(VLOOKUP("Drug Substance",Controls!A:I,7,0),6)</f>
        <v>12</v>
      </c>
      <c r="N871" s="39">
        <f>IFERROR(VLOOKUP("Drug Substance",Controls!A:I,8,0),3)</f>
        <v>9</v>
      </c>
      <c r="O871" s="39">
        <f>IFERROR(VLOOKUP("Drug Substance",Controls!A:I,9,0),18)</f>
        <v>18</v>
      </c>
      <c r="P871" s="40">
        <f>IFERROR(VLOOKUP("Drug Substance",Controls!A:J,5,0),0)</f>
        <v>4.3</v>
      </c>
      <c r="Q871" s="39">
        <f>IFERROR(VLOOKUP("Drug Substance",Controls!A:J,6,0),3)</f>
        <v>5</v>
      </c>
      <c r="R871" s="21" t="str">
        <f>IFERROR(VLOOKUP("Drug Substance",Controls!A:K,10,0),"")</f>
        <v>ST Pharm (Oligo P1 F2)</v>
      </c>
      <c r="S871" s="41">
        <f t="shared" si="94"/>
        <v>50496</v>
      </c>
      <c r="T871" s="30">
        <f t="shared" si="95"/>
        <v>0</v>
      </c>
      <c r="AB871">
        <f t="shared" si="97"/>
        <v>71.368252314814811</v>
      </c>
    </row>
    <row r="872" spans="1:28" ht="13" customHeight="1" x14ac:dyDescent="0.35">
      <c r="A872" s="153">
        <v>50679</v>
      </c>
      <c r="B872" s="36" t="s">
        <v>45</v>
      </c>
      <c r="C872" s="15" t="s">
        <v>47</v>
      </c>
      <c r="D872" s="15" t="s">
        <v>48</v>
      </c>
      <c r="E872" s="30">
        <f>H871</f>
        <v>72.651747685185143</v>
      </c>
      <c r="F872" s="37">
        <f>IFERROR('Production Inputs'!$FH$27*Dependencies!$D$6+'Production Inputs'!$FH$32*Dependencies!$D$9+'Production Inputs'!$FH$26*Dependencies!$D$8+'Production Inputs'!$FH$31*Dependencies!$D$10,0)</f>
        <v>0</v>
      </c>
      <c r="G872" s="37">
        <f t="array" ref="G872">IFERROR(SUMPRODUCT(('Production Inputs'!$A:$A="Drug Substance")*('Production Inputs'!$B:$B="TOTAL ACTIVE")*'Production Inputs'!$FH:$FH),0)</f>
        <v>0</v>
      </c>
      <c r="H872" s="30">
        <f t="shared" si="91"/>
        <v>72.651747685185143</v>
      </c>
      <c r="I872" s="30">
        <f ca="1">IFERROR(AVERAGEIF(OFFSET(F872,0,0,MIN(Controls!$B$8,COUNTIF(B872:B$1973,B872)),1),"&gt;"&amp;0),0)</f>
        <v>0</v>
      </c>
      <c r="J872" s="38">
        <f t="shared" ca="1" si="92"/>
        <v>999</v>
      </c>
      <c r="K872" s="30">
        <f t="shared" ca="1" si="96"/>
        <v>0</v>
      </c>
      <c r="L872" t="str">
        <f t="shared" ca="1" si="93"/>
        <v>Overstock</v>
      </c>
      <c r="M872" s="39">
        <f>IFERROR(VLOOKUP("Drug Substance",Controls!A:I,7,0),6)</f>
        <v>12</v>
      </c>
      <c r="N872" s="39">
        <f>IFERROR(VLOOKUP("Drug Substance",Controls!A:I,8,0),3)</f>
        <v>9</v>
      </c>
      <c r="O872" s="39">
        <f>IFERROR(VLOOKUP("Drug Substance",Controls!A:I,9,0),18)</f>
        <v>18</v>
      </c>
      <c r="P872" s="40">
        <f>IFERROR(VLOOKUP("Drug Substance",Controls!A:J,5,0),0)</f>
        <v>4.3</v>
      </c>
      <c r="Q872" s="39">
        <f>IFERROR(VLOOKUP("Drug Substance",Controls!A:J,6,0),3)</f>
        <v>5</v>
      </c>
      <c r="R872" s="21" t="str">
        <f>IFERROR(VLOOKUP("Drug Substance",Controls!A:K,10,0),"")</f>
        <v>ST Pharm (Oligo P1 F2)</v>
      </c>
      <c r="S872" s="41">
        <f t="shared" si="94"/>
        <v>50526</v>
      </c>
      <c r="T872" s="30">
        <f t="shared" si="95"/>
        <v>0</v>
      </c>
      <c r="AB872">
        <f t="shared" si="97"/>
        <v>71.368252314814811</v>
      </c>
    </row>
    <row r="873" spans="1:28" ht="13" customHeight="1" x14ac:dyDescent="0.35">
      <c r="A873" s="153">
        <v>50710</v>
      </c>
      <c r="B873" s="36" t="s">
        <v>45</v>
      </c>
      <c r="C873" s="15" t="s">
        <v>47</v>
      </c>
      <c r="D873" s="15" t="s">
        <v>48</v>
      </c>
      <c r="E873" s="30">
        <f>H872</f>
        <v>72.651747685185143</v>
      </c>
      <c r="F873" s="37">
        <f>IFERROR('Production Inputs'!$FI$27*Dependencies!$D$6+'Production Inputs'!$FI$32*Dependencies!$D$9+'Production Inputs'!$FI$26*Dependencies!$D$8+'Production Inputs'!$FI$31*Dependencies!$D$10,0)</f>
        <v>0</v>
      </c>
      <c r="G873" s="37">
        <f t="array" ref="G873">IFERROR(SUMPRODUCT(('Production Inputs'!$A:$A="Drug Substance")*('Production Inputs'!$B:$B="TOTAL ACTIVE")*'Production Inputs'!$FI:$FI),0)</f>
        <v>0</v>
      </c>
      <c r="H873" s="30">
        <f t="shared" si="91"/>
        <v>72.651747685185143</v>
      </c>
      <c r="I873" s="30">
        <f ca="1">IFERROR(AVERAGEIF(OFFSET(F873,0,0,MIN(Controls!$B$8,COUNTIF(B873:B$1973,B873)),1),"&gt;"&amp;0),0)</f>
        <v>0</v>
      </c>
      <c r="J873" s="38">
        <f t="shared" ca="1" si="92"/>
        <v>999</v>
      </c>
      <c r="K873" s="30">
        <f t="shared" ca="1" si="96"/>
        <v>0</v>
      </c>
      <c r="L873" t="str">
        <f t="shared" ca="1" si="93"/>
        <v>Overstock</v>
      </c>
      <c r="M873" s="39">
        <f>IFERROR(VLOOKUP("Drug Substance",Controls!A:I,7,0),6)</f>
        <v>12</v>
      </c>
      <c r="N873" s="39">
        <f>IFERROR(VLOOKUP("Drug Substance",Controls!A:I,8,0),3)</f>
        <v>9</v>
      </c>
      <c r="O873" s="39">
        <f>IFERROR(VLOOKUP("Drug Substance",Controls!A:I,9,0),18)</f>
        <v>18</v>
      </c>
      <c r="P873" s="40">
        <f>IFERROR(VLOOKUP("Drug Substance",Controls!A:J,5,0),0)</f>
        <v>4.3</v>
      </c>
      <c r="Q873" s="39">
        <f>IFERROR(VLOOKUP("Drug Substance",Controls!A:J,6,0),3)</f>
        <v>5</v>
      </c>
      <c r="R873" s="21" t="str">
        <f>IFERROR(VLOOKUP("Drug Substance",Controls!A:K,10,0),"")</f>
        <v>ST Pharm (Oligo P1 F2)</v>
      </c>
      <c r="S873" s="41">
        <f t="shared" si="94"/>
        <v>50557</v>
      </c>
      <c r="T873" s="30">
        <f t="shared" si="95"/>
        <v>0</v>
      </c>
      <c r="AB873">
        <f t="shared" si="97"/>
        <v>71.368252314814811</v>
      </c>
    </row>
    <row r="874" spans="1:28" ht="13" customHeight="1" x14ac:dyDescent="0.35">
      <c r="A874" s="153">
        <v>50740</v>
      </c>
      <c r="B874" s="36" t="s">
        <v>45</v>
      </c>
      <c r="C874" s="15" t="s">
        <v>47</v>
      </c>
      <c r="D874" s="15" t="s">
        <v>48</v>
      </c>
      <c r="E874" s="30">
        <f>H873</f>
        <v>72.651747685185143</v>
      </c>
      <c r="F874" s="37">
        <f>IFERROR('Production Inputs'!$FJ$27*Dependencies!$D$6+'Production Inputs'!$FJ$32*Dependencies!$D$9+'Production Inputs'!$FJ$26*Dependencies!$D$8+'Production Inputs'!$FJ$31*Dependencies!$D$10,0)</f>
        <v>0</v>
      </c>
      <c r="G874" s="37">
        <f t="array" ref="G874">IFERROR(SUMPRODUCT(('Production Inputs'!$A:$A="Drug Substance")*('Production Inputs'!$B:$B="TOTAL ACTIVE")*'Production Inputs'!$FJ:$FJ),0)</f>
        <v>0</v>
      </c>
      <c r="H874" s="30">
        <f t="shared" si="91"/>
        <v>72.651747685185143</v>
      </c>
      <c r="I874" s="30">
        <f ca="1">IFERROR(AVERAGEIF(OFFSET(F874,0,0,MIN(Controls!$B$8,COUNTIF(B874:B$1973,B874)),1),"&gt;"&amp;0),0)</f>
        <v>0</v>
      </c>
      <c r="J874" s="38">
        <f t="shared" ca="1" si="92"/>
        <v>999</v>
      </c>
      <c r="K874" s="30">
        <f t="shared" ca="1" si="96"/>
        <v>0</v>
      </c>
      <c r="L874" t="str">
        <f t="shared" ca="1" si="93"/>
        <v>Overstock</v>
      </c>
      <c r="M874" s="39">
        <f>IFERROR(VLOOKUP("Drug Substance",Controls!A:I,7,0),6)</f>
        <v>12</v>
      </c>
      <c r="N874" s="39">
        <f>IFERROR(VLOOKUP("Drug Substance",Controls!A:I,8,0),3)</f>
        <v>9</v>
      </c>
      <c r="O874" s="39">
        <f>IFERROR(VLOOKUP("Drug Substance",Controls!A:I,9,0),18)</f>
        <v>18</v>
      </c>
      <c r="P874" s="40">
        <f>IFERROR(VLOOKUP("Drug Substance",Controls!A:J,5,0),0)</f>
        <v>4.3</v>
      </c>
      <c r="Q874" s="39">
        <f>IFERROR(VLOOKUP("Drug Substance",Controls!A:J,6,0),3)</f>
        <v>5</v>
      </c>
      <c r="R874" s="21" t="str">
        <f>IFERROR(VLOOKUP("Drug Substance",Controls!A:K,10,0),"")</f>
        <v>ST Pharm (Oligo P1 F2)</v>
      </c>
      <c r="S874" s="41">
        <f t="shared" si="94"/>
        <v>50587</v>
      </c>
      <c r="T874" s="30">
        <f t="shared" si="95"/>
        <v>0</v>
      </c>
      <c r="AB874">
        <f t="shared" si="97"/>
        <v>71.368252314814811</v>
      </c>
    </row>
    <row r="875" spans="1:28" ht="13" customHeight="1" x14ac:dyDescent="0.35">
      <c r="A875" s="153">
        <v>50771</v>
      </c>
      <c r="B875" s="36" t="s">
        <v>45</v>
      </c>
      <c r="C875" s="15" t="s">
        <v>47</v>
      </c>
      <c r="D875" s="15" t="s">
        <v>48</v>
      </c>
      <c r="E875" s="30">
        <f>H874</f>
        <v>72.651747685185143</v>
      </c>
      <c r="F875" s="37">
        <f>IFERROR('Production Inputs'!$FK$27*Dependencies!$D$6+'Production Inputs'!$FK$32*Dependencies!$D$9+'Production Inputs'!$FK$26*Dependencies!$D$8+'Production Inputs'!$FK$31*Dependencies!$D$10,0)</f>
        <v>0</v>
      </c>
      <c r="G875" s="37">
        <f t="array" ref="G875">IFERROR(SUMPRODUCT(('Production Inputs'!$A:$A="Drug Substance")*('Production Inputs'!$B:$B="TOTAL ACTIVE")*'Production Inputs'!$FK:$FK),0)</f>
        <v>0</v>
      </c>
      <c r="H875" s="30">
        <f t="shared" si="91"/>
        <v>72.651747685185143</v>
      </c>
      <c r="I875" s="30">
        <f ca="1">IFERROR(AVERAGEIF(OFFSET(F875,0,0,MIN(Controls!$B$8,COUNTIF(B875:B$1973,B875)),1),"&gt;"&amp;0),0)</f>
        <v>0</v>
      </c>
      <c r="J875" s="38">
        <f t="shared" ca="1" si="92"/>
        <v>999</v>
      </c>
      <c r="K875" s="30">
        <f t="shared" ca="1" si="96"/>
        <v>0</v>
      </c>
      <c r="L875" t="str">
        <f t="shared" ca="1" si="93"/>
        <v>Overstock</v>
      </c>
      <c r="M875" s="39">
        <f>IFERROR(VLOOKUP("Drug Substance",Controls!A:I,7,0),6)</f>
        <v>12</v>
      </c>
      <c r="N875" s="39">
        <f>IFERROR(VLOOKUP("Drug Substance",Controls!A:I,8,0),3)</f>
        <v>9</v>
      </c>
      <c r="O875" s="39">
        <f>IFERROR(VLOOKUP("Drug Substance",Controls!A:I,9,0),18)</f>
        <v>18</v>
      </c>
      <c r="P875" s="40">
        <f>IFERROR(VLOOKUP("Drug Substance",Controls!A:J,5,0),0)</f>
        <v>4.3</v>
      </c>
      <c r="Q875" s="39">
        <f>IFERROR(VLOOKUP("Drug Substance",Controls!A:J,6,0),3)</f>
        <v>5</v>
      </c>
      <c r="R875" s="21" t="str">
        <f>IFERROR(VLOOKUP("Drug Substance",Controls!A:K,10,0),"")</f>
        <v>ST Pharm (Oligo P1 F2)</v>
      </c>
      <c r="S875" s="41">
        <f t="shared" si="94"/>
        <v>50618</v>
      </c>
      <c r="T875" s="30">
        <f t="shared" si="95"/>
        <v>0</v>
      </c>
      <c r="AB875">
        <f t="shared" si="97"/>
        <v>71.368252314814811</v>
      </c>
    </row>
    <row r="876" spans="1:28" ht="13" customHeight="1" x14ac:dyDescent="0.35">
      <c r="A876" s="153">
        <v>50802</v>
      </c>
      <c r="B876" s="36" t="s">
        <v>45</v>
      </c>
      <c r="C876" s="15" t="s">
        <v>47</v>
      </c>
      <c r="D876" s="15" t="s">
        <v>48</v>
      </c>
      <c r="E876" s="30">
        <f>H875</f>
        <v>72.651747685185143</v>
      </c>
      <c r="F876" s="37">
        <f>IFERROR('Production Inputs'!$FL$27*Dependencies!$D$6+'Production Inputs'!$FL$32*Dependencies!$D$9+'Production Inputs'!$FL$26*Dependencies!$D$8+'Production Inputs'!$FL$31*Dependencies!$D$10,0)</f>
        <v>0</v>
      </c>
      <c r="G876" s="37">
        <f t="array" ref="G876">IFERROR(SUMPRODUCT(('Production Inputs'!$A:$A="Drug Substance")*('Production Inputs'!$B:$B="TOTAL ACTIVE")*'Production Inputs'!$FL:$FL),0)</f>
        <v>0</v>
      </c>
      <c r="H876" s="30">
        <f t="shared" si="91"/>
        <v>72.651747685185143</v>
      </c>
      <c r="I876" s="30">
        <f ca="1">IFERROR(AVERAGEIF(OFFSET(F876,0,0,MIN(Controls!$B$8,COUNTIF(B876:B$1973,B876)),1),"&gt;"&amp;0),0)</f>
        <v>0</v>
      </c>
      <c r="J876" s="38">
        <f t="shared" ca="1" si="92"/>
        <v>999</v>
      </c>
      <c r="K876" s="30">
        <f t="shared" ca="1" si="96"/>
        <v>0</v>
      </c>
      <c r="L876" t="str">
        <f t="shared" ca="1" si="93"/>
        <v>Overstock</v>
      </c>
      <c r="M876" s="39">
        <f>IFERROR(VLOOKUP("Drug Substance",Controls!A:I,7,0),6)</f>
        <v>12</v>
      </c>
      <c r="N876" s="39">
        <f>IFERROR(VLOOKUP("Drug Substance",Controls!A:I,8,0),3)</f>
        <v>9</v>
      </c>
      <c r="O876" s="39">
        <f>IFERROR(VLOOKUP("Drug Substance",Controls!A:I,9,0),18)</f>
        <v>18</v>
      </c>
      <c r="P876" s="40">
        <f>IFERROR(VLOOKUP("Drug Substance",Controls!A:J,5,0),0)</f>
        <v>4.3</v>
      </c>
      <c r="Q876" s="39">
        <f>IFERROR(VLOOKUP("Drug Substance",Controls!A:J,6,0),3)</f>
        <v>5</v>
      </c>
      <c r="R876" s="21" t="str">
        <f>IFERROR(VLOOKUP("Drug Substance",Controls!A:K,10,0),"")</f>
        <v>ST Pharm (Oligo P1 F2)</v>
      </c>
      <c r="S876" s="41">
        <f t="shared" si="94"/>
        <v>50649</v>
      </c>
      <c r="T876" s="30">
        <f t="shared" si="95"/>
        <v>0</v>
      </c>
      <c r="AB876">
        <f t="shared" si="97"/>
        <v>71.368252314814811</v>
      </c>
    </row>
    <row r="877" spans="1:28" ht="13" customHeight="1" x14ac:dyDescent="0.35">
      <c r="A877" s="153">
        <v>50830</v>
      </c>
      <c r="B877" s="36" t="s">
        <v>45</v>
      </c>
      <c r="C877" s="15" t="s">
        <v>47</v>
      </c>
      <c r="D877" s="15" t="s">
        <v>48</v>
      </c>
      <c r="E877" s="30">
        <f>H876</f>
        <v>72.651747685185143</v>
      </c>
      <c r="F877" s="37">
        <f>IFERROR('Production Inputs'!$FM$27*Dependencies!$D$6+'Production Inputs'!$FM$32*Dependencies!$D$9+'Production Inputs'!$FM$26*Dependencies!$D$8+'Production Inputs'!$FM$31*Dependencies!$D$10,0)</f>
        <v>0</v>
      </c>
      <c r="G877" s="37">
        <f t="array" ref="G877">IFERROR(SUMPRODUCT(('Production Inputs'!$A:$A="Drug Substance")*('Production Inputs'!$B:$B="TOTAL ACTIVE")*'Production Inputs'!$FM:$FM),0)</f>
        <v>0</v>
      </c>
      <c r="H877" s="30">
        <f t="shared" si="91"/>
        <v>72.651747685185143</v>
      </c>
      <c r="I877" s="30">
        <f ca="1">IFERROR(AVERAGEIF(OFFSET(F877,0,0,MIN(Controls!$B$8,COUNTIF(B877:B$1973,B877)),1),"&gt;"&amp;0),0)</f>
        <v>0</v>
      </c>
      <c r="J877" s="38">
        <f t="shared" ca="1" si="92"/>
        <v>999</v>
      </c>
      <c r="K877" s="30">
        <f t="shared" ca="1" si="96"/>
        <v>0</v>
      </c>
      <c r="L877" t="str">
        <f t="shared" ca="1" si="93"/>
        <v>Overstock</v>
      </c>
      <c r="M877" s="39">
        <f>IFERROR(VLOOKUP("Drug Substance",Controls!A:I,7,0),6)</f>
        <v>12</v>
      </c>
      <c r="N877" s="39">
        <f>IFERROR(VLOOKUP("Drug Substance",Controls!A:I,8,0),3)</f>
        <v>9</v>
      </c>
      <c r="O877" s="39">
        <f>IFERROR(VLOOKUP("Drug Substance",Controls!A:I,9,0),18)</f>
        <v>18</v>
      </c>
      <c r="P877" s="40">
        <f>IFERROR(VLOOKUP("Drug Substance",Controls!A:J,5,0),0)</f>
        <v>4.3</v>
      </c>
      <c r="Q877" s="39">
        <f>IFERROR(VLOOKUP("Drug Substance",Controls!A:J,6,0),3)</f>
        <v>5</v>
      </c>
      <c r="R877" s="21" t="str">
        <f>IFERROR(VLOOKUP("Drug Substance",Controls!A:K,10,0),"")</f>
        <v>ST Pharm (Oligo P1 F2)</v>
      </c>
      <c r="S877" s="41">
        <f t="shared" si="94"/>
        <v>50679</v>
      </c>
      <c r="T877" s="30">
        <f t="shared" si="95"/>
        <v>0</v>
      </c>
      <c r="AB877">
        <f t="shared" si="97"/>
        <v>71.368252314814811</v>
      </c>
    </row>
    <row r="878" spans="1:28" ht="13" customHeight="1" x14ac:dyDescent="0.35">
      <c r="A878" s="153">
        <v>50861</v>
      </c>
      <c r="B878" s="36" t="s">
        <v>45</v>
      </c>
      <c r="C878" s="15" t="s">
        <v>47</v>
      </c>
      <c r="D878" s="15" t="s">
        <v>48</v>
      </c>
      <c r="E878" s="30">
        <f>H877</f>
        <v>72.651747685185143</v>
      </c>
      <c r="F878" s="37">
        <f>IFERROR('Production Inputs'!$FN$27*Dependencies!$D$6+'Production Inputs'!$FN$32*Dependencies!$D$9+'Production Inputs'!$FN$26*Dependencies!$D$8+'Production Inputs'!$FN$31*Dependencies!$D$10,0)</f>
        <v>0</v>
      </c>
      <c r="G878" s="37">
        <f t="array" ref="G878">IFERROR(SUMPRODUCT(('Production Inputs'!$A:$A="Drug Substance")*('Production Inputs'!$B:$B="TOTAL ACTIVE")*'Production Inputs'!$FN:$FN),0)</f>
        <v>0</v>
      </c>
      <c r="H878" s="30">
        <f t="shared" si="91"/>
        <v>72.651747685185143</v>
      </c>
      <c r="I878" s="30">
        <f ca="1">IFERROR(AVERAGEIF(OFFSET(F878,0,0,MIN(Controls!$B$8,COUNTIF(B878:B$1973,B878)),1),"&gt;"&amp;0),0)</f>
        <v>0</v>
      </c>
      <c r="J878" s="38">
        <f t="shared" ca="1" si="92"/>
        <v>999</v>
      </c>
      <c r="K878" s="30">
        <f t="shared" ca="1" si="96"/>
        <v>0</v>
      </c>
      <c r="L878" t="str">
        <f t="shared" ca="1" si="93"/>
        <v>Overstock</v>
      </c>
      <c r="M878" s="39">
        <f>IFERROR(VLOOKUP("Drug Substance",Controls!A:I,7,0),6)</f>
        <v>12</v>
      </c>
      <c r="N878" s="39">
        <f>IFERROR(VLOOKUP("Drug Substance",Controls!A:I,8,0),3)</f>
        <v>9</v>
      </c>
      <c r="O878" s="39">
        <f>IFERROR(VLOOKUP("Drug Substance",Controls!A:I,9,0),18)</f>
        <v>18</v>
      </c>
      <c r="P878" s="40">
        <f>IFERROR(VLOOKUP("Drug Substance",Controls!A:J,5,0),0)</f>
        <v>4.3</v>
      </c>
      <c r="Q878" s="39">
        <f>IFERROR(VLOOKUP("Drug Substance",Controls!A:J,6,0),3)</f>
        <v>5</v>
      </c>
      <c r="R878" s="21" t="str">
        <f>IFERROR(VLOOKUP("Drug Substance",Controls!A:K,10,0),"")</f>
        <v>ST Pharm (Oligo P1 F2)</v>
      </c>
      <c r="S878" s="41">
        <f t="shared" si="94"/>
        <v>50710</v>
      </c>
      <c r="T878" s="30">
        <f t="shared" si="95"/>
        <v>0</v>
      </c>
      <c r="AB878">
        <f t="shared" si="97"/>
        <v>71.368252314814811</v>
      </c>
    </row>
    <row r="879" spans="1:28" ht="13" customHeight="1" x14ac:dyDescent="0.35">
      <c r="A879" s="153">
        <v>50891</v>
      </c>
      <c r="B879" s="36" t="s">
        <v>45</v>
      </c>
      <c r="C879" s="15" t="s">
        <v>47</v>
      </c>
      <c r="D879" s="15" t="s">
        <v>48</v>
      </c>
      <c r="E879" s="30">
        <f>H878</f>
        <v>72.651747685185143</v>
      </c>
      <c r="F879" s="37">
        <f>IFERROR('Production Inputs'!$FO$27*Dependencies!$D$6+'Production Inputs'!$FO$32*Dependencies!$D$9+'Production Inputs'!$FO$26*Dependencies!$D$8+'Production Inputs'!$FO$31*Dependencies!$D$10,0)</f>
        <v>0</v>
      </c>
      <c r="G879" s="37">
        <f t="array" ref="G879">IFERROR(SUMPRODUCT(('Production Inputs'!$A:$A="Drug Substance")*('Production Inputs'!$B:$B="TOTAL ACTIVE")*'Production Inputs'!$FO:$FO),0)</f>
        <v>0</v>
      </c>
      <c r="H879" s="30">
        <f t="shared" si="91"/>
        <v>72.651747685185143</v>
      </c>
      <c r="I879" s="30">
        <f ca="1">IFERROR(AVERAGEIF(OFFSET(F879,0,0,MIN(Controls!$B$8,COUNTIF(B879:B$1973,B879)),1),"&gt;"&amp;0),0)</f>
        <v>0</v>
      </c>
      <c r="J879" s="38">
        <f t="shared" ca="1" si="92"/>
        <v>999</v>
      </c>
      <c r="K879" s="30">
        <f t="shared" ca="1" si="96"/>
        <v>0</v>
      </c>
      <c r="L879" t="str">
        <f t="shared" ca="1" si="93"/>
        <v>Overstock</v>
      </c>
      <c r="M879" s="39">
        <f>IFERROR(VLOOKUP("Drug Substance",Controls!A:I,7,0),6)</f>
        <v>12</v>
      </c>
      <c r="N879" s="39">
        <f>IFERROR(VLOOKUP("Drug Substance",Controls!A:I,8,0),3)</f>
        <v>9</v>
      </c>
      <c r="O879" s="39">
        <f>IFERROR(VLOOKUP("Drug Substance",Controls!A:I,9,0),18)</f>
        <v>18</v>
      </c>
      <c r="P879" s="40">
        <f>IFERROR(VLOOKUP("Drug Substance",Controls!A:J,5,0),0)</f>
        <v>4.3</v>
      </c>
      <c r="Q879" s="39">
        <f>IFERROR(VLOOKUP("Drug Substance",Controls!A:J,6,0),3)</f>
        <v>5</v>
      </c>
      <c r="R879" s="21" t="str">
        <f>IFERROR(VLOOKUP("Drug Substance",Controls!A:K,10,0),"")</f>
        <v>ST Pharm (Oligo P1 F2)</v>
      </c>
      <c r="S879" s="41">
        <f t="shared" si="94"/>
        <v>50740</v>
      </c>
      <c r="T879" s="30">
        <f t="shared" si="95"/>
        <v>0</v>
      </c>
      <c r="AB879">
        <f t="shared" si="97"/>
        <v>71.368252314814811</v>
      </c>
    </row>
    <row r="880" spans="1:28" ht="13" customHeight="1" x14ac:dyDescent="0.35">
      <c r="A880" s="153">
        <v>50922</v>
      </c>
      <c r="B880" s="36" t="s">
        <v>45</v>
      </c>
      <c r="C880" s="15" t="s">
        <v>47</v>
      </c>
      <c r="D880" s="15" t="s">
        <v>48</v>
      </c>
      <c r="E880" s="30">
        <f>H879</f>
        <v>72.651747685185143</v>
      </c>
      <c r="F880" s="37">
        <f>IFERROR('Production Inputs'!$FP$27*Dependencies!$D$6+'Production Inputs'!$FP$32*Dependencies!$D$9+'Production Inputs'!$FP$26*Dependencies!$D$8+'Production Inputs'!$FP$31*Dependencies!$D$10,0)</f>
        <v>0</v>
      </c>
      <c r="G880" s="37">
        <f t="array" ref="G880">IFERROR(SUMPRODUCT(('Production Inputs'!$A:$A="Drug Substance")*('Production Inputs'!$B:$B="TOTAL ACTIVE")*'Production Inputs'!$FP:$FP),0)</f>
        <v>0</v>
      </c>
      <c r="H880" s="30">
        <f t="shared" si="91"/>
        <v>72.651747685185143</v>
      </c>
      <c r="I880" s="30">
        <f ca="1">IFERROR(AVERAGEIF(OFFSET(F880,0,0,MIN(Controls!$B$8,COUNTIF(B880:B$1973,B880)),1),"&gt;"&amp;0),0)</f>
        <v>0</v>
      </c>
      <c r="J880" s="38">
        <f t="shared" ca="1" si="92"/>
        <v>999</v>
      </c>
      <c r="K880" s="30">
        <f t="shared" ca="1" si="96"/>
        <v>0</v>
      </c>
      <c r="L880" t="str">
        <f t="shared" ca="1" si="93"/>
        <v>Overstock</v>
      </c>
      <c r="M880" s="39">
        <f>IFERROR(VLOOKUP("Drug Substance",Controls!A:I,7,0),6)</f>
        <v>12</v>
      </c>
      <c r="N880" s="39">
        <f>IFERROR(VLOOKUP("Drug Substance",Controls!A:I,8,0),3)</f>
        <v>9</v>
      </c>
      <c r="O880" s="39">
        <f>IFERROR(VLOOKUP("Drug Substance",Controls!A:I,9,0),18)</f>
        <v>18</v>
      </c>
      <c r="P880" s="40">
        <f>IFERROR(VLOOKUP("Drug Substance",Controls!A:J,5,0),0)</f>
        <v>4.3</v>
      </c>
      <c r="Q880" s="39">
        <f>IFERROR(VLOOKUP("Drug Substance",Controls!A:J,6,0),3)</f>
        <v>5</v>
      </c>
      <c r="R880" s="21" t="str">
        <f>IFERROR(VLOOKUP("Drug Substance",Controls!A:K,10,0),"")</f>
        <v>ST Pharm (Oligo P1 F2)</v>
      </c>
      <c r="S880" s="41">
        <f t="shared" si="94"/>
        <v>50771</v>
      </c>
      <c r="T880" s="30">
        <f t="shared" si="95"/>
        <v>0</v>
      </c>
      <c r="AB880">
        <f t="shared" si="97"/>
        <v>71.368252314814811</v>
      </c>
    </row>
    <row r="881" spans="1:28" ht="13" customHeight="1" x14ac:dyDescent="0.35">
      <c r="A881" s="153">
        <v>50952</v>
      </c>
      <c r="B881" s="36" t="s">
        <v>45</v>
      </c>
      <c r="C881" s="15" t="s">
        <v>47</v>
      </c>
      <c r="D881" s="15" t="s">
        <v>48</v>
      </c>
      <c r="E881" s="30">
        <f>H880</f>
        <v>72.651747685185143</v>
      </c>
      <c r="F881" s="37">
        <f>IFERROR('Production Inputs'!$FQ$27*Dependencies!$D$6+'Production Inputs'!$FQ$32*Dependencies!$D$9+'Production Inputs'!$FQ$26*Dependencies!$D$8+'Production Inputs'!$FQ$31*Dependencies!$D$10,0)</f>
        <v>0</v>
      </c>
      <c r="G881" s="37">
        <f t="array" ref="G881">IFERROR(SUMPRODUCT(('Production Inputs'!$A:$A="Drug Substance")*('Production Inputs'!$B:$B="TOTAL ACTIVE")*'Production Inputs'!$FQ:$FQ),0)</f>
        <v>0</v>
      </c>
      <c r="H881" s="30">
        <f t="shared" si="91"/>
        <v>72.651747685185143</v>
      </c>
      <c r="I881" s="30">
        <f ca="1">IFERROR(AVERAGEIF(OFFSET(F881,0,0,MIN(Controls!$B$8,COUNTIF(B881:B$1973,B881)),1),"&gt;"&amp;0),0)</f>
        <v>0</v>
      </c>
      <c r="J881" s="38">
        <f t="shared" ca="1" si="92"/>
        <v>999</v>
      </c>
      <c r="K881" s="30">
        <f t="shared" ca="1" si="96"/>
        <v>0</v>
      </c>
      <c r="L881" t="str">
        <f t="shared" ca="1" si="93"/>
        <v>Overstock</v>
      </c>
      <c r="M881" s="39">
        <f>IFERROR(VLOOKUP("Drug Substance",Controls!A:I,7,0),6)</f>
        <v>12</v>
      </c>
      <c r="N881" s="39">
        <f>IFERROR(VLOOKUP("Drug Substance",Controls!A:I,8,0),3)</f>
        <v>9</v>
      </c>
      <c r="O881" s="39">
        <f>IFERROR(VLOOKUP("Drug Substance",Controls!A:I,9,0),18)</f>
        <v>18</v>
      </c>
      <c r="P881" s="40">
        <f>IFERROR(VLOOKUP("Drug Substance",Controls!A:J,5,0),0)</f>
        <v>4.3</v>
      </c>
      <c r="Q881" s="39">
        <f>IFERROR(VLOOKUP("Drug Substance",Controls!A:J,6,0),3)</f>
        <v>5</v>
      </c>
      <c r="R881" s="21" t="str">
        <f>IFERROR(VLOOKUP("Drug Substance",Controls!A:K,10,0),"")</f>
        <v>ST Pharm (Oligo P1 F2)</v>
      </c>
      <c r="S881" s="41">
        <f t="shared" si="94"/>
        <v>50802</v>
      </c>
      <c r="T881" s="30">
        <f t="shared" si="95"/>
        <v>0</v>
      </c>
      <c r="AB881">
        <f t="shared" si="97"/>
        <v>71.368252314814811</v>
      </c>
    </row>
    <row r="882" spans="1:28" ht="13" customHeight="1" x14ac:dyDescent="0.35">
      <c r="A882" s="153">
        <v>50983</v>
      </c>
      <c r="B882" s="36" t="s">
        <v>45</v>
      </c>
      <c r="C882" s="15" t="s">
        <v>47</v>
      </c>
      <c r="D882" s="15" t="s">
        <v>48</v>
      </c>
      <c r="E882" s="30">
        <f>H881</f>
        <v>72.651747685185143</v>
      </c>
      <c r="F882" s="37">
        <f>IFERROR('Production Inputs'!$FR$27*Dependencies!$D$6+'Production Inputs'!$FR$32*Dependencies!$D$9+'Production Inputs'!$FR$26*Dependencies!$D$8+'Production Inputs'!$FR$31*Dependencies!$D$10,0)</f>
        <v>0</v>
      </c>
      <c r="G882" s="37">
        <f t="array" ref="G882">IFERROR(SUMPRODUCT(('Production Inputs'!$A:$A="Drug Substance")*('Production Inputs'!$B:$B="TOTAL ACTIVE")*'Production Inputs'!$FR:$FR),0)</f>
        <v>0</v>
      </c>
      <c r="H882" s="30">
        <f t="shared" si="91"/>
        <v>72.651747685185143</v>
      </c>
      <c r="I882" s="30">
        <f ca="1">IFERROR(AVERAGEIF(OFFSET(F882,0,0,MIN(Controls!$B$8,COUNTIF(B882:B$1973,B882)),1),"&gt;"&amp;0),0)</f>
        <v>0</v>
      </c>
      <c r="J882" s="38">
        <f t="shared" ca="1" si="92"/>
        <v>999</v>
      </c>
      <c r="K882" s="30">
        <f t="shared" ca="1" si="96"/>
        <v>0</v>
      </c>
      <c r="L882" t="str">
        <f t="shared" ca="1" si="93"/>
        <v>Overstock</v>
      </c>
      <c r="M882" s="39">
        <f>IFERROR(VLOOKUP("Drug Substance",Controls!A:I,7,0),6)</f>
        <v>12</v>
      </c>
      <c r="N882" s="39">
        <f>IFERROR(VLOOKUP("Drug Substance",Controls!A:I,8,0),3)</f>
        <v>9</v>
      </c>
      <c r="O882" s="39">
        <f>IFERROR(VLOOKUP("Drug Substance",Controls!A:I,9,0),18)</f>
        <v>18</v>
      </c>
      <c r="P882" s="40">
        <f>IFERROR(VLOOKUP("Drug Substance",Controls!A:J,5,0),0)</f>
        <v>4.3</v>
      </c>
      <c r="Q882" s="39">
        <f>IFERROR(VLOOKUP("Drug Substance",Controls!A:J,6,0),3)</f>
        <v>5</v>
      </c>
      <c r="R882" s="21" t="str">
        <f>IFERROR(VLOOKUP("Drug Substance",Controls!A:K,10,0),"")</f>
        <v>ST Pharm (Oligo P1 F2)</v>
      </c>
      <c r="S882" s="41">
        <f t="shared" si="94"/>
        <v>50830</v>
      </c>
      <c r="T882" s="30">
        <f t="shared" si="95"/>
        <v>0</v>
      </c>
      <c r="AB882">
        <f t="shared" si="97"/>
        <v>71.368252314814811</v>
      </c>
    </row>
    <row r="883" spans="1:28" ht="13" customHeight="1" x14ac:dyDescent="0.35">
      <c r="A883" s="153">
        <v>51014</v>
      </c>
      <c r="B883" s="36" t="s">
        <v>45</v>
      </c>
      <c r="C883" s="15" t="s">
        <v>47</v>
      </c>
      <c r="D883" s="15" t="s">
        <v>48</v>
      </c>
      <c r="E883" s="30">
        <f>H882</f>
        <v>72.651747685185143</v>
      </c>
      <c r="F883" s="37">
        <f>IFERROR('Production Inputs'!$FS$27*Dependencies!$D$6+'Production Inputs'!$FS$32*Dependencies!$D$9+'Production Inputs'!$FS$26*Dependencies!$D$8+'Production Inputs'!$FS$31*Dependencies!$D$10,0)</f>
        <v>0</v>
      </c>
      <c r="G883" s="37">
        <f t="array" ref="G883">IFERROR(SUMPRODUCT(('Production Inputs'!$A:$A="Drug Substance")*('Production Inputs'!$B:$B="TOTAL ACTIVE")*'Production Inputs'!$FS:$FS),0)</f>
        <v>0</v>
      </c>
      <c r="H883" s="30">
        <f t="shared" si="91"/>
        <v>72.651747685185143</v>
      </c>
      <c r="I883" s="30">
        <f ca="1">IFERROR(AVERAGEIF(OFFSET(F883,0,0,MIN(Controls!$B$8,COUNTIF(B883:B$1973,B883)),1),"&gt;"&amp;0),0)</f>
        <v>0</v>
      </c>
      <c r="J883" s="38">
        <f t="shared" ca="1" si="92"/>
        <v>999</v>
      </c>
      <c r="K883" s="30">
        <f t="shared" ca="1" si="96"/>
        <v>0</v>
      </c>
      <c r="L883" t="str">
        <f t="shared" ca="1" si="93"/>
        <v>Overstock</v>
      </c>
      <c r="M883" s="39">
        <f>IFERROR(VLOOKUP("Drug Substance",Controls!A:I,7,0),6)</f>
        <v>12</v>
      </c>
      <c r="N883" s="39">
        <f>IFERROR(VLOOKUP("Drug Substance",Controls!A:I,8,0),3)</f>
        <v>9</v>
      </c>
      <c r="O883" s="39">
        <f>IFERROR(VLOOKUP("Drug Substance",Controls!A:I,9,0),18)</f>
        <v>18</v>
      </c>
      <c r="P883" s="40">
        <f>IFERROR(VLOOKUP("Drug Substance",Controls!A:J,5,0),0)</f>
        <v>4.3</v>
      </c>
      <c r="Q883" s="39">
        <f>IFERROR(VLOOKUP("Drug Substance",Controls!A:J,6,0),3)</f>
        <v>5</v>
      </c>
      <c r="R883" s="21" t="str">
        <f>IFERROR(VLOOKUP("Drug Substance",Controls!A:K,10,0),"")</f>
        <v>ST Pharm (Oligo P1 F2)</v>
      </c>
      <c r="S883" s="41">
        <f t="shared" si="94"/>
        <v>50861</v>
      </c>
      <c r="T883" s="30">
        <f t="shared" si="95"/>
        <v>0</v>
      </c>
      <c r="AB883">
        <f t="shared" si="97"/>
        <v>71.368252314814811</v>
      </c>
    </row>
    <row r="884" spans="1:28" ht="13" customHeight="1" x14ac:dyDescent="0.35">
      <c r="A884" s="153">
        <v>51044</v>
      </c>
      <c r="B884" s="36" t="s">
        <v>45</v>
      </c>
      <c r="C884" s="15" t="s">
        <v>47</v>
      </c>
      <c r="D884" s="15" t="s">
        <v>48</v>
      </c>
      <c r="E884" s="30">
        <f>H883</f>
        <v>72.651747685185143</v>
      </c>
      <c r="F884" s="37">
        <f>IFERROR('Production Inputs'!$FT$27*Dependencies!$D$6+'Production Inputs'!$FT$32*Dependencies!$D$9+'Production Inputs'!$FT$26*Dependencies!$D$8+'Production Inputs'!$FT$31*Dependencies!$D$10,0)</f>
        <v>0</v>
      </c>
      <c r="G884" s="37">
        <f t="array" ref="G884">IFERROR(SUMPRODUCT(('Production Inputs'!$A:$A="Drug Substance")*('Production Inputs'!$B:$B="TOTAL ACTIVE")*'Production Inputs'!$FT:$FT),0)</f>
        <v>0</v>
      </c>
      <c r="H884" s="30">
        <f t="shared" si="91"/>
        <v>72.651747685185143</v>
      </c>
      <c r="I884" s="30">
        <f ca="1">IFERROR(AVERAGEIF(OFFSET(F884,0,0,MIN(Controls!$B$8,COUNTIF(B884:B$1973,B884)),1),"&gt;"&amp;0),0)</f>
        <v>0</v>
      </c>
      <c r="J884" s="38">
        <f t="shared" ca="1" si="92"/>
        <v>999</v>
      </c>
      <c r="K884" s="30">
        <f t="shared" ca="1" si="96"/>
        <v>0</v>
      </c>
      <c r="L884" t="str">
        <f t="shared" ca="1" si="93"/>
        <v>Overstock</v>
      </c>
      <c r="M884" s="39">
        <f>IFERROR(VLOOKUP("Drug Substance",Controls!A:I,7,0),6)</f>
        <v>12</v>
      </c>
      <c r="N884" s="39">
        <f>IFERROR(VLOOKUP("Drug Substance",Controls!A:I,8,0),3)</f>
        <v>9</v>
      </c>
      <c r="O884" s="39">
        <f>IFERROR(VLOOKUP("Drug Substance",Controls!A:I,9,0),18)</f>
        <v>18</v>
      </c>
      <c r="P884" s="40">
        <f>IFERROR(VLOOKUP("Drug Substance",Controls!A:J,5,0),0)</f>
        <v>4.3</v>
      </c>
      <c r="Q884" s="39">
        <f>IFERROR(VLOOKUP("Drug Substance",Controls!A:J,6,0),3)</f>
        <v>5</v>
      </c>
      <c r="R884" s="21" t="str">
        <f>IFERROR(VLOOKUP("Drug Substance",Controls!A:K,10,0),"")</f>
        <v>ST Pharm (Oligo P1 F2)</v>
      </c>
      <c r="S884" s="41">
        <f t="shared" si="94"/>
        <v>50891</v>
      </c>
      <c r="T884" s="30">
        <f t="shared" si="95"/>
        <v>0</v>
      </c>
      <c r="AB884">
        <f t="shared" si="97"/>
        <v>71.368252314814811</v>
      </c>
    </row>
    <row r="885" spans="1:28" ht="13" customHeight="1" x14ac:dyDescent="0.35">
      <c r="A885" s="153">
        <v>51075</v>
      </c>
      <c r="B885" s="36" t="s">
        <v>45</v>
      </c>
      <c r="C885" s="15" t="s">
        <v>47</v>
      </c>
      <c r="D885" s="15" t="s">
        <v>48</v>
      </c>
      <c r="E885" s="30">
        <f>H884</f>
        <v>72.651747685185143</v>
      </c>
      <c r="F885" s="37">
        <f>IFERROR('Production Inputs'!$FU$27*Dependencies!$D$6+'Production Inputs'!$FU$32*Dependencies!$D$9+'Production Inputs'!$FU$26*Dependencies!$D$8+'Production Inputs'!$FU$31*Dependencies!$D$10,0)</f>
        <v>0</v>
      </c>
      <c r="G885" s="37">
        <f t="array" ref="G885">IFERROR(SUMPRODUCT(('Production Inputs'!$A:$A="Drug Substance")*('Production Inputs'!$B:$B="TOTAL ACTIVE")*'Production Inputs'!$FU:$FU),0)</f>
        <v>0</v>
      </c>
      <c r="H885" s="30">
        <f t="shared" si="91"/>
        <v>72.651747685185143</v>
      </c>
      <c r="I885" s="30">
        <f ca="1">IFERROR(AVERAGEIF(OFFSET(F885,0,0,MIN(Controls!$B$8,COUNTIF(B885:B$1973,B885)),1),"&gt;"&amp;0),0)</f>
        <v>0</v>
      </c>
      <c r="J885" s="38">
        <f t="shared" ca="1" si="92"/>
        <v>999</v>
      </c>
      <c r="K885" s="30">
        <f t="shared" ca="1" si="96"/>
        <v>0</v>
      </c>
      <c r="L885" t="str">
        <f t="shared" ca="1" si="93"/>
        <v>Overstock</v>
      </c>
      <c r="M885" s="39">
        <f>IFERROR(VLOOKUP("Drug Substance",Controls!A:I,7,0),6)</f>
        <v>12</v>
      </c>
      <c r="N885" s="39">
        <f>IFERROR(VLOOKUP("Drug Substance",Controls!A:I,8,0),3)</f>
        <v>9</v>
      </c>
      <c r="O885" s="39">
        <f>IFERROR(VLOOKUP("Drug Substance",Controls!A:I,9,0),18)</f>
        <v>18</v>
      </c>
      <c r="P885" s="40">
        <f>IFERROR(VLOOKUP("Drug Substance",Controls!A:J,5,0),0)</f>
        <v>4.3</v>
      </c>
      <c r="Q885" s="39">
        <f>IFERROR(VLOOKUP("Drug Substance",Controls!A:J,6,0),3)</f>
        <v>5</v>
      </c>
      <c r="R885" s="21" t="str">
        <f>IFERROR(VLOOKUP("Drug Substance",Controls!A:K,10,0),"")</f>
        <v>ST Pharm (Oligo P1 F2)</v>
      </c>
      <c r="S885" s="41">
        <f t="shared" si="94"/>
        <v>50922</v>
      </c>
      <c r="T885" s="30">
        <f t="shared" si="95"/>
        <v>0</v>
      </c>
      <c r="AB885">
        <f t="shared" si="97"/>
        <v>71.368252314814811</v>
      </c>
    </row>
    <row r="886" spans="1:28" ht="13" customHeight="1" x14ac:dyDescent="0.35">
      <c r="A886" s="153">
        <v>51105</v>
      </c>
      <c r="B886" s="36" t="s">
        <v>45</v>
      </c>
      <c r="C886" s="15" t="s">
        <v>47</v>
      </c>
      <c r="D886" s="15" t="s">
        <v>48</v>
      </c>
      <c r="E886" s="30">
        <f>H885</f>
        <v>72.651747685185143</v>
      </c>
      <c r="F886" s="37">
        <f>IFERROR('Production Inputs'!$FV$27*Dependencies!$D$6+'Production Inputs'!$FV$32*Dependencies!$D$9+'Production Inputs'!$FV$26*Dependencies!$D$8+'Production Inputs'!$FV$31*Dependencies!$D$10,0)</f>
        <v>0</v>
      </c>
      <c r="G886" s="37">
        <f t="array" ref="G886">IFERROR(SUMPRODUCT(('Production Inputs'!$A:$A="Drug Substance")*('Production Inputs'!$B:$B="TOTAL ACTIVE")*'Production Inputs'!$FV:$FV),0)</f>
        <v>0</v>
      </c>
      <c r="H886" s="30">
        <f t="shared" si="91"/>
        <v>72.651747685185143</v>
      </c>
      <c r="I886" s="30">
        <f ca="1">IFERROR(AVERAGEIF(OFFSET(F886,0,0,MIN(Controls!$B$8,COUNTIF(B886:B$1973,B886)),1),"&gt;"&amp;0),0)</f>
        <v>0</v>
      </c>
      <c r="J886" s="38">
        <f t="shared" ca="1" si="92"/>
        <v>999</v>
      </c>
      <c r="K886" s="30">
        <f t="shared" ca="1" si="96"/>
        <v>0</v>
      </c>
      <c r="L886" t="str">
        <f t="shared" ca="1" si="93"/>
        <v>Overstock</v>
      </c>
      <c r="M886" s="39">
        <f>IFERROR(VLOOKUP("Drug Substance",Controls!A:I,7,0),6)</f>
        <v>12</v>
      </c>
      <c r="N886" s="39">
        <f>IFERROR(VLOOKUP("Drug Substance",Controls!A:I,8,0),3)</f>
        <v>9</v>
      </c>
      <c r="O886" s="39">
        <f>IFERROR(VLOOKUP("Drug Substance",Controls!A:I,9,0),18)</f>
        <v>18</v>
      </c>
      <c r="P886" s="40">
        <f>IFERROR(VLOOKUP("Drug Substance",Controls!A:J,5,0),0)</f>
        <v>4.3</v>
      </c>
      <c r="Q886" s="39">
        <f>IFERROR(VLOOKUP("Drug Substance",Controls!A:J,6,0),3)</f>
        <v>5</v>
      </c>
      <c r="R886" s="21" t="str">
        <f>IFERROR(VLOOKUP("Drug Substance",Controls!A:K,10,0),"")</f>
        <v>ST Pharm (Oligo P1 F2)</v>
      </c>
      <c r="S886" s="41">
        <f t="shared" si="94"/>
        <v>50952</v>
      </c>
      <c r="T886" s="30">
        <f t="shared" si="95"/>
        <v>0</v>
      </c>
      <c r="AB886">
        <f t="shared" si="97"/>
        <v>71.368252314814811</v>
      </c>
    </row>
    <row r="887" spans="1:28" ht="13" customHeight="1" x14ac:dyDescent="0.35">
      <c r="A887" s="153">
        <v>51136</v>
      </c>
      <c r="B887" s="36" t="s">
        <v>45</v>
      </c>
      <c r="C887" s="15" t="s">
        <v>47</v>
      </c>
      <c r="D887" s="15" t="s">
        <v>48</v>
      </c>
      <c r="E887" s="30">
        <f>H886</f>
        <v>72.651747685185143</v>
      </c>
      <c r="F887" s="37">
        <f>IFERROR('Production Inputs'!$FW$27*Dependencies!$D$6+'Production Inputs'!$FW$32*Dependencies!$D$9+'Production Inputs'!$FW$26*Dependencies!$D$8+'Production Inputs'!$FW$31*Dependencies!$D$10,0)</f>
        <v>0</v>
      </c>
      <c r="G887" s="37">
        <f t="array" ref="G887">IFERROR(SUMPRODUCT(('Production Inputs'!$A:$A="Drug Substance")*('Production Inputs'!$B:$B="TOTAL ACTIVE")*'Production Inputs'!$FW:$FW),0)</f>
        <v>0</v>
      </c>
      <c r="H887" s="30">
        <f t="shared" si="91"/>
        <v>72.651747685185143</v>
      </c>
      <c r="I887" s="30">
        <f ca="1">IFERROR(AVERAGEIF(OFFSET(F887,0,0,MIN(Controls!$B$8,COUNTIF(B887:B$1973,B887)),1),"&gt;"&amp;0),0)</f>
        <v>0</v>
      </c>
      <c r="J887" s="38">
        <f t="shared" ca="1" si="92"/>
        <v>999</v>
      </c>
      <c r="K887" s="30">
        <f t="shared" ca="1" si="96"/>
        <v>0</v>
      </c>
      <c r="L887" t="str">
        <f t="shared" ca="1" si="93"/>
        <v>Overstock</v>
      </c>
      <c r="M887" s="39">
        <f>IFERROR(VLOOKUP("Drug Substance",Controls!A:I,7,0),6)</f>
        <v>12</v>
      </c>
      <c r="N887" s="39">
        <f>IFERROR(VLOOKUP("Drug Substance",Controls!A:I,8,0),3)</f>
        <v>9</v>
      </c>
      <c r="O887" s="39">
        <f>IFERROR(VLOOKUP("Drug Substance",Controls!A:I,9,0),18)</f>
        <v>18</v>
      </c>
      <c r="P887" s="40">
        <f>IFERROR(VLOOKUP("Drug Substance",Controls!A:J,5,0),0)</f>
        <v>4.3</v>
      </c>
      <c r="Q887" s="39">
        <f>IFERROR(VLOOKUP("Drug Substance",Controls!A:J,6,0),3)</f>
        <v>5</v>
      </c>
      <c r="R887" s="21" t="str">
        <f>IFERROR(VLOOKUP("Drug Substance",Controls!A:K,10,0),"")</f>
        <v>ST Pharm (Oligo P1 F2)</v>
      </c>
      <c r="S887" s="41">
        <f t="shared" si="94"/>
        <v>50983</v>
      </c>
      <c r="T887" s="30">
        <f t="shared" si="95"/>
        <v>0</v>
      </c>
      <c r="AB887">
        <f t="shared" si="97"/>
        <v>71.368252314814811</v>
      </c>
    </row>
    <row r="888" spans="1:28" ht="13" customHeight="1" x14ac:dyDescent="0.35">
      <c r="A888" s="153">
        <v>51167</v>
      </c>
      <c r="B888" s="36" t="s">
        <v>45</v>
      </c>
      <c r="C888" s="15" t="s">
        <v>47</v>
      </c>
      <c r="D888" s="15" t="s">
        <v>48</v>
      </c>
      <c r="E888" s="30">
        <f>H887</f>
        <v>72.651747685185143</v>
      </c>
      <c r="F888" s="37">
        <f>IFERROR('Production Inputs'!$FX$27*Dependencies!$D$6+'Production Inputs'!$FX$32*Dependencies!$D$9+'Production Inputs'!$FX$26*Dependencies!$D$8+'Production Inputs'!$FX$31*Dependencies!$D$10,0)</f>
        <v>0</v>
      </c>
      <c r="G888" s="37">
        <f t="array" ref="G888">IFERROR(SUMPRODUCT(('Production Inputs'!$A:$A="Drug Substance")*('Production Inputs'!$B:$B="TOTAL ACTIVE")*'Production Inputs'!$FX:$FX),0)</f>
        <v>0</v>
      </c>
      <c r="H888" s="30">
        <f t="shared" si="91"/>
        <v>72.651747685185143</v>
      </c>
      <c r="I888" s="30">
        <f ca="1">IFERROR(AVERAGEIF(OFFSET(F888,0,0,MIN(Controls!$B$8,COUNTIF(B888:B$1973,B888)),1),"&gt;"&amp;0),0)</f>
        <v>0</v>
      </c>
      <c r="J888" s="38">
        <f t="shared" ca="1" si="92"/>
        <v>999</v>
      </c>
      <c r="K888" s="30">
        <f t="shared" ca="1" si="96"/>
        <v>0</v>
      </c>
      <c r="L888" t="str">
        <f t="shared" ca="1" si="93"/>
        <v>Overstock</v>
      </c>
      <c r="M888" s="39">
        <f>IFERROR(VLOOKUP("Drug Substance",Controls!A:I,7,0),6)</f>
        <v>12</v>
      </c>
      <c r="N888" s="39">
        <f>IFERROR(VLOOKUP("Drug Substance",Controls!A:I,8,0),3)</f>
        <v>9</v>
      </c>
      <c r="O888" s="39">
        <f>IFERROR(VLOOKUP("Drug Substance",Controls!A:I,9,0),18)</f>
        <v>18</v>
      </c>
      <c r="P888" s="40">
        <f>IFERROR(VLOOKUP("Drug Substance",Controls!A:J,5,0),0)</f>
        <v>4.3</v>
      </c>
      <c r="Q888" s="39">
        <f>IFERROR(VLOOKUP("Drug Substance",Controls!A:J,6,0),3)</f>
        <v>5</v>
      </c>
      <c r="R888" s="21" t="str">
        <f>IFERROR(VLOOKUP("Drug Substance",Controls!A:K,10,0),"")</f>
        <v>ST Pharm (Oligo P1 F2)</v>
      </c>
      <c r="S888" s="41">
        <f t="shared" si="94"/>
        <v>51014</v>
      </c>
      <c r="T888" s="30">
        <f t="shared" si="95"/>
        <v>0</v>
      </c>
      <c r="AB888">
        <f t="shared" si="97"/>
        <v>71.368252314814811</v>
      </c>
    </row>
    <row r="889" spans="1:28" ht="13" customHeight="1" x14ac:dyDescent="0.35">
      <c r="A889" s="153">
        <v>51196</v>
      </c>
      <c r="B889" s="36" t="s">
        <v>45</v>
      </c>
      <c r="C889" s="15" t="s">
        <v>47</v>
      </c>
      <c r="D889" s="15" t="s">
        <v>48</v>
      </c>
      <c r="E889" s="30">
        <f>H888</f>
        <v>72.651747685185143</v>
      </c>
      <c r="F889" s="37">
        <f>IFERROR('Production Inputs'!$FY$27*Dependencies!$D$6+'Production Inputs'!$FY$32*Dependencies!$D$9+'Production Inputs'!$FY$26*Dependencies!$D$8+'Production Inputs'!$FY$31*Dependencies!$D$10,0)</f>
        <v>0</v>
      </c>
      <c r="G889" s="37">
        <f t="array" ref="G889">IFERROR(SUMPRODUCT(('Production Inputs'!$A:$A="Drug Substance")*('Production Inputs'!$B:$B="TOTAL ACTIVE")*'Production Inputs'!$FY:$FY),0)</f>
        <v>0</v>
      </c>
      <c r="H889" s="30">
        <f t="shared" si="91"/>
        <v>72.651747685185143</v>
      </c>
      <c r="I889" s="30">
        <f ca="1">IFERROR(AVERAGEIF(OFFSET(F889,0,0,MIN(Controls!$B$8,COUNTIF(B889:B$1973,B889)),1),"&gt;"&amp;0),0)</f>
        <v>0</v>
      </c>
      <c r="J889" s="38">
        <f t="shared" ca="1" si="92"/>
        <v>999</v>
      </c>
      <c r="K889" s="30">
        <f t="shared" ca="1" si="96"/>
        <v>0</v>
      </c>
      <c r="L889" t="str">
        <f t="shared" ca="1" si="93"/>
        <v>Overstock</v>
      </c>
      <c r="M889" s="39">
        <f>IFERROR(VLOOKUP("Drug Substance",Controls!A:I,7,0),6)</f>
        <v>12</v>
      </c>
      <c r="N889" s="39">
        <f>IFERROR(VLOOKUP("Drug Substance",Controls!A:I,8,0),3)</f>
        <v>9</v>
      </c>
      <c r="O889" s="39">
        <f>IFERROR(VLOOKUP("Drug Substance",Controls!A:I,9,0),18)</f>
        <v>18</v>
      </c>
      <c r="P889" s="40">
        <f>IFERROR(VLOOKUP("Drug Substance",Controls!A:J,5,0),0)</f>
        <v>4.3</v>
      </c>
      <c r="Q889" s="39">
        <f>IFERROR(VLOOKUP("Drug Substance",Controls!A:J,6,0),3)</f>
        <v>5</v>
      </c>
      <c r="R889" s="21" t="str">
        <f>IFERROR(VLOOKUP("Drug Substance",Controls!A:K,10,0),"")</f>
        <v>ST Pharm (Oligo P1 F2)</v>
      </c>
      <c r="S889" s="41">
        <f t="shared" si="94"/>
        <v>51044</v>
      </c>
      <c r="T889" s="30">
        <f t="shared" si="95"/>
        <v>0</v>
      </c>
      <c r="AB889">
        <f t="shared" si="97"/>
        <v>71.368252314814811</v>
      </c>
    </row>
    <row r="890" spans="1:28" ht="13" customHeight="1" x14ac:dyDescent="0.35">
      <c r="A890" s="153">
        <v>51227</v>
      </c>
      <c r="B890" s="36" t="s">
        <v>45</v>
      </c>
      <c r="C890" s="15" t="s">
        <v>47</v>
      </c>
      <c r="D890" s="15" t="s">
        <v>48</v>
      </c>
      <c r="E890" s="30">
        <f>H889</f>
        <v>72.651747685185143</v>
      </c>
      <c r="F890" s="37">
        <f>IFERROR('Production Inputs'!$FZ$27*Dependencies!$D$6+'Production Inputs'!$FZ$32*Dependencies!$D$9+'Production Inputs'!$FZ$26*Dependencies!$D$8+'Production Inputs'!$FZ$31*Dependencies!$D$10,0)</f>
        <v>0</v>
      </c>
      <c r="G890" s="37">
        <f t="array" ref="G890">IFERROR(SUMPRODUCT(('Production Inputs'!$A:$A="Drug Substance")*('Production Inputs'!$B:$B="TOTAL ACTIVE")*'Production Inputs'!$FZ:$FZ),0)</f>
        <v>0</v>
      </c>
      <c r="H890" s="30">
        <f t="shared" si="91"/>
        <v>72.651747685185143</v>
      </c>
      <c r="I890" s="30">
        <f ca="1">IFERROR(AVERAGEIF(OFFSET(F890,0,0,MIN(Controls!$B$8,COUNTIF(B890:B$1973,B890)),1),"&gt;"&amp;0),0)</f>
        <v>0</v>
      </c>
      <c r="J890" s="38">
        <f t="shared" ca="1" si="92"/>
        <v>999</v>
      </c>
      <c r="K890" s="30">
        <f t="shared" ca="1" si="96"/>
        <v>0</v>
      </c>
      <c r="L890" t="str">
        <f t="shared" ca="1" si="93"/>
        <v>Overstock</v>
      </c>
      <c r="M890" s="39">
        <f>IFERROR(VLOOKUP("Drug Substance",Controls!A:I,7,0),6)</f>
        <v>12</v>
      </c>
      <c r="N890" s="39">
        <f>IFERROR(VLOOKUP("Drug Substance",Controls!A:I,8,0),3)</f>
        <v>9</v>
      </c>
      <c r="O890" s="39">
        <f>IFERROR(VLOOKUP("Drug Substance",Controls!A:I,9,0),18)</f>
        <v>18</v>
      </c>
      <c r="P890" s="40">
        <f>IFERROR(VLOOKUP("Drug Substance",Controls!A:J,5,0),0)</f>
        <v>4.3</v>
      </c>
      <c r="Q890" s="39">
        <f>IFERROR(VLOOKUP("Drug Substance",Controls!A:J,6,0),3)</f>
        <v>5</v>
      </c>
      <c r="R890" s="21" t="str">
        <f>IFERROR(VLOOKUP("Drug Substance",Controls!A:K,10,0),"")</f>
        <v>ST Pharm (Oligo P1 F2)</v>
      </c>
      <c r="S890" s="41">
        <f t="shared" si="94"/>
        <v>51075</v>
      </c>
      <c r="T890" s="30">
        <f t="shared" si="95"/>
        <v>0</v>
      </c>
      <c r="AB890">
        <f t="shared" si="97"/>
        <v>71.368252314814811</v>
      </c>
    </row>
    <row r="891" spans="1:28" ht="13" customHeight="1" x14ac:dyDescent="0.35">
      <c r="A891" s="153">
        <v>51257</v>
      </c>
      <c r="B891" s="36" t="s">
        <v>45</v>
      </c>
      <c r="C891" s="15" t="s">
        <v>47</v>
      </c>
      <c r="D891" s="15" t="s">
        <v>48</v>
      </c>
      <c r="E891" s="30">
        <f>H890</f>
        <v>72.651747685185143</v>
      </c>
      <c r="F891" s="37">
        <f>IFERROR('Production Inputs'!$GA$27*Dependencies!$D$6+'Production Inputs'!$GA$32*Dependencies!$D$9+'Production Inputs'!$GA$26*Dependencies!$D$8+'Production Inputs'!$GA$31*Dependencies!$D$10,0)</f>
        <v>0</v>
      </c>
      <c r="G891" s="37">
        <f t="array" ref="G891">IFERROR(SUMPRODUCT(('Production Inputs'!$A:$A="Drug Substance")*('Production Inputs'!$B:$B="TOTAL ACTIVE")*'Production Inputs'!$GA:$GA),0)</f>
        <v>0</v>
      </c>
      <c r="H891" s="30">
        <f t="shared" si="91"/>
        <v>72.651747685185143</v>
      </c>
      <c r="I891" s="30">
        <f ca="1">IFERROR(AVERAGEIF(OFFSET(F891,0,0,MIN(Controls!$B$8,COUNTIF(B891:B$1973,B891)),1),"&gt;"&amp;0),0)</f>
        <v>0</v>
      </c>
      <c r="J891" s="38">
        <f t="shared" ca="1" si="92"/>
        <v>999</v>
      </c>
      <c r="K891" s="30">
        <f t="shared" ca="1" si="96"/>
        <v>0</v>
      </c>
      <c r="L891" t="str">
        <f t="shared" ca="1" si="93"/>
        <v>Overstock</v>
      </c>
      <c r="M891" s="39">
        <f>IFERROR(VLOOKUP("Drug Substance",Controls!A:I,7,0),6)</f>
        <v>12</v>
      </c>
      <c r="N891" s="39">
        <f>IFERROR(VLOOKUP("Drug Substance",Controls!A:I,8,0),3)</f>
        <v>9</v>
      </c>
      <c r="O891" s="39">
        <f>IFERROR(VLOOKUP("Drug Substance",Controls!A:I,9,0),18)</f>
        <v>18</v>
      </c>
      <c r="P891" s="40">
        <f>IFERROR(VLOOKUP("Drug Substance",Controls!A:J,5,0),0)</f>
        <v>4.3</v>
      </c>
      <c r="Q891" s="39">
        <f>IFERROR(VLOOKUP("Drug Substance",Controls!A:J,6,0),3)</f>
        <v>5</v>
      </c>
      <c r="R891" s="21" t="str">
        <f>IFERROR(VLOOKUP("Drug Substance",Controls!A:K,10,0),"")</f>
        <v>ST Pharm (Oligo P1 F2)</v>
      </c>
      <c r="S891" s="41">
        <f t="shared" si="94"/>
        <v>51105</v>
      </c>
      <c r="T891" s="30">
        <f t="shared" si="95"/>
        <v>0</v>
      </c>
      <c r="AB891">
        <f t="shared" si="97"/>
        <v>71.368252314814811</v>
      </c>
    </row>
    <row r="892" spans="1:28" ht="13" customHeight="1" x14ac:dyDescent="0.35">
      <c r="A892" s="153">
        <v>51288</v>
      </c>
      <c r="B892" s="36" t="s">
        <v>45</v>
      </c>
      <c r="C892" s="15" t="s">
        <v>47</v>
      </c>
      <c r="D892" s="15" t="s">
        <v>48</v>
      </c>
      <c r="E892" s="30">
        <f>H891</f>
        <v>72.651747685185143</v>
      </c>
      <c r="F892" s="37">
        <f>IFERROR('Production Inputs'!$GB$27*Dependencies!$D$6+'Production Inputs'!$GB$32*Dependencies!$D$9+'Production Inputs'!$GB$26*Dependencies!$D$8+'Production Inputs'!$GB$31*Dependencies!$D$10,0)</f>
        <v>0</v>
      </c>
      <c r="G892" s="37">
        <f t="array" ref="G892">IFERROR(SUMPRODUCT(('Production Inputs'!$A:$A="Drug Substance")*('Production Inputs'!$B:$B="TOTAL ACTIVE")*'Production Inputs'!$GB:$GB),0)</f>
        <v>0</v>
      </c>
      <c r="H892" s="30">
        <f t="shared" si="91"/>
        <v>72.651747685185143</v>
      </c>
      <c r="I892" s="30">
        <f ca="1">IFERROR(AVERAGEIF(OFFSET(F892,0,0,MIN(Controls!$B$8,COUNTIF(B892:B$1973,B892)),1),"&gt;"&amp;0),0)</f>
        <v>0</v>
      </c>
      <c r="J892" s="38">
        <f t="shared" ca="1" si="92"/>
        <v>999</v>
      </c>
      <c r="K892" s="30">
        <f t="shared" ca="1" si="96"/>
        <v>0</v>
      </c>
      <c r="L892" t="str">
        <f t="shared" ca="1" si="93"/>
        <v>Overstock</v>
      </c>
      <c r="M892" s="39">
        <f>IFERROR(VLOOKUP("Drug Substance",Controls!A:I,7,0),6)</f>
        <v>12</v>
      </c>
      <c r="N892" s="39">
        <f>IFERROR(VLOOKUP("Drug Substance",Controls!A:I,8,0),3)</f>
        <v>9</v>
      </c>
      <c r="O892" s="39">
        <f>IFERROR(VLOOKUP("Drug Substance",Controls!A:I,9,0),18)</f>
        <v>18</v>
      </c>
      <c r="P892" s="40">
        <f>IFERROR(VLOOKUP("Drug Substance",Controls!A:J,5,0),0)</f>
        <v>4.3</v>
      </c>
      <c r="Q892" s="39">
        <f>IFERROR(VLOOKUP("Drug Substance",Controls!A:J,6,0),3)</f>
        <v>5</v>
      </c>
      <c r="R892" s="21" t="str">
        <f>IFERROR(VLOOKUP("Drug Substance",Controls!A:K,10,0),"")</f>
        <v>ST Pharm (Oligo P1 F2)</v>
      </c>
      <c r="S892" s="41">
        <f t="shared" si="94"/>
        <v>51136</v>
      </c>
      <c r="T892" s="30">
        <f t="shared" si="95"/>
        <v>0</v>
      </c>
      <c r="AB892">
        <f t="shared" si="97"/>
        <v>71.368252314814811</v>
      </c>
    </row>
    <row r="893" spans="1:28" ht="13" customHeight="1" x14ac:dyDescent="0.35">
      <c r="A893" s="153">
        <v>51318</v>
      </c>
      <c r="B893" s="36" t="s">
        <v>45</v>
      </c>
      <c r="C893" s="15" t="s">
        <v>47</v>
      </c>
      <c r="D893" s="15" t="s">
        <v>48</v>
      </c>
      <c r="E893" s="30">
        <f>H892</f>
        <v>72.651747685185143</v>
      </c>
      <c r="F893" s="37">
        <f>IFERROR('Production Inputs'!$GC$27*Dependencies!$D$6+'Production Inputs'!$GC$32*Dependencies!$D$9+'Production Inputs'!$GC$26*Dependencies!$D$8+'Production Inputs'!$GC$31*Dependencies!$D$10,0)</f>
        <v>0</v>
      </c>
      <c r="G893" s="37">
        <f t="array" ref="G893">IFERROR(SUMPRODUCT(('Production Inputs'!$A:$A="Drug Substance")*('Production Inputs'!$B:$B="TOTAL ACTIVE")*'Production Inputs'!$GC:$GC),0)</f>
        <v>0</v>
      </c>
      <c r="H893" s="30">
        <f t="shared" si="91"/>
        <v>72.651747685185143</v>
      </c>
      <c r="I893" s="30">
        <f ca="1">IFERROR(AVERAGEIF(OFFSET(F893,0,0,MIN(Controls!$B$8,COUNTIF(B893:B$1973,B893)),1),"&gt;"&amp;0),0)</f>
        <v>0</v>
      </c>
      <c r="J893" s="38">
        <f t="shared" ca="1" si="92"/>
        <v>999</v>
      </c>
      <c r="K893" s="30">
        <f t="shared" ca="1" si="96"/>
        <v>0</v>
      </c>
      <c r="L893" t="str">
        <f t="shared" ca="1" si="93"/>
        <v>Overstock</v>
      </c>
      <c r="M893" s="39">
        <f>IFERROR(VLOOKUP("Drug Substance",Controls!A:I,7,0),6)</f>
        <v>12</v>
      </c>
      <c r="N893" s="39">
        <f>IFERROR(VLOOKUP("Drug Substance",Controls!A:I,8,0),3)</f>
        <v>9</v>
      </c>
      <c r="O893" s="39">
        <f>IFERROR(VLOOKUP("Drug Substance",Controls!A:I,9,0),18)</f>
        <v>18</v>
      </c>
      <c r="P893" s="40">
        <f>IFERROR(VLOOKUP("Drug Substance",Controls!A:J,5,0),0)</f>
        <v>4.3</v>
      </c>
      <c r="Q893" s="39">
        <f>IFERROR(VLOOKUP("Drug Substance",Controls!A:J,6,0),3)</f>
        <v>5</v>
      </c>
      <c r="R893" s="21" t="str">
        <f>IFERROR(VLOOKUP("Drug Substance",Controls!A:K,10,0),"")</f>
        <v>ST Pharm (Oligo P1 F2)</v>
      </c>
      <c r="S893" s="41">
        <f t="shared" si="94"/>
        <v>51167</v>
      </c>
      <c r="T893" s="30">
        <f t="shared" si="95"/>
        <v>0</v>
      </c>
      <c r="AB893">
        <f t="shared" si="97"/>
        <v>71.368252314814811</v>
      </c>
    </row>
    <row r="894" spans="1:28" ht="13" customHeight="1" x14ac:dyDescent="0.35">
      <c r="A894" s="153">
        <v>51349</v>
      </c>
      <c r="B894" s="36" t="s">
        <v>45</v>
      </c>
      <c r="C894" s="15" t="s">
        <v>47</v>
      </c>
      <c r="D894" s="15" t="s">
        <v>48</v>
      </c>
      <c r="E894" s="30">
        <f>H893</f>
        <v>72.651747685185143</v>
      </c>
      <c r="F894" s="37">
        <f>IFERROR('Production Inputs'!$GD$27*Dependencies!$D$6+'Production Inputs'!$GD$32*Dependencies!$D$9+'Production Inputs'!$GD$26*Dependencies!$D$8+'Production Inputs'!$GD$31*Dependencies!$D$10,0)</f>
        <v>0</v>
      </c>
      <c r="G894" s="37">
        <f t="array" ref="G894">IFERROR(SUMPRODUCT(('Production Inputs'!$A:$A="Drug Substance")*('Production Inputs'!$B:$B="TOTAL ACTIVE")*'Production Inputs'!$GD:$GD),0)</f>
        <v>0</v>
      </c>
      <c r="H894" s="30">
        <f t="shared" si="91"/>
        <v>72.651747685185143</v>
      </c>
      <c r="I894" s="30">
        <f ca="1">IFERROR(AVERAGEIF(OFFSET(F894,0,0,MIN(Controls!$B$8,COUNTIF(B894:B$1973,B894)),1),"&gt;"&amp;0),0)</f>
        <v>0</v>
      </c>
      <c r="J894" s="38">
        <f t="shared" ca="1" si="92"/>
        <v>999</v>
      </c>
      <c r="K894" s="30">
        <f t="shared" ca="1" si="96"/>
        <v>0</v>
      </c>
      <c r="L894" t="str">
        <f t="shared" ca="1" si="93"/>
        <v>Overstock</v>
      </c>
      <c r="M894" s="39">
        <f>IFERROR(VLOOKUP("Drug Substance",Controls!A:I,7,0),6)</f>
        <v>12</v>
      </c>
      <c r="N894" s="39">
        <f>IFERROR(VLOOKUP("Drug Substance",Controls!A:I,8,0),3)</f>
        <v>9</v>
      </c>
      <c r="O894" s="39">
        <f>IFERROR(VLOOKUP("Drug Substance",Controls!A:I,9,0),18)</f>
        <v>18</v>
      </c>
      <c r="P894" s="40">
        <f>IFERROR(VLOOKUP("Drug Substance",Controls!A:J,5,0),0)</f>
        <v>4.3</v>
      </c>
      <c r="Q894" s="39">
        <f>IFERROR(VLOOKUP("Drug Substance",Controls!A:J,6,0),3)</f>
        <v>5</v>
      </c>
      <c r="R894" s="21" t="str">
        <f>IFERROR(VLOOKUP("Drug Substance",Controls!A:K,10,0),"")</f>
        <v>ST Pharm (Oligo P1 F2)</v>
      </c>
      <c r="S894" s="41">
        <f t="shared" si="94"/>
        <v>51196</v>
      </c>
      <c r="T894" s="30">
        <f t="shared" si="95"/>
        <v>0</v>
      </c>
      <c r="AB894">
        <f t="shared" si="97"/>
        <v>71.368252314814811</v>
      </c>
    </row>
    <row r="895" spans="1:28" ht="13" customHeight="1" x14ac:dyDescent="0.35">
      <c r="A895" s="153">
        <v>51380</v>
      </c>
      <c r="B895" s="36" t="s">
        <v>45</v>
      </c>
      <c r="C895" s="15" t="s">
        <v>47</v>
      </c>
      <c r="D895" s="15" t="s">
        <v>48</v>
      </c>
      <c r="E895" s="30">
        <f>H894</f>
        <v>72.651747685185143</v>
      </c>
      <c r="F895" s="37">
        <f>IFERROR('Production Inputs'!$GE$27*Dependencies!$D$6+'Production Inputs'!$GE$32*Dependencies!$D$9+'Production Inputs'!$GE$26*Dependencies!$D$8+'Production Inputs'!$GE$31*Dependencies!$D$10,0)</f>
        <v>0</v>
      </c>
      <c r="G895" s="37">
        <f t="array" ref="G895">IFERROR(SUMPRODUCT(('Production Inputs'!$A:$A="Drug Substance")*('Production Inputs'!$B:$B="TOTAL ACTIVE")*'Production Inputs'!$GE:$GE),0)</f>
        <v>0</v>
      </c>
      <c r="H895" s="30">
        <f t="shared" si="91"/>
        <v>72.651747685185143</v>
      </c>
      <c r="I895" s="30">
        <f ca="1">IFERROR(AVERAGEIF(OFFSET(F895,0,0,MIN(Controls!$B$8,COUNTIF(B895:B$1973,B895)),1),"&gt;"&amp;0),0)</f>
        <v>0</v>
      </c>
      <c r="J895" s="38">
        <f t="shared" ca="1" si="92"/>
        <v>999</v>
      </c>
      <c r="K895" s="30">
        <f t="shared" ca="1" si="96"/>
        <v>0</v>
      </c>
      <c r="L895" t="str">
        <f t="shared" ca="1" si="93"/>
        <v>Overstock</v>
      </c>
      <c r="M895" s="39">
        <f>IFERROR(VLOOKUP("Drug Substance",Controls!A:I,7,0),6)</f>
        <v>12</v>
      </c>
      <c r="N895" s="39">
        <f>IFERROR(VLOOKUP("Drug Substance",Controls!A:I,8,0),3)</f>
        <v>9</v>
      </c>
      <c r="O895" s="39">
        <f>IFERROR(VLOOKUP("Drug Substance",Controls!A:I,9,0),18)</f>
        <v>18</v>
      </c>
      <c r="P895" s="40">
        <f>IFERROR(VLOOKUP("Drug Substance",Controls!A:J,5,0),0)</f>
        <v>4.3</v>
      </c>
      <c r="Q895" s="39">
        <f>IFERROR(VLOOKUP("Drug Substance",Controls!A:J,6,0),3)</f>
        <v>5</v>
      </c>
      <c r="R895" s="21" t="str">
        <f>IFERROR(VLOOKUP("Drug Substance",Controls!A:K,10,0),"")</f>
        <v>ST Pharm (Oligo P1 F2)</v>
      </c>
      <c r="S895" s="41">
        <f t="shared" si="94"/>
        <v>51227</v>
      </c>
      <c r="T895" s="30">
        <f t="shared" si="95"/>
        <v>0</v>
      </c>
      <c r="AB895">
        <f t="shared" si="97"/>
        <v>71.368252314814811</v>
      </c>
    </row>
    <row r="896" spans="1:28" ht="13" customHeight="1" x14ac:dyDescent="0.35">
      <c r="A896" s="153">
        <v>51410</v>
      </c>
      <c r="B896" s="36" t="s">
        <v>45</v>
      </c>
      <c r="C896" s="15" t="s">
        <v>47</v>
      </c>
      <c r="D896" s="15" t="s">
        <v>48</v>
      </c>
      <c r="E896" s="30">
        <f>H895</f>
        <v>72.651747685185143</v>
      </c>
      <c r="F896" s="37">
        <f>IFERROR('Production Inputs'!$GF$27*Dependencies!$D$6+'Production Inputs'!$GF$32*Dependencies!$D$9+'Production Inputs'!$GF$26*Dependencies!$D$8+'Production Inputs'!$GF$31*Dependencies!$D$10,0)</f>
        <v>0</v>
      </c>
      <c r="G896" s="37">
        <f t="array" ref="G896">IFERROR(SUMPRODUCT(('Production Inputs'!$A:$A="Drug Substance")*('Production Inputs'!$B:$B="TOTAL ACTIVE")*'Production Inputs'!$GF:$GF),0)</f>
        <v>0</v>
      </c>
      <c r="H896" s="30">
        <f t="shared" si="91"/>
        <v>72.651747685185143</v>
      </c>
      <c r="I896" s="30">
        <f ca="1">IFERROR(AVERAGEIF(OFFSET(F896,0,0,MIN(Controls!$B$8,COUNTIF(B896:B$1973,B896)),1),"&gt;"&amp;0),0)</f>
        <v>0</v>
      </c>
      <c r="J896" s="38">
        <f t="shared" ca="1" si="92"/>
        <v>999</v>
      </c>
      <c r="K896" s="30">
        <f t="shared" ca="1" si="96"/>
        <v>0</v>
      </c>
      <c r="L896" t="str">
        <f t="shared" ca="1" si="93"/>
        <v>Overstock</v>
      </c>
      <c r="M896" s="39">
        <f>IFERROR(VLOOKUP("Drug Substance",Controls!A:I,7,0),6)</f>
        <v>12</v>
      </c>
      <c r="N896" s="39">
        <f>IFERROR(VLOOKUP("Drug Substance",Controls!A:I,8,0),3)</f>
        <v>9</v>
      </c>
      <c r="O896" s="39">
        <f>IFERROR(VLOOKUP("Drug Substance",Controls!A:I,9,0),18)</f>
        <v>18</v>
      </c>
      <c r="P896" s="40">
        <f>IFERROR(VLOOKUP("Drug Substance",Controls!A:J,5,0),0)</f>
        <v>4.3</v>
      </c>
      <c r="Q896" s="39">
        <f>IFERROR(VLOOKUP("Drug Substance",Controls!A:J,6,0),3)</f>
        <v>5</v>
      </c>
      <c r="R896" s="21" t="str">
        <f>IFERROR(VLOOKUP("Drug Substance",Controls!A:K,10,0),"")</f>
        <v>ST Pharm (Oligo P1 F2)</v>
      </c>
      <c r="S896" s="41">
        <f t="shared" si="94"/>
        <v>51257</v>
      </c>
      <c r="T896" s="30">
        <f t="shared" si="95"/>
        <v>0</v>
      </c>
      <c r="AB896">
        <f t="shared" si="97"/>
        <v>71.368252314814811</v>
      </c>
    </row>
    <row r="897" spans="1:28" ht="13" customHeight="1" x14ac:dyDescent="0.35">
      <c r="A897" s="153">
        <v>51441</v>
      </c>
      <c r="B897" s="36" t="s">
        <v>45</v>
      </c>
      <c r="C897" s="15" t="s">
        <v>47</v>
      </c>
      <c r="D897" s="15" t="s">
        <v>48</v>
      </c>
      <c r="E897" s="30">
        <f>H896</f>
        <v>72.651747685185143</v>
      </c>
      <c r="F897" s="37">
        <f>IFERROR('Production Inputs'!$GG$27*Dependencies!$D$6+'Production Inputs'!$GG$32*Dependencies!$D$9+'Production Inputs'!$GG$26*Dependencies!$D$8+'Production Inputs'!$GG$31*Dependencies!$D$10,0)</f>
        <v>0</v>
      </c>
      <c r="G897" s="37">
        <f t="array" ref="G897">IFERROR(SUMPRODUCT(('Production Inputs'!$A:$A="Drug Substance")*('Production Inputs'!$B:$B="TOTAL ACTIVE")*'Production Inputs'!$GG:$GG),0)</f>
        <v>0</v>
      </c>
      <c r="H897" s="30">
        <f t="shared" si="91"/>
        <v>72.651747685185143</v>
      </c>
      <c r="I897" s="30">
        <f ca="1">IFERROR(AVERAGEIF(OFFSET(F897,0,0,MIN(Controls!$B$8,COUNTIF(B897:B$1973,B897)),1),"&gt;"&amp;0),0)</f>
        <v>0</v>
      </c>
      <c r="J897" s="38">
        <f t="shared" ca="1" si="92"/>
        <v>999</v>
      </c>
      <c r="K897" s="30">
        <f t="shared" ca="1" si="96"/>
        <v>0</v>
      </c>
      <c r="L897" t="str">
        <f t="shared" ca="1" si="93"/>
        <v>Overstock</v>
      </c>
      <c r="M897" s="39">
        <f>IFERROR(VLOOKUP("Drug Substance",Controls!A:I,7,0),6)</f>
        <v>12</v>
      </c>
      <c r="N897" s="39">
        <f>IFERROR(VLOOKUP("Drug Substance",Controls!A:I,8,0),3)</f>
        <v>9</v>
      </c>
      <c r="O897" s="39">
        <f>IFERROR(VLOOKUP("Drug Substance",Controls!A:I,9,0),18)</f>
        <v>18</v>
      </c>
      <c r="P897" s="40">
        <f>IFERROR(VLOOKUP("Drug Substance",Controls!A:J,5,0),0)</f>
        <v>4.3</v>
      </c>
      <c r="Q897" s="39">
        <f>IFERROR(VLOOKUP("Drug Substance",Controls!A:J,6,0),3)</f>
        <v>5</v>
      </c>
      <c r="R897" s="21" t="str">
        <f>IFERROR(VLOOKUP("Drug Substance",Controls!A:K,10,0),"")</f>
        <v>ST Pharm (Oligo P1 F2)</v>
      </c>
      <c r="S897" s="41">
        <f t="shared" si="94"/>
        <v>51288</v>
      </c>
      <c r="T897" s="30">
        <f t="shared" si="95"/>
        <v>0</v>
      </c>
      <c r="AB897">
        <f t="shared" si="97"/>
        <v>71.368252314814811</v>
      </c>
    </row>
    <row r="898" spans="1:28" ht="13" customHeight="1" x14ac:dyDescent="0.35">
      <c r="A898" s="153">
        <v>51471</v>
      </c>
      <c r="B898" s="36" t="s">
        <v>45</v>
      </c>
      <c r="C898" s="15" t="s">
        <v>47</v>
      </c>
      <c r="D898" s="15" t="s">
        <v>48</v>
      </c>
      <c r="E898" s="30">
        <f>H897</f>
        <v>72.651747685185143</v>
      </c>
      <c r="F898" s="37">
        <f>IFERROR('Production Inputs'!$GH$27*Dependencies!$D$6+'Production Inputs'!$GH$32*Dependencies!$D$9+'Production Inputs'!$GH$26*Dependencies!$D$8+'Production Inputs'!$GH$31*Dependencies!$D$10,0)</f>
        <v>0</v>
      </c>
      <c r="G898" s="37">
        <f t="array" ref="G898">IFERROR(SUMPRODUCT(('Production Inputs'!$A:$A="Drug Substance")*('Production Inputs'!$B:$B="TOTAL ACTIVE")*'Production Inputs'!$GH:$GH),0)</f>
        <v>0</v>
      </c>
      <c r="H898" s="30">
        <f t="shared" si="91"/>
        <v>72.651747685185143</v>
      </c>
      <c r="I898" s="30">
        <f ca="1">IFERROR(AVERAGEIF(OFFSET(F898,0,0,MIN(Controls!$B$8,COUNTIF(B898:B$1973,B898)),1),"&gt;"&amp;0),0)</f>
        <v>0</v>
      </c>
      <c r="J898" s="38">
        <f t="shared" ca="1" si="92"/>
        <v>999</v>
      </c>
      <c r="K898" s="30">
        <f t="shared" ca="1" si="96"/>
        <v>0</v>
      </c>
      <c r="L898" t="str">
        <f t="shared" ca="1" si="93"/>
        <v>Overstock</v>
      </c>
      <c r="M898" s="39">
        <f>IFERROR(VLOOKUP("Drug Substance",Controls!A:I,7,0),6)</f>
        <v>12</v>
      </c>
      <c r="N898" s="39">
        <f>IFERROR(VLOOKUP("Drug Substance",Controls!A:I,8,0),3)</f>
        <v>9</v>
      </c>
      <c r="O898" s="39">
        <f>IFERROR(VLOOKUP("Drug Substance",Controls!A:I,9,0),18)</f>
        <v>18</v>
      </c>
      <c r="P898" s="40">
        <f>IFERROR(VLOOKUP("Drug Substance",Controls!A:J,5,0),0)</f>
        <v>4.3</v>
      </c>
      <c r="Q898" s="39">
        <f>IFERROR(VLOOKUP("Drug Substance",Controls!A:J,6,0),3)</f>
        <v>5</v>
      </c>
      <c r="R898" s="21" t="str">
        <f>IFERROR(VLOOKUP("Drug Substance",Controls!A:K,10,0),"")</f>
        <v>ST Pharm (Oligo P1 F2)</v>
      </c>
      <c r="S898" s="41">
        <f t="shared" si="94"/>
        <v>51318</v>
      </c>
      <c r="T898" s="30">
        <f t="shared" si="95"/>
        <v>0</v>
      </c>
      <c r="AB898">
        <f t="shared" si="97"/>
        <v>71.368252314814811</v>
      </c>
    </row>
    <row r="899" spans="1:28" ht="13" customHeight="1" x14ac:dyDescent="0.35">
      <c r="A899" s="153">
        <v>46054</v>
      </c>
      <c r="B899" s="36" t="s">
        <v>50</v>
      </c>
      <c r="C899" s="15" t="s">
        <v>52</v>
      </c>
      <c r="D899" s="15" t="s">
        <v>48</v>
      </c>
      <c r="E899" s="199">
        <f>IFERROR(VLOOKUP("LLPS",Controls!A:D,4,0),0)</f>
        <v>79.983999999999995</v>
      </c>
      <c r="F899" s="199">
        <f>IFERROR('Production Inputs'!$L$37*Dependencies!$D$11,0)</f>
        <v>0</v>
      </c>
      <c r="G899" s="199">
        <f t="array" ref="G899">IFERROR(SUMPRODUCT(('Production Inputs'!$A:$A="LLPS")*('Production Inputs'!$B:$B="TOTAL ACTIVE")*'Production Inputs'!$L:$L),0)</f>
        <v>0</v>
      </c>
      <c r="H899" s="199">
        <f t="shared" si="91"/>
        <v>79.983999999999995</v>
      </c>
      <c r="I899" s="30">
        <f ca="1">IFERROR(AVERAGEIF(OFFSET(F899,0,0,MIN(Controls!$B$8,COUNTIF(B899:B$1973,B899)),1),"&gt;"&amp;0),0)</f>
        <v>13.4</v>
      </c>
      <c r="J899" s="38">
        <f t="shared" ca="1" si="92"/>
        <v>5.9689552238805961</v>
      </c>
      <c r="K899" s="30">
        <f t="shared" ca="1" si="96"/>
        <v>0</v>
      </c>
      <c r="L899" t="str">
        <f t="shared" ca="1" si="93"/>
        <v>Low</v>
      </c>
      <c r="M899" s="39">
        <f>IFERROR(VLOOKUP("LLPS",Controls!A:I,7,0),6)</f>
        <v>4</v>
      </c>
      <c r="N899" s="39">
        <f>IFERROR(VLOOKUP("LLPS",Controls!A:I,8,0),3)</f>
        <v>3</v>
      </c>
      <c r="O899" s="39">
        <f>IFERROR(VLOOKUP("LLPS",Controls!A:I,9,0),18)</f>
        <v>12</v>
      </c>
      <c r="P899" s="40">
        <f>IFERROR(VLOOKUP("LLPS",Controls!A:J,5,0),0)</f>
        <v>5</v>
      </c>
      <c r="Q899" s="39">
        <f>IFERROR(VLOOKUP("LLPS",Controls!A:J,6,0),3)</f>
        <v>4</v>
      </c>
      <c r="R899" s="21" t="str">
        <f>IFERROR(VLOOKUP("LLPS",Controls!A:K,10,0),"")</f>
        <v>Kinovate</v>
      </c>
      <c r="S899" s="41">
        <f t="shared" si="94"/>
        <v>45931</v>
      </c>
      <c r="T899" s="30">
        <f t="shared" si="95"/>
        <v>0</v>
      </c>
      <c r="W899" s="205" cm="1">
        <f t="array" ref="W899">IF(0&lt;Controls!$B$7,INDEX(A899:A1077,MATCH(Controls!$B$5,A899:A1077,1)+0),NA())</f>
        <v>46113</v>
      </c>
      <c r="X899" cm="1">
        <f t="array" ref="X899">IF(0&lt;Controls!$B$7,INDEX(F899:F1077,MATCH(Controls!$B$5,A899:A1077,1)+0),NA())</f>
        <v>0</v>
      </c>
      <c r="Y899" cm="1">
        <f t="array" ref="Y899">IF(0&lt;Controls!$B$7,INDEX(G899:G1077,MATCH(Controls!$B$5,A899:A1077,1)+0),NA())</f>
        <v>0</v>
      </c>
      <c r="Z899" cm="1">
        <f t="array" ref="Z899">IF(0&lt;Controls!$B$7,INDEX(H899:H1077,MATCH(Controls!$B$5,A899:A1077,1)+0),NA())</f>
        <v>96.09</v>
      </c>
      <c r="AA899" cm="1">
        <f t="array" aca="1" ref="AA899" ca="1">IF(0&lt;Controls!$B$7,INDEX(M899:M1077,MATCH(Controls!$B$5,A899:A1077,1)+0)*INDEX(I899:I1077,MATCH(Controls!$B$5,A899:A1077,1)+0),NA())</f>
        <v>53.6</v>
      </c>
      <c r="AB899">
        <f t="shared" si="97"/>
        <v>0</v>
      </c>
    </row>
    <row r="900" spans="1:28" ht="13" customHeight="1" x14ac:dyDescent="0.35">
      <c r="A900" s="153">
        <v>46082</v>
      </c>
      <c r="B900" s="36" t="s">
        <v>50</v>
      </c>
      <c r="C900" s="15" t="s">
        <v>52</v>
      </c>
      <c r="D900" s="15" t="s">
        <v>48</v>
      </c>
      <c r="E900" s="199">
        <f>H899</f>
        <v>79.983999999999995</v>
      </c>
      <c r="F900" s="199">
        <f>IFERROR('Production Inputs'!$M$37*Dependencies!$D$11,0)</f>
        <v>0</v>
      </c>
      <c r="G900" s="199">
        <f t="array" ref="G900">IFERROR(SUMPRODUCT(('Production Inputs'!$A:$A="LLPS")*('Production Inputs'!$B:$B="TOTAL ACTIVE")*'Production Inputs'!$M:$M),0)</f>
        <v>0</v>
      </c>
      <c r="H900" s="199">
        <v>96.09</v>
      </c>
      <c r="I900" s="30">
        <f ca="1">IFERROR(AVERAGEIF(OFFSET(F900,0,0,MIN(Controls!$B$8,COUNTIF(B900:B$1973,B900)),1),"&gt;"&amp;0),0)</f>
        <v>13.4</v>
      </c>
      <c r="J900" s="38">
        <f t="shared" ref="J900:J963" ca="1" si="98">IFERROR(H900/I900,IF(H900&gt;0,999,0))</f>
        <v>7.1708955223880597</v>
      </c>
      <c r="K900" s="30">
        <f t="shared" ca="1" si="96"/>
        <v>0</v>
      </c>
      <c r="L900" t="str">
        <f t="shared" ref="L900:L963" ca="1" si="99">IF(H900&lt;=0,"High",IF(J900&lt;N900,"High",IF(J900&lt;M900,"Medium",IF(J900&gt;O900,"Overstock","Low"))))</f>
        <v>Low</v>
      </c>
      <c r="M900" s="39">
        <f>IFERROR(VLOOKUP("LLPS",Controls!A:I,7,0),6)</f>
        <v>4</v>
      </c>
      <c r="N900" s="39">
        <f>IFERROR(VLOOKUP("LLPS",Controls!A:I,8,0),3)</f>
        <v>3</v>
      </c>
      <c r="O900" s="39">
        <f>IFERROR(VLOOKUP("LLPS",Controls!A:I,9,0),18)</f>
        <v>12</v>
      </c>
      <c r="P900" s="40">
        <f>IFERROR(VLOOKUP("LLPS",Controls!A:J,5,0),0)</f>
        <v>5</v>
      </c>
      <c r="Q900" s="39">
        <f>IFERROR(VLOOKUP("LLPS",Controls!A:J,6,0),3)</f>
        <v>4</v>
      </c>
      <c r="R900" s="21" t="str">
        <f>IFERROR(VLOOKUP("LLPS",Controls!A:K,10,0),"")</f>
        <v>Kinovate</v>
      </c>
      <c r="S900" s="41">
        <f t="shared" ref="S900:S963" si="100">IFERROR(EDATE(A900,-Q900),"")</f>
        <v>45962</v>
      </c>
      <c r="T900" s="30">
        <f t="shared" ref="T900:T963" si="101">G900</f>
        <v>0</v>
      </c>
      <c r="W900" s="205" cm="1">
        <f t="array" ref="W900">IF(1&lt;Controls!$B$7,INDEX(A899:A1077,MATCH(Controls!$B$5,A899:A1077,1)+1),NA())</f>
        <v>46143</v>
      </c>
      <c r="X900" cm="1">
        <f t="array" ref="X900">IF(1&lt;Controls!$B$7,INDEX(F899:F1077,MATCH(Controls!$B$5,A899:A1077,1)+1),NA())</f>
        <v>13.4</v>
      </c>
      <c r="Y900" cm="1">
        <f t="array" ref="Y900">IF(1&lt;Controls!$B$7,INDEX(G899:G1077,MATCH(Controls!$B$5,A899:A1077,1)+1),NA())</f>
        <v>0</v>
      </c>
      <c r="Z900" cm="1">
        <f t="array" ref="Z900">IF(1&lt;Controls!$B$7,INDEX(H899:H1077,MATCH(Controls!$B$5,A899:A1077,1)+1),NA())</f>
        <v>82.69</v>
      </c>
      <c r="AA900" cm="1">
        <f t="array" aca="1" ref="AA900" ca="1">IF(1&lt;Controls!$B$7,INDEX(M899:M1077,MATCH(Controls!$B$5,A899:A1077,1)+1)*INDEX(I899:I1077,MATCH(Controls!$B$5,A899:A1077,1)+1),NA())</f>
        <v>53.6</v>
      </c>
      <c r="AB900">
        <f t="shared" si="97"/>
        <v>0</v>
      </c>
    </row>
    <row r="901" spans="1:28" ht="13" customHeight="1" x14ac:dyDescent="0.35">
      <c r="A901" s="153">
        <v>46113</v>
      </c>
      <c r="B901" s="36" t="s">
        <v>50</v>
      </c>
      <c r="C901" s="15" t="s">
        <v>52</v>
      </c>
      <c r="D901" s="15" t="s">
        <v>48</v>
      </c>
      <c r="E901" s="30">
        <f>H900</f>
        <v>96.09</v>
      </c>
      <c r="F901" s="37">
        <f>IFERROR('Production Inputs'!$N$37*Dependencies!$D$11,0)</f>
        <v>0</v>
      </c>
      <c r="G901" s="37">
        <f t="array" ref="G901">IFERROR(SUMPRODUCT(('Production Inputs'!$A:$A="LLPS")*('Production Inputs'!$B:$B="TOTAL ACTIVE")*'Production Inputs'!$N:$N),0)</f>
        <v>0</v>
      </c>
      <c r="H901" s="30">
        <f t="shared" ref="H901:H963" si="102">E901+G901-F901</f>
        <v>96.09</v>
      </c>
      <c r="I901" s="30">
        <f ca="1">IFERROR(AVERAGEIF(OFFSET(F901,0,0,MIN(Controls!$B$8,COUNTIF(B901:B$1973,B901)),1),"&gt;"&amp;0),0)</f>
        <v>13.4</v>
      </c>
      <c r="J901" s="38">
        <f t="shared" ca="1" si="98"/>
        <v>7.1708955223880597</v>
      </c>
      <c r="K901" s="30">
        <f t="shared" ref="K901:K964" ca="1" si="103">IFERROR(IF(H901&lt;(N901*I901), CEILING(MAX(0,ROUND((M901*I901-H901)/P901,0)*P901),P901), 0), 0)</f>
        <v>0</v>
      </c>
      <c r="L901" t="str">
        <f t="shared" ca="1" si="99"/>
        <v>Low</v>
      </c>
      <c r="M901" s="39">
        <f>IFERROR(VLOOKUP("LLPS",Controls!A:I,7,0),6)</f>
        <v>4</v>
      </c>
      <c r="N901" s="39">
        <f>IFERROR(VLOOKUP("LLPS",Controls!A:I,8,0),3)</f>
        <v>3</v>
      </c>
      <c r="O901" s="39">
        <f>IFERROR(VLOOKUP("LLPS",Controls!A:I,9,0),18)</f>
        <v>12</v>
      </c>
      <c r="P901" s="40">
        <f>IFERROR(VLOOKUP("LLPS",Controls!A:J,5,0),0)</f>
        <v>5</v>
      </c>
      <c r="Q901" s="39">
        <f>IFERROR(VLOOKUP("LLPS",Controls!A:J,6,0),3)</f>
        <v>4</v>
      </c>
      <c r="R901" s="21" t="str">
        <f>IFERROR(VLOOKUP("LLPS",Controls!A:K,10,0),"")</f>
        <v>Kinovate</v>
      </c>
      <c r="S901" s="41">
        <f t="shared" si="100"/>
        <v>45992</v>
      </c>
      <c r="T901" s="30">
        <f t="shared" si="101"/>
        <v>0</v>
      </c>
      <c r="W901" s="205" cm="1">
        <f t="array" ref="W901">IF(2&lt;Controls!$B$7,INDEX(A899:A1077,MATCH(Controls!$B$5,A899:A1077,1)+2),NA())</f>
        <v>46174</v>
      </c>
      <c r="X901" cm="1">
        <f t="array" ref="X901">IF(2&lt;Controls!$B$7,INDEX(F899:F1077,MATCH(Controls!$B$5,A899:A1077,1)+2),NA())</f>
        <v>20.100000000000001</v>
      </c>
      <c r="Y901" cm="1">
        <f t="array" ref="Y901">IF(2&lt;Controls!$B$7,INDEX(G899:G1077,MATCH(Controls!$B$5,A899:A1077,1)+2),NA())</f>
        <v>0</v>
      </c>
      <c r="Z901" cm="1">
        <f t="array" ref="Z901">IF(2&lt;Controls!$B$7,INDEX(H899:H1077,MATCH(Controls!$B$5,A899:A1077,1)+2),NA())</f>
        <v>62.589999999999996</v>
      </c>
      <c r="AA901" cm="1">
        <f t="array" aca="1" ref="AA901" ca="1">IF(2&lt;Controls!$B$7,INDEX(M899:M1077,MATCH(Controls!$B$5,A899:A1077,1)+2)*INDEX(I899:I1077,MATCH(Controls!$B$5,A899:A1077,1)+2),NA())</f>
        <v>53.6</v>
      </c>
      <c r="AB901">
        <f t="shared" ref="AB901:AB964" si="104">SUMIFS($F$4:$F$2331,$B$4:$B$2331,B901,$A$4:$A$2331,"&lt;="&amp;A901)</f>
        <v>0</v>
      </c>
    </row>
    <row r="902" spans="1:28" ht="13" customHeight="1" x14ac:dyDescent="0.35">
      <c r="A902" s="153">
        <v>46143</v>
      </c>
      <c r="B902" s="36" t="s">
        <v>50</v>
      </c>
      <c r="C902" s="15" t="s">
        <v>52</v>
      </c>
      <c r="D902" s="15" t="s">
        <v>48</v>
      </c>
      <c r="E902" s="30">
        <f>H901</f>
        <v>96.09</v>
      </c>
      <c r="F902" s="37">
        <f>IFERROR('Production Inputs'!$O$37*Dependencies!$D$11,0)</f>
        <v>13.4</v>
      </c>
      <c r="G902" s="37">
        <f t="array" ref="G902">IFERROR(SUMPRODUCT(('Production Inputs'!$A:$A="LLPS")*('Production Inputs'!$B:$B="TOTAL ACTIVE")*'Production Inputs'!$O:$O),0)</f>
        <v>0</v>
      </c>
      <c r="H902" s="30">
        <f t="shared" si="102"/>
        <v>82.69</v>
      </c>
      <c r="I902" s="30">
        <f ca="1">IFERROR(AVERAGEIF(OFFSET(F902,0,0,MIN(Controls!$B$8,COUNTIF(B902:B$1973,B902)),1),"&gt;"&amp;0),0)</f>
        <v>13.4</v>
      </c>
      <c r="J902" s="38">
        <f t="shared" ca="1" si="98"/>
        <v>6.1708955223880597</v>
      </c>
      <c r="K902" s="30">
        <f t="shared" ca="1" si="103"/>
        <v>0</v>
      </c>
      <c r="L902" t="str">
        <f t="shared" ca="1" si="99"/>
        <v>Low</v>
      </c>
      <c r="M902" s="39">
        <f>IFERROR(VLOOKUP("LLPS",Controls!A:I,7,0),6)</f>
        <v>4</v>
      </c>
      <c r="N902" s="39">
        <f>IFERROR(VLOOKUP("LLPS",Controls!A:I,8,0),3)</f>
        <v>3</v>
      </c>
      <c r="O902" s="39">
        <f>IFERROR(VLOOKUP("LLPS",Controls!A:I,9,0),18)</f>
        <v>12</v>
      </c>
      <c r="P902" s="40">
        <f>IFERROR(VLOOKUP("LLPS",Controls!A:J,5,0),0)</f>
        <v>5</v>
      </c>
      <c r="Q902" s="39">
        <f>IFERROR(VLOOKUP("LLPS",Controls!A:J,6,0),3)</f>
        <v>4</v>
      </c>
      <c r="R902" s="21" t="str">
        <f>IFERROR(VLOOKUP("LLPS",Controls!A:K,10,0),"")</f>
        <v>Kinovate</v>
      </c>
      <c r="S902" s="41">
        <f t="shared" si="100"/>
        <v>46023</v>
      </c>
      <c r="T902" s="30">
        <f t="shared" si="101"/>
        <v>0</v>
      </c>
      <c r="W902" s="205" cm="1">
        <f t="array" ref="W902">IF(3&lt;Controls!$B$7,INDEX(A899:A1077,MATCH(Controls!$B$5,A899:A1077,1)+3),NA())</f>
        <v>46204</v>
      </c>
      <c r="X902" cm="1">
        <f t="array" ref="X902">IF(3&lt;Controls!$B$7,INDEX(F899:F1077,MATCH(Controls!$B$5,A899:A1077,1)+3),NA())</f>
        <v>6.7</v>
      </c>
      <c r="Y902" cm="1">
        <f t="array" ref="Y902">IF(3&lt;Controls!$B$7,INDEX(G899:G1077,MATCH(Controls!$B$5,A899:A1077,1)+3),NA())</f>
        <v>0</v>
      </c>
      <c r="Z902" cm="1">
        <f t="array" ref="Z902">IF(3&lt;Controls!$B$7,INDEX(H899:H1077,MATCH(Controls!$B$5,A899:A1077,1)+3),NA())</f>
        <v>55.889999999999993</v>
      </c>
      <c r="AA902" cm="1">
        <f t="array" aca="1" ref="AA902" ca="1">IF(3&lt;Controls!$B$7,INDEX(M899:M1077,MATCH(Controls!$B$5,A899:A1077,1)+3)*INDEX(I899:I1077,MATCH(Controls!$B$5,A899:A1077,1)+3),NA())</f>
        <v>26.8</v>
      </c>
      <c r="AB902">
        <f t="shared" si="104"/>
        <v>13.4</v>
      </c>
    </row>
    <row r="903" spans="1:28" ht="13" customHeight="1" x14ac:dyDescent="0.35">
      <c r="A903" s="153">
        <v>46174</v>
      </c>
      <c r="B903" s="36" t="s">
        <v>50</v>
      </c>
      <c r="C903" s="15" t="s">
        <v>52</v>
      </c>
      <c r="D903" s="15" t="s">
        <v>48</v>
      </c>
      <c r="E903" s="30">
        <f>H902</f>
        <v>82.69</v>
      </c>
      <c r="F903" s="37">
        <f>IFERROR('Production Inputs'!$P$37*Dependencies!$D$11,0)</f>
        <v>20.100000000000001</v>
      </c>
      <c r="G903" s="37">
        <f t="array" ref="G903">IFERROR(SUMPRODUCT(('Production Inputs'!$A:$A="LLPS")*('Production Inputs'!$B:$B="TOTAL ACTIVE")*'Production Inputs'!$P:$P),0)</f>
        <v>0</v>
      </c>
      <c r="H903" s="30">
        <f t="shared" si="102"/>
        <v>62.589999999999996</v>
      </c>
      <c r="I903" s="30">
        <f ca="1">IFERROR(AVERAGEIF(OFFSET(F903,0,0,MIN(Controls!$B$8,COUNTIF(B903:B$1973,B903)),1),"&gt;"&amp;0),0)</f>
        <v>13.4</v>
      </c>
      <c r="J903" s="38">
        <f t="shared" ca="1" si="98"/>
        <v>4.6708955223880597</v>
      </c>
      <c r="K903" s="30">
        <f t="shared" ca="1" si="103"/>
        <v>0</v>
      </c>
      <c r="L903" t="str">
        <f t="shared" ca="1" si="99"/>
        <v>Low</v>
      </c>
      <c r="M903" s="39">
        <f>IFERROR(VLOOKUP("LLPS",Controls!A:I,7,0),6)</f>
        <v>4</v>
      </c>
      <c r="N903" s="39">
        <f>IFERROR(VLOOKUP("LLPS",Controls!A:I,8,0),3)</f>
        <v>3</v>
      </c>
      <c r="O903" s="39">
        <f>IFERROR(VLOOKUP("LLPS",Controls!A:I,9,0),18)</f>
        <v>12</v>
      </c>
      <c r="P903" s="40">
        <f>IFERROR(VLOOKUP("LLPS",Controls!A:J,5,0),0)</f>
        <v>5</v>
      </c>
      <c r="Q903" s="39">
        <f>IFERROR(VLOOKUP("LLPS",Controls!A:J,6,0),3)</f>
        <v>4</v>
      </c>
      <c r="R903" s="21" t="str">
        <f>IFERROR(VLOOKUP("LLPS",Controls!A:K,10,0),"")</f>
        <v>Kinovate</v>
      </c>
      <c r="S903" s="41">
        <f t="shared" si="100"/>
        <v>46054</v>
      </c>
      <c r="T903" s="30">
        <f t="shared" si="101"/>
        <v>0</v>
      </c>
      <c r="W903" s="205" cm="1">
        <f t="array" ref="W903">IF(4&lt;Controls!$B$7,INDEX(A899:A1077,MATCH(Controls!$B$5,A899:A1077,1)+4),NA())</f>
        <v>46235</v>
      </c>
      <c r="X903" cm="1">
        <f t="array" ref="X903">IF(4&lt;Controls!$B$7,INDEX(F899:F1077,MATCH(Controls!$B$5,A899:A1077,1)+4),NA())</f>
        <v>0</v>
      </c>
      <c r="Y903" cm="1">
        <f t="array" ref="Y903">IF(4&lt;Controls!$B$7,INDEX(G899:G1077,MATCH(Controls!$B$5,A899:A1077,1)+4),NA())</f>
        <v>0</v>
      </c>
      <c r="Z903" cm="1">
        <f t="array" ref="Z903">IF(4&lt;Controls!$B$7,INDEX(H899:H1077,MATCH(Controls!$B$5,A899:A1077,1)+4),NA())</f>
        <v>55.889999999999993</v>
      </c>
      <c r="AA903" cm="1">
        <f t="array" aca="1" ref="AA903" ca="1">IF(4&lt;Controls!$B$7,INDEX(M899:M1077,MATCH(Controls!$B$5,A899:A1077,1)+4)*INDEX(I899:I1077,MATCH(Controls!$B$5,A899:A1077,1)+4),NA())</f>
        <v>53.6</v>
      </c>
      <c r="AB903">
        <f t="shared" si="104"/>
        <v>33.5</v>
      </c>
    </row>
    <row r="904" spans="1:28" ht="13" customHeight="1" x14ac:dyDescent="0.35">
      <c r="A904" s="153">
        <v>46204</v>
      </c>
      <c r="B904" s="36" t="s">
        <v>50</v>
      </c>
      <c r="C904" s="15" t="s">
        <v>52</v>
      </c>
      <c r="D904" s="15" t="s">
        <v>48</v>
      </c>
      <c r="E904" s="30">
        <f>H903</f>
        <v>62.589999999999996</v>
      </c>
      <c r="F904" s="37">
        <f>IFERROR('Production Inputs'!$Q$37*Dependencies!$D$11,0)</f>
        <v>6.7</v>
      </c>
      <c r="G904" s="37">
        <f t="array" ref="G904">IFERROR(SUMPRODUCT(('Production Inputs'!$A:$A="LLPS")*('Production Inputs'!$B:$B="TOTAL ACTIVE")*'Production Inputs'!$Q:$Q),0)</f>
        <v>0</v>
      </c>
      <c r="H904" s="30">
        <f t="shared" si="102"/>
        <v>55.889999999999993</v>
      </c>
      <c r="I904" s="30">
        <f ca="1">IFERROR(AVERAGEIF(OFFSET(F904,0,0,MIN(Controls!$B$8,COUNTIF(B904:B$1973,B904)),1),"&gt;"&amp;0),0)</f>
        <v>6.7</v>
      </c>
      <c r="J904" s="38">
        <f t="shared" ca="1" si="98"/>
        <v>8.3417910447761177</v>
      </c>
      <c r="K904" s="30">
        <f t="shared" ca="1" si="103"/>
        <v>0</v>
      </c>
      <c r="L904" t="str">
        <f t="shared" ca="1" si="99"/>
        <v>Low</v>
      </c>
      <c r="M904" s="39">
        <f>IFERROR(VLOOKUP("LLPS",Controls!A:I,7,0),6)</f>
        <v>4</v>
      </c>
      <c r="N904" s="39">
        <f>IFERROR(VLOOKUP("LLPS",Controls!A:I,8,0),3)</f>
        <v>3</v>
      </c>
      <c r="O904" s="39">
        <f>IFERROR(VLOOKUP("LLPS",Controls!A:I,9,0),18)</f>
        <v>12</v>
      </c>
      <c r="P904" s="40">
        <f>IFERROR(VLOOKUP("LLPS",Controls!A:J,5,0),0)</f>
        <v>5</v>
      </c>
      <c r="Q904" s="39">
        <f>IFERROR(VLOOKUP("LLPS",Controls!A:J,6,0),3)</f>
        <v>4</v>
      </c>
      <c r="R904" s="21" t="str">
        <f>IFERROR(VLOOKUP("LLPS",Controls!A:K,10,0),"")</f>
        <v>Kinovate</v>
      </c>
      <c r="S904" s="41">
        <f t="shared" si="100"/>
        <v>46082</v>
      </c>
      <c r="T904" s="30">
        <f t="shared" si="101"/>
        <v>0</v>
      </c>
      <c r="W904" s="205" cm="1">
        <f t="array" ref="W904">IF(5&lt;Controls!$B$7,INDEX(A899:A1077,MATCH(Controls!$B$5,A899:A1077,1)+5),NA())</f>
        <v>46266</v>
      </c>
      <c r="X904" cm="1">
        <f t="array" ref="X904">IF(5&lt;Controls!$B$7,INDEX(F899:F1077,MATCH(Controls!$B$5,A899:A1077,1)+5),NA())</f>
        <v>0</v>
      </c>
      <c r="Y904" cm="1">
        <f t="array" ref="Y904">IF(5&lt;Controls!$B$7,INDEX(G899:G1077,MATCH(Controls!$B$5,A899:A1077,1)+5),NA())</f>
        <v>0</v>
      </c>
      <c r="Z904" cm="1">
        <f t="array" ref="Z904">IF(5&lt;Controls!$B$7,INDEX(H899:H1077,MATCH(Controls!$B$5,A899:A1077,1)+5),NA())</f>
        <v>55.889999999999993</v>
      </c>
      <c r="AA904" cm="1">
        <f t="array" aca="1" ref="AA904" ca="1">IF(5&lt;Controls!$B$7,INDEX(M899:M1077,MATCH(Controls!$B$5,A899:A1077,1)+5)*INDEX(I899:I1077,MATCH(Controls!$B$5,A899:A1077,1)+5),NA())</f>
        <v>53.6</v>
      </c>
      <c r="AB904">
        <f t="shared" si="104"/>
        <v>40.200000000000003</v>
      </c>
    </row>
    <row r="905" spans="1:28" ht="13" customHeight="1" x14ac:dyDescent="0.35">
      <c r="A905" s="153">
        <v>46235</v>
      </c>
      <c r="B905" s="36" t="s">
        <v>50</v>
      </c>
      <c r="C905" s="15" t="s">
        <v>52</v>
      </c>
      <c r="D905" s="15" t="s">
        <v>48</v>
      </c>
      <c r="E905" s="30">
        <f>H904</f>
        <v>55.889999999999993</v>
      </c>
      <c r="F905" s="37">
        <f>IFERROR('Production Inputs'!$R$37*Dependencies!$D$11,0)</f>
        <v>0</v>
      </c>
      <c r="G905" s="37">
        <f t="array" ref="G905">IFERROR(SUMPRODUCT(('Production Inputs'!$A:$A="LLPS")*('Production Inputs'!$B:$B="TOTAL ACTIVE")*'Production Inputs'!$R:$R),0)</f>
        <v>0</v>
      </c>
      <c r="H905" s="30">
        <f t="shared" si="102"/>
        <v>55.889999999999993</v>
      </c>
      <c r="I905" s="30">
        <f ca="1">IFERROR(AVERAGEIF(OFFSET(F905,0,0,MIN(Controls!$B$8,COUNTIF(B905:B$1973,B905)),1),"&gt;"&amp;0),0)</f>
        <v>13.4</v>
      </c>
      <c r="J905" s="38">
        <f t="shared" ca="1" si="98"/>
        <v>4.1708955223880588</v>
      </c>
      <c r="K905" s="30">
        <f t="shared" ca="1" si="103"/>
        <v>0</v>
      </c>
      <c r="L905" t="str">
        <f t="shared" ca="1" si="99"/>
        <v>Low</v>
      </c>
      <c r="M905" s="39">
        <f>IFERROR(VLOOKUP("LLPS",Controls!A:I,7,0),6)</f>
        <v>4</v>
      </c>
      <c r="N905" s="39">
        <f>IFERROR(VLOOKUP("LLPS",Controls!A:I,8,0),3)</f>
        <v>3</v>
      </c>
      <c r="O905" s="39">
        <f>IFERROR(VLOOKUP("LLPS",Controls!A:I,9,0),18)</f>
        <v>12</v>
      </c>
      <c r="P905" s="40">
        <f>IFERROR(VLOOKUP("LLPS",Controls!A:J,5,0),0)</f>
        <v>5</v>
      </c>
      <c r="Q905" s="39">
        <f>IFERROR(VLOOKUP("LLPS",Controls!A:J,6,0),3)</f>
        <v>4</v>
      </c>
      <c r="R905" s="21" t="str">
        <f>IFERROR(VLOOKUP("LLPS",Controls!A:K,10,0),"")</f>
        <v>Kinovate</v>
      </c>
      <c r="S905" s="41">
        <f t="shared" si="100"/>
        <v>46113</v>
      </c>
      <c r="T905" s="30">
        <f t="shared" si="101"/>
        <v>0</v>
      </c>
      <c r="W905" s="205" cm="1">
        <f t="array" ref="W905">IF(6&lt;Controls!$B$7,INDEX(A899:A1077,MATCH(Controls!$B$5,A899:A1077,1)+6),NA())</f>
        <v>46296</v>
      </c>
      <c r="X905" cm="1">
        <f t="array" ref="X905">IF(6&lt;Controls!$B$7,INDEX(F899:F1077,MATCH(Controls!$B$5,A899:A1077,1)+6),NA())</f>
        <v>0</v>
      </c>
      <c r="Y905" cm="1">
        <f t="array" ref="Y905">IF(6&lt;Controls!$B$7,INDEX(G899:G1077,MATCH(Controls!$B$5,A899:A1077,1)+6),NA())</f>
        <v>0</v>
      </c>
      <c r="Z905" cm="1">
        <f t="array" ref="Z905">IF(6&lt;Controls!$B$7,INDEX(H899:H1077,MATCH(Controls!$B$5,A899:A1077,1)+6),NA())</f>
        <v>55.889999999999993</v>
      </c>
      <c r="AA905" cm="1">
        <f t="array" aca="1" ref="AA905" ca="1">IF(6&lt;Controls!$B$7,INDEX(M899:M1077,MATCH(Controls!$B$5,A899:A1077,1)+6)*INDEX(I899:I1077,MATCH(Controls!$B$5,A899:A1077,1)+6),NA())</f>
        <v>53.6</v>
      </c>
      <c r="AB905">
        <f t="shared" si="104"/>
        <v>40.200000000000003</v>
      </c>
    </row>
    <row r="906" spans="1:28" ht="13" customHeight="1" x14ac:dyDescent="0.35">
      <c r="A906" s="153">
        <v>46266</v>
      </c>
      <c r="B906" s="36" t="s">
        <v>50</v>
      </c>
      <c r="C906" s="15" t="s">
        <v>52</v>
      </c>
      <c r="D906" s="15" t="s">
        <v>48</v>
      </c>
      <c r="E906" s="30">
        <f>H905</f>
        <v>55.889999999999993</v>
      </c>
      <c r="F906" s="37">
        <f>IFERROR('Production Inputs'!$S$37*Dependencies!$D$11,0)</f>
        <v>0</v>
      </c>
      <c r="G906" s="37">
        <f t="array" ref="G906">IFERROR(SUMPRODUCT(('Production Inputs'!$A:$A="LLPS")*('Production Inputs'!$B:$B="TOTAL ACTIVE")*'Production Inputs'!$S:$S),0)</f>
        <v>0</v>
      </c>
      <c r="H906" s="30">
        <f t="shared" si="102"/>
        <v>55.889999999999993</v>
      </c>
      <c r="I906" s="30">
        <f ca="1">IFERROR(AVERAGEIF(OFFSET(F906,0,0,MIN(Controls!$B$8,COUNTIF(B906:B$1973,B906)),1),"&gt;"&amp;0),0)</f>
        <v>13.4</v>
      </c>
      <c r="J906" s="38">
        <f t="shared" ca="1" si="98"/>
        <v>4.1708955223880588</v>
      </c>
      <c r="K906" s="30">
        <f t="shared" ca="1" si="103"/>
        <v>0</v>
      </c>
      <c r="L906" t="str">
        <f t="shared" ca="1" si="99"/>
        <v>Low</v>
      </c>
      <c r="M906" s="39">
        <f>IFERROR(VLOOKUP("LLPS",Controls!A:I,7,0),6)</f>
        <v>4</v>
      </c>
      <c r="N906" s="39">
        <f>IFERROR(VLOOKUP("LLPS",Controls!A:I,8,0),3)</f>
        <v>3</v>
      </c>
      <c r="O906" s="39">
        <f>IFERROR(VLOOKUP("LLPS",Controls!A:I,9,0),18)</f>
        <v>12</v>
      </c>
      <c r="P906" s="40">
        <f>IFERROR(VLOOKUP("LLPS",Controls!A:J,5,0),0)</f>
        <v>5</v>
      </c>
      <c r="Q906" s="39">
        <f>IFERROR(VLOOKUP("LLPS",Controls!A:J,6,0),3)</f>
        <v>4</v>
      </c>
      <c r="R906" s="21" t="str">
        <f>IFERROR(VLOOKUP("LLPS",Controls!A:K,10,0),"")</f>
        <v>Kinovate</v>
      </c>
      <c r="S906" s="41">
        <f t="shared" si="100"/>
        <v>46143</v>
      </c>
      <c r="T906" s="30">
        <f t="shared" si="101"/>
        <v>0</v>
      </c>
      <c r="W906" s="205" cm="1">
        <f t="array" ref="W906">IF(7&lt;Controls!$B$7,INDEX(A899:A1077,MATCH(Controls!$B$5,A899:A1077,1)+7),NA())</f>
        <v>46327</v>
      </c>
      <c r="X906" cm="1">
        <f t="array" ref="X906">IF(7&lt;Controls!$B$7,INDEX(F899:F1077,MATCH(Controls!$B$5,A899:A1077,1)+7),NA())</f>
        <v>0</v>
      </c>
      <c r="Y906" cm="1">
        <f t="array" ref="Y906">IF(7&lt;Controls!$B$7,INDEX(G899:G1077,MATCH(Controls!$B$5,A899:A1077,1)+7),NA())</f>
        <v>0</v>
      </c>
      <c r="Z906" cm="1">
        <f t="array" ref="Z906">IF(7&lt;Controls!$B$7,INDEX(H899:H1077,MATCH(Controls!$B$5,A899:A1077,1)+7),NA())</f>
        <v>55.889999999999993</v>
      </c>
      <c r="AA906" cm="1">
        <f t="array" aca="1" ref="AA906" ca="1">IF(7&lt;Controls!$B$7,INDEX(M899:M1077,MATCH(Controls!$B$5,A899:A1077,1)+7)*INDEX(I899:I1077,MATCH(Controls!$B$5,A899:A1077,1)+7),NA())</f>
        <v>53.6</v>
      </c>
      <c r="AB906">
        <f t="shared" si="104"/>
        <v>40.200000000000003</v>
      </c>
    </row>
    <row r="907" spans="1:28" ht="13" customHeight="1" x14ac:dyDescent="0.35">
      <c r="A907" s="153">
        <v>46296</v>
      </c>
      <c r="B907" s="36" t="s">
        <v>50</v>
      </c>
      <c r="C907" s="15" t="s">
        <v>52</v>
      </c>
      <c r="D907" s="15" t="s">
        <v>48</v>
      </c>
      <c r="E907" s="30">
        <f>H906</f>
        <v>55.889999999999993</v>
      </c>
      <c r="F907" s="37">
        <f>IFERROR('Production Inputs'!$T$37*Dependencies!$D$11,0)</f>
        <v>0</v>
      </c>
      <c r="G907" s="37">
        <f t="array" ref="G907">IFERROR(SUMPRODUCT(('Production Inputs'!$A:$A="LLPS")*('Production Inputs'!$B:$B="TOTAL ACTIVE")*'Production Inputs'!$T:$T),0)</f>
        <v>0</v>
      </c>
      <c r="H907" s="30">
        <f t="shared" si="102"/>
        <v>55.889999999999993</v>
      </c>
      <c r="I907" s="30">
        <f ca="1">IFERROR(AVERAGEIF(OFFSET(F907,0,0,MIN(Controls!$B$8,COUNTIF(B907:B$1973,B907)),1),"&gt;"&amp;0),0)</f>
        <v>13.4</v>
      </c>
      <c r="J907" s="38">
        <f t="shared" ca="1" si="98"/>
        <v>4.1708955223880588</v>
      </c>
      <c r="K907" s="30">
        <f t="shared" ca="1" si="103"/>
        <v>0</v>
      </c>
      <c r="L907" t="str">
        <f t="shared" ca="1" si="99"/>
        <v>Low</v>
      </c>
      <c r="M907" s="39">
        <f>IFERROR(VLOOKUP("LLPS",Controls!A:I,7,0),6)</f>
        <v>4</v>
      </c>
      <c r="N907" s="39">
        <f>IFERROR(VLOOKUP("LLPS",Controls!A:I,8,0),3)</f>
        <v>3</v>
      </c>
      <c r="O907" s="39">
        <f>IFERROR(VLOOKUP("LLPS",Controls!A:I,9,0),18)</f>
        <v>12</v>
      </c>
      <c r="P907" s="40">
        <f>IFERROR(VLOOKUP("LLPS",Controls!A:J,5,0),0)</f>
        <v>5</v>
      </c>
      <c r="Q907" s="39">
        <f>IFERROR(VLOOKUP("LLPS",Controls!A:J,6,0),3)</f>
        <v>4</v>
      </c>
      <c r="R907" s="21" t="str">
        <f>IFERROR(VLOOKUP("LLPS",Controls!A:K,10,0),"")</f>
        <v>Kinovate</v>
      </c>
      <c r="S907" s="41">
        <f t="shared" si="100"/>
        <v>46174</v>
      </c>
      <c r="T907" s="30">
        <f t="shared" si="101"/>
        <v>0</v>
      </c>
      <c r="W907" s="205" cm="1">
        <f t="array" ref="W907">IF(8&lt;Controls!$B$7,INDEX(A899:A1077,MATCH(Controls!$B$5,A899:A1077,1)+8),NA())</f>
        <v>46357</v>
      </c>
      <c r="X907" cm="1">
        <f t="array" ref="X907">IF(8&lt;Controls!$B$7,INDEX(F899:F1077,MATCH(Controls!$B$5,A899:A1077,1)+8),NA())</f>
        <v>0</v>
      </c>
      <c r="Y907" cm="1">
        <f t="array" ref="Y907">IF(8&lt;Controls!$B$7,INDEX(G899:G1077,MATCH(Controls!$B$5,A899:A1077,1)+8),NA())</f>
        <v>100</v>
      </c>
      <c r="Z907" cm="1">
        <f t="array" ref="Z907">IF(8&lt;Controls!$B$7,INDEX(H899:H1077,MATCH(Controls!$B$5,A899:A1077,1)+8),NA())</f>
        <v>155.88999999999999</v>
      </c>
      <c r="AA907" cm="1">
        <f t="array" aca="1" ref="AA907" ca="1">IF(8&lt;Controls!$B$7,INDEX(M899:M1077,MATCH(Controls!$B$5,A899:A1077,1)+8)*INDEX(I899:I1077,MATCH(Controls!$B$5,A899:A1077,1)+8),NA())</f>
        <v>53.6</v>
      </c>
      <c r="AB907">
        <f t="shared" si="104"/>
        <v>40.200000000000003</v>
      </c>
    </row>
    <row r="908" spans="1:28" ht="13" customHeight="1" x14ac:dyDescent="0.35">
      <c r="A908" s="153">
        <v>46327</v>
      </c>
      <c r="B908" s="36" t="s">
        <v>50</v>
      </c>
      <c r="C908" s="15" t="s">
        <v>52</v>
      </c>
      <c r="D908" s="15" t="s">
        <v>48</v>
      </c>
      <c r="E908" s="30">
        <f>H907</f>
        <v>55.889999999999993</v>
      </c>
      <c r="F908" s="37">
        <f>IFERROR('Production Inputs'!$U$37*Dependencies!$D$11,0)</f>
        <v>0</v>
      </c>
      <c r="G908" s="37">
        <f t="array" ref="G908">IFERROR(SUMPRODUCT(('Production Inputs'!$A:$A="LLPS")*('Production Inputs'!$B:$B="TOTAL ACTIVE")*'Production Inputs'!$U:$U),0)</f>
        <v>0</v>
      </c>
      <c r="H908" s="30">
        <f t="shared" si="102"/>
        <v>55.889999999999993</v>
      </c>
      <c r="I908" s="30">
        <f ca="1">IFERROR(AVERAGEIF(OFFSET(F908,0,0,MIN(Controls!$B$8,COUNTIF(B908:B$1973,B908)),1),"&gt;"&amp;0),0)</f>
        <v>13.4</v>
      </c>
      <c r="J908" s="38">
        <f t="shared" ca="1" si="98"/>
        <v>4.1708955223880588</v>
      </c>
      <c r="K908" s="30">
        <f t="shared" ca="1" si="103"/>
        <v>0</v>
      </c>
      <c r="L908" t="str">
        <f t="shared" ca="1" si="99"/>
        <v>Low</v>
      </c>
      <c r="M908" s="39">
        <f>IFERROR(VLOOKUP("LLPS",Controls!A:I,7,0),6)</f>
        <v>4</v>
      </c>
      <c r="N908" s="39">
        <f>IFERROR(VLOOKUP("LLPS",Controls!A:I,8,0),3)</f>
        <v>3</v>
      </c>
      <c r="O908" s="39">
        <f>IFERROR(VLOOKUP("LLPS",Controls!A:I,9,0),18)</f>
        <v>12</v>
      </c>
      <c r="P908" s="40">
        <f>IFERROR(VLOOKUP("LLPS",Controls!A:J,5,0),0)</f>
        <v>5</v>
      </c>
      <c r="Q908" s="39">
        <f>IFERROR(VLOOKUP("LLPS",Controls!A:J,6,0),3)</f>
        <v>4</v>
      </c>
      <c r="R908" s="21" t="str">
        <f>IFERROR(VLOOKUP("LLPS",Controls!A:K,10,0),"")</f>
        <v>Kinovate</v>
      </c>
      <c r="S908" s="41">
        <f t="shared" si="100"/>
        <v>46204</v>
      </c>
      <c r="T908" s="30">
        <f t="shared" si="101"/>
        <v>0</v>
      </c>
      <c r="W908" s="205" cm="1">
        <f t="array" ref="W908">IF(9&lt;Controls!$B$7,INDEX(A899:A1077,MATCH(Controls!$B$5,A899:A1077,1)+9),NA())</f>
        <v>46388</v>
      </c>
      <c r="X908" cm="1">
        <f t="array" ref="X908">IF(9&lt;Controls!$B$7,INDEX(F899:F1077,MATCH(Controls!$B$5,A899:A1077,1)+9),NA())</f>
        <v>0</v>
      </c>
      <c r="Y908" cm="1">
        <f t="array" ref="Y908">IF(9&lt;Controls!$B$7,INDEX(G899:G1077,MATCH(Controls!$B$5,A899:A1077,1)+9),NA())</f>
        <v>0</v>
      </c>
      <c r="Z908" cm="1">
        <f t="array" ref="Z908">IF(9&lt;Controls!$B$7,INDEX(H899:H1077,MATCH(Controls!$B$5,A899:A1077,1)+9),NA())</f>
        <v>155.88999999999999</v>
      </c>
      <c r="AA908" cm="1">
        <f t="array" aca="1" ref="AA908" ca="1">IF(9&lt;Controls!$B$7,INDEX(M899:M1077,MATCH(Controls!$B$5,A899:A1077,1)+9)*INDEX(I899:I1077,MATCH(Controls!$B$5,A899:A1077,1)+9),NA())</f>
        <v>53.6</v>
      </c>
      <c r="AB908">
        <f t="shared" si="104"/>
        <v>40.200000000000003</v>
      </c>
    </row>
    <row r="909" spans="1:28" ht="13" customHeight="1" x14ac:dyDescent="0.35">
      <c r="A909" s="153">
        <v>46357</v>
      </c>
      <c r="B909" s="36" t="s">
        <v>50</v>
      </c>
      <c r="C909" s="15" t="s">
        <v>52</v>
      </c>
      <c r="D909" s="15" t="s">
        <v>48</v>
      </c>
      <c r="E909" s="30">
        <f>H908</f>
        <v>55.889999999999993</v>
      </c>
      <c r="F909" s="37">
        <f>IFERROR('Production Inputs'!$V$37*Dependencies!$D$11,0)</f>
        <v>0</v>
      </c>
      <c r="G909" s="37">
        <f t="array" ref="G909">IFERROR(SUMPRODUCT(('Production Inputs'!$A:$A="LLPS")*('Production Inputs'!$B:$B="TOTAL ACTIVE")*'Production Inputs'!$V:$V),0)</f>
        <v>100</v>
      </c>
      <c r="H909" s="30">
        <f t="shared" si="102"/>
        <v>155.88999999999999</v>
      </c>
      <c r="I909" s="30">
        <f ca="1">IFERROR(AVERAGEIF(OFFSET(F909,0,0,MIN(Controls!$B$8,COUNTIF(B909:B$1973,B909)),1),"&gt;"&amp;0),0)</f>
        <v>13.4</v>
      </c>
      <c r="J909" s="38">
        <f t="shared" ca="1" si="98"/>
        <v>11.633582089552238</v>
      </c>
      <c r="K909" s="30">
        <f t="shared" ca="1" si="103"/>
        <v>0</v>
      </c>
      <c r="L909" t="str">
        <f t="shared" ca="1" si="99"/>
        <v>Low</v>
      </c>
      <c r="M909" s="39">
        <f>IFERROR(VLOOKUP("LLPS",Controls!A:I,7,0),6)</f>
        <v>4</v>
      </c>
      <c r="N909" s="39">
        <f>IFERROR(VLOOKUP("LLPS",Controls!A:I,8,0),3)</f>
        <v>3</v>
      </c>
      <c r="O909" s="39">
        <f>IFERROR(VLOOKUP("LLPS",Controls!A:I,9,0),18)</f>
        <v>12</v>
      </c>
      <c r="P909" s="40">
        <f>IFERROR(VLOOKUP("LLPS",Controls!A:J,5,0),0)</f>
        <v>5</v>
      </c>
      <c r="Q909" s="39">
        <f>IFERROR(VLOOKUP("LLPS",Controls!A:J,6,0),3)</f>
        <v>4</v>
      </c>
      <c r="R909" s="21" t="str">
        <f>IFERROR(VLOOKUP("LLPS",Controls!A:K,10,0),"")</f>
        <v>Kinovate</v>
      </c>
      <c r="S909" s="41">
        <f t="shared" si="100"/>
        <v>46235</v>
      </c>
      <c r="T909" s="30">
        <f t="shared" si="101"/>
        <v>100</v>
      </c>
      <c r="W909" s="205" cm="1">
        <f t="array" ref="W909">IF(10&lt;Controls!$B$7,INDEX(A899:A1077,MATCH(Controls!$B$5,A899:A1077,1)+10),NA())</f>
        <v>46419</v>
      </c>
      <c r="X909" cm="1">
        <f t="array" ref="X909">IF(10&lt;Controls!$B$7,INDEX(F899:F1077,MATCH(Controls!$B$5,A899:A1077,1)+10),NA())</f>
        <v>0</v>
      </c>
      <c r="Y909" cm="1">
        <f t="array" ref="Y909">IF(10&lt;Controls!$B$7,INDEX(G899:G1077,MATCH(Controls!$B$5,A899:A1077,1)+10),NA())</f>
        <v>0</v>
      </c>
      <c r="Z909" cm="1">
        <f t="array" ref="Z909">IF(10&lt;Controls!$B$7,INDEX(H899:H1077,MATCH(Controls!$B$5,A899:A1077,1)+10),NA())</f>
        <v>155.88999999999999</v>
      </c>
      <c r="AA909" cm="1">
        <f t="array" aca="1" ref="AA909" ca="1">IF(10&lt;Controls!$B$7,INDEX(M899:M1077,MATCH(Controls!$B$5,A899:A1077,1)+10)*INDEX(I899:I1077,MATCH(Controls!$B$5,A899:A1077,1)+10),NA())</f>
        <v>53.6</v>
      </c>
      <c r="AB909">
        <f t="shared" si="104"/>
        <v>40.200000000000003</v>
      </c>
    </row>
    <row r="910" spans="1:28" ht="13" customHeight="1" x14ac:dyDescent="0.35">
      <c r="A910" s="153">
        <v>46388</v>
      </c>
      <c r="B910" s="36" t="s">
        <v>50</v>
      </c>
      <c r="C910" s="15" t="s">
        <v>52</v>
      </c>
      <c r="D910" s="15" t="s">
        <v>48</v>
      </c>
      <c r="E910" s="30">
        <f>H909</f>
        <v>155.88999999999999</v>
      </c>
      <c r="F910" s="37">
        <f>IFERROR('Production Inputs'!$W$37*Dependencies!$D$11,0)</f>
        <v>0</v>
      </c>
      <c r="G910" s="37">
        <f t="array" ref="G910">IFERROR(SUMPRODUCT(('Production Inputs'!$A:$A="LLPS")*('Production Inputs'!$B:$B="TOTAL ACTIVE")*'Production Inputs'!$W:$W),0)</f>
        <v>0</v>
      </c>
      <c r="H910" s="30">
        <f t="shared" si="102"/>
        <v>155.88999999999999</v>
      </c>
      <c r="I910" s="30">
        <f ca="1">IFERROR(AVERAGEIF(OFFSET(F910,0,0,MIN(Controls!$B$8,COUNTIF(B910:B$1973,B910)),1),"&gt;"&amp;0),0)</f>
        <v>13.4</v>
      </c>
      <c r="J910" s="38">
        <f t="shared" ca="1" si="98"/>
        <v>11.633582089552238</v>
      </c>
      <c r="K910" s="30">
        <f t="shared" ca="1" si="103"/>
        <v>0</v>
      </c>
      <c r="L910" t="str">
        <f t="shared" ca="1" si="99"/>
        <v>Low</v>
      </c>
      <c r="M910" s="39">
        <f>IFERROR(VLOOKUP("LLPS",Controls!A:I,7,0),6)</f>
        <v>4</v>
      </c>
      <c r="N910" s="39">
        <f>IFERROR(VLOOKUP("LLPS",Controls!A:I,8,0),3)</f>
        <v>3</v>
      </c>
      <c r="O910" s="39">
        <f>IFERROR(VLOOKUP("LLPS",Controls!A:I,9,0),18)</f>
        <v>12</v>
      </c>
      <c r="P910" s="40">
        <f>IFERROR(VLOOKUP("LLPS",Controls!A:J,5,0),0)</f>
        <v>5</v>
      </c>
      <c r="Q910" s="39">
        <f>IFERROR(VLOOKUP("LLPS",Controls!A:J,6,0),3)</f>
        <v>4</v>
      </c>
      <c r="R910" s="21" t="str">
        <f>IFERROR(VLOOKUP("LLPS",Controls!A:K,10,0),"")</f>
        <v>Kinovate</v>
      </c>
      <c r="S910" s="41">
        <f t="shared" si="100"/>
        <v>46266</v>
      </c>
      <c r="T910" s="30">
        <f t="shared" si="101"/>
        <v>0</v>
      </c>
      <c r="W910" s="205" cm="1">
        <f t="array" ref="W910">IF(11&lt;Controls!$B$7,INDEX(A899:A1077,MATCH(Controls!$B$5,A899:A1077,1)+11),NA())</f>
        <v>46447</v>
      </c>
      <c r="X910" cm="1">
        <f t="array" ref="X910">IF(11&lt;Controls!$B$7,INDEX(F899:F1077,MATCH(Controls!$B$5,A899:A1077,1)+11),NA())</f>
        <v>0</v>
      </c>
      <c r="Y910" cm="1">
        <f t="array" ref="Y910">IF(11&lt;Controls!$B$7,INDEX(G899:G1077,MATCH(Controls!$B$5,A899:A1077,1)+11),NA())</f>
        <v>75</v>
      </c>
      <c r="Z910" cm="1">
        <f t="array" ref="Z910">IF(11&lt;Controls!$B$7,INDEX(H899:H1077,MATCH(Controls!$B$5,A899:A1077,1)+11),NA())</f>
        <v>230.89</v>
      </c>
      <c r="AA910" cm="1">
        <f t="array" aca="1" ref="AA910" ca="1">IF(11&lt;Controls!$B$7,INDEX(M899:M1077,MATCH(Controls!$B$5,A899:A1077,1)+11)*INDEX(I899:I1077,MATCH(Controls!$B$5,A899:A1077,1)+11),NA())</f>
        <v>53.6</v>
      </c>
      <c r="AB910">
        <f t="shared" si="104"/>
        <v>40.200000000000003</v>
      </c>
    </row>
    <row r="911" spans="1:28" ht="13" customHeight="1" x14ac:dyDescent="0.35">
      <c r="A911" s="153">
        <v>46419</v>
      </c>
      <c r="B911" s="36" t="s">
        <v>50</v>
      </c>
      <c r="C911" s="15" t="s">
        <v>52</v>
      </c>
      <c r="D911" s="15" t="s">
        <v>48</v>
      </c>
      <c r="E911" s="30">
        <f>H910</f>
        <v>155.88999999999999</v>
      </c>
      <c r="F911" s="37">
        <f>IFERROR('Production Inputs'!$X$37*Dependencies!$D$11,0)</f>
        <v>0</v>
      </c>
      <c r="G911" s="37">
        <f t="array" ref="G911">IFERROR(SUMPRODUCT(('Production Inputs'!$A:$A="LLPS")*('Production Inputs'!$B:$B="TOTAL ACTIVE")*'Production Inputs'!$X:$X),0)</f>
        <v>0</v>
      </c>
      <c r="H911" s="30">
        <f t="shared" si="102"/>
        <v>155.88999999999999</v>
      </c>
      <c r="I911" s="30">
        <f ca="1">IFERROR(AVERAGEIF(OFFSET(F911,0,0,MIN(Controls!$B$8,COUNTIF(B911:B$1973,B911)),1),"&gt;"&amp;0),0)</f>
        <v>13.4</v>
      </c>
      <c r="J911" s="38">
        <f t="shared" ca="1" si="98"/>
        <v>11.633582089552238</v>
      </c>
      <c r="K911" s="30">
        <f t="shared" ca="1" si="103"/>
        <v>0</v>
      </c>
      <c r="L911" t="str">
        <f t="shared" ca="1" si="99"/>
        <v>Low</v>
      </c>
      <c r="M911" s="39">
        <f>IFERROR(VLOOKUP("LLPS",Controls!A:I,7,0),6)</f>
        <v>4</v>
      </c>
      <c r="N911" s="39">
        <f>IFERROR(VLOOKUP("LLPS",Controls!A:I,8,0),3)</f>
        <v>3</v>
      </c>
      <c r="O911" s="39">
        <f>IFERROR(VLOOKUP("LLPS",Controls!A:I,9,0),18)</f>
        <v>12</v>
      </c>
      <c r="P911" s="40">
        <f>IFERROR(VLOOKUP("LLPS",Controls!A:J,5,0),0)</f>
        <v>5</v>
      </c>
      <c r="Q911" s="39">
        <f>IFERROR(VLOOKUP("LLPS",Controls!A:J,6,0),3)</f>
        <v>4</v>
      </c>
      <c r="R911" s="21" t="str">
        <f>IFERROR(VLOOKUP("LLPS",Controls!A:K,10,0),"")</f>
        <v>Kinovate</v>
      </c>
      <c r="S911" s="41">
        <f t="shared" si="100"/>
        <v>46296</v>
      </c>
      <c r="T911" s="30">
        <f t="shared" si="101"/>
        <v>0</v>
      </c>
      <c r="W911" s="205" cm="1">
        <f t="array" ref="W911">IF(12&lt;Controls!$B$7,INDEX(A899:A1077,MATCH(Controls!$B$5,A899:A1077,1)+12),NA())</f>
        <v>46478</v>
      </c>
      <c r="X911" cm="1">
        <f t="array" ref="X911">IF(12&lt;Controls!$B$7,INDEX(F899:F1077,MATCH(Controls!$B$5,A899:A1077,1)+12),NA())</f>
        <v>13.4</v>
      </c>
      <c r="Y911" cm="1">
        <f t="array" ref="Y911">IF(12&lt;Controls!$B$7,INDEX(G899:G1077,MATCH(Controls!$B$5,A899:A1077,1)+12),NA())</f>
        <v>0</v>
      </c>
      <c r="Z911" cm="1">
        <f t="array" ref="Z911">IF(12&lt;Controls!$B$7,INDEX(H899:H1077,MATCH(Controls!$B$5,A899:A1077,1)+12),NA())</f>
        <v>217.48999999999998</v>
      </c>
      <c r="AA911" cm="1">
        <f t="array" aca="1" ref="AA911" ca="1">IF(12&lt;Controls!$B$7,INDEX(M899:M1077,MATCH(Controls!$B$5,A899:A1077,1)+12)*INDEX(I899:I1077,MATCH(Controls!$B$5,A899:A1077,1)+12),NA())</f>
        <v>53.6</v>
      </c>
      <c r="AB911">
        <f t="shared" si="104"/>
        <v>40.200000000000003</v>
      </c>
    </row>
    <row r="912" spans="1:28" ht="13" customHeight="1" x14ac:dyDescent="0.35">
      <c r="A912" s="153">
        <v>46447</v>
      </c>
      <c r="B912" s="36" t="s">
        <v>50</v>
      </c>
      <c r="C912" s="15" t="s">
        <v>52</v>
      </c>
      <c r="D912" s="15" t="s">
        <v>48</v>
      </c>
      <c r="E912" s="30">
        <f>H911</f>
        <v>155.88999999999999</v>
      </c>
      <c r="F912" s="37">
        <f>IFERROR('Production Inputs'!$Y$37*Dependencies!$D$11,0)</f>
        <v>0</v>
      </c>
      <c r="G912" s="37">
        <f t="array" ref="G912">IFERROR(SUMPRODUCT(('Production Inputs'!$A:$A="LLPS")*('Production Inputs'!$B:$B="TOTAL ACTIVE")*'Production Inputs'!$Y:$Y),0)</f>
        <v>75</v>
      </c>
      <c r="H912" s="30">
        <f t="shared" si="102"/>
        <v>230.89</v>
      </c>
      <c r="I912" s="30">
        <f ca="1">IFERROR(AVERAGEIF(OFFSET(F912,0,0,MIN(Controls!$B$8,COUNTIF(B912:B$1973,B912)),1),"&gt;"&amp;0),0)</f>
        <v>13.4</v>
      </c>
      <c r="J912" s="38">
        <f t="shared" ca="1" si="98"/>
        <v>17.230597014925372</v>
      </c>
      <c r="K912" s="30">
        <f t="shared" ca="1" si="103"/>
        <v>0</v>
      </c>
      <c r="L912" t="str">
        <f t="shared" ca="1" si="99"/>
        <v>Overstock</v>
      </c>
      <c r="M912" s="39">
        <f>IFERROR(VLOOKUP("LLPS",Controls!A:I,7,0),6)</f>
        <v>4</v>
      </c>
      <c r="N912" s="39">
        <f>IFERROR(VLOOKUP("LLPS",Controls!A:I,8,0),3)</f>
        <v>3</v>
      </c>
      <c r="O912" s="39">
        <f>IFERROR(VLOOKUP("LLPS",Controls!A:I,9,0),18)</f>
        <v>12</v>
      </c>
      <c r="P912" s="40">
        <f>IFERROR(VLOOKUP("LLPS",Controls!A:J,5,0),0)</f>
        <v>5</v>
      </c>
      <c r="Q912" s="39">
        <f>IFERROR(VLOOKUP("LLPS",Controls!A:J,6,0),3)</f>
        <v>4</v>
      </c>
      <c r="R912" s="21" t="str">
        <f>IFERROR(VLOOKUP("LLPS",Controls!A:K,10,0),"")</f>
        <v>Kinovate</v>
      </c>
      <c r="S912" s="41">
        <f t="shared" si="100"/>
        <v>46327</v>
      </c>
      <c r="T912" s="30">
        <f t="shared" si="101"/>
        <v>75</v>
      </c>
      <c r="W912" s="205" cm="1">
        <f t="array" ref="W912">IF(13&lt;Controls!$B$7,INDEX(A899:A1077,MATCH(Controls!$B$5,A899:A1077,1)+13),NA())</f>
        <v>46508</v>
      </c>
      <c r="X912" cm="1">
        <f t="array" ref="X912">IF(13&lt;Controls!$B$7,INDEX(F899:F1077,MATCH(Controls!$B$5,A899:A1077,1)+13),NA())</f>
        <v>13.4</v>
      </c>
      <c r="Y912" cm="1">
        <f t="array" ref="Y912">IF(13&lt;Controls!$B$7,INDEX(G899:G1077,MATCH(Controls!$B$5,A899:A1077,1)+13),NA())</f>
        <v>0</v>
      </c>
      <c r="Z912" cm="1">
        <f t="array" ref="Z912">IF(13&lt;Controls!$B$7,INDEX(H899:H1077,MATCH(Controls!$B$5,A899:A1077,1)+13),NA())</f>
        <v>204.08999999999997</v>
      </c>
      <c r="AA912" cm="1">
        <f t="array" aca="1" ref="AA912" ca="1">IF(13&lt;Controls!$B$7,INDEX(M899:M1077,MATCH(Controls!$B$5,A899:A1077,1)+13)*INDEX(I899:I1077,MATCH(Controls!$B$5,A899:A1077,1)+13),NA())</f>
        <v>53.6</v>
      </c>
      <c r="AB912">
        <f t="shared" si="104"/>
        <v>40.200000000000003</v>
      </c>
    </row>
    <row r="913" spans="1:28" ht="13" customHeight="1" x14ac:dyDescent="0.35">
      <c r="A913" s="153">
        <v>46478</v>
      </c>
      <c r="B913" s="36" t="s">
        <v>50</v>
      </c>
      <c r="C913" s="15" t="s">
        <v>52</v>
      </c>
      <c r="D913" s="15" t="s">
        <v>48</v>
      </c>
      <c r="E913" s="30">
        <f>H912</f>
        <v>230.89</v>
      </c>
      <c r="F913" s="37">
        <f>IFERROR('Production Inputs'!$Z$37*Dependencies!$D$11,0)</f>
        <v>13.4</v>
      </c>
      <c r="G913" s="37">
        <f t="array" ref="G913">IFERROR(SUMPRODUCT(('Production Inputs'!$A:$A="LLPS")*('Production Inputs'!$B:$B="TOTAL ACTIVE")*'Production Inputs'!$Z:$Z),0)</f>
        <v>0</v>
      </c>
      <c r="H913" s="30">
        <f t="shared" si="102"/>
        <v>217.48999999999998</v>
      </c>
      <c r="I913" s="30">
        <f ca="1">IFERROR(AVERAGEIF(OFFSET(F913,0,0,MIN(Controls!$B$8,COUNTIF(B913:B$1973,B913)),1),"&gt;"&amp;0),0)</f>
        <v>13.4</v>
      </c>
      <c r="J913" s="38">
        <f t="shared" ca="1" si="98"/>
        <v>16.230597014925372</v>
      </c>
      <c r="K913" s="30">
        <f t="shared" ca="1" si="103"/>
        <v>0</v>
      </c>
      <c r="L913" t="str">
        <f t="shared" ca="1" si="99"/>
        <v>Overstock</v>
      </c>
      <c r="M913" s="39">
        <f>IFERROR(VLOOKUP("LLPS",Controls!A:I,7,0),6)</f>
        <v>4</v>
      </c>
      <c r="N913" s="39">
        <f>IFERROR(VLOOKUP("LLPS",Controls!A:I,8,0),3)</f>
        <v>3</v>
      </c>
      <c r="O913" s="39">
        <f>IFERROR(VLOOKUP("LLPS",Controls!A:I,9,0),18)</f>
        <v>12</v>
      </c>
      <c r="P913" s="40">
        <f>IFERROR(VLOOKUP("LLPS",Controls!A:J,5,0),0)</f>
        <v>5</v>
      </c>
      <c r="Q913" s="39">
        <f>IFERROR(VLOOKUP("LLPS",Controls!A:J,6,0),3)</f>
        <v>4</v>
      </c>
      <c r="R913" s="21" t="str">
        <f>IFERROR(VLOOKUP("LLPS",Controls!A:K,10,0),"")</f>
        <v>Kinovate</v>
      </c>
      <c r="S913" s="41">
        <f t="shared" si="100"/>
        <v>46357</v>
      </c>
      <c r="T913" s="30">
        <f t="shared" si="101"/>
        <v>0</v>
      </c>
      <c r="W913" s="205" cm="1">
        <f t="array" ref="W913">IF(14&lt;Controls!$B$7,INDEX(A899:A1077,MATCH(Controls!$B$5,A899:A1077,1)+14),NA())</f>
        <v>46539</v>
      </c>
      <c r="X913" cm="1">
        <f t="array" ref="X913">IF(14&lt;Controls!$B$7,INDEX(F899:F1077,MATCH(Controls!$B$5,A899:A1077,1)+14),NA())</f>
        <v>13.4</v>
      </c>
      <c r="Y913" cm="1">
        <f t="array" ref="Y913">IF(14&lt;Controls!$B$7,INDEX(G899:G1077,MATCH(Controls!$B$5,A899:A1077,1)+14),NA())</f>
        <v>0</v>
      </c>
      <c r="Z913" cm="1">
        <f t="array" ref="Z913">IF(14&lt;Controls!$B$7,INDEX(H899:H1077,MATCH(Controls!$B$5,A899:A1077,1)+14),NA())</f>
        <v>190.68999999999997</v>
      </c>
      <c r="AA913" cm="1">
        <f t="array" aca="1" ref="AA913" ca="1">IF(14&lt;Controls!$B$7,INDEX(M899:M1077,MATCH(Controls!$B$5,A899:A1077,1)+14)*INDEX(I899:I1077,MATCH(Controls!$B$5,A899:A1077,1)+14),NA())</f>
        <v>53.6</v>
      </c>
      <c r="AB913">
        <f t="shared" si="104"/>
        <v>53.6</v>
      </c>
    </row>
    <row r="914" spans="1:28" ht="13" customHeight="1" x14ac:dyDescent="0.35">
      <c r="A914" s="153">
        <v>46508</v>
      </c>
      <c r="B914" s="36" t="s">
        <v>50</v>
      </c>
      <c r="C914" s="15" t="s">
        <v>52</v>
      </c>
      <c r="D914" s="15" t="s">
        <v>48</v>
      </c>
      <c r="E914" s="30">
        <f>H913</f>
        <v>217.48999999999998</v>
      </c>
      <c r="F914" s="37">
        <f>IFERROR('Production Inputs'!$AA$37*Dependencies!$D$11,0)</f>
        <v>13.4</v>
      </c>
      <c r="G914" s="37">
        <f t="array" ref="G914">IFERROR(SUMPRODUCT(('Production Inputs'!$A:$A="LLPS")*('Production Inputs'!$B:$B="TOTAL ACTIVE")*'Production Inputs'!$AA:$AA),0)</f>
        <v>0</v>
      </c>
      <c r="H914" s="30">
        <f t="shared" si="102"/>
        <v>204.08999999999997</v>
      </c>
      <c r="I914" s="30">
        <f ca="1">IFERROR(AVERAGEIF(OFFSET(F914,0,0,MIN(Controls!$B$8,COUNTIF(B914:B$1973,B914)),1),"&gt;"&amp;0),0)</f>
        <v>13.4</v>
      </c>
      <c r="J914" s="38">
        <f t="shared" ca="1" si="98"/>
        <v>15.230597014925371</v>
      </c>
      <c r="K914" s="30">
        <f t="shared" ca="1" si="103"/>
        <v>0</v>
      </c>
      <c r="L914" t="str">
        <f t="shared" ca="1" si="99"/>
        <v>Overstock</v>
      </c>
      <c r="M914" s="39">
        <f>IFERROR(VLOOKUP("LLPS",Controls!A:I,7,0),6)</f>
        <v>4</v>
      </c>
      <c r="N914" s="39">
        <f>IFERROR(VLOOKUP("LLPS",Controls!A:I,8,0),3)</f>
        <v>3</v>
      </c>
      <c r="O914" s="39">
        <f>IFERROR(VLOOKUP("LLPS",Controls!A:I,9,0),18)</f>
        <v>12</v>
      </c>
      <c r="P914" s="40">
        <f>IFERROR(VLOOKUP("LLPS",Controls!A:J,5,0),0)</f>
        <v>5</v>
      </c>
      <c r="Q914" s="39">
        <f>IFERROR(VLOOKUP("LLPS",Controls!A:J,6,0),3)</f>
        <v>4</v>
      </c>
      <c r="R914" s="21" t="str">
        <f>IFERROR(VLOOKUP("LLPS",Controls!A:K,10,0),"")</f>
        <v>Kinovate</v>
      </c>
      <c r="S914" s="41">
        <f t="shared" si="100"/>
        <v>46388</v>
      </c>
      <c r="T914" s="30">
        <f t="shared" si="101"/>
        <v>0</v>
      </c>
      <c r="W914" s="205" cm="1">
        <f t="array" ref="W914">IF(15&lt;Controls!$B$7,INDEX(A899:A1077,MATCH(Controls!$B$5,A899:A1077,1)+15),NA())</f>
        <v>46569</v>
      </c>
      <c r="X914" cm="1">
        <f t="array" ref="X914">IF(15&lt;Controls!$B$7,INDEX(F899:F1077,MATCH(Controls!$B$5,A899:A1077,1)+15),NA())</f>
        <v>13.4</v>
      </c>
      <c r="Y914" cm="1">
        <f t="array" ref="Y914">IF(15&lt;Controls!$B$7,INDEX(G899:G1077,MATCH(Controls!$B$5,A899:A1077,1)+15),NA())</f>
        <v>0</v>
      </c>
      <c r="Z914" cm="1">
        <f t="array" ref="Z914">IF(15&lt;Controls!$B$7,INDEX(H899:H1077,MATCH(Controls!$B$5,A899:A1077,1)+15),NA())</f>
        <v>177.28999999999996</v>
      </c>
      <c r="AA914" cm="1">
        <f t="array" aca="1" ref="AA914" ca="1">IF(15&lt;Controls!$B$7,INDEX(M899:M1077,MATCH(Controls!$B$5,A899:A1077,1)+15)*INDEX(I899:I1077,MATCH(Controls!$B$5,A899:A1077,1)+15),NA())</f>
        <v>53.6</v>
      </c>
      <c r="AB914">
        <f t="shared" si="104"/>
        <v>67</v>
      </c>
    </row>
    <row r="915" spans="1:28" ht="13" customHeight="1" x14ac:dyDescent="0.35">
      <c r="A915" s="153">
        <v>46539</v>
      </c>
      <c r="B915" s="36" t="s">
        <v>50</v>
      </c>
      <c r="C915" s="15" t="s">
        <v>52</v>
      </c>
      <c r="D915" s="15" t="s">
        <v>48</v>
      </c>
      <c r="E915" s="30">
        <f>H914</f>
        <v>204.08999999999997</v>
      </c>
      <c r="F915" s="37">
        <f>IFERROR('Production Inputs'!$AB$37*Dependencies!$D$11,0)</f>
        <v>13.4</v>
      </c>
      <c r="G915" s="37">
        <f t="array" ref="G915">IFERROR(SUMPRODUCT(('Production Inputs'!$A:$A="LLPS")*('Production Inputs'!$B:$B="TOTAL ACTIVE")*'Production Inputs'!$AB:$AB),0)</f>
        <v>0</v>
      </c>
      <c r="H915" s="30">
        <f t="shared" si="102"/>
        <v>190.68999999999997</v>
      </c>
      <c r="I915" s="30">
        <f ca="1">IFERROR(AVERAGEIF(OFFSET(F915,0,0,MIN(Controls!$B$8,COUNTIF(B915:B$1973,B915)),1),"&gt;"&amp;0),0)</f>
        <v>13.4</v>
      </c>
      <c r="J915" s="38">
        <f t="shared" ca="1" si="98"/>
        <v>14.230597014925371</v>
      </c>
      <c r="K915" s="30">
        <f t="shared" ca="1" si="103"/>
        <v>0</v>
      </c>
      <c r="L915" t="str">
        <f t="shared" ca="1" si="99"/>
        <v>Overstock</v>
      </c>
      <c r="M915" s="39">
        <f>IFERROR(VLOOKUP("LLPS",Controls!A:I,7,0),6)</f>
        <v>4</v>
      </c>
      <c r="N915" s="39">
        <f>IFERROR(VLOOKUP("LLPS",Controls!A:I,8,0),3)</f>
        <v>3</v>
      </c>
      <c r="O915" s="39">
        <f>IFERROR(VLOOKUP("LLPS",Controls!A:I,9,0),18)</f>
        <v>12</v>
      </c>
      <c r="P915" s="40">
        <f>IFERROR(VLOOKUP("LLPS",Controls!A:J,5,0),0)</f>
        <v>5</v>
      </c>
      <c r="Q915" s="39">
        <f>IFERROR(VLOOKUP("LLPS",Controls!A:J,6,0),3)</f>
        <v>4</v>
      </c>
      <c r="R915" s="21" t="str">
        <f>IFERROR(VLOOKUP("LLPS",Controls!A:K,10,0),"")</f>
        <v>Kinovate</v>
      </c>
      <c r="S915" s="41">
        <f t="shared" si="100"/>
        <v>46419</v>
      </c>
      <c r="T915" s="30">
        <f t="shared" si="101"/>
        <v>0</v>
      </c>
      <c r="W915" s="205" cm="1">
        <f t="array" ref="W915">IF(16&lt;Controls!$B$7,INDEX(A899:A1077,MATCH(Controls!$B$5,A899:A1077,1)+16),NA())</f>
        <v>46600</v>
      </c>
      <c r="X915" cm="1">
        <f t="array" ref="X915">IF(16&lt;Controls!$B$7,INDEX(F899:F1077,MATCH(Controls!$B$5,A899:A1077,1)+16),NA())</f>
        <v>0</v>
      </c>
      <c r="Y915" cm="1">
        <f t="array" ref="Y915">IF(16&lt;Controls!$B$7,INDEX(G899:G1077,MATCH(Controls!$B$5,A899:A1077,1)+16),NA())</f>
        <v>0</v>
      </c>
      <c r="Z915" cm="1">
        <f t="array" ref="Z915">IF(16&lt;Controls!$B$7,INDEX(H899:H1077,MATCH(Controls!$B$5,A899:A1077,1)+16),NA())</f>
        <v>177.28999999999996</v>
      </c>
      <c r="AA915" cm="1">
        <f t="array" aca="1" ref="AA915" ca="1">IF(16&lt;Controls!$B$7,INDEX(M899:M1077,MATCH(Controls!$B$5,A899:A1077,1)+16)*INDEX(I899:I1077,MATCH(Controls!$B$5,A899:A1077,1)+16),NA())</f>
        <v>0</v>
      </c>
      <c r="AB915">
        <f t="shared" si="104"/>
        <v>80.400000000000006</v>
      </c>
    </row>
    <row r="916" spans="1:28" ht="13" customHeight="1" x14ac:dyDescent="0.35">
      <c r="A916" s="153">
        <v>46569</v>
      </c>
      <c r="B916" s="36" t="s">
        <v>50</v>
      </c>
      <c r="C916" s="15" t="s">
        <v>52</v>
      </c>
      <c r="D916" s="15" t="s">
        <v>48</v>
      </c>
      <c r="E916" s="30">
        <f>H915</f>
        <v>190.68999999999997</v>
      </c>
      <c r="F916" s="37">
        <f>IFERROR('Production Inputs'!$AC$37*Dependencies!$D$11,0)</f>
        <v>13.4</v>
      </c>
      <c r="G916" s="37">
        <f t="array" ref="G916">IFERROR(SUMPRODUCT(('Production Inputs'!$A:$A="LLPS")*('Production Inputs'!$B:$B="TOTAL ACTIVE")*'Production Inputs'!$AC:$AC),0)</f>
        <v>0</v>
      </c>
      <c r="H916" s="30">
        <f t="shared" si="102"/>
        <v>177.28999999999996</v>
      </c>
      <c r="I916" s="30">
        <f ca="1">IFERROR(AVERAGEIF(OFFSET(F916,0,0,MIN(Controls!$B$8,COUNTIF(B916:B$1973,B916)),1),"&gt;"&amp;0),0)</f>
        <v>13.4</v>
      </c>
      <c r="J916" s="38">
        <f t="shared" ca="1" si="98"/>
        <v>13.230597014925371</v>
      </c>
      <c r="K916" s="30">
        <f t="shared" ca="1" si="103"/>
        <v>0</v>
      </c>
      <c r="L916" t="str">
        <f t="shared" ca="1" si="99"/>
        <v>Overstock</v>
      </c>
      <c r="M916" s="39">
        <f>IFERROR(VLOOKUP("LLPS",Controls!A:I,7,0),6)</f>
        <v>4</v>
      </c>
      <c r="N916" s="39">
        <f>IFERROR(VLOOKUP("LLPS",Controls!A:I,8,0),3)</f>
        <v>3</v>
      </c>
      <c r="O916" s="39">
        <f>IFERROR(VLOOKUP("LLPS",Controls!A:I,9,0),18)</f>
        <v>12</v>
      </c>
      <c r="P916" s="40">
        <f>IFERROR(VLOOKUP("LLPS",Controls!A:J,5,0),0)</f>
        <v>5</v>
      </c>
      <c r="Q916" s="39">
        <f>IFERROR(VLOOKUP("LLPS",Controls!A:J,6,0),3)</f>
        <v>4</v>
      </c>
      <c r="R916" s="21" t="str">
        <f>IFERROR(VLOOKUP("LLPS",Controls!A:K,10,0),"")</f>
        <v>Kinovate</v>
      </c>
      <c r="S916" s="41">
        <f t="shared" si="100"/>
        <v>46447</v>
      </c>
      <c r="T916" s="30">
        <f t="shared" si="101"/>
        <v>0</v>
      </c>
      <c r="W916" s="205" cm="1">
        <f t="array" ref="W916">IF(17&lt;Controls!$B$7,INDEX(A899:A1077,MATCH(Controls!$B$5,A899:A1077,1)+17),NA())</f>
        <v>46631</v>
      </c>
      <c r="X916" cm="1">
        <f t="array" ref="X916">IF(17&lt;Controls!$B$7,INDEX(F899:F1077,MATCH(Controls!$B$5,A899:A1077,1)+17),NA())</f>
        <v>0</v>
      </c>
      <c r="Y916" cm="1">
        <f t="array" ref="Y916">IF(17&lt;Controls!$B$7,INDEX(G899:G1077,MATCH(Controls!$B$5,A899:A1077,1)+17),NA())</f>
        <v>0</v>
      </c>
      <c r="Z916" cm="1">
        <f t="array" ref="Z916">IF(17&lt;Controls!$B$7,INDEX(H899:H1077,MATCH(Controls!$B$5,A899:A1077,1)+17),NA())</f>
        <v>177.28999999999996</v>
      </c>
      <c r="AA916" cm="1">
        <f t="array" aca="1" ref="AA916" ca="1">IF(17&lt;Controls!$B$7,INDEX(M899:M1077,MATCH(Controls!$B$5,A899:A1077,1)+17)*INDEX(I899:I1077,MATCH(Controls!$B$5,A899:A1077,1)+17),NA())</f>
        <v>0</v>
      </c>
      <c r="AB916">
        <f t="shared" si="104"/>
        <v>93.800000000000011</v>
      </c>
    </row>
    <row r="917" spans="1:28" ht="13" customHeight="1" x14ac:dyDescent="0.35">
      <c r="A917" s="153">
        <v>46600</v>
      </c>
      <c r="B917" s="36" t="s">
        <v>50</v>
      </c>
      <c r="C917" s="15" t="s">
        <v>52</v>
      </c>
      <c r="D917" s="15" t="s">
        <v>48</v>
      </c>
      <c r="E917" s="30">
        <f>H916</f>
        <v>177.28999999999996</v>
      </c>
      <c r="F917" s="37">
        <f>IFERROR('Production Inputs'!$AD$37*Dependencies!$D$11,0)</f>
        <v>0</v>
      </c>
      <c r="G917" s="37">
        <f t="array" ref="G917">IFERROR(SUMPRODUCT(('Production Inputs'!$A:$A="LLPS")*('Production Inputs'!$B:$B="TOTAL ACTIVE")*'Production Inputs'!$AD:$AD),0)</f>
        <v>0</v>
      </c>
      <c r="H917" s="30">
        <f t="shared" si="102"/>
        <v>177.28999999999996</v>
      </c>
      <c r="I917" s="30">
        <f ca="1">IFERROR(AVERAGEIF(OFFSET(F917,0,0,MIN(Controls!$B$8,COUNTIF(B917:B$1973,B917)),1),"&gt;"&amp;0),0)</f>
        <v>0</v>
      </c>
      <c r="J917" s="38">
        <f t="shared" ca="1" si="98"/>
        <v>999</v>
      </c>
      <c r="K917" s="30">
        <f t="shared" ca="1" si="103"/>
        <v>0</v>
      </c>
      <c r="L917" t="str">
        <f t="shared" ca="1" si="99"/>
        <v>Overstock</v>
      </c>
      <c r="M917" s="39">
        <f>IFERROR(VLOOKUP("LLPS",Controls!A:I,7,0),6)</f>
        <v>4</v>
      </c>
      <c r="N917" s="39">
        <f>IFERROR(VLOOKUP("LLPS",Controls!A:I,8,0),3)</f>
        <v>3</v>
      </c>
      <c r="O917" s="39">
        <f>IFERROR(VLOOKUP("LLPS",Controls!A:I,9,0),18)</f>
        <v>12</v>
      </c>
      <c r="P917" s="40">
        <f>IFERROR(VLOOKUP("LLPS",Controls!A:J,5,0),0)</f>
        <v>5</v>
      </c>
      <c r="Q917" s="39">
        <f>IFERROR(VLOOKUP("LLPS",Controls!A:J,6,0),3)</f>
        <v>4</v>
      </c>
      <c r="R917" s="21" t="str">
        <f>IFERROR(VLOOKUP("LLPS",Controls!A:K,10,0),"")</f>
        <v>Kinovate</v>
      </c>
      <c r="S917" s="41">
        <f t="shared" si="100"/>
        <v>46478</v>
      </c>
      <c r="T917" s="30">
        <f t="shared" si="101"/>
        <v>0</v>
      </c>
      <c r="W917" s="205" t="e" cm="1">
        <f t="array" ref="W917">IF(18&lt;Controls!$B$7,INDEX(A899:A1077,MATCH(Controls!$B$5,A899:A1077,1)+18),NA())</f>
        <v>#N/A</v>
      </c>
      <c r="X917" t="e" cm="1">
        <f t="array" ref="X917">IF(18&lt;Controls!$B$7,INDEX(F899:F1077,MATCH(Controls!$B$5,A899:A1077,1)+18),NA())</f>
        <v>#N/A</v>
      </c>
      <c r="Y917" t="e" cm="1">
        <f t="array" ref="Y917">IF(18&lt;Controls!$B$7,INDEX(G899:G1077,MATCH(Controls!$B$5,A899:A1077,1)+18),NA())</f>
        <v>#N/A</v>
      </c>
      <c r="Z917" t="e" cm="1">
        <f t="array" ref="Z917">IF(18&lt;Controls!$B$7,INDEX(H899:H1077,MATCH(Controls!$B$5,A899:A1077,1)+18),NA())</f>
        <v>#N/A</v>
      </c>
      <c r="AA917" t="e" cm="1">
        <f t="array" ref="AA917">IF(18&lt;Controls!$B$7,INDEX(M899:M1077,MATCH(Controls!$B$5,A899:A1077,1)+18)*INDEX(I899:I1077,MATCH(Controls!$B$5,A899:A1077,1)+18),NA())</f>
        <v>#N/A</v>
      </c>
      <c r="AB917">
        <f t="shared" si="104"/>
        <v>93.800000000000011</v>
      </c>
    </row>
    <row r="918" spans="1:28" ht="13" customHeight="1" x14ac:dyDescent="0.35">
      <c r="A918" s="153">
        <v>46631</v>
      </c>
      <c r="B918" s="36" t="s">
        <v>50</v>
      </c>
      <c r="C918" s="15" t="s">
        <v>52</v>
      </c>
      <c r="D918" s="15" t="s">
        <v>48</v>
      </c>
      <c r="E918" s="30">
        <f>H917</f>
        <v>177.28999999999996</v>
      </c>
      <c r="F918" s="37">
        <f>IFERROR('Production Inputs'!$AE$37*Dependencies!$D$11,0)</f>
        <v>0</v>
      </c>
      <c r="G918" s="37">
        <f t="array" ref="G918">IFERROR(SUMPRODUCT(('Production Inputs'!$A:$A="LLPS")*('Production Inputs'!$B:$B="TOTAL ACTIVE")*'Production Inputs'!$AE:$AE),0)</f>
        <v>0</v>
      </c>
      <c r="H918" s="30">
        <f t="shared" si="102"/>
        <v>177.28999999999996</v>
      </c>
      <c r="I918" s="30">
        <f ca="1">IFERROR(AVERAGEIF(OFFSET(F918,0,0,MIN(Controls!$B$8,COUNTIF(B918:B$1973,B918)),1),"&gt;"&amp;0),0)</f>
        <v>0</v>
      </c>
      <c r="J918" s="38">
        <f t="shared" ca="1" si="98"/>
        <v>999</v>
      </c>
      <c r="K918" s="30">
        <f t="shared" ca="1" si="103"/>
        <v>0</v>
      </c>
      <c r="L918" t="str">
        <f t="shared" ca="1" si="99"/>
        <v>Overstock</v>
      </c>
      <c r="M918" s="39">
        <f>IFERROR(VLOOKUP("LLPS",Controls!A:I,7,0),6)</f>
        <v>4</v>
      </c>
      <c r="N918" s="39">
        <f>IFERROR(VLOOKUP("LLPS",Controls!A:I,8,0),3)</f>
        <v>3</v>
      </c>
      <c r="O918" s="39">
        <f>IFERROR(VLOOKUP("LLPS",Controls!A:I,9,0),18)</f>
        <v>12</v>
      </c>
      <c r="P918" s="40">
        <f>IFERROR(VLOOKUP("LLPS",Controls!A:J,5,0),0)</f>
        <v>5</v>
      </c>
      <c r="Q918" s="39">
        <f>IFERROR(VLOOKUP("LLPS",Controls!A:J,6,0),3)</f>
        <v>4</v>
      </c>
      <c r="R918" s="21" t="str">
        <f>IFERROR(VLOOKUP("LLPS",Controls!A:K,10,0),"")</f>
        <v>Kinovate</v>
      </c>
      <c r="S918" s="41">
        <f t="shared" si="100"/>
        <v>46508</v>
      </c>
      <c r="T918" s="30">
        <f t="shared" si="101"/>
        <v>0</v>
      </c>
      <c r="W918" s="205" t="e" cm="1">
        <f t="array" ref="W918">IF(19&lt;Controls!$B$7,INDEX(A899:A1077,MATCH(Controls!$B$5,A899:A1077,1)+19),NA())</f>
        <v>#N/A</v>
      </c>
      <c r="X918" t="e" cm="1">
        <f t="array" ref="X918">IF(19&lt;Controls!$B$7,INDEX(F899:F1077,MATCH(Controls!$B$5,A899:A1077,1)+19),NA())</f>
        <v>#N/A</v>
      </c>
      <c r="Y918" t="e" cm="1">
        <f t="array" ref="Y918">IF(19&lt;Controls!$B$7,INDEX(G899:G1077,MATCH(Controls!$B$5,A899:A1077,1)+19),NA())</f>
        <v>#N/A</v>
      </c>
      <c r="Z918" t="e" cm="1">
        <f t="array" ref="Z918">IF(19&lt;Controls!$B$7,INDEX(H899:H1077,MATCH(Controls!$B$5,A899:A1077,1)+19),NA())</f>
        <v>#N/A</v>
      </c>
      <c r="AA918" t="e" cm="1">
        <f t="array" ref="AA918">IF(19&lt;Controls!$B$7,INDEX(M899:M1077,MATCH(Controls!$B$5,A899:A1077,1)+19)*INDEX(I899:I1077,MATCH(Controls!$B$5,A899:A1077,1)+19),NA())</f>
        <v>#N/A</v>
      </c>
      <c r="AB918">
        <f t="shared" si="104"/>
        <v>93.800000000000011</v>
      </c>
    </row>
    <row r="919" spans="1:28" ht="13" customHeight="1" x14ac:dyDescent="0.35">
      <c r="A919" s="153">
        <v>46661</v>
      </c>
      <c r="B919" s="36" t="s">
        <v>50</v>
      </c>
      <c r="C919" s="15" t="s">
        <v>52</v>
      </c>
      <c r="D919" s="15" t="s">
        <v>48</v>
      </c>
      <c r="E919" s="30">
        <f>H918</f>
        <v>177.28999999999996</v>
      </c>
      <c r="F919" s="37">
        <f>IFERROR('Production Inputs'!$AF$37*Dependencies!$D$11,0)</f>
        <v>0</v>
      </c>
      <c r="G919" s="37">
        <f t="array" ref="G919">IFERROR(SUMPRODUCT(('Production Inputs'!$A:$A="LLPS")*('Production Inputs'!$B:$B="TOTAL ACTIVE")*'Production Inputs'!$AF:$AF),0)</f>
        <v>0</v>
      </c>
      <c r="H919" s="30">
        <f t="shared" si="102"/>
        <v>177.28999999999996</v>
      </c>
      <c r="I919" s="30">
        <f ca="1">IFERROR(AVERAGEIF(OFFSET(F919,0,0,MIN(Controls!$B$8,COUNTIF(B919:B$1973,B919)),1),"&gt;"&amp;0),0)</f>
        <v>0</v>
      </c>
      <c r="J919" s="38">
        <f t="shared" ca="1" si="98"/>
        <v>999</v>
      </c>
      <c r="K919" s="30">
        <f t="shared" ca="1" si="103"/>
        <v>0</v>
      </c>
      <c r="L919" t="str">
        <f t="shared" ca="1" si="99"/>
        <v>Overstock</v>
      </c>
      <c r="M919" s="39">
        <f>IFERROR(VLOOKUP("LLPS",Controls!A:I,7,0),6)</f>
        <v>4</v>
      </c>
      <c r="N919" s="39">
        <f>IFERROR(VLOOKUP("LLPS",Controls!A:I,8,0),3)</f>
        <v>3</v>
      </c>
      <c r="O919" s="39">
        <f>IFERROR(VLOOKUP("LLPS",Controls!A:I,9,0),18)</f>
        <v>12</v>
      </c>
      <c r="P919" s="40">
        <f>IFERROR(VLOOKUP("LLPS",Controls!A:J,5,0),0)</f>
        <v>5</v>
      </c>
      <c r="Q919" s="39">
        <f>IFERROR(VLOOKUP("LLPS",Controls!A:J,6,0),3)</f>
        <v>4</v>
      </c>
      <c r="R919" s="21" t="str">
        <f>IFERROR(VLOOKUP("LLPS",Controls!A:K,10,0),"")</f>
        <v>Kinovate</v>
      </c>
      <c r="S919" s="41">
        <f t="shared" si="100"/>
        <v>46539</v>
      </c>
      <c r="T919" s="30">
        <f t="shared" si="101"/>
        <v>0</v>
      </c>
      <c r="W919" s="205" t="e" cm="1">
        <f t="array" ref="W919">IF(20&lt;Controls!$B$7,INDEX(A899:A1077,MATCH(Controls!$B$5,A899:A1077,1)+20),NA())</f>
        <v>#N/A</v>
      </c>
      <c r="X919" t="e" cm="1">
        <f t="array" ref="X919">IF(20&lt;Controls!$B$7,INDEX(F899:F1077,MATCH(Controls!$B$5,A899:A1077,1)+20),NA())</f>
        <v>#N/A</v>
      </c>
      <c r="Y919" t="e" cm="1">
        <f t="array" ref="Y919">IF(20&lt;Controls!$B$7,INDEX(G899:G1077,MATCH(Controls!$B$5,A899:A1077,1)+20),NA())</f>
        <v>#N/A</v>
      </c>
      <c r="Z919" t="e" cm="1">
        <f t="array" ref="Z919">IF(20&lt;Controls!$B$7,INDEX(H899:H1077,MATCH(Controls!$B$5,A899:A1077,1)+20),NA())</f>
        <v>#N/A</v>
      </c>
      <c r="AA919" t="e" cm="1">
        <f t="array" ref="AA919">IF(20&lt;Controls!$B$7,INDEX(M899:M1077,MATCH(Controls!$B$5,A899:A1077,1)+20)*INDEX(I899:I1077,MATCH(Controls!$B$5,A899:A1077,1)+20),NA())</f>
        <v>#N/A</v>
      </c>
      <c r="AB919">
        <f t="shared" si="104"/>
        <v>93.800000000000011</v>
      </c>
    </row>
    <row r="920" spans="1:28" ht="13" customHeight="1" x14ac:dyDescent="0.35">
      <c r="A920" s="153">
        <v>46692</v>
      </c>
      <c r="B920" s="36" t="s">
        <v>50</v>
      </c>
      <c r="C920" s="15" t="s">
        <v>52</v>
      </c>
      <c r="D920" s="15" t="s">
        <v>48</v>
      </c>
      <c r="E920" s="30">
        <f>H919</f>
        <v>177.28999999999996</v>
      </c>
      <c r="F920" s="37">
        <f>IFERROR('Production Inputs'!$AG$37*Dependencies!$D$11,0)</f>
        <v>0</v>
      </c>
      <c r="G920" s="37">
        <f t="array" ref="G920">IFERROR(SUMPRODUCT(('Production Inputs'!$A:$A="LLPS")*('Production Inputs'!$B:$B="TOTAL ACTIVE")*'Production Inputs'!$AG:$AG),0)</f>
        <v>0</v>
      </c>
      <c r="H920" s="30">
        <f t="shared" si="102"/>
        <v>177.28999999999996</v>
      </c>
      <c r="I920" s="30">
        <f ca="1">IFERROR(AVERAGEIF(OFFSET(F920,0,0,MIN(Controls!$B$8,COUNTIF(B920:B$1973,B920)),1),"&gt;"&amp;0),0)</f>
        <v>0</v>
      </c>
      <c r="J920" s="38">
        <f t="shared" ca="1" si="98"/>
        <v>999</v>
      </c>
      <c r="K920" s="30">
        <f t="shared" ca="1" si="103"/>
        <v>0</v>
      </c>
      <c r="L920" t="str">
        <f t="shared" ca="1" si="99"/>
        <v>Overstock</v>
      </c>
      <c r="M920" s="39">
        <f>IFERROR(VLOOKUP("LLPS",Controls!A:I,7,0),6)</f>
        <v>4</v>
      </c>
      <c r="N920" s="39">
        <f>IFERROR(VLOOKUP("LLPS",Controls!A:I,8,0),3)</f>
        <v>3</v>
      </c>
      <c r="O920" s="39">
        <f>IFERROR(VLOOKUP("LLPS",Controls!A:I,9,0),18)</f>
        <v>12</v>
      </c>
      <c r="P920" s="40">
        <f>IFERROR(VLOOKUP("LLPS",Controls!A:J,5,0),0)</f>
        <v>5</v>
      </c>
      <c r="Q920" s="39">
        <f>IFERROR(VLOOKUP("LLPS",Controls!A:J,6,0),3)</f>
        <v>4</v>
      </c>
      <c r="R920" s="21" t="str">
        <f>IFERROR(VLOOKUP("LLPS",Controls!A:K,10,0),"")</f>
        <v>Kinovate</v>
      </c>
      <c r="S920" s="41">
        <f t="shared" si="100"/>
        <v>46569</v>
      </c>
      <c r="T920" s="30">
        <f t="shared" si="101"/>
        <v>0</v>
      </c>
      <c r="W920" s="205" t="e" cm="1">
        <f t="array" ref="W920">IF(21&lt;Controls!$B$7,INDEX(A899:A1077,MATCH(Controls!$B$5,A899:A1077,1)+21),NA())</f>
        <v>#N/A</v>
      </c>
      <c r="X920" t="e" cm="1">
        <f t="array" ref="X920">IF(21&lt;Controls!$B$7,INDEX(F899:F1077,MATCH(Controls!$B$5,A899:A1077,1)+21),NA())</f>
        <v>#N/A</v>
      </c>
      <c r="Y920" t="e" cm="1">
        <f t="array" ref="Y920">IF(21&lt;Controls!$B$7,INDEX(G899:G1077,MATCH(Controls!$B$5,A899:A1077,1)+21),NA())</f>
        <v>#N/A</v>
      </c>
      <c r="Z920" t="e" cm="1">
        <f t="array" ref="Z920">IF(21&lt;Controls!$B$7,INDEX(H899:H1077,MATCH(Controls!$B$5,A899:A1077,1)+21),NA())</f>
        <v>#N/A</v>
      </c>
      <c r="AA920" t="e" cm="1">
        <f t="array" ref="AA920">IF(21&lt;Controls!$B$7,INDEX(M899:M1077,MATCH(Controls!$B$5,A899:A1077,1)+21)*INDEX(I899:I1077,MATCH(Controls!$B$5,A899:A1077,1)+21),NA())</f>
        <v>#N/A</v>
      </c>
      <c r="AB920">
        <f t="shared" si="104"/>
        <v>93.800000000000011</v>
      </c>
    </row>
    <row r="921" spans="1:28" ht="13" customHeight="1" x14ac:dyDescent="0.35">
      <c r="A921" s="153">
        <v>46722</v>
      </c>
      <c r="B921" s="36" t="s">
        <v>50</v>
      </c>
      <c r="C921" s="15" t="s">
        <v>52</v>
      </c>
      <c r="D921" s="15" t="s">
        <v>48</v>
      </c>
      <c r="E921" s="30">
        <f>H920</f>
        <v>177.28999999999996</v>
      </c>
      <c r="F921" s="37">
        <f>IFERROR('Production Inputs'!$AH$37*Dependencies!$D$11,0)</f>
        <v>0</v>
      </c>
      <c r="G921" s="37">
        <f t="array" ref="G921">IFERROR(SUMPRODUCT(('Production Inputs'!$A:$A="LLPS")*('Production Inputs'!$B:$B="TOTAL ACTIVE")*'Production Inputs'!$AH:$AH),0)</f>
        <v>0</v>
      </c>
      <c r="H921" s="30">
        <f t="shared" si="102"/>
        <v>177.28999999999996</v>
      </c>
      <c r="I921" s="30">
        <f ca="1">IFERROR(AVERAGEIF(OFFSET(F921,0,0,MIN(Controls!$B$8,COUNTIF(B921:B$1973,B921)),1),"&gt;"&amp;0),0)</f>
        <v>0</v>
      </c>
      <c r="J921" s="38">
        <f t="shared" ca="1" si="98"/>
        <v>999</v>
      </c>
      <c r="K921" s="30">
        <f t="shared" ca="1" si="103"/>
        <v>0</v>
      </c>
      <c r="L921" t="str">
        <f t="shared" ca="1" si="99"/>
        <v>Overstock</v>
      </c>
      <c r="M921" s="39">
        <f>IFERROR(VLOOKUP("LLPS",Controls!A:I,7,0),6)</f>
        <v>4</v>
      </c>
      <c r="N921" s="39">
        <f>IFERROR(VLOOKUP("LLPS",Controls!A:I,8,0),3)</f>
        <v>3</v>
      </c>
      <c r="O921" s="39">
        <f>IFERROR(VLOOKUP("LLPS",Controls!A:I,9,0),18)</f>
        <v>12</v>
      </c>
      <c r="P921" s="40">
        <f>IFERROR(VLOOKUP("LLPS",Controls!A:J,5,0),0)</f>
        <v>5</v>
      </c>
      <c r="Q921" s="39">
        <f>IFERROR(VLOOKUP("LLPS",Controls!A:J,6,0),3)</f>
        <v>4</v>
      </c>
      <c r="R921" s="21" t="str">
        <f>IFERROR(VLOOKUP("LLPS",Controls!A:K,10,0),"")</f>
        <v>Kinovate</v>
      </c>
      <c r="S921" s="41">
        <f t="shared" si="100"/>
        <v>46600</v>
      </c>
      <c r="T921" s="30">
        <f t="shared" si="101"/>
        <v>0</v>
      </c>
      <c r="W921" s="205" t="e" cm="1">
        <f t="array" ref="W921">IF(22&lt;Controls!$B$7,INDEX(A899:A1077,MATCH(Controls!$B$5,A899:A1077,1)+22),NA())</f>
        <v>#N/A</v>
      </c>
      <c r="X921" t="e" cm="1">
        <f t="array" ref="X921">IF(22&lt;Controls!$B$7,INDEX(F899:F1077,MATCH(Controls!$B$5,A899:A1077,1)+22),NA())</f>
        <v>#N/A</v>
      </c>
      <c r="Y921" t="e" cm="1">
        <f t="array" ref="Y921">IF(22&lt;Controls!$B$7,INDEX(G899:G1077,MATCH(Controls!$B$5,A899:A1077,1)+22),NA())</f>
        <v>#N/A</v>
      </c>
      <c r="Z921" t="e" cm="1">
        <f t="array" ref="Z921">IF(22&lt;Controls!$B$7,INDEX(H899:H1077,MATCH(Controls!$B$5,A899:A1077,1)+22),NA())</f>
        <v>#N/A</v>
      </c>
      <c r="AA921" t="e" cm="1">
        <f t="array" ref="AA921">IF(22&lt;Controls!$B$7,INDEX(M899:M1077,MATCH(Controls!$B$5,A899:A1077,1)+22)*INDEX(I899:I1077,MATCH(Controls!$B$5,A899:A1077,1)+22),NA())</f>
        <v>#N/A</v>
      </c>
      <c r="AB921">
        <f t="shared" si="104"/>
        <v>93.800000000000011</v>
      </c>
    </row>
    <row r="922" spans="1:28" ht="13" customHeight="1" x14ac:dyDescent="0.35">
      <c r="A922" s="153">
        <v>46753</v>
      </c>
      <c r="B922" s="36" t="s">
        <v>50</v>
      </c>
      <c r="C922" s="15" t="s">
        <v>52</v>
      </c>
      <c r="D922" s="15" t="s">
        <v>48</v>
      </c>
      <c r="E922" s="30">
        <f>H921</f>
        <v>177.28999999999996</v>
      </c>
      <c r="F922" s="37">
        <f>IFERROR('Production Inputs'!$AI$37*Dependencies!$D$11,0)</f>
        <v>0</v>
      </c>
      <c r="G922" s="37">
        <f t="array" ref="G922">IFERROR(SUMPRODUCT(('Production Inputs'!$A:$A="LLPS")*('Production Inputs'!$B:$B="TOTAL ACTIVE")*'Production Inputs'!$AI:$AI),0)</f>
        <v>0</v>
      </c>
      <c r="H922" s="30">
        <f t="shared" si="102"/>
        <v>177.28999999999996</v>
      </c>
      <c r="I922" s="30">
        <f ca="1">IFERROR(AVERAGEIF(OFFSET(F922,0,0,MIN(Controls!$B$8,COUNTIF(B922:B$1973,B922)),1),"&gt;"&amp;0),0)</f>
        <v>0</v>
      </c>
      <c r="J922" s="38">
        <f t="shared" ca="1" si="98"/>
        <v>999</v>
      </c>
      <c r="K922" s="30">
        <f t="shared" ca="1" si="103"/>
        <v>0</v>
      </c>
      <c r="L922" t="str">
        <f t="shared" ca="1" si="99"/>
        <v>Overstock</v>
      </c>
      <c r="M922" s="39">
        <f>IFERROR(VLOOKUP("LLPS",Controls!A:I,7,0),6)</f>
        <v>4</v>
      </c>
      <c r="N922" s="39">
        <f>IFERROR(VLOOKUP("LLPS",Controls!A:I,8,0),3)</f>
        <v>3</v>
      </c>
      <c r="O922" s="39">
        <f>IFERROR(VLOOKUP("LLPS",Controls!A:I,9,0),18)</f>
        <v>12</v>
      </c>
      <c r="P922" s="40">
        <f>IFERROR(VLOOKUP("LLPS",Controls!A:J,5,0),0)</f>
        <v>5</v>
      </c>
      <c r="Q922" s="39">
        <f>IFERROR(VLOOKUP("LLPS",Controls!A:J,6,0),3)</f>
        <v>4</v>
      </c>
      <c r="R922" s="21" t="str">
        <f>IFERROR(VLOOKUP("LLPS",Controls!A:K,10,0),"")</f>
        <v>Kinovate</v>
      </c>
      <c r="S922" s="41">
        <f t="shared" si="100"/>
        <v>46631</v>
      </c>
      <c r="T922" s="30">
        <f t="shared" si="101"/>
        <v>0</v>
      </c>
      <c r="W922" s="205" t="e" cm="1">
        <f t="array" ref="W922">IF(23&lt;Controls!$B$7,INDEX(A899:A1077,MATCH(Controls!$B$5,A899:A1077,1)+23),NA())</f>
        <v>#N/A</v>
      </c>
      <c r="X922" t="e" cm="1">
        <f t="array" ref="X922">IF(23&lt;Controls!$B$7,INDEX(F899:F1077,MATCH(Controls!$B$5,A899:A1077,1)+23),NA())</f>
        <v>#N/A</v>
      </c>
      <c r="Y922" t="e" cm="1">
        <f t="array" ref="Y922">IF(23&lt;Controls!$B$7,INDEX(G899:G1077,MATCH(Controls!$B$5,A899:A1077,1)+23),NA())</f>
        <v>#N/A</v>
      </c>
      <c r="Z922" t="e" cm="1">
        <f t="array" ref="Z922">IF(23&lt;Controls!$B$7,INDEX(H899:H1077,MATCH(Controls!$B$5,A899:A1077,1)+23),NA())</f>
        <v>#N/A</v>
      </c>
      <c r="AA922" t="e" cm="1">
        <f t="array" ref="AA922">IF(23&lt;Controls!$B$7,INDEX(M899:M1077,MATCH(Controls!$B$5,A899:A1077,1)+23)*INDEX(I899:I1077,MATCH(Controls!$B$5,A899:A1077,1)+23),NA())</f>
        <v>#N/A</v>
      </c>
      <c r="AB922">
        <f t="shared" si="104"/>
        <v>93.800000000000011</v>
      </c>
    </row>
    <row r="923" spans="1:28" ht="13" customHeight="1" x14ac:dyDescent="0.35">
      <c r="A923" s="153">
        <v>46784</v>
      </c>
      <c r="B923" s="36" t="s">
        <v>50</v>
      </c>
      <c r="C923" s="15" t="s">
        <v>52</v>
      </c>
      <c r="D923" s="15" t="s">
        <v>48</v>
      </c>
      <c r="E923" s="30">
        <f>H922</f>
        <v>177.28999999999996</v>
      </c>
      <c r="F923" s="37">
        <f>IFERROR('Production Inputs'!$AJ$37*Dependencies!$D$11,0)</f>
        <v>0</v>
      </c>
      <c r="G923" s="37">
        <f t="array" ref="G923">IFERROR(SUMPRODUCT(('Production Inputs'!$A:$A="LLPS")*('Production Inputs'!$B:$B="TOTAL ACTIVE")*'Production Inputs'!$AJ:$AJ),0)</f>
        <v>0</v>
      </c>
      <c r="H923" s="30">
        <f t="shared" si="102"/>
        <v>177.28999999999996</v>
      </c>
      <c r="I923" s="30">
        <f ca="1">IFERROR(AVERAGEIF(OFFSET(F923,0,0,MIN(Controls!$B$8,COUNTIF(B923:B$1973,B923)),1),"&gt;"&amp;0),0)</f>
        <v>0</v>
      </c>
      <c r="J923" s="38">
        <f t="shared" ca="1" si="98"/>
        <v>999</v>
      </c>
      <c r="K923" s="30">
        <f t="shared" ca="1" si="103"/>
        <v>0</v>
      </c>
      <c r="L923" t="str">
        <f t="shared" ca="1" si="99"/>
        <v>Overstock</v>
      </c>
      <c r="M923" s="39">
        <f>IFERROR(VLOOKUP("LLPS",Controls!A:I,7,0),6)</f>
        <v>4</v>
      </c>
      <c r="N923" s="39">
        <f>IFERROR(VLOOKUP("LLPS",Controls!A:I,8,0),3)</f>
        <v>3</v>
      </c>
      <c r="O923" s="39">
        <f>IFERROR(VLOOKUP("LLPS",Controls!A:I,9,0),18)</f>
        <v>12</v>
      </c>
      <c r="P923" s="40">
        <f>IFERROR(VLOOKUP("LLPS",Controls!A:J,5,0),0)</f>
        <v>5</v>
      </c>
      <c r="Q923" s="39">
        <f>IFERROR(VLOOKUP("LLPS",Controls!A:J,6,0),3)</f>
        <v>4</v>
      </c>
      <c r="R923" s="21" t="str">
        <f>IFERROR(VLOOKUP("LLPS",Controls!A:K,10,0),"")</f>
        <v>Kinovate</v>
      </c>
      <c r="S923" s="41">
        <f t="shared" si="100"/>
        <v>46661</v>
      </c>
      <c r="T923" s="30">
        <f t="shared" si="101"/>
        <v>0</v>
      </c>
      <c r="W923" s="205" t="e" cm="1">
        <f t="array" ref="W923">IF(24&lt;Controls!$B$7,INDEX(A899:A1077,MATCH(Controls!$B$5,A899:A1077,1)+24),NA())</f>
        <v>#N/A</v>
      </c>
      <c r="X923" t="e" cm="1">
        <f t="array" ref="X923">IF(24&lt;Controls!$B$7,INDEX(F899:F1077,MATCH(Controls!$B$5,A899:A1077,1)+24),NA())</f>
        <v>#N/A</v>
      </c>
      <c r="Y923" t="e" cm="1">
        <f t="array" ref="Y923">IF(24&lt;Controls!$B$7,INDEX(G899:G1077,MATCH(Controls!$B$5,A899:A1077,1)+24),NA())</f>
        <v>#N/A</v>
      </c>
      <c r="Z923" t="e" cm="1">
        <f t="array" ref="Z923">IF(24&lt;Controls!$B$7,INDEX(H899:H1077,MATCH(Controls!$B$5,A899:A1077,1)+24),NA())</f>
        <v>#N/A</v>
      </c>
      <c r="AA923" t="e" cm="1">
        <f t="array" ref="AA923">IF(24&lt;Controls!$B$7,INDEX(M899:M1077,MATCH(Controls!$B$5,A899:A1077,1)+24)*INDEX(I899:I1077,MATCH(Controls!$B$5,A899:A1077,1)+24),NA())</f>
        <v>#N/A</v>
      </c>
      <c r="AB923">
        <f t="shared" si="104"/>
        <v>93.800000000000011</v>
      </c>
    </row>
    <row r="924" spans="1:28" ht="13" customHeight="1" x14ac:dyDescent="0.35">
      <c r="A924" s="153">
        <v>46813</v>
      </c>
      <c r="B924" s="36" t="s">
        <v>50</v>
      </c>
      <c r="C924" s="15" t="s">
        <v>52</v>
      </c>
      <c r="D924" s="15" t="s">
        <v>48</v>
      </c>
      <c r="E924" s="30">
        <f>H923</f>
        <v>177.28999999999996</v>
      </c>
      <c r="F924" s="37">
        <f>IFERROR('Production Inputs'!$AK$37*Dependencies!$D$11,0)</f>
        <v>0</v>
      </c>
      <c r="G924" s="37">
        <f t="array" ref="G924">IFERROR(SUMPRODUCT(('Production Inputs'!$A:$A="LLPS")*('Production Inputs'!$B:$B="TOTAL ACTIVE")*'Production Inputs'!$AK:$AK),0)</f>
        <v>0</v>
      </c>
      <c r="H924" s="30">
        <f t="shared" si="102"/>
        <v>177.28999999999996</v>
      </c>
      <c r="I924" s="30">
        <f ca="1">IFERROR(AVERAGEIF(OFFSET(F924,0,0,MIN(Controls!$B$8,COUNTIF(B924:B$1973,B924)),1),"&gt;"&amp;0),0)</f>
        <v>0</v>
      </c>
      <c r="J924" s="38">
        <f t="shared" ca="1" si="98"/>
        <v>999</v>
      </c>
      <c r="K924" s="30">
        <f t="shared" ca="1" si="103"/>
        <v>0</v>
      </c>
      <c r="L924" t="str">
        <f t="shared" ca="1" si="99"/>
        <v>Overstock</v>
      </c>
      <c r="M924" s="39">
        <f>IFERROR(VLOOKUP("LLPS",Controls!A:I,7,0),6)</f>
        <v>4</v>
      </c>
      <c r="N924" s="39">
        <f>IFERROR(VLOOKUP("LLPS",Controls!A:I,8,0),3)</f>
        <v>3</v>
      </c>
      <c r="O924" s="39">
        <f>IFERROR(VLOOKUP("LLPS",Controls!A:I,9,0),18)</f>
        <v>12</v>
      </c>
      <c r="P924" s="40">
        <f>IFERROR(VLOOKUP("LLPS",Controls!A:J,5,0),0)</f>
        <v>5</v>
      </c>
      <c r="Q924" s="39">
        <f>IFERROR(VLOOKUP("LLPS",Controls!A:J,6,0),3)</f>
        <v>4</v>
      </c>
      <c r="R924" s="21" t="str">
        <f>IFERROR(VLOOKUP("LLPS",Controls!A:K,10,0),"")</f>
        <v>Kinovate</v>
      </c>
      <c r="S924" s="41">
        <f t="shared" si="100"/>
        <v>46692</v>
      </c>
      <c r="T924" s="30">
        <f t="shared" si="101"/>
        <v>0</v>
      </c>
      <c r="W924" s="205" t="e" cm="1">
        <f t="array" ref="W924">IF(25&lt;Controls!$B$7,INDEX(A899:A1077,MATCH(Controls!$B$5,A899:A1077,1)+25),NA())</f>
        <v>#N/A</v>
      </c>
      <c r="X924" t="e" cm="1">
        <f t="array" ref="X924">IF(25&lt;Controls!$B$7,INDEX(F899:F1077,MATCH(Controls!$B$5,A899:A1077,1)+25),NA())</f>
        <v>#N/A</v>
      </c>
      <c r="Y924" t="e" cm="1">
        <f t="array" ref="Y924">IF(25&lt;Controls!$B$7,INDEX(G899:G1077,MATCH(Controls!$B$5,A899:A1077,1)+25),NA())</f>
        <v>#N/A</v>
      </c>
      <c r="Z924" t="e" cm="1">
        <f t="array" ref="Z924">IF(25&lt;Controls!$B$7,INDEX(H899:H1077,MATCH(Controls!$B$5,A899:A1077,1)+25),NA())</f>
        <v>#N/A</v>
      </c>
      <c r="AA924" t="e" cm="1">
        <f t="array" ref="AA924">IF(25&lt;Controls!$B$7,INDEX(M899:M1077,MATCH(Controls!$B$5,A899:A1077,1)+25)*INDEX(I899:I1077,MATCH(Controls!$B$5,A899:A1077,1)+25),NA())</f>
        <v>#N/A</v>
      </c>
      <c r="AB924">
        <f t="shared" si="104"/>
        <v>93.800000000000011</v>
      </c>
    </row>
    <row r="925" spans="1:28" ht="13" customHeight="1" x14ac:dyDescent="0.35">
      <c r="A925" s="153">
        <v>46844</v>
      </c>
      <c r="B925" s="36" t="s">
        <v>50</v>
      </c>
      <c r="C925" s="15" t="s">
        <v>52</v>
      </c>
      <c r="D925" s="15" t="s">
        <v>48</v>
      </c>
      <c r="E925" s="30">
        <f>H924</f>
        <v>177.28999999999996</v>
      </c>
      <c r="F925" s="37">
        <f>IFERROR('Production Inputs'!$AL$37*Dependencies!$D$11,0)</f>
        <v>0</v>
      </c>
      <c r="G925" s="37">
        <f t="array" ref="G925">IFERROR(SUMPRODUCT(('Production Inputs'!$A:$A="LLPS")*('Production Inputs'!$B:$B="TOTAL ACTIVE")*'Production Inputs'!$AL:$AL),0)</f>
        <v>0</v>
      </c>
      <c r="H925" s="30">
        <f t="shared" si="102"/>
        <v>177.28999999999996</v>
      </c>
      <c r="I925" s="30">
        <f ca="1">IFERROR(AVERAGEIF(OFFSET(F925,0,0,MIN(Controls!$B$8,COUNTIF(B925:B$1973,B925)),1),"&gt;"&amp;0),0)</f>
        <v>0</v>
      </c>
      <c r="J925" s="38">
        <f t="shared" ca="1" si="98"/>
        <v>999</v>
      </c>
      <c r="K925" s="30">
        <f t="shared" ca="1" si="103"/>
        <v>0</v>
      </c>
      <c r="L925" t="str">
        <f t="shared" ca="1" si="99"/>
        <v>Overstock</v>
      </c>
      <c r="M925" s="39">
        <f>IFERROR(VLOOKUP("LLPS",Controls!A:I,7,0),6)</f>
        <v>4</v>
      </c>
      <c r="N925" s="39">
        <f>IFERROR(VLOOKUP("LLPS",Controls!A:I,8,0),3)</f>
        <v>3</v>
      </c>
      <c r="O925" s="39">
        <f>IFERROR(VLOOKUP("LLPS",Controls!A:I,9,0),18)</f>
        <v>12</v>
      </c>
      <c r="P925" s="40">
        <f>IFERROR(VLOOKUP("LLPS",Controls!A:J,5,0),0)</f>
        <v>5</v>
      </c>
      <c r="Q925" s="39">
        <f>IFERROR(VLOOKUP("LLPS",Controls!A:J,6,0),3)</f>
        <v>4</v>
      </c>
      <c r="R925" s="21" t="str">
        <f>IFERROR(VLOOKUP("LLPS",Controls!A:K,10,0),"")</f>
        <v>Kinovate</v>
      </c>
      <c r="S925" s="41">
        <f t="shared" si="100"/>
        <v>46722</v>
      </c>
      <c r="T925" s="30">
        <f t="shared" si="101"/>
        <v>0</v>
      </c>
      <c r="W925" s="205" t="e" cm="1">
        <f t="array" ref="W925">IF(26&lt;Controls!$B$7,INDEX(A899:A1077,MATCH(Controls!$B$5,A899:A1077,1)+26),NA())</f>
        <v>#N/A</v>
      </c>
      <c r="X925" t="e" cm="1">
        <f t="array" ref="X925">IF(26&lt;Controls!$B$7,INDEX(F899:F1077,MATCH(Controls!$B$5,A899:A1077,1)+26),NA())</f>
        <v>#N/A</v>
      </c>
      <c r="Y925" t="e" cm="1">
        <f t="array" ref="Y925">IF(26&lt;Controls!$B$7,INDEX(G899:G1077,MATCH(Controls!$B$5,A899:A1077,1)+26),NA())</f>
        <v>#N/A</v>
      </c>
      <c r="Z925" t="e" cm="1">
        <f t="array" ref="Z925">IF(26&lt;Controls!$B$7,INDEX(H899:H1077,MATCH(Controls!$B$5,A899:A1077,1)+26),NA())</f>
        <v>#N/A</v>
      </c>
      <c r="AA925" t="e" cm="1">
        <f t="array" ref="AA925">IF(26&lt;Controls!$B$7,INDEX(M899:M1077,MATCH(Controls!$B$5,A899:A1077,1)+26)*INDEX(I899:I1077,MATCH(Controls!$B$5,A899:A1077,1)+26),NA())</f>
        <v>#N/A</v>
      </c>
      <c r="AB925">
        <f t="shared" si="104"/>
        <v>93.800000000000011</v>
      </c>
    </row>
    <row r="926" spans="1:28" ht="13" customHeight="1" x14ac:dyDescent="0.35">
      <c r="A926" s="153">
        <v>46874</v>
      </c>
      <c r="B926" s="36" t="s">
        <v>50</v>
      </c>
      <c r="C926" s="15" t="s">
        <v>52</v>
      </c>
      <c r="D926" s="15" t="s">
        <v>48</v>
      </c>
      <c r="E926" s="30">
        <f>H925</f>
        <v>177.28999999999996</v>
      </c>
      <c r="F926" s="37">
        <f>IFERROR('Production Inputs'!$AM$37*Dependencies!$D$11,0)</f>
        <v>0</v>
      </c>
      <c r="G926" s="37">
        <f t="array" ref="G926">IFERROR(SUMPRODUCT(('Production Inputs'!$A:$A="LLPS")*('Production Inputs'!$B:$B="TOTAL ACTIVE")*'Production Inputs'!$AM:$AM),0)</f>
        <v>0</v>
      </c>
      <c r="H926" s="30">
        <f t="shared" si="102"/>
        <v>177.28999999999996</v>
      </c>
      <c r="I926" s="30">
        <f ca="1">IFERROR(AVERAGEIF(OFFSET(F926,0,0,MIN(Controls!$B$8,COUNTIF(B926:B$1973,B926)),1),"&gt;"&amp;0),0)</f>
        <v>0</v>
      </c>
      <c r="J926" s="38">
        <f t="shared" ca="1" si="98"/>
        <v>999</v>
      </c>
      <c r="K926" s="30">
        <f t="shared" ca="1" si="103"/>
        <v>0</v>
      </c>
      <c r="L926" t="str">
        <f t="shared" ca="1" si="99"/>
        <v>Overstock</v>
      </c>
      <c r="M926" s="39">
        <f>IFERROR(VLOOKUP("LLPS",Controls!A:I,7,0),6)</f>
        <v>4</v>
      </c>
      <c r="N926" s="39">
        <f>IFERROR(VLOOKUP("LLPS",Controls!A:I,8,0),3)</f>
        <v>3</v>
      </c>
      <c r="O926" s="39">
        <f>IFERROR(VLOOKUP("LLPS",Controls!A:I,9,0),18)</f>
        <v>12</v>
      </c>
      <c r="P926" s="40">
        <f>IFERROR(VLOOKUP("LLPS",Controls!A:J,5,0),0)</f>
        <v>5</v>
      </c>
      <c r="Q926" s="39">
        <f>IFERROR(VLOOKUP("LLPS",Controls!A:J,6,0),3)</f>
        <v>4</v>
      </c>
      <c r="R926" s="21" t="str">
        <f>IFERROR(VLOOKUP("LLPS",Controls!A:K,10,0),"")</f>
        <v>Kinovate</v>
      </c>
      <c r="S926" s="41">
        <f t="shared" si="100"/>
        <v>46753</v>
      </c>
      <c r="T926" s="30">
        <f t="shared" si="101"/>
        <v>0</v>
      </c>
      <c r="W926" s="205" t="e" cm="1">
        <f t="array" ref="W926">IF(27&lt;Controls!$B$7,INDEX(A899:A1077,MATCH(Controls!$B$5,A899:A1077,1)+27),NA())</f>
        <v>#N/A</v>
      </c>
      <c r="X926" t="e" cm="1">
        <f t="array" ref="X926">IF(27&lt;Controls!$B$7,INDEX(F899:F1077,MATCH(Controls!$B$5,A899:A1077,1)+27),NA())</f>
        <v>#N/A</v>
      </c>
      <c r="Y926" t="e" cm="1">
        <f t="array" ref="Y926">IF(27&lt;Controls!$B$7,INDEX(G899:G1077,MATCH(Controls!$B$5,A899:A1077,1)+27),NA())</f>
        <v>#N/A</v>
      </c>
      <c r="Z926" t="e" cm="1">
        <f t="array" ref="Z926">IF(27&lt;Controls!$B$7,INDEX(H899:H1077,MATCH(Controls!$B$5,A899:A1077,1)+27),NA())</f>
        <v>#N/A</v>
      </c>
      <c r="AA926" t="e" cm="1">
        <f t="array" ref="AA926">IF(27&lt;Controls!$B$7,INDEX(M899:M1077,MATCH(Controls!$B$5,A899:A1077,1)+27)*INDEX(I899:I1077,MATCH(Controls!$B$5,A899:A1077,1)+27),NA())</f>
        <v>#N/A</v>
      </c>
      <c r="AB926">
        <f t="shared" si="104"/>
        <v>93.800000000000011</v>
      </c>
    </row>
    <row r="927" spans="1:28" ht="13" customHeight="1" x14ac:dyDescent="0.35">
      <c r="A927" s="153">
        <v>46905</v>
      </c>
      <c r="B927" s="36" t="s">
        <v>50</v>
      </c>
      <c r="C927" s="15" t="s">
        <v>52</v>
      </c>
      <c r="D927" s="15" t="s">
        <v>48</v>
      </c>
      <c r="E927" s="30">
        <f>H926</f>
        <v>177.28999999999996</v>
      </c>
      <c r="F927" s="37">
        <f>IFERROR('Production Inputs'!$AN$37*Dependencies!$D$11,0)</f>
        <v>0</v>
      </c>
      <c r="G927" s="37">
        <f t="array" ref="G927">IFERROR(SUMPRODUCT(('Production Inputs'!$A:$A="LLPS")*('Production Inputs'!$B:$B="TOTAL ACTIVE")*'Production Inputs'!$AN:$AN),0)</f>
        <v>0</v>
      </c>
      <c r="H927" s="30">
        <f t="shared" si="102"/>
        <v>177.28999999999996</v>
      </c>
      <c r="I927" s="30">
        <f ca="1">IFERROR(AVERAGEIF(OFFSET(F927,0,0,MIN(Controls!$B$8,COUNTIF(B927:B$1973,B927)),1),"&gt;"&amp;0),0)</f>
        <v>0</v>
      </c>
      <c r="J927" s="38">
        <f t="shared" ca="1" si="98"/>
        <v>999</v>
      </c>
      <c r="K927" s="30">
        <f t="shared" ca="1" si="103"/>
        <v>0</v>
      </c>
      <c r="L927" t="str">
        <f t="shared" ca="1" si="99"/>
        <v>Overstock</v>
      </c>
      <c r="M927" s="39">
        <f>IFERROR(VLOOKUP("LLPS",Controls!A:I,7,0),6)</f>
        <v>4</v>
      </c>
      <c r="N927" s="39">
        <f>IFERROR(VLOOKUP("LLPS",Controls!A:I,8,0),3)</f>
        <v>3</v>
      </c>
      <c r="O927" s="39">
        <f>IFERROR(VLOOKUP("LLPS",Controls!A:I,9,0),18)</f>
        <v>12</v>
      </c>
      <c r="P927" s="40">
        <f>IFERROR(VLOOKUP("LLPS",Controls!A:J,5,0),0)</f>
        <v>5</v>
      </c>
      <c r="Q927" s="39">
        <f>IFERROR(VLOOKUP("LLPS",Controls!A:J,6,0),3)</f>
        <v>4</v>
      </c>
      <c r="R927" s="21" t="str">
        <f>IFERROR(VLOOKUP("LLPS",Controls!A:K,10,0),"")</f>
        <v>Kinovate</v>
      </c>
      <c r="S927" s="41">
        <f t="shared" si="100"/>
        <v>46784</v>
      </c>
      <c r="T927" s="30">
        <f t="shared" si="101"/>
        <v>0</v>
      </c>
      <c r="W927" s="205" t="e" cm="1">
        <f t="array" ref="W927">IF(28&lt;Controls!$B$7,INDEX(A899:A1077,MATCH(Controls!$B$5,A899:A1077,1)+28),NA())</f>
        <v>#N/A</v>
      </c>
      <c r="X927" t="e" cm="1">
        <f t="array" ref="X927">IF(28&lt;Controls!$B$7,INDEX(F899:F1077,MATCH(Controls!$B$5,A899:A1077,1)+28),NA())</f>
        <v>#N/A</v>
      </c>
      <c r="Y927" t="e" cm="1">
        <f t="array" ref="Y927">IF(28&lt;Controls!$B$7,INDEX(G899:G1077,MATCH(Controls!$B$5,A899:A1077,1)+28),NA())</f>
        <v>#N/A</v>
      </c>
      <c r="Z927" t="e" cm="1">
        <f t="array" ref="Z927">IF(28&lt;Controls!$B$7,INDEX(H899:H1077,MATCH(Controls!$B$5,A899:A1077,1)+28),NA())</f>
        <v>#N/A</v>
      </c>
      <c r="AA927" t="e" cm="1">
        <f t="array" ref="AA927">IF(28&lt;Controls!$B$7,INDEX(M899:M1077,MATCH(Controls!$B$5,A899:A1077,1)+28)*INDEX(I899:I1077,MATCH(Controls!$B$5,A899:A1077,1)+28),NA())</f>
        <v>#N/A</v>
      </c>
      <c r="AB927">
        <f t="shared" si="104"/>
        <v>93.800000000000011</v>
      </c>
    </row>
    <row r="928" spans="1:28" ht="13" customHeight="1" x14ac:dyDescent="0.35">
      <c r="A928" s="153">
        <v>46935</v>
      </c>
      <c r="B928" s="36" t="s">
        <v>50</v>
      </c>
      <c r="C928" s="15" t="s">
        <v>52</v>
      </c>
      <c r="D928" s="15" t="s">
        <v>48</v>
      </c>
      <c r="E928" s="30">
        <f>H927</f>
        <v>177.28999999999996</v>
      </c>
      <c r="F928" s="37">
        <f>IFERROR('Production Inputs'!$AO$37*Dependencies!$D$11,0)</f>
        <v>0</v>
      </c>
      <c r="G928" s="37">
        <f t="array" ref="G928">IFERROR(SUMPRODUCT(('Production Inputs'!$A:$A="LLPS")*('Production Inputs'!$B:$B="TOTAL ACTIVE")*'Production Inputs'!$AO:$AO),0)</f>
        <v>0</v>
      </c>
      <c r="H928" s="30">
        <f t="shared" si="102"/>
        <v>177.28999999999996</v>
      </c>
      <c r="I928" s="30">
        <f ca="1">IFERROR(AVERAGEIF(OFFSET(F928,0,0,MIN(Controls!$B$8,COUNTIF(B928:B$1973,B928)),1),"&gt;"&amp;0),0)</f>
        <v>0</v>
      </c>
      <c r="J928" s="38">
        <f t="shared" ca="1" si="98"/>
        <v>999</v>
      </c>
      <c r="K928" s="30">
        <f t="shared" ca="1" si="103"/>
        <v>0</v>
      </c>
      <c r="L928" t="str">
        <f t="shared" ca="1" si="99"/>
        <v>Overstock</v>
      </c>
      <c r="M928" s="39">
        <f>IFERROR(VLOOKUP("LLPS",Controls!A:I,7,0),6)</f>
        <v>4</v>
      </c>
      <c r="N928" s="39">
        <f>IFERROR(VLOOKUP("LLPS",Controls!A:I,8,0),3)</f>
        <v>3</v>
      </c>
      <c r="O928" s="39">
        <f>IFERROR(VLOOKUP("LLPS",Controls!A:I,9,0),18)</f>
        <v>12</v>
      </c>
      <c r="P928" s="40">
        <f>IFERROR(VLOOKUP("LLPS",Controls!A:J,5,0),0)</f>
        <v>5</v>
      </c>
      <c r="Q928" s="39">
        <f>IFERROR(VLOOKUP("LLPS",Controls!A:J,6,0),3)</f>
        <v>4</v>
      </c>
      <c r="R928" s="21" t="str">
        <f>IFERROR(VLOOKUP("LLPS",Controls!A:K,10,0),"")</f>
        <v>Kinovate</v>
      </c>
      <c r="S928" s="41">
        <f t="shared" si="100"/>
        <v>46813</v>
      </c>
      <c r="T928" s="30">
        <f t="shared" si="101"/>
        <v>0</v>
      </c>
      <c r="W928" s="205" t="e" cm="1">
        <f t="array" ref="W928">IF(29&lt;Controls!$B$7,INDEX(A899:A1077,MATCH(Controls!$B$5,A899:A1077,1)+29),NA())</f>
        <v>#N/A</v>
      </c>
      <c r="X928" t="e" cm="1">
        <f t="array" ref="X928">IF(29&lt;Controls!$B$7,INDEX(F899:F1077,MATCH(Controls!$B$5,A899:A1077,1)+29),NA())</f>
        <v>#N/A</v>
      </c>
      <c r="Y928" t="e" cm="1">
        <f t="array" ref="Y928">IF(29&lt;Controls!$B$7,INDEX(G899:G1077,MATCH(Controls!$B$5,A899:A1077,1)+29),NA())</f>
        <v>#N/A</v>
      </c>
      <c r="Z928" t="e" cm="1">
        <f t="array" ref="Z928">IF(29&lt;Controls!$B$7,INDEX(H899:H1077,MATCH(Controls!$B$5,A899:A1077,1)+29),NA())</f>
        <v>#N/A</v>
      </c>
      <c r="AA928" t="e" cm="1">
        <f t="array" ref="AA928">IF(29&lt;Controls!$B$7,INDEX(M899:M1077,MATCH(Controls!$B$5,A899:A1077,1)+29)*INDEX(I899:I1077,MATCH(Controls!$B$5,A899:A1077,1)+29),NA())</f>
        <v>#N/A</v>
      </c>
      <c r="AB928">
        <f t="shared" si="104"/>
        <v>93.800000000000011</v>
      </c>
    </row>
    <row r="929" spans="1:28" ht="13" customHeight="1" x14ac:dyDescent="0.35">
      <c r="A929" s="153">
        <v>46966</v>
      </c>
      <c r="B929" s="36" t="s">
        <v>50</v>
      </c>
      <c r="C929" s="15" t="s">
        <v>52</v>
      </c>
      <c r="D929" s="15" t="s">
        <v>48</v>
      </c>
      <c r="E929" s="30">
        <f>H928</f>
        <v>177.28999999999996</v>
      </c>
      <c r="F929" s="37">
        <f>IFERROR('Production Inputs'!$AP$37*Dependencies!$D$11,0)</f>
        <v>0</v>
      </c>
      <c r="G929" s="37">
        <f t="array" ref="G929">IFERROR(SUMPRODUCT(('Production Inputs'!$A:$A="LLPS")*('Production Inputs'!$B:$B="TOTAL ACTIVE")*'Production Inputs'!$AP:$AP),0)</f>
        <v>0</v>
      </c>
      <c r="H929" s="30">
        <f t="shared" si="102"/>
        <v>177.28999999999996</v>
      </c>
      <c r="I929" s="30">
        <f ca="1">IFERROR(AVERAGEIF(OFFSET(F929,0,0,MIN(Controls!$B$8,COUNTIF(B929:B$1973,B929)),1),"&gt;"&amp;0),0)</f>
        <v>0</v>
      </c>
      <c r="J929" s="38">
        <f t="shared" ca="1" si="98"/>
        <v>999</v>
      </c>
      <c r="K929" s="30">
        <f t="shared" ca="1" si="103"/>
        <v>0</v>
      </c>
      <c r="L929" t="str">
        <f t="shared" ca="1" si="99"/>
        <v>Overstock</v>
      </c>
      <c r="M929" s="39">
        <f>IFERROR(VLOOKUP("LLPS",Controls!A:I,7,0),6)</f>
        <v>4</v>
      </c>
      <c r="N929" s="39">
        <f>IFERROR(VLOOKUP("LLPS",Controls!A:I,8,0),3)</f>
        <v>3</v>
      </c>
      <c r="O929" s="39">
        <f>IFERROR(VLOOKUP("LLPS",Controls!A:I,9,0),18)</f>
        <v>12</v>
      </c>
      <c r="P929" s="40">
        <f>IFERROR(VLOOKUP("LLPS",Controls!A:J,5,0),0)</f>
        <v>5</v>
      </c>
      <c r="Q929" s="39">
        <f>IFERROR(VLOOKUP("LLPS",Controls!A:J,6,0),3)</f>
        <v>4</v>
      </c>
      <c r="R929" s="21" t="str">
        <f>IFERROR(VLOOKUP("LLPS",Controls!A:K,10,0),"")</f>
        <v>Kinovate</v>
      </c>
      <c r="S929" s="41">
        <f t="shared" si="100"/>
        <v>46844</v>
      </c>
      <c r="T929" s="30">
        <f t="shared" si="101"/>
        <v>0</v>
      </c>
      <c r="W929" s="205" t="e" cm="1">
        <f t="array" ref="W929">IF(30&lt;Controls!$B$7,INDEX(A899:A1077,MATCH(Controls!$B$5,A899:A1077,1)+30),NA())</f>
        <v>#N/A</v>
      </c>
      <c r="X929" t="e" cm="1">
        <f t="array" ref="X929">IF(30&lt;Controls!$B$7,INDEX(F899:F1077,MATCH(Controls!$B$5,A899:A1077,1)+30),NA())</f>
        <v>#N/A</v>
      </c>
      <c r="Y929" t="e" cm="1">
        <f t="array" ref="Y929">IF(30&lt;Controls!$B$7,INDEX(G899:G1077,MATCH(Controls!$B$5,A899:A1077,1)+30),NA())</f>
        <v>#N/A</v>
      </c>
      <c r="Z929" t="e" cm="1">
        <f t="array" ref="Z929">IF(30&lt;Controls!$B$7,INDEX(H899:H1077,MATCH(Controls!$B$5,A899:A1077,1)+30),NA())</f>
        <v>#N/A</v>
      </c>
      <c r="AA929" t="e" cm="1">
        <f t="array" ref="AA929">IF(30&lt;Controls!$B$7,INDEX(M899:M1077,MATCH(Controls!$B$5,A899:A1077,1)+30)*INDEX(I899:I1077,MATCH(Controls!$B$5,A899:A1077,1)+30),NA())</f>
        <v>#N/A</v>
      </c>
      <c r="AB929">
        <f t="shared" si="104"/>
        <v>93.800000000000011</v>
      </c>
    </row>
    <row r="930" spans="1:28" ht="13" customHeight="1" x14ac:dyDescent="0.35">
      <c r="A930" s="153">
        <v>46997</v>
      </c>
      <c r="B930" s="36" t="s">
        <v>50</v>
      </c>
      <c r="C930" s="15" t="s">
        <v>52</v>
      </c>
      <c r="D930" s="15" t="s">
        <v>48</v>
      </c>
      <c r="E930" s="30">
        <f>H929</f>
        <v>177.28999999999996</v>
      </c>
      <c r="F930" s="37">
        <f>IFERROR('Production Inputs'!$AQ$37*Dependencies!$D$11,0)</f>
        <v>0</v>
      </c>
      <c r="G930" s="37">
        <f t="array" ref="G930">IFERROR(SUMPRODUCT(('Production Inputs'!$A:$A="LLPS")*('Production Inputs'!$B:$B="TOTAL ACTIVE")*'Production Inputs'!$AQ:$AQ),0)</f>
        <v>0</v>
      </c>
      <c r="H930" s="30">
        <f t="shared" si="102"/>
        <v>177.28999999999996</v>
      </c>
      <c r="I930" s="30">
        <f ca="1">IFERROR(AVERAGEIF(OFFSET(F930,0,0,MIN(Controls!$B$8,COUNTIF(B930:B$1973,B930)),1),"&gt;"&amp;0),0)</f>
        <v>0</v>
      </c>
      <c r="J930" s="38">
        <f t="shared" ca="1" si="98"/>
        <v>999</v>
      </c>
      <c r="K930" s="30">
        <f t="shared" ca="1" si="103"/>
        <v>0</v>
      </c>
      <c r="L930" t="str">
        <f t="shared" ca="1" si="99"/>
        <v>Overstock</v>
      </c>
      <c r="M930" s="39">
        <f>IFERROR(VLOOKUP("LLPS",Controls!A:I,7,0),6)</f>
        <v>4</v>
      </c>
      <c r="N930" s="39">
        <f>IFERROR(VLOOKUP("LLPS",Controls!A:I,8,0),3)</f>
        <v>3</v>
      </c>
      <c r="O930" s="39">
        <f>IFERROR(VLOOKUP("LLPS",Controls!A:I,9,0),18)</f>
        <v>12</v>
      </c>
      <c r="P930" s="40">
        <f>IFERROR(VLOOKUP("LLPS",Controls!A:J,5,0),0)</f>
        <v>5</v>
      </c>
      <c r="Q930" s="39">
        <f>IFERROR(VLOOKUP("LLPS",Controls!A:J,6,0),3)</f>
        <v>4</v>
      </c>
      <c r="R930" s="21" t="str">
        <f>IFERROR(VLOOKUP("LLPS",Controls!A:K,10,0),"")</f>
        <v>Kinovate</v>
      </c>
      <c r="S930" s="41">
        <f t="shared" si="100"/>
        <v>46874</v>
      </c>
      <c r="T930" s="30">
        <f t="shared" si="101"/>
        <v>0</v>
      </c>
      <c r="W930" s="205" t="e" cm="1">
        <f t="array" ref="W930">IF(31&lt;Controls!$B$7,INDEX(A899:A1077,MATCH(Controls!$B$5,A899:A1077,1)+31),NA())</f>
        <v>#N/A</v>
      </c>
      <c r="X930" t="e" cm="1">
        <f t="array" ref="X930">IF(31&lt;Controls!$B$7,INDEX(F899:F1077,MATCH(Controls!$B$5,A899:A1077,1)+31),NA())</f>
        <v>#N/A</v>
      </c>
      <c r="Y930" t="e" cm="1">
        <f t="array" ref="Y930">IF(31&lt;Controls!$B$7,INDEX(G899:G1077,MATCH(Controls!$B$5,A899:A1077,1)+31),NA())</f>
        <v>#N/A</v>
      </c>
      <c r="Z930" t="e" cm="1">
        <f t="array" ref="Z930">IF(31&lt;Controls!$B$7,INDEX(H899:H1077,MATCH(Controls!$B$5,A899:A1077,1)+31),NA())</f>
        <v>#N/A</v>
      </c>
      <c r="AA930" t="e" cm="1">
        <f t="array" ref="AA930">IF(31&lt;Controls!$B$7,INDEX(M899:M1077,MATCH(Controls!$B$5,A899:A1077,1)+31)*INDEX(I899:I1077,MATCH(Controls!$B$5,A899:A1077,1)+31),NA())</f>
        <v>#N/A</v>
      </c>
      <c r="AB930">
        <f t="shared" si="104"/>
        <v>93.800000000000011</v>
      </c>
    </row>
    <row r="931" spans="1:28" ht="13" customHeight="1" x14ac:dyDescent="0.35">
      <c r="A931" s="153">
        <v>47027</v>
      </c>
      <c r="B931" s="36" t="s">
        <v>50</v>
      </c>
      <c r="C931" s="15" t="s">
        <v>52</v>
      </c>
      <c r="D931" s="15" t="s">
        <v>48</v>
      </c>
      <c r="E931" s="30">
        <f>H930</f>
        <v>177.28999999999996</v>
      </c>
      <c r="F931" s="37">
        <f>IFERROR('Production Inputs'!$AR$37*Dependencies!$D$11,0)</f>
        <v>0</v>
      </c>
      <c r="G931" s="37">
        <f t="array" ref="G931">IFERROR(SUMPRODUCT(('Production Inputs'!$A:$A="LLPS")*('Production Inputs'!$B:$B="TOTAL ACTIVE")*'Production Inputs'!$AR:$AR),0)</f>
        <v>0</v>
      </c>
      <c r="H931" s="30">
        <f t="shared" si="102"/>
        <v>177.28999999999996</v>
      </c>
      <c r="I931" s="30">
        <f ca="1">IFERROR(AVERAGEIF(OFFSET(F931,0,0,MIN(Controls!$B$8,COUNTIF(B931:B$1973,B931)),1),"&gt;"&amp;0),0)</f>
        <v>0</v>
      </c>
      <c r="J931" s="38">
        <f t="shared" ca="1" si="98"/>
        <v>999</v>
      </c>
      <c r="K931" s="30">
        <f t="shared" ca="1" si="103"/>
        <v>0</v>
      </c>
      <c r="L931" t="str">
        <f t="shared" ca="1" si="99"/>
        <v>Overstock</v>
      </c>
      <c r="M931" s="39">
        <f>IFERROR(VLOOKUP("LLPS",Controls!A:I,7,0),6)</f>
        <v>4</v>
      </c>
      <c r="N931" s="39">
        <f>IFERROR(VLOOKUP("LLPS",Controls!A:I,8,0),3)</f>
        <v>3</v>
      </c>
      <c r="O931" s="39">
        <f>IFERROR(VLOOKUP("LLPS",Controls!A:I,9,0),18)</f>
        <v>12</v>
      </c>
      <c r="P931" s="40">
        <f>IFERROR(VLOOKUP("LLPS",Controls!A:J,5,0),0)</f>
        <v>5</v>
      </c>
      <c r="Q931" s="39">
        <f>IFERROR(VLOOKUP("LLPS",Controls!A:J,6,0),3)</f>
        <v>4</v>
      </c>
      <c r="R931" s="21" t="str">
        <f>IFERROR(VLOOKUP("LLPS",Controls!A:K,10,0),"")</f>
        <v>Kinovate</v>
      </c>
      <c r="S931" s="41">
        <f t="shared" si="100"/>
        <v>46905</v>
      </c>
      <c r="T931" s="30">
        <f t="shared" si="101"/>
        <v>0</v>
      </c>
      <c r="W931" s="205" t="e" cm="1">
        <f t="array" ref="W931">IF(32&lt;Controls!$B$7,INDEX(A899:A1077,MATCH(Controls!$B$5,A899:A1077,1)+32),NA())</f>
        <v>#N/A</v>
      </c>
      <c r="X931" t="e" cm="1">
        <f t="array" ref="X931">IF(32&lt;Controls!$B$7,INDEX(F899:F1077,MATCH(Controls!$B$5,A899:A1077,1)+32),NA())</f>
        <v>#N/A</v>
      </c>
      <c r="Y931" t="e" cm="1">
        <f t="array" ref="Y931">IF(32&lt;Controls!$B$7,INDEX(G899:G1077,MATCH(Controls!$B$5,A899:A1077,1)+32),NA())</f>
        <v>#N/A</v>
      </c>
      <c r="Z931" t="e" cm="1">
        <f t="array" ref="Z931">IF(32&lt;Controls!$B$7,INDEX(H899:H1077,MATCH(Controls!$B$5,A899:A1077,1)+32),NA())</f>
        <v>#N/A</v>
      </c>
      <c r="AA931" t="e" cm="1">
        <f t="array" ref="AA931">IF(32&lt;Controls!$B$7,INDEX(M899:M1077,MATCH(Controls!$B$5,A899:A1077,1)+32)*INDEX(I899:I1077,MATCH(Controls!$B$5,A899:A1077,1)+32),NA())</f>
        <v>#N/A</v>
      </c>
      <c r="AB931">
        <f t="shared" si="104"/>
        <v>93.800000000000011</v>
      </c>
    </row>
    <row r="932" spans="1:28" ht="13" customHeight="1" x14ac:dyDescent="0.35">
      <c r="A932" s="153">
        <v>47058</v>
      </c>
      <c r="B932" s="36" t="s">
        <v>50</v>
      </c>
      <c r="C932" s="15" t="s">
        <v>52</v>
      </c>
      <c r="D932" s="15" t="s">
        <v>48</v>
      </c>
      <c r="E932" s="30">
        <f>H931</f>
        <v>177.28999999999996</v>
      </c>
      <c r="F932" s="37">
        <f>IFERROR('Production Inputs'!$AS$37*Dependencies!$D$11,0)</f>
        <v>0</v>
      </c>
      <c r="G932" s="37">
        <f t="array" ref="G932">IFERROR(SUMPRODUCT(('Production Inputs'!$A:$A="LLPS")*('Production Inputs'!$B:$B="TOTAL ACTIVE")*'Production Inputs'!$AS:$AS),0)</f>
        <v>0</v>
      </c>
      <c r="H932" s="30">
        <f t="shared" si="102"/>
        <v>177.28999999999996</v>
      </c>
      <c r="I932" s="30">
        <f ca="1">IFERROR(AVERAGEIF(OFFSET(F932,0,0,MIN(Controls!$B$8,COUNTIF(B932:B$1973,B932)),1),"&gt;"&amp;0),0)</f>
        <v>0</v>
      </c>
      <c r="J932" s="38">
        <f t="shared" ca="1" si="98"/>
        <v>999</v>
      </c>
      <c r="K932" s="30">
        <f t="shared" ca="1" si="103"/>
        <v>0</v>
      </c>
      <c r="L932" t="str">
        <f t="shared" ca="1" si="99"/>
        <v>Overstock</v>
      </c>
      <c r="M932" s="39">
        <f>IFERROR(VLOOKUP("LLPS",Controls!A:I,7,0),6)</f>
        <v>4</v>
      </c>
      <c r="N932" s="39">
        <f>IFERROR(VLOOKUP("LLPS",Controls!A:I,8,0),3)</f>
        <v>3</v>
      </c>
      <c r="O932" s="39">
        <f>IFERROR(VLOOKUP("LLPS",Controls!A:I,9,0),18)</f>
        <v>12</v>
      </c>
      <c r="P932" s="40">
        <f>IFERROR(VLOOKUP("LLPS",Controls!A:J,5,0),0)</f>
        <v>5</v>
      </c>
      <c r="Q932" s="39">
        <f>IFERROR(VLOOKUP("LLPS",Controls!A:J,6,0),3)</f>
        <v>4</v>
      </c>
      <c r="R932" s="21" t="str">
        <f>IFERROR(VLOOKUP("LLPS",Controls!A:K,10,0),"")</f>
        <v>Kinovate</v>
      </c>
      <c r="S932" s="41">
        <f t="shared" si="100"/>
        <v>46935</v>
      </c>
      <c r="T932" s="30">
        <f t="shared" si="101"/>
        <v>0</v>
      </c>
      <c r="W932" s="205" t="e" cm="1">
        <f t="array" ref="W932">IF(33&lt;Controls!$B$7,INDEX(A899:A1077,MATCH(Controls!$B$5,A899:A1077,1)+33),NA())</f>
        <v>#N/A</v>
      </c>
      <c r="X932" t="e" cm="1">
        <f t="array" ref="X932">IF(33&lt;Controls!$B$7,INDEX(F899:F1077,MATCH(Controls!$B$5,A899:A1077,1)+33),NA())</f>
        <v>#N/A</v>
      </c>
      <c r="Y932" t="e" cm="1">
        <f t="array" ref="Y932">IF(33&lt;Controls!$B$7,INDEX(G899:G1077,MATCH(Controls!$B$5,A899:A1077,1)+33),NA())</f>
        <v>#N/A</v>
      </c>
      <c r="Z932" t="e" cm="1">
        <f t="array" ref="Z932">IF(33&lt;Controls!$B$7,INDEX(H899:H1077,MATCH(Controls!$B$5,A899:A1077,1)+33),NA())</f>
        <v>#N/A</v>
      </c>
      <c r="AA932" t="e" cm="1">
        <f t="array" ref="AA932">IF(33&lt;Controls!$B$7,INDEX(M899:M1077,MATCH(Controls!$B$5,A899:A1077,1)+33)*INDEX(I899:I1077,MATCH(Controls!$B$5,A899:A1077,1)+33),NA())</f>
        <v>#N/A</v>
      </c>
      <c r="AB932">
        <f t="shared" si="104"/>
        <v>93.800000000000011</v>
      </c>
    </row>
    <row r="933" spans="1:28" ht="13" customHeight="1" x14ac:dyDescent="0.35">
      <c r="A933" s="153">
        <v>47088</v>
      </c>
      <c r="B933" s="36" t="s">
        <v>50</v>
      </c>
      <c r="C933" s="15" t="s">
        <v>52</v>
      </c>
      <c r="D933" s="15" t="s">
        <v>48</v>
      </c>
      <c r="E933" s="30">
        <f>H932</f>
        <v>177.28999999999996</v>
      </c>
      <c r="F933" s="37">
        <f>IFERROR('Production Inputs'!$AT$37*Dependencies!$D$11,0)</f>
        <v>0</v>
      </c>
      <c r="G933" s="37">
        <f t="array" ref="G933">IFERROR(SUMPRODUCT(('Production Inputs'!$A:$A="LLPS")*('Production Inputs'!$B:$B="TOTAL ACTIVE")*'Production Inputs'!$AT:$AT),0)</f>
        <v>0</v>
      </c>
      <c r="H933" s="30">
        <f t="shared" si="102"/>
        <v>177.28999999999996</v>
      </c>
      <c r="I933" s="30">
        <f ca="1">IFERROR(AVERAGEIF(OFFSET(F933,0,0,MIN(Controls!$B$8,COUNTIF(B933:B$1973,B933)),1),"&gt;"&amp;0),0)</f>
        <v>0</v>
      </c>
      <c r="J933" s="38">
        <f t="shared" ca="1" si="98"/>
        <v>999</v>
      </c>
      <c r="K933" s="30">
        <f t="shared" ca="1" si="103"/>
        <v>0</v>
      </c>
      <c r="L933" t="str">
        <f t="shared" ca="1" si="99"/>
        <v>Overstock</v>
      </c>
      <c r="M933" s="39">
        <f>IFERROR(VLOOKUP("LLPS",Controls!A:I,7,0),6)</f>
        <v>4</v>
      </c>
      <c r="N933" s="39">
        <f>IFERROR(VLOOKUP("LLPS",Controls!A:I,8,0),3)</f>
        <v>3</v>
      </c>
      <c r="O933" s="39">
        <f>IFERROR(VLOOKUP("LLPS",Controls!A:I,9,0),18)</f>
        <v>12</v>
      </c>
      <c r="P933" s="40">
        <f>IFERROR(VLOOKUP("LLPS",Controls!A:J,5,0),0)</f>
        <v>5</v>
      </c>
      <c r="Q933" s="39">
        <f>IFERROR(VLOOKUP("LLPS",Controls!A:J,6,0),3)</f>
        <v>4</v>
      </c>
      <c r="R933" s="21" t="str">
        <f>IFERROR(VLOOKUP("LLPS",Controls!A:K,10,0),"")</f>
        <v>Kinovate</v>
      </c>
      <c r="S933" s="41">
        <f t="shared" si="100"/>
        <v>46966</v>
      </c>
      <c r="T933" s="30">
        <f t="shared" si="101"/>
        <v>0</v>
      </c>
      <c r="W933" s="205" t="e" cm="1">
        <f t="array" ref="W933">IF(34&lt;Controls!$B$7,INDEX(A899:A1077,MATCH(Controls!$B$5,A899:A1077,1)+34),NA())</f>
        <v>#N/A</v>
      </c>
      <c r="X933" t="e" cm="1">
        <f t="array" ref="X933">IF(34&lt;Controls!$B$7,INDEX(F899:F1077,MATCH(Controls!$B$5,A899:A1077,1)+34),NA())</f>
        <v>#N/A</v>
      </c>
      <c r="Y933" t="e" cm="1">
        <f t="array" ref="Y933">IF(34&lt;Controls!$B$7,INDEX(G899:G1077,MATCH(Controls!$B$5,A899:A1077,1)+34),NA())</f>
        <v>#N/A</v>
      </c>
      <c r="Z933" t="e" cm="1">
        <f t="array" ref="Z933">IF(34&lt;Controls!$B$7,INDEX(H899:H1077,MATCH(Controls!$B$5,A899:A1077,1)+34),NA())</f>
        <v>#N/A</v>
      </c>
      <c r="AA933" t="e" cm="1">
        <f t="array" ref="AA933">IF(34&lt;Controls!$B$7,INDEX(M899:M1077,MATCH(Controls!$B$5,A899:A1077,1)+34)*INDEX(I899:I1077,MATCH(Controls!$B$5,A899:A1077,1)+34),NA())</f>
        <v>#N/A</v>
      </c>
      <c r="AB933">
        <f t="shared" si="104"/>
        <v>93.800000000000011</v>
      </c>
    </row>
    <row r="934" spans="1:28" ht="13" customHeight="1" x14ac:dyDescent="0.35">
      <c r="A934" s="153">
        <v>47119</v>
      </c>
      <c r="B934" s="36" t="s">
        <v>50</v>
      </c>
      <c r="C934" s="15" t="s">
        <v>52</v>
      </c>
      <c r="D934" s="15" t="s">
        <v>48</v>
      </c>
      <c r="E934" s="30">
        <f>H933</f>
        <v>177.28999999999996</v>
      </c>
      <c r="F934" s="37">
        <f>IFERROR('Production Inputs'!$AU$37*Dependencies!$D$11,0)</f>
        <v>0</v>
      </c>
      <c r="G934" s="37">
        <f t="array" ref="G934">IFERROR(SUMPRODUCT(('Production Inputs'!$A:$A="LLPS")*('Production Inputs'!$B:$B="TOTAL ACTIVE")*'Production Inputs'!$AU:$AU),0)</f>
        <v>0</v>
      </c>
      <c r="H934" s="30">
        <f t="shared" si="102"/>
        <v>177.28999999999996</v>
      </c>
      <c r="I934" s="30">
        <f ca="1">IFERROR(AVERAGEIF(OFFSET(F934,0,0,MIN(Controls!$B$8,COUNTIF(B934:B$1973,B934)),1),"&gt;"&amp;0),0)</f>
        <v>0</v>
      </c>
      <c r="J934" s="38">
        <f t="shared" ca="1" si="98"/>
        <v>999</v>
      </c>
      <c r="K934" s="30">
        <f t="shared" ca="1" si="103"/>
        <v>0</v>
      </c>
      <c r="L934" t="str">
        <f t="shared" ca="1" si="99"/>
        <v>Overstock</v>
      </c>
      <c r="M934" s="39">
        <f>IFERROR(VLOOKUP("LLPS",Controls!A:I,7,0),6)</f>
        <v>4</v>
      </c>
      <c r="N934" s="39">
        <f>IFERROR(VLOOKUP("LLPS",Controls!A:I,8,0),3)</f>
        <v>3</v>
      </c>
      <c r="O934" s="39">
        <f>IFERROR(VLOOKUP("LLPS",Controls!A:I,9,0),18)</f>
        <v>12</v>
      </c>
      <c r="P934" s="40">
        <f>IFERROR(VLOOKUP("LLPS",Controls!A:J,5,0),0)</f>
        <v>5</v>
      </c>
      <c r="Q934" s="39">
        <f>IFERROR(VLOOKUP("LLPS",Controls!A:J,6,0),3)</f>
        <v>4</v>
      </c>
      <c r="R934" s="21" t="str">
        <f>IFERROR(VLOOKUP("LLPS",Controls!A:K,10,0),"")</f>
        <v>Kinovate</v>
      </c>
      <c r="S934" s="41">
        <f t="shared" si="100"/>
        <v>46997</v>
      </c>
      <c r="T934" s="30">
        <f t="shared" si="101"/>
        <v>0</v>
      </c>
      <c r="W934" s="205" t="e" cm="1">
        <f t="array" ref="W934">IF(35&lt;Controls!$B$7,INDEX(A899:A1077,MATCH(Controls!$B$5,A899:A1077,1)+35),NA())</f>
        <v>#N/A</v>
      </c>
      <c r="X934" t="e" cm="1">
        <f t="array" ref="X934">IF(35&lt;Controls!$B$7,INDEX(F899:F1077,MATCH(Controls!$B$5,A899:A1077,1)+35),NA())</f>
        <v>#N/A</v>
      </c>
      <c r="Y934" t="e" cm="1">
        <f t="array" ref="Y934">IF(35&lt;Controls!$B$7,INDEX(G899:G1077,MATCH(Controls!$B$5,A899:A1077,1)+35),NA())</f>
        <v>#N/A</v>
      </c>
      <c r="Z934" t="e" cm="1">
        <f t="array" ref="Z934">IF(35&lt;Controls!$B$7,INDEX(H899:H1077,MATCH(Controls!$B$5,A899:A1077,1)+35),NA())</f>
        <v>#N/A</v>
      </c>
      <c r="AA934" t="e" cm="1">
        <f t="array" ref="AA934">IF(35&lt;Controls!$B$7,INDEX(M899:M1077,MATCH(Controls!$B$5,A899:A1077,1)+35)*INDEX(I899:I1077,MATCH(Controls!$B$5,A899:A1077,1)+35),NA())</f>
        <v>#N/A</v>
      </c>
      <c r="AB934">
        <f t="shared" si="104"/>
        <v>93.800000000000011</v>
      </c>
    </row>
    <row r="935" spans="1:28" ht="13" customHeight="1" x14ac:dyDescent="0.35">
      <c r="A935" s="153">
        <v>47150</v>
      </c>
      <c r="B935" s="36" t="s">
        <v>50</v>
      </c>
      <c r="C935" s="15" t="s">
        <v>52</v>
      </c>
      <c r="D935" s="15" t="s">
        <v>48</v>
      </c>
      <c r="E935" s="30">
        <f>H934</f>
        <v>177.28999999999996</v>
      </c>
      <c r="F935" s="37">
        <f>IFERROR('Production Inputs'!$AV$37*Dependencies!$D$11,0)</f>
        <v>0</v>
      </c>
      <c r="G935" s="37">
        <f t="array" ref="G935">IFERROR(SUMPRODUCT(('Production Inputs'!$A:$A="LLPS")*('Production Inputs'!$B:$B="TOTAL ACTIVE")*'Production Inputs'!$AV:$AV),0)</f>
        <v>0</v>
      </c>
      <c r="H935" s="30">
        <f t="shared" si="102"/>
        <v>177.28999999999996</v>
      </c>
      <c r="I935" s="30">
        <f ca="1">IFERROR(AVERAGEIF(OFFSET(F935,0,0,MIN(Controls!$B$8,COUNTIF(B935:B$1973,B935)),1),"&gt;"&amp;0),0)</f>
        <v>0</v>
      </c>
      <c r="J935" s="38">
        <f t="shared" ca="1" si="98"/>
        <v>999</v>
      </c>
      <c r="K935" s="30">
        <f t="shared" ca="1" si="103"/>
        <v>0</v>
      </c>
      <c r="L935" t="str">
        <f t="shared" ca="1" si="99"/>
        <v>Overstock</v>
      </c>
      <c r="M935" s="39">
        <f>IFERROR(VLOOKUP("LLPS",Controls!A:I,7,0),6)</f>
        <v>4</v>
      </c>
      <c r="N935" s="39">
        <f>IFERROR(VLOOKUP("LLPS",Controls!A:I,8,0),3)</f>
        <v>3</v>
      </c>
      <c r="O935" s="39">
        <f>IFERROR(VLOOKUP("LLPS",Controls!A:I,9,0),18)</f>
        <v>12</v>
      </c>
      <c r="P935" s="40">
        <f>IFERROR(VLOOKUP("LLPS",Controls!A:J,5,0),0)</f>
        <v>5</v>
      </c>
      <c r="Q935" s="39">
        <f>IFERROR(VLOOKUP("LLPS",Controls!A:J,6,0),3)</f>
        <v>4</v>
      </c>
      <c r="R935" s="21" t="str">
        <f>IFERROR(VLOOKUP("LLPS",Controls!A:K,10,0),"")</f>
        <v>Kinovate</v>
      </c>
      <c r="S935" s="41">
        <f t="shared" si="100"/>
        <v>47027</v>
      </c>
      <c r="T935" s="30">
        <f t="shared" si="101"/>
        <v>0</v>
      </c>
      <c r="AB935">
        <f t="shared" si="104"/>
        <v>93.800000000000011</v>
      </c>
    </row>
    <row r="936" spans="1:28" ht="13" customHeight="1" x14ac:dyDescent="0.35">
      <c r="A936" s="153">
        <v>47178</v>
      </c>
      <c r="B936" s="36" t="s">
        <v>50</v>
      </c>
      <c r="C936" s="15" t="s">
        <v>52</v>
      </c>
      <c r="D936" s="15" t="s">
        <v>48</v>
      </c>
      <c r="E936" s="30">
        <f>H935</f>
        <v>177.28999999999996</v>
      </c>
      <c r="F936" s="37">
        <f>IFERROR('Production Inputs'!$AW$37*Dependencies!$D$11,0)</f>
        <v>0</v>
      </c>
      <c r="G936" s="37">
        <f t="array" ref="G936">IFERROR(SUMPRODUCT(('Production Inputs'!$A:$A="LLPS")*('Production Inputs'!$B:$B="TOTAL ACTIVE")*'Production Inputs'!$AW:$AW),0)</f>
        <v>0</v>
      </c>
      <c r="H936" s="30">
        <f t="shared" si="102"/>
        <v>177.28999999999996</v>
      </c>
      <c r="I936" s="30">
        <f ca="1">IFERROR(AVERAGEIF(OFFSET(F936,0,0,MIN(Controls!$B$8,COUNTIF(B936:B$1973,B936)),1),"&gt;"&amp;0),0)</f>
        <v>0</v>
      </c>
      <c r="J936" s="38">
        <f t="shared" ca="1" si="98"/>
        <v>999</v>
      </c>
      <c r="K936" s="30">
        <f t="shared" ca="1" si="103"/>
        <v>0</v>
      </c>
      <c r="L936" t="str">
        <f t="shared" ca="1" si="99"/>
        <v>Overstock</v>
      </c>
      <c r="M936" s="39">
        <f>IFERROR(VLOOKUP("LLPS",Controls!A:I,7,0),6)</f>
        <v>4</v>
      </c>
      <c r="N936" s="39">
        <f>IFERROR(VLOOKUP("LLPS",Controls!A:I,8,0),3)</f>
        <v>3</v>
      </c>
      <c r="O936" s="39">
        <f>IFERROR(VLOOKUP("LLPS",Controls!A:I,9,0),18)</f>
        <v>12</v>
      </c>
      <c r="P936" s="40">
        <f>IFERROR(VLOOKUP("LLPS",Controls!A:J,5,0),0)</f>
        <v>5</v>
      </c>
      <c r="Q936" s="39">
        <f>IFERROR(VLOOKUP("LLPS",Controls!A:J,6,0),3)</f>
        <v>4</v>
      </c>
      <c r="R936" s="21" t="str">
        <f>IFERROR(VLOOKUP("LLPS",Controls!A:K,10,0),"")</f>
        <v>Kinovate</v>
      </c>
      <c r="S936" s="41">
        <f t="shared" si="100"/>
        <v>47058</v>
      </c>
      <c r="T936" s="30">
        <f t="shared" si="101"/>
        <v>0</v>
      </c>
      <c r="AB936">
        <f t="shared" si="104"/>
        <v>93.800000000000011</v>
      </c>
    </row>
    <row r="937" spans="1:28" ht="13" customHeight="1" x14ac:dyDescent="0.35">
      <c r="A937" s="153">
        <v>47209</v>
      </c>
      <c r="B937" s="36" t="s">
        <v>50</v>
      </c>
      <c r="C937" s="15" t="s">
        <v>52</v>
      </c>
      <c r="D937" s="15" t="s">
        <v>48</v>
      </c>
      <c r="E937" s="30">
        <f>H936</f>
        <v>177.28999999999996</v>
      </c>
      <c r="F937" s="37">
        <f>IFERROR('Production Inputs'!$AX$37*Dependencies!$D$11,0)</f>
        <v>0</v>
      </c>
      <c r="G937" s="37">
        <f t="array" ref="G937">IFERROR(SUMPRODUCT(('Production Inputs'!$A:$A="LLPS")*('Production Inputs'!$B:$B="TOTAL ACTIVE")*'Production Inputs'!$AX:$AX),0)</f>
        <v>0</v>
      </c>
      <c r="H937" s="30">
        <f t="shared" si="102"/>
        <v>177.28999999999996</v>
      </c>
      <c r="I937" s="30">
        <f ca="1">IFERROR(AVERAGEIF(OFFSET(F937,0,0,MIN(Controls!$B$8,COUNTIF(B937:B$1973,B937)),1),"&gt;"&amp;0),0)</f>
        <v>0</v>
      </c>
      <c r="J937" s="38">
        <f t="shared" ca="1" si="98"/>
        <v>999</v>
      </c>
      <c r="K937" s="30">
        <f t="shared" ca="1" si="103"/>
        <v>0</v>
      </c>
      <c r="L937" t="str">
        <f t="shared" ca="1" si="99"/>
        <v>Overstock</v>
      </c>
      <c r="M937" s="39">
        <f>IFERROR(VLOOKUP("LLPS",Controls!A:I,7,0),6)</f>
        <v>4</v>
      </c>
      <c r="N937" s="39">
        <f>IFERROR(VLOOKUP("LLPS",Controls!A:I,8,0),3)</f>
        <v>3</v>
      </c>
      <c r="O937" s="39">
        <f>IFERROR(VLOOKUP("LLPS",Controls!A:I,9,0),18)</f>
        <v>12</v>
      </c>
      <c r="P937" s="40">
        <f>IFERROR(VLOOKUP("LLPS",Controls!A:J,5,0),0)</f>
        <v>5</v>
      </c>
      <c r="Q937" s="39">
        <f>IFERROR(VLOOKUP("LLPS",Controls!A:J,6,0),3)</f>
        <v>4</v>
      </c>
      <c r="R937" s="21" t="str">
        <f>IFERROR(VLOOKUP("LLPS",Controls!A:K,10,0),"")</f>
        <v>Kinovate</v>
      </c>
      <c r="S937" s="41">
        <f t="shared" si="100"/>
        <v>47088</v>
      </c>
      <c r="T937" s="30">
        <f t="shared" si="101"/>
        <v>0</v>
      </c>
      <c r="AB937">
        <f t="shared" si="104"/>
        <v>93.800000000000011</v>
      </c>
    </row>
    <row r="938" spans="1:28" ht="13" customHeight="1" x14ac:dyDescent="0.35">
      <c r="A938" s="153">
        <v>47239</v>
      </c>
      <c r="B938" s="36" t="s">
        <v>50</v>
      </c>
      <c r="C938" s="15" t="s">
        <v>52</v>
      </c>
      <c r="D938" s="15" t="s">
        <v>48</v>
      </c>
      <c r="E938" s="30">
        <f>H937</f>
        <v>177.28999999999996</v>
      </c>
      <c r="F938" s="37">
        <f>IFERROR('Production Inputs'!$AY$37*Dependencies!$D$11,0)</f>
        <v>0</v>
      </c>
      <c r="G938" s="37">
        <f t="array" ref="G938">IFERROR(SUMPRODUCT(('Production Inputs'!$A:$A="LLPS")*('Production Inputs'!$B:$B="TOTAL ACTIVE")*'Production Inputs'!$AY:$AY),0)</f>
        <v>0</v>
      </c>
      <c r="H938" s="30">
        <f t="shared" si="102"/>
        <v>177.28999999999996</v>
      </c>
      <c r="I938" s="30">
        <f ca="1">IFERROR(AVERAGEIF(OFFSET(F938,0,0,MIN(Controls!$B$8,COUNTIF(B938:B$1973,B938)),1),"&gt;"&amp;0),0)</f>
        <v>0</v>
      </c>
      <c r="J938" s="38">
        <f t="shared" ca="1" si="98"/>
        <v>999</v>
      </c>
      <c r="K938" s="30">
        <f t="shared" ca="1" si="103"/>
        <v>0</v>
      </c>
      <c r="L938" t="str">
        <f t="shared" ca="1" si="99"/>
        <v>Overstock</v>
      </c>
      <c r="M938" s="39">
        <f>IFERROR(VLOOKUP("LLPS",Controls!A:I,7,0),6)</f>
        <v>4</v>
      </c>
      <c r="N938" s="39">
        <f>IFERROR(VLOOKUP("LLPS",Controls!A:I,8,0),3)</f>
        <v>3</v>
      </c>
      <c r="O938" s="39">
        <f>IFERROR(VLOOKUP("LLPS",Controls!A:I,9,0),18)</f>
        <v>12</v>
      </c>
      <c r="P938" s="40">
        <f>IFERROR(VLOOKUP("LLPS",Controls!A:J,5,0),0)</f>
        <v>5</v>
      </c>
      <c r="Q938" s="39">
        <f>IFERROR(VLOOKUP("LLPS",Controls!A:J,6,0),3)</f>
        <v>4</v>
      </c>
      <c r="R938" s="21" t="str">
        <f>IFERROR(VLOOKUP("LLPS",Controls!A:K,10,0),"")</f>
        <v>Kinovate</v>
      </c>
      <c r="S938" s="41">
        <f t="shared" si="100"/>
        <v>47119</v>
      </c>
      <c r="T938" s="30">
        <f t="shared" si="101"/>
        <v>0</v>
      </c>
      <c r="AB938">
        <f t="shared" si="104"/>
        <v>93.800000000000011</v>
      </c>
    </row>
    <row r="939" spans="1:28" ht="13" customHeight="1" x14ac:dyDescent="0.35">
      <c r="A939" s="153">
        <v>47270</v>
      </c>
      <c r="B939" s="36" t="s">
        <v>50</v>
      </c>
      <c r="C939" s="15" t="s">
        <v>52</v>
      </c>
      <c r="D939" s="15" t="s">
        <v>48</v>
      </c>
      <c r="E939" s="30">
        <f>H938</f>
        <v>177.28999999999996</v>
      </c>
      <c r="F939" s="37">
        <f>IFERROR('Production Inputs'!$AZ$37*Dependencies!$D$11,0)</f>
        <v>0</v>
      </c>
      <c r="G939" s="37">
        <f t="array" ref="G939">IFERROR(SUMPRODUCT(('Production Inputs'!$A:$A="LLPS")*('Production Inputs'!$B:$B="TOTAL ACTIVE")*'Production Inputs'!$AZ:$AZ),0)</f>
        <v>0</v>
      </c>
      <c r="H939" s="30">
        <f t="shared" si="102"/>
        <v>177.28999999999996</v>
      </c>
      <c r="I939" s="30">
        <f ca="1">IFERROR(AVERAGEIF(OFFSET(F939,0,0,MIN(Controls!$B$8,COUNTIF(B939:B$1973,B939)),1),"&gt;"&amp;0),0)</f>
        <v>0</v>
      </c>
      <c r="J939" s="38">
        <f t="shared" ca="1" si="98"/>
        <v>999</v>
      </c>
      <c r="K939" s="30">
        <f t="shared" ca="1" si="103"/>
        <v>0</v>
      </c>
      <c r="L939" t="str">
        <f t="shared" ca="1" si="99"/>
        <v>Overstock</v>
      </c>
      <c r="M939" s="39">
        <f>IFERROR(VLOOKUP("LLPS",Controls!A:I,7,0),6)</f>
        <v>4</v>
      </c>
      <c r="N939" s="39">
        <f>IFERROR(VLOOKUP("LLPS",Controls!A:I,8,0),3)</f>
        <v>3</v>
      </c>
      <c r="O939" s="39">
        <f>IFERROR(VLOOKUP("LLPS",Controls!A:I,9,0),18)</f>
        <v>12</v>
      </c>
      <c r="P939" s="40">
        <f>IFERROR(VLOOKUP("LLPS",Controls!A:J,5,0),0)</f>
        <v>5</v>
      </c>
      <c r="Q939" s="39">
        <f>IFERROR(VLOOKUP("LLPS",Controls!A:J,6,0),3)</f>
        <v>4</v>
      </c>
      <c r="R939" s="21" t="str">
        <f>IFERROR(VLOOKUP("LLPS",Controls!A:K,10,0),"")</f>
        <v>Kinovate</v>
      </c>
      <c r="S939" s="41">
        <f t="shared" si="100"/>
        <v>47150</v>
      </c>
      <c r="T939" s="30">
        <f t="shared" si="101"/>
        <v>0</v>
      </c>
      <c r="AB939">
        <f t="shared" si="104"/>
        <v>93.800000000000011</v>
      </c>
    </row>
    <row r="940" spans="1:28" ht="13" customHeight="1" x14ac:dyDescent="0.35">
      <c r="A940" s="153">
        <v>47300</v>
      </c>
      <c r="B940" s="36" t="s">
        <v>50</v>
      </c>
      <c r="C940" s="15" t="s">
        <v>52</v>
      </c>
      <c r="D940" s="15" t="s">
        <v>48</v>
      </c>
      <c r="E940" s="30">
        <f>H939</f>
        <v>177.28999999999996</v>
      </c>
      <c r="F940" s="37">
        <f>IFERROR('Production Inputs'!$BA$37*Dependencies!$D$11,0)</f>
        <v>0</v>
      </c>
      <c r="G940" s="37">
        <f t="array" ref="G940">IFERROR(SUMPRODUCT(('Production Inputs'!$A:$A="LLPS")*('Production Inputs'!$B:$B="TOTAL ACTIVE")*'Production Inputs'!$BA:$BA),0)</f>
        <v>0</v>
      </c>
      <c r="H940" s="30">
        <f t="shared" si="102"/>
        <v>177.28999999999996</v>
      </c>
      <c r="I940" s="30">
        <f ca="1">IFERROR(AVERAGEIF(OFFSET(F940,0,0,MIN(Controls!$B$8,COUNTIF(B940:B$1973,B940)),1),"&gt;"&amp;0),0)</f>
        <v>0</v>
      </c>
      <c r="J940" s="38">
        <f t="shared" ca="1" si="98"/>
        <v>999</v>
      </c>
      <c r="K940" s="30">
        <f t="shared" ca="1" si="103"/>
        <v>0</v>
      </c>
      <c r="L940" t="str">
        <f t="shared" ca="1" si="99"/>
        <v>Overstock</v>
      </c>
      <c r="M940" s="39">
        <f>IFERROR(VLOOKUP("LLPS",Controls!A:I,7,0),6)</f>
        <v>4</v>
      </c>
      <c r="N940" s="39">
        <f>IFERROR(VLOOKUP("LLPS",Controls!A:I,8,0),3)</f>
        <v>3</v>
      </c>
      <c r="O940" s="39">
        <f>IFERROR(VLOOKUP("LLPS",Controls!A:I,9,0),18)</f>
        <v>12</v>
      </c>
      <c r="P940" s="40">
        <f>IFERROR(VLOOKUP("LLPS",Controls!A:J,5,0),0)</f>
        <v>5</v>
      </c>
      <c r="Q940" s="39">
        <f>IFERROR(VLOOKUP("LLPS",Controls!A:J,6,0),3)</f>
        <v>4</v>
      </c>
      <c r="R940" s="21" t="str">
        <f>IFERROR(VLOOKUP("LLPS",Controls!A:K,10,0),"")</f>
        <v>Kinovate</v>
      </c>
      <c r="S940" s="41">
        <f t="shared" si="100"/>
        <v>47178</v>
      </c>
      <c r="T940" s="30">
        <f t="shared" si="101"/>
        <v>0</v>
      </c>
      <c r="AB940">
        <f t="shared" si="104"/>
        <v>93.800000000000011</v>
      </c>
    </row>
    <row r="941" spans="1:28" ht="13" customHeight="1" x14ac:dyDescent="0.35">
      <c r="A941" s="153">
        <v>47331</v>
      </c>
      <c r="B941" s="36" t="s">
        <v>50</v>
      </c>
      <c r="C941" s="15" t="s">
        <v>52</v>
      </c>
      <c r="D941" s="15" t="s">
        <v>48</v>
      </c>
      <c r="E941" s="30">
        <f>H940</f>
        <v>177.28999999999996</v>
      </c>
      <c r="F941" s="37">
        <f>IFERROR('Production Inputs'!$BB$37*Dependencies!$D$11,0)</f>
        <v>0</v>
      </c>
      <c r="G941" s="37">
        <f t="array" ref="G941">IFERROR(SUMPRODUCT(('Production Inputs'!$A:$A="LLPS")*('Production Inputs'!$B:$B="TOTAL ACTIVE")*'Production Inputs'!$BB:$BB),0)</f>
        <v>0</v>
      </c>
      <c r="H941" s="30">
        <f t="shared" si="102"/>
        <v>177.28999999999996</v>
      </c>
      <c r="I941" s="30">
        <f ca="1">IFERROR(AVERAGEIF(OFFSET(F941,0,0,MIN(Controls!$B$8,COUNTIF(B941:B$1973,B941)),1),"&gt;"&amp;0),0)</f>
        <v>0</v>
      </c>
      <c r="J941" s="38">
        <f t="shared" ca="1" si="98"/>
        <v>999</v>
      </c>
      <c r="K941" s="30">
        <f t="shared" ca="1" si="103"/>
        <v>0</v>
      </c>
      <c r="L941" t="str">
        <f t="shared" ca="1" si="99"/>
        <v>Overstock</v>
      </c>
      <c r="M941" s="39">
        <f>IFERROR(VLOOKUP("LLPS",Controls!A:I,7,0),6)</f>
        <v>4</v>
      </c>
      <c r="N941" s="39">
        <f>IFERROR(VLOOKUP("LLPS",Controls!A:I,8,0),3)</f>
        <v>3</v>
      </c>
      <c r="O941" s="39">
        <f>IFERROR(VLOOKUP("LLPS",Controls!A:I,9,0),18)</f>
        <v>12</v>
      </c>
      <c r="P941" s="40">
        <f>IFERROR(VLOOKUP("LLPS",Controls!A:J,5,0),0)</f>
        <v>5</v>
      </c>
      <c r="Q941" s="39">
        <f>IFERROR(VLOOKUP("LLPS",Controls!A:J,6,0),3)</f>
        <v>4</v>
      </c>
      <c r="R941" s="21" t="str">
        <f>IFERROR(VLOOKUP("LLPS",Controls!A:K,10,0),"")</f>
        <v>Kinovate</v>
      </c>
      <c r="S941" s="41">
        <f t="shared" si="100"/>
        <v>47209</v>
      </c>
      <c r="T941" s="30">
        <f t="shared" si="101"/>
        <v>0</v>
      </c>
      <c r="AB941">
        <f t="shared" si="104"/>
        <v>93.800000000000011</v>
      </c>
    </row>
    <row r="942" spans="1:28" ht="13" customHeight="1" x14ac:dyDescent="0.35">
      <c r="A942" s="153">
        <v>47362</v>
      </c>
      <c r="B942" s="36" t="s">
        <v>50</v>
      </c>
      <c r="C942" s="15" t="s">
        <v>52</v>
      </c>
      <c r="D942" s="15" t="s">
        <v>48</v>
      </c>
      <c r="E942" s="30">
        <f>H941</f>
        <v>177.28999999999996</v>
      </c>
      <c r="F942" s="37">
        <f>IFERROR('Production Inputs'!$BC$37*Dependencies!$D$11,0)</f>
        <v>0</v>
      </c>
      <c r="G942" s="37">
        <f t="array" ref="G942">IFERROR(SUMPRODUCT(('Production Inputs'!$A:$A="LLPS")*('Production Inputs'!$B:$B="TOTAL ACTIVE")*'Production Inputs'!$BC:$BC),0)</f>
        <v>0</v>
      </c>
      <c r="H942" s="30">
        <f t="shared" si="102"/>
        <v>177.28999999999996</v>
      </c>
      <c r="I942" s="30">
        <f ca="1">IFERROR(AVERAGEIF(OFFSET(F942,0,0,MIN(Controls!$B$8,COUNTIF(B942:B$1973,B942)),1),"&gt;"&amp;0),0)</f>
        <v>0</v>
      </c>
      <c r="J942" s="38">
        <f t="shared" ca="1" si="98"/>
        <v>999</v>
      </c>
      <c r="K942" s="30">
        <f t="shared" ca="1" si="103"/>
        <v>0</v>
      </c>
      <c r="L942" t="str">
        <f t="shared" ca="1" si="99"/>
        <v>Overstock</v>
      </c>
      <c r="M942" s="39">
        <f>IFERROR(VLOOKUP("LLPS",Controls!A:I,7,0),6)</f>
        <v>4</v>
      </c>
      <c r="N942" s="39">
        <f>IFERROR(VLOOKUP("LLPS",Controls!A:I,8,0),3)</f>
        <v>3</v>
      </c>
      <c r="O942" s="39">
        <f>IFERROR(VLOOKUP("LLPS",Controls!A:I,9,0),18)</f>
        <v>12</v>
      </c>
      <c r="P942" s="40">
        <f>IFERROR(VLOOKUP("LLPS",Controls!A:J,5,0),0)</f>
        <v>5</v>
      </c>
      <c r="Q942" s="39">
        <f>IFERROR(VLOOKUP("LLPS",Controls!A:J,6,0),3)</f>
        <v>4</v>
      </c>
      <c r="R942" s="21" t="str">
        <f>IFERROR(VLOOKUP("LLPS",Controls!A:K,10,0),"")</f>
        <v>Kinovate</v>
      </c>
      <c r="S942" s="41">
        <f t="shared" si="100"/>
        <v>47239</v>
      </c>
      <c r="T942" s="30">
        <f t="shared" si="101"/>
        <v>0</v>
      </c>
      <c r="AB942">
        <f t="shared" si="104"/>
        <v>93.800000000000011</v>
      </c>
    </row>
    <row r="943" spans="1:28" ht="13" customHeight="1" x14ac:dyDescent="0.35">
      <c r="A943" s="153">
        <v>47392</v>
      </c>
      <c r="B943" s="36" t="s">
        <v>50</v>
      </c>
      <c r="C943" s="15" t="s">
        <v>52</v>
      </c>
      <c r="D943" s="15" t="s">
        <v>48</v>
      </c>
      <c r="E943" s="30">
        <f>H942</f>
        <v>177.28999999999996</v>
      </c>
      <c r="F943" s="37">
        <f>IFERROR('Production Inputs'!$BD$37*Dependencies!$D$11,0)</f>
        <v>0</v>
      </c>
      <c r="G943" s="37">
        <f t="array" ref="G943">IFERROR(SUMPRODUCT(('Production Inputs'!$A:$A="LLPS")*('Production Inputs'!$B:$B="TOTAL ACTIVE")*'Production Inputs'!$BD:$BD),0)</f>
        <v>0</v>
      </c>
      <c r="H943" s="30">
        <f t="shared" si="102"/>
        <v>177.28999999999996</v>
      </c>
      <c r="I943" s="30">
        <f ca="1">IFERROR(AVERAGEIF(OFFSET(F943,0,0,MIN(Controls!$B$8,COUNTIF(B943:B$1973,B943)),1),"&gt;"&amp;0),0)</f>
        <v>0</v>
      </c>
      <c r="J943" s="38">
        <f t="shared" ca="1" si="98"/>
        <v>999</v>
      </c>
      <c r="K943" s="30">
        <f t="shared" ca="1" si="103"/>
        <v>0</v>
      </c>
      <c r="L943" t="str">
        <f t="shared" ca="1" si="99"/>
        <v>Overstock</v>
      </c>
      <c r="M943" s="39">
        <f>IFERROR(VLOOKUP("LLPS",Controls!A:I,7,0),6)</f>
        <v>4</v>
      </c>
      <c r="N943" s="39">
        <f>IFERROR(VLOOKUP("LLPS",Controls!A:I,8,0),3)</f>
        <v>3</v>
      </c>
      <c r="O943" s="39">
        <f>IFERROR(VLOOKUP("LLPS",Controls!A:I,9,0),18)</f>
        <v>12</v>
      </c>
      <c r="P943" s="40">
        <f>IFERROR(VLOOKUP("LLPS",Controls!A:J,5,0),0)</f>
        <v>5</v>
      </c>
      <c r="Q943" s="39">
        <f>IFERROR(VLOOKUP("LLPS",Controls!A:J,6,0),3)</f>
        <v>4</v>
      </c>
      <c r="R943" s="21" t="str">
        <f>IFERROR(VLOOKUP("LLPS",Controls!A:K,10,0),"")</f>
        <v>Kinovate</v>
      </c>
      <c r="S943" s="41">
        <f t="shared" si="100"/>
        <v>47270</v>
      </c>
      <c r="T943" s="30">
        <f t="shared" si="101"/>
        <v>0</v>
      </c>
      <c r="AB943">
        <f t="shared" si="104"/>
        <v>93.800000000000011</v>
      </c>
    </row>
    <row r="944" spans="1:28" ht="13" customHeight="1" x14ac:dyDescent="0.35">
      <c r="A944" s="153">
        <v>47423</v>
      </c>
      <c r="B944" s="36" t="s">
        <v>50</v>
      </c>
      <c r="C944" s="15" t="s">
        <v>52</v>
      </c>
      <c r="D944" s="15" t="s">
        <v>48</v>
      </c>
      <c r="E944" s="30">
        <f>H943</f>
        <v>177.28999999999996</v>
      </c>
      <c r="F944" s="37">
        <f>IFERROR('Production Inputs'!$BE$37*Dependencies!$D$11,0)</f>
        <v>0</v>
      </c>
      <c r="G944" s="37">
        <f t="array" ref="G944">IFERROR(SUMPRODUCT(('Production Inputs'!$A:$A="LLPS")*('Production Inputs'!$B:$B="TOTAL ACTIVE")*'Production Inputs'!$BE:$BE),0)</f>
        <v>0</v>
      </c>
      <c r="H944" s="30">
        <f t="shared" si="102"/>
        <v>177.28999999999996</v>
      </c>
      <c r="I944" s="30">
        <f ca="1">IFERROR(AVERAGEIF(OFFSET(F944,0,0,MIN(Controls!$B$8,COUNTIF(B944:B$1973,B944)),1),"&gt;"&amp;0),0)</f>
        <v>0</v>
      </c>
      <c r="J944" s="38">
        <f t="shared" ca="1" si="98"/>
        <v>999</v>
      </c>
      <c r="K944" s="30">
        <f t="shared" ca="1" si="103"/>
        <v>0</v>
      </c>
      <c r="L944" t="str">
        <f t="shared" ca="1" si="99"/>
        <v>Overstock</v>
      </c>
      <c r="M944" s="39">
        <f>IFERROR(VLOOKUP("LLPS",Controls!A:I,7,0),6)</f>
        <v>4</v>
      </c>
      <c r="N944" s="39">
        <f>IFERROR(VLOOKUP("LLPS",Controls!A:I,8,0),3)</f>
        <v>3</v>
      </c>
      <c r="O944" s="39">
        <f>IFERROR(VLOOKUP("LLPS",Controls!A:I,9,0),18)</f>
        <v>12</v>
      </c>
      <c r="P944" s="40">
        <f>IFERROR(VLOOKUP("LLPS",Controls!A:J,5,0),0)</f>
        <v>5</v>
      </c>
      <c r="Q944" s="39">
        <f>IFERROR(VLOOKUP("LLPS",Controls!A:J,6,0),3)</f>
        <v>4</v>
      </c>
      <c r="R944" s="21" t="str">
        <f>IFERROR(VLOOKUP("LLPS",Controls!A:K,10,0),"")</f>
        <v>Kinovate</v>
      </c>
      <c r="S944" s="41">
        <f t="shared" si="100"/>
        <v>47300</v>
      </c>
      <c r="T944" s="30">
        <f t="shared" si="101"/>
        <v>0</v>
      </c>
      <c r="AB944">
        <f t="shared" si="104"/>
        <v>93.800000000000011</v>
      </c>
    </row>
    <row r="945" spans="1:28" ht="13" customHeight="1" x14ac:dyDescent="0.35">
      <c r="A945" s="153">
        <v>47453</v>
      </c>
      <c r="B945" s="36" t="s">
        <v>50</v>
      </c>
      <c r="C945" s="15" t="s">
        <v>52</v>
      </c>
      <c r="D945" s="15" t="s">
        <v>48</v>
      </c>
      <c r="E945" s="30">
        <f>H944</f>
        <v>177.28999999999996</v>
      </c>
      <c r="F945" s="37">
        <f>IFERROR('Production Inputs'!$BF$37*Dependencies!$D$11,0)</f>
        <v>0</v>
      </c>
      <c r="G945" s="37">
        <f t="array" ref="G945">IFERROR(SUMPRODUCT(('Production Inputs'!$A:$A="LLPS")*('Production Inputs'!$B:$B="TOTAL ACTIVE")*'Production Inputs'!$BF:$BF),0)</f>
        <v>0</v>
      </c>
      <c r="H945" s="30">
        <f t="shared" si="102"/>
        <v>177.28999999999996</v>
      </c>
      <c r="I945" s="30">
        <f ca="1">IFERROR(AVERAGEIF(OFFSET(F945,0,0,MIN(Controls!$B$8,COUNTIF(B945:B$1973,B945)),1),"&gt;"&amp;0),0)</f>
        <v>0</v>
      </c>
      <c r="J945" s="38">
        <f t="shared" ca="1" si="98"/>
        <v>999</v>
      </c>
      <c r="K945" s="30">
        <f t="shared" ca="1" si="103"/>
        <v>0</v>
      </c>
      <c r="L945" t="str">
        <f t="shared" ca="1" si="99"/>
        <v>Overstock</v>
      </c>
      <c r="M945" s="39">
        <f>IFERROR(VLOOKUP("LLPS",Controls!A:I,7,0),6)</f>
        <v>4</v>
      </c>
      <c r="N945" s="39">
        <f>IFERROR(VLOOKUP("LLPS",Controls!A:I,8,0),3)</f>
        <v>3</v>
      </c>
      <c r="O945" s="39">
        <f>IFERROR(VLOOKUP("LLPS",Controls!A:I,9,0),18)</f>
        <v>12</v>
      </c>
      <c r="P945" s="40">
        <f>IFERROR(VLOOKUP("LLPS",Controls!A:J,5,0),0)</f>
        <v>5</v>
      </c>
      <c r="Q945" s="39">
        <f>IFERROR(VLOOKUP("LLPS",Controls!A:J,6,0),3)</f>
        <v>4</v>
      </c>
      <c r="R945" s="21" t="str">
        <f>IFERROR(VLOOKUP("LLPS",Controls!A:K,10,0),"")</f>
        <v>Kinovate</v>
      </c>
      <c r="S945" s="41">
        <f t="shared" si="100"/>
        <v>47331</v>
      </c>
      <c r="T945" s="30">
        <f t="shared" si="101"/>
        <v>0</v>
      </c>
      <c r="AB945">
        <f t="shared" si="104"/>
        <v>93.800000000000011</v>
      </c>
    </row>
    <row r="946" spans="1:28" ht="13" customHeight="1" x14ac:dyDescent="0.35">
      <c r="A946" s="153">
        <v>47484</v>
      </c>
      <c r="B946" s="36" t="s">
        <v>50</v>
      </c>
      <c r="C946" s="15" t="s">
        <v>52</v>
      </c>
      <c r="D946" s="15" t="s">
        <v>48</v>
      </c>
      <c r="E946" s="30">
        <f>H945</f>
        <v>177.28999999999996</v>
      </c>
      <c r="F946" s="37">
        <f>IFERROR('Production Inputs'!$BG$37*Dependencies!$D$11,0)</f>
        <v>0</v>
      </c>
      <c r="G946" s="37">
        <f t="array" ref="G946">IFERROR(SUMPRODUCT(('Production Inputs'!$A:$A="LLPS")*('Production Inputs'!$B:$B="TOTAL ACTIVE")*'Production Inputs'!$BG:$BG),0)</f>
        <v>0</v>
      </c>
      <c r="H946" s="30">
        <f t="shared" si="102"/>
        <v>177.28999999999996</v>
      </c>
      <c r="I946" s="30">
        <f ca="1">IFERROR(AVERAGEIF(OFFSET(F946,0,0,MIN(Controls!$B$8,COUNTIF(B946:B$1973,B946)),1),"&gt;"&amp;0),0)</f>
        <v>0</v>
      </c>
      <c r="J946" s="38">
        <f t="shared" ca="1" si="98"/>
        <v>999</v>
      </c>
      <c r="K946" s="30">
        <f t="shared" ca="1" si="103"/>
        <v>0</v>
      </c>
      <c r="L946" t="str">
        <f t="shared" ca="1" si="99"/>
        <v>Overstock</v>
      </c>
      <c r="M946" s="39">
        <f>IFERROR(VLOOKUP("LLPS",Controls!A:I,7,0),6)</f>
        <v>4</v>
      </c>
      <c r="N946" s="39">
        <f>IFERROR(VLOOKUP("LLPS",Controls!A:I,8,0),3)</f>
        <v>3</v>
      </c>
      <c r="O946" s="39">
        <f>IFERROR(VLOOKUP("LLPS",Controls!A:I,9,0),18)</f>
        <v>12</v>
      </c>
      <c r="P946" s="40">
        <f>IFERROR(VLOOKUP("LLPS",Controls!A:J,5,0),0)</f>
        <v>5</v>
      </c>
      <c r="Q946" s="39">
        <f>IFERROR(VLOOKUP("LLPS",Controls!A:J,6,0),3)</f>
        <v>4</v>
      </c>
      <c r="R946" s="21" t="str">
        <f>IFERROR(VLOOKUP("LLPS",Controls!A:K,10,0),"")</f>
        <v>Kinovate</v>
      </c>
      <c r="S946" s="41">
        <f t="shared" si="100"/>
        <v>47362</v>
      </c>
      <c r="T946" s="30">
        <f t="shared" si="101"/>
        <v>0</v>
      </c>
      <c r="AB946">
        <f t="shared" si="104"/>
        <v>93.800000000000011</v>
      </c>
    </row>
    <row r="947" spans="1:28" ht="13" customHeight="1" x14ac:dyDescent="0.35">
      <c r="A947" s="153">
        <v>47515</v>
      </c>
      <c r="B947" s="36" t="s">
        <v>50</v>
      </c>
      <c r="C947" s="15" t="s">
        <v>52</v>
      </c>
      <c r="D947" s="15" t="s">
        <v>48</v>
      </c>
      <c r="E947" s="30">
        <f>H946</f>
        <v>177.28999999999996</v>
      </c>
      <c r="F947" s="37">
        <f>IFERROR('Production Inputs'!$BH$37*Dependencies!$D$11,0)</f>
        <v>0</v>
      </c>
      <c r="G947" s="37">
        <f t="array" ref="G947">IFERROR(SUMPRODUCT(('Production Inputs'!$A:$A="LLPS")*('Production Inputs'!$B:$B="TOTAL ACTIVE")*'Production Inputs'!$BH:$BH),0)</f>
        <v>0</v>
      </c>
      <c r="H947" s="30">
        <f t="shared" si="102"/>
        <v>177.28999999999996</v>
      </c>
      <c r="I947" s="30">
        <f ca="1">IFERROR(AVERAGEIF(OFFSET(F947,0,0,MIN(Controls!$B$8,COUNTIF(B947:B$1973,B947)),1),"&gt;"&amp;0),0)</f>
        <v>0</v>
      </c>
      <c r="J947" s="38">
        <f t="shared" ca="1" si="98"/>
        <v>999</v>
      </c>
      <c r="K947" s="30">
        <f t="shared" ca="1" si="103"/>
        <v>0</v>
      </c>
      <c r="L947" t="str">
        <f t="shared" ca="1" si="99"/>
        <v>Overstock</v>
      </c>
      <c r="M947" s="39">
        <f>IFERROR(VLOOKUP("LLPS",Controls!A:I,7,0),6)</f>
        <v>4</v>
      </c>
      <c r="N947" s="39">
        <f>IFERROR(VLOOKUP("LLPS",Controls!A:I,8,0),3)</f>
        <v>3</v>
      </c>
      <c r="O947" s="39">
        <f>IFERROR(VLOOKUP("LLPS",Controls!A:I,9,0),18)</f>
        <v>12</v>
      </c>
      <c r="P947" s="40">
        <f>IFERROR(VLOOKUP("LLPS",Controls!A:J,5,0),0)</f>
        <v>5</v>
      </c>
      <c r="Q947" s="39">
        <f>IFERROR(VLOOKUP("LLPS",Controls!A:J,6,0),3)</f>
        <v>4</v>
      </c>
      <c r="R947" s="21" t="str">
        <f>IFERROR(VLOOKUP("LLPS",Controls!A:K,10,0),"")</f>
        <v>Kinovate</v>
      </c>
      <c r="S947" s="41">
        <f t="shared" si="100"/>
        <v>47392</v>
      </c>
      <c r="T947" s="30">
        <f t="shared" si="101"/>
        <v>0</v>
      </c>
      <c r="AB947">
        <f t="shared" si="104"/>
        <v>93.800000000000011</v>
      </c>
    </row>
    <row r="948" spans="1:28" ht="13" customHeight="1" x14ac:dyDescent="0.35">
      <c r="A948" s="153">
        <v>47543</v>
      </c>
      <c r="B948" s="36" t="s">
        <v>50</v>
      </c>
      <c r="C948" s="15" t="s">
        <v>52</v>
      </c>
      <c r="D948" s="15" t="s">
        <v>48</v>
      </c>
      <c r="E948" s="30">
        <f>H947</f>
        <v>177.28999999999996</v>
      </c>
      <c r="F948" s="37">
        <f>IFERROR('Production Inputs'!$BI$37*Dependencies!$D$11,0)</f>
        <v>0</v>
      </c>
      <c r="G948" s="37">
        <f t="array" ref="G948">IFERROR(SUMPRODUCT(('Production Inputs'!$A:$A="LLPS")*('Production Inputs'!$B:$B="TOTAL ACTIVE")*'Production Inputs'!$BI:$BI),0)</f>
        <v>0</v>
      </c>
      <c r="H948" s="30">
        <f t="shared" si="102"/>
        <v>177.28999999999996</v>
      </c>
      <c r="I948" s="30">
        <f ca="1">IFERROR(AVERAGEIF(OFFSET(F948,0,0,MIN(Controls!$B$8,COUNTIF(B948:B$1973,B948)),1),"&gt;"&amp;0),0)</f>
        <v>0</v>
      </c>
      <c r="J948" s="38">
        <f t="shared" ca="1" si="98"/>
        <v>999</v>
      </c>
      <c r="K948" s="30">
        <f t="shared" ca="1" si="103"/>
        <v>0</v>
      </c>
      <c r="L948" t="str">
        <f t="shared" ca="1" si="99"/>
        <v>Overstock</v>
      </c>
      <c r="M948" s="39">
        <f>IFERROR(VLOOKUP("LLPS",Controls!A:I,7,0),6)</f>
        <v>4</v>
      </c>
      <c r="N948" s="39">
        <f>IFERROR(VLOOKUP("LLPS",Controls!A:I,8,0),3)</f>
        <v>3</v>
      </c>
      <c r="O948" s="39">
        <f>IFERROR(VLOOKUP("LLPS",Controls!A:I,9,0),18)</f>
        <v>12</v>
      </c>
      <c r="P948" s="40">
        <f>IFERROR(VLOOKUP("LLPS",Controls!A:J,5,0),0)</f>
        <v>5</v>
      </c>
      <c r="Q948" s="39">
        <f>IFERROR(VLOOKUP("LLPS",Controls!A:J,6,0),3)</f>
        <v>4</v>
      </c>
      <c r="R948" s="21" t="str">
        <f>IFERROR(VLOOKUP("LLPS",Controls!A:K,10,0),"")</f>
        <v>Kinovate</v>
      </c>
      <c r="S948" s="41">
        <f t="shared" si="100"/>
        <v>47423</v>
      </c>
      <c r="T948" s="30">
        <f t="shared" si="101"/>
        <v>0</v>
      </c>
      <c r="AB948">
        <f t="shared" si="104"/>
        <v>93.800000000000011</v>
      </c>
    </row>
    <row r="949" spans="1:28" ht="13" customHeight="1" x14ac:dyDescent="0.35">
      <c r="A949" s="153">
        <v>47574</v>
      </c>
      <c r="B949" s="36" t="s">
        <v>50</v>
      </c>
      <c r="C949" s="15" t="s">
        <v>52</v>
      </c>
      <c r="D949" s="15" t="s">
        <v>48</v>
      </c>
      <c r="E949" s="30">
        <f>H948</f>
        <v>177.28999999999996</v>
      </c>
      <c r="F949" s="37">
        <f>IFERROR('Production Inputs'!$BJ$37*Dependencies!$D$11,0)</f>
        <v>0</v>
      </c>
      <c r="G949" s="37">
        <f t="array" ref="G949">IFERROR(SUMPRODUCT(('Production Inputs'!$A:$A="LLPS")*('Production Inputs'!$B:$B="TOTAL ACTIVE")*'Production Inputs'!$BJ:$BJ),0)</f>
        <v>0</v>
      </c>
      <c r="H949" s="30">
        <f t="shared" si="102"/>
        <v>177.28999999999996</v>
      </c>
      <c r="I949" s="30">
        <f ca="1">IFERROR(AVERAGEIF(OFFSET(F949,0,0,MIN(Controls!$B$8,COUNTIF(B949:B$1973,B949)),1),"&gt;"&amp;0),0)</f>
        <v>0</v>
      </c>
      <c r="J949" s="38">
        <f t="shared" ca="1" si="98"/>
        <v>999</v>
      </c>
      <c r="K949" s="30">
        <f t="shared" ca="1" si="103"/>
        <v>0</v>
      </c>
      <c r="L949" t="str">
        <f t="shared" ca="1" si="99"/>
        <v>Overstock</v>
      </c>
      <c r="M949" s="39">
        <f>IFERROR(VLOOKUP("LLPS",Controls!A:I,7,0),6)</f>
        <v>4</v>
      </c>
      <c r="N949" s="39">
        <f>IFERROR(VLOOKUP("LLPS",Controls!A:I,8,0),3)</f>
        <v>3</v>
      </c>
      <c r="O949" s="39">
        <f>IFERROR(VLOOKUP("LLPS",Controls!A:I,9,0),18)</f>
        <v>12</v>
      </c>
      <c r="P949" s="40">
        <f>IFERROR(VLOOKUP("LLPS",Controls!A:J,5,0),0)</f>
        <v>5</v>
      </c>
      <c r="Q949" s="39">
        <f>IFERROR(VLOOKUP("LLPS",Controls!A:J,6,0),3)</f>
        <v>4</v>
      </c>
      <c r="R949" s="21" t="str">
        <f>IFERROR(VLOOKUP("LLPS",Controls!A:K,10,0),"")</f>
        <v>Kinovate</v>
      </c>
      <c r="S949" s="41">
        <f t="shared" si="100"/>
        <v>47453</v>
      </c>
      <c r="T949" s="30">
        <f t="shared" si="101"/>
        <v>0</v>
      </c>
      <c r="AB949">
        <f t="shared" si="104"/>
        <v>93.800000000000011</v>
      </c>
    </row>
    <row r="950" spans="1:28" ht="13" customHeight="1" x14ac:dyDescent="0.35">
      <c r="A950" s="153">
        <v>47604</v>
      </c>
      <c r="B950" s="36" t="s">
        <v>50</v>
      </c>
      <c r="C950" s="15" t="s">
        <v>52</v>
      </c>
      <c r="D950" s="15" t="s">
        <v>48</v>
      </c>
      <c r="E950" s="30">
        <f>H949</f>
        <v>177.28999999999996</v>
      </c>
      <c r="F950" s="37">
        <f>IFERROR('Production Inputs'!$BK$37*Dependencies!$D$11,0)</f>
        <v>0</v>
      </c>
      <c r="G950" s="37">
        <f t="array" ref="G950">IFERROR(SUMPRODUCT(('Production Inputs'!$A:$A="LLPS")*('Production Inputs'!$B:$B="TOTAL ACTIVE")*'Production Inputs'!$BK:$BK),0)</f>
        <v>0</v>
      </c>
      <c r="H950" s="30">
        <f t="shared" si="102"/>
        <v>177.28999999999996</v>
      </c>
      <c r="I950" s="30">
        <f ca="1">IFERROR(AVERAGEIF(OFFSET(F950,0,0,MIN(Controls!$B$8,COUNTIF(B950:B$1973,B950)),1),"&gt;"&amp;0),0)</f>
        <v>0</v>
      </c>
      <c r="J950" s="38">
        <f t="shared" ca="1" si="98"/>
        <v>999</v>
      </c>
      <c r="K950" s="30">
        <f t="shared" ca="1" si="103"/>
        <v>0</v>
      </c>
      <c r="L950" t="str">
        <f t="shared" ca="1" si="99"/>
        <v>Overstock</v>
      </c>
      <c r="M950" s="39">
        <f>IFERROR(VLOOKUP("LLPS",Controls!A:I,7,0),6)</f>
        <v>4</v>
      </c>
      <c r="N950" s="39">
        <f>IFERROR(VLOOKUP("LLPS",Controls!A:I,8,0),3)</f>
        <v>3</v>
      </c>
      <c r="O950" s="39">
        <f>IFERROR(VLOOKUP("LLPS",Controls!A:I,9,0),18)</f>
        <v>12</v>
      </c>
      <c r="P950" s="40">
        <f>IFERROR(VLOOKUP("LLPS",Controls!A:J,5,0),0)</f>
        <v>5</v>
      </c>
      <c r="Q950" s="39">
        <f>IFERROR(VLOOKUP("LLPS",Controls!A:J,6,0),3)</f>
        <v>4</v>
      </c>
      <c r="R950" s="21" t="str">
        <f>IFERROR(VLOOKUP("LLPS",Controls!A:K,10,0),"")</f>
        <v>Kinovate</v>
      </c>
      <c r="S950" s="41">
        <f t="shared" si="100"/>
        <v>47484</v>
      </c>
      <c r="T950" s="30">
        <f t="shared" si="101"/>
        <v>0</v>
      </c>
      <c r="AB950">
        <f t="shared" si="104"/>
        <v>93.800000000000011</v>
      </c>
    </row>
    <row r="951" spans="1:28" ht="13" customHeight="1" x14ac:dyDescent="0.35">
      <c r="A951" s="153">
        <v>47635</v>
      </c>
      <c r="B951" s="36" t="s">
        <v>50</v>
      </c>
      <c r="C951" s="15" t="s">
        <v>52</v>
      </c>
      <c r="D951" s="15" t="s">
        <v>48</v>
      </c>
      <c r="E951" s="30">
        <f>H950</f>
        <v>177.28999999999996</v>
      </c>
      <c r="F951" s="37">
        <f>IFERROR('Production Inputs'!$BL$37*Dependencies!$D$11,0)</f>
        <v>0</v>
      </c>
      <c r="G951" s="37">
        <f t="array" ref="G951">IFERROR(SUMPRODUCT(('Production Inputs'!$A:$A="LLPS")*('Production Inputs'!$B:$B="TOTAL ACTIVE")*'Production Inputs'!$BL:$BL),0)</f>
        <v>0</v>
      </c>
      <c r="H951" s="30">
        <f t="shared" si="102"/>
        <v>177.28999999999996</v>
      </c>
      <c r="I951" s="30">
        <f ca="1">IFERROR(AVERAGEIF(OFFSET(F951,0,0,MIN(Controls!$B$8,COUNTIF(B951:B$1973,B951)),1),"&gt;"&amp;0),0)</f>
        <v>0</v>
      </c>
      <c r="J951" s="38">
        <f t="shared" ca="1" si="98"/>
        <v>999</v>
      </c>
      <c r="K951" s="30">
        <f t="shared" ca="1" si="103"/>
        <v>0</v>
      </c>
      <c r="L951" t="str">
        <f t="shared" ca="1" si="99"/>
        <v>Overstock</v>
      </c>
      <c r="M951" s="39">
        <f>IFERROR(VLOOKUP("LLPS",Controls!A:I,7,0),6)</f>
        <v>4</v>
      </c>
      <c r="N951" s="39">
        <f>IFERROR(VLOOKUP("LLPS",Controls!A:I,8,0),3)</f>
        <v>3</v>
      </c>
      <c r="O951" s="39">
        <f>IFERROR(VLOOKUP("LLPS",Controls!A:I,9,0),18)</f>
        <v>12</v>
      </c>
      <c r="P951" s="40">
        <f>IFERROR(VLOOKUP("LLPS",Controls!A:J,5,0),0)</f>
        <v>5</v>
      </c>
      <c r="Q951" s="39">
        <f>IFERROR(VLOOKUP("LLPS",Controls!A:J,6,0),3)</f>
        <v>4</v>
      </c>
      <c r="R951" s="21" t="str">
        <f>IFERROR(VLOOKUP("LLPS",Controls!A:K,10,0),"")</f>
        <v>Kinovate</v>
      </c>
      <c r="S951" s="41">
        <f t="shared" si="100"/>
        <v>47515</v>
      </c>
      <c r="T951" s="30">
        <f t="shared" si="101"/>
        <v>0</v>
      </c>
      <c r="AB951">
        <f t="shared" si="104"/>
        <v>93.800000000000011</v>
      </c>
    </row>
    <row r="952" spans="1:28" ht="13" customHeight="1" x14ac:dyDescent="0.35">
      <c r="A952" s="153">
        <v>47665</v>
      </c>
      <c r="B952" s="36" t="s">
        <v>50</v>
      </c>
      <c r="C952" s="15" t="s">
        <v>52</v>
      </c>
      <c r="D952" s="15" t="s">
        <v>48</v>
      </c>
      <c r="E952" s="30">
        <f>H951</f>
        <v>177.28999999999996</v>
      </c>
      <c r="F952" s="37">
        <f>IFERROR('Production Inputs'!$BM$37*Dependencies!$D$11,0)</f>
        <v>0</v>
      </c>
      <c r="G952" s="37">
        <f t="array" ref="G952">IFERROR(SUMPRODUCT(('Production Inputs'!$A:$A="LLPS")*('Production Inputs'!$B:$B="TOTAL ACTIVE")*'Production Inputs'!$BM:$BM),0)</f>
        <v>0</v>
      </c>
      <c r="H952" s="30">
        <f t="shared" si="102"/>
        <v>177.28999999999996</v>
      </c>
      <c r="I952" s="30">
        <f ca="1">IFERROR(AVERAGEIF(OFFSET(F952,0,0,MIN(Controls!$B$8,COUNTIF(B952:B$1973,B952)),1),"&gt;"&amp;0),0)</f>
        <v>0</v>
      </c>
      <c r="J952" s="38">
        <f t="shared" ca="1" si="98"/>
        <v>999</v>
      </c>
      <c r="K952" s="30">
        <f t="shared" ca="1" si="103"/>
        <v>0</v>
      </c>
      <c r="L952" t="str">
        <f t="shared" ca="1" si="99"/>
        <v>Overstock</v>
      </c>
      <c r="M952" s="39">
        <f>IFERROR(VLOOKUP("LLPS",Controls!A:I,7,0),6)</f>
        <v>4</v>
      </c>
      <c r="N952" s="39">
        <f>IFERROR(VLOOKUP("LLPS",Controls!A:I,8,0),3)</f>
        <v>3</v>
      </c>
      <c r="O952" s="39">
        <f>IFERROR(VLOOKUP("LLPS",Controls!A:I,9,0),18)</f>
        <v>12</v>
      </c>
      <c r="P952" s="40">
        <f>IFERROR(VLOOKUP("LLPS",Controls!A:J,5,0),0)</f>
        <v>5</v>
      </c>
      <c r="Q952" s="39">
        <f>IFERROR(VLOOKUP("LLPS",Controls!A:J,6,0),3)</f>
        <v>4</v>
      </c>
      <c r="R952" s="21" t="str">
        <f>IFERROR(VLOOKUP("LLPS",Controls!A:K,10,0),"")</f>
        <v>Kinovate</v>
      </c>
      <c r="S952" s="41">
        <f t="shared" si="100"/>
        <v>47543</v>
      </c>
      <c r="T952" s="30">
        <f t="shared" si="101"/>
        <v>0</v>
      </c>
      <c r="AB952">
        <f t="shared" si="104"/>
        <v>93.800000000000011</v>
      </c>
    </row>
    <row r="953" spans="1:28" ht="13" customHeight="1" x14ac:dyDescent="0.35">
      <c r="A953" s="153">
        <v>47696</v>
      </c>
      <c r="B953" s="36" t="s">
        <v>50</v>
      </c>
      <c r="C953" s="15" t="s">
        <v>52</v>
      </c>
      <c r="D953" s="15" t="s">
        <v>48</v>
      </c>
      <c r="E953" s="30">
        <f>H952</f>
        <v>177.28999999999996</v>
      </c>
      <c r="F953" s="37">
        <f>IFERROR('Production Inputs'!$BN$37*Dependencies!$D$11,0)</f>
        <v>0</v>
      </c>
      <c r="G953" s="37">
        <f t="array" ref="G953">IFERROR(SUMPRODUCT(('Production Inputs'!$A:$A="LLPS")*('Production Inputs'!$B:$B="TOTAL ACTIVE")*'Production Inputs'!$BN:$BN),0)</f>
        <v>0</v>
      </c>
      <c r="H953" s="30">
        <f t="shared" si="102"/>
        <v>177.28999999999996</v>
      </c>
      <c r="I953" s="30">
        <f ca="1">IFERROR(AVERAGEIF(OFFSET(F953,0,0,MIN(Controls!$B$8,COUNTIF(B953:B$1973,B953)),1),"&gt;"&amp;0),0)</f>
        <v>0</v>
      </c>
      <c r="J953" s="38">
        <f t="shared" ca="1" si="98"/>
        <v>999</v>
      </c>
      <c r="K953" s="30">
        <f t="shared" ca="1" si="103"/>
        <v>0</v>
      </c>
      <c r="L953" t="str">
        <f t="shared" ca="1" si="99"/>
        <v>Overstock</v>
      </c>
      <c r="M953" s="39">
        <f>IFERROR(VLOOKUP("LLPS",Controls!A:I,7,0),6)</f>
        <v>4</v>
      </c>
      <c r="N953" s="39">
        <f>IFERROR(VLOOKUP("LLPS",Controls!A:I,8,0),3)</f>
        <v>3</v>
      </c>
      <c r="O953" s="39">
        <f>IFERROR(VLOOKUP("LLPS",Controls!A:I,9,0),18)</f>
        <v>12</v>
      </c>
      <c r="P953" s="40">
        <f>IFERROR(VLOOKUP("LLPS",Controls!A:J,5,0),0)</f>
        <v>5</v>
      </c>
      <c r="Q953" s="39">
        <f>IFERROR(VLOOKUP("LLPS",Controls!A:J,6,0),3)</f>
        <v>4</v>
      </c>
      <c r="R953" s="21" t="str">
        <f>IFERROR(VLOOKUP("LLPS",Controls!A:K,10,0),"")</f>
        <v>Kinovate</v>
      </c>
      <c r="S953" s="41">
        <f t="shared" si="100"/>
        <v>47574</v>
      </c>
      <c r="T953" s="30">
        <f t="shared" si="101"/>
        <v>0</v>
      </c>
      <c r="AB953">
        <f t="shared" si="104"/>
        <v>93.800000000000011</v>
      </c>
    </row>
    <row r="954" spans="1:28" ht="13" customHeight="1" x14ac:dyDescent="0.35">
      <c r="A954" s="153">
        <v>47727</v>
      </c>
      <c r="B954" s="36" t="s">
        <v>50</v>
      </c>
      <c r="C954" s="15" t="s">
        <v>52</v>
      </c>
      <c r="D954" s="15" t="s">
        <v>48</v>
      </c>
      <c r="E954" s="30">
        <f>H953</f>
        <v>177.28999999999996</v>
      </c>
      <c r="F954" s="37">
        <f>IFERROR('Production Inputs'!$BO$37*Dependencies!$D$11,0)</f>
        <v>0</v>
      </c>
      <c r="G954" s="37">
        <f t="array" ref="G954">IFERROR(SUMPRODUCT(('Production Inputs'!$A:$A="LLPS")*('Production Inputs'!$B:$B="TOTAL ACTIVE")*'Production Inputs'!$BO:$BO),0)</f>
        <v>0</v>
      </c>
      <c r="H954" s="30">
        <f t="shared" si="102"/>
        <v>177.28999999999996</v>
      </c>
      <c r="I954" s="30">
        <f ca="1">IFERROR(AVERAGEIF(OFFSET(F954,0,0,MIN(Controls!$B$8,COUNTIF(B954:B$1973,B954)),1),"&gt;"&amp;0),0)</f>
        <v>0</v>
      </c>
      <c r="J954" s="38">
        <f t="shared" ca="1" si="98"/>
        <v>999</v>
      </c>
      <c r="K954" s="30">
        <f t="shared" ca="1" si="103"/>
        <v>0</v>
      </c>
      <c r="L954" t="str">
        <f t="shared" ca="1" si="99"/>
        <v>Overstock</v>
      </c>
      <c r="M954" s="39">
        <f>IFERROR(VLOOKUP("LLPS",Controls!A:I,7,0),6)</f>
        <v>4</v>
      </c>
      <c r="N954" s="39">
        <f>IFERROR(VLOOKUP("LLPS",Controls!A:I,8,0),3)</f>
        <v>3</v>
      </c>
      <c r="O954" s="39">
        <f>IFERROR(VLOOKUP("LLPS",Controls!A:I,9,0),18)</f>
        <v>12</v>
      </c>
      <c r="P954" s="40">
        <f>IFERROR(VLOOKUP("LLPS",Controls!A:J,5,0),0)</f>
        <v>5</v>
      </c>
      <c r="Q954" s="39">
        <f>IFERROR(VLOOKUP("LLPS",Controls!A:J,6,0),3)</f>
        <v>4</v>
      </c>
      <c r="R954" s="21" t="str">
        <f>IFERROR(VLOOKUP("LLPS",Controls!A:K,10,0),"")</f>
        <v>Kinovate</v>
      </c>
      <c r="S954" s="41">
        <f t="shared" si="100"/>
        <v>47604</v>
      </c>
      <c r="T954" s="30">
        <f t="shared" si="101"/>
        <v>0</v>
      </c>
      <c r="AB954">
        <f t="shared" si="104"/>
        <v>93.800000000000011</v>
      </c>
    </row>
    <row r="955" spans="1:28" ht="13" customHeight="1" x14ac:dyDescent="0.35">
      <c r="A955" s="153">
        <v>47757</v>
      </c>
      <c r="B955" s="36" t="s">
        <v>50</v>
      </c>
      <c r="C955" s="15" t="s">
        <v>52</v>
      </c>
      <c r="D955" s="15" t="s">
        <v>48</v>
      </c>
      <c r="E955" s="30">
        <f>H954</f>
        <v>177.28999999999996</v>
      </c>
      <c r="F955" s="37">
        <f>IFERROR('Production Inputs'!$BP$37*Dependencies!$D$11,0)</f>
        <v>0</v>
      </c>
      <c r="G955" s="37">
        <f t="array" ref="G955">IFERROR(SUMPRODUCT(('Production Inputs'!$A:$A="LLPS")*('Production Inputs'!$B:$B="TOTAL ACTIVE")*'Production Inputs'!$BP:$BP),0)</f>
        <v>0</v>
      </c>
      <c r="H955" s="30">
        <f t="shared" si="102"/>
        <v>177.28999999999996</v>
      </c>
      <c r="I955" s="30">
        <f ca="1">IFERROR(AVERAGEIF(OFFSET(F955,0,0,MIN(Controls!$B$8,COUNTIF(B955:B$1973,B955)),1),"&gt;"&amp;0),0)</f>
        <v>0</v>
      </c>
      <c r="J955" s="38">
        <f t="shared" ca="1" si="98"/>
        <v>999</v>
      </c>
      <c r="K955" s="30">
        <f t="shared" ca="1" si="103"/>
        <v>0</v>
      </c>
      <c r="L955" t="str">
        <f t="shared" ca="1" si="99"/>
        <v>Overstock</v>
      </c>
      <c r="M955" s="39">
        <f>IFERROR(VLOOKUP("LLPS",Controls!A:I,7,0),6)</f>
        <v>4</v>
      </c>
      <c r="N955" s="39">
        <f>IFERROR(VLOOKUP("LLPS",Controls!A:I,8,0),3)</f>
        <v>3</v>
      </c>
      <c r="O955" s="39">
        <f>IFERROR(VLOOKUP("LLPS",Controls!A:I,9,0),18)</f>
        <v>12</v>
      </c>
      <c r="P955" s="40">
        <f>IFERROR(VLOOKUP("LLPS",Controls!A:J,5,0),0)</f>
        <v>5</v>
      </c>
      <c r="Q955" s="39">
        <f>IFERROR(VLOOKUP("LLPS",Controls!A:J,6,0),3)</f>
        <v>4</v>
      </c>
      <c r="R955" s="21" t="str">
        <f>IFERROR(VLOOKUP("LLPS",Controls!A:K,10,0),"")</f>
        <v>Kinovate</v>
      </c>
      <c r="S955" s="41">
        <f t="shared" si="100"/>
        <v>47635</v>
      </c>
      <c r="T955" s="30">
        <f t="shared" si="101"/>
        <v>0</v>
      </c>
      <c r="AB955">
        <f t="shared" si="104"/>
        <v>93.800000000000011</v>
      </c>
    </row>
    <row r="956" spans="1:28" ht="13" customHeight="1" x14ac:dyDescent="0.35">
      <c r="A956" s="153">
        <v>47788</v>
      </c>
      <c r="B956" s="36" t="s">
        <v>50</v>
      </c>
      <c r="C956" s="15" t="s">
        <v>52</v>
      </c>
      <c r="D956" s="15" t="s">
        <v>48</v>
      </c>
      <c r="E956" s="30">
        <f>H955</f>
        <v>177.28999999999996</v>
      </c>
      <c r="F956" s="37">
        <f>IFERROR('Production Inputs'!$BQ$37*Dependencies!$D$11,0)</f>
        <v>0</v>
      </c>
      <c r="G956" s="37">
        <f t="array" ref="G956">IFERROR(SUMPRODUCT(('Production Inputs'!$A:$A="LLPS")*('Production Inputs'!$B:$B="TOTAL ACTIVE")*'Production Inputs'!$BQ:$BQ),0)</f>
        <v>0</v>
      </c>
      <c r="H956" s="30">
        <f t="shared" si="102"/>
        <v>177.28999999999996</v>
      </c>
      <c r="I956" s="30">
        <f ca="1">IFERROR(AVERAGEIF(OFFSET(F956,0,0,MIN(Controls!$B$8,COUNTIF(B956:B$1973,B956)),1),"&gt;"&amp;0),0)</f>
        <v>0</v>
      </c>
      <c r="J956" s="38">
        <f t="shared" ca="1" si="98"/>
        <v>999</v>
      </c>
      <c r="K956" s="30">
        <f t="shared" ca="1" si="103"/>
        <v>0</v>
      </c>
      <c r="L956" t="str">
        <f t="shared" ca="1" si="99"/>
        <v>Overstock</v>
      </c>
      <c r="M956" s="39">
        <f>IFERROR(VLOOKUP("LLPS",Controls!A:I,7,0),6)</f>
        <v>4</v>
      </c>
      <c r="N956" s="39">
        <f>IFERROR(VLOOKUP("LLPS",Controls!A:I,8,0),3)</f>
        <v>3</v>
      </c>
      <c r="O956" s="39">
        <f>IFERROR(VLOOKUP("LLPS",Controls!A:I,9,0),18)</f>
        <v>12</v>
      </c>
      <c r="P956" s="40">
        <f>IFERROR(VLOOKUP("LLPS",Controls!A:J,5,0),0)</f>
        <v>5</v>
      </c>
      <c r="Q956" s="39">
        <f>IFERROR(VLOOKUP("LLPS",Controls!A:J,6,0),3)</f>
        <v>4</v>
      </c>
      <c r="R956" s="21" t="str">
        <f>IFERROR(VLOOKUP("LLPS",Controls!A:K,10,0),"")</f>
        <v>Kinovate</v>
      </c>
      <c r="S956" s="41">
        <f t="shared" si="100"/>
        <v>47665</v>
      </c>
      <c r="T956" s="30">
        <f t="shared" si="101"/>
        <v>0</v>
      </c>
      <c r="AB956">
        <f t="shared" si="104"/>
        <v>93.800000000000011</v>
      </c>
    </row>
    <row r="957" spans="1:28" ht="13" customHeight="1" x14ac:dyDescent="0.35">
      <c r="A957" s="153">
        <v>47818</v>
      </c>
      <c r="B957" s="36" t="s">
        <v>50</v>
      </c>
      <c r="C957" s="15" t="s">
        <v>52</v>
      </c>
      <c r="D957" s="15" t="s">
        <v>48</v>
      </c>
      <c r="E957" s="30">
        <f>H956</f>
        <v>177.28999999999996</v>
      </c>
      <c r="F957" s="37">
        <f>IFERROR('Production Inputs'!$BR$37*Dependencies!$D$11,0)</f>
        <v>0</v>
      </c>
      <c r="G957" s="37">
        <f t="array" ref="G957">IFERROR(SUMPRODUCT(('Production Inputs'!$A:$A="LLPS")*('Production Inputs'!$B:$B="TOTAL ACTIVE")*'Production Inputs'!$BR:$BR),0)</f>
        <v>0</v>
      </c>
      <c r="H957" s="30">
        <f t="shared" si="102"/>
        <v>177.28999999999996</v>
      </c>
      <c r="I957" s="30">
        <f ca="1">IFERROR(AVERAGEIF(OFFSET(F957,0,0,MIN(Controls!$B$8,COUNTIF(B957:B$1973,B957)),1),"&gt;"&amp;0),0)</f>
        <v>0</v>
      </c>
      <c r="J957" s="38">
        <f t="shared" ca="1" si="98"/>
        <v>999</v>
      </c>
      <c r="K957" s="30">
        <f t="shared" ca="1" si="103"/>
        <v>0</v>
      </c>
      <c r="L957" t="str">
        <f t="shared" ca="1" si="99"/>
        <v>Overstock</v>
      </c>
      <c r="M957" s="39">
        <f>IFERROR(VLOOKUP("LLPS",Controls!A:I,7,0),6)</f>
        <v>4</v>
      </c>
      <c r="N957" s="39">
        <f>IFERROR(VLOOKUP("LLPS",Controls!A:I,8,0),3)</f>
        <v>3</v>
      </c>
      <c r="O957" s="39">
        <f>IFERROR(VLOOKUP("LLPS",Controls!A:I,9,0),18)</f>
        <v>12</v>
      </c>
      <c r="P957" s="40">
        <f>IFERROR(VLOOKUP("LLPS",Controls!A:J,5,0),0)</f>
        <v>5</v>
      </c>
      <c r="Q957" s="39">
        <f>IFERROR(VLOOKUP("LLPS",Controls!A:J,6,0),3)</f>
        <v>4</v>
      </c>
      <c r="R957" s="21" t="str">
        <f>IFERROR(VLOOKUP("LLPS",Controls!A:K,10,0),"")</f>
        <v>Kinovate</v>
      </c>
      <c r="S957" s="41">
        <f t="shared" si="100"/>
        <v>47696</v>
      </c>
      <c r="T957" s="30">
        <f t="shared" si="101"/>
        <v>0</v>
      </c>
      <c r="AB957">
        <f t="shared" si="104"/>
        <v>93.800000000000011</v>
      </c>
    </row>
    <row r="958" spans="1:28" ht="13" customHeight="1" x14ac:dyDescent="0.35">
      <c r="A958" s="153">
        <v>47849</v>
      </c>
      <c r="B958" s="36" t="s">
        <v>50</v>
      </c>
      <c r="C958" s="15" t="s">
        <v>52</v>
      </c>
      <c r="D958" s="15" t="s">
        <v>48</v>
      </c>
      <c r="E958" s="30">
        <f>H957</f>
        <v>177.28999999999996</v>
      </c>
      <c r="F958" s="37">
        <f>IFERROR('Production Inputs'!$BS$37*Dependencies!$D$11,0)</f>
        <v>0</v>
      </c>
      <c r="G958" s="37">
        <f t="array" ref="G958">IFERROR(SUMPRODUCT(('Production Inputs'!$A:$A="LLPS")*('Production Inputs'!$B:$B="TOTAL ACTIVE")*'Production Inputs'!$BS:$BS),0)</f>
        <v>0</v>
      </c>
      <c r="H958" s="30">
        <f t="shared" si="102"/>
        <v>177.28999999999996</v>
      </c>
      <c r="I958" s="30">
        <f ca="1">IFERROR(AVERAGEIF(OFFSET(F958,0,0,MIN(Controls!$B$8,COUNTIF(B958:B$1973,B958)),1),"&gt;"&amp;0),0)</f>
        <v>0</v>
      </c>
      <c r="J958" s="38">
        <f t="shared" ca="1" si="98"/>
        <v>999</v>
      </c>
      <c r="K958" s="30">
        <f t="shared" ca="1" si="103"/>
        <v>0</v>
      </c>
      <c r="L958" t="str">
        <f t="shared" ca="1" si="99"/>
        <v>Overstock</v>
      </c>
      <c r="M958" s="39">
        <f>IFERROR(VLOOKUP("LLPS",Controls!A:I,7,0),6)</f>
        <v>4</v>
      </c>
      <c r="N958" s="39">
        <f>IFERROR(VLOOKUP("LLPS",Controls!A:I,8,0),3)</f>
        <v>3</v>
      </c>
      <c r="O958" s="39">
        <f>IFERROR(VLOOKUP("LLPS",Controls!A:I,9,0),18)</f>
        <v>12</v>
      </c>
      <c r="P958" s="40">
        <f>IFERROR(VLOOKUP("LLPS",Controls!A:J,5,0),0)</f>
        <v>5</v>
      </c>
      <c r="Q958" s="39">
        <f>IFERROR(VLOOKUP("LLPS",Controls!A:J,6,0),3)</f>
        <v>4</v>
      </c>
      <c r="R958" s="21" t="str">
        <f>IFERROR(VLOOKUP("LLPS",Controls!A:K,10,0),"")</f>
        <v>Kinovate</v>
      </c>
      <c r="S958" s="41">
        <f t="shared" si="100"/>
        <v>47727</v>
      </c>
      <c r="T958" s="30">
        <f t="shared" si="101"/>
        <v>0</v>
      </c>
      <c r="AB958">
        <f t="shared" si="104"/>
        <v>93.800000000000011</v>
      </c>
    </row>
    <row r="959" spans="1:28" ht="13" customHeight="1" x14ac:dyDescent="0.35">
      <c r="A959" s="153">
        <v>47880</v>
      </c>
      <c r="B959" s="36" t="s">
        <v>50</v>
      </c>
      <c r="C959" s="15" t="s">
        <v>52</v>
      </c>
      <c r="D959" s="15" t="s">
        <v>48</v>
      </c>
      <c r="E959" s="30">
        <f>H958</f>
        <v>177.28999999999996</v>
      </c>
      <c r="F959" s="37">
        <f>IFERROR('Production Inputs'!$BT$37*Dependencies!$D$11,0)</f>
        <v>0</v>
      </c>
      <c r="G959" s="37">
        <f t="array" ref="G959">IFERROR(SUMPRODUCT(('Production Inputs'!$A:$A="LLPS")*('Production Inputs'!$B:$B="TOTAL ACTIVE")*'Production Inputs'!$BT:$BT),0)</f>
        <v>0</v>
      </c>
      <c r="H959" s="30">
        <f t="shared" si="102"/>
        <v>177.28999999999996</v>
      </c>
      <c r="I959" s="30">
        <f ca="1">IFERROR(AVERAGEIF(OFFSET(F959,0,0,MIN(Controls!$B$8,COUNTIF(B959:B$1973,B959)),1),"&gt;"&amp;0),0)</f>
        <v>0</v>
      </c>
      <c r="J959" s="38">
        <f t="shared" ca="1" si="98"/>
        <v>999</v>
      </c>
      <c r="K959" s="30">
        <f t="shared" ca="1" si="103"/>
        <v>0</v>
      </c>
      <c r="L959" t="str">
        <f t="shared" ca="1" si="99"/>
        <v>Overstock</v>
      </c>
      <c r="M959" s="39">
        <f>IFERROR(VLOOKUP("LLPS",Controls!A:I,7,0),6)</f>
        <v>4</v>
      </c>
      <c r="N959" s="39">
        <f>IFERROR(VLOOKUP("LLPS",Controls!A:I,8,0),3)</f>
        <v>3</v>
      </c>
      <c r="O959" s="39">
        <f>IFERROR(VLOOKUP("LLPS",Controls!A:I,9,0),18)</f>
        <v>12</v>
      </c>
      <c r="P959" s="40">
        <f>IFERROR(VLOOKUP("LLPS",Controls!A:J,5,0),0)</f>
        <v>5</v>
      </c>
      <c r="Q959" s="39">
        <f>IFERROR(VLOOKUP("LLPS",Controls!A:J,6,0),3)</f>
        <v>4</v>
      </c>
      <c r="R959" s="21" t="str">
        <f>IFERROR(VLOOKUP("LLPS",Controls!A:K,10,0),"")</f>
        <v>Kinovate</v>
      </c>
      <c r="S959" s="41">
        <f t="shared" si="100"/>
        <v>47757</v>
      </c>
      <c r="T959" s="30">
        <f t="shared" si="101"/>
        <v>0</v>
      </c>
      <c r="AB959">
        <f t="shared" si="104"/>
        <v>93.800000000000011</v>
      </c>
    </row>
    <row r="960" spans="1:28" ht="13" customHeight="1" x14ac:dyDescent="0.35">
      <c r="A960" s="153">
        <v>47908</v>
      </c>
      <c r="B960" s="36" t="s">
        <v>50</v>
      </c>
      <c r="C960" s="15" t="s">
        <v>52</v>
      </c>
      <c r="D960" s="15" t="s">
        <v>48</v>
      </c>
      <c r="E960" s="30">
        <f>H959</f>
        <v>177.28999999999996</v>
      </c>
      <c r="F960" s="37">
        <f>IFERROR('Production Inputs'!$BU$37*Dependencies!$D$11,0)</f>
        <v>0</v>
      </c>
      <c r="G960" s="37">
        <f t="array" ref="G960">IFERROR(SUMPRODUCT(('Production Inputs'!$A:$A="LLPS")*('Production Inputs'!$B:$B="TOTAL ACTIVE")*'Production Inputs'!$BU:$BU),0)</f>
        <v>0</v>
      </c>
      <c r="H960" s="30">
        <f t="shared" si="102"/>
        <v>177.28999999999996</v>
      </c>
      <c r="I960" s="30">
        <f ca="1">IFERROR(AVERAGEIF(OFFSET(F960,0,0,MIN(Controls!$B$8,COUNTIF(B960:B$1973,B960)),1),"&gt;"&amp;0),0)</f>
        <v>0</v>
      </c>
      <c r="J960" s="38">
        <f t="shared" ca="1" si="98"/>
        <v>999</v>
      </c>
      <c r="K960" s="30">
        <f t="shared" ca="1" si="103"/>
        <v>0</v>
      </c>
      <c r="L960" t="str">
        <f t="shared" ca="1" si="99"/>
        <v>Overstock</v>
      </c>
      <c r="M960" s="39">
        <f>IFERROR(VLOOKUP("LLPS",Controls!A:I,7,0),6)</f>
        <v>4</v>
      </c>
      <c r="N960" s="39">
        <f>IFERROR(VLOOKUP("LLPS",Controls!A:I,8,0),3)</f>
        <v>3</v>
      </c>
      <c r="O960" s="39">
        <f>IFERROR(VLOOKUP("LLPS",Controls!A:I,9,0),18)</f>
        <v>12</v>
      </c>
      <c r="P960" s="40">
        <f>IFERROR(VLOOKUP("LLPS",Controls!A:J,5,0),0)</f>
        <v>5</v>
      </c>
      <c r="Q960" s="39">
        <f>IFERROR(VLOOKUP("LLPS",Controls!A:J,6,0),3)</f>
        <v>4</v>
      </c>
      <c r="R960" s="21" t="str">
        <f>IFERROR(VLOOKUP("LLPS",Controls!A:K,10,0),"")</f>
        <v>Kinovate</v>
      </c>
      <c r="S960" s="41">
        <f t="shared" si="100"/>
        <v>47788</v>
      </c>
      <c r="T960" s="30">
        <f t="shared" si="101"/>
        <v>0</v>
      </c>
      <c r="AB960">
        <f t="shared" si="104"/>
        <v>93.800000000000011</v>
      </c>
    </row>
    <row r="961" spans="1:28" ht="13" customHeight="1" x14ac:dyDescent="0.35">
      <c r="A961" s="153">
        <v>47939</v>
      </c>
      <c r="B961" s="36" t="s">
        <v>50</v>
      </c>
      <c r="C961" s="15" t="s">
        <v>52</v>
      </c>
      <c r="D961" s="15" t="s">
        <v>48</v>
      </c>
      <c r="E961" s="30">
        <f>H960</f>
        <v>177.28999999999996</v>
      </c>
      <c r="F961" s="37">
        <f>IFERROR('Production Inputs'!$BV$37*Dependencies!$D$11,0)</f>
        <v>0</v>
      </c>
      <c r="G961" s="37">
        <f t="array" ref="G961">IFERROR(SUMPRODUCT(('Production Inputs'!$A:$A="LLPS")*('Production Inputs'!$B:$B="TOTAL ACTIVE")*'Production Inputs'!$BV:$BV),0)</f>
        <v>0</v>
      </c>
      <c r="H961" s="30">
        <f t="shared" si="102"/>
        <v>177.28999999999996</v>
      </c>
      <c r="I961" s="30">
        <f ca="1">IFERROR(AVERAGEIF(OFFSET(F961,0,0,MIN(Controls!$B$8,COUNTIF(B961:B$1973,B961)),1),"&gt;"&amp;0),0)</f>
        <v>0</v>
      </c>
      <c r="J961" s="38">
        <f t="shared" ca="1" si="98"/>
        <v>999</v>
      </c>
      <c r="K961" s="30">
        <f t="shared" ca="1" si="103"/>
        <v>0</v>
      </c>
      <c r="L961" t="str">
        <f t="shared" ca="1" si="99"/>
        <v>Overstock</v>
      </c>
      <c r="M961" s="39">
        <f>IFERROR(VLOOKUP("LLPS",Controls!A:I,7,0),6)</f>
        <v>4</v>
      </c>
      <c r="N961" s="39">
        <f>IFERROR(VLOOKUP("LLPS",Controls!A:I,8,0),3)</f>
        <v>3</v>
      </c>
      <c r="O961" s="39">
        <f>IFERROR(VLOOKUP("LLPS",Controls!A:I,9,0),18)</f>
        <v>12</v>
      </c>
      <c r="P961" s="40">
        <f>IFERROR(VLOOKUP("LLPS",Controls!A:J,5,0),0)</f>
        <v>5</v>
      </c>
      <c r="Q961" s="39">
        <f>IFERROR(VLOOKUP("LLPS",Controls!A:J,6,0),3)</f>
        <v>4</v>
      </c>
      <c r="R961" s="21" t="str">
        <f>IFERROR(VLOOKUP("LLPS",Controls!A:K,10,0),"")</f>
        <v>Kinovate</v>
      </c>
      <c r="S961" s="41">
        <f t="shared" si="100"/>
        <v>47818</v>
      </c>
      <c r="T961" s="30">
        <f t="shared" si="101"/>
        <v>0</v>
      </c>
      <c r="AB961">
        <f t="shared" si="104"/>
        <v>93.800000000000011</v>
      </c>
    </row>
    <row r="962" spans="1:28" ht="13" customHeight="1" x14ac:dyDescent="0.35">
      <c r="A962" s="153">
        <v>47969</v>
      </c>
      <c r="B962" s="36" t="s">
        <v>50</v>
      </c>
      <c r="C962" s="15" t="s">
        <v>52</v>
      </c>
      <c r="D962" s="15" t="s">
        <v>48</v>
      </c>
      <c r="E962" s="30">
        <f>H961</f>
        <v>177.28999999999996</v>
      </c>
      <c r="F962" s="37">
        <f>IFERROR('Production Inputs'!$BW$37*Dependencies!$D$11,0)</f>
        <v>0</v>
      </c>
      <c r="G962" s="37">
        <f t="array" ref="G962">IFERROR(SUMPRODUCT(('Production Inputs'!$A:$A="LLPS")*('Production Inputs'!$B:$B="TOTAL ACTIVE")*'Production Inputs'!$BW:$BW),0)</f>
        <v>0</v>
      </c>
      <c r="H962" s="30">
        <f t="shared" si="102"/>
        <v>177.28999999999996</v>
      </c>
      <c r="I962" s="30">
        <f ca="1">IFERROR(AVERAGEIF(OFFSET(F962,0,0,MIN(Controls!$B$8,COUNTIF(B962:B$1973,B962)),1),"&gt;"&amp;0),0)</f>
        <v>0</v>
      </c>
      <c r="J962" s="38">
        <f t="shared" ca="1" si="98"/>
        <v>999</v>
      </c>
      <c r="K962" s="30">
        <f t="shared" ca="1" si="103"/>
        <v>0</v>
      </c>
      <c r="L962" t="str">
        <f t="shared" ca="1" si="99"/>
        <v>Overstock</v>
      </c>
      <c r="M962" s="39">
        <f>IFERROR(VLOOKUP("LLPS",Controls!A:I,7,0),6)</f>
        <v>4</v>
      </c>
      <c r="N962" s="39">
        <f>IFERROR(VLOOKUP("LLPS",Controls!A:I,8,0),3)</f>
        <v>3</v>
      </c>
      <c r="O962" s="39">
        <f>IFERROR(VLOOKUP("LLPS",Controls!A:I,9,0),18)</f>
        <v>12</v>
      </c>
      <c r="P962" s="40">
        <f>IFERROR(VLOOKUP("LLPS",Controls!A:J,5,0),0)</f>
        <v>5</v>
      </c>
      <c r="Q962" s="39">
        <f>IFERROR(VLOOKUP("LLPS",Controls!A:J,6,0),3)</f>
        <v>4</v>
      </c>
      <c r="R962" s="21" t="str">
        <f>IFERROR(VLOOKUP("LLPS",Controls!A:K,10,0),"")</f>
        <v>Kinovate</v>
      </c>
      <c r="S962" s="41">
        <f t="shared" si="100"/>
        <v>47849</v>
      </c>
      <c r="T962" s="30">
        <f t="shared" si="101"/>
        <v>0</v>
      </c>
      <c r="AB962">
        <f t="shared" si="104"/>
        <v>93.800000000000011</v>
      </c>
    </row>
    <row r="963" spans="1:28" ht="13" customHeight="1" x14ac:dyDescent="0.35">
      <c r="A963" s="153">
        <v>48000</v>
      </c>
      <c r="B963" s="36" t="s">
        <v>50</v>
      </c>
      <c r="C963" s="15" t="s">
        <v>52</v>
      </c>
      <c r="D963" s="15" t="s">
        <v>48</v>
      </c>
      <c r="E963" s="30">
        <f>H962</f>
        <v>177.28999999999996</v>
      </c>
      <c r="F963" s="37">
        <f>IFERROR('Production Inputs'!$BX$37*Dependencies!$D$11,0)</f>
        <v>0</v>
      </c>
      <c r="G963" s="37">
        <f t="array" ref="G963">IFERROR(SUMPRODUCT(('Production Inputs'!$A:$A="LLPS")*('Production Inputs'!$B:$B="TOTAL ACTIVE")*'Production Inputs'!$BX:$BX),0)</f>
        <v>0</v>
      </c>
      <c r="H963" s="30">
        <f t="shared" si="102"/>
        <v>177.28999999999996</v>
      </c>
      <c r="I963" s="30">
        <f ca="1">IFERROR(AVERAGEIF(OFFSET(F963,0,0,MIN(Controls!$B$8,COUNTIF(B963:B$1973,B963)),1),"&gt;"&amp;0),0)</f>
        <v>0</v>
      </c>
      <c r="J963" s="38">
        <f t="shared" ca="1" si="98"/>
        <v>999</v>
      </c>
      <c r="K963" s="30">
        <f t="shared" ca="1" si="103"/>
        <v>0</v>
      </c>
      <c r="L963" t="str">
        <f t="shared" ca="1" si="99"/>
        <v>Overstock</v>
      </c>
      <c r="M963" s="39">
        <f>IFERROR(VLOOKUP("LLPS",Controls!A:I,7,0),6)</f>
        <v>4</v>
      </c>
      <c r="N963" s="39">
        <f>IFERROR(VLOOKUP("LLPS",Controls!A:I,8,0),3)</f>
        <v>3</v>
      </c>
      <c r="O963" s="39">
        <f>IFERROR(VLOOKUP("LLPS",Controls!A:I,9,0),18)</f>
        <v>12</v>
      </c>
      <c r="P963" s="40">
        <f>IFERROR(VLOOKUP("LLPS",Controls!A:J,5,0),0)</f>
        <v>5</v>
      </c>
      <c r="Q963" s="39">
        <f>IFERROR(VLOOKUP("LLPS",Controls!A:J,6,0),3)</f>
        <v>4</v>
      </c>
      <c r="R963" s="21" t="str">
        <f>IFERROR(VLOOKUP("LLPS",Controls!A:K,10,0),"")</f>
        <v>Kinovate</v>
      </c>
      <c r="S963" s="41">
        <f t="shared" si="100"/>
        <v>47880</v>
      </c>
      <c r="T963" s="30">
        <f t="shared" si="101"/>
        <v>0</v>
      </c>
      <c r="AB963">
        <f t="shared" si="104"/>
        <v>93.800000000000011</v>
      </c>
    </row>
    <row r="964" spans="1:28" ht="13" customHeight="1" x14ac:dyDescent="0.35">
      <c r="A964" s="153">
        <v>48030</v>
      </c>
      <c r="B964" s="36" t="s">
        <v>50</v>
      </c>
      <c r="C964" s="15" t="s">
        <v>52</v>
      </c>
      <c r="D964" s="15" t="s">
        <v>48</v>
      </c>
      <c r="E964" s="30">
        <f>H963</f>
        <v>177.28999999999996</v>
      </c>
      <c r="F964" s="37">
        <f>IFERROR('Production Inputs'!$BY$37*Dependencies!$D$11,0)</f>
        <v>0</v>
      </c>
      <c r="G964" s="37">
        <f t="array" ref="G964">IFERROR(SUMPRODUCT(('Production Inputs'!$A:$A="LLPS")*('Production Inputs'!$B:$B="TOTAL ACTIVE")*'Production Inputs'!$BY:$BY),0)</f>
        <v>0</v>
      </c>
      <c r="H964" s="30">
        <f t="shared" ref="H964:H1027" si="105">E964+G964-F964</f>
        <v>177.28999999999996</v>
      </c>
      <c r="I964" s="30">
        <f ca="1">IFERROR(AVERAGEIF(OFFSET(F964,0,0,MIN(Controls!$B$8,COUNTIF(B964:B$1973,B964)),1),"&gt;"&amp;0),0)</f>
        <v>0</v>
      </c>
      <c r="J964" s="38">
        <f t="shared" ref="J964:J1027" ca="1" si="106">IFERROR(H964/I964,IF(H964&gt;0,999,0))</f>
        <v>999</v>
      </c>
      <c r="K964" s="30">
        <f t="shared" ca="1" si="103"/>
        <v>0</v>
      </c>
      <c r="L964" t="str">
        <f t="shared" ref="L964:L1027" ca="1" si="107">IF(H964&lt;=0,"High",IF(J964&lt;N964,"High",IF(J964&lt;M964,"Medium",IF(J964&gt;O964,"Overstock","Low"))))</f>
        <v>Overstock</v>
      </c>
      <c r="M964" s="39">
        <f>IFERROR(VLOOKUP("LLPS",Controls!A:I,7,0),6)</f>
        <v>4</v>
      </c>
      <c r="N964" s="39">
        <f>IFERROR(VLOOKUP("LLPS",Controls!A:I,8,0),3)</f>
        <v>3</v>
      </c>
      <c r="O964" s="39">
        <f>IFERROR(VLOOKUP("LLPS",Controls!A:I,9,0),18)</f>
        <v>12</v>
      </c>
      <c r="P964" s="40">
        <f>IFERROR(VLOOKUP("LLPS",Controls!A:J,5,0),0)</f>
        <v>5</v>
      </c>
      <c r="Q964" s="39">
        <f>IFERROR(VLOOKUP("LLPS",Controls!A:J,6,0),3)</f>
        <v>4</v>
      </c>
      <c r="R964" s="21" t="str">
        <f>IFERROR(VLOOKUP("LLPS",Controls!A:K,10,0),"")</f>
        <v>Kinovate</v>
      </c>
      <c r="S964" s="41">
        <f t="shared" ref="S964:S1027" si="108">IFERROR(EDATE(A964,-Q964),"")</f>
        <v>47908</v>
      </c>
      <c r="T964" s="30">
        <f t="shared" ref="T964:T1027" si="109">G964</f>
        <v>0</v>
      </c>
      <c r="AB964">
        <f t="shared" si="104"/>
        <v>93.800000000000011</v>
      </c>
    </row>
    <row r="965" spans="1:28" ht="13" customHeight="1" x14ac:dyDescent="0.35">
      <c r="A965" s="153">
        <v>48061</v>
      </c>
      <c r="B965" s="36" t="s">
        <v>50</v>
      </c>
      <c r="C965" s="15" t="s">
        <v>52</v>
      </c>
      <c r="D965" s="15" t="s">
        <v>48</v>
      </c>
      <c r="E965" s="30">
        <f>H964</f>
        <v>177.28999999999996</v>
      </c>
      <c r="F965" s="37">
        <f>IFERROR('Production Inputs'!$BZ$37*Dependencies!$D$11,0)</f>
        <v>0</v>
      </c>
      <c r="G965" s="37">
        <f t="array" ref="G965">IFERROR(SUMPRODUCT(('Production Inputs'!$A:$A="LLPS")*('Production Inputs'!$B:$B="TOTAL ACTIVE")*'Production Inputs'!$BZ:$BZ),0)</f>
        <v>0</v>
      </c>
      <c r="H965" s="30">
        <f t="shared" si="105"/>
        <v>177.28999999999996</v>
      </c>
      <c r="I965" s="30">
        <f ca="1">IFERROR(AVERAGEIF(OFFSET(F965,0,0,MIN(Controls!$B$8,COUNTIF(B965:B$1973,B965)),1),"&gt;"&amp;0),0)</f>
        <v>0</v>
      </c>
      <c r="J965" s="38">
        <f t="shared" ca="1" si="106"/>
        <v>999</v>
      </c>
      <c r="K965" s="30">
        <f t="shared" ref="K965:K1028" ca="1" si="110">IFERROR(IF(H965&lt;(N965*I965), CEILING(MAX(0,ROUND((M965*I965-H965)/P965,0)*P965),P965), 0), 0)</f>
        <v>0</v>
      </c>
      <c r="L965" t="str">
        <f t="shared" ca="1" si="107"/>
        <v>Overstock</v>
      </c>
      <c r="M965" s="39">
        <f>IFERROR(VLOOKUP("LLPS",Controls!A:I,7,0),6)</f>
        <v>4</v>
      </c>
      <c r="N965" s="39">
        <f>IFERROR(VLOOKUP("LLPS",Controls!A:I,8,0),3)</f>
        <v>3</v>
      </c>
      <c r="O965" s="39">
        <f>IFERROR(VLOOKUP("LLPS",Controls!A:I,9,0),18)</f>
        <v>12</v>
      </c>
      <c r="P965" s="40">
        <f>IFERROR(VLOOKUP("LLPS",Controls!A:J,5,0),0)</f>
        <v>5</v>
      </c>
      <c r="Q965" s="39">
        <f>IFERROR(VLOOKUP("LLPS",Controls!A:J,6,0),3)</f>
        <v>4</v>
      </c>
      <c r="R965" s="21" t="str">
        <f>IFERROR(VLOOKUP("LLPS",Controls!A:K,10,0),"")</f>
        <v>Kinovate</v>
      </c>
      <c r="S965" s="41">
        <f t="shared" si="108"/>
        <v>47939</v>
      </c>
      <c r="T965" s="30">
        <f t="shared" si="109"/>
        <v>0</v>
      </c>
      <c r="AB965">
        <f t="shared" ref="AB965:AB1028" si="111">SUMIFS($F$4:$F$2331,$B$4:$B$2331,B965,$A$4:$A$2331,"&lt;="&amp;A965)</f>
        <v>93.800000000000011</v>
      </c>
    </row>
    <row r="966" spans="1:28" ht="13" customHeight="1" x14ac:dyDescent="0.35">
      <c r="A966" s="153">
        <v>48092</v>
      </c>
      <c r="B966" s="36" t="s">
        <v>50</v>
      </c>
      <c r="C966" s="15" t="s">
        <v>52</v>
      </c>
      <c r="D966" s="15" t="s">
        <v>48</v>
      </c>
      <c r="E966" s="30">
        <f>H965</f>
        <v>177.28999999999996</v>
      </c>
      <c r="F966" s="37">
        <f>IFERROR('Production Inputs'!$CA$37*Dependencies!$D$11,0)</f>
        <v>0</v>
      </c>
      <c r="G966" s="37">
        <f t="array" ref="G966">IFERROR(SUMPRODUCT(('Production Inputs'!$A:$A="LLPS")*('Production Inputs'!$B:$B="TOTAL ACTIVE")*'Production Inputs'!$CA:$CA),0)</f>
        <v>0</v>
      </c>
      <c r="H966" s="30">
        <f t="shared" si="105"/>
        <v>177.28999999999996</v>
      </c>
      <c r="I966" s="30">
        <f ca="1">IFERROR(AVERAGEIF(OFFSET(F966,0,0,MIN(Controls!$B$8,COUNTIF(B966:B$1973,B966)),1),"&gt;"&amp;0),0)</f>
        <v>0</v>
      </c>
      <c r="J966" s="38">
        <f t="shared" ca="1" si="106"/>
        <v>999</v>
      </c>
      <c r="K966" s="30">
        <f t="shared" ca="1" si="110"/>
        <v>0</v>
      </c>
      <c r="L966" t="str">
        <f t="shared" ca="1" si="107"/>
        <v>Overstock</v>
      </c>
      <c r="M966" s="39">
        <f>IFERROR(VLOOKUP("LLPS",Controls!A:I,7,0),6)</f>
        <v>4</v>
      </c>
      <c r="N966" s="39">
        <f>IFERROR(VLOOKUP("LLPS",Controls!A:I,8,0),3)</f>
        <v>3</v>
      </c>
      <c r="O966" s="39">
        <f>IFERROR(VLOOKUP("LLPS",Controls!A:I,9,0),18)</f>
        <v>12</v>
      </c>
      <c r="P966" s="40">
        <f>IFERROR(VLOOKUP("LLPS",Controls!A:J,5,0),0)</f>
        <v>5</v>
      </c>
      <c r="Q966" s="39">
        <f>IFERROR(VLOOKUP("LLPS",Controls!A:J,6,0),3)</f>
        <v>4</v>
      </c>
      <c r="R966" s="21" t="str">
        <f>IFERROR(VLOOKUP("LLPS",Controls!A:K,10,0),"")</f>
        <v>Kinovate</v>
      </c>
      <c r="S966" s="41">
        <f t="shared" si="108"/>
        <v>47969</v>
      </c>
      <c r="T966" s="30">
        <f t="shared" si="109"/>
        <v>0</v>
      </c>
      <c r="AB966">
        <f t="shared" si="111"/>
        <v>93.800000000000011</v>
      </c>
    </row>
    <row r="967" spans="1:28" ht="13" customHeight="1" x14ac:dyDescent="0.35">
      <c r="A967" s="153">
        <v>48122</v>
      </c>
      <c r="B967" s="36" t="s">
        <v>50</v>
      </c>
      <c r="C967" s="15" t="s">
        <v>52</v>
      </c>
      <c r="D967" s="15" t="s">
        <v>48</v>
      </c>
      <c r="E967" s="30">
        <f>H966</f>
        <v>177.28999999999996</v>
      </c>
      <c r="F967" s="37">
        <f>IFERROR('Production Inputs'!$CB$37*Dependencies!$D$11,0)</f>
        <v>0</v>
      </c>
      <c r="G967" s="37">
        <f t="array" ref="G967">IFERROR(SUMPRODUCT(('Production Inputs'!$A:$A="LLPS")*('Production Inputs'!$B:$B="TOTAL ACTIVE")*'Production Inputs'!$CB:$CB),0)</f>
        <v>0</v>
      </c>
      <c r="H967" s="30">
        <f t="shared" si="105"/>
        <v>177.28999999999996</v>
      </c>
      <c r="I967" s="30">
        <f ca="1">IFERROR(AVERAGEIF(OFFSET(F967,0,0,MIN(Controls!$B$8,COUNTIF(B967:B$1973,B967)),1),"&gt;"&amp;0),0)</f>
        <v>0</v>
      </c>
      <c r="J967" s="38">
        <f t="shared" ca="1" si="106"/>
        <v>999</v>
      </c>
      <c r="K967" s="30">
        <f t="shared" ca="1" si="110"/>
        <v>0</v>
      </c>
      <c r="L967" t="str">
        <f t="shared" ca="1" si="107"/>
        <v>Overstock</v>
      </c>
      <c r="M967" s="39">
        <f>IFERROR(VLOOKUP("LLPS",Controls!A:I,7,0),6)</f>
        <v>4</v>
      </c>
      <c r="N967" s="39">
        <f>IFERROR(VLOOKUP("LLPS",Controls!A:I,8,0),3)</f>
        <v>3</v>
      </c>
      <c r="O967" s="39">
        <f>IFERROR(VLOOKUP("LLPS",Controls!A:I,9,0),18)</f>
        <v>12</v>
      </c>
      <c r="P967" s="40">
        <f>IFERROR(VLOOKUP("LLPS",Controls!A:J,5,0),0)</f>
        <v>5</v>
      </c>
      <c r="Q967" s="39">
        <f>IFERROR(VLOOKUP("LLPS",Controls!A:J,6,0),3)</f>
        <v>4</v>
      </c>
      <c r="R967" s="21" t="str">
        <f>IFERROR(VLOOKUP("LLPS",Controls!A:K,10,0),"")</f>
        <v>Kinovate</v>
      </c>
      <c r="S967" s="41">
        <f t="shared" si="108"/>
        <v>48000</v>
      </c>
      <c r="T967" s="30">
        <f t="shared" si="109"/>
        <v>0</v>
      </c>
      <c r="AB967">
        <f t="shared" si="111"/>
        <v>93.800000000000011</v>
      </c>
    </row>
    <row r="968" spans="1:28" ht="13" customHeight="1" x14ac:dyDescent="0.35">
      <c r="A968" s="153">
        <v>48153</v>
      </c>
      <c r="B968" s="36" t="s">
        <v>50</v>
      </c>
      <c r="C968" s="15" t="s">
        <v>52</v>
      </c>
      <c r="D968" s="15" t="s">
        <v>48</v>
      </c>
      <c r="E968" s="30">
        <f>H967</f>
        <v>177.28999999999996</v>
      </c>
      <c r="F968" s="37">
        <f>IFERROR('Production Inputs'!$CC$37*Dependencies!$D$11,0)</f>
        <v>0</v>
      </c>
      <c r="G968" s="37">
        <f t="array" ref="G968">IFERROR(SUMPRODUCT(('Production Inputs'!$A:$A="LLPS")*('Production Inputs'!$B:$B="TOTAL ACTIVE")*'Production Inputs'!$CC:$CC),0)</f>
        <v>0</v>
      </c>
      <c r="H968" s="30">
        <f t="shared" si="105"/>
        <v>177.28999999999996</v>
      </c>
      <c r="I968" s="30">
        <f ca="1">IFERROR(AVERAGEIF(OFFSET(F968,0,0,MIN(Controls!$B$8,COUNTIF(B968:B$1973,B968)),1),"&gt;"&amp;0),0)</f>
        <v>0</v>
      </c>
      <c r="J968" s="38">
        <f t="shared" ca="1" si="106"/>
        <v>999</v>
      </c>
      <c r="K968" s="30">
        <f t="shared" ca="1" si="110"/>
        <v>0</v>
      </c>
      <c r="L968" t="str">
        <f t="shared" ca="1" si="107"/>
        <v>Overstock</v>
      </c>
      <c r="M968" s="39">
        <f>IFERROR(VLOOKUP("LLPS",Controls!A:I,7,0),6)</f>
        <v>4</v>
      </c>
      <c r="N968" s="39">
        <f>IFERROR(VLOOKUP("LLPS",Controls!A:I,8,0),3)</f>
        <v>3</v>
      </c>
      <c r="O968" s="39">
        <f>IFERROR(VLOOKUP("LLPS",Controls!A:I,9,0),18)</f>
        <v>12</v>
      </c>
      <c r="P968" s="40">
        <f>IFERROR(VLOOKUP("LLPS",Controls!A:J,5,0),0)</f>
        <v>5</v>
      </c>
      <c r="Q968" s="39">
        <f>IFERROR(VLOOKUP("LLPS",Controls!A:J,6,0),3)</f>
        <v>4</v>
      </c>
      <c r="R968" s="21" t="str">
        <f>IFERROR(VLOOKUP("LLPS",Controls!A:K,10,0),"")</f>
        <v>Kinovate</v>
      </c>
      <c r="S968" s="41">
        <f t="shared" si="108"/>
        <v>48030</v>
      </c>
      <c r="T968" s="30">
        <f t="shared" si="109"/>
        <v>0</v>
      </c>
      <c r="AB968">
        <f t="shared" si="111"/>
        <v>93.800000000000011</v>
      </c>
    </row>
    <row r="969" spans="1:28" ht="13" customHeight="1" x14ac:dyDescent="0.35">
      <c r="A969" s="153">
        <v>48183</v>
      </c>
      <c r="B969" s="36" t="s">
        <v>50</v>
      </c>
      <c r="C969" s="15" t="s">
        <v>52</v>
      </c>
      <c r="D969" s="15" t="s">
        <v>48</v>
      </c>
      <c r="E969" s="30">
        <f>H968</f>
        <v>177.28999999999996</v>
      </c>
      <c r="F969" s="37">
        <f>IFERROR('Production Inputs'!$CD$37*Dependencies!$D$11,0)</f>
        <v>0</v>
      </c>
      <c r="G969" s="37">
        <f t="array" ref="G969">IFERROR(SUMPRODUCT(('Production Inputs'!$A:$A="LLPS")*('Production Inputs'!$B:$B="TOTAL ACTIVE")*'Production Inputs'!$CD:$CD),0)</f>
        <v>0</v>
      </c>
      <c r="H969" s="30">
        <f t="shared" si="105"/>
        <v>177.28999999999996</v>
      </c>
      <c r="I969" s="30">
        <f ca="1">IFERROR(AVERAGEIF(OFFSET(F969,0,0,MIN(Controls!$B$8,COUNTIF(B969:B$1973,B969)),1),"&gt;"&amp;0),0)</f>
        <v>0</v>
      </c>
      <c r="J969" s="38">
        <f t="shared" ca="1" si="106"/>
        <v>999</v>
      </c>
      <c r="K969" s="30">
        <f t="shared" ca="1" si="110"/>
        <v>0</v>
      </c>
      <c r="L969" t="str">
        <f t="shared" ca="1" si="107"/>
        <v>Overstock</v>
      </c>
      <c r="M969" s="39">
        <f>IFERROR(VLOOKUP("LLPS",Controls!A:I,7,0),6)</f>
        <v>4</v>
      </c>
      <c r="N969" s="39">
        <f>IFERROR(VLOOKUP("LLPS",Controls!A:I,8,0),3)</f>
        <v>3</v>
      </c>
      <c r="O969" s="39">
        <f>IFERROR(VLOOKUP("LLPS",Controls!A:I,9,0),18)</f>
        <v>12</v>
      </c>
      <c r="P969" s="40">
        <f>IFERROR(VLOOKUP("LLPS",Controls!A:J,5,0),0)</f>
        <v>5</v>
      </c>
      <c r="Q969" s="39">
        <f>IFERROR(VLOOKUP("LLPS",Controls!A:J,6,0),3)</f>
        <v>4</v>
      </c>
      <c r="R969" s="21" t="str">
        <f>IFERROR(VLOOKUP("LLPS",Controls!A:K,10,0),"")</f>
        <v>Kinovate</v>
      </c>
      <c r="S969" s="41">
        <f t="shared" si="108"/>
        <v>48061</v>
      </c>
      <c r="T969" s="30">
        <f t="shared" si="109"/>
        <v>0</v>
      </c>
      <c r="AB969">
        <f t="shared" si="111"/>
        <v>93.800000000000011</v>
      </c>
    </row>
    <row r="970" spans="1:28" ht="13" customHeight="1" x14ac:dyDescent="0.35">
      <c r="A970" s="153">
        <v>48214</v>
      </c>
      <c r="B970" s="36" t="s">
        <v>50</v>
      </c>
      <c r="C970" s="15" t="s">
        <v>52</v>
      </c>
      <c r="D970" s="15" t="s">
        <v>48</v>
      </c>
      <c r="E970" s="30">
        <f>H969</f>
        <v>177.28999999999996</v>
      </c>
      <c r="F970" s="37">
        <f>IFERROR('Production Inputs'!$CE$37*Dependencies!$D$11,0)</f>
        <v>0</v>
      </c>
      <c r="G970" s="37">
        <f t="array" ref="G970">IFERROR(SUMPRODUCT(('Production Inputs'!$A:$A="LLPS")*('Production Inputs'!$B:$B="TOTAL ACTIVE")*'Production Inputs'!$CE:$CE),0)</f>
        <v>0</v>
      </c>
      <c r="H970" s="30">
        <f t="shared" si="105"/>
        <v>177.28999999999996</v>
      </c>
      <c r="I970" s="30">
        <f ca="1">IFERROR(AVERAGEIF(OFFSET(F970,0,0,MIN(Controls!$B$8,COUNTIF(B970:B$1973,B970)),1),"&gt;"&amp;0),0)</f>
        <v>0</v>
      </c>
      <c r="J970" s="38">
        <f t="shared" ca="1" si="106"/>
        <v>999</v>
      </c>
      <c r="K970" s="30">
        <f t="shared" ca="1" si="110"/>
        <v>0</v>
      </c>
      <c r="L970" t="str">
        <f t="shared" ca="1" si="107"/>
        <v>Overstock</v>
      </c>
      <c r="M970" s="39">
        <f>IFERROR(VLOOKUP("LLPS",Controls!A:I,7,0),6)</f>
        <v>4</v>
      </c>
      <c r="N970" s="39">
        <f>IFERROR(VLOOKUP("LLPS",Controls!A:I,8,0),3)</f>
        <v>3</v>
      </c>
      <c r="O970" s="39">
        <f>IFERROR(VLOOKUP("LLPS",Controls!A:I,9,0),18)</f>
        <v>12</v>
      </c>
      <c r="P970" s="40">
        <f>IFERROR(VLOOKUP("LLPS",Controls!A:J,5,0),0)</f>
        <v>5</v>
      </c>
      <c r="Q970" s="39">
        <f>IFERROR(VLOOKUP("LLPS",Controls!A:J,6,0),3)</f>
        <v>4</v>
      </c>
      <c r="R970" s="21" t="str">
        <f>IFERROR(VLOOKUP("LLPS",Controls!A:K,10,0),"")</f>
        <v>Kinovate</v>
      </c>
      <c r="S970" s="41">
        <f t="shared" si="108"/>
        <v>48092</v>
      </c>
      <c r="T970" s="30">
        <f t="shared" si="109"/>
        <v>0</v>
      </c>
      <c r="AB970">
        <f t="shared" si="111"/>
        <v>93.800000000000011</v>
      </c>
    </row>
    <row r="971" spans="1:28" ht="13" customHeight="1" x14ac:dyDescent="0.35">
      <c r="A971" s="153">
        <v>48245</v>
      </c>
      <c r="B971" s="36" t="s">
        <v>50</v>
      </c>
      <c r="C971" s="15" t="s">
        <v>52</v>
      </c>
      <c r="D971" s="15" t="s">
        <v>48</v>
      </c>
      <c r="E971" s="30">
        <f>H970</f>
        <v>177.28999999999996</v>
      </c>
      <c r="F971" s="37">
        <f>IFERROR('Production Inputs'!$CF$37*Dependencies!$D$11,0)</f>
        <v>0</v>
      </c>
      <c r="G971" s="37">
        <f t="array" ref="G971">IFERROR(SUMPRODUCT(('Production Inputs'!$A:$A="LLPS")*('Production Inputs'!$B:$B="TOTAL ACTIVE")*'Production Inputs'!$CF:$CF),0)</f>
        <v>0</v>
      </c>
      <c r="H971" s="30">
        <f t="shared" si="105"/>
        <v>177.28999999999996</v>
      </c>
      <c r="I971" s="30">
        <f ca="1">IFERROR(AVERAGEIF(OFFSET(F971,0,0,MIN(Controls!$B$8,COUNTIF(B971:B$1973,B971)),1),"&gt;"&amp;0),0)</f>
        <v>0</v>
      </c>
      <c r="J971" s="38">
        <f t="shared" ca="1" si="106"/>
        <v>999</v>
      </c>
      <c r="K971" s="30">
        <f t="shared" ca="1" si="110"/>
        <v>0</v>
      </c>
      <c r="L971" t="str">
        <f t="shared" ca="1" si="107"/>
        <v>Overstock</v>
      </c>
      <c r="M971" s="39">
        <f>IFERROR(VLOOKUP("LLPS",Controls!A:I,7,0),6)</f>
        <v>4</v>
      </c>
      <c r="N971" s="39">
        <f>IFERROR(VLOOKUP("LLPS",Controls!A:I,8,0),3)</f>
        <v>3</v>
      </c>
      <c r="O971" s="39">
        <f>IFERROR(VLOOKUP("LLPS",Controls!A:I,9,0),18)</f>
        <v>12</v>
      </c>
      <c r="P971" s="40">
        <f>IFERROR(VLOOKUP("LLPS",Controls!A:J,5,0),0)</f>
        <v>5</v>
      </c>
      <c r="Q971" s="39">
        <f>IFERROR(VLOOKUP("LLPS",Controls!A:J,6,0),3)</f>
        <v>4</v>
      </c>
      <c r="R971" s="21" t="str">
        <f>IFERROR(VLOOKUP("LLPS",Controls!A:K,10,0),"")</f>
        <v>Kinovate</v>
      </c>
      <c r="S971" s="41">
        <f t="shared" si="108"/>
        <v>48122</v>
      </c>
      <c r="T971" s="30">
        <f t="shared" si="109"/>
        <v>0</v>
      </c>
      <c r="AB971">
        <f t="shared" si="111"/>
        <v>93.800000000000011</v>
      </c>
    </row>
    <row r="972" spans="1:28" ht="13" customHeight="1" x14ac:dyDescent="0.35">
      <c r="A972" s="153">
        <v>48274</v>
      </c>
      <c r="B972" s="36" t="s">
        <v>50</v>
      </c>
      <c r="C972" s="15" t="s">
        <v>52</v>
      </c>
      <c r="D972" s="15" t="s">
        <v>48</v>
      </c>
      <c r="E972" s="30">
        <f>H971</f>
        <v>177.28999999999996</v>
      </c>
      <c r="F972" s="37">
        <f>IFERROR('Production Inputs'!$CG$37*Dependencies!$D$11,0)</f>
        <v>0</v>
      </c>
      <c r="G972" s="37">
        <f t="array" ref="G972">IFERROR(SUMPRODUCT(('Production Inputs'!$A:$A="LLPS")*('Production Inputs'!$B:$B="TOTAL ACTIVE")*'Production Inputs'!$CG:$CG),0)</f>
        <v>0</v>
      </c>
      <c r="H972" s="30">
        <f t="shared" si="105"/>
        <v>177.28999999999996</v>
      </c>
      <c r="I972" s="30">
        <f ca="1">IFERROR(AVERAGEIF(OFFSET(F972,0,0,MIN(Controls!$B$8,COUNTIF(B972:B$1973,B972)),1),"&gt;"&amp;0),0)</f>
        <v>0</v>
      </c>
      <c r="J972" s="38">
        <f t="shared" ca="1" si="106"/>
        <v>999</v>
      </c>
      <c r="K972" s="30">
        <f t="shared" ca="1" si="110"/>
        <v>0</v>
      </c>
      <c r="L972" t="str">
        <f t="shared" ca="1" si="107"/>
        <v>Overstock</v>
      </c>
      <c r="M972" s="39">
        <f>IFERROR(VLOOKUP("LLPS",Controls!A:I,7,0),6)</f>
        <v>4</v>
      </c>
      <c r="N972" s="39">
        <f>IFERROR(VLOOKUP("LLPS",Controls!A:I,8,0),3)</f>
        <v>3</v>
      </c>
      <c r="O972" s="39">
        <f>IFERROR(VLOOKUP("LLPS",Controls!A:I,9,0),18)</f>
        <v>12</v>
      </c>
      <c r="P972" s="40">
        <f>IFERROR(VLOOKUP("LLPS",Controls!A:J,5,0),0)</f>
        <v>5</v>
      </c>
      <c r="Q972" s="39">
        <f>IFERROR(VLOOKUP("LLPS",Controls!A:J,6,0),3)</f>
        <v>4</v>
      </c>
      <c r="R972" s="21" t="str">
        <f>IFERROR(VLOOKUP("LLPS",Controls!A:K,10,0),"")</f>
        <v>Kinovate</v>
      </c>
      <c r="S972" s="41">
        <f t="shared" si="108"/>
        <v>48153</v>
      </c>
      <c r="T972" s="30">
        <f t="shared" si="109"/>
        <v>0</v>
      </c>
      <c r="AB972">
        <f t="shared" si="111"/>
        <v>93.800000000000011</v>
      </c>
    </row>
    <row r="973" spans="1:28" ht="13" customHeight="1" x14ac:dyDescent="0.35">
      <c r="A973" s="153">
        <v>48305</v>
      </c>
      <c r="B973" s="36" t="s">
        <v>50</v>
      </c>
      <c r="C973" s="15" t="s">
        <v>52</v>
      </c>
      <c r="D973" s="15" t="s">
        <v>48</v>
      </c>
      <c r="E973" s="30">
        <f>H972</f>
        <v>177.28999999999996</v>
      </c>
      <c r="F973" s="37">
        <f>IFERROR('Production Inputs'!$CH$37*Dependencies!$D$11,0)</f>
        <v>0</v>
      </c>
      <c r="G973" s="37">
        <f t="array" ref="G973">IFERROR(SUMPRODUCT(('Production Inputs'!$A:$A="LLPS")*('Production Inputs'!$B:$B="TOTAL ACTIVE")*'Production Inputs'!$CH:$CH),0)</f>
        <v>0</v>
      </c>
      <c r="H973" s="30">
        <f t="shared" si="105"/>
        <v>177.28999999999996</v>
      </c>
      <c r="I973" s="30">
        <f ca="1">IFERROR(AVERAGEIF(OFFSET(F973,0,0,MIN(Controls!$B$8,COUNTIF(B973:B$1973,B973)),1),"&gt;"&amp;0),0)</f>
        <v>0</v>
      </c>
      <c r="J973" s="38">
        <f t="shared" ca="1" si="106"/>
        <v>999</v>
      </c>
      <c r="K973" s="30">
        <f t="shared" ca="1" si="110"/>
        <v>0</v>
      </c>
      <c r="L973" t="str">
        <f t="shared" ca="1" si="107"/>
        <v>Overstock</v>
      </c>
      <c r="M973" s="39">
        <f>IFERROR(VLOOKUP("LLPS",Controls!A:I,7,0),6)</f>
        <v>4</v>
      </c>
      <c r="N973" s="39">
        <f>IFERROR(VLOOKUP("LLPS",Controls!A:I,8,0),3)</f>
        <v>3</v>
      </c>
      <c r="O973" s="39">
        <f>IFERROR(VLOOKUP("LLPS",Controls!A:I,9,0),18)</f>
        <v>12</v>
      </c>
      <c r="P973" s="40">
        <f>IFERROR(VLOOKUP("LLPS",Controls!A:J,5,0),0)</f>
        <v>5</v>
      </c>
      <c r="Q973" s="39">
        <f>IFERROR(VLOOKUP("LLPS",Controls!A:J,6,0),3)</f>
        <v>4</v>
      </c>
      <c r="R973" s="21" t="str">
        <f>IFERROR(VLOOKUP("LLPS",Controls!A:K,10,0),"")</f>
        <v>Kinovate</v>
      </c>
      <c r="S973" s="41">
        <f t="shared" si="108"/>
        <v>48183</v>
      </c>
      <c r="T973" s="30">
        <f t="shared" si="109"/>
        <v>0</v>
      </c>
      <c r="AB973">
        <f t="shared" si="111"/>
        <v>93.800000000000011</v>
      </c>
    </row>
    <row r="974" spans="1:28" ht="13" customHeight="1" x14ac:dyDescent="0.35">
      <c r="A974" s="153">
        <v>48335</v>
      </c>
      <c r="B974" s="36" t="s">
        <v>50</v>
      </c>
      <c r="C974" s="15" t="s">
        <v>52</v>
      </c>
      <c r="D974" s="15" t="s">
        <v>48</v>
      </c>
      <c r="E974" s="30">
        <f>H973</f>
        <v>177.28999999999996</v>
      </c>
      <c r="F974" s="37">
        <f>IFERROR('Production Inputs'!$CI$37*Dependencies!$D$11,0)</f>
        <v>0</v>
      </c>
      <c r="G974" s="37">
        <f t="array" ref="G974">IFERROR(SUMPRODUCT(('Production Inputs'!$A:$A="LLPS")*('Production Inputs'!$B:$B="TOTAL ACTIVE")*'Production Inputs'!$CI:$CI),0)</f>
        <v>0</v>
      </c>
      <c r="H974" s="30">
        <f t="shared" si="105"/>
        <v>177.28999999999996</v>
      </c>
      <c r="I974" s="30">
        <f ca="1">IFERROR(AVERAGEIF(OFFSET(F974,0,0,MIN(Controls!$B$8,COUNTIF(B974:B$1973,B974)),1),"&gt;"&amp;0),0)</f>
        <v>0</v>
      </c>
      <c r="J974" s="38">
        <f t="shared" ca="1" si="106"/>
        <v>999</v>
      </c>
      <c r="K974" s="30">
        <f t="shared" ca="1" si="110"/>
        <v>0</v>
      </c>
      <c r="L974" t="str">
        <f t="shared" ca="1" si="107"/>
        <v>Overstock</v>
      </c>
      <c r="M974" s="39">
        <f>IFERROR(VLOOKUP("LLPS",Controls!A:I,7,0),6)</f>
        <v>4</v>
      </c>
      <c r="N974" s="39">
        <f>IFERROR(VLOOKUP("LLPS",Controls!A:I,8,0),3)</f>
        <v>3</v>
      </c>
      <c r="O974" s="39">
        <f>IFERROR(VLOOKUP("LLPS",Controls!A:I,9,0),18)</f>
        <v>12</v>
      </c>
      <c r="P974" s="40">
        <f>IFERROR(VLOOKUP("LLPS",Controls!A:J,5,0),0)</f>
        <v>5</v>
      </c>
      <c r="Q974" s="39">
        <f>IFERROR(VLOOKUP("LLPS",Controls!A:J,6,0),3)</f>
        <v>4</v>
      </c>
      <c r="R974" s="21" t="str">
        <f>IFERROR(VLOOKUP("LLPS",Controls!A:K,10,0),"")</f>
        <v>Kinovate</v>
      </c>
      <c r="S974" s="41">
        <f t="shared" si="108"/>
        <v>48214</v>
      </c>
      <c r="T974" s="30">
        <f t="shared" si="109"/>
        <v>0</v>
      </c>
      <c r="AB974">
        <f t="shared" si="111"/>
        <v>93.800000000000011</v>
      </c>
    </row>
    <row r="975" spans="1:28" ht="13" customHeight="1" x14ac:dyDescent="0.35">
      <c r="A975" s="153">
        <v>48366</v>
      </c>
      <c r="B975" s="36" t="s">
        <v>50</v>
      </c>
      <c r="C975" s="15" t="s">
        <v>52</v>
      </c>
      <c r="D975" s="15" t="s">
        <v>48</v>
      </c>
      <c r="E975" s="30">
        <f>H974</f>
        <v>177.28999999999996</v>
      </c>
      <c r="F975" s="37">
        <f>IFERROR('Production Inputs'!$CJ$37*Dependencies!$D$11,0)</f>
        <v>0</v>
      </c>
      <c r="G975" s="37">
        <f t="array" ref="G975">IFERROR(SUMPRODUCT(('Production Inputs'!$A:$A="LLPS")*('Production Inputs'!$B:$B="TOTAL ACTIVE")*'Production Inputs'!$CJ:$CJ),0)</f>
        <v>0</v>
      </c>
      <c r="H975" s="30">
        <f t="shared" si="105"/>
        <v>177.28999999999996</v>
      </c>
      <c r="I975" s="30">
        <f ca="1">IFERROR(AVERAGEIF(OFFSET(F975,0,0,MIN(Controls!$B$8,COUNTIF(B975:B$1973,B975)),1),"&gt;"&amp;0),0)</f>
        <v>0</v>
      </c>
      <c r="J975" s="38">
        <f t="shared" ca="1" si="106"/>
        <v>999</v>
      </c>
      <c r="K975" s="30">
        <f t="shared" ca="1" si="110"/>
        <v>0</v>
      </c>
      <c r="L975" t="str">
        <f t="shared" ca="1" si="107"/>
        <v>Overstock</v>
      </c>
      <c r="M975" s="39">
        <f>IFERROR(VLOOKUP("LLPS",Controls!A:I,7,0),6)</f>
        <v>4</v>
      </c>
      <c r="N975" s="39">
        <f>IFERROR(VLOOKUP("LLPS",Controls!A:I,8,0),3)</f>
        <v>3</v>
      </c>
      <c r="O975" s="39">
        <f>IFERROR(VLOOKUP("LLPS",Controls!A:I,9,0),18)</f>
        <v>12</v>
      </c>
      <c r="P975" s="40">
        <f>IFERROR(VLOOKUP("LLPS",Controls!A:J,5,0),0)</f>
        <v>5</v>
      </c>
      <c r="Q975" s="39">
        <f>IFERROR(VLOOKUP("LLPS",Controls!A:J,6,0),3)</f>
        <v>4</v>
      </c>
      <c r="R975" s="21" t="str">
        <f>IFERROR(VLOOKUP("LLPS",Controls!A:K,10,0),"")</f>
        <v>Kinovate</v>
      </c>
      <c r="S975" s="41">
        <f t="shared" si="108"/>
        <v>48245</v>
      </c>
      <c r="T975" s="30">
        <f t="shared" si="109"/>
        <v>0</v>
      </c>
      <c r="AB975">
        <f t="shared" si="111"/>
        <v>93.800000000000011</v>
      </c>
    </row>
    <row r="976" spans="1:28" ht="13" customHeight="1" x14ac:dyDescent="0.35">
      <c r="A976" s="153">
        <v>48396</v>
      </c>
      <c r="B976" s="36" t="s">
        <v>50</v>
      </c>
      <c r="C976" s="15" t="s">
        <v>52</v>
      </c>
      <c r="D976" s="15" t="s">
        <v>48</v>
      </c>
      <c r="E976" s="30">
        <f>H975</f>
        <v>177.28999999999996</v>
      </c>
      <c r="F976" s="37">
        <f>IFERROR('Production Inputs'!$CK$37*Dependencies!$D$11,0)</f>
        <v>0</v>
      </c>
      <c r="G976" s="37">
        <f t="array" ref="G976">IFERROR(SUMPRODUCT(('Production Inputs'!$A:$A="LLPS")*('Production Inputs'!$B:$B="TOTAL ACTIVE")*'Production Inputs'!$CK:$CK),0)</f>
        <v>0</v>
      </c>
      <c r="H976" s="30">
        <f t="shared" si="105"/>
        <v>177.28999999999996</v>
      </c>
      <c r="I976" s="30">
        <f ca="1">IFERROR(AVERAGEIF(OFFSET(F976,0,0,MIN(Controls!$B$8,COUNTIF(B976:B$1973,B976)),1),"&gt;"&amp;0),0)</f>
        <v>0</v>
      </c>
      <c r="J976" s="38">
        <f t="shared" ca="1" si="106"/>
        <v>999</v>
      </c>
      <c r="K976" s="30">
        <f t="shared" ca="1" si="110"/>
        <v>0</v>
      </c>
      <c r="L976" t="str">
        <f t="shared" ca="1" si="107"/>
        <v>Overstock</v>
      </c>
      <c r="M976" s="39">
        <f>IFERROR(VLOOKUP("LLPS",Controls!A:I,7,0),6)</f>
        <v>4</v>
      </c>
      <c r="N976" s="39">
        <f>IFERROR(VLOOKUP("LLPS",Controls!A:I,8,0),3)</f>
        <v>3</v>
      </c>
      <c r="O976" s="39">
        <f>IFERROR(VLOOKUP("LLPS",Controls!A:I,9,0),18)</f>
        <v>12</v>
      </c>
      <c r="P976" s="40">
        <f>IFERROR(VLOOKUP("LLPS",Controls!A:J,5,0),0)</f>
        <v>5</v>
      </c>
      <c r="Q976" s="39">
        <f>IFERROR(VLOOKUP("LLPS",Controls!A:J,6,0),3)</f>
        <v>4</v>
      </c>
      <c r="R976" s="21" t="str">
        <f>IFERROR(VLOOKUP("LLPS",Controls!A:K,10,0),"")</f>
        <v>Kinovate</v>
      </c>
      <c r="S976" s="41">
        <f t="shared" si="108"/>
        <v>48274</v>
      </c>
      <c r="T976" s="30">
        <f t="shared" si="109"/>
        <v>0</v>
      </c>
      <c r="AB976">
        <f t="shared" si="111"/>
        <v>93.800000000000011</v>
      </c>
    </row>
    <row r="977" spans="1:28" ht="13" customHeight="1" x14ac:dyDescent="0.35">
      <c r="A977" s="153">
        <v>48427</v>
      </c>
      <c r="B977" s="36" t="s">
        <v>50</v>
      </c>
      <c r="C977" s="15" t="s">
        <v>52</v>
      </c>
      <c r="D977" s="15" t="s">
        <v>48</v>
      </c>
      <c r="E977" s="30">
        <f>H976</f>
        <v>177.28999999999996</v>
      </c>
      <c r="F977" s="37">
        <f>IFERROR('Production Inputs'!$CL$37*Dependencies!$D$11,0)</f>
        <v>0</v>
      </c>
      <c r="G977" s="37">
        <f t="array" ref="G977">IFERROR(SUMPRODUCT(('Production Inputs'!$A:$A="LLPS")*('Production Inputs'!$B:$B="TOTAL ACTIVE")*'Production Inputs'!$CL:$CL),0)</f>
        <v>0</v>
      </c>
      <c r="H977" s="30">
        <f t="shared" si="105"/>
        <v>177.28999999999996</v>
      </c>
      <c r="I977" s="30">
        <f ca="1">IFERROR(AVERAGEIF(OFFSET(F977,0,0,MIN(Controls!$B$8,COUNTIF(B977:B$1973,B977)),1),"&gt;"&amp;0),0)</f>
        <v>0</v>
      </c>
      <c r="J977" s="38">
        <f t="shared" ca="1" si="106"/>
        <v>999</v>
      </c>
      <c r="K977" s="30">
        <f t="shared" ca="1" si="110"/>
        <v>0</v>
      </c>
      <c r="L977" t="str">
        <f t="shared" ca="1" si="107"/>
        <v>Overstock</v>
      </c>
      <c r="M977" s="39">
        <f>IFERROR(VLOOKUP("LLPS",Controls!A:I,7,0),6)</f>
        <v>4</v>
      </c>
      <c r="N977" s="39">
        <f>IFERROR(VLOOKUP("LLPS",Controls!A:I,8,0),3)</f>
        <v>3</v>
      </c>
      <c r="O977" s="39">
        <f>IFERROR(VLOOKUP("LLPS",Controls!A:I,9,0),18)</f>
        <v>12</v>
      </c>
      <c r="P977" s="40">
        <f>IFERROR(VLOOKUP("LLPS",Controls!A:J,5,0),0)</f>
        <v>5</v>
      </c>
      <c r="Q977" s="39">
        <f>IFERROR(VLOOKUP("LLPS",Controls!A:J,6,0),3)</f>
        <v>4</v>
      </c>
      <c r="R977" s="21" t="str">
        <f>IFERROR(VLOOKUP("LLPS",Controls!A:K,10,0),"")</f>
        <v>Kinovate</v>
      </c>
      <c r="S977" s="41">
        <f t="shared" si="108"/>
        <v>48305</v>
      </c>
      <c r="T977" s="30">
        <f t="shared" si="109"/>
        <v>0</v>
      </c>
      <c r="AB977">
        <f t="shared" si="111"/>
        <v>93.800000000000011</v>
      </c>
    </row>
    <row r="978" spans="1:28" ht="13" customHeight="1" x14ac:dyDescent="0.35">
      <c r="A978" s="153">
        <v>48458</v>
      </c>
      <c r="B978" s="36" t="s">
        <v>50</v>
      </c>
      <c r="C978" s="15" t="s">
        <v>52</v>
      </c>
      <c r="D978" s="15" t="s">
        <v>48</v>
      </c>
      <c r="E978" s="30">
        <f>H977</f>
        <v>177.28999999999996</v>
      </c>
      <c r="F978" s="37">
        <f>IFERROR('Production Inputs'!$CM$37*Dependencies!$D$11,0)</f>
        <v>0</v>
      </c>
      <c r="G978" s="37">
        <f t="array" ref="G978">IFERROR(SUMPRODUCT(('Production Inputs'!$A:$A="LLPS")*('Production Inputs'!$B:$B="TOTAL ACTIVE")*'Production Inputs'!$CM:$CM),0)</f>
        <v>0</v>
      </c>
      <c r="H978" s="30">
        <f t="shared" si="105"/>
        <v>177.28999999999996</v>
      </c>
      <c r="I978" s="30">
        <f ca="1">IFERROR(AVERAGEIF(OFFSET(F978,0,0,MIN(Controls!$B$8,COUNTIF(B978:B$1973,B978)),1),"&gt;"&amp;0),0)</f>
        <v>0</v>
      </c>
      <c r="J978" s="38">
        <f t="shared" ca="1" si="106"/>
        <v>999</v>
      </c>
      <c r="K978" s="30">
        <f t="shared" ca="1" si="110"/>
        <v>0</v>
      </c>
      <c r="L978" t="str">
        <f t="shared" ca="1" si="107"/>
        <v>Overstock</v>
      </c>
      <c r="M978" s="39">
        <f>IFERROR(VLOOKUP("LLPS",Controls!A:I,7,0),6)</f>
        <v>4</v>
      </c>
      <c r="N978" s="39">
        <f>IFERROR(VLOOKUP("LLPS",Controls!A:I,8,0),3)</f>
        <v>3</v>
      </c>
      <c r="O978" s="39">
        <f>IFERROR(VLOOKUP("LLPS",Controls!A:I,9,0),18)</f>
        <v>12</v>
      </c>
      <c r="P978" s="40">
        <f>IFERROR(VLOOKUP("LLPS",Controls!A:J,5,0),0)</f>
        <v>5</v>
      </c>
      <c r="Q978" s="39">
        <f>IFERROR(VLOOKUP("LLPS",Controls!A:J,6,0),3)</f>
        <v>4</v>
      </c>
      <c r="R978" s="21" t="str">
        <f>IFERROR(VLOOKUP("LLPS",Controls!A:K,10,0),"")</f>
        <v>Kinovate</v>
      </c>
      <c r="S978" s="41">
        <f t="shared" si="108"/>
        <v>48335</v>
      </c>
      <c r="T978" s="30">
        <f t="shared" si="109"/>
        <v>0</v>
      </c>
      <c r="AB978">
        <f t="shared" si="111"/>
        <v>93.800000000000011</v>
      </c>
    </row>
    <row r="979" spans="1:28" ht="13" customHeight="1" x14ac:dyDescent="0.35">
      <c r="A979" s="153">
        <v>48488</v>
      </c>
      <c r="B979" s="36" t="s">
        <v>50</v>
      </c>
      <c r="C979" s="15" t="s">
        <v>52</v>
      </c>
      <c r="D979" s="15" t="s">
        <v>48</v>
      </c>
      <c r="E979" s="30">
        <f>H978</f>
        <v>177.28999999999996</v>
      </c>
      <c r="F979" s="37">
        <f>IFERROR('Production Inputs'!$CN$37*Dependencies!$D$11,0)</f>
        <v>0</v>
      </c>
      <c r="G979" s="37">
        <f t="array" ref="G979">IFERROR(SUMPRODUCT(('Production Inputs'!$A:$A="LLPS")*('Production Inputs'!$B:$B="TOTAL ACTIVE")*'Production Inputs'!$CN:$CN),0)</f>
        <v>0</v>
      </c>
      <c r="H979" s="30">
        <f t="shared" si="105"/>
        <v>177.28999999999996</v>
      </c>
      <c r="I979" s="30">
        <f ca="1">IFERROR(AVERAGEIF(OFFSET(F979,0,0,MIN(Controls!$B$8,COUNTIF(B979:B$1973,B979)),1),"&gt;"&amp;0),0)</f>
        <v>0</v>
      </c>
      <c r="J979" s="38">
        <f t="shared" ca="1" si="106"/>
        <v>999</v>
      </c>
      <c r="K979" s="30">
        <f t="shared" ca="1" si="110"/>
        <v>0</v>
      </c>
      <c r="L979" t="str">
        <f t="shared" ca="1" si="107"/>
        <v>Overstock</v>
      </c>
      <c r="M979" s="39">
        <f>IFERROR(VLOOKUP("LLPS",Controls!A:I,7,0),6)</f>
        <v>4</v>
      </c>
      <c r="N979" s="39">
        <f>IFERROR(VLOOKUP("LLPS",Controls!A:I,8,0),3)</f>
        <v>3</v>
      </c>
      <c r="O979" s="39">
        <f>IFERROR(VLOOKUP("LLPS",Controls!A:I,9,0),18)</f>
        <v>12</v>
      </c>
      <c r="P979" s="40">
        <f>IFERROR(VLOOKUP("LLPS",Controls!A:J,5,0),0)</f>
        <v>5</v>
      </c>
      <c r="Q979" s="39">
        <f>IFERROR(VLOOKUP("LLPS",Controls!A:J,6,0),3)</f>
        <v>4</v>
      </c>
      <c r="R979" s="21" t="str">
        <f>IFERROR(VLOOKUP("LLPS",Controls!A:K,10,0),"")</f>
        <v>Kinovate</v>
      </c>
      <c r="S979" s="41">
        <f t="shared" si="108"/>
        <v>48366</v>
      </c>
      <c r="T979" s="30">
        <f t="shared" si="109"/>
        <v>0</v>
      </c>
      <c r="AB979">
        <f t="shared" si="111"/>
        <v>93.800000000000011</v>
      </c>
    </row>
    <row r="980" spans="1:28" ht="13" customHeight="1" x14ac:dyDescent="0.35">
      <c r="A980" s="153">
        <v>48519</v>
      </c>
      <c r="B980" s="36" t="s">
        <v>50</v>
      </c>
      <c r="C980" s="15" t="s">
        <v>52</v>
      </c>
      <c r="D980" s="15" t="s">
        <v>48</v>
      </c>
      <c r="E980" s="30">
        <f>H979</f>
        <v>177.28999999999996</v>
      </c>
      <c r="F980" s="37">
        <f>IFERROR('Production Inputs'!$CO$37*Dependencies!$D$11,0)</f>
        <v>0</v>
      </c>
      <c r="G980" s="37">
        <f t="array" ref="G980">IFERROR(SUMPRODUCT(('Production Inputs'!$A:$A="LLPS")*('Production Inputs'!$B:$B="TOTAL ACTIVE")*'Production Inputs'!$CO:$CO),0)</f>
        <v>0</v>
      </c>
      <c r="H980" s="30">
        <f t="shared" si="105"/>
        <v>177.28999999999996</v>
      </c>
      <c r="I980" s="30">
        <f ca="1">IFERROR(AVERAGEIF(OFFSET(F980,0,0,MIN(Controls!$B$8,COUNTIF(B980:B$1973,B980)),1),"&gt;"&amp;0),0)</f>
        <v>0</v>
      </c>
      <c r="J980" s="38">
        <f t="shared" ca="1" si="106"/>
        <v>999</v>
      </c>
      <c r="K980" s="30">
        <f t="shared" ca="1" si="110"/>
        <v>0</v>
      </c>
      <c r="L980" t="str">
        <f t="shared" ca="1" si="107"/>
        <v>Overstock</v>
      </c>
      <c r="M980" s="39">
        <f>IFERROR(VLOOKUP("LLPS",Controls!A:I,7,0),6)</f>
        <v>4</v>
      </c>
      <c r="N980" s="39">
        <f>IFERROR(VLOOKUP("LLPS",Controls!A:I,8,0),3)</f>
        <v>3</v>
      </c>
      <c r="O980" s="39">
        <f>IFERROR(VLOOKUP("LLPS",Controls!A:I,9,0),18)</f>
        <v>12</v>
      </c>
      <c r="P980" s="40">
        <f>IFERROR(VLOOKUP("LLPS",Controls!A:J,5,0),0)</f>
        <v>5</v>
      </c>
      <c r="Q980" s="39">
        <f>IFERROR(VLOOKUP("LLPS",Controls!A:J,6,0),3)</f>
        <v>4</v>
      </c>
      <c r="R980" s="21" t="str">
        <f>IFERROR(VLOOKUP("LLPS",Controls!A:K,10,0),"")</f>
        <v>Kinovate</v>
      </c>
      <c r="S980" s="41">
        <f t="shared" si="108"/>
        <v>48396</v>
      </c>
      <c r="T980" s="30">
        <f t="shared" si="109"/>
        <v>0</v>
      </c>
      <c r="AB980">
        <f t="shared" si="111"/>
        <v>93.800000000000011</v>
      </c>
    </row>
    <row r="981" spans="1:28" ht="13" customHeight="1" x14ac:dyDescent="0.35">
      <c r="A981" s="153">
        <v>48549</v>
      </c>
      <c r="B981" s="36" t="s">
        <v>50</v>
      </c>
      <c r="C981" s="15" t="s">
        <v>52</v>
      </c>
      <c r="D981" s="15" t="s">
        <v>48</v>
      </c>
      <c r="E981" s="30">
        <f>H980</f>
        <v>177.28999999999996</v>
      </c>
      <c r="F981" s="37">
        <f>IFERROR('Production Inputs'!$CP$37*Dependencies!$D$11,0)</f>
        <v>0</v>
      </c>
      <c r="G981" s="37">
        <f t="array" ref="G981">IFERROR(SUMPRODUCT(('Production Inputs'!$A:$A="LLPS")*('Production Inputs'!$B:$B="TOTAL ACTIVE")*'Production Inputs'!$CP:$CP),0)</f>
        <v>0</v>
      </c>
      <c r="H981" s="30">
        <f t="shared" si="105"/>
        <v>177.28999999999996</v>
      </c>
      <c r="I981" s="30">
        <f ca="1">IFERROR(AVERAGEIF(OFFSET(F981,0,0,MIN(Controls!$B$8,COUNTIF(B981:B$1973,B981)),1),"&gt;"&amp;0),0)</f>
        <v>0</v>
      </c>
      <c r="J981" s="38">
        <f t="shared" ca="1" si="106"/>
        <v>999</v>
      </c>
      <c r="K981" s="30">
        <f t="shared" ca="1" si="110"/>
        <v>0</v>
      </c>
      <c r="L981" t="str">
        <f t="shared" ca="1" si="107"/>
        <v>Overstock</v>
      </c>
      <c r="M981" s="39">
        <f>IFERROR(VLOOKUP("LLPS",Controls!A:I,7,0),6)</f>
        <v>4</v>
      </c>
      <c r="N981" s="39">
        <f>IFERROR(VLOOKUP("LLPS",Controls!A:I,8,0),3)</f>
        <v>3</v>
      </c>
      <c r="O981" s="39">
        <f>IFERROR(VLOOKUP("LLPS",Controls!A:I,9,0),18)</f>
        <v>12</v>
      </c>
      <c r="P981" s="40">
        <f>IFERROR(VLOOKUP("LLPS",Controls!A:J,5,0),0)</f>
        <v>5</v>
      </c>
      <c r="Q981" s="39">
        <f>IFERROR(VLOOKUP("LLPS",Controls!A:J,6,0),3)</f>
        <v>4</v>
      </c>
      <c r="R981" s="21" t="str">
        <f>IFERROR(VLOOKUP("LLPS",Controls!A:K,10,0),"")</f>
        <v>Kinovate</v>
      </c>
      <c r="S981" s="41">
        <f t="shared" si="108"/>
        <v>48427</v>
      </c>
      <c r="T981" s="30">
        <f t="shared" si="109"/>
        <v>0</v>
      </c>
      <c r="AB981">
        <f t="shared" si="111"/>
        <v>93.800000000000011</v>
      </c>
    </row>
    <row r="982" spans="1:28" ht="13" customHeight="1" x14ac:dyDescent="0.35">
      <c r="A982" s="153">
        <v>48580</v>
      </c>
      <c r="B982" s="36" t="s">
        <v>50</v>
      </c>
      <c r="C982" s="15" t="s">
        <v>52</v>
      </c>
      <c r="D982" s="15" t="s">
        <v>48</v>
      </c>
      <c r="E982" s="30">
        <f>H981</f>
        <v>177.28999999999996</v>
      </c>
      <c r="F982" s="37">
        <f>IFERROR('Production Inputs'!$CQ$37*Dependencies!$D$11,0)</f>
        <v>0</v>
      </c>
      <c r="G982" s="37">
        <f t="array" ref="G982">IFERROR(SUMPRODUCT(('Production Inputs'!$A:$A="LLPS")*('Production Inputs'!$B:$B="TOTAL ACTIVE")*'Production Inputs'!$CQ:$CQ),0)</f>
        <v>0</v>
      </c>
      <c r="H982" s="30">
        <f t="shared" si="105"/>
        <v>177.28999999999996</v>
      </c>
      <c r="I982" s="30">
        <f ca="1">IFERROR(AVERAGEIF(OFFSET(F982,0,0,MIN(Controls!$B$8,COUNTIF(B982:B$1973,B982)),1),"&gt;"&amp;0),0)</f>
        <v>0</v>
      </c>
      <c r="J982" s="38">
        <f t="shared" ca="1" si="106"/>
        <v>999</v>
      </c>
      <c r="K982" s="30">
        <f t="shared" ca="1" si="110"/>
        <v>0</v>
      </c>
      <c r="L982" t="str">
        <f t="shared" ca="1" si="107"/>
        <v>Overstock</v>
      </c>
      <c r="M982" s="39">
        <f>IFERROR(VLOOKUP("LLPS",Controls!A:I,7,0),6)</f>
        <v>4</v>
      </c>
      <c r="N982" s="39">
        <f>IFERROR(VLOOKUP("LLPS",Controls!A:I,8,0),3)</f>
        <v>3</v>
      </c>
      <c r="O982" s="39">
        <f>IFERROR(VLOOKUP("LLPS",Controls!A:I,9,0),18)</f>
        <v>12</v>
      </c>
      <c r="P982" s="40">
        <f>IFERROR(VLOOKUP("LLPS",Controls!A:J,5,0),0)</f>
        <v>5</v>
      </c>
      <c r="Q982" s="39">
        <f>IFERROR(VLOOKUP("LLPS",Controls!A:J,6,0),3)</f>
        <v>4</v>
      </c>
      <c r="R982" s="21" t="str">
        <f>IFERROR(VLOOKUP("LLPS",Controls!A:K,10,0),"")</f>
        <v>Kinovate</v>
      </c>
      <c r="S982" s="41">
        <f t="shared" si="108"/>
        <v>48458</v>
      </c>
      <c r="T982" s="30">
        <f t="shared" si="109"/>
        <v>0</v>
      </c>
      <c r="AB982">
        <f t="shared" si="111"/>
        <v>93.800000000000011</v>
      </c>
    </row>
    <row r="983" spans="1:28" ht="13" customHeight="1" x14ac:dyDescent="0.35">
      <c r="A983" s="153">
        <v>48611</v>
      </c>
      <c r="B983" s="36" t="s">
        <v>50</v>
      </c>
      <c r="C983" s="15" t="s">
        <v>52</v>
      </c>
      <c r="D983" s="15" t="s">
        <v>48</v>
      </c>
      <c r="E983" s="30">
        <f>H982</f>
        <v>177.28999999999996</v>
      </c>
      <c r="F983" s="37">
        <f>IFERROR('Production Inputs'!$CR$37*Dependencies!$D$11,0)</f>
        <v>0</v>
      </c>
      <c r="G983" s="37">
        <f t="array" ref="G983">IFERROR(SUMPRODUCT(('Production Inputs'!$A:$A="LLPS")*('Production Inputs'!$B:$B="TOTAL ACTIVE")*'Production Inputs'!$CR:$CR),0)</f>
        <v>0</v>
      </c>
      <c r="H983" s="30">
        <f t="shared" si="105"/>
        <v>177.28999999999996</v>
      </c>
      <c r="I983" s="30">
        <f ca="1">IFERROR(AVERAGEIF(OFFSET(F983,0,0,MIN(Controls!$B$8,COUNTIF(B983:B$1973,B983)),1),"&gt;"&amp;0),0)</f>
        <v>0</v>
      </c>
      <c r="J983" s="38">
        <f t="shared" ca="1" si="106"/>
        <v>999</v>
      </c>
      <c r="K983" s="30">
        <f t="shared" ca="1" si="110"/>
        <v>0</v>
      </c>
      <c r="L983" t="str">
        <f t="shared" ca="1" si="107"/>
        <v>Overstock</v>
      </c>
      <c r="M983" s="39">
        <f>IFERROR(VLOOKUP("LLPS",Controls!A:I,7,0),6)</f>
        <v>4</v>
      </c>
      <c r="N983" s="39">
        <f>IFERROR(VLOOKUP("LLPS",Controls!A:I,8,0),3)</f>
        <v>3</v>
      </c>
      <c r="O983" s="39">
        <f>IFERROR(VLOOKUP("LLPS",Controls!A:I,9,0),18)</f>
        <v>12</v>
      </c>
      <c r="P983" s="40">
        <f>IFERROR(VLOOKUP("LLPS",Controls!A:J,5,0),0)</f>
        <v>5</v>
      </c>
      <c r="Q983" s="39">
        <f>IFERROR(VLOOKUP("LLPS",Controls!A:J,6,0),3)</f>
        <v>4</v>
      </c>
      <c r="R983" s="21" t="str">
        <f>IFERROR(VLOOKUP("LLPS",Controls!A:K,10,0),"")</f>
        <v>Kinovate</v>
      </c>
      <c r="S983" s="41">
        <f t="shared" si="108"/>
        <v>48488</v>
      </c>
      <c r="T983" s="30">
        <f t="shared" si="109"/>
        <v>0</v>
      </c>
      <c r="AB983">
        <f t="shared" si="111"/>
        <v>93.800000000000011</v>
      </c>
    </row>
    <row r="984" spans="1:28" ht="13" customHeight="1" x14ac:dyDescent="0.35">
      <c r="A984" s="153">
        <v>48639</v>
      </c>
      <c r="B984" s="36" t="s">
        <v>50</v>
      </c>
      <c r="C984" s="15" t="s">
        <v>52</v>
      </c>
      <c r="D984" s="15" t="s">
        <v>48</v>
      </c>
      <c r="E984" s="30">
        <f>H983</f>
        <v>177.28999999999996</v>
      </c>
      <c r="F984" s="37">
        <f>IFERROR('Production Inputs'!$CS$37*Dependencies!$D$11,0)</f>
        <v>0</v>
      </c>
      <c r="G984" s="37">
        <f t="array" ref="G984">IFERROR(SUMPRODUCT(('Production Inputs'!$A:$A="LLPS")*('Production Inputs'!$B:$B="TOTAL ACTIVE")*'Production Inputs'!$CS:$CS),0)</f>
        <v>0</v>
      </c>
      <c r="H984" s="30">
        <f t="shared" si="105"/>
        <v>177.28999999999996</v>
      </c>
      <c r="I984" s="30">
        <f ca="1">IFERROR(AVERAGEIF(OFFSET(F984,0,0,MIN(Controls!$B$8,COUNTIF(B984:B$1973,B984)),1),"&gt;"&amp;0),0)</f>
        <v>0</v>
      </c>
      <c r="J984" s="38">
        <f t="shared" ca="1" si="106"/>
        <v>999</v>
      </c>
      <c r="K984" s="30">
        <f t="shared" ca="1" si="110"/>
        <v>0</v>
      </c>
      <c r="L984" t="str">
        <f t="shared" ca="1" si="107"/>
        <v>Overstock</v>
      </c>
      <c r="M984" s="39">
        <f>IFERROR(VLOOKUP("LLPS",Controls!A:I,7,0),6)</f>
        <v>4</v>
      </c>
      <c r="N984" s="39">
        <f>IFERROR(VLOOKUP("LLPS",Controls!A:I,8,0),3)</f>
        <v>3</v>
      </c>
      <c r="O984" s="39">
        <f>IFERROR(VLOOKUP("LLPS",Controls!A:I,9,0),18)</f>
        <v>12</v>
      </c>
      <c r="P984" s="40">
        <f>IFERROR(VLOOKUP("LLPS",Controls!A:J,5,0),0)</f>
        <v>5</v>
      </c>
      <c r="Q984" s="39">
        <f>IFERROR(VLOOKUP("LLPS",Controls!A:J,6,0),3)</f>
        <v>4</v>
      </c>
      <c r="R984" s="21" t="str">
        <f>IFERROR(VLOOKUP("LLPS",Controls!A:K,10,0),"")</f>
        <v>Kinovate</v>
      </c>
      <c r="S984" s="41">
        <f t="shared" si="108"/>
        <v>48519</v>
      </c>
      <c r="T984" s="30">
        <f t="shared" si="109"/>
        <v>0</v>
      </c>
      <c r="AB984">
        <f t="shared" si="111"/>
        <v>93.800000000000011</v>
      </c>
    </row>
    <row r="985" spans="1:28" ht="13" customHeight="1" x14ac:dyDescent="0.35">
      <c r="A985" s="153">
        <v>48670</v>
      </c>
      <c r="B985" s="36" t="s">
        <v>50</v>
      </c>
      <c r="C985" s="15" t="s">
        <v>52</v>
      </c>
      <c r="D985" s="15" t="s">
        <v>48</v>
      </c>
      <c r="E985" s="30">
        <f>H984</f>
        <v>177.28999999999996</v>
      </c>
      <c r="F985" s="37">
        <f>IFERROR('Production Inputs'!$CT$37*Dependencies!$D$11,0)</f>
        <v>0</v>
      </c>
      <c r="G985" s="37">
        <f t="array" ref="G985">IFERROR(SUMPRODUCT(('Production Inputs'!$A:$A="LLPS")*('Production Inputs'!$B:$B="TOTAL ACTIVE")*'Production Inputs'!$CT:$CT),0)</f>
        <v>0</v>
      </c>
      <c r="H985" s="30">
        <f t="shared" si="105"/>
        <v>177.28999999999996</v>
      </c>
      <c r="I985" s="30">
        <f ca="1">IFERROR(AVERAGEIF(OFFSET(F985,0,0,MIN(Controls!$B$8,COUNTIF(B985:B$1973,B985)),1),"&gt;"&amp;0),0)</f>
        <v>0</v>
      </c>
      <c r="J985" s="38">
        <f t="shared" ca="1" si="106"/>
        <v>999</v>
      </c>
      <c r="K985" s="30">
        <f t="shared" ca="1" si="110"/>
        <v>0</v>
      </c>
      <c r="L985" t="str">
        <f t="shared" ca="1" si="107"/>
        <v>Overstock</v>
      </c>
      <c r="M985" s="39">
        <f>IFERROR(VLOOKUP("LLPS",Controls!A:I,7,0),6)</f>
        <v>4</v>
      </c>
      <c r="N985" s="39">
        <f>IFERROR(VLOOKUP("LLPS",Controls!A:I,8,0),3)</f>
        <v>3</v>
      </c>
      <c r="O985" s="39">
        <f>IFERROR(VLOOKUP("LLPS",Controls!A:I,9,0),18)</f>
        <v>12</v>
      </c>
      <c r="P985" s="40">
        <f>IFERROR(VLOOKUP("LLPS",Controls!A:J,5,0),0)</f>
        <v>5</v>
      </c>
      <c r="Q985" s="39">
        <f>IFERROR(VLOOKUP("LLPS",Controls!A:J,6,0),3)</f>
        <v>4</v>
      </c>
      <c r="R985" s="21" t="str">
        <f>IFERROR(VLOOKUP("LLPS",Controls!A:K,10,0),"")</f>
        <v>Kinovate</v>
      </c>
      <c r="S985" s="41">
        <f t="shared" si="108"/>
        <v>48549</v>
      </c>
      <c r="T985" s="30">
        <f t="shared" si="109"/>
        <v>0</v>
      </c>
      <c r="AB985">
        <f t="shared" si="111"/>
        <v>93.800000000000011</v>
      </c>
    </row>
    <row r="986" spans="1:28" ht="13" customHeight="1" x14ac:dyDescent="0.35">
      <c r="A986" s="153">
        <v>48700</v>
      </c>
      <c r="B986" s="36" t="s">
        <v>50</v>
      </c>
      <c r="C986" s="15" t="s">
        <v>52</v>
      </c>
      <c r="D986" s="15" t="s">
        <v>48</v>
      </c>
      <c r="E986" s="30">
        <f>H985</f>
        <v>177.28999999999996</v>
      </c>
      <c r="F986" s="37">
        <f>IFERROR('Production Inputs'!$CU$37*Dependencies!$D$11,0)</f>
        <v>0</v>
      </c>
      <c r="G986" s="37">
        <f t="array" ref="G986">IFERROR(SUMPRODUCT(('Production Inputs'!$A:$A="LLPS")*('Production Inputs'!$B:$B="TOTAL ACTIVE")*'Production Inputs'!$CU:$CU),0)</f>
        <v>0</v>
      </c>
      <c r="H986" s="30">
        <f t="shared" si="105"/>
        <v>177.28999999999996</v>
      </c>
      <c r="I986" s="30">
        <f ca="1">IFERROR(AVERAGEIF(OFFSET(F986,0,0,MIN(Controls!$B$8,COUNTIF(B986:B$1973,B986)),1),"&gt;"&amp;0),0)</f>
        <v>0</v>
      </c>
      <c r="J986" s="38">
        <f t="shared" ca="1" si="106"/>
        <v>999</v>
      </c>
      <c r="K986" s="30">
        <f t="shared" ca="1" si="110"/>
        <v>0</v>
      </c>
      <c r="L986" t="str">
        <f t="shared" ca="1" si="107"/>
        <v>Overstock</v>
      </c>
      <c r="M986" s="39">
        <f>IFERROR(VLOOKUP("LLPS",Controls!A:I,7,0),6)</f>
        <v>4</v>
      </c>
      <c r="N986" s="39">
        <f>IFERROR(VLOOKUP("LLPS",Controls!A:I,8,0),3)</f>
        <v>3</v>
      </c>
      <c r="O986" s="39">
        <f>IFERROR(VLOOKUP("LLPS",Controls!A:I,9,0),18)</f>
        <v>12</v>
      </c>
      <c r="P986" s="40">
        <f>IFERROR(VLOOKUP("LLPS",Controls!A:J,5,0),0)</f>
        <v>5</v>
      </c>
      <c r="Q986" s="39">
        <f>IFERROR(VLOOKUP("LLPS",Controls!A:J,6,0),3)</f>
        <v>4</v>
      </c>
      <c r="R986" s="21" t="str">
        <f>IFERROR(VLOOKUP("LLPS",Controls!A:K,10,0),"")</f>
        <v>Kinovate</v>
      </c>
      <c r="S986" s="41">
        <f t="shared" si="108"/>
        <v>48580</v>
      </c>
      <c r="T986" s="30">
        <f t="shared" si="109"/>
        <v>0</v>
      </c>
      <c r="AB986">
        <f t="shared" si="111"/>
        <v>93.800000000000011</v>
      </c>
    </row>
    <row r="987" spans="1:28" ht="13" customHeight="1" x14ac:dyDescent="0.35">
      <c r="A987" s="153">
        <v>48731</v>
      </c>
      <c r="B987" s="36" t="s">
        <v>50</v>
      </c>
      <c r="C987" s="15" t="s">
        <v>52</v>
      </c>
      <c r="D987" s="15" t="s">
        <v>48</v>
      </c>
      <c r="E987" s="30">
        <f>H986</f>
        <v>177.28999999999996</v>
      </c>
      <c r="F987" s="37">
        <f>IFERROR('Production Inputs'!$CV$37*Dependencies!$D$11,0)</f>
        <v>0</v>
      </c>
      <c r="G987" s="37">
        <f t="array" ref="G987">IFERROR(SUMPRODUCT(('Production Inputs'!$A:$A="LLPS")*('Production Inputs'!$B:$B="TOTAL ACTIVE")*'Production Inputs'!$CV:$CV),0)</f>
        <v>0</v>
      </c>
      <c r="H987" s="30">
        <f t="shared" si="105"/>
        <v>177.28999999999996</v>
      </c>
      <c r="I987" s="30">
        <f ca="1">IFERROR(AVERAGEIF(OFFSET(F987,0,0,MIN(Controls!$B$8,COUNTIF(B987:B$1973,B987)),1),"&gt;"&amp;0),0)</f>
        <v>0</v>
      </c>
      <c r="J987" s="38">
        <f t="shared" ca="1" si="106"/>
        <v>999</v>
      </c>
      <c r="K987" s="30">
        <f t="shared" ca="1" si="110"/>
        <v>0</v>
      </c>
      <c r="L987" t="str">
        <f t="shared" ca="1" si="107"/>
        <v>Overstock</v>
      </c>
      <c r="M987" s="39">
        <f>IFERROR(VLOOKUP("LLPS",Controls!A:I,7,0),6)</f>
        <v>4</v>
      </c>
      <c r="N987" s="39">
        <f>IFERROR(VLOOKUP("LLPS",Controls!A:I,8,0),3)</f>
        <v>3</v>
      </c>
      <c r="O987" s="39">
        <f>IFERROR(VLOOKUP("LLPS",Controls!A:I,9,0),18)</f>
        <v>12</v>
      </c>
      <c r="P987" s="40">
        <f>IFERROR(VLOOKUP("LLPS",Controls!A:J,5,0),0)</f>
        <v>5</v>
      </c>
      <c r="Q987" s="39">
        <f>IFERROR(VLOOKUP("LLPS",Controls!A:J,6,0),3)</f>
        <v>4</v>
      </c>
      <c r="R987" s="21" t="str">
        <f>IFERROR(VLOOKUP("LLPS",Controls!A:K,10,0),"")</f>
        <v>Kinovate</v>
      </c>
      <c r="S987" s="41">
        <f t="shared" si="108"/>
        <v>48611</v>
      </c>
      <c r="T987" s="30">
        <f t="shared" si="109"/>
        <v>0</v>
      </c>
      <c r="AB987">
        <f t="shared" si="111"/>
        <v>93.800000000000011</v>
      </c>
    </row>
    <row r="988" spans="1:28" ht="13" customHeight="1" x14ac:dyDescent="0.35">
      <c r="A988" s="153">
        <v>48761</v>
      </c>
      <c r="B988" s="36" t="s">
        <v>50</v>
      </c>
      <c r="C988" s="15" t="s">
        <v>52</v>
      </c>
      <c r="D988" s="15" t="s">
        <v>48</v>
      </c>
      <c r="E988" s="30">
        <f>H987</f>
        <v>177.28999999999996</v>
      </c>
      <c r="F988" s="37">
        <f>IFERROR('Production Inputs'!$CW$37*Dependencies!$D$11,0)</f>
        <v>0</v>
      </c>
      <c r="G988" s="37">
        <f t="array" ref="G988">IFERROR(SUMPRODUCT(('Production Inputs'!$A:$A="LLPS")*('Production Inputs'!$B:$B="TOTAL ACTIVE")*'Production Inputs'!$CW:$CW),0)</f>
        <v>0</v>
      </c>
      <c r="H988" s="30">
        <f t="shared" si="105"/>
        <v>177.28999999999996</v>
      </c>
      <c r="I988" s="30">
        <f ca="1">IFERROR(AVERAGEIF(OFFSET(F988,0,0,MIN(Controls!$B$8,COUNTIF(B988:B$1973,B988)),1),"&gt;"&amp;0),0)</f>
        <v>0</v>
      </c>
      <c r="J988" s="38">
        <f t="shared" ca="1" si="106"/>
        <v>999</v>
      </c>
      <c r="K988" s="30">
        <f t="shared" ca="1" si="110"/>
        <v>0</v>
      </c>
      <c r="L988" t="str">
        <f t="shared" ca="1" si="107"/>
        <v>Overstock</v>
      </c>
      <c r="M988" s="39">
        <f>IFERROR(VLOOKUP("LLPS",Controls!A:I,7,0),6)</f>
        <v>4</v>
      </c>
      <c r="N988" s="39">
        <f>IFERROR(VLOOKUP("LLPS",Controls!A:I,8,0),3)</f>
        <v>3</v>
      </c>
      <c r="O988" s="39">
        <f>IFERROR(VLOOKUP("LLPS",Controls!A:I,9,0),18)</f>
        <v>12</v>
      </c>
      <c r="P988" s="40">
        <f>IFERROR(VLOOKUP("LLPS",Controls!A:J,5,0),0)</f>
        <v>5</v>
      </c>
      <c r="Q988" s="39">
        <f>IFERROR(VLOOKUP("LLPS",Controls!A:J,6,0),3)</f>
        <v>4</v>
      </c>
      <c r="R988" s="21" t="str">
        <f>IFERROR(VLOOKUP("LLPS",Controls!A:K,10,0),"")</f>
        <v>Kinovate</v>
      </c>
      <c r="S988" s="41">
        <f t="shared" si="108"/>
        <v>48639</v>
      </c>
      <c r="T988" s="30">
        <f t="shared" si="109"/>
        <v>0</v>
      </c>
      <c r="AB988">
        <f t="shared" si="111"/>
        <v>93.800000000000011</v>
      </c>
    </row>
    <row r="989" spans="1:28" ht="13" customHeight="1" x14ac:dyDescent="0.35">
      <c r="A989" s="153">
        <v>48792</v>
      </c>
      <c r="B989" s="36" t="s">
        <v>50</v>
      </c>
      <c r="C989" s="15" t="s">
        <v>52</v>
      </c>
      <c r="D989" s="15" t="s">
        <v>48</v>
      </c>
      <c r="E989" s="30">
        <f>H988</f>
        <v>177.28999999999996</v>
      </c>
      <c r="F989" s="37">
        <f>IFERROR('Production Inputs'!$CX$37*Dependencies!$D$11,0)</f>
        <v>0</v>
      </c>
      <c r="G989" s="37">
        <f t="array" ref="G989">IFERROR(SUMPRODUCT(('Production Inputs'!$A:$A="LLPS")*('Production Inputs'!$B:$B="TOTAL ACTIVE")*'Production Inputs'!$CX:$CX),0)</f>
        <v>0</v>
      </c>
      <c r="H989" s="30">
        <f t="shared" si="105"/>
        <v>177.28999999999996</v>
      </c>
      <c r="I989" s="30">
        <f ca="1">IFERROR(AVERAGEIF(OFFSET(F989,0,0,MIN(Controls!$B$8,COUNTIF(B989:B$1973,B989)),1),"&gt;"&amp;0),0)</f>
        <v>0</v>
      </c>
      <c r="J989" s="38">
        <f t="shared" ca="1" si="106"/>
        <v>999</v>
      </c>
      <c r="K989" s="30">
        <f t="shared" ca="1" si="110"/>
        <v>0</v>
      </c>
      <c r="L989" t="str">
        <f t="shared" ca="1" si="107"/>
        <v>Overstock</v>
      </c>
      <c r="M989" s="39">
        <f>IFERROR(VLOOKUP("LLPS",Controls!A:I,7,0),6)</f>
        <v>4</v>
      </c>
      <c r="N989" s="39">
        <f>IFERROR(VLOOKUP("LLPS",Controls!A:I,8,0),3)</f>
        <v>3</v>
      </c>
      <c r="O989" s="39">
        <f>IFERROR(VLOOKUP("LLPS",Controls!A:I,9,0),18)</f>
        <v>12</v>
      </c>
      <c r="P989" s="40">
        <f>IFERROR(VLOOKUP("LLPS",Controls!A:J,5,0),0)</f>
        <v>5</v>
      </c>
      <c r="Q989" s="39">
        <f>IFERROR(VLOOKUP("LLPS",Controls!A:J,6,0),3)</f>
        <v>4</v>
      </c>
      <c r="R989" s="21" t="str">
        <f>IFERROR(VLOOKUP("LLPS",Controls!A:K,10,0),"")</f>
        <v>Kinovate</v>
      </c>
      <c r="S989" s="41">
        <f t="shared" si="108"/>
        <v>48670</v>
      </c>
      <c r="T989" s="30">
        <f t="shared" si="109"/>
        <v>0</v>
      </c>
      <c r="AB989">
        <f t="shared" si="111"/>
        <v>93.800000000000011</v>
      </c>
    </row>
    <row r="990" spans="1:28" ht="13" customHeight="1" x14ac:dyDescent="0.35">
      <c r="A990" s="153">
        <v>48823</v>
      </c>
      <c r="B990" s="36" t="s">
        <v>50</v>
      </c>
      <c r="C990" s="15" t="s">
        <v>52</v>
      </c>
      <c r="D990" s="15" t="s">
        <v>48</v>
      </c>
      <c r="E990" s="30">
        <f>H989</f>
        <v>177.28999999999996</v>
      </c>
      <c r="F990" s="37">
        <f>IFERROR('Production Inputs'!$CY$37*Dependencies!$D$11,0)</f>
        <v>0</v>
      </c>
      <c r="G990" s="37">
        <f t="array" ref="G990">IFERROR(SUMPRODUCT(('Production Inputs'!$A:$A="LLPS")*('Production Inputs'!$B:$B="TOTAL ACTIVE")*'Production Inputs'!$CY:$CY),0)</f>
        <v>0</v>
      </c>
      <c r="H990" s="30">
        <f t="shared" si="105"/>
        <v>177.28999999999996</v>
      </c>
      <c r="I990" s="30">
        <f ca="1">IFERROR(AVERAGEIF(OFFSET(F990,0,0,MIN(Controls!$B$8,COUNTIF(B990:B$1973,B990)),1),"&gt;"&amp;0),0)</f>
        <v>0</v>
      </c>
      <c r="J990" s="38">
        <f t="shared" ca="1" si="106"/>
        <v>999</v>
      </c>
      <c r="K990" s="30">
        <f t="shared" ca="1" si="110"/>
        <v>0</v>
      </c>
      <c r="L990" t="str">
        <f t="shared" ca="1" si="107"/>
        <v>Overstock</v>
      </c>
      <c r="M990" s="39">
        <f>IFERROR(VLOOKUP("LLPS",Controls!A:I,7,0),6)</f>
        <v>4</v>
      </c>
      <c r="N990" s="39">
        <f>IFERROR(VLOOKUP("LLPS",Controls!A:I,8,0),3)</f>
        <v>3</v>
      </c>
      <c r="O990" s="39">
        <f>IFERROR(VLOOKUP("LLPS",Controls!A:I,9,0),18)</f>
        <v>12</v>
      </c>
      <c r="P990" s="40">
        <f>IFERROR(VLOOKUP("LLPS",Controls!A:J,5,0),0)</f>
        <v>5</v>
      </c>
      <c r="Q990" s="39">
        <f>IFERROR(VLOOKUP("LLPS",Controls!A:J,6,0),3)</f>
        <v>4</v>
      </c>
      <c r="R990" s="21" t="str">
        <f>IFERROR(VLOOKUP("LLPS",Controls!A:K,10,0),"")</f>
        <v>Kinovate</v>
      </c>
      <c r="S990" s="41">
        <f t="shared" si="108"/>
        <v>48700</v>
      </c>
      <c r="T990" s="30">
        <f t="shared" si="109"/>
        <v>0</v>
      </c>
      <c r="AB990">
        <f t="shared" si="111"/>
        <v>93.800000000000011</v>
      </c>
    </row>
    <row r="991" spans="1:28" ht="13" customHeight="1" x14ac:dyDescent="0.35">
      <c r="A991" s="153">
        <v>48853</v>
      </c>
      <c r="B991" s="36" t="s">
        <v>50</v>
      </c>
      <c r="C991" s="15" t="s">
        <v>52</v>
      </c>
      <c r="D991" s="15" t="s">
        <v>48</v>
      </c>
      <c r="E991" s="30">
        <f>H990</f>
        <v>177.28999999999996</v>
      </c>
      <c r="F991" s="37">
        <f>IFERROR('Production Inputs'!$CZ$37*Dependencies!$D$11,0)</f>
        <v>0</v>
      </c>
      <c r="G991" s="37">
        <f t="array" ref="G991">IFERROR(SUMPRODUCT(('Production Inputs'!$A:$A="LLPS")*('Production Inputs'!$B:$B="TOTAL ACTIVE")*'Production Inputs'!$CZ:$CZ),0)</f>
        <v>0</v>
      </c>
      <c r="H991" s="30">
        <f t="shared" si="105"/>
        <v>177.28999999999996</v>
      </c>
      <c r="I991" s="30">
        <f ca="1">IFERROR(AVERAGEIF(OFFSET(F991,0,0,MIN(Controls!$B$8,COUNTIF(B991:B$1973,B991)),1),"&gt;"&amp;0),0)</f>
        <v>0</v>
      </c>
      <c r="J991" s="38">
        <f t="shared" ca="1" si="106"/>
        <v>999</v>
      </c>
      <c r="K991" s="30">
        <f t="shared" ca="1" si="110"/>
        <v>0</v>
      </c>
      <c r="L991" t="str">
        <f t="shared" ca="1" si="107"/>
        <v>Overstock</v>
      </c>
      <c r="M991" s="39">
        <f>IFERROR(VLOOKUP("LLPS",Controls!A:I,7,0),6)</f>
        <v>4</v>
      </c>
      <c r="N991" s="39">
        <f>IFERROR(VLOOKUP("LLPS",Controls!A:I,8,0),3)</f>
        <v>3</v>
      </c>
      <c r="O991" s="39">
        <f>IFERROR(VLOOKUP("LLPS",Controls!A:I,9,0),18)</f>
        <v>12</v>
      </c>
      <c r="P991" s="40">
        <f>IFERROR(VLOOKUP("LLPS",Controls!A:J,5,0),0)</f>
        <v>5</v>
      </c>
      <c r="Q991" s="39">
        <f>IFERROR(VLOOKUP("LLPS",Controls!A:J,6,0),3)</f>
        <v>4</v>
      </c>
      <c r="R991" s="21" t="str">
        <f>IFERROR(VLOOKUP("LLPS",Controls!A:K,10,0),"")</f>
        <v>Kinovate</v>
      </c>
      <c r="S991" s="41">
        <f t="shared" si="108"/>
        <v>48731</v>
      </c>
      <c r="T991" s="30">
        <f t="shared" si="109"/>
        <v>0</v>
      </c>
      <c r="AB991">
        <f t="shared" si="111"/>
        <v>93.800000000000011</v>
      </c>
    </row>
    <row r="992" spans="1:28" ht="13" customHeight="1" x14ac:dyDescent="0.35">
      <c r="A992" s="153">
        <v>48884</v>
      </c>
      <c r="B992" s="36" t="s">
        <v>50</v>
      </c>
      <c r="C992" s="15" t="s">
        <v>52</v>
      </c>
      <c r="D992" s="15" t="s">
        <v>48</v>
      </c>
      <c r="E992" s="30">
        <f>H991</f>
        <v>177.28999999999996</v>
      </c>
      <c r="F992" s="37">
        <f>IFERROR('Production Inputs'!$DA$37*Dependencies!$D$11,0)</f>
        <v>0</v>
      </c>
      <c r="G992" s="37">
        <f t="array" ref="G992">IFERROR(SUMPRODUCT(('Production Inputs'!$A:$A="LLPS")*('Production Inputs'!$B:$B="TOTAL ACTIVE")*'Production Inputs'!$DA:$DA),0)</f>
        <v>0</v>
      </c>
      <c r="H992" s="30">
        <f t="shared" si="105"/>
        <v>177.28999999999996</v>
      </c>
      <c r="I992" s="30">
        <f ca="1">IFERROR(AVERAGEIF(OFFSET(F992,0,0,MIN(Controls!$B$8,COUNTIF(B992:B$1973,B992)),1),"&gt;"&amp;0),0)</f>
        <v>0</v>
      </c>
      <c r="J992" s="38">
        <f t="shared" ca="1" si="106"/>
        <v>999</v>
      </c>
      <c r="K992" s="30">
        <f t="shared" ca="1" si="110"/>
        <v>0</v>
      </c>
      <c r="L992" t="str">
        <f t="shared" ca="1" si="107"/>
        <v>Overstock</v>
      </c>
      <c r="M992" s="39">
        <f>IFERROR(VLOOKUP("LLPS",Controls!A:I,7,0),6)</f>
        <v>4</v>
      </c>
      <c r="N992" s="39">
        <f>IFERROR(VLOOKUP("LLPS",Controls!A:I,8,0),3)</f>
        <v>3</v>
      </c>
      <c r="O992" s="39">
        <f>IFERROR(VLOOKUP("LLPS",Controls!A:I,9,0),18)</f>
        <v>12</v>
      </c>
      <c r="P992" s="40">
        <f>IFERROR(VLOOKUP("LLPS",Controls!A:J,5,0),0)</f>
        <v>5</v>
      </c>
      <c r="Q992" s="39">
        <f>IFERROR(VLOOKUP("LLPS",Controls!A:J,6,0),3)</f>
        <v>4</v>
      </c>
      <c r="R992" s="21" t="str">
        <f>IFERROR(VLOOKUP("LLPS",Controls!A:K,10,0),"")</f>
        <v>Kinovate</v>
      </c>
      <c r="S992" s="41">
        <f t="shared" si="108"/>
        <v>48761</v>
      </c>
      <c r="T992" s="30">
        <f t="shared" si="109"/>
        <v>0</v>
      </c>
      <c r="AB992">
        <f t="shared" si="111"/>
        <v>93.800000000000011</v>
      </c>
    </row>
    <row r="993" spans="1:28" ht="13" customHeight="1" x14ac:dyDescent="0.35">
      <c r="A993" s="153">
        <v>48914</v>
      </c>
      <c r="B993" s="36" t="s">
        <v>50</v>
      </c>
      <c r="C993" s="15" t="s">
        <v>52</v>
      </c>
      <c r="D993" s="15" t="s">
        <v>48</v>
      </c>
      <c r="E993" s="30">
        <f>H992</f>
        <v>177.28999999999996</v>
      </c>
      <c r="F993" s="37">
        <f>IFERROR('Production Inputs'!$DB$37*Dependencies!$D$11,0)</f>
        <v>0</v>
      </c>
      <c r="G993" s="37">
        <f t="array" ref="G993">IFERROR(SUMPRODUCT(('Production Inputs'!$A:$A="LLPS")*('Production Inputs'!$B:$B="TOTAL ACTIVE")*'Production Inputs'!$DB:$DB),0)</f>
        <v>0</v>
      </c>
      <c r="H993" s="30">
        <f t="shared" si="105"/>
        <v>177.28999999999996</v>
      </c>
      <c r="I993" s="30">
        <f ca="1">IFERROR(AVERAGEIF(OFFSET(F993,0,0,MIN(Controls!$B$8,COUNTIF(B993:B$1973,B993)),1),"&gt;"&amp;0),0)</f>
        <v>0</v>
      </c>
      <c r="J993" s="38">
        <f t="shared" ca="1" si="106"/>
        <v>999</v>
      </c>
      <c r="K993" s="30">
        <f t="shared" ca="1" si="110"/>
        <v>0</v>
      </c>
      <c r="L993" t="str">
        <f t="shared" ca="1" si="107"/>
        <v>Overstock</v>
      </c>
      <c r="M993" s="39">
        <f>IFERROR(VLOOKUP("LLPS",Controls!A:I,7,0),6)</f>
        <v>4</v>
      </c>
      <c r="N993" s="39">
        <f>IFERROR(VLOOKUP("LLPS",Controls!A:I,8,0),3)</f>
        <v>3</v>
      </c>
      <c r="O993" s="39">
        <f>IFERROR(VLOOKUP("LLPS",Controls!A:I,9,0),18)</f>
        <v>12</v>
      </c>
      <c r="P993" s="40">
        <f>IFERROR(VLOOKUP("LLPS",Controls!A:J,5,0),0)</f>
        <v>5</v>
      </c>
      <c r="Q993" s="39">
        <f>IFERROR(VLOOKUP("LLPS",Controls!A:J,6,0),3)</f>
        <v>4</v>
      </c>
      <c r="R993" s="21" t="str">
        <f>IFERROR(VLOOKUP("LLPS",Controls!A:K,10,0),"")</f>
        <v>Kinovate</v>
      </c>
      <c r="S993" s="41">
        <f t="shared" si="108"/>
        <v>48792</v>
      </c>
      <c r="T993" s="30">
        <f t="shared" si="109"/>
        <v>0</v>
      </c>
      <c r="AB993">
        <f t="shared" si="111"/>
        <v>93.800000000000011</v>
      </c>
    </row>
    <row r="994" spans="1:28" ht="13" customHeight="1" x14ac:dyDescent="0.35">
      <c r="A994" s="153">
        <v>48945</v>
      </c>
      <c r="B994" s="36" t="s">
        <v>50</v>
      </c>
      <c r="C994" s="15" t="s">
        <v>52</v>
      </c>
      <c r="D994" s="15" t="s">
        <v>48</v>
      </c>
      <c r="E994" s="30">
        <f>H993</f>
        <v>177.28999999999996</v>
      </c>
      <c r="F994" s="37">
        <f>IFERROR('Production Inputs'!$DC$37*Dependencies!$D$11,0)</f>
        <v>0</v>
      </c>
      <c r="G994" s="37">
        <f t="array" ref="G994">IFERROR(SUMPRODUCT(('Production Inputs'!$A:$A="LLPS")*('Production Inputs'!$B:$B="TOTAL ACTIVE")*'Production Inputs'!$DC:$DC),0)</f>
        <v>0</v>
      </c>
      <c r="H994" s="30">
        <f t="shared" si="105"/>
        <v>177.28999999999996</v>
      </c>
      <c r="I994" s="30">
        <f ca="1">IFERROR(AVERAGEIF(OFFSET(F994,0,0,MIN(Controls!$B$8,COUNTIF(B994:B$1973,B994)),1),"&gt;"&amp;0),0)</f>
        <v>0</v>
      </c>
      <c r="J994" s="38">
        <f t="shared" ca="1" si="106"/>
        <v>999</v>
      </c>
      <c r="K994" s="30">
        <f t="shared" ca="1" si="110"/>
        <v>0</v>
      </c>
      <c r="L994" t="str">
        <f t="shared" ca="1" si="107"/>
        <v>Overstock</v>
      </c>
      <c r="M994" s="39">
        <f>IFERROR(VLOOKUP("LLPS",Controls!A:I,7,0),6)</f>
        <v>4</v>
      </c>
      <c r="N994" s="39">
        <f>IFERROR(VLOOKUP("LLPS",Controls!A:I,8,0),3)</f>
        <v>3</v>
      </c>
      <c r="O994" s="39">
        <f>IFERROR(VLOOKUP("LLPS",Controls!A:I,9,0),18)</f>
        <v>12</v>
      </c>
      <c r="P994" s="40">
        <f>IFERROR(VLOOKUP("LLPS",Controls!A:J,5,0),0)</f>
        <v>5</v>
      </c>
      <c r="Q994" s="39">
        <f>IFERROR(VLOOKUP("LLPS",Controls!A:J,6,0),3)</f>
        <v>4</v>
      </c>
      <c r="R994" s="21" t="str">
        <f>IFERROR(VLOOKUP("LLPS",Controls!A:K,10,0),"")</f>
        <v>Kinovate</v>
      </c>
      <c r="S994" s="41">
        <f t="shared" si="108"/>
        <v>48823</v>
      </c>
      <c r="T994" s="30">
        <f t="shared" si="109"/>
        <v>0</v>
      </c>
      <c r="AB994">
        <f t="shared" si="111"/>
        <v>93.800000000000011</v>
      </c>
    </row>
    <row r="995" spans="1:28" ht="13" customHeight="1" x14ac:dyDescent="0.35">
      <c r="A995" s="153">
        <v>48976</v>
      </c>
      <c r="B995" s="36" t="s">
        <v>50</v>
      </c>
      <c r="C995" s="15" t="s">
        <v>52</v>
      </c>
      <c r="D995" s="15" t="s">
        <v>48</v>
      </c>
      <c r="E995" s="30">
        <f>H994</f>
        <v>177.28999999999996</v>
      </c>
      <c r="F995" s="37">
        <f>IFERROR('Production Inputs'!$DD$37*Dependencies!$D$11,0)</f>
        <v>0</v>
      </c>
      <c r="G995" s="37">
        <f t="array" ref="G995">IFERROR(SUMPRODUCT(('Production Inputs'!$A:$A="LLPS")*('Production Inputs'!$B:$B="TOTAL ACTIVE")*'Production Inputs'!$DD:$DD),0)</f>
        <v>0</v>
      </c>
      <c r="H995" s="30">
        <f t="shared" si="105"/>
        <v>177.28999999999996</v>
      </c>
      <c r="I995" s="30">
        <f ca="1">IFERROR(AVERAGEIF(OFFSET(F995,0,0,MIN(Controls!$B$8,COUNTIF(B995:B$1973,B995)),1),"&gt;"&amp;0),0)</f>
        <v>0</v>
      </c>
      <c r="J995" s="38">
        <f t="shared" ca="1" si="106"/>
        <v>999</v>
      </c>
      <c r="K995" s="30">
        <f t="shared" ca="1" si="110"/>
        <v>0</v>
      </c>
      <c r="L995" t="str">
        <f t="shared" ca="1" si="107"/>
        <v>Overstock</v>
      </c>
      <c r="M995" s="39">
        <f>IFERROR(VLOOKUP("LLPS",Controls!A:I,7,0),6)</f>
        <v>4</v>
      </c>
      <c r="N995" s="39">
        <f>IFERROR(VLOOKUP("LLPS",Controls!A:I,8,0),3)</f>
        <v>3</v>
      </c>
      <c r="O995" s="39">
        <f>IFERROR(VLOOKUP("LLPS",Controls!A:I,9,0),18)</f>
        <v>12</v>
      </c>
      <c r="P995" s="40">
        <f>IFERROR(VLOOKUP("LLPS",Controls!A:J,5,0),0)</f>
        <v>5</v>
      </c>
      <c r="Q995" s="39">
        <f>IFERROR(VLOOKUP("LLPS",Controls!A:J,6,0),3)</f>
        <v>4</v>
      </c>
      <c r="R995" s="21" t="str">
        <f>IFERROR(VLOOKUP("LLPS",Controls!A:K,10,0),"")</f>
        <v>Kinovate</v>
      </c>
      <c r="S995" s="41">
        <f t="shared" si="108"/>
        <v>48853</v>
      </c>
      <c r="T995" s="30">
        <f t="shared" si="109"/>
        <v>0</v>
      </c>
      <c r="AB995">
        <f t="shared" si="111"/>
        <v>93.800000000000011</v>
      </c>
    </row>
    <row r="996" spans="1:28" ht="13" customHeight="1" x14ac:dyDescent="0.35">
      <c r="A996" s="153">
        <v>49004</v>
      </c>
      <c r="B996" s="36" t="s">
        <v>50</v>
      </c>
      <c r="C996" s="15" t="s">
        <v>52</v>
      </c>
      <c r="D996" s="15" t="s">
        <v>48</v>
      </c>
      <c r="E996" s="30">
        <f>H995</f>
        <v>177.28999999999996</v>
      </c>
      <c r="F996" s="37">
        <f>IFERROR('Production Inputs'!$DE$37*Dependencies!$D$11,0)</f>
        <v>0</v>
      </c>
      <c r="G996" s="37">
        <f t="array" ref="G996">IFERROR(SUMPRODUCT(('Production Inputs'!$A:$A="LLPS")*('Production Inputs'!$B:$B="TOTAL ACTIVE")*'Production Inputs'!$DE:$DE),0)</f>
        <v>0</v>
      </c>
      <c r="H996" s="30">
        <f t="shared" si="105"/>
        <v>177.28999999999996</v>
      </c>
      <c r="I996" s="30">
        <f ca="1">IFERROR(AVERAGEIF(OFFSET(F996,0,0,MIN(Controls!$B$8,COUNTIF(B996:B$1973,B996)),1),"&gt;"&amp;0),0)</f>
        <v>0</v>
      </c>
      <c r="J996" s="38">
        <f t="shared" ca="1" si="106"/>
        <v>999</v>
      </c>
      <c r="K996" s="30">
        <f t="shared" ca="1" si="110"/>
        <v>0</v>
      </c>
      <c r="L996" t="str">
        <f t="shared" ca="1" si="107"/>
        <v>Overstock</v>
      </c>
      <c r="M996" s="39">
        <f>IFERROR(VLOOKUP("LLPS",Controls!A:I,7,0),6)</f>
        <v>4</v>
      </c>
      <c r="N996" s="39">
        <f>IFERROR(VLOOKUP("LLPS",Controls!A:I,8,0),3)</f>
        <v>3</v>
      </c>
      <c r="O996" s="39">
        <f>IFERROR(VLOOKUP("LLPS",Controls!A:I,9,0),18)</f>
        <v>12</v>
      </c>
      <c r="P996" s="40">
        <f>IFERROR(VLOOKUP("LLPS",Controls!A:J,5,0),0)</f>
        <v>5</v>
      </c>
      <c r="Q996" s="39">
        <f>IFERROR(VLOOKUP("LLPS",Controls!A:J,6,0),3)</f>
        <v>4</v>
      </c>
      <c r="R996" s="21" t="str">
        <f>IFERROR(VLOOKUP("LLPS",Controls!A:K,10,0),"")</f>
        <v>Kinovate</v>
      </c>
      <c r="S996" s="41">
        <f t="shared" si="108"/>
        <v>48884</v>
      </c>
      <c r="T996" s="30">
        <f t="shared" si="109"/>
        <v>0</v>
      </c>
      <c r="AB996">
        <f t="shared" si="111"/>
        <v>93.800000000000011</v>
      </c>
    </row>
    <row r="997" spans="1:28" ht="13" customHeight="1" x14ac:dyDescent="0.35">
      <c r="A997" s="153">
        <v>49035</v>
      </c>
      <c r="B997" s="36" t="s">
        <v>50</v>
      </c>
      <c r="C997" s="15" t="s">
        <v>52</v>
      </c>
      <c r="D997" s="15" t="s">
        <v>48</v>
      </c>
      <c r="E997" s="30">
        <f>H996</f>
        <v>177.28999999999996</v>
      </c>
      <c r="F997" s="37">
        <f>IFERROR('Production Inputs'!$DF$37*Dependencies!$D$11,0)</f>
        <v>0</v>
      </c>
      <c r="G997" s="37">
        <f t="array" ref="G997">IFERROR(SUMPRODUCT(('Production Inputs'!$A:$A="LLPS")*('Production Inputs'!$B:$B="TOTAL ACTIVE")*'Production Inputs'!$DF:$DF),0)</f>
        <v>0</v>
      </c>
      <c r="H997" s="30">
        <f t="shared" si="105"/>
        <v>177.28999999999996</v>
      </c>
      <c r="I997" s="30">
        <f ca="1">IFERROR(AVERAGEIF(OFFSET(F997,0,0,MIN(Controls!$B$8,COUNTIF(B997:B$1973,B997)),1),"&gt;"&amp;0),0)</f>
        <v>0</v>
      </c>
      <c r="J997" s="38">
        <f t="shared" ca="1" si="106"/>
        <v>999</v>
      </c>
      <c r="K997" s="30">
        <f t="shared" ca="1" si="110"/>
        <v>0</v>
      </c>
      <c r="L997" t="str">
        <f t="shared" ca="1" si="107"/>
        <v>Overstock</v>
      </c>
      <c r="M997" s="39">
        <f>IFERROR(VLOOKUP("LLPS",Controls!A:I,7,0),6)</f>
        <v>4</v>
      </c>
      <c r="N997" s="39">
        <f>IFERROR(VLOOKUP("LLPS",Controls!A:I,8,0),3)</f>
        <v>3</v>
      </c>
      <c r="O997" s="39">
        <f>IFERROR(VLOOKUP("LLPS",Controls!A:I,9,0),18)</f>
        <v>12</v>
      </c>
      <c r="P997" s="40">
        <f>IFERROR(VLOOKUP("LLPS",Controls!A:J,5,0),0)</f>
        <v>5</v>
      </c>
      <c r="Q997" s="39">
        <f>IFERROR(VLOOKUP("LLPS",Controls!A:J,6,0),3)</f>
        <v>4</v>
      </c>
      <c r="R997" s="21" t="str">
        <f>IFERROR(VLOOKUP("LLPS",Controls!A:K,10,0),"")</f>
        <v>Kinovate</v>
      </c>
      <c r="S997" s="41">
        <f t="shared" si="108"/>
        <v>48914</v>
      </c>
      <c r="T997" s="30">
        <f t="shared" si="109"/>
        <v>0</v>
      </c>
      <c r="AB997">
        <f t="shared" si="111"/>
        <v>93.800000000000011</v>
      </c>
    </row>
    <row r="998" spans="1:28" ht="13" customHeight="1" x14ac:dyDescent="0.35">
      <c r="A998" s="153">
        <v>49065</v>
      </c>
      <c r="B998" s="36" t="s">
        <v>50</v>
      </c>
      <c r="C998" s="15" t="s">
        <v>52</v>
      </c>
      <c r="D998" s="15" t="s">
        <v>48</v>
      </c>
      <c r="E998" s="30">
        <f>H997</f>
        <v>177.28999999999996</v>
      </c>
      <c r="F998" s="37">
        <f>IFERROR('Production Inputs'!$DG$37*Dependencies!$D$11,0)</f>
        <v>0</v>
      </c>
      <c r="G998" s="37">
        <f t="array" ref="G998">IFERROR(SUMPRODUCT(('Production Inputs'!$A:$A="LLPS")*('Production Inputs'!$B:$B="TOTAL ACTIVE")*'Production Inputs'!$DG:$DG),0)</f>
        <v>0</v>
      </c>
      <c r="H998" s="30">
        <f t="shared" si="105"/>
        <v>177.28999999999996</v>
      </c>
      <c r="I998" s="30">
        <f ca="1">IFERROR(AVERAGEIF(OFFSET(F998,0,0,MIN(Controls!$B$8,COUNTIF(B998:B$1973,B998)),1),"&gt;"&amp;0),0)</f>
        <v>0</v>
      </c>
      <c r="J998" s="38">
        <f t="shared" ca="1" si="106"/>
        <v>999</v>
      </c>
      <c r="K998" s="30">
        <f t="shared" ca="1" si="110"/>
        <v>0</v>
      </c>
      <c r="L998" t="str">
        <f t="shared" ca="1" si="107"/>
        <v>Overstock</v>
      </c>
      <c r="M998" s="39">
        <f>IFERROR(VLOOKUP("LLPS",Controls!A:I,7,0),6)</f>
        <v>4</v>
      </c>
      <c r="N998" s="39">
        <f>IFERROR(VLOOKUP("LLPS",Controls!A:I,8,0),3)</f>
        <v>3</v>
      </c>
      <c r="O998" s="39">
        <f>IFERROR(VLOOKUP("LLPS",Controls!A:I,9,0),18)</f>
        <v>12</v>
      </c>
      <c r="P998" s="40">
        <f>IFERROR(VLOOKUP("LLPS",Controls!A:J,5,0),0)</f>
        <v>5</v>
      </c>
      <c r="Q998" s="39">
        <f>IFERROR(VLOOKUP("LLPS",Controls!A:J,6,0),3)</f>
        <v>4</v>
      </c>
      <c r="R998" s="21" t="str">
        <f>IFERROR(VLOOKUP("LLPS",Controls!A:K,10,0),"")</f>
        <v>Kinovate</v>
      </c>
      <c r="S998" s="41">
        <f t="shared" si="108"/>
        <v>48945</v>
      </c>
      <c r="T998" s="30">
        <f t="shared" si="109"/>
        <v>0</v>
      </c>
      <c r="AB998">
        <f t="shared" si="111"/>
        <v>93.800000000000011</v>
      </c>
    </row>
    <row r="999" spans="1:28" ht="13" customHeight="1" x14ac:dyDescent="0.35">
      <c r="A999" s="153">
        <v>49096</v>
      </c>
      <c r="B999" s="36" t="s">
        <v>50</v>
      </c>
      <c r="C999" s="15" t="s">
        <v>52</v>
      </c>
      <c r="D999" s="15" t="s">
        <v>48</v>
      </c>
      <c r="E999" s="30">
        <f>H998</f>
        <v>177.28999999999996</v>
      </c>
      <c r="F999" s="37">
        <f>IFERROR('Production Inputs'!$DH$37*Dependencies!$D$11,0)</f>
        <v>0</v>
      </c>
      <c r="G999" s="37">
        <f t="array" ref="G999">IFERROR(SUMPRODUCT(('Production Inputs'!$A:$A="LLPS")*('Production Inputs'!$B:$B="TOTAL ACTIVE")*'Production Inputs'!$DH:$DH),0)</f>
        <v>0</v>
      </c>
      <c r="H999" s="30">
        <f t="shared" si="105"/>
        <v>177.28999999999996</v>
      </c>
      <c r="I999" s="30">
        <f ca="1">IFERROR(AVERAGEIF(OFFSET(F999,0,0,MIN(Controls!$B$8,COUNTIF(B999:B$1973,B999)),1),"&gt;"&amp;0),0)</f>
        <v>0</v>
      </c>
      <c r="J999" s="38">
        <f t="shared" ca="1" si="106"/>
        <v>999</v>
      </c>
      <c r="K999" s="30">
        <f t="shared" ca="1" si="110"/>
        <v>0</v>
      </c>
      <c r="L999" t="str">
        <f t="shared" ca="1" si="107"/>
        <v>Overstock</v>
      </c>
      <c r="M999" s="39">
        <f>IFERROR(VLOOKUP("LLPS",Controls!A:I,7,0),6)</f>
        <v>4</v>
      </c>
      <c r="N999" s="39">
        <f>IFERROR(VLOOKUP("LLPS",Controls!A:I,8,0),3)</f>
        <v>3</v>
      </c>
      <c r="O999" s="39">
        <f>IFERROR(VLOOKUP("LLPS",Controls!A:I,9,0),18)</f>
        <v>12</v>
      </c>
      <c r="P999" s="40">
        <f>IFERROR(VLOOKUP("LLPS",Controls!A:J,5,0),0)</f>
        <v>5</v>
      </c>
      <c r="Q999" s="39">
        <f>IFERROR(VLOOKUP("LLPS",Controls!A:J,6,0),3)</f>
        <v>4</v>
      </c>
      <c r="R999" s="21" t="str">
        <f>IFERROR(VLOOKUP("LLPS",Controls!A:K,10,0),"")</f>
        <v>Kinovate</v>
      </c>
      <c r="S999" s="41">
        <f t="shared" si="108"/>
        <v>48976</v>
      </c>
      <c r="T999" s="30">
        <f t="shared" si="109"/>
        <v>0</v>
      </c>
      <c r="AB999">
        <f t="shared" si="111"/>
        <v>93.800000000000011</v>
      </c>
    </row>
    <row r="1000" spans="1:28" ht="13" customHeight="1" x14ac:dyDescent="0.35">
      <c r="A1000" s="153">
        <v>49126</v>
      </c>
      <c r="B1000" s="36" t="s">
        <v>50</v>
      </c>
      <c r="C1000" s="15" t="s">
        <v>52</v>
      </c>
      <c r="D1000" s="15" t="s">
        <v>48</v>
      </c>
      <c r="E1000" s="30">
        <f>H999</f>
        <v>177.28999999999996</v>
      </c>
      <c r="F1000" s="37">
        <f>IFERROR('Production Inputs'!$DI$37*Dependencies!$D$11,0)</f>
        <v>0</v>
      </c>
      <c r="G1000" s="37">
        <f t="array" ref="G1000">IFERROR(SUMPRODUCT(('Production Inputs'!$A:$A="LLPS")*('Production Inputs'!$B:$B="TOTAL ACTIVE")*'Production Inputs'!$DI:$DI),0)</f>
        <v>0</v>
      </c>
      <c r="H1000" s="30">
        <f t="shared" si="105"/>
        <v>177.28999999999996</v>
      </c>
      <c r="I1000" s="30">
        <f ca="1">IFERROR(AVERAGEIF(OFFSET(F1000,0,0,MIN(Controls!$B$8,COUNTIF(B1000:B$1973,B1000)),1),"&gt;"&amp;0),0)</f>
        <v>0</v>
      </c>
      <c r="J1000" s="38">
        <f t="shared" ca="1" si="106"/>
        <v>999</v>
      </c>
      <c r="K1000" s="30">
        <f t="shared" ca="1" si="110"/>
        <v>0</v>
      </c>
      <c r="L1000" t="str">
        <f t="shared" ca="1" si="107"/>
        <v>Overstock</v>
      </c>
      <c r="M1000" s="39">
        <f>IFERROR(VLOOKUP("LLPS",Controls!A:I,7,0),6)</f>
        <v>4</v>
      </c>
      <c r="N1000" s="39">
        <f>IFERROR(VLOOKUP("LLPS",Controls!A:I,8,0),3)</f>
        <v>3</v>
      </c>
      <c r="O1000" s="39">
        <f>IFERROR(VLOOKUP("LLPS",Controls!A:I,9,0),18)</f>
        <v>12</v>
      </c>
      <c r="P1000" s="40">
        <f>IFERROR(VLOOKUP("LLPS",Controls!A:J,5,0),0)</f>
        <v>5</v>
      </c>
      <c r="Q1000" s="39">
        <f>IFERROR(VLOOKUP("LLPS",Controls!A:J,6,0),3)</f>
        <v>4</v>
      </c>
      <c r="R1000" s="21" t="str">
        <f>IFERROR(VLOOKUP("LLPS",Controls!A:K,10,0),"")</f>
        <v>Kinovate</v>
      </c>
      <c r="S1000" s="41">
        <f t="shared" si="108"/>
        <v>49004</v>
      </c>
      <c r="T1000" s="30">
        <f t="shared" si="109"/>
        <v>0</v>
      </c>
      <c r="AB1000">
        <f t="shared" si="111"/>
        <v>93.800000000000011</v>
      </c>
    </row>
    <row r="1001" spans="1:28" ht="13" customHeight="1" x14ac:dyDescent="0.35">
      <c r="A1001" s="153">
        <v>49157</v>
      </c>
      <c r="B1001" s="36" t="s">
        <v>50</v>
      </c>
      <c r="C1001" s="15" t="s">
        <v>52</v>
      </c>
      <c r="D1001" s="15" t="s">
        <v>48</v>
      </c>
      <c r="E1001" s="30">
        <f>H1000</f>
        <v>177.28999999999996</v>
      </c>
      <c r="F1001" s="37">
        <f>IFERROR('Production Inputs'!$DJ$37*Dependencies!$D$11,0)</f>
        <v>0</v>
      </c>
      <c r="G1001" s="37">
        <f t="array" ref="G1001">IFERROR(SUMPRODUCT(('Production Inputs'!$A:$A="LLPS")*('Production Inputs'!$B:$B="TOTAL ACTIVE")*'Production Inputs'!$DJ:$DJ),0)</f>
        <v>0</v>
      </c>
      <c r="H1001" s="30">
        <f t="shared" si="105"/>
        <v>177.28999999999996</v>
      </c>
      <c r="I1001" s="30">
        <f ca="1">IFERROR(AVERAGEIF(OFFSET(F1001,0,0,MIN(Controls!$B$8,COUNTIF(B1001:B$1973,B1001)),1),"&gt;"&amp;0),0)</f>
        <v>0</v>
      </c>
      <c r="J1001" s="38">
        <f t="shared" ca="1" si="106"/>
        <v>999</v>
      </c>
      <c r="K1001" s="30">
        <f t="shared" ca="1" si="110"/>
        <v>0</v>
      </c>
      <c r="L1001" t="str">
        <f t="shared" ca="1" si="107"/>
        <v>Overstock</v>
      </c>
      <c r="M1001" s="39">
        <f>IFERROR(VLOOKUP("LLPS",Controls!A:I,7,0),6)</f>
        <v>4</v>
      </c>
      <c r="N1001" s="39">
        <f>IFERROR(VLOOKUP("LLPS",Controls!A:I,8,0),3)</f>
        <v>3</v>
      </c>
      <c r="O1001" s="39">
        <f>IFERROR(VLOOKUP("LLPS",Controls!A:I,9,0),18)</f>
        <v>12</v>
      </c>
      <c r="P1001" s="40">
        <f>IFERROR(VLOOKUP("LLPS",Controls!A:J,5,0),0)</f>
        <v>5</v>
      </c>
      <c r="Q1001" s="39">
        <f>IFERROR(VLOOKUP("LLPS",Controls!A:J,6,0),3)</f>
        <v>4</v>
      </c>
      <c r="R1001" s="21" t="str">
        <f>IFERROR(VLOOKUP("LLPS",Controls!A:K,10,0),"")</f>
        <v>Kinovate</v>
      </c>
      <c r="S1001" s="41">
        <f t="shared" si="108"/>
        <v>49035</v>
      </c>
      <c r="T1001" s="30">
        <f t="shared" si="109"/>
        <v>0</v>
      </c>
      <c r="AB1001">
        <f t="shared" si="111"/>
        <v>93.800000000000011</v>
      </c>
    </row>
    <row r="1002" spans="1:28" ht="13" customHeight="1" x14ac:dyDescent="0.35">
      <c r="A1002" s="153">
        <v>49188</v>
      </c>
      <c r="B1002" s="36" t="s">
        <v>50</v>
      </c>
      <c r="C1002" s="15" t="s">
        <v>52</v>
      </c>
      <c r="D1002" s="15" t="s">
        <v>48</v>
      </c>
      <c r="E1002" s="30">
        <f>H1001</f>
        <v>177.28999999999996</v>
      </c>
      <c r="F1002" s="37">
        <f>IFERROR('Production Inputs'!$DK$37*Dependencies!$D$11,0)</f>
        <v>0</v>
      </c>
      <c r="G1002" s="37">
        <f t="array" ref="G1002">IFERROR(SUMPRODUCT(('Production Inputs'!$A:$A="LLPS")*('Production Inputs'!$B:$B="TOTAL ACTIVE")*'Production Inputs'!$DK:$DK),0)</f>
        <v>0</v>
      </c>
      <c r="H1002" s="30">
        <f t="shared" si="105"/>
        <v>177.28999999999996</v>
      </c>
      <c r="I1002" s="30">
        <f ca="1">IFERROR(AVERAGEIF(OFFSET(F1002,0,0,MIN(Controls!$B$8,COUNTIF(B1002:B$1973,B1002)),1),"&gt;"&amp;0),0)</f>
        <v>0</v>
      </c>
      <c r="J1002" s="38">
        <f t="shared" ca="1" si="106"/>
        <v>999</v>
      </c>
      <c r="K1002" s="30">
        <f t="shared" ca="1" si="110"/>
        <v>0</v>
      </c>
      <c r="L1002" t="str">
        <f t="shared" ca="1" si="107"/>
        <v>Overstock</v>
      </c>
      <c r="M1002" s="39">
        <f>IFERROR(VLOOKUP("LLPS",Controls!A:I,7,0),6)</f>
        <v>4</v>
      </c>
      <c r="N1002" s="39">
        <f>IFERROR(VLOOKUP("LLPS",Controls!A:I,8,0),3)</f>
        <v>3</v>
      </c>
      <c r="O1002" s="39">
        <f>IFERROR(VLOOKUP("LLPS",Controls!A:I,9,0),18)</f>
        <v>12</v>
      </c>
      <c r="P1002" s="40">
        <f>IFERROR(VLOOKUP("LLPS",Controls!A:J,5,0),0)</f>
        <v>5</v>
      </c>
      <c r="Q1002" s="39">
        <f>IFERROR(VLOOKUP("LLPS",Controls!A:J,6,0),3)</f>
        <v>4</v>
      </c>
      <c r="R1002" s="21" t="str">
        <f>IFERROR(VLOOKUP("LLPS",Controls!A:K,10,0),"")</f>
        <v>Kinovate</v>
      </c>
      <c r="S1002" s="41">
        <f t="shared" si="108"/>
        <v>49065</v>
      </c>
      <c r="T1002" s="30">
        <f t="shared" si="109"/>
        <v>0</v>
      </c>
      <c r="AB1002">
        <f t="shared" si="111"/>
        <v>93.800000000000011</v>
      </c>
    </row>
    <row r="1003" spans="1:28" ht="13" customHeight="1" x14ac:dyDescent="0.35">
      <c r="A1003" s="153">
        <v>49218</v>
      </c>
      <c r="B1003" s="36" t="s">
        <v>50</v>
      </c>
      <c r="C1003" s="15" t="s">
        <v>52</v>
      </c>
      <c r="D1003" s="15" t="s">
        <v>48</v>
      </c>
      <c r="E1003" s="30">
        <f>H1002</f>
        <v>177.28999999999996</v>
      </c>
      <c r="F1003" s="37">
        <f>IFERROR('Production Inputs'!$DL$37*Dependencies!$D$11,0)</f>
        <v>0</v>
      </c>
      <c r="G1003" s="37">
        <f t="array" ref="G1003">IFERROR(SUMPRODUCT(('Production Inputs'!$A:$A="LLPS")*('Production Inputs'!$B:$B="TOTAL ACTIVE")*'Production Inputs'!$DL:$DL),0)</f>
        <v>0</v>
      </c>
      <c r="H1003" s="30">
        <f t="shared" si="105"/>
        <v>177.28999999999996</v>
      </c>
      <c r="I1003" s="30">
        <f ca="1">IFERROR(AVERAGEIF(OFFSET(F1003,0,0,MIN(Controls!$B$8,COUNTIF(B1003:B$1973,B1003)),1),"&gt;"&amp;0),0)</f>
        <v>0</v>
      </c>
      <c r="J1003" s="38">
        <f t="shared" ca="1" si="106"/>
        <v>999</v>
      </c>
      <c r="K1003" s="30">
        <f t="shared" ca="1" si="110"/>
        <v>0</v>
      </c>
      <c r="L1003" t="str">
        <f t="shared" ca="1" si="107"/>
        <v>Overstock</v>
      </c>
      <c r="M1003" s="39">
        <f>IFERROR(VLOOKUP("LLPS",Controls!A:I,7,0),6)</f>
        <v>4</v>
      </c>
      <c r="N1003" s="39">
        <f>IFERROR(VLOOKUP("LLPS",Controls!A:I,8,0),3)</f>
        <v>3</v>
      </c>
      <c r="O1003" s="39">
        <f>IFERROR(VLOOKUP("LLPS",Controls!A:I,9,0),18)</f>
        <v>12</v>
      </c>
      <c r="P1003" s="40">
        <f>IFERROR(VLOOKUP("LLPS",Controls!A:J,5,0),0)</f>
        <v>5</v>
      </c>
      <c r="Q1003" s="39">
        <f>IFERROR(VLOOKUP("LLPS",Controls!A:J,6,0),3)</f>
        <v>4</v>
      </c>
      <c r="R1003" s="21" t="str">
        <f>IFERROR(VLOOKUP("LLPS",Controls!A:K,10,0),"")</f>
        <v>Kinovate</v>
      </c>
      <c r="S1003" s="41">
        <f t="shared" si="108"/>
        <v>49096</v>
      </c>
      <c r="T1003" s="30">
        <f t="shared" si="109"/>
        <v>0</v>
      </c>
      <c r="AB1003">
        <f t="shared" si="111"/>
        <v>93.800000000000011</v>
      </c>
    </row>
    <row r="1004" spans="1:28" ht="13" customHeight="1" x14ac:dyDescent="0.35">
      <c r="A1004" s="153">
        <v>49249</v>
      </c>
      <c r="B1004" s="36" t="s">
        <v>50</v>
      </c>
      <c r="C1004" s="15" t="s">
        <v>52</v>
      </c>
      <c r="D1004" s="15" t="s">
        <v>48</v>
      </c>
      <c r="E1004" s="30">
        <f>H1003</f>
        <v>177.28999999999996</v>
      </c>
      <c r="F1004" s="37">
        <f>IFERROR('Production Inputs'!$DM$37*Dependencies!$D$11,0)</f>
        <v>0</v>
      </c>
      <c r="G1004" s="37">
        <f t="array" ref="G1004">IFERROR(SUMPRODUCT(('Production Inputs'!$A:$A="LLPS")*('Production Inputs'!$B:$B="TOTAL ACTIVE")*'Production Inputs'!$DM:$DM),0)</f>
        <v>0</v>
      </c>
      <c r="H1004" s="30">
        <f t="shared" si="105"/>
        <v>177.28999999999996</v>
      </c>
      <c r="I1004" s="30">
        <f ca="1">IFERROR(AVERAGEIF(OFFSET(F1004,0,0,MIN(Controls!$B$8,COUNTIF(B1004:B$1973,B1004)),1),"&gt;"&amp;0),0)</f>
        <v>0</v>
      </c>
      <c r="J1004" s="38">
        <f t="shared" ca="1" si="106"/>
        <v>999</v>
      </c>
      <c r="K1004" s="30">
        <f t="shared" ca="1" si="110"/>
        <v>0</v>
      </c>
      <c r="L1004" t="str">
        <f t="shared" ca="1" si="107"/>
        <v>Overstock</v>
      </c>
      <c r="M1004" s="39">
        <f>IFERROR(VLOOKUP("LLPS",Controls!A:I,7,0),6)</f>
        <v>4</v>
      </c>
      <c r="N1004" s="39">
        <f>IFERROR(VLOOKUP("LLPS",Controls!A:I,8,0),3)</f>
        <v>3</v>
      </c>
      <c r="O1004" s="39">
        <f>IFERROR(VLOOKUP("LLPS",Controls!A:I,9,0),18)</f>
        <v>12</v>
      </c>
      <c r="P1004" s="40">
        <f>IFERROR(VLOOKUP("LLPS",Controls!A:J,5,0),0)</f>
        <v>5</v>
      </c>
      <c r="Q1004" s="39">
        <f>IFERROR(VLOOKUP("LLPS",Controls!A:J,6,0),3)</f>
        <v>4</v>
      </c>
      <c r="R1004" s="21" t="str">
        <f>IFERROR(VLOOKUP("LLPS",Controls!A:K,10,0),"")</f>
        <v>Kinovate</v>
      </c>
      <c r="S1004" s="41">
        <f t="shared" si="108"/>
        <v>49126</v>
      </c>
      <c r="T1004" s="30">
        <f t="shared" si="109"/>
        <v>0</v>
      </c>
      <c r="AB1004">
        <f t="shared" si="111"/>
        <v>93.800000000000011</v>
      </c>
    </row>
    <row r="1005" spans="1:28" ht="13" customHeight="1" x14ac:dyDescent="0.35">
      <c r="A1005" s="153">
        <v>49279</v>
      </c>
      <c r="B1005" s="36" t="s">
        <v>50</v>
      </c>
      <c r="C1005" s="15" t="s">
        <v>52</v>
      </c>
      <c r="D1005" s="15" t="s">
        <v>48</v>
      </c>
      <c r="E1005" s="30">
        <f>H1004</f>
        <v>177.28999999999996</v>
      </c>
      <c r="F1005" s="37">
        <f>IFERROR('Production Inputs'!$DN$37*Dependencies!$D$11,0)</f>
        <v>0</v>
      </c>
      <c r="G1005" s="37">
        <f t="array" ref="G1005">IFERROR(SUMPRODUCT(('Production Inputs'!$A:$A="LLPS")*('Production Inputs'!$B:$B="TOTAL ACTIVE")*'Production Inputs'!$DN:$DN),0)</f>
        <v>0</v>
      </c>
      <c r="H1005" s="30">
        <f t="shared" si="105"/>
        <v>177.28999999999996</v>
      </c>
      <c r="I1005" s="30">
        <f ca="1">IFERROR(AVERAGEIF(OFFSET(F1005,0,0,MIN(Controls!$B$8,COUNTIF(B1005:B$1973,B1005)),1),"&gt;"&amp;0),0)</f>
        <v>0</v>
      </c>
      <c r="J1005" s="38">
        <f t="shared" ca="1" si="106"/>
        <v>999</v>
      </c>
      <c r="K1005" s="30">
        <f t="shared" ca="1" si="110"/>
        <v>0</v>
      </c>
      <c r="L1005" t="str">
        <f t="shared" ca="1" si="107"/>
        <v>Overstock</v>
      </c>
      <c r="M1005" s="39">
        <f>IFERROR(VLOOKUP("LLPS",Controls!A:I,7,0),6)</f>
        <v>4</v>
      </c>
      <c r="N1005" s="39">
        <f>IFERROR(VLOOKUP("LLPS",Controls!A:I,8,0),3)</f>
        <v>3</v>
      </c>
      <c r="O1005" s="39">
        <f>IFERROR(VLOOKUP("LLPS",Controls!A:I,9,0),18)</f>
        <v>12</v>
      </c>
      <c r="P1005" s="40">
        <f>IFERROR(VLOOKUP("LLPS",Controls!A:J,5,0),0)</f>
        <v>5</v>
      </c>
      <c r="Q1005" s="39">
        <f>IFERROR(VLOOKUP("LLPS",Controls!A:J,6,0),3)</f>
        <v>4</v>
      </c>
      <c r="R1005" s="21" t="str">
        <f>IFERROR(VLOOKUP("LLPS",Controls!A:K,10,0),"")</f>
        <v>Kinovate</v>
      </c>
      <c r="S1005" s="41">
        <f t="shared" si="108"/>
        <v>49157</v>
      </c>
      <c r="T1005" s="30">
        <f t="shared" si="109"/>
        <v>0</v>
      </c>
      <c r="AB1005">
        <f t="shared" si="111"/>
        <v>93.800000000000011</v>
      </c>
    </row>
    <row r="1006" spans="1:28" ht="13" customHeight="1" x14ac:dyDescent="0.35">
      <c r="A1006" s="153">
        <v>49310</v>
      </c>
      <c r="B1006" s="36" t="s">
        <v>50</v>
      </c>
      <c r="C1006" s="15" t="s">
        <v>52</v>
      </c>
      <c r="D1006" s="15" t="s">
        <v>48</v>
      </c>
      <c r="E1006" s="30">
        <f>H1005</f>
        <v>177.28999999999996</v>
      </c>
      <c r="F1006" s="37">
        <f>IFERROR('Production Inputs'!$DO$37*Dependencies!$D$11,0)</f>
        <v>0</v>
      </c>
      <c r="G1006" s="37">
        <f t="array" ref="G1006">IFERROR(SUMPRODUCT(('Production Inputs'!$A:$A="LLPS")*('Production Inputs'!$B:$B="TOTAL ACTIVE")*'Production Inputs'!$DO:$DO),0)</f>
        <v>0</v>
      </c>
      <c r="H1006" s="30">
        <f t="shared" si="105"/>
        <v>177.28999999999996</v>
      </c>
      <c r="I1006" s="30">
        <f ca="1">IFERROR(AVERAGEIF(OFFSET(F1006,0,0,MIN(Controls!$B$8,COUNTIF(B1006:B$1973,B1006)),1),"&gt;"&amp;0),0)</f>
        <v>0</v>
      </c>
      <c r="J1006" s="38">
        <f t="shared" ca="1" si="106"/>
        <v>999</v>
      </c>
      <c r="K1006" s="30">
        <f t="shared" ca="1" si="110"/>
        <v>0</v>
      </c>
      <c r="L1006" t="str">
        <f t="shared" ca="1" si="107"/>
        <v>Overstock</v>
      </c>
      <c r="M1006" s="39">
        <f>IFERROR(VLOOKUP("LLPS",Controls!A:I,7,0),6)</f>
        <v>4</v>
      </c>
      <c r="N1006" s="39">
        <f>IFERROR(VLOOKUP("LLPS",Controls!A:I,8,0),3)</f>
        <v>3</v>
      </c>
      <c r="O1006" s="39">
        <f>IFERROR(VLOOKUP("LLPS",Controls!A:I,9,0),18)</f>
        <v>12</v>
      </c>
      <c r="P1006" s="40">
        <f>IFERROR(VLOOKUP("LLPS",Controls!A:J,5,0),0)</f>
        <v>5</v>
      </c>
      <c r="Q1006" s="39">
        <f>IFERROR(VLOOKUP("LLPS",Controls!A:J,6,0),3)</f>
        <v>4</v>
      </c>
      <c r="R1006" s="21" t="str">
        <f>IFERROR(VLOOKUP("LLPS",Controls!A:K,10,0),"")</f>
        <v>Kinovate</v>
      </c>
      <c r="S1006" s="41">
        <f t="shared" si="108"/>
        <v>49188</v>
      </c>
      <c r="T1006" s="30">
        <f t="shared" si="109"/>
        <v>0</v>
      </c>
      <c r="AB1006">
        <f t="shared" si="111"/>
        <v>93.800000000000011</v>
      </c>
    </row>
    <row r="1007" spans="1:28" ht="13" customHeight="1" x14ac:dyDescent="0.35">
      <c r="A1007" s="153">
        <v>49341</v>
      </c>
      <c r="B1007" s="36" t="s">
        <v>50</v>
      </c>
      <c r="C1007" s="15" t="s">
        <v>52</v>
      </c>
      <c r="D1007" s="15" t="s">
        <v>48</v>
      </c>
      <c r="E1007" s="30">
        <f>H1006</f>
        <v>177.28999999999996</v>
      </c>
      <c r="F1007" s="37">
        <f>IFERROR('Production Inputs'!$DP$37*Dependencies!$D$11,0)</f>
        <v>0</v>
      </c>
      <c r="G1007" s="37">
        <f t="array" ref="G1007">IFERROR(SUMPRODUCT(('Production Inputs'!$A:$A="LLPS")*('Production Inputs'!$B:$B="TOTAL ACTIVE")*'Production Inputs'!$DP:$DP),0)</f>
        <v>0</v>
      </c>
      <c r="H1007" s="30">
        <f t="shared" si="105"/>
        <v>177.28999999999996</v>
      </c>
      <c r="I1007" s="30">
        <f ca="1">IFERROR(AVERAGEIF(OFFSET(F1007,0,0,MIN(Controls!$B$8,COUNTIF(B1007:B$1973,B1007)),1),"&gt;"&amp;0),0)</f>
        <v>0</v>
      </c>
      <c r="J1007" s="38">
        <f t="shared" ca="1" si="106"/>
        <v>999</v>
      </c>
      <c r="K1007" s="30">
        <f t="shared" ca="1" si="110"/>
        <v>0</v>
      </c>
      <c r="L1007" t="str">
        <f t="shared" ca="1" si="107"/>
        <v>Overstock</v>
      </c>
      <c r="M1007" s="39">
        <f>IFERROR(VLOOKUP("LLPS",Controls!A:I,7,0),6)</f>
        <v>4</v>
      </c>
      <c r="N1007" s="39">
        <f>IFERROR(VLOOKUP("LLPS",Controls!A:I,8,0),3)</f>
        <v>3</v>
      </c>
      <c r="O1007" s="39">
        <f>IFERROR(VLOOKUP("LLPS",Controls!A:I,9,0),18)</f>
        <v>12</v>
      </c>
      <c r="P1007" s="40">
        <f>IFERROR(VLOOKUP("LLPS",Controls!A:J,5,0),0)</f>
        <v>5</v>
      </c>
      <c r="Q1007" s="39">
        <f>IFERROR(VLOOKUP("LLPS",Controls!A:J,6,0),3)</f>
        <v>4</v>
      </c>
      <c r="R1007" s="21" t="str">
        <f>IFERROR(VLOOKUP("LLPS",Controls!A:K,10,0),"")</f>
        <v>Kinovate</v>
      </c>
      <c r="S1007" s="41">
        <f t="shared" si="108"/>
        <v>49218</v>
      </c>
      <c r="T1007" s="30">
        <f t="shared" si="109"/>
        <v>0</v>
      </c>
      <c r="AB1007">
        <f t="shared" si="111"/>
        <v>93.800000000000011</v>
      </c>
    </row>
    <row r="1008" spans="1:28" ht="13" customHeight="1" x14ac:dyDescent="0.35">
      <c r="A1008" s="153">
        <v>49369</v>
      </c>
      <c r="B1008" s="36" t="s">
        <v>50</v>
      </c>
      <c r="C1008" s="15" t="s">
        <v>52</v>
      </c>
      <c r="D1008" s="15" t="s">
        <v>48</v>
      </c>
      <c r="E1008" s="30">
        <f>H1007</f>
        <v>177.28999999999996</v>
      </c>
      <c r="F1008" s="37">
        <f>IFERROR('Production Inputs'!$DQ$37*Dependencies!$D$11,0)</f>
        <v>0</v>
      </c>
      <c r="G1008" s="37">
        <f t="array" ref="G1008">IFERROR(SUMPRODUCT(('Production Inputs'!$A:$A="LLPS")*('Production Inputs'!$B:$B="TOTAL ACTIVE")*'Production Inputs'!$DQ:$DQ),0)</f>
        <v>0</v>
      </c>
      <c r="H1008" s="30">
        <f t="shared" si="105"/>
        <v>177.28999999999996</v>
      </c>
      <c r="I1008" s="30">
        <f ca="1">IFERROR(AVERAGEIF(OFFSET(F1008,0,0,MIN(Controls!$B$8,COUNTIF(B1008:B$1973,B1008)),1),"&gt;"&amp;0),0)</f>
        <v>0</v>
      </c>
      <c r="J1008" s="38">
        <f t="shared" ca="1" si="106"/>
        <v>999</v>
      </c>
      <c r="K1008" s="30">
        <f t="shared" ca="1" si="110"/>
        <v>0</v>
      </c>
      <c r="L1008" t="str">
        <f t="shared" ca="1" si="107"/>
        <v>Overstock</v>
      </c>
      <c r="M1008" s="39">
        <f>IFERROR(VLOOKUP("LLPS",Controls!A:I,7,0),6)</f>
        <v>4</v>
      </c>
      <c r="N1008" s="39">
        <f>IFERROR(VLOOKUP("LLPS",Controls!A:I,8,0),3)</f>
        <v>3</v>
      </c>
      <c r="O1008" s="39">
        <f>IFERROR(VLOOKUP("LLPS",Controls!A:I,9,0),18)</f>
        <v>12</v>
      </c>
      <c r="P1008" s="40">
        <f>IFERROR(VLOOKUP("LLPS",Controls!A:J,5,0),0)</f>
        <v>5</v>
      </c>
      <c r="Q1008" s="39">
        <f>IFERROR(VLOOKUP("LLPS",Controls!A:J,6,0),3)</f>
        <v>4</v>
      </c>
      <c r="R1008" s="21" t="str">
        <f>IFERROR(VLOOKUP("LLPS",Controls!A:K,10,0),"")</f>
        <v>Kinovate</v>
      </c>
      <c r="S1008" s="41">
        <f t="shared" si="108"/>
        <v>49249</v>
      </c>
      <c r="T1008" s="30">
        <f t="shared" si="109"/>
        <v>0</v>
      </c>
      <c r="AB1008">
        <f t="shared" si="111"/>
        <v>93.800000000000011</v>
      </c>
    </row>
    <row r="1009" spans="1:28" ht="13" customHeight="1" x14ac:dyDescent="0.35">
      <c r="A1009" s="153">
        <v>49400</v>
      </c>
      <c r="B1009" s="36" t="s">
        <v>50</v>
      </c>
      <c r="C1009" s="15" t="s">
        <v>52</v>
      </c>
      <c r="D1009" s="15" t="s">
        <v>48</v>
      </c>
      <c r="E1009" s="30">
        <f>H1008</f>
        <v>177.28999999999996</v>
      </c>
      <c r="F1009" s="37">
        <f>IFERROR('Production Inputs'!$DR$37*Dependencies!$D$11,0)</f>
        <v>0</v>
      </c>
      <c r="G1009" s="37">
        <f t="array" ref="G1009">IFERROR(SUMPRODUCT(('Production Inputs'!$A:$A="LLPS")*('Production Inputs'!$B:$B="TOTAL ACTIVE")*'Production Inputs'!$DR:$DR),0)</f>
        <v>0</v>
      </c>
      <c r="H1009" s="30">
        <f t="shared" si="105"/>
        <v>177.28999999999996</v>
      </c>
      <c r="I1009" s="30">
        <f ca="1">IFERROR(AVERAGEIF(OFFSET(F1009,0,0,MIN(Controls!$B$8,COUNTIF(B1009:B$1973,B1009)),1),"&gt;"&amp;0),0)</f>
        <v>0</v>
      </c>
      <c r="J1009" s="38">
        <f t="shared" ca="1" si="106"/>
        <v>999</v>
      </c>
      <c r="K1009" s="30">
        <f t="shared" ca="1" si="110"/>
        <v>0</v>
      </c>
      <c r="L1009" t="str">
        <f t="shared" ca="1" si="107"/>
        <v>Overstock</v>
      </c>
      <c r="M1009" s="39">
        <f>IFERROR(VLOOKUP("LLPS",Controls!A:I,7,0),6)</f>
        <v>4</v>
      </c>
      <c r="N1009" s="39">
        <f>IFERROR(VLOOKUP("LLPS",Controls!A:I,8,0),3)</f>
        <v>3</v>
      </c>
      <c r="O1009" s="39">
        <f>IFERROR(VLOOKUP("LLPS",Controls!A:I,9,0),18)</f>
        <v>12</v>
      </c>
      <c r="P1009" s="40">
        <f>IFERROR(VLOOKUP("LLPS",Controls!A:J,5,0),0)</f>
        <v>5</v>
      </c>
      <c r="Q1009" s="39">
        <f>IFERROR(VLOOKUP("LLPS",Controls!A:J,6,0),3)</f>
        <v>4</v>
      </c>
      <c r="R1009" s="21" t="str">
        <f>IFERROR(VLOOKUP("LLPS",Controls!A:K,10,0),"")</f>
        <v>Kinovate</v>
      </c>
      <c r="S1009" s="41">
        <f t="shared" si="108"/>
        <v>49279</v>
      </c>
      <c r="T1009" s="30">
        <f t="shared" si="109"/>
        <v>0</v>
      </c>
      <c r="AB1009">
        <f t="shared" si="111"/>
        <v>93.800000000000011</v>
      </c>
    </row>
    <row r="1010" spans="1:28" ht="13" customHeight="1" x14ac:dyDescent="0.35">
      <c r="A1010" s="153">
        <v>49430</v>
      </c>
      <c r="B1010" s="36" t="s">
        <v>50</v>
      </c>
      <c r="C1010" s="15" t="s">
        <v>52</v>
      </c>
      <c r="D1010" s="15" t="s">
        <v>48</v>
      </c>
      <c r="E1010" s="30">
        <f>H1009</f>
        <v>177.28999999999996</v>
      </c>
      <c r="F1010" s="37">
        <f>IFERROR('Production Inputs'!$DS$37*Dependencies!$D$11,0)</f>
        <v>0</v>
      </c>
      <c r="G1010" s="37">
        <f t="array" ref="G1010">IFERROR(SUMPRODUCT(('Production Inputs'!$A:$A="LLPS")*('Production Inputs'!$B:$B="TOTAL ACTIVE")*'Production Inputs'!$DS:$DS),0)</f>
        <v>0</v>
      </c>
      <c r="H1010" s="30">
        <f t="shared" si="105"/>
        <v>177.28999999999996</v>
      </c>
      <c r="I1010" s="30">
        <f ca="1">IFERROR(AVERAGEIF(OFFSET(F1010,0,0,MIN(Controls!$B$8,COUNTIF(B1010:B$1973,B1010)),1),"&gt;"&amp;0),0)</f>
        <v>0</v>
      </c>
      <c r="J1010" s="38">
        <f t="shared" ca="1" si="106"/>
        <v>999</v>
      </c>
      <c r="K1010" s="30">
        <f t="shared" ca="1" si="110"/>
        <v>0</v>
      </c>
      <c r="L1010" t="str">
        <f t="shared" ca="1" si="107"/>
        <v>Overstock</v>
      </c>
      <c r="M1010" s="39">
        <f>IFERROR(VLOOKUP("LLPS",Controls!A:I,7,0),6)</f>
        <v>4</v>
      </c>
      <c r="N1010" s="39">
        <f>IFERROR(VLOOKUP("LLPS",Controls!A:I,8,0),3)</f>
        <v>3</v>
      </c>
      <c r="O1010" s="39">
        <f>IFERROR(VLOOKUP("LLPS",Controls!A:I,9,0),18)</f>
        <v>12</v>
      </c>
      <c r="P1010" s="40">
        <f>IFERROR(VLOOKUP("LLPS",Controls!A:J,5,0),0)</f>
        <v>5</v>
      </c>
      <c r="Q1010" s="39">
        <f>IFERROR(VLOOKUP("LLPS",Controls!A:J,6,0),3)</f>
        <v>4</v>
      </c>
      <c r="R1010" s="21" t="str">
        <f>IFERROR(VLOOKUP("LLPS",Controls!A:K,10,0),"")</f>
        <v>Kinovate</v>
      </c>
      <c r="S1010" s="41">
        <f t="shared" si="108"/>
        <v>49310</v>
      </c>
      <c r="T1010" s="30">
        <f t="shared" si="109"/>
        <v>0</v>
      </c>
      <c r="AB1010">
        <f t="shared" si="111"/>
        <v>93.800000000000011</v>
      </c>
    </row>
    <row r="1011" spans="1:28" ht="13" customHeight="1" x14ac:dyDescent="0.35">
      <c r="A1011" s="153">
        <v>49461</v>
      </c>
      <c r="B1011" s="36" t="s">
        <v>50</v>
      </c>
      <c r="C1011" s="15" t="s">
        <v>52</v>
      </c>
      <c r="D1011" s="15" t="s">
        <v>48</v>
      </c>
      <c r="E1011" s="30">
        <f>H1010</f>
        <v>177.28999999999996</v>
      </c>
      <c r="F1011" s="37">
        <f>IFERROR('Production Inputs'!$DT$37*Dependencies!$D$11,0)</f>
        <v>0</v>
      </c>
      <c r="G1011" s="37">
        <f t="array" ref="G1011">IFERROR(SUMPRODUCT(('Production Inputs'!$A:$A="LLPS")*('Production Inputs'!$B:$B="TOTAL ACTIVE")*'Production Inputs'!$DT:$DT),0)</f>
        <v>0</v>
      </c>
      <c r="H1011" s="30">
        <f t="shared" si="105"/>
        <v>177.28999999999996</v>
      </c>
      <c r="I1011" s="30">
        <f ca="1">IFERROR(AVERAGEIF(OFFSET(F1011,0,0,MIN(Controls!$B$8,COUNTIF(B1011:B$1973,B1011)),1),"&gt;"&amp;0),0)</f>
        <v>0</v>
      </c>
      <c r="J1011" s="38">
        <f t="shared" ca="1" si="106"/>
        <v>999</v>
      </c>
      <c r="K1011" s="30">
        <f t="shared" ca="1" si="110"/>
        <v>0</v>
      </c>
      <c r="L1011" t="str">
        <f t="shared" ca="1" si="107"/>
        <v>Overstock</v>
      </c>
      <c r="M1011" s="39">
        <f>IFERROR(VLOOKUP("LLPS",Controls!A:I,7,0),6)</f>
        <v>4</v>
      </c>
      <c r="N1011" s="39">
        <f>IFERROR(VLOOKUP("LLPS",Controls!A:I,8,0),3)</f>
        <v>3</v>
      </c>
      <c r="O1011" s="39">
        <f>IFERROR(VLOOKUP("LLPS",Controls!A:I,9,0),18)</f>
        <v>12</v>
      </c>
      <c r="P1011" s="40">
        <f>IFERROR(VLOOKUP("LLPS",Controls!A:J,5,0),0)</f>
        <v>5</v>
      </c>
      <c r="Q1011" s="39">
        <f>IFERROR(VLOOKUP("LLPS",Controls!A:J,6,0),3)</f>
        <v>4</v>
      </c>
      <c r="R1011" s="21" t="str">
        <f>IFERROR(VLOOKUP("LLPS",Controls!A:K,10,0),"")</f>
        <v>Kinovate</v>
      </c>
      <c r="S1011" s="41">
        <f t="shared" si="108"/>
        <v>49341</v>
      </c>
      <c r="T1011" s="30">
        <f t="shared" si="109"/>
        <v>0</v>
      </c>
      <c r="AB1011">
        <f t="shared" si="111"/>
        <v>93.800000000000011</v>
      </c>
    </row>
    <row r="1012" spans="1:28" ht="13" customHeight="1" x14ac:dyDescent="0.35">
      <c r="A1012" s="153">
        <v>49491</v>
      </c>
      <c r="B1012" s="36" t="s">
        <v>50</v>
      </c>
      <c r="C1012" s="15" t="s">
        <v>52</v>
      </c>
      <c r="D1012" s="15" t="s">
        <v>48</v>
      </c>
      <c r="E1012" s="30">
        <f>H1011</f>
        <v>177.28999999999996</v>
      </c>
      <c r="F1012" s="37">
        <f>IFERROR('Production Inputs'!$DU$37*Dependencies!$D$11,0)</f>
        <v>0</v>
      </c>
      <c r="G1012" s="37">
        <f t="array" ref="G1012">IFERROR(SUMPRODUCT(('Production Inputs'!$A:$A="LLPS")*('Production Inputs'!$B:$B="TOTAL ACTIVE")*'Production Inputs'!$DU:$DU),0)</f>
        <v>0</v>
      </c>
      <c r="H1012" s="30">
        <f t="shared" si="105"/>
        <v>177.28999999999996</v>
      </c>
      <c r="I1012" s="30">
        <f ca="1">IFERROR(AVERAGEIF(OFFSET(F1012,0,0,MIN(Controls!$B$8,COUNTIF(B1012:B$1973,B1012)),1),"&gt;"&amp;0),0)</f>
        <v>0</v>
      </c>
      <c r="J1012" s="38">
        <f t="shared" ca="1" si="106"/>
        <v>999</v>
      </c>
      <c r="K1012" s="30">
        <f t="shared" ca="1" si="110"/>
        <v>0</v>
      </c>
      <c r="L1012" t="str">
        <f t="shared" ca="1" si="107"/>
        <v>Overstock</v>
      </c>
      <c r="M1012" s="39">
        <f>IFERROR(VLOOKUP("LLPS",Controls!A:I,7,0),6)</f>
        <v>4</v>
      </c>
      <c r="N1012" s="39">
        <f>IFERROR(VLOOKUP("LLPS",Controls!A:I,8,0),3)</f>
        <v>3</v>
      </c>
      <c r="O1012" s="39">
        <f>IFERROR(VLOOKUP("LLPS",Controls!A:I,9,0),18)</f>
        <v>12</v>
      </c>
      <c r="P1012" s="40">
        <f>IFERROR(VLOOKUP("LLPS",Controls!A:J,5,0),0)</f>
        <v>5</v>
      </c>
      <c r="Q1012" s="39">
        <f>IFERROR(VLOOKUP("LLPS",Controls!A:J,6,0),3)</f>
        <v>4</v>
      </c>
      <c r="R1012" s="21" t="str">
        <f>IFERROR(VLOOKUP("LLPS",Controls!A:K,10,0),"")</f>
        <v>Kinovate</v>
      </c>
      <c r="S1012" s="41">
        <f t="shared" si="108"/>
        <v>49369</v>
      </c>
      <c r="T1012" s="30">
        <f t="shared" si="109"/>
        <v>0</v>
      </c>
      <c r="AB1012">
        <f t="shared" si="111"/>
        <v>93.800000000000011</v>
      </c>
    </row>
    <row r="1013" spans="1:28" ht="13" customHeight="1" x14ac:dyDescent="0.35">
      <c r="A1013" s="153">
        <v>49522</v>
      </c>
      <c r="B1013" s="36" t="s">
        <v>50</v>
      </c>
      <c r="C1013" s="15" t="s">
        <v>52</v>
      </c>
      <c r="D1013" s="15" t="s">
        <v>48</v>
      </c>
      <c r="E1013" s="30">
        <f>H1012</f>
        <v>177.28999999999996</v>
      </c>
      <c r="F1013" s="37">
        <f>IFERROR('Production Inputs'!$DV$37*Dependencies!$D$11,0)</f>
        <v>0</v>
      </c>
      <c r="G1013" s="37">
        <f t="array" ref="G1013">IFERROR(SUMPRODUCT(('Production Inputs'!$A:$A="LLPS")*('Production Inputs'!$B:$B="TOTAL ACTIVE")*'Production Inputs'!$DV:$DV),0)</f>
        <v>0</v>
      </c>
      <c r="H1013" s="30">
        <f t="shared" si="105"/>
        <v>177.28999999999996</v>
      </c>
      <c r="I1013" s="30">
        <f ca="1">IFERROR(AVERAGEIF(OFFSET(F1013,0,0,MIN(Controls!$B$8,COUNTIF(B1013:B$1973,B1013)),1),"&gt;"&amp;0),0)</f>
        <v>0</v>
      </c>
      <c r="J1013" s="38">
        <f t="shared" ca="1" si="106"/>
        <v>999</v>
      </c>
      <c r="K1013" s="30">
        <f t="shared" ca="1" si="110"/>
        <v>0</v>
      </c>
      <c r="L1013" t="str">
        <f t="shared" ca="1" si="107"/>
        <v>Overstock</v>
      </c>
      <c r="M1013" s="39">
        <f>IFERROR(VLOOKUP("LLPS",Controls!A:I,7,0),6)</f>
        <v>4</v>
      </c>
      <c r="N1013" s="39">
        <f>IFERROR(VLOOKUP("LLPS",Controls!A:I,8,0),3)</f>
        <v>3</v>
      </c>
      <c r="O1013" s="39">
        <f>IFERROR(VLOOKUP("LLPS",Controls!A:I,9,0),18)</f>
        <v>12</v>
      </c>
      <c r="P1013" s="40">
        <f>IFERROR(VLOOKUP("LLPS",Controls!A:J,5,0),0)</f>
        <v>5</v>
      </c>
      <c r="Q1013" s="39">
        <f>IFERROR(VLOOKUP("LLPS",Controls!A:J,6,0),3)</f>
        <v>4</v>
      </c>
      <c r="R1013" s="21" t="str">
        <f>IFERROR(VLOOKUP("LLPS",Controls!A:K,10,0),"")</f>
        <v>Kinovate</v>
      </c>
      <c r="S1013" s="41">
        <f t="shared" si="108"/>
        <v>49400</v>
      </c>
      <c r="T1013" s="30">
        <f t="shared" si="109"/>
        <v>0</v>
      </c>
      <c r="AB1013">
        <f t="shared" si="111"/>
        <v>93.800000000000011</v>
      </c>
    </row>
    <row r="1014" spans="1:28" ht="13" customHeight="1" x14ac:dyDescent="0.35">
      <c r="A1014" s="153">
        <v>49553</v>
      </c>
      <c r="B1014" s="36" t="s">
        <v>50</v>
      </c>
      <c r="C1014" s="15" t="s">
        <v>52</v>
      </c>
      <c r="D1014" s="15" t="s">
        <v>48</v>
      </c>
      <c r="E1014" s="30">
        <f>H1013</f>
        <v>177.28999999999996</v>
      </c>
      <c r="F1014" s="37">
        <f>IFERROR('Production Inputs'!$DW$37*Dependencies!$D$11,0)</f>
        <v>0</v>
      </c>
      <c r="G1014" s="37">
        <f t="array" ref="G1014">IFERROR(SUMPRODUCT(('Production Inputs'!$A:$A="LLPS")*('Production Inputs'!$B:$B="TOTAL ACTIVE")*'Production Inputs'!$DW:$DW),0)</f>
        <v>0</v>
      </c>
      <c r="H1014" s="30">
        <f t="shared" si="105"/>
        <v>177.28999999999996</v>
      </c>
      <c r="I1014" s="30">
        <f ca="1">IFERROR(AVERAGEIF(OFFSET(F1014,0,0,MIN(Controls!$B$8,COUNTIF(B1014:B$1973,B1014)),1),"&gt;"&amp;0),0)</f>
        <v>0</v>
      </c>
      <c r="J1014" s="38">
        <f t="shared" ca="1" si="106"/>
        <v>999</v>
      </c>
      <c r="K1014" s="30">
        <f t="shared" ca="1" si="110"/>
        <v>0</v>
      </c>
      <c r="L1014" t="str">
        <f t="shared" ca="1" si="107"/>
        <v>Overstock</v>
      </c>
      <c r="M1014" s="39">
        <f>IFERROR(VLOOKUP("LLPS",Controls!A:I,7,0),6)</f>
        <v>4</v>
      </c>
      <c r="N1014" s="39">
        <f>IFERROR(VLOOKUP("LLPS",Controls!A:I,8,0),3)</f>
        <v>3</v>
      </c>
      <c r="O1014" s="39">
        <f>IFERROR(VLOOKUP("LLPS",Controls!A:I,9,0),18)</f>
        <v>12</v>
      </c>
      <c r="P1014" s="40">
        <f>IFERROR(VLOOKUP("LLPS",Controls!A:J,5,0),0)</f>
        <v>5</v>
      </c>
      <c r="Q1014" s="39">
        <f>IFERROR(VLOOKUP("LLPS",Controls!A:J,6,0),3)</f>
        <v>4</v>
      </c>
      <c r="R1014" s="21" t="str">
        <f>IFERROR(VLOOKUP("LLPS",Controls!A:K,10,0),"")</f>
        <v>Kinovate</v>
      </c>
      <c r="S1014" s="41">
        <f t="shared" si="108"/>
        <v>49430</v>
      </c>
      <c r="T1014" s="30">
        <f t="shared" si="109"/>
        <v>0</v>
      </c>
      <c r="AB1014">
        <f t="shared" si="111"/>
        <v>93.800000000000011</v>
      </c>
    </row>
    <row r="1015" spans="1:28" ht="13" customHeight="1" x14ac:dyDescent="0.35">
      <c r="A1015" s="153">
        <v>49583</v>
      </c>
      <c r="B1015" s="36" t="s">
        <v>50</v>
      </c>
      <c r="C1015" s="15" t="s">
        <v>52</v>
      </c>
      <c r="D1015" s="15" t="s">
        <v>48</v>
      </c>
      <c r="E1015" s="30">
        <f>H1014</f>
        <v>177.28999999999996</v>
      </c>
      <c r="F1015" s="37">
        <f>IFERROR('Production Inputs'!$DX$37*Dependencies!$D$11,0)</f>
        <v>0</v>
      </c>
      <c r="G1015" s="37">
        <f t="array" ref="G1015">IFERROR(SUMPRODUCT(('Production Inputs'!$A:$A="LLPS")*('Production Inputs'!$B:$B="TOTAL ACTIVE")*'Production Inputs'!$DX:$DX),0)</f>
        <v>0</v>
      </c>
      <c r="H1015" s="30">
        <f t="shared" si="105"/>
        <v>177.28999999999996</v>
      </c>
      <c r="I1015" s="30">
        <f ca="1">IFERROR(AVERAGEIF(OFFSET(F1015,0,0,MIN(Controls!$B$8,COUNTIF(B1015:B$1973,B1015)),1),"&gt;"&amp;0),0)</f>
        <v>0</v>
      </c>
      <c r="J1015" s="38">
        <f t="shared" ca="1" si="106"/>
        <v>999</v>
      </c>
      <c r="K1015" s="30">
        <f t="shared" ca="1" si="110"/>
        <v>0</v>
      </c>
      <c r="L1015" t="str">
        <f t="shared" ca="1" si="107"/>
        <v>Overstock</v>
      </c>
      <c r="M1015" s="39">
        <f>IFERROR(VLOOKUP("LLPS",Controls!A:I,7,0),6)</f>
        <v>4</v>
      </c>
      <c r="N1015" s="39">
        <f>IFERROR(VLOOKUP("LLPS",Controls!A:I,8,0),3)</f>
        <v>3</v>
      </c>
      <c r="O1015" s="39">
        <f>IFERROR(VLOOKUP("LLPS",Controls!A:I,9,0),18)</f>
        <v>12</v>
      </c>
      <c r="P1015" s="40">
        <f>IFERROR(VLOOKUP("LLPS",Controls!A:J,5,0),0)</f>
        <v>5</v>
      </c>
      <c r="Q1015" s="39">
        <f>IFERROR(VLOOKUP("LLPS",Controls!A:J,6,0),3)</f>
        <v>4</v>
      </c>
      <c r="R1015" s="21" t="str">
        <f>IFERROR(VLOOKUP("LLPS",Controls!A:K,10,0),"")</f>
        <v>Kinovate</v>
      </c>
      <c r="S1015" s="41">
        <f t="shared" si="108"/>
        <v>49461</v>
      </c>
      <c r="T1015" s="30">
        <f t="shared" si="109"/>
        <v>0</v>
      </c>
      <c r="AB1015">
        <f t="shared" si="111"/>
        <v>93.800000000000011</v>
      </c>
    </row>
    <row r="1016" spans="1:28" ht="13" customHeight="1" x14ac:dyDescent="0.35">
      <c r="A1016" s="153">
        <v>49614</v>
      </c>
      <c r="B1016" s="36" t="s">
        <v>50</v>
      </c>
      <c r="C1016" s="15" t="s">
        <v>52</v>
      </c>
      <c r="D1016" s="15" t="s">
        <v>48</v>
      </c>
      <c r="E1016" s="30">
        <f>H1015</f>
        <v>177.28999999999996</v>
      </c>
      <c r="F1016" s="37">
        <f>IFERROR('Production Inputs'!$DY$37*Dependencies!$D$11,0)</f>
        <v>0</v>
      </c>
      <c r="G1016" s="37">
        <f t="array" ref="G1016">IFERROR(SUMPRODUCT(('Production Inputs'!$A:$A="LLPS")*('Production Inputs'!$B:$B="TOTAL ACTIVE")*'Production Inputs'!$DY:$DY),0)</f>
        <v>0</v>
      </c>
      <c r="H1016" s="30">
        <f t="shared" si="105"/>
        <v>177.28999999999996</v>
      </c>
      <c r="I1016" s="30">
        <f ca="1">IFERROR(AVERAGEIF(OFFSET(F1016,0,0,MIN(Controls!$B$8,COUNTIF(B1016:B$1973,B1016)),1),"&gt;"&amp;0),0)</f>
        <v>0</v>
      </c>
      <c r="J1016" s="38">
        <f t="shared" ca="1" si="106"/>
        <v>999</v>
      </c>
      <c r="K1016" s="30">
        <f t="shared" ca="1" si="110"/>
        <v>0</v>
      </c>
      <c r="L1016" t="str">
        <f t="shared" ca="1" si="107"/>
        <v>Overstock</v>
      </c>
      <c r="M1016" s="39">
        <f>IFERROR(VLOOKUP("LLPS",Controls!A:I,7,0),6)</f>
        <v>4</v>
      </c>
      <c r="N1016" s="39">
        <f>IFERROR(VLOOKUP("LLPS",Controls!A:I,8,0),3)</f>
        <v>3</v>
      </c>
      <c r="O1016" s="39">
        <f>IFERROR(VLOOKUP("LLPS",Controls!A:I,9,0),18)</f>
        <v>12</v>
      </c>
      <c r="P1016" s="40">
        <f>IFERROR(VLOOKUP("LLPS",Controls!A:J,5,0),0)</f>
        <v>5</v>
      </c>
      <c r="Q1016" s="39">
        <f>IFERROR(VLOOKUP("LLPS",Controls!A:J,6,0),3)</f>
        <v>4</v>
      </c>
      <c r="R1016" s="21" t="str">
        <f>IFERROR(VLOOKUP("LLPS",Controls!A:K,10,0),"")</f>
        <v>Kinovate</v>
      </c>
      <c r="S1016" s="41">
        <f t="shared" si="108"/>
        <v>49491</v>
      </c>
      <c r="T1016" s="30">
        <f t="shared" si="109"/>
        <v>0</v>
      </c>
      <c r="AB1016">
        <f t="shared" si="111"/>
        <v>93.800000000000011</v>
      </c>
    </row>
    <row r="1017" spans="1:28" ht="13" customHeight="1" x14ac:dyDescent="0.35">
      <c r="A1017" s="153">
        <v>49644</v>
      </c>
      <c r="B1017" s="36" t="s">
        <v>50</v>
      </c>
      <c r="C1017" s="15" t="s">
        <v>52</v>
      </c>
      <c r="D1017" s="15" t="s">
        <v>48</v>
      </c>
      <c r="E1017" s="30">
        <f>H1016</f>
        <v>177.28999999999996</v>
      </c>
      <c r="F1017" s="37">
        <f>IFERROR('Production Inputs'!$DZ$37*Dependencies!$D$11,0)</f>
        <v>0</v>
      </c>
      <c r="G1017" s="37">
        <f t="array" ref="G1017">IFERROR(SUMPRODUCT(('Production Inputs'!$A:$A="LLPS")*('Production Inputs'!$B:$B="TOTAL ACTIVE")*'Production Inputs'!$DZ:$DZ),0)</f>
        <v>0</v>
      </c>
      <c r="H1017" s="30">
        <f t="shared" si="105"/>
        <v>177.28999999999996</v>
      </c>
      <c r="I1017" s="30">
        <f ca="1">IFERROR(AVERAGEIF(OFFSET(F1017,0,0,MIN(Controls!$B$8,COUNTIF(B1017:B$1973,B1017)),1),"&gt;"&amp;0),0)</f>
        <v>0</v>
      </c>
      <c r="J1017" s="38">
        <f t="shared" ca="1" si="106"/>
        <v>999</v>
      </c>
      <c r="K1017" s="30">
        <f t="shared" ca="1" si="110"/>
        <v>0</v>
      </c>
      <c r="L1017" t="str">
        <f t="shared" ca="1" si="107"/>
        <v>Overstock</v>
      </c>
      <c r="M1017" s="39">
        <f>IFERROR(VLOOKUP("LLPS",Controls!A:I,7,0),6)</f>
        <v>4</v>
      </c>
      <c r="N1017" s="39">
        <f>IFERROR(VLOOKUP("LLPS",Controls!A:I,8,0),3)</f>
        <v>3</v>
      </c>
      <c r="O1017" s="39">
        <f>IFERROR(VLOOKUP("LLPS",Controls!A:I,9,0),18)</f>
        <v>12</v>
      </c>
      <c r="P1017" s="40">
        <f>IFERROR(VLOOKUP("LLPS",Controls!A:J,5,0),0)</f>
        <v>5</v>
      </c>
      <c r="Q1017" s="39">
        <f>IFERROR(VLOOKUP("LLPS",Controls!A:J,6,0),3)</f>
        <v>4</v>
      </c>
      <c r="R1017" s="21" t="str">
        <f>IFERROR(VLOOKUP("LLPS",Controls!A:K,10,0),"")</f>
        <v>Kinovate</v>
      </c>
      <c r="S1017" s="41">
        <f t="shared" si="108"/>
        <v>49522</v>
      </c>
      <c r="T1017" s="30">
        <f t="shared" si="109"/>
        <v>0</v>
      </c>
      <c r="AB1017">
        <f t="shared" si="111"/>
        <v>93.800000000000011</v>
      </c>
    </row>
    <row r="1018" spans="1:28" ht="13" customHeight="1" x14ac:dyDescent="0.35">
      <c r="A1018" s="153">
        <v>49675</v>
      </c>
      <c r="B1018" s="36" t="s">
        <v>50</v>
      </c>
      <c r="C1018" s="15" t="s">
        <v>52</v>
      </c>
      <c r="D1018" s="15" t="s">
        <v>48</v>
      </c>
      <c r="E1018" s="30">
        <f>H1017</f>
        <v>177.28999999999996</v>
      </c>
      <c r="F1018" s="37">
        <f>IFERROR('Production Inputs'!$EA$37*Dependencies!$D$11,0)</f>
        <v>0</v>
      </c>
      <c r="G1018" s="37">
        <f t="array" ref="G1018">IFERROR(SUMPRODUCT(('Production Inputs'!$A:$A="LLPS")*('Production Inputs'!$B:$B="TOTAL ACTIVE")*'Production Inputs'!$EA:$EA),0)</f>
        <v>0</v>
      </c>
      <c r="H1018" s="30">
        <f t="shared" si="105"/>
        <v>177.28999999999996</v>
      </c>
      <c r="I1018" s="30">
        <f ca="1">IFERROR(AVERAGEIF(OFFSET(F1018,0,0,MIN(Controls!$B$8,COUNTIF(B1018:B$1973,B1018)),1),"&gt;"&amp;0),0)</f>
        <v>0</v>
      </c>
      <c r="J1018" s="38">
        <f t="shared" ca="1" si="106"/>
        <v>999</v>
      </c>
      <c r="K1018" s="30">
        <f t="shared" ca="1" si="110"/>
        <v>0</v>
      </c>
      <c r="L1018" t="str">
        <f t="shared" ca="1" si="107"/>
        <v>Overstock</v>
      </c>
      <c r="M1018" s="39">
        <f>IFERROR(VLOOKUP("LLPS",Controls!A:I,7,0),6)</f>
        <v>4</v>
      </c>
      <c r="N1018" s="39">
        <f>IFERROR(VLOOKUP("LLPS",Controls!A:I,8,0),3)</f>
        <v>3</v>
      </c>
      <c r="O1018" s="39">
        <f>IFERROR(VLOOKUP("LLPS",Controls!A:I,9,0),18)</f>
        <v>12</v>
      </c>
      <c r="P1018" s="40">
        <f>IFERROR(VLOOKUP("LLPS",Controls!A:J,5,0),0)</f>
        <v>5</v>
      </c>
      <c r="Q1018" s="39">
        <f>IFERROR(VLOOKUP("LLPS",Controls!A:J,6,0),3)</f>
        <v>4</v>
      </c>
      <c r="R1018" s="21" t="str">
        <f>IFERROR(VLOOKUP("LLPS",Controls!A:K,10,0),"")</f>
        <v>Kinovate</v>
      </c>
      <c r="S1018" s="41">
        <f t="shared" si="108"/>
        <v>49553</v>
      </c>
      <c r="T1018" s="30">
        <f t="shared" si="109"/>
        <v>0</v>
      </c>
      <c r="AB1018">
        <f t="shared" si="111"/>
        <v>93.800000000000011</v>
      </c>
    </row>
    <row r="1019" spans="1:28" ht="13" customHeight="1" x14ac:dyDescent="0.35">
      <c r="A1019" s="153">
        <v>49706</v>
      </c>
      <c r="B1019" s="36" t="s">
        <v>50</v>
      </c>
      <c r="C1019" s="15" t="s">
        <v>52</v>
      </c>
      <c r="D1019" s="15" t="s">
        <v>48</v>
      </c>
      <c r="E1019" s="30">
        <f>H1018</f>
        <v>177.28999999999996</v>
      </c>
      <c r="F1019" s="37">
        <f>IFERROR('Production Inputs'!$EB$37*Dependencies!$D$11,0)</f>
        <v>0</v>
      </c>
      <c r="G1019" s="37">
        <f t="array" ref="G1019">IFERROR(SUMPRODUCT(('Production Inputs'!$A:$A="LLPS")*('Production Inputs'!$B:$B="TOTAL ACTIVE")*'Production Inputs'!$EB:$EB),0)</f>
        <v>0</v>
      </c>
      <c r="H1019" s="30">
        <f t="shared" si="105"/>
        <v>177.28999999999996</v>
      </c>
      <c r="I1019" s="30">
        <f ca="1">IFERROR(AVERAGEIF(OFFSET(F1019,0,0,MIN(Controls!$B$8,COUNTIF(B1019:B$1973,B1019)),1),"&gt;"&amp;0),0)</f>
        <v>0</v>
      </c>
      <c r="J1019" s="38">
        <f t="shared" ca="1" si="106"/>
        <v>999</v>
      </c>
      <c r="K1019" s="30">
        <f t="shared" ca="1" si="110"/>
        <v>0</v>
      </c>
      <c r="L1019" t="str">
        <f t="shared" ca="1" si="107"/>
        <v>Overstock</v>
      </c>
      <c r="M1019" s="39">
        <f>IFERROR(VLOOKUP("LLPS",Controls!A:I,7,0),6)</f>
        <v>4</v>
      </c>
      <c r="N1019" s="39">
        <f>IFERROR(VLOOKUP("LLPS",Controls!A:I,8,0),3)</f>
        <v>3</v>
      </c>
      <c r="O1019" s="39">
        <f>IFERROR(VLOOKUP("LLPS",Controls!A:I,9,0),18)</f>
        <v>12</v>
      </c>
      <c r="P1019" s="40">
        <f>IFERROR(VLOOKUP("LLPS",Controls!A:J,5,0),0)</f>
        <v>5</v>
      </c>
      <c r="Q1019" s="39">
        <f>IFERROR(VLOOKUP("LLPS",Controls!A:J,6,0),3)</f>
        <v>4</v>
      </c>
      <c r="R1019" s="21" t="str">
        <f>IFERROR(VLOOKUP("LLPS",Controls!A:K,10,0),"")</f>
        <v>Kinovate</v>
      </c>
      <c r="S1019" s="41">
        <f t="shared" si="108"/>
        <v>49583</v>
      </c>
      <c r="T1019" s="30">
        <f t="shared" si="109"/>
        <v>0</v>
      </c>
      <c r="AB1019">
        <f t="shared" si="111"/>
        <v>93.800000000000011</v>
      </c>
    </row>
    <row r="1020" spans="1:28" ht="13" customHeight="1" x14ac:dyDescent="0.35">
      <c r="A1020" s="153">
        <v>49735</v>
      </c>
      <c r="B1020" s="36" t="s">
        <v>50</v>
      </c>
      <c r="C1020" s="15" t="s">
        <v>52</v>
      </c>
      <c r="D1020" s="15" t="s">
        <v>48</v>
      </c>
      <c r="E1020" s="30">
        <f>H1019</f>
        <v>177.28999999999996</v>
      </c>
      <c r="F1020" s="37">
        <f>IFERROR('Production Inputs'!$EC$37*Dependencies!$D$11,0)</f>
        <v>0</v>
      </c>
      <c r="G1020" s="37">
        <f t="array" ref="G1020">IFERROR(SUMPRODUCT(('Production Inputs'!$A:$A="LLPS")*('Production Inputs'!$B:$B="TOTAL ACTIVE")*'Production Inputs'!$EC:$EC),0)</f>
        <v>0</v>
      </c>
      <c r="H1020" s="30">
        <f t="shared" si="105"/>
        <v>177.28999999999996</v>
      </c>
      <c r="I1020" s="30">
        <f ca="1">IFERROR(AVERAGEIF(OFFSET(F1020,0,0,MIN(Controls!$B$8,COUNTIF(B1020:B$1973,B1020)),1),"&gt;"&amp;0),0)</f>
        <v>0</v>
      </c>
      <c r="J1020" s="38">
        <f t="shared" ca="1" si="106"/>
        <v>999</v>
      </c>
      <c r="K1020" s="30">
        <f t="shared" ca="1" si="110"/>
        <v>0</v>
      </c>
      <c r="L1020" t="str">
        <f t="shared" ca="1" si="107"/>
        <v>Overstock</v>
      </c>
      <c r="M1020" s="39">
        <f>IFERROR(VLOOKUP("LLPS",Controls!A:I,7,0),6)</f>
        <v>4</v>
      </c>
      <c r="N1020" s="39">
        <f>IFERROR(VLOOKUP("LLPS",Controls!A:I,8,0),3)</f>
        <v>3</v>
      </c>
      <c r="O1020" s="39">
        <f>IFERROR(VLOOKUP("LLPS",Controls!A:I,9,0),18)</f>
        <v>12</v>
      </c>
      <c r="P1020" s="40">
        <f>IFERROR(VLOOKUP("LLPS",Controls!A:J,5,0),0)</f>
        <v>5</v>
      </c>
      <c r="Q1020" s="39">
        <f>IFERROR(VLOOKUP("LLPS",Controls!A:J,6,0),3)</f>
        <v>4</v>
      </c>
      <c r="R1020" s="21" t="str">
        <f>IFERROR(VLOOKUP("LLPS",Controls!A:K,10,0),"")</f>
        <v>Kinovate</v>
      </c>
      <c r="S1020" s="41">
        <f t="shared" si="108"/>
        <v>49614</v>
      </c>
      <c r="T1020" s="30">
        <f t="shared" si="109"/>
        <v>0</v>
      </c>
      <c r="AB1020">
        <f t="shared" si="111"/>
        <v>93.800000000000011</v>
      </c>
    </row>
    <row r="1021" spans="1:28" ht="13" customHeight="1" x14ac:dyDescent="0.35">
      <c r="A1021" s="153">
        <v>49766</v>
      </c>
      <c r="B1021" s="36" t="s">
        <v>50</v>
      </c>
      <c r="C1021" s="15" t="s">
        <v>52</v>
      </c>
      <c r="D1021" s="15" t="s">
        <v>48</v>
      </c>
      <c r="E1021" s="30">
        <f>H1020</f>
        <v>177.28999999999996</v>
      </c>
      <c r="F1021" s="37">
        <f>IFERROR('Production Inputs'!$ED$37*Dependencies!$D$11,0)</f>
        <v>0</v>
      </c>
      <c r="G1021" s="37">
        <f t="array" ref="G1021">IFERROR(SUMPRODUCT(('Production Inputs'!$A:$A="LLPS")*('Production Inputs'!$B:$B="TOTAL ACTIVE")*'Production Inputs'!$ED:$ED),0)</f>
        <v>0</v>
      </c>
      <c r="H1021" s="30">
        <f t="shared" si="105"/>
        <v>177.28999999999996</v>
      </c>
      <c r="I1021" s="30">
        <f ca="1">IFERROR(AVERAGEIF(OFFSET(F1021,0,0,MIN(Controls!$B$8,COUNTIF(B1021:B$1973,B1021)),1),"&gt;"&amp;0),0)</f>
        <v>0</v>
      </c>
      <c r="J1021" s="38">
        <f t="shared" ca="1" si="106"/>
        <v>999</v>
      </c>
      <c r="K1021" s="30">
        <f t="shared" ca="1" si="110"/>
        <v>0</v>
      </c>
      <c r="L1021" t="str">
        <f t="shared" ca="1" si="107"/>
        <v>Overstock</v>
      </c>
      <c r="M1021" s="39">
        <f>IFERROR(VLOOKUP("LLPS",Controls!A:I,7,0),6)</f>
        <v>4</v>
      </c>
      <c r="N1021" s="39">
        <f>IFERROR(VLOOKUP("LLPS",Controls!A:I,8,0),3)</f>
        <v>3</v>
      </c>
      <c r="O1021" s="39">
        <f>IFERROR(VLOOKUP("LLPS",Controls!A:I,9,0),18)</f>
        <v>12</v>
      </c>
      <c r="P1021" s="40">
        <f>IFERROR(VLOOKUP("LLPS",Controls!A:J,5,0),0)</f>
        <v>5</v>
      </c>
      <c r="Q1021" s="39">
        <f>IFERROR(VLOOKUP("LLPS",Controls!A:J,6,0),3)</f>
        <v>4</v>
      </c>
      <c r="R1021" s="21" t="str">
        <f>IFERROR(VLOOKUP("LLPS",Controls!A:K,10,0),"")</f>
        <v>Kinovate</v>
      </c>
      <c r="S1021" s="41">
        <f t="shared" si="108"/>
        <v>49644</v>
      </c>
      <c r="T1021" s="30">
        <f t="shared" si="109"/>
        <v>0</v>
      </c>
      <c r="AB1021">
        <f t="shared" si="111"/>
        <v>93.800000000000011</v>
      </c>
    </row>
    <row r="1022" spans="1:28" ht="13" customHeight="1" x14ac:dyDescent="0.35">
      <c r="A1022" s="153">
        <v>49796</v>
      </c>
      <c r="B1022" s="36" t="s">
        <v>50</v>
      </c>
      <c r="C1022" s="15" t="s">
        <v>52</v>
      </c>
      <c r="D1022" s="15" t="s">
        <v>48</v>
      </c>
      <c r="E1022" s="30">
        <f>H1021</f>
        <v>177.28999999999996</v>
      </c>
      <c r="F1022" s="37">
        <f>IFERROR('Production Inputs'!$EE$37*Dependencies!$D$11,0)</f>
        <v>0</v>
      </c>
      <c r="G1022" s="37">
        <f t="array" ref="G1022">IFERROR(SUMPRODUCT(('Production Inputs'!$A:$A="LLPS")*('Production Inputs'!$B:$B="TOTAL ACTIVE")*'Production Inputs'!$EE:$EE),0)</f>
        <v>0</v>
      </c>
      <c r="H1022" s="30">
        <f t="shared" si="105"/>
        <v>177.28999999999996</v>
      </c>
      <c r="I1022" s="30">
        <f ca="1">IFERROR(AVERAGEIF(OFFSET(F1022,0,0,MIN(Controls!$B$8,COUNTIF(B1022:B$1973,B1022)),1),"&gt;"&amp;0),0)</f>
        <v>0</v>
      </c>
      <c r="J1022" s="38">
        <f t="shared" ca="1" si="106"/>
        <v>999</v>
      </c>
      <c r="K1022" s="30">
        <f t="shared" ca="1" si="110"/>
        <v>0</v>
      </c>
      <c r="L1022" t="str">
        <f t="shared" ca="1" si="107"/>
        <v>Overstock</v>
      </c>
      <c r="M1022" s="39">
        <f>IFERROR(VLOOKUP("LLPS",Controls!A:I,7,0),6)</f>
        <v>4</v>
      </c>
      <c r="N1022" s="39">
        <f>IFERROR(VLOOKUP("LLPS",Controls!A:I,8,0),3)</f>
        <v>3</v>
      </c>
      <c r="O1022" s="39">
        <f>IFERROR(VLOOKUP("LLPS",Controls!A:I,9,0),18)</f>
        <v>12</v>
      </c>
      <c r="P1022" s="40">
        <f>IFERROR(VLOOKUP("LLPS",Controls!A:J,5,0),0)</f>
        <v>5</v>
      </c>
      <c r="Q1022" s="39">
        <f>IFERROR(VLOOKUP("LLPS",Controls!A:J,6,0),3)</f>
        <v>4</v>
      </c>
      <c r="R1022" s="21" t="str">
        <f>IFERROR(VLOOKUP("LLPS",Controls!A:K,10,0),"")</f>
        <v>Kinovate</v>
      </c>
      <c r="S1022" s="41">
        <f t="shared" si="108"/>
        <v>49675</v>
      </c>
      <c r="T1022" s="30">
        <f t="shared" si="109"/>
        <v>0</v>
      </c>
      <c r="AB1022">
        <f t="shared" si="111"/>
        <v>93.800000000000011</v>
      </c>
    </row>
    <row r="1023" spans="1:28" ht="13" customHeight="1" x14ac:dyDescent="0.35">
      <c r="A1023" s="153">
        <v>49827</v>
      </c>
      <c r="B1023" s="36" t="s">
        <v>50</v>
      </c>
      <c r="C1023" s="15" t="s">
        <v>52</v>
      </c>
      <c r="D1023" s="15" t="s">
        <v>48</v>
      </c>
      <c r="E1023" s="30">
        <f>H1022</f>
        <v>177.28999999999996</v>
      </c>
      <c r="F1023" s="37">
        <f>IFERROR('Production Inputs'!$EF$37*Dependencies!$D$11,0)</f>
        <v>0</v>
      </c>
      <c r="G1023" s="37">
        <f t="array" ref="G1023">IFERROR(SUMPRODUCT(('Production Inputs'!$A:$A="LLPS")*('Production Inputs'!$B:$B="TOTAL ACTIVE")*'Production Inputs'!$EF:$EF),0)</f>
        <v>0</v>
      </c>
      <c r="H1023" s="30">
        <f t="shared" si="105"/>
        <v>177.28999999999996</v>
      </c>
      <c r="I1023" s="30">
        <f ca="1">IFERROR(AVERAGEIF(OFFSET(F1023,0,0,MIN(Controls!$B$8,COUNTIF(B1023:B$1973,B1023)),1),"&gt;"&amp;0),0)</f>
        <v>0</v>
      </c>
      <c r="J1023" s="38">
        <f t="shared" ca="1" si="106"/>
        <v>999</v>
      </c>
      <c r="K1023" s="30">
        <f t="shared" ca="1" si="110"/>
        <v>0</v>
      </c>
      <c r="L1023" t="str">
        <f t="shared" ca="1" si="107"/>
        <v>Overstock</v>
      </c>
      <c r="M1023" s="39">
        <f>IFERROR(VLOOKUP("LLPS",Controls!A:I,7,0),6)</f>
        <v>4</v>
      </c>
      <c r="N1023" s="39">
        <f>IFERROR(VLOOKUP("LLPS",Controls!A:I,8,0),3)</f>
        <v>3</v>
      </c>
      <c r="O1023" s="39">
        <f>IFERROR(VLOOKUP("LLPS",Controls!A:I,9,0),18)</f>
        <v>12</v>
      </c>
      <c r="P1023" s="40">
        <f>IFERROR(VLOOKUP("LLPS",Controls!A:J,5,0),0)</f>
        <v>5</v>
      </c>
      <c r="Q1023" s="39">
        <f>IFERROR(VLOOKUP("LLPS",Controls!A:J,6,0),3)</f>
        <v>4</v>
      </c>
      <c r="R1023" s="21" t="str">
        <f>IFERROR(VLOOKUP("LLPS",Controls!A:K,10,0),"")</f>
        <v>Kinovate</v>
      </c>
      <c r="S1023" s="41">
        <f t="shared" si="108"/>
        <v>49706</v>
      </c>
      <c r="T1023" s="30">
        <f t="shared" si="109"/>
        <v>0</v>
      </c>
      <c r="AB1023">
        <f t="shared" si="111"/>
        <v>93.800000000000011</v>
      </c>
    </row>
    <row r="1024" spans="1:28" ht="13" customHeight="1" x14ac:dyDescent="0.35">
      <c r="A1024" s="153">
        <v>49857</v>
      </c>
      <c r="B1024" s="36" t="s">
        <v>50</v>
      </c>
      <c r="C1024" s="15" t="s">
        <v>52</v>
      </c>
      <c r="D1024" s="15" t="s">
        <v>48</v>
      </c>
      <c r="E1024" s="30">
        <f>H1023</f>
        <v>177.28999999999996</v>
      </c>
      <c r="F1024" s="37">
        <f>IFERROR('Production Inputs'!$EG$37*Dependencies!$D$11,0)</f>
        <v>0</v>
      </c>
      <c r="G1024" s="37">
        <f t="array" ref="G1024">IFERROR(SUMPRODUCT(('Production Inputs'!$A:$A="LLPS")*('Production Inputs'!$B:$B="TOTAL ACTIVE")*'Production Inputs'!$EG:$EG),0)</f>
        <v>0</v>
      </c>
      <c r="H1024" s="30">
        <f t="shared" si="105"/>
        <v>177.28999999999996</v>
      </c>
      <c r="I1024" s="30">
        <f ca="1">IFERROR(AVERAGEIF(OFFSET(F1024,0,0,MIN(Controls!$B$8,COUNTIF(B1024:B$1973,B1024)),1),"&gt;"&amp;0),0)</f>
        <v>0</v>
      </c>
      <c r="J1024" s="38">
        <f t="shared" ca="1" si="106"/>
        <v>999</v>
      </c>
      <c r="K1024" s="30">
        <f t="shared" ca="1" si="110"/>
        <v>0</v>
      </c>
      <c r="L1024" t="str">
        <f t="shared" ca="1" si="107"/>
        <v>Overstock</v>
      </c>
      <c r="M1024" s="39">
        <f>IFERROR(VLOOKUP("LLPS",Controls!A:I,7,0),6)</f>
        <v>4</v>
      </c>
      <c r="N1024" s="39">
        <f>IFERROR(VLOOKUP("LLPS",Controls!A:I,8,0),3)</f>
        <v>3</v>
      </c>
      <c r="O1024" s="39">
        <f>IFERROR(VLOOKUP("LLPS",Controls!A:I,9,0),18)</f>
        <v>12</v>
      </c>
      <c r="P1024" s="40">
        <f>IFERROR(VLOOKUP("LLPS",Controls!A:J,5,0),0)</f>
        <v>5</v>
      </c>
      <c r="Q1024" s="39">
        <f>IFERROR(VLOOKUP("LLPS",Controls!A:J,6,0),3)</f>
        <v>4</v>
      </c>
      <c r="R1024" s="21" t="str">
        <f>IFERROR(VLOOKUP("LLPS",Controls!A:K,10,0),"")</f>
        <v>Kinovate</v>
      </c>
      <c r="S1024" s="41">
        <f t="shared" si="108"/>
        <v>49735</v>
      </c>
      <c r="T1024" s="30">
        <f t="shared" si="109"/>
        <v>0</v>
      </c>
      <c r="AB1024">
        <f t="shared" si="111"/>
        <v>93.800000000000011</v>
      </c>
    </row>
    <row r="1025" spans="1:28" ht="13" customHeight="1" x14ac:dyDescent="0.35">
      <c r="A1025" s="153">
        <v>49888</v>
      </c>
      <c r="B1025" s="36" t="s">
        <v>50</v>
      </c>
      <c r="C1025" s="15" t="s">
        <v>52</v>
      </c>
      <c r="D1025" s="15" t="s">
        <v>48</v>
      </c>
      <c r="E1025" s="30">
        <f>H1024</f>
        <v>177.28999999999996</v>
      </c>
      <c r="F1025" s="37">
        <f>IFERROR('Production Inputs'!$EH$37*Dependencies!$D$11,0)</f>
        <v>0</v>
      </c>
      <c r="G1025" s="37">
        <f t="array" ref="G1025">IFERROR(SUMPRODUCT(('Production Inputs'!$A:$A="LLPS")*('Production Inputs'!$B:$B="TOTAL ACTIVE")*'Production Inputs'!$EH:$EH),0)</f>
        <v>0</v>
      </c>
      <c r="H1025" s="30">
        <f t="shared" si="105"/>
        <v>177.28999999999996</v>
      </c>
      <c r="I1025" s="30">
        <f ca="1">IFERROR(AVERAGEIF(OFFSET(F1025,0,0,MIN(Controls!$B$8,COUNTIF(B1025:B$1973,B1025)),1),"&gt;"&amp;0),0)</f>
        <v>0</v>
      </c>
      <c r="J1025" s="38">
        <f t="shared" ca="1" si="106"/>
        <v>999</v>
      </c>
      <c r="K1025" s="30">
        <f t="shared" ca="1" si="110"/>
        <v>0</v>
      </c>
      <c r="L1025" t="str">
        <f t="shared" ca="1" si="107"/>
        <v>Overstock</v>
      </c>
      <c r="M1025" s="39">
        <f>IFERROR(VLOOKUP("LLPS",Controls!A:I,7,0),6)</f>
        <v>4</v>
      </c>
      <c r="N1025" s="39">
        <f>IFERROR(VLOOKUP("LLPS",Controls!A:I,8,0),3)</f>
        <v>3</v>
      </c>
      <c r="O1025" s="39">
        <f>IFERROR(VLOOKUP("LLPS",Controls!A:I,9,0),18)</f>
        <v>12</v>
      </c>
      <c r="P1025" s="40">
        <f>IFERROR(VLOOKUP("LLPS",Controls!A:J,5,0),0)</f>
        <v>5</v>
      </c>
      <c r="Q1025" s="39">
        <f>IFERROR(VLOOKUP("LLPS",Controls!A:J,6,0),3)</f>
        <v>4</v>
      </c>
      <c r="R1025" s="21" t="str">
        <f>IFERROR(VLOOKUP("LLPS",Controls!A:K,10,0),"")</f>
        <v>Kinovate</v>
      </c>
      <c r="S1025" s="41">
        <f t="shared" si="108"/>
        <v>49766</v>
      </c>
      <c r="T1025" s="30">
        <f t="shared" si="109"/>
        <v>0</v>
      </c>
      <c r="AB1025">
        <f t="shared" si="111"/>
        <v>93.800000000000011</v>
      </c>
    </row>
    <row r="1026" spans="1:28" ht="13" customHeight="1" x14ac:dyDescent="0.35">
      <c r="A1026" s="153">
        <v>49919</v>
      </c>
      <c r="B1026" s="36" t="s">
        <v>50</v>
      </c>
      <c r="C1026" s="15" t="s">
        <v>52</v>
      </c>
      <c r="D1026" s="15" t="s">
        <v>48</v>
      </c>
      <c r="E1026" s="30">
        <f>H1025</f>
        <v>177.28999999999996</v>
      </c>
      <c r="F1026" s="37">
        <f>IFERROR('Production Inputs'!$EI$37*Dependencies!$D$11,0)</f>
        <v>0</v>
      </c>
      <c r="G1026" s="37">
        <f t="array" ref="G1026">IFERROR(SUMPRODUCT(('Production Inputs'!$A:$A="LLPS")*('Production Inputs'!$B:$B="TOTAL ACTIVE")*'Production Inputs'!$EI:$EI),0)</f>
        <v>0</v>
      </c>
      <c r="H1026" s="30">
        <f t="shared" si="105"/>
        <v>177.28999999999996</v>
      </c>
      <c r="I1026" s="30">
        <f ca="1">IFERROR(AVERAGEIF(OFFSET(F1026,0,0,MIN(Controls!$B$8,COUNTIF(B1026:B$1973,B1026)),1),"&gt;"&amp;0),0)</f>
        <v>0</v>
      </c>
      <c r="J1026" s="38">
        <f t="shared" ca="1" si="106"/>
        <v>999</v>
      </c>
      <c r="K1026" s="30">
        <f t="shared" ca="1" si="110"/>
        <v>0</v>
      </c>
      <c r="L1026" t="str">
        <f t="shared" ca="1" si="107"/>
        <v>Overstock</v>
      </c>
      <c r="M1026" s="39">
        <f>IFERROR(VLOOKUP("LLPS",Controls!A:I,7,0),6)</f>
        <v>4</v>
      </c>
      <c r="N1026" s="39">
        <f>IFERROR(VLOOKUP("LLPS",Controls!A:I,8,0),3)</f>
        <v>3</v>
      </c>
      <c r="O1026" s="39">
        <f>IFERROR(VLOOKUP("LLPS",Controls!A:I,9,0),18)</f>
        <v>12</v>
      </c>
      <c r="P1026" s="40">
        <f>IFERROR(VLOOKUP("LLPS",Controls!A:J,5,0),0)</f>
        <v>5</v>
      </c>
      <c r="Q1026" s="39">
        <f>IFERROR(VLOOKUP("LLPS",Controls!A:J,6,0),3)</f>
        <v>4</v>
      </c>
      <c r="R1026" s="21" t="str">
        <f>IFERROR(VLOOKUP("LLPS",Controls!A:K,10,0),"")</f>
        <v>Kinovate</v>
      </c>
      <c r="S1026" s="41">
        <f t="shared" si="108"/>
        <v>49796</v>
      </c>
      <c r="T1026" s="30">
        <f t="shared" si="109"/>
        <v>0</v>
      </c>
      <c r="AB1026">
        <f t="shared" si="111"/>
        <v>93.800000000000011</v>
      </c>
    </row>
    <row r="1027" spans="1:28" ht="13" customHeight="1" x14ac:dyDescent="0.35">
      <c r="A1027" s="153">
        <v>49949</v>
      </c>
      <c r="B1027" s="36" t="s">
        <v>50</v>
      </c>
      <c r="C1027" s="15" t="s">
        <v>52</v>
      </c>
      <c r="D1027" s="15" t="s">
        <v>48</v>
      </c>
      <c r="E1027" s="30">
        <f>H1026</f>
        <v>177.28999999999996</v>
      </c>
      <c r="F1027" s="37">
        <f>IFERROR('Production Inputs'!$EJ$37*Dependencies!$D$11,0)</f>
        <v>0</v>
      </c>
      <c r="G1027" s="37">
        <f t="array" ref="G1027">IFERROR(SUMPRODUCT(('Production Inputs'!$A:$A="LLPS")*('Production Inputs'!$B:$B="TOTAL ACTIVE")*'Production Inputs'!$EJ:$EJ),0)</f>
        <v>0</v>
      </c>
      <c r="H1027" s="30">
        <f t="shared" si="105"/>
        <v>177.28999999999996</v>
      </c>
      <c r="I1027" s="30">
        <f ca="1">IFERROR(AVERAGEIF(OFFSET(F1027,0,0,MIN(Controls!$B$8,COUNTIF(B1027:B$1973,B1027)),1),"&gt;"&amp;0),0)</f>
        <v>0</v>
      </c>
      <c r="J1027" s="38">
        <f t="shared" ca="1" si="106"/>
        <v>999</v>
      </c>
      <c r="K1027" s="30">
        <f t="shared" ca="1" si="110"/>
        <v>0</v>
      </c>
      <c r="L1027" t="str">
        <f t="shared" ca="1" si="107"/>
        <v>Overstock</v>
      </c>
      <c r="M1027" s="39">
        <f>IFERROR(VLOOKUP("LLPS",Controls!A:I,7,0),6)</f>
        <v>4</v>
      </c>
      <c r="N1027" s="39">
        <f>IFERROR(VLOOKUP("LLPS",Controls!A:I,8,0),3)</f>
        <v>3</v>
      </c>
      <c r="O1027" s="39">
        <f>IFERROR(VLOOKUP("LLPS",Controls!A:I,9,0),18)</f>
        <v>12</v>
      </c>
      <c r="P1027" s="40">
        <f>IFERROR(VLOOKUP("LLPS",Controls!A:J,5,0),0)</f>
        <v>5</v>
      </c>
      <c r="Q1027" s="39">
        <f>IFERROR(VLOOKUP("LLPS",Controls!A:J,6,0),3)</f>
        <v>4</v>
      </c>
      <c r="R1027" s="21" t="str">
        <f>IFERROR(VLOOKUP("LLPS",Controls!A:K,10,0),"")</f>
        <v>Kinovate</v>
      </c>
      <c r="S1027" s="41">
        <f t="shared" si="108"/>
        <v>49827</v>
      </c>
      <c r="T1027" s="30">
        <f t="shared" si="109"/>
        <v>0</v>
      </c>
      <c r="AB1027">
        <f t="shared" si="111"/>
        <v>93.800000000000011</v>
      </c>
    </row>
    <row r="1028" spans="1:28" ht="13" customHeight="1" x14ac:dyDescent="0.35">
      <c r="A1028" s="153">
        <v>49980</v>
      </c>
      <c r="B1028" s="36" t="s">
        <v>50</v>
      </c>
      <c r="C1028" s="15" t="s">
        <v>52</v>
      </c>
      <c r="D1028" s="15" t="s">
        <v>48</v>
      </c>
      <c r="E1028" s="30">
        <f>H1027</f>
        <v>177.28999999999996</v>
      </c>
      <c r="F1028" s="37">
        <f>IFERROR('Production Inputs'!$EK$37*Dependencies!$D$11,0)</f>
        <v>0</v>
      </c>
      <c r="G1028" s="37">
        <f t="array" ref="G1028">IFERROR(SUMPRODUCT(('Production Inputs'!$A:$A="LLPS")*('Production Inputs'!$B:$B="TOTAL ACTIVE")*'Production Inputs'!$EK:$EK),0)</f>
        <v>0</v>
      </c>
      <c r="H1028" s="30">
        <f t="shared" ref="H1028:H1091" si="112">E1028+G1028-F1028</f>
        <v>177.28999999999996</v>
      </c>
      <c r="I1028" s="30">
        <f ca="1">IFERROR(AVERAGEIF(OFFSET(F1028,0,0,MIN(Controls!$B$8,COUNTIF(B1028:B$1973,B1028)),1),"&gt;"&amp;0),0)</f>
        <v>0</v>
      </c>
      <c r="J1028" s="38">
        <f t="shared" ref="J1028:J1091" ca="1" si="113">IFERROR(H1028/I1028,IF(H1028&gt;0,999,0))</f>
        <v>999</v>
      </c>
      <c r="K1028" s="30">
        <f t="shared" ca="1" si="110"/>
        <v>0</v>
      </c>
      <c r="L1028" t="str">
        <f t="shared" ref="L1028:L1091" ca="1" si="114">IF(H1028&lt;=0,"High",IF(J1028&lt;N1028,"High",IF(J1028&lt;M1028,"Medium",IF(J1028&gt;O1028,"Overstock","Low"))))</f>
        <v>Overstock</v>
      </c>
      <c r="M1028" s="39">
        <f>IFERROR(VLOOKUP("LLPS",Controls!A:I,7,0),6)</f>
        <v>4</v>
      </c>
      <c r="N1028" s="39">
        <f>IFERROR(VLOOKUP("LLPS",Controls!A:I,8,0),3)</f>
        <v>3</v>
      </c>
      <c r="O1028" s="39">
        <f>IFERROR(VLOOKUP("LLPS",Controls!A:I,9,0),18)</f>
        <v>12</v>
      </c>
      <c r="P1028" s="40">
        <f>IFERROR(VLOOKUP("LLPS",Controls!A:J,5,0),0)</f>
        <v>5</v>
      </c>
      <c r="Q1028" s="39">
        <f>IFERROR(VLOOKUP("LLPS",Controls!A:J,6,0),3)</f>
        <v>4</v>
      </c>
      <c r="R1028" s="21" t="str">
        <f>IFERROR(VLOOKUP("LLPS",Controls!A:K,10,0),"")</f>
        <v>Kinovate</v>
      </c>
      <c r="S1028" s="41">
        <f t="shared" ref="S1028:S1091" si="115">IFERROR(EDATE(A1028,-Q1028),"")</f>
        <v>49857</v>
      </c>
      <c r="T1028" s="30">
        <f t="shared" ref="T1028:T1091" si="116">G1028</f>
        <v>0</v>
      </c>
      <c r="AB1028">
        <f t="shared" si="111"/>
        <v>93.800000000000011</v>
      </c>
    </row>
    <row r="1029" spans="1:28" ht="13" customHeight="1" x14ac:dyDescent="0.35">
      <c r="A1029" s="153">
        <v>50010</v>
      </c>
      <c r="B1029" s="36" t="s">
        <v>50</v>
      </c>
      <c r="C1029" s="15" t="s">
        <v>52</v>
      </c>
      <c r="D1029" s="15" t="s">
        <v>48</v>
      </c>
      <c r="E1029" s="30">
        <f>H1028</f>
        <v>177.28999999999996</v>
      </c>
      <c r="F1029" s="37">
        <f>IFERROR('Production Inputs'!$EL$37*Dependencies!$D$11,0)</f>
        <v>0</v>
      </c>
      <c r="G1029" s="37">
        <f t="array" ref="G1029">IFERROR(SUMPRODUCT(('Production Inputs'!$A:$A="LLPS")*('Production Inputs'!$B:$B="TOTAL ACTIVE")*'Production Inputs'!$EL:$EL),0)</f>
        <v>0</v>
      </c>
      <c r="H1029" s="30">
        <f t="shared" si="112"/>
        <v>177.28999999999996</v>
      </c>
      <c r="I1029" s="30">
        <f ca="1">IFERROR(AVERAGEIF(OFFSET(F1029,0,0,MIN(Controls!$B$8,COUNTIF(B1029:B$1973,B1029)),1),"&gt;"&amp;0),0)</f>
        <v>0</v>
      </c>
      <c r="J1029" s="38">
        <f t="shared" ca="1" si="113"/>
        <v>999</v>
      </c>
      <c r="K1029" s="30">
        <f t="shared" ref="K1029:K1092" ca="1" si="117">IFERROR(IF(H1029&lt;(N1029*I1029), CEILING(MAX(0,ROUND((M1029*I1029-H1029)/P1029,0)*P1029),P1029), 0), 0)</f>
        <v>0</v>
      </c>
      <c r="L1029" t="str">
        <f t="shared" ca="1" si="114"/>
        <v>Overstock</v>
      </c>
      <c r="M1029" s="39">
        <f>IFERROR(VLOOKUP("LLPS",Controls!A:I,7,0),6)</f>
        <v>4</v>
      </c>
      <c r="N1029" s="39">
        <f>IFERROR(VLOOKUP("LLPS",Controls!A:I,8,0),3)</f>
        <v>3</v>
      </c>
      <c r="O1029" s="39">
        <f>IFERROR(VLOOKUP("LLPS",Controls!A:I,9,0),18)</f>
        <v>12</v>
      </c>
      <c r="P1029" s="40">
        <f>IFERROR(VLOOKUP("LLPS",Controls!A:J,5,0),0)</f>
        <v>5</v>
      </c>
      <c r="Q1029" s="39">
        <f>IFERROR(VLOOKUP("LLPS",Controls!A:J,6,0),3)</f>
        <v>4</v>
      </c>
      <c r="R1029" s="21" t="str">
        <f>IFERROR(VLOOKUP("LLPS",Controls!A:K,10,0),"")</f>
        <v>Kinovate</v>
      </c>
      <c r="S1029" s="41">
        <f t="shared" si="115"/>
        <v>49888</v>
      </c>
      <c r="T1029" s="30">
        <f t="shared" si="116"/>
        <v>0</v>
      </c>
      <c r="AB1029">
        <f t="shared" ref="AB1029:AB1092" si="118">SUMIFS($F$4:$F$2331,$B$4:$B$2331,B1029,$A$4:$A$2331,"&lt;="&amp;A1029)</f>
        <v>93.800000000000011</v>
      </c>
    </row>
    <row r="1030" spans="1:28" ht="13" customHeight="1" x14ac:dyDescent="0.35">
      <c r="A1030" s="153">
        <v>50041</v>
      </c>
      <c r="B1030" s="36" t="s">
        <v>50</v>
      </c>
      <c r="C1030" s="15" t="s">
        <v>52</v>
      </c>
      <c r="D1030" s="15" t="s">
        <v>48</v>
      </c>
      <c r="E1030" s="30">
        <f>H1029</f>
        <v>177.28999999999996</v>
      </c>
      <c r="F1030" s="37">
        <f>IFERROR('Production Inputs'!$EM$37*Dependencies!$D$11,0)</f>
        <v>0</v>
      </c>
      <c r="G1030" s="37">
        <f t="array" ref="G1030">IFERROR(SUMPRODUCT(('Production Inputs'!$A:$A="LLPS")*('Production Inputs'!$B:$B="TOTAL ACTIVE")*'Production Inputs'!$EM:$EM),0)</f>
        <v>0</v>
      </c>
      <c r="H1030" s="30">
        <f t="shared" si="112"/>
        <v>177.28999999999996</v>
      </c>
      <c r="I1030" s="30">
        <f ca="1">IFERROR(AVERAGEIF(OFFSET(F1030,0,0,MIN(Controls!$B$8,COUNTIF(B1030:B$1973,B1030)),1),"&gt;"&amp;0),0)</f>
        <v>0</v>
      </c>
      <c r="J1030" s="38">
        <f t="shared" ca="1" si="113"/>
        <v>999</v>
      </c>
      <c r="K1030" s="30">
        <f t="shared" ca="1" si="117"/>
        <v>0</v>
      </c>
      <c r="L1030" t="str">
        <f t="shared" ca="1" si="114"/>
        <v>Overstock</v>
      </c>
      <c r="M1030" s="39">
        <f>IFERROR(VLOOKUP("LLPS",Controls!A:I,7,0),6)</f>
        <v>4</v>
      </c>
      <c r="N1030" s="39">
        <f>IFERROR(VLOOKUP("LLPS",Controls!A:I,8,0),3)</f>
        <v>3</v>
      </c>
      <c r="O1030" s="39">
        <f>IFERROR(VLOOKUP("LLPS",Controls!A:I,9,0),18)</f>
        <v>12</v>
      </c>
      <c r="P1030" s="40">
        <f>IFERROR(VLOOKUP("LLPS",Controls!A:J,5,0),0)</f>
        <v>5</v>
      </c>
      <c r="Q1030" s="39">
        <f>IFERROR(VLOOKUP("LLPS",Controls!A:J,6,0),3)</f>
        <v>4</v>
      </c>
      <c r="R1030" s="21" t="str">
        <f>IFERROR(VLOOKUP("LLPS",Controls!A:K,10,0),"")</f>
        <v>Kinovate</v>
      </c>
      <c r="S1030" s="41">
        <f t="shared" si="115"/>
        <v>49919</v>
      </c>
      <c r="T1030" s="30">
        <f t="shared" si="116"/>
        <v>0</v>
      </c>
      <c r="AB1030">
        <f t="shared" si="118"/>
        <v>93.800000000000011</v>
      </c>
    </row>
    <row r="1031" spans="1:28" ht="13" customHeight="1" x14ac:dyDescent="0.35">
      <c r="A1031" s="153">
        <v>50072</v>
      </c>
      <c r="B1031" s="36" t="s">
        <v>50</v>
      </c>
      <c r="C1031" s="15" t="s">
        <v>52</v>
      </c>
      <c r="D1031" s="15" t="s">
        <v>48</v>
      </c>
      <c r="E1031" s="30">
        <f>H1030</f>
        <v>177.28999999999996</v>
      </c>
      <c r="F1031" s="37">
        <f>IFERROR('Production Inputs'!$EN$37*Dependencies!$D$11,0)</f>
        <v>0</v>
      </c>
      <c r="G1031" s="37">
        <f t="array" ref="G1031">IFERROR(SUMPRODUCT(('Production Inputs'!$A:$A="LLPS")*('Production Inputs'!$B:$B="TOTAL ACTIVE")*'Production Inputs'!$EN:$EN),0)</f>
        <v>0</v>
      </c>
      <c r="H1031" s="30">
        <f t="shared" si="112"/>
        <v>177.28999999999996</v>
      </c>
      <c r="I1031" s="30">
        <f ca="1">IFERROR(AVERAGEIF(OFFSET(F1031,0,0,MIN(Controls!$B$8,COUNTIF(B1031:B$1973,B1031)),1),"&gt;"&amp;0),0)</f>
        <v>0</v>
      </c>
      <c r="J1031" s="38">
        <f t="shared" ca="1" si="113"/>
        <v>999</v>
      </c>
      <c r="K1031" s="30">
        <f t="shared" ca="1" si="117"/>
        <v>0</v>
      </c>
      <c r="L1031" t="str">
        <f t="shared" ca="1" si="114"/>
        <v>Overstock</v>
      </c>
      <c r="M1031" s="39">
        <f>IFERROR(VLOOKUP("LLPS",Controls!A:I,7,0),6)</f>
        <v>4</v>
      </c>
      <c r="N1031" s="39">
        <f>IFERROR(VLOOKUP("LLPS",Controls!A:I,8,0),3)</f>
        <v>3</v>
      </c>
      <c r="O1031" s="39">
        <f>IFERROR(VLOOKUP("LLPS",Controls!A:I,9,0),18)</f>
        <v>12</v>
      </c>
      <c r="P1031" s="40">
        <f>IFERROR(VLOOKUP("LLPS",Controls!A:J,5,0),0)</f>
        <v>5</v>
      </c>
      <c r="Q1031" s="39">
        <f>IFERROR(VLOOKUP("LLPS",Controls!A:J,6,0),3)</f>
        <v>4</v>
      </c>
      <c r="R1031" s="21" t="str">
        <f>IFERROR(VLOOKUP("LLPS",Controls!A:K,10,0),"")</f>
        <v>Kinovate</v>
      </c>
      <c r="S1031" s="41">
        <f t="shared" si="115"/>
        <v>49949</v>
      </c>
      <c r="T1031" s="30">
        <f t="shared" si="116"/>
        <v>0</v>
      </c>
      <c r="AB1031">
        <f t="shared" si="118"/>
        <v>93.800000000000011</v>
      </c>
    </row>
    <row r="1032" spans="1:28" ht="13" customHeight="1" x14ac:dyDescent="0.35">
      <c r="A1032" s="153">
        <v>50100</v>
      </c>
      <c r="B1032" s="36" t="s">
        <v>50</v>
      </c>
      <c r="C1032" s="15" t="s">
        <v>52</v>
      </c>
      <c r="D1032" s="15" t="s">
        <v>48</v>
      </c>
      <c r="E1032" s="30">
        <f>H1031</f>
        <v>177.28999999999996</v>
      </c>
      <c r="F1032" s="37">
        <f>IFERROR('Production Inputs'!$EO$37*Dependencies!$D$11,0)</f>
        <v>0</v>
      </c>
      <c r="G1032" s="37">
        <f t="array" ref="G1032">IFERROR(SUMPRODUCT(('Production Inputs'!$A:$A="LLPS")*('Production Inputs'!$B:$B="TOTAL ACTIVE")*'Production Inputs'!$EO:$EO),0)</f>
        <v>0</v>
      </c>
      <c r="H1032" s="30">
        <f t="shared" si="112"/>
        <v>177.28999999999996</v>
      </c>
      <c r="I1032" s="30">
        <f ca="1">IFERROR(AVERAGEIF(OFFSET(F1032,0,0,MIN(Controls!$B$8,COUNTIF(B1032:B$1973,B1032)),1),"&gt;"&amp;0),0)</f>
        <v>0</v>
      </c>
      <c r="J1032" s="38">
        <f t="shared" ca="1" si="113"/>
        <v>999</v>
      </c>
      <c r="K1032" s="30">
        <f t="shared" ca="1" si="117"/>
        <v>0</v>
      </c>
      <c r="L1032" t="str">
        <f t="shared" ca="1" si="114"/>
        <v>Overstock</v>
      </c>
      <c r="M1032" s="39">
        <f>IFERROR(VLOOKUP("LLPS",Controls!A:I,7,0),6)</f>
        <v>4</v>
      </c>
      <c r="N1032" s="39">
        <f>IFERROR(VLOOKUP("LLPS",Controls!A:I,8,0),3)</f>
        <v>3</v>
      </c>
      <c r="O1032" s="39">
        <f>IFERROR(VLOOKUP("LLPS",Controls!A:I,9,0),18)</f>
        <v>12</v>
      </c>
      <c r="P1032" s="40">
        <f>IFERROR(VLOOKUP("LLPS",Controls!A:J,5,0),0)</f>
        <v>5</v>
      </c>
      <c r="Q1032" s="39">
        <f>IFERROR(VLOOKUP("LLPS",Controls!A:J,6,0),3)</f>
        <v>4</v>
      </c>
      <c r="R1032" s="21" t="str">
        <f>IFERROR(VLOOKUP("LLPS",Controls!A:K,10,0),"")</f>
        <v>Kinovate</v>
      </c>
      <c r="S1032" s="41">
        <f t="shared" si="115"/>
        <v>49980</v>
      </c>
      <c r="T1032" s="30">
        <f t="shared" si="116"/>
        <v>0</v>
      </c>
      <c r="AB1032">
        <f t="shared" si="118"/>
        <v>93.800000000000011</v>
      </c>
    </row>
    <row r="1033" spans="1:28" ht="13" customHeight="1" x14ac:dyDescent="0.35">
      <c r="A1033" s="153">
        <v>50131</v>
      </c>
      <c r="B1033" s="36" t="s">
        <v>50</v>
      </c>
      <c r="C1033" s="15" t="s">
        <v>52</v>
      </c>
      <c r="D1033" s="15" t="s">
        <v>48</v>
      </c>
      <c r="E1033" s="30">
        <f>H1032</f>
        <v>177.28999999999996</v>
      </c>
      <c r="F1033" s="37">
        <f>IFERROR('Production Inputs'!$EP$37*Dependencies!$D$11,0)</f>
        <v>0</v>
      </c>
      <c r="G1033" s="37">
        <f t="array" ref="G1033">IFERROR(SUMPRODUCT(('Production Inputs'!$A:$A="LLPS")*('Production Inputs'!$B:$B="TOTAL ACTIVE")*'Production Inputs'!$EP:$EP),0)</f>
        <v>0</v>
      </c>
      <c r="H1033" s="30">
        <f t="shared" si="112"/>
        <v>177.28999999999996</v>
      </c>
      <c r="I1033" s="30">
        <f ca="1">IFERROR(AVERAGEIF(OFFSET(F1033,0,0,MIN(Controls!$B$8,COUNTIF(B1033:B$1973,B1033)),1),"&gt;"&amp;0),0)</f>
        <v>0</v>
      </c>
      <c r="J1033" s="38">
        <f t="shared" ca="1" si="113"/>
        <v>999</v>
      </c>
      <c r="K1033" s="30">
        <f t="shared" ca="1" si="117"/>
        <v>0</v>
      </c>
      <c r="L1033" t="str">
        <f t="shared" ca="1" si="114"/>
        <v>Overstock</v>
      </c>
      <c r="M1033" s="39">
        <f>IFERROR(VLOOKUP("LLPS",Controls!A:I,7,0),6)</f>
        <v>4</v>
      </c>
      <c r="N1033" s="39">
        <f>IFERROR(VLOOKUP("LLPS",Controls!A:I,8,0),3)</f>
        <v>3</v>
      </c>
      <c r="O1033" s="39">
        <f>IFERROR(VLOOKUP("LLPS",Controls!A:I,9,0),18)</f>
        <v>12</v>
      </c>
      <c r="P1033" s="40">
        <f>IFERROR(VLOOKUP("LLPS",Controls!A:J,5,0),0)</f>
        <v>5</v>
      </c>
      <c r="Q1033" s="39">
        <f>IFERROR(VLOOKUP("LLPS",Controls!A:J,6,0),3)</f>
        <v>4</v>
      </c>
      <c r="R1033" s="21" t="str">
        <f>IFERROR(VLOOKUP("LLPS",Controls!A:K,10,0),"")</f>
        <v>Kinovate</v>
      </c>
      <c r="S1033" s="41">
        <f t="shared" si="115"/>
        <v>50010</v>
      </c>
      <c r="T1033" s="30">
        <f t="shared" si="116"/>
        <v>0</v>
      </c>
      <c r="AB1033">
        <f t="shared" si="118"/>
        <v>93.800000000000011</v>
      </c>
    </row>
    <row r="1034" spans="1:28" ht="13" customHeight="1" x14ac:dyDescent="0.35">
      <c r="A1034" s="153">
        <v>50161</v>
      </c>
      <c r="B1034" s="36" t="s">
        <v>50</v>
      </c>
      <c r="C1034" s="15" t="s">
        <v>52</v>
      </c>
      <c r="D1034" s="15" t="s">
        <v>48</v>
      </c>
      <c r="E1034" s="30">
        <f>H1033</f>
        <v>177.28999999999996</v>
      </c>
      <c r="F1034" s="37">
        <f>IFERROR('Production Inputs'!$EQ$37*Dependencies!$D$11,0)</f>
        <v>0</v>
      </c>
      <c r="G1034" s="37">
        <f t="array" ref="G1034">IFERROR(SUMPRODUCT(('Production Inputs'!$A:$A="LLPS")*('Production Inputs'!$B:$B="TOTAL ACTIVE")*'Production Inputs'!$EQ:$EQ),0)</f>
        <v>0</v>
      </c>
      <c r="H1034" s="30">
        <f t="shared" si="112"/>
        <v>177.28999999999996</v>
      </c>
      <c r="I1034" s="30">
        <f ca="1">IFERROR(AVERAGEIF(OFFSET(F1034,0,0,MIN(Controls!$B$8,COUNTIF(B1034:B$1973,B1034)),1),"&gt;"&amp;0),0)</f>
        <v>0</v>
      </c>
      <c r="J1034" s="38">
        <f t="shared" ca="1" si="113"/>
        <v>999</v>
      </c>
      <c r="K1034" s="30">
        <f t="shared" ca="1" si="117"/>
        <v>0</v>
      </c>
      <c r="L1034" t="str">
        <f t="shared" ca="1" si="114"/>
        <v>Overstock</v>
      </c>
      <c r="M1034" s="39">
        <f>IFERROR(VLOOKUP("LLPS",Controls!A:I,7,0),6)</f>
        <v>4</v>
      </c>
      <c r="N1034" s="39">
        <f>IFERROR(VLOOKUP("LLPS",Controls!A:I,8,0),3)</f>
        <v>3</v>
      </c>
      <c r="O1034" s="39">
        <f>IFERROR(VLOOKUP("LLPS",Controls!A:I,9,0),18)</f>
        <v>12</v>
      </c>
      <c r="P1034" s="40">
        <f>IFERROR(VLOOKUP("LLPS",Controls!A:J,5,0),0)</f>
        <v>5</v>
      </c>
      <c r="Q1034" s="39">
        <f>IFERROR(VLOOKUP("LLPS",Controls!A:J,6,0),3)</f>
        <v>4</v>
      </c>
      <c r="R1034" s="21" t="str">
        <f>IFERROR(VLOOKUP("LLPS",Controls!A:K,10,0),"")</f>
        <v>Kinovate</v>
      </c>
      <c r="S1034" s="41">
        <f t="shared" si="115"/>
        <v>50041</v>
      </c>
      <c r="T1034" s="30">
        <f t="shared" si="116"/>
        <v>0</v>
      </c>
      <c r="AB1034">
        <f t="shared" si="118"/>
        <v>93.800000000000011</v>
      </c>
    </row>
    <row r="1035" spans="1:28" ht="13" customHeight="1" x14ac:dyDescent="0.35">
      <c r="A1035" s="153">
        <v>50192</v>
      </c>
      <c r="B1035" s="36" t="s">
        <v>50</v>
      </c>
      <c r="C1035" s="15" t="s">
        <v>52</v>
      </c>
      <c r="D1035" s="15" t="s">
        <v>48</v>
      </c>
      <c r="E1035" s="30">
        <f>H1034</f>
        <v>177.28999999999996</v>
      </c>
      <c r="F1035" s="37">
        <f>IFERROR('Production Inputs'!$ER$37*Dependencies!$D$11,0)</f>
        <v>0</v>
      </c>
      <c r="G1035" s="37">
        <f t="array" ref="G1035">IFERROR(SUMPRODUCT(('Production Inputs'!$A:$A="LLPS")*('Production Inputs'!$B:$B="TOTAL ACTIVE")*'Production Inputs'!$ER:$ER),0)</f>
        <v>0</v>
      </c>
      <c r="H1035" s="30">
        <f t="shared" si="112"/>
        <v>177.28999999999996</v>
      </c>
      <c r="I1035" s="30">
        <f ca="1">IFERROR(AVERAGEIF(OFFSET(F1035,0,0,MIN(Controls!$B$8,COUNTIF(B1035:B$1973,B1035)),1),"&gt;"&amp;0),0)</f>
        <v>0</v>
      </c>
      <c r="J1035" s="38">
        <f t="shared" ca="1" si="113"/>
        <v>999</v>
      </c>
      <c r="K1035" s="30">
        <f t="shared" ca="1" si="117"/>
        <v>0</v>
      </c>
      <c r="L1035" t="str">
        <f t="shared" ca="1" si="114"/>
        <v>Overstock</v>
      </c>
      <c r="M1035" s="39">
        <f>IFERROR(VLOOKUP("LLPS",Controls!A:I,7,0),6)</f>
        <v>4</v>
      </c>
      <c r="N1035" s="39">
        <f>IFERROR(VLOOKUP("LLPS",Controls!A:I,8,0),3)</f>
        <v>3</v>
      </c>
      <c r="O1035" s="39">
        <f>IFERROR(VLOOKUP("LLPS",Controls!A:I,9,0),18)</f>
        <v>12</v>
      </c>
      <c r="P1035" s="40">
        <f>IFERROR(VLOOKUP("LLPS",Controls!A:J,5,0),0)</f>
        <v>5</v>
      </c>
      <c r="Q1035" s="39">
        <f>IFERROR(VLOOKUP("LLPS",Controls!A:J,6,0),3)</f>
        <v>4</v>
      </c>
      <c r="R1035" s="21" t="str">
        <f>IFERROR(VLOOKUP("LLPS",Controls!A:K,10,0),"")</f>
        <v>Kinovate</v>
      </c>
      <c r="S1035" s="41">
        <f t="shared" si="115"/>
        <v>50072</v>
      </c>
      <c r="T1035" s="30">
        <f t="shared" si="116"/>
        <v>0</v>
      </c>
      <c r="AB1035">
        <f t="shared" si="118"/>
        <v>93.800000000000011</v>
      </c>
    </row>
    <row r="1036" spans="1:28" ht="13" customHeight="1" x14ac:dyDescent="0.35">
      <c r="A1036" s="153">
        <v>50222</v>
      </c>
      <c r="B1036" s="36" t="s">
        <v>50</v>
      </c>
      <c r="C1036" s="15" t="s">
        <v>52</v>
      </c>
      <c r="D1036" s="15" t="s">
        <v>48</v>
      </c>
      <c r="E1036" s="30">
        <f>H1035</f>
        <v>177.28999999999996</v>
      </c>
      <c r="F1036" s="37">
        <f>IFERROR('Production Inputs'!$ES$37*Dependencies!$D$11,0)</f>
        <v>0</v>
      </c>
      <c r="G1036" s="37">
        <f t="array" ref="G1036">IFERROR(SUMPRODUCT(('Production Inputs'!$A:$A="LLPS")*('Production Inputs'!$B:$B="TOTAL ACTIVE")*'Production Inputs'!$ES:$ES),0)</f>
        <v>0</v>
      </c>
      <c r="H1036" s="30">
        <f t="shared" si="112"/>
        <v>177.28999999999996</v>
      </c>
      <c r="I1036" s="30">
        <f ca="1">IFERROR(AVERAGEIF(OFFSET(F1036,0,0,MIN(Controls!$B$8,COUNTIF(B1036:B$1973,B1036)),1),"&gt;"&amp;0),0)</f>
        <v>0</v>
      </c>
      <c r="J1036" s="38">
        <f t="shared" ca="1" si="113"/>
        <v>999</v>
      </c>
      <c r="K1036" s="30">
        <f t="shared" ca="1" si="117"/>
        <v>0</v>
      </c>
      <c r="L1036" t="str">
        <f t="shared" ca="1" si="114"/>
        <v>Overstock</v>
      </c>
      <c r="M1036" s="39">
        <f>IFERROR(VLOOKUP("LLPS",Controls!A:I,7,0),6)</f>
        <v>4</v>
      </c>
      <c r="N1036" s="39">
        <f>IFERROR(VLOOKUP("LLPS",Controls!A:I,8,0),3)</f>
        <v>3</v>
      </c>
      <c r="O1036" s="39">
        <f>IFERROR(VLOOKUP("LLPS",Controls!A:I,9,0),18)</f>
        <v>12</v>
      </c>
      <c r="P1036" s="40">
        <f>IFERROR(VLOOKUP("LLPS",Controls!A:J,5,0),0)</f>
        <v>5</v>
      </c>
      <c r="Q1036" s="39">
        <f>IFERROR(VLOOKUP("LLPS",Controls!A:J,6,0),3)</f>
        <v>4</v>
      </c>
      <c r="R1036" s="21" t="str">
        <f>IFERROR(VLOOKUP("LLPS",Controls!A:K,10,0),"")</f>
        <v>Kinovate</v>
      </c>
      <c r="S1036" s="41">
        <f t="shared" si="115"/>
        <v>50100</v>
      </c>
      <c r="T1036" s="30">
        <f t="shared" si="116"/>
        <v>0</v>
      </c>
      <c r="AB1036">
        <f t="shared" si="118"/>
        <v>93.800000000000011</v>
      </c>
    </row>
    <row r="1037" spans="1:28" ht="13" customHeight="1" x14ac:dyDescent="0.35">
      <c r="A1037" s="153">
        <v>50253</v>
      </c>
      <c r="B1037" s="36" t="s">
        <v>50</v>
      </c>
      <c r="C1037" s="15" t="s">
        <v>52</v>
      </c>
      <c r="D1037" s="15" t="s">
        <v>48</v>
      </c>
      <c r="E1037" s="30">
        <f>H1036</f>
        <v>177.28999999999996</v>
      </c>
      <c r="F1037" s="37">
        <f>IFERROR('Production Inputs'!$ET$37*Dependencies!$D$11,0)</f>
        <v>0</v>
      </c>
      <c r="G1037" s="37">
        <f t="array" ref="G1037">IFERROR(SUMPRODUCT(('Production Inputs'!$A:$A="LLPS")*('Production Inputs'!$B:$B="TOTAL ACTIVE")*'Production Inputs'!$ET:$ET),0)</f>
        <v>0</v>
      </c>
      <c r="H1037" s="30">
        <f t="shared" si="112"/>
        <v>177.28999999999996</v>
      </c>
      <c r="I1037" s="30">
        <f ca="1">IFERROR(AVERAGEIF(OFFSET(F1037,0,0,MIN(Controls!$B$8,COUNTIF(B1037:B$1973,B1037)),1),"&gt;"&amp;0),0)</f>
        <v>0</v>
      </c>
      <c r="J1037" s="38">
        <f t="shared" ca="1" si="113"/>
        <v>999</v>
      </c>
      <c r="K1037" s="30">
        <f t="shared" ca="1" si="117"/>
        <v>0</v>
      </c>
      <c r="L1037" t="str">
        <f t="shared" ca="1" si="114"/>
        <v>Overstock</v>
      </c>
      <c r="M1037" s="39">
        <f>IFERROR(VLOOKUP("LLPS",Controls!A:I,7,0),6)</f>
        <v>4</v>
      </c>
      <c r="N1037" s="39">
        <f>IFERROR(VLOOKUP("LLPS",Controls!A:I,8,0),3)</f>
        <v>3</v>
      </c>
      <c r="O1037" s="39">
        <f>IFERROR(VLOOKUP("LLPS",Controls!A:I,9,0),18)</f>
        <v>12</v>
      </c>
      <c r="P1037" s="40">
        <f>IFERROR(VLOOKUP("LLPS",Controls!A:J,5,0),0)</f>
        <v>5</v>
      </c>
      <c r="Q1037" s="39">
        <f>IFERROR(VLOOKUP("LLPS",Controls!A:J,6,0),3)</f>
        <v>4</v>
      </c>
      <c r="R1037" s="21" t="str">
        <f>IFERROR(VLOOKUP("LLPS",Controls!A:K,10,0),"")</f>
        <v>Kinovate</v>
      </c>
      <c r="S1037" s="41">
        <f t="shared" si="115"/>
        <v>50131</v>
      </c>
      <c r="T1037" s="30">
        <f t="shared" si="116"/>
        <v>0</v>
      </c>
      <c r="AB1037">
        <f t="shared" si="118"/>
        <v>93.800000000000011</v>
      </c>
    </row>
    <row r="1038" spans="1:28" ht="13" customHeight="1" x14ac:dyDescent="0.35">
      <c r="A1038" s="153">
        <v>50284</v>
      </c>
      <c r="B1038" s="36" t="s">
        <v>50</v>
      </c>
      <c r="C1038" s="15" t="s">
        <v>52</v>
      </c>
      <c r="D1038" s="15" t="s">
        <v>48</v>
      </c>
      <c r="E1038" s="30">
        <f>H1037</f>
        <v>177.28999999999996</v>
      </c>
      <c r="F1038" s="37">
        <f>IFERROR('Production Inputs'!$EU$37*Dependencies!$D$11,0)</f>
        <v>0</v>
      </c>
      <c r="G1038" s="37">
        <f t="array" ref="G1038">IFERROR(SUMPRODUCT(('Production Inputs'!$A:$A="LLPS")*('Production Inputs'!$B:$B="TOTAL ACTIVE")*'Production Inputs'!$EU:$EU),0)</f>
        <v>0</v>
      </c>
      <c r="H1038" s="30">
        <f t="shared" si="112"/>
        <v>177.28999999999996</v>
      </c>
      <c r="I1038" s="30">
        <f ca="1">IFERROR(AVERAGEIF(OFFSET(F1038,0,0,MIN(Controls!$B$8,COUNTIF(B1038:B$1973,B1038)),1),"&gt;"&amp;0),0)</f>
        <v>0</v>
      </c>
      <c r="J1038" s="38">
        <f t="shared" ca="1" si="113"/>
        <v>999</v>
      </c>
      <c r="K1038" s="30">
        <f t="shared" ca="1" si="117"/>
        <v>0</v>
      </c>
      <c r="L1038" t="str">
        <f t="shared" ca="1" si="114"/>
        <v>Overstock</v>
      </c>
      <c r="M1038" s="39">
        <f>IFERROR(VLOOKUP("LLPS",Controls!A:I,7,0),6)</f>
        <v>4</v>
      </c>
      <c r="N1038" s="39">
        <f>IFERROR(VLOOKUP("LLPS",Controls!A:I,8,0),3)</f>
        <v>3</v>
      </c>
      <c r="O1038" s="39">
        <f>IFERROR(VLOOKUP("LLPS",Controls!A:I,9,0),18)</f>
        <v>12</v>
      </c>
      <c r="P1038" s="40">
        <f>IFERROR(VLOOKUP("LLPS",Controls!A:J,5,0),0)</f>
        <v>5</v>
      </c>
      <c r="Q1038" s="39">
        <f>IFERROR(VLOOKUP("LLPS",Controls!A:J,6,0),3)</f>
        <v>4</v>
      </c>
      <c r="R1038" s="21" t="str">
        <f>IFERROR(VLOOKUP("LLPS",Controls!A:K,10,0),"")</f>
        <v>Kinovate</v>
      </c>
      <c r="S1038" s="41">
        <f t="shared" si="115"/>
        <v>50161</v>
      </c>
      <c r="T1038" s="30">
        <f t="shared" si="116"/>
        <v>0</v>
      </c>
      <c r="AB1038">
        <f t="shared" si="118"/>
        <v>93.800000000000011</v>
      </c>
    </row>
    <row r="1039" spans="1:28" ht="13" customHeight="1" x14ac:dyDescent="0.35">
      <c r="A1039" s="153">
        <v>50314</v>
      </c>
      <c r="B1039" s="36" t="s">
        <v>50</v>
      </c>
      <c r="C1039" s="15" t="s">
        <v>52</v>
      </c>
      <c r="D1039" s="15" t="s">
        <v>48</v>
      </c>
      <c r="E1039" s="30">
        <f>H1038</f>
        <v>177.28999999999996</v>
      </c>
      <c r="F1039" s="37">
        <f>IFERROR('Production Inputs'!$EV$37*Dependencies!$D$11,0)</f>
        <v>0</v>
      </c>
      <c r="G1039" s="37">
        <f t="array" ref="G1039">IFERROR(SUMPRODUCT(('Production Inputs'!$A:$A="LLPS")*('Production Inputs'!$B:$B="TOTAL ACTIVE")*'Production Inputs'!$EV:$EV),0)</f>
        <v>0</v>
      </c>
      <c r="H1039" s="30">
        <f t="shared" si="112"/>
        <v>177.28999999999996</v>
      </c>
      <c r="I1039" s="30">
        <f ca="1">IFERROR(AVERAGEIF(OFFSET(F1039,0,0,MIN(Controls!$B$8,COUNTIF(B1039:B$1973,B1039)),1),"&gt;"&amp;0),0)</f>
        <v>0</v>
      </c>
      <c r="J1039" s="38">
        <f t="shared" ca="1" si="113"/>
        <v>999</v>
      </c>
      <c r="K1039" s="30">
        <f t="shared" ca="1" si="117"/>
        <v>0</v>
      </c>
      <c r="L1039" t="str">
        <f t="shared" ca="1" si="114"/>
        <v>Overstock</v>
      </c>
      <c r="M1039" s="39">
        <f>IFERROR(VLOOKUP("LLPS",Controls!A:I,7,0),6)</f>
        <v>4</v>
      </c>
      <c r="N1039" s="39">
        <f>IFERROR(VLOOKUP("LLPS",Controls!A:I,8,0),3)</f>
        <v>3</v>
      </c>
      <c r="O1039" s="39">
        <f>IFERROR(VLOOKUP("LLPS",Controls!A:I,9,0),18)</f>
        <v>12</v>
      </c>
      <c r="P1039" s="40">
        <f>IFERROR(VLOOKUP("LLPS",Controls!A:J,5,0),0)</f>
        <v>5</v>
      </c>
      <c r="Q1039" s="39">
        <f>IFERROR(VLOOKUP("LLPS",Controls!A:J,6,0),3)</f>
        <v>4</v>
      </c>
      <c r="R1039" s="21" t="str">
        <f>IFERROR(VLOOKUP("LLPS",Controls!A:K,10,0),"")</f>
        <v>Kinovate</v>
      </c>
      <c r="S1039" s="41">
        <f t="shared" si="115"/>
        <v>50192</v>
      </c>
      <c r="T1039" s="30">
        <f t="shared" si="116"/>
        <v>0</v>
      </c>
      <c r="AB1039">
        <f t="shared" si="118"/>
        <v>93.800000000000011</v>
      </c>
    </row>
    <row r="1040" spans="1:28" ht="13" customHeight="1" x14ac:dyDescent="0.35">
      <c r="A1040" s="153">
        <v>50345</v>
      </c>
      <c r="B1040" s="36" t="s">
        <v>50</v>
      </c>
      <c r="C1040" s="15" t="s">
        <v>52</v>
      </c>
      <c r="D1040" s="15" t="s">
        <v>48</v>
      </c>
      <c r="E1040" s="30">
        <f>H1039</f>
        <v>177.28999999999996</v>
      </c>
      <c r="F1040" s="37">
        <f>IFERROR('Production Inputs'!$EW$37*Dependencies!$D$11,0)</f>
        <v>0</v>
      </c>
      <c r="G1040" s="37">
        <f t="array" ref="G1040">IFERROR(SUMPRODUCT(('Production Inputs'!$A:$A="LLPS")*('Production Inputs'!$B:$B="TOTAL ACTIVE")*'Production Inputs'!$EW:$EW),0)</f>
        <v>0</v>
      </c>
      <c r="H1040" s="30">
        <f t="shared" si="112"/>
        <v>177.28999999999996</v>
      </c>
      <c r="I1040" s="30">
        <f ca="1">IFERROR(AVERAGEIF(OFFSET(F1040,0,0,MIN(Controls!$B$8,COUNTIF(B1040:B$1973,B1040)),1),"&gt;"&amp;0),0)</f>
        <v>0</v>
      </c>
      <c r="J1040" s="38">
        <f t="shared" ca="1" si="113"/>
        <v>999</v>
      </c>
      <c r="K1040" s="30">
        <f t="shared" ca="1" si="117"/>
        <v>0</v>
      </c>
      <c r="L1040" t="str">
        <f t="shared" ca="1" si="114"/>
        <v>Overstock</v>
      </c>
      <c r="M1040" s="39">
        <f>IFERROR(VLOOKUP("LLPS",Controls!A:I,7,0),6)</f>
        <v>4</v>
      </c>
      <c r="N1040" s="39">
        <f>IFERROR(VLOOKUP("LLPS",Controls!A:I,8,0),3)</f>
        <v>3</v>
      </c>
      <c r="O1040" s="39">
        <f>IFERROR(VLOOKUP("LLPS",Controls!A:I,9,0),18)</f>
        <v>12</v>
      </c>
      <c r="P1040" s="40">
        <f>IFERROR(VLOOKUP("LLPS",Controls!A:J,5,0),0)</f>
        <v>5</v>
      </c>
      <c r="Q1040" s="39">
        <f>IFERROR(VLOOKUP("LLPS",Controls!A:J,6,0),3)</f>
        <v>4</v>
      </c>
      <c r="R1040" s="21" t="str">
        <f>IFERROR(VLOOKUP("LLPS",Controls!A:K,10,0),"")</f>
        <v>Kinovate</v>
      </c>
      <c r="S1040" s="41">
        <f t="shared" si="115"/>
        <v>50222</v>
      </c>
      <c r="T1040" s="30">
        <f t="shared" si="116"/>
        <v>0</v>
      </c>
      <c r="AB1040">
        <f t="shared" si="118"/>
        <v>93.800000000000011</v>
      </c>
    </row>
    <row r="1041" spans="1:28" ht="13" customHeight="1" x14ac:dyDescent="0.35">
      <c r="A1041" s="153">
        <v>50375</v>
      </c>
      <c r="B1041" s="36" t="s">
        <v>50</v>
      </c>
      <c r="C1041" s="15" t="s">
        <v>52</v>
      </c>
      <c r="D1041" s="15" t="s">
        <v>48</v>
      </c>
      <c r="E1041" s="30">
        <f>H1040</f>
        <v>177.28999999999996</v>
      </c>
      <c r="F1041" s="37">
        <f>IFERROR('Production Inputs'!$EX$37*Dependencies!$D$11,0)</f>
        <v>0</v>
      </c>
      <c r="G1041" s="37">
        <f t="array" ref="G1041">IFERROR(SUMPRODUCT(('Production Inputs'!$A:$A="LLPS")*('Production Inputs'!$B:$B="TOTAL ACTIVE")*'Production Inputs'!$EX:$EX),0)</f>
        <v>0</v>
      </c>
      <c r="H1041" s="30">
        <f t="shared" si="112"/>
        <v>177.28999999999996</v>
      </c>
      <c r="I1041" s="30">
        <f ca="1">IFERROR(AVERAGEIF(OFFSET(F1041,0,0,MIN(Controls!$B$8,COUNTIF(B1041:B$1973,B1041)),1),"&gt;"&amp;0),0)</f>
        <v>0</v>
      </c>
      <c r="J1041" s="38">
        <f t="shared" ca="1" si="113"/>
        <v>999</v>
      </c>
      <c r="K1041" s="30">
        <f t="shared" ca="1" si="117"/>
        <v>0</v>
      </c>
      <c r="L1041" t="str">
        <f t="shared" ca="1" si="114"/>
        <v>Overstock</v>
      </c>
      <c r="M1041" s="39">
        <f>IFERROR(VLOOKUP("LLPS",Controls!A:I,7,0),6)</f>
        <v>4</v>
      </c>
      <c r="N1041" s="39">
        <f>IFERROR(VLOOKUP("LLPS",Controls!A:I,8,0),3)</f>
        <v>3</v>
      </c>
      <c r="O1041" s="39">
        <f>IFERROR(VLOOKUP("LLPS",Controls!A:I,9,0),18)</f>
        <v>12</v>
      </c>
      <c r="P1041" s="40">
        <f>IFERROR(VLOOKUP("LLPS",Controls!A:J,5,0),0)</f>
        <v>5</v>
      </c>
      <c r="Q1041" s="39">
        <f>IFERROR(VLOOKUP("LLPS",Controls!A:J,6,0),3)</f>
        <v>4</v>
      </c>
      <c r="R1041" s="21" t="str">
        <f>IFERROR(VLOOKUP("LLPS",Controls!A:K,10,0),"")</f>
        <v>Kinovate</v>
      </c>
      <c r="S1041" s="41">
        <f t="shared" si="115"/>
        <v>50253</v>
      </c>
      <c r="T1041" s="30">
        <f t="shared" si="116"/>
        <v>0</v>
      </c>
      <c r="AB1041">
        <f t="shared" si="118"/>
        <v>93.800000000000011</v>
      </c>
    </row>
    <row r="1042" spans="1:28" ht="13" customHeight="1" x14ac:dyDescent="0.35">
      <c r="A1042" s="153">
        <v>50406</v>
      </c>
      <c r="B1042" s="36" t="s">
        <v>50</v>
      </c>
      <c r="C1042" s="15" t="s">
        <v>52</v>
      </c>
      <c r="D1042" s="15" t="s">
        <v>48</v>
      </c>
      <c r="E1042" s="30">
        <f>H1041</f>
        <v>177.28999999999996</v>
      </c>
      <c r="F1042" s="37">
        <f>IFERROR('Production Inputs'!$EY$37*Dependencies!$D$11,0)</f>
        <v>0</v>
      </c>
      <c r="G1042" s="37">
        <f t="array" ref="G1042">IFERROR(SUMPRODUCT(('Production Inputs'!$A:$A="LLPS")*('Production Inputs'!$B:$B="TOTAL ACTIVE")*'Production Inputs'!$EY:$EY),0)</f>
        <v>0</v>
      </c>
      <c r="H1042" s="30">
        <f t="shared" si="112"/>
        <v>177.28999999999996</v>
      </c>
      <c r="I1042" s="30">
        <f ca="1">IFERROR(AVERAGEIF(OFFSET(F1042,0,0,MIN(Controls!$B$8,COUNTIF(B1042:B$1973,B1042)),1),"&gt;"&amp;0),0)</f>
        <v>0</v>
      </c>
      <c r="J1042" s="38">
        <f t="shared" ca="1" si="113"/>
        <v>999</v>
      </c>
      <c r="K1042" s="30">
        <f t="shared" ca="1" si="117"/>
        <v>0</v>
      </c>
      <c r="L1042" t="str">
        <f t="shared" ca="1" si="114"/>
        <v>Overstock</v>
      </c>
      <c r="M1042" s="39">
        <f>IFERROR(VLOOKUP("LLPS",Controls!A:I,7,0),6)</f>
        <v>4</v>
      </c>
      <c r="N1042" s="39">
        <f>IFERROR(VLOOKUP("LLPS",Controls!A:I,8,0),3)</f>
        <v>3</v>
      </c>
      <c r="O1042" s="39">
        <f>IFERROR(VLOOKUP("LLPS",Controls!A:I,9,0),18)</f>
        <v>12</v>
      </c>
      <c r="P1042" s="40">
        <f>IFERROR(VLOOKUP("LLPS",Controls!A:J,5,0),0)</f>
        <v>5</v>
      </c>
      <c r="Q1042" s="39">
        <f>IFERROR(VLOOKUP("LLPS",Controls!A:J,6,0),3)</f>
        <v>4</v>
      </c>
      <c r="R1042" s="21" t="str">
        <f>IFERROR(VLOOKUP("LLPS",Controls!A:K,10,0),"")</f>
        <v>Kinovate</v>
      </c>
      <c r="S1042" s="41">
        <f t="shared" si="115"/>
        <v>50284</v>
      </c>
      <c r="T1042" s="30">
        <f t="shared" si="116"/>
        <v>0</v>
      </c>
      <c r="AB1042">
        <f t="shared" si="118"/>
        <v>93.800000000000011</v>
      </c>
    </row>
    <row r="1043" spans="1:28" ht="13" customHeight="1" x14ac:dyDescent="0.35">
      <c r="A1043" s="153">
        <v>50437</v>
      </c>
      <c r="B1043" s="36" t="s">
        <v>50</v>
      </c>
      <c r="C1043" s="15" t="s">
        <v>52</v>
      </c>
      <c r="D1043" s="15" t="s">
        <v>48</v>
      </c>
      <c r="E1043" s="30">
        <f>H1042</f>
        <v>177.28999999999996</v>
      </c>
      <c r="F1043" s="37">
        <f>IFERROR('Production Inputs'!$EZ$37*Dependencies!$D$11,0)</f>
        <v>0</v>
      </c>
      <c r="G1043" s="37">
        <f t="array" ref="G1043">IFERROR(SUMPRODUCT(('Production Inputs'!$A:$A="LLPS")*('Production Inputs'!$B:$B="TOTAL ACTIVE")*'Production Inputs'!$EZ:$EZ),0)</f>
        <v>0</v>
      </c>
      <c r="H1043" s="30">
        <f t="shared" si="112"/>
        <v>177.28999999999996</v>
      </c>
      <c r="I1043" s="30">
        <f ca="1">IFERROR(AVERAGEIF(OFFSET(F1043,0,0,MIN(Controls!$B$8,COUNTIF(B1043:B$1973,B1043)),1),"&gt;"&amp;0),0)</f>
        <v>0</v>
      </c>
      <c r="J1043" s="38">
        <f t="shared" ca="1" si="113"/>
        <v>999</v>
      </c>
      <c r="K1043" s="30">
        <f t="shared" ca="1" si="117"/>
        <v>0</v>
      </c>
      <c r="L1043" t="str">
        <f t="shared" ca="1" si="114"/>
        <v>Overstock</v>
      </c>
      <c r="M1043" s="39">
        <f>IFERROR(VLOOKUP("LLPS",Controls!A:I,7,0),6)</f>
        <v>4</v>
      </c>
      <c r="N1043" s="39">
        <f>IFERROR(VLOOKUP("LLPS",Controls!A:I,8,0),3)</f>
        <v>3</v>
      </c>
      <c r="O1043" s="39">
        <f>IFERROR(VLOOKUP("LLPS",Controls!A:I,9,0),18)</f>
        <v>12</v>
      </c>
      <c r="P1043" s="40">
        <f>IFERROR(VLOOKUP("LLPS",Controls!A:J,5,0),0)</f>
        <v>5</v>
      </c>
      <c r="Q1043" s="39">
        <f>IFERROR(VLOOKUP("LLPS",Controls!A:J,6,0),3)</f>
        <v>4</v>
      </c>
      <c r="R1043" s="21" t="str">
        <f>IFERROR(VLOOKUP("LLPS",Controls!A:K,10,0),"")</f>
        <v>Kinovate</v>
      </c>
      <c r="S1043" s="41">
        <f t="shared" si="115"/>
        <v>50314</v>
      </c>
      <c r="T1043" s="30">
        <f t="shared" si="116"/>
        <v>0</v>
      </c>
      <c r="AB1043">
        <f t="shared" si="118"/>
        <v>93.800000000000011</v>
      </c>
    </row>
    <row r="1044" spans="1:28" ht="13" customHeight="1" x14ac:dyDescent="0.35">
      <c r="A1044" s="153">
        <v>50465</v>
      </c>
      <c r="B1044" s="36" t="s">
        <v>50</v>
      </c>
      <c r="C1044" s="15" t="s">
        <v>52</v>
      </c>
      <c r="D1044" s="15" t="s">
        <v>48</v>
      </c>
      <c r="E1044" s="30">
        <f>H1043</f>
        <v>177.28999999999996</v>
      </c>
      <c r="F1044" s="37">
        <f>IFERROR('Production Inputs'!$FA$37*Dependencies!$D$11,0)</f>
        <v>0</v>
      </c>
      <c r="G1044" s="37">
        <f t="array" ref="G1044">IFERROR(SUMPRODUCT(('Production Inputs'!$A:$A="LLPS")*('Production Inputs'!$B:$B="TOTAL ACTIVE")*'Production Inputs'!$FA:$FA),0)</f>
        <v>0</v>
      </c>
      <c r="H1044" s="30">
        <f t="shared" si="112"/>
        <v>177.28999999999996</v>
      </c>
      <c r="I1044" s="30">
        <f ca="1">IFERROR(AVERAGEIF(OFFSET(F1044,0,0,MIN(Controls!$B$8,COUNTIF(B1044:B$1973,B1044)),1),"&gt;"&amp;0),0)</f>
        <v>0</v>
      </c>
      <c r="J1044" s="38">
        <f t="shared" ca="1" si="113"/>
        <v>999</v>
      </c>
      <c r="K1044" s="30">
        <f t="shared" ca="1" si="117"/>
        <v>0</v>
      </c>
      <c r="L1044" t="str">
        <f t="shared" ca="1" si="114"/>
        <v>Overstock</v>
      </c>
      <c r="M1044" s="39">
        <f>IFERROR(VLOOKUP("LLPS",Controls!A:I,7,0),6)</f>
        <v>4</v>
      </c>
      <c r="N1044" s="39">
        <f>IFERROR(VLOOKUP("LLPS",Controls!A:I,8,0),3)</f>
        <v>3</v>
      </c>
      <c r="O1044" s="39">
        <f>IFERROR(VLOOKUP("LLPS",Controls!A:I,9,0),18)</f>
        <v>12</v>
      </c>
      <c r="P1044" s="40">
        <f>IFERROR(VLOOKUP("LLPS",Controls!A:J,5,0),0)</f>
        <v>5</v>
      </c>
      <c r="Q1044" s="39">
        <f>IFERROR(VLOOKUP("LLPS",Controls!A:J,6,0),3)</f>
        <v>4</v>
      </c>
      <c r="R1044" s="21" t="str">
        <f>IFERROR(VLOOKUP("LLPS",Controls!A:K,10,0),"")</f>
        <v>Kinovate</v>
      </c>
      <c r="S1044" s="41">
        <f t="shared" si="115"/>
        <v>50345</v>
      </c>
      <c r="T1044" s="30">
        <f t="shared" si="116"/>
        <v>0</v>
      </c>
      <c r="AB1044">
        <f t="shared" si="118"/>
        <v>93.800000000000011</v>
      </c>
    </row>
    <row r="1045" spans="1:28" ht="13" customHeight="1" x14ac:dyDescent="0.35">
      <c r="A1045" s="153">
        <v>50496</v>
      </c>
      <c r="B1045" s="36" t="s">
        <v>50</v>
      </c>
      <c r="C1045" s="15" t="s">
        <v>52</v>
      </c>
      <c r="D1045" s="15" t="s">
        <v>48</v>
      </c>
      <c r="E1045" s="30">
        <f>H1044</f>
        <v>177.28999999999996</v>
      </c>
      <c r="F1045" s="37">
        <f>IFERROR('Production Inputs'!$FB$37*Dependencies!$D$11,0)</f>
        <v>0</v>
      </c>
      <c r="G1045" s="37">
        <f t="array" ref="G1045">IFERROR(SUMPRODUCT(('Production Inputs'!$A:$A="LLPS")*('Production Inputs'!$B:$B="TOTAL ACTIVE")*'Production Inputs'!$FB:$FB),0)</f>
        <v>0</v>
      </c>
      <c r="H1045" s="30">
        <f t="shared" si="112"/>
        <v>177.28999999999996</v>
      </c>
      <c r="I1045" s="30">
        <f ca="1">IFERROR(AVERAGEIF(OFFSET(F1045,0,0,MIN(Controls!$B$8,COUNTIF(B1045:B$1973,B1045)),1),"&gt;"&amp;0),0)</f>
        <v>0</v>
      </c>
      <c r="J1045" s="38">
        <f t="shared" ca="1" si="113"/>
        <v>999</v>
      </c>
      <c r="K1045" s="30">
        <f t="shared" ca="1" si="117"/>
        <v>0</v>
      </c>
      <c r="L1045" t="str">
        <f t="shared" ca="1" si="114"/>
        <v>Overstock</v>
      </c>
      <c r="M1045" s="39">
        <f>IFERROR(VLOOKUP("LLPS",Controls!A:I,7,0),6)</f>
        <v>4</v>
      </c>
      <c r="N1045" s="39">
        <f>IFERROR(VLOOKUP("LLPS",Controls!A:I,8,0),3)</f>
        <v>3</v>
      </c>
      <c r="O1045" s="39">
        <f>IFERROR(VLOOKUP("LLPS",Controls!A:I,9,0),18)</f>
        <v>12</v>
      </c>
      <c r="P1045" s="40">
        <f>IFERROR(VLOOKUP("LLPS",Controls!A:J,5,0),0)</f>
        <v>5</v>
      </c>
      <c r="Q1045" s="39">
        <f>IFERROR(VLOOKUP("LLPS",Controls!A:J,6,0),3)</f>
        <v>4</v>
      </c>
      <c r="R1045" s="21" t="str">
        <f>IFERROR(VLOOKUP("LLPS",Controls!A:K,10,0),"")</f>
        <v>Kinovate</v>
      </c>
      <c r="S1045" s="41">
        <f t="shared" si="115"/>
        <v>50375</v>
      </c>
      <c r="T1045" s="30">
        <f t="shared" si="116"/>
        <v>0</v>
      </c>
      <c r="AB1045">
        <f t="shared" si="118"/>
        <v>93.800000000000011</v>
      </c>
    </row>
    <row r="1046" spans="1:28" ht="13" customHeight="1" x14ac:dyDescent="0.35">
      <c r="A1046" s="153">
        <v>50526</v>
      </c>
      <c r="B1046" s="36" t="s">
        <v>50</v>
      </c>
      <c r="C1046" s="15" t="s">
        <v>52</v>
      </c>
      <c r="D1046" s="15" t="s">
        <v>48</v>
      </c>
      <c r="E1046" s="30">
        <f>H1045</f>
        <v>177.28999999999996</v>
      </c>
      <c r="F1046" s="37">
        <f>IFERROR('Production Inputs'!$FC$37*Dependencies!$D$11,0)</f>
        <v>0</v>
      </c>
      <c r="G1046" s="37">
        <f t="array" ref="G1046">IFERROR(SUMPRODUCT(('Production Inputs'!$A:$A="LLPS")*('Production Inputs'!$B:$B="TOTAL ACTIVE")*'Production Inputs'!$FC:$FC),0)</f>
        <v>0</v>
      </c>
      <c r="H1046" s="30">
        <f t="shared" si="112"/>
        <v>177.28999999999996</v>
      </c>
      <c r="I1046" s="30">
        <f ca="1">IFERROR(AVERAGEIF(OFFSET(F1046,0,0,MIN(Controls!$B$8,COUNTIF(B1046:B$1973,B1046)),1),"&gt;"&amp;0),0)</f>
        <v>0</v>
      </c>
      <c r="J1046" s="38">
        <f t="shared" ca="1" si="113"/>
        <v>999</v>
      </c>
      <c r="K1046" s="30">
        <f t="shared" ca="1" si="117"/>
        <v>0</v>
      </c>
      <c r="L1046" t="str">
        <f t="shared" ca="1" si="114"/>
        <v>Overstock</v>
      </c>
      <c r="M1046" s="39">
        <f>IFERROR(VLOOKUP("LLPS",Controls!A:I,7,0),6)</f>
        <v>4</v>
      </c>
      <c r="N1046" s="39">
        <f>IFERROR(VLOOKUP("LLPS",Controls!A:I,8,0),3)</f>
        <v>3</v>
      </c>
      <c r="O1046" s="39">
        <f>IFERROR(VLOOKUP("LLPS",Controls!A:I,9,0),18)</f>
        <v>12</v>
      </c>
      <c r="P1046" s="40">
        <f>IFERROR(VLOOKUP("LLPS",Controls!A:J,5,0),0)</f>
        <v>5</v>
      </c>
      <c r="Q1046" s="39">
        <f>IFERROR(VLOOKUP("LLPS",Controls!A:J,6,0),3)</f>
        <v>4</v>
      </c>
      <c r="R1046" s="21" t="str">
        <f>IFERROR(VLOOKUP("LLPS",Controls!A:K,10,0),"")</f>
        <v>Kinovate</v>
      </c>
      <c r="S1046" s="41">
        <f t="shared" si="115"/>
        <v>50406</v>
      </c>
      <c r="T1046" s="30">
        <f t="shared" si="116"/>
        <v>0</v>
      </c>
      <c r="AB1046">
        <f t="shared" si="118"/>
        <v>93.800000000000011</v>
      </c>
    </row>
    <row r="1047" spans="1:28" ht="13" customHeight="1" x14ac:dyDescent="0.35">
      <c r="A1047" s="153">
        <v>50557</v>
      </c>
      <c r="B1047" s="36" t="s">
        <v>50</v>
      </c>
      <c r="C1047" s="15" t="s">
        <v>52</v>
      </c>
      <c r="D1047" s="15" t="s">
        <v>48</v>
      </c>
      <c r="E1047" s="30">
        <f>H1046</f>
        <v>177.28999999999996</v>
      </c>
      <c r="F1047" s="37">
        <f>IFERROR('Production Inputs'!$FD$37*Dependencies!$D$11,0)</f>
        <v>0</v>
      </c>
      <c r="G1047" s="37">
        <f t="array" ref="G1047">IFERROR(SUMPRODUCT(('Production Inputs'!$A:$A="LLPS")*('Production Inputs'!$B:$B="TOTAL ACTIVE")*'Production Inputs'!$FD:$FD),0)</f>
        <v>0</v>
      </c>
      <c r="H1047" s="30">
        <f t="shared" si="112"/>
        <v>177.28999999999996</v>
      </c>
      <c r="I1047" s="30">
        <f ca="1">IFERROR(AVERAGEIF(OFFSET(F1047,0,0,MIN(Controls!$B$8,COUNTIF(B1047:B$1973,B1047)),1),"&gt;"&amp;0),0)</f>
        <v>0</v>
      </c>
      <c r="J1047" s="38">
        <f t="shared" ca="1" si="113"/>
        <v>999</v>
      </c>
      <c r="K1047" s="30">
        <f t="shared" ca="1" si="117"/>
        <v>0</v>
      </c>
      <c r="L1047" t="str">
        <f t="shared" ca="1" si="114"/>
        <v>Overstock</v>
      </c>
      <c r="M1047" s="39">
        <f>IFERROR(VLOOKUP("LLPS",Controls!A:I,7,0),6)</f>
        <v>4</v>
      </c>
      <c r="N1047" s="39">
        <f>IFERROR(VLOOKUP("LLPS",Controls!A:I,8,0),3)</f>
        <v>3</v>
      </c>
      <c r="O1047" s="39">
        <f>IFERROR(VLOOKUP("LLPS",Controls!A:I,9,0),18)</f>
        <v>12</v>
      </c>
      <c r="P1047" s="40">
        <f>IFERROR(VLOOKUP("LLPS",Controls!A:J,5,0),0)</f>
        <v>5</v>
      </c>
      <c r="Q1047" s="39">
        <f>IFERROR(VLOOKUP("LLPS",Controls!A:J,6,0),3)</f>
        <v>4</v>
      </c>
      <c r="R1047" s="21" t="str">
        <f>IFERROR(VLOOKUP("LLPS",Controls!A:K,10,0),"")</f>
        <v>Kinovate</v>
      </c>
      <c r="S1047" s="41">
        <f t="shared" si="115"/>
        <v>50437</v>
      </c>
      <c r="T1047" s="30">
        <f t="shared" si="116"/>
        <v>0</v>
      </c>
      <c r="AB1047">
        <f t="shared" si="118"/>
        <v>93.800000000000011</v>
      </c>
    </row>
    <row r="1048" spans="1:28" ht="13" customHeight="1" x14ac:dyDescent="0.35">
      <c r="A1048" s="153">
        <v>50587</v>
      </c>
      <c r="B1048" s="36" t="s">
        <v>50</v>
      </c>
      <c r="C1048" s="15" t="s">
        <v>52</v>
      </c>
      <c r="D1048" s="15" t="s">
        <v>48</v>
      </c>
      <c r="E1048" s="30">
        <f>H1047</f>
        <v>177.28999999999996</v>
      </c>
      <c r="F1048" s="37">
        <f>IFERROR('Production Inputs'!$FE$37*Dependencies!$D$11,0)</f>
        <v>0</v>
      </c>
      <c r="G1048" s="37">
        <f t="array" ref="G1048">IFERROR(SUMPRODUCT(('Production Inputs'!$A:$A="LLPS")*('Production Inputs'!$B:$B="TOTAL ACTIVE")*'Production Inputs'!$FE:$FE),0)</f>
        <v>0</v>
      </c>
      <c r="H1048" s="30">
        <f t="shared" si="112"/>
        <v>177.28999999999996</v>
      </c>
      <c r="I1048" s="30">
        <f ca="1">IFERROR(AVERAGEIF(OFFSET(F1048,0,0,MIN(Controls!$B$8,COUNTIF(B1048:B$1973,B1048)),1),"&gt;"&amp;0),0)</f>
        <v>0</v>
      </c>
      <c r="J1048" s="38">
        <f t="shared" ca="1" si="113"/>
        <v>999</v>
      </c>
      <c r="K1048" s="30">
        <f t="shared" ca="1" si="117"/>
        <v>0</v>
      </c>
      <c r="L1048" t="str">
        <f t="shared" ca="1" si="114"/>
        <v>Overstock</v>
      </c>
      <c r="M1048" s="39">
        <f>IFERROR(VLOOKUP("LLPS",Controls!A:I,7,0),6)</f>
        <v>4</v>
      </c>
      <c r="N1048" s="39">
        <f>IFERROR(VLOOKUP("LLPS",Controls!A:I,8,0),3)</f>
        <v>3</v>
      </c>
      <c r="O1048" s="39">
        <f>IFERROR(VLOOKUP("LLPS",Controls!A:I,9,0),18)</f>
        <v>12</v>
      </c>
      <c r="P1048" s="40">
        <f>IFERROR(VLOOKUP("LLPS",Controls!A:J,5,0),0)</f>
        <v>5</v>
      </c>
      <c r="Q1048" s="39">
        <f>IFERROR(VLOOKUP("LLPS",Controls!A:J,6,0),3)</f>
        <v>4</v>
      </c>
      <c r="R1048" s="21" t="str">
        <f>IFERROR(VLOOKUP("LLPS",Controls!A:K,10,0),"")</f>
        <v>Kinovate</v>
      </c>
      <c r="S1048" s="41">
        <f t="shared" si="115"/>
        <v>50465</v>
      </c>
      <c r="T1048" s="30">
        <f t="shared" si="116"/>
        <v>0</v>
      </c>
      <c r="AB1048">
        <f t="shared" si="118"/>
        <v>93.800000000000011</v>
      </c>
    </row>
    <row r="1049" spans="1:28" ht="13" customHeight="1" x14ac:dyDescent="0.35">
      <c r="A1049" s="153">
        <v>50618</v>
      </c>
      <c r="B1049" s="36" t="s">
        <v>50</v>
      </c>
      <c r="C1049" s="15" t="s">
        <v>52</v>
      </c>
      <c r="D1049" s="15" t="s">
        <v>48</v>
      </c>
      <c r="E1049" s="30">
        <f>H1048</f>
        <v>177.28999999999996</v>
      </c>
      <c r="F1049" s="37">
        <f>IFERROR('Production Inputs'!$FF$37*Dependencies!$D$11,0)</f>
        <v>0</v>
      </c>
      <c r="G1049" s="37">
        <f t="array" ref="G1049">IFERROR(SUMPRODUCT(('Production Inputs'!$A:$A="LLPS")*('Production Inputs'!$B:$B="TOTAL ACTIVE")*'Production Inputs'!$FF:$FF),0)</f>
        <v>0</v>
      </c>
      <c r="H1049" s="30">
        <f t="shared" si="112"/>
        <v>177.28999999999996</v>
      </c>
      <c r="I1049" s="30">
        <f ca="1">IFERROR(AVERAGEIF(OFFSET(F1049,0,0,MIN(Controls!$B$8,COUNTIF(B1049:B$1973,B1049)),1),"&gt;"&amp;0),0)</f>
        <v>0</v>
      </c>
      <c r="J1049" s="38">
        <f t="shared" ca="1" si="113"/>
        <v>999</v>
      </c>
      <c r="K1049" s="30">
        <f t="shared" ca="1" si="117"/>
        <v>0</v>
      </c>
      <c r="L1049" t="str">
        <f t="shared" ca="1" si="114"/>
        <v>Overstock</v>
      </c>
      <c r="M1049" s="39">
        <f>IFERROR(VLOOKUP("LLPS",Controls!A:I,7,0),6)</f>
        <v>4</v>
      </c>
      <c r="N1049" s="39">
        <f>IFERROR(VLOOKUP("LLPS",Controls!A:I,8,0),3)</f>
        <v>3</v>
      </c>
      <c r="O1049" s="39">
        <f>IFERROR(VLOOKUP("LLPS",Controls!A:I,9,0),18)</f>
        <v>12</v>
      </c>
      <c r="P1049" s="40">
        <f>IFERROR(VLOOKUP("LLPS",Controls!A:J,5,0),0)</f>
        <v>5</v>
      </c>
      <c r="Q1049" s="39">
        <f>IFERROR(VLOOKUP("LLPS",Controls!A:J,6,0),3)</f>
        <v>4</v>
      </c>
      <c r="R1049" s="21" t="str">
        <f>IFERROR(VLOOKUP("LLPS",Controls!A:K,10,0),"")</f>
        <v>Kinovate</v>
      </c>
      <c r="S1049" s="41">
        <f t="shared" si="115"/>
        <v>50496</v>
      </c>
      <c r="T1049" s="30">
        <f t="shared" si="116"/>
        <v>0</v>
      </c>
      <c r="AB1049">
        <f t="shared" si="118"/>
        <v>93.800000000000011</v>
      </c>
    </row>
    <row r="1050" spans="1:28" ht="13" customHeight="1" x14ac:dyDescent="0.35">
      <c r="A1050" s="153">
        <v>50649</v>
      </c>
      <c r="B1050" s="36" t="s">
        <v>50</v>
      </c>
      <c r="C1050" s="15" t="s">
        <v>52</v>
      </c>
      <c r="D1050" s="15" t="s">
        <v>48</v>
      </c>
      <c r="E1050" s="30">
        <f>H1049</f>
        <v>177.28999999999996</v>
      </c>
      <c r="F1050" s="37">
        <f>IFERROR('Production Inputs'!$FG$37*Dependencies!$D$11,0)</f>
        <v>0</v>
      </c>
      <c r="G1050" s="37">
        <f t="array" ref="G1050">IFERROR(SUMPRODUCT(('Production Inputs'!$A:$A="LLPS")*('Production Inputs'!$B:$B="TOTAL ACTIVE")*'Production Inputs'!$FG:$FG),0)</f>
        <v>0</v>
      </c>
      <c r="H1050" s="30">
        <f t="shared" si="112"/>
        <v>177.28999999999996</v>
      </c>
      <c r="I1050" s="30">
        <f ca="1">IFERROR(AVERAGEIF(OFFSET(F1050,0,0,MIN(Controls!$B$8,COUNTIF(B1050:B$1973,B1050)),1),"&gt;"&amp;0),0)</f>
        <v>0</v>
      </c>
      <c r="J1050" s="38">
        <f t="shared" ca="1" si="113"/>
        <v>999</v>
      </c>
      <c r="K1050" s="30">
        <f t="shared" ca="1" si="117"/>
        <v>0</v>
      </c>
      <c r="L1050" t="str">
        <f t="shared" ca="1" si="114"/>
        <v>Overstock</v>
      </c>
      <c r="M1050" s="39">
        <f>IFERROR(VLOOKUP("LLPS",Controls!A:I,7,0),6)</f>
        <v>4</v>
      </c>
      <c r="N1050" s="39">
        <f>IFERROR(VLOOKUP("LLPS",Controls!A:I,8,0),3)</f>
        <v>3</v>
      </c>
      <c r="O1050" s="39">
        <f>IFERROR(VLOOKUP("LLPS",Controls!A:I,9,0),18)</f>
        <v>12</v>
      </c>
      <c r="P1050" s="40">
        <f>IFERROR(VLOOKUP("LLPS",Controls!A:J,5,0),0)</f>
        <v>5</v>
      </c>
      <c r="Q1050" s="39">
        <f>IFERROR(VLOOKUP("LLPS",Controls!A:J,6,0),3)</f>
        <v>4</v>
      </c>
      <c r="R1050" s="21" t="str">
        <f>IFERROR(VLOOKUP("LLPS",Controls!A:K,10,0),"")</f>
        <v>Kinovate</v>
      </c>
      <c r="S1050" s="41">
        <f t="shared" si="115"/>
        <v>50526</v>
      </c>
      <c r="T1050" s="30">
        <f t="shared" si="116"/>
        <v>0</v>
      </c>
      <c r="AB1050">
        <f t="shared" si="118"/>
        <v>93.800000000000011</v>
      </c>
    </row>
    <row r="1051" spans="1:28" ht="13" customHeight="1" x14ac:dyDescent="0.35">
      <c r="A1051" s="153">
        <v>50679</v>
      </c>
      <c r="B1051" s="36" t="s">
        <v>50</v>
      </c>
      <c r="C1051" s="15" t="s">
        <v>52</v>
      </c>
      <c r="D1051" s="15" t="s">
        <v>48</v>
      </c>
      <c r="E1051" s="30">
        <f>H1050</f>
        <v>177.28999999999996</v>
      </c>
      <c r="F1051" s="37">
        <f>IFERROR('Production Inputs'!$FH$37*Dependencies!$D$11,0)</f>
        <v>0</v>
      </c>
      <c r="G1051" s="37">
        <f t="array" ref="G1051">IFERROR(SUMPRODUCT(('Production Inputs'!$A:$A="LLPS")*('Production Inputs'!$B:$B="TOTAL ACTIVE")*'Production Inputs'!$FH:$FH),0)</f>
        <v>0</v>
      </c>
      <c r="H1051" s="30">
        <f t="shared" si="112"/>
        <v>177.28999999999996</v>
      </c>
      <c r="I1051" s="30">
        <f ca="1">IFERROR(AVERAGEIF(OFFSET(F1051,0,0,MIN(Controls!$B$8,COUNTIF(B1051:B$1973,B1051)),1),"&gt;"&amp;0),0)</f>
        <v>0</v>
      </c>
      <c r="J1051" s="38">
        <f t="shared" ca="1" si="113"/>
        <v>999</v>
      </c>
      <c r="K1051" s="30">
        <f t="shared" ca="1" si="117"/>
        <v>0</v>
      </c>
      <c r="L1051" t="str">
        <f t="shared" ca="1" si="114"/>
        <v>Overstock</v>
      </c>
      <c r="M1051" s="39">
        <f>IFERROR(VLOOKUP("LLPS",Controls!A:I,7,0),6)</f>
        <v>4</v>
      </c>
      <c r="N1051" s="39">
        <f>IFERROR(VLOOKUP("LLPS",Controls!A:I,8,0),3)</f>
        <v>3</v>
      </c>
      <c r="O1051" s="39">
        <f>IFERROR(VLOOKUP("LLPS",Controls!A:I,9,0),18)</f>
        <v>12</v>
      </c>
      <c r="P1051" s="40">
        <f>IFERROR(VLOOKUP("LLPS",Controls!A:J,5,0),0)</f>
        <v>5</v>
      </c>
      <c r="Q1051" s="39">
        <f>IFERROR(VLOOKUP("LLPS",Controls!A:J,6,0),3)</f>
        <v>4</v>
      </c>
      <c r="R1051" s="21" t="str">
        <f>IFERROR(VLOOKUP("LLPS",Controls!A:K,10,0),"")</f>
        <v>Kinovate</v>
      </c>
      <c r="S1051" s="41">
        <f t="shared" si="115"/>
        <v>50557</v>
      </c>
      <c r="T1051" s="30">
        <f t="shared" si="116"/>
        <v>0</v>
      </c>
      <c r="AB1051">
        <f t="shared" si="118"/>
        <v>93.800000000000011</v>
      </c>
    </row>
    <row r="1052" spans="1:28" ht="13" customHeight="1" x14ac:dyDescent="0.35">
      <c r="A1052" s="153">
        <v>50710</v>
      </c>
      <c r="B1052" s="36" t="s">
        <v>50</v>
      </c>
      <c r="C1052" s="15" t="s">
        <v>52</v>
      </c>
      <c r="D1052" s="15" t="s">
        <v>48</v>
      </c>
      <c r="E1052" s="30">
        <f>H1051</f>
        <v>177.28999999999996</v>
      </c>
      <c r="F1052" s="37">
        <f>IFERROR('Production Inputs'!$FI$37*Dependencies!$D$11,0)</f>
        <v>0</v>
      </c>
      <c r="G1052" s="37">
        <f t="array" ref="G1052">IFERROR(SUMPRODUCT(('Production Inputs'!$A:$A="LLPS")*('Production Inputs'!$B:$B="TOTAL ACTIVE")*'Production Inputs'!$FI:$FI),0)</f>
        <v>0</v>
      </c>
      <c r="H1052" s="30">
        <f t="shared" si="112"/>
        <v>177.28999999999996</v>
      </c>
      <c r="I1052" s="30">
        <f ca="1">IFERROR(AVERAGEIF(OFFSET(F1052,0,0,MIN(Controls!$B$8,COUNTIF(B1052:B$1973,B1052)),1),"&gt;"&amp;0),0)</f>
        <v>0</v>
      </c>
      <c r="J1052" s="38">
        <f t="shared" ca="1" si="113"/>
        <v>999</v>
      </c>
      <c r="K1052" s="30">
        <f t="shared" ca="1" si="117"/>
        <v>0</v>
      </c>
      <c r="L1052" t="str">
        <f t="shared" ca="1" si="114"/>
        <v>Overstock</v>
      </c>
      <c r="M1052" s="39">
        <f>IFERROR(VLOOKUP("LLPS",Controls!A:I,7,0),6)</f>
        <v>4</v>
      </c>
      <c r="N1052" s="39">
        <f>IFERROR(VLOOKUP("LLPS",Controls!A:I,8,0),3)</f>
        <v>3</v>
      </c>
      <c r="O1052" s="39">
        <f>IFERROR(VLOOKUP("LLPS",Controls!A:I,9,0),18)</f>
        <v>12</v>
      </c>
      <c r="P1052" s="40">
        <f>IFERROR(VLOOKUP("LLPS",Controls!A:J,5,0),0)</f>
        <v>5</v>
      </c>
      <c r="Q1052" s="39">
        <f>IFERROR(VLOOKUP("LLPS",Controls!A:J,6,0),3)</f>
        <v>4</v>
      </c>
      <c r="R1052" s="21" t="str">
        <f>IFERROR(VLOOKUP("LLPS",Controls!A:K,10,0),"")</f>
        <v>Kinovate</v>
      </c>
      <c r="S1052" s="41">
        <f t="shared" si="115"/>
        <v>50587</v>
      </c>
      <c r="T1052" s="30">
        <f t="shared" si="116"/>
        <v>0</v>
      </c>
      <c r="AB1052">
        <f t="shared" si="118"/>
        <v>93.800000000000011</v>
      </c>
    </row>
    <row r="1053" spans="1:28" ht="13" customHeight="1" x14ac:dyDescent="0.35">
      <c r="A1053" s="153">
        <v>50740</v>
      </c>
      <c r="B1053" s="36" t="s">
        <v>50</v>
      </c>
      <c r="C1053" s="15" t="s">
        <v>52</v>
      </c>
      <c r="D1053" s="15" t="s">
        <v>48</v>
      </c>
      <c r="E1053" s="30">
        <f>H1052</f>
        <v>177.28999999999996</v>
      </c>
      <c r="F1053" s="37">
        <f>IFERROR('Production Inputs'!$FJ$37*Dependencies!$D$11,0)</f>
        <v>0</v>
      </c>
      <c r="G1053" s="37">
        <f t="array" ref="G1053">IFERROR(SUMPRODUCT(('Production Inputs'!$A:$A="LLPS")*('Production Inputs'!$B:$B="TOTAL ACTIVE")*'Production Inputs'!$FJ:$FJ),0)</f>
        <v>0</v>
      </c>
      <c r="H1053" s="30">
        <f t="shared" si="112"/>
        <v>177.28999999999996</v>
      </c>
      <c r="I1053" s="30">
        <f ca="1">IFERROR(AVERAGEIF(OFFSET(F1053,0,0,MIN(Controls!$B$8,COUNTIF(B1053:B$1973,B1053)),1),"&gt;"&amp;0),0)</f>
        <v>0</v>
      </c>
      <c r="J1053" s="38">
        <f t="shared" ca="1" si="113"/>
        <v>999</v>
      </c>
      <c r="K1053" s="30">
        <f t="shared" ca="1" si="117"/>
        <v>0</v>
      </c>
      <c r="L1053" t="str">
        <f t="shared" ca="1" si="114"/>
        <v>Overstock</v>
      </c>
      <c r="M1053" s="39">
        <f>IFERROR(VLOOKUP("LLPS",Controls!A:I,7,0),6)</f>
        <v>4</v>
      </c>
      <c r="N1053" s="39">
        <f>IFERROR(VLOOKUP("LLPS",Controls!A:I,8,0),3)</f>
        <v>3</v>
      </c>
      <c r="O1053" s="39">
        <f>IFERROR(VLOOKUP("LLPS",Controls!A:I,9,0),18)</f>
        <v>12</v>
      </c>
      <c r="P1053" s="40">
        <f>IFERROR(VLOOKUP("LLPS",Controls!A:J,5,0),0)</f>
        <v>5</v>
      </c>
      <c r="Q1053" s="39">
        <f>IFERROR(VLOOKUP("LLPS",Controls!A:J,6,0),3)</f>
        <v>4</v>
      </c>
      <c r="R1053" s="21" t="str">
        <f>IFERROR(VLOOKUP("LLPS",Controls!A:K,10,0),"")</f>
        <v>Kinovate</v>
      </c>
      <c r="S1053" s="41">
        <f t="shared" si="115"/>
        <v>50618</v>
      </c>
      <c r="T1053" s="30">
        <f t="shared" si="116"/>
        <v>0</v>
      </c>
      <c r="AB1053">
        <f t="shared" si="118"/>
        <v>93.800000000000011</v>
      </c>
    </row>
    <row r="1054" spans="1:28" ht="13" customHeight="1" x14ac:dyDescent="0.35">
      <c r="A1054" s="153">
        <v>50771</v>
      </c>
      <c r="B1054" s="36" t="s">
        <v>50</v>
      </c>
      <c r="C1054" s="15" t="s">
        <v>52</v>
      </c>
      <c r="D1054" s="15" t="s">
        <v>48</v>
      </c>
      <c r="E1054" s="30">
        <f>H1053</f>
        <v>177.28999999999996</v>
      </c>
      <c r="F1054" s="37">
        <f>IFERROR('Production Inputs'!$FK$37*Dependencies!$D$11,0)</f>
        <v>0</v>
      </c>
      <c r="G1054" s="37">
        <f t="array" ref="G1054">IFERROR(SUMPRODUCT(('Production Inputs'!$A:$A="LLPS")*('Production Inputs'!$B:$B="TOTAL ACTIVE")*'Production Inputs'!$FK:$FK),0)</f>
        <v>0</v>
      </c>
      <c r="H1054" s="30">
        <f t="shared" si="112"/>
        <v>177.28999999999996</v>
      </c>
      <c r="I1054" s="30">
        <f ca="1">IFERROR(AVERAGEIF(OFFSET(F1054,0,0,MIN(Controls!$B$8,COUNTIF(B1054:B$1973,B1054)),1),"&gt;"&amp;0),0)</f>
        <v>0</v>
      </c>
      <c r="J1054" s="38">
        <f t="shared" ca="1" si="113"/>
        <v>999</v>
      </c>
      <c r="K1054" s="30">
        <f t="shared" ca="1" si="117"/>
        <v>0</v>
      </c>
      <c r="L1054" t="str">
        <f t="shared" ca="1" si="114"/>
        <v>Overstock</v>
      </c>
      <c r="M1054" s="39">
        <f>IFERROR(VLOOKUP("LLPS",Controls!A:I,7,0),6)</f>
        <v>4</v>
      </c>
      <c r="N1054" s="39">
        <f>IFERROR(VLOOKUP("LLPS",Controls!A:I,8,0),3)</f>
        <v>3</v>
      </c>
      <c r="O1054" s="39">
        <f>IFERROR(VLOOKUP("LLPS",Controls!A:I,9,0),18)</f>
        <v>12</v>
      </c>
      <c r="P1054" s="40">
        <f>IFERROR(VLOOKUP("LLPS",Controls!A:J,5,0),0)</f>
        <v>5</v>
      </c>
      <c r="Q1054" s="39">
        <f>IFERROR(VLOOKUP("LLPS",Controls!A:J,6,0),3)</f>
        <v>4</v>
      </c>
      <c r="R1054" s="21" t="str">
        <f>IFERROR(VLOOKUP("LLPS",Controls!A:K,10,0),"")</f>
        <v>Kinovate</v>
      </c>
      <c r="S1054" s="41">
        <f t="shared" si="115"/>
        <v>50649</v>
      </c>
      <c r="T1054" s="30">
        <f t="shared" si="116"/>
        <v>0</v>
      </c>
      <c r="AB1054">
        <f t="shared" si="118"/>
        <v>93.800000000000011</v>
      </c>
    </row>
    <row r="1055" spans="1:28" ht="13" customHeight="1" x14ac:dyDescent="0.35">
      <c r="A1055" s="153">
        <v>50802</v>
      </c>
      <c r="B1055" s="36" t="s">
        <v>50</v>
      </c>
      <c r="C1055" s="15" t="s">
        <v>52</v>
      </c>
      <c r="D1055" s="15" t="s">
        <v>48</v>
      </c>
      <c r="E1055" s="30">
        <f>H1054</f>
        <v>177.28999999999996</v>
      </c>
      <c r="F1055" s="37">
        <f>IFERROR('Production Inputs'!$FL$37*Dependencies!$D$11,0)</f>
        <v>0</v>
      </c>
      <c r="G1055" s="37">
        <f t="array" ref="G1055">IFERROR(SUMPRODUCT(('Production Inputs'!$A:$A="LLPS")*('Production Inputs'!$B:$B="TOTAL ACTIVE")*'Production Inputs'!$FL:$FL),0)</f>
        <v>0</v>
      </c>
      <c r="H1055" s="30">
        <f t="shared" si="112"/>
        <v>177.28999999999996</v>
      </c>
      <c r="I1055" s="30">
        <f ca="1">IFERROR(AVERAGEIF(OFFSET(F1055,0,0,MIN(Controls!$B$8,COUNTIF(B1055:B$1973,B1055)),1),"&gt;"&amp;0),0)</f>
        <v>0</v>
      </c>
      <c r="J1055" s="38">
        <f t="shared" ca="1" si="113"/>
        <v>999</v>
      </c>
      <c r="K1055" s="30">
        <f t="shared" ca="1" si="117"/>
        <v>0</v>
      </c>
      <c r="L1055" t="str">
        <f t="shared" ca="1" si="114"/>
        <v>Overstock</v>
      </c>
      <c r="M1055" s="39">
        <f>IFERROR(VLOOKUP("LLPS",Controls!A:I,7,0),6)</f>
        <v>4</v>
      </c>
      <c r="N1055" s="39">
        <f>IFERROR(VLOOKUP("LLPS",Controls!A:I,8,0),3)</f>
        <v>3</v>
      </c>
      <c r="O1055" s="39">
        <f>IFERROR(VLOOKUP("LLPS",Controls!A:I,9,0),18)</f>
        <v>12</v>
      </c>
      <c r="P1055" s="40">
        <f>IFERROR(VLOOKUP("LLPS",Controls!A:J,5,0),0)</f>
        <v>5</v>
      </c>
      <c r="Q1055" s="39">
        <f>IFERROR(VLOOKUP("LLPS",Controls!A:J,6,0),3)</f>
        <v>4</v>
      </c>
      <c r="R1055" s="21" t="str">
        <f>IFERROR(VLOOKUP("LLPS",Controls!A:K,10,0),"")</f>
        <v>Kinovate</v>
      </c>
      <c r="S1055" s="41">
        <f t="shared" si="115"/>
        <v>50679</v>
      </c>
      <c r="T1055" s="30">
        <f t="shared" si="116"/>
        <v>0</v>
      </c>
      <c r="AB1055">
        <f t="shared" si="118"/>
        <v>93.800000000000011</v>
      </c>
    </row>
    <row r="1056" spans="1:28" ht="13" customHeight="1" x14ac:dyDescent="0.35">
      <c r="A1056" s="153">
        <v>50830</v>
      </c>
      <c r="B1056" s="36" t="s">
        <v>50</v>
      </c>
      <c r="C1056" s="15" t="s">
        <v>52</v>
      </c>
      <c r="D1056" s="15" t="s">
        <v>48</v>
      </c>
      <c r="E1056" s="30">
        <f>H1055</f>
        <v>177.28999999999996</v>
      </c>
      <c r="F1056" s="37">
        <f>IFERROR('Production Inputs'!$FM$37*Dependencies!$D$11,0)</f>
        <v>0</v>
      </c>
      <c r="G1056" s="37">
        <f t="array" ref="G1056">IFERROR(SUMPRODUCT(('Production Inputs'!$A:$A="LLPS")*('Production Inputs'!$B:$B="TOTAL ACTIVE")*'Production Inputs'!$FM:$FM),0)</f>
        <v>0</v>
      </c>
      <c r="H1056" s="30">
        <f t="shared" si="112"/>
        <v>177.28999999999996</v>
      </c>
      <c r="I1056" s="30">
        <f ca="1">IFERROR(AVERAGEIF(OFFSET(F1056,0,0,MIN(Controls!$B$8,COUNTIF(B1056:B$1973,B1056)),1),"&gt;"&amp;0),0)</f>
        <v>0</v>
      </c>
      <c r="J1056" s="38">
        <f t="shared" ca="1" si="113"/>
        <v>999</v>
      </c>
      <c r="K1056" s="30">
        <f t="shared" ca="1" si="117"/>
        <v>0</v>
      </c>
      <c r="L1056" t="str">
        <f t="shared" ca="1" si="114"/>
        <v>Overstock</v>
      </c>
      <c r="M1056" s="39">
        <f>IFERROR(VLOOKUP("LLPS",Controls!A:I,7,0),6)</f>
        <v>4</v>
      </c>
      <c r="N1056" s="39">
        <f>IFERROR(VLOOKUP("LLPS",Controls!A:I,8,0),3)</f>
        <v>3</v>
      </c>
      <c r="O1056" s="39">
        <f>IFERROR(VLOOKUP("LLPS",Controls!A:I,9,0),18)</f>
        <v>12</v>
      </c>
      <c r="P1056" s="40">
        <f>IFERROR(VLOOKUP("LLPS",Controls!A:J,5,0),0)</f>
        <v>5</v>
      </c>
      <c r="Q1056" s="39">
        <f>IFERROR(VLOOKUP("LLPS",Controls!A:J,6,0),3)</f>
        <v>4</v>
      </c>
      <c r="R1056" s="21" t="str">
        <f>IFERROR(VLOOKUP("LLPS",Controls!A:K,10,0),"")</f>
        <v>Kinovate</v>
      </c>
      <c r="S1056" s="41">
        <f t="shared" si="115"/>
        <v>50710</v>
      </c>
      <c r="T1056" s="30">
        <f t="shared" si="116"/>
        <v>0</v>
      </c>
      <c r="AB1056">
        <f t="shared" si="118"/>
        <v>93.800000000000011</v>
      </c>
    </row>
    <row r="1057" spans="1:28" ht="13" customHeight="1" x14ac:dyDescent="0.35">
      <c r="A1057" s="153">
        <v>50861</v>
      </c>
      <c r="B1057" s="36" t="s">
        <v>50</v>
      </c>
      <c r="C1057" s="15" t="s">
        <v>52</v>
      </c>
      <c r="D1057" s="15" t="s">
        <v>48</v>
      </c>
      <c r="E1057" s="30">
        <f>H1056</f>
        <v>177.28999999999996</v>
      </c>
      <c r="F1057" s="37">
        <f>IFERROR('Production Inputs'!$FN$37*Dependencies!$D$11,0)</f>
        <v>0</v>
      </c>
      <c r="G1057" s="37">
        <f t="array" ref="G1057">IFERROR(SUMPRODUCT(('Production Inputs'!$A:$A="LLPS")*('Production Inputs'!$B:$B="TOTAL ACTIVE")*'Production Inputs'!$FN:$FN),0)</f>
        <v>0</v>
      </c>
      <c r="H1057" s="30">
        <f t="shared" si="112"/>
        <v>177.28999999999996</v>
      </c>
      <c r="I1057" s="30">
        <f ca="1">IFERROR(AVERAGEIF(OFFSET(F1057,0,0,MIN(Controls!$B$8,COUNTIF(B1057:B$1973,B1057)),1),"&gt;"&amp;0),0)</f>
        <v>0</v>
      </c>
      <c r="J1057" s="38">
        <f t="shared" ca="1" si="113"/>
        <v>999</v>
      </c>
      <c r="K1057" s="30">
        <f t="shared" ca="1" si="117"/>
        <v>0</v>
      </c>
      <c r="L1057" t="str">
        <f t="shared" ca="1" si="114"/>
        <v>Overstock</v>
      </c>
      <c r="M1057" s="39">
        <f>IFERROR(VLOOKUP("LLPS",Controls!A:I,7,0),6)</f>
        <v>4</v>
      </c>
      <c r="N1057" s="39">
        <f>IFERROR(VLOOKUP("LLPS",Controls!A:I,8,0),3)</f>
        <v>3</v>
      </c>
      <c r="O1057" s="39">
        <f>IFERROR(VLOOKUP("LLPS",Controls!A:I,9,0),18)</f>
        <v>12</v>
      </c>
      <c r="P1057" s="40">
        <f>IFERROR(VLOOKUP("LLPS",Controls!A:J,5,0),0)</f>
        <v>5</v>
      </c>
      <c r="Q1057" s="39">
        <f>IFERROR(VLOOKUP("LLPS",Controls!A:J,6,0),3)</f>
        <v>4</v>
      </c>
      <c r="R1057" s="21" t="str">
        <f>IFERROR(VLOOKUP("LLPS",Controls!A:K,10,0),"")</f>
        <v>Kinovate</v>
      </c>
      <c r="S1057" s="41">
        <f t="shared" si="115"/>
        <v>50740</v>
      </c>
      <c r="T1057" s="30">
        <f t="shared" si="116"/>
        <v>0</v>
      </c>
      <c r="AB1057">
        <f t="shared" si="118"/>
        <v>93.800000000000011</v>
      </c>
    </row>
    <row r="1058" spans="1:28" ht="13" customHeight="1" x14ac:dyDescent="0.35">
      <c r="A1058" s="153">
        <v>50891</v>
      </c>
      <c r="B1058" s="36" t="s">
        <v>50</v>
      </c>
      <c r="C1058" s="15" t="s">
        <v>52</v>
      </c>
      <c r="D1058" s="15" t="s">
        <v>48</v>
      </c>
      <c r="E1058" s="30">
        <f>H1057</f>
        <v>177.28999999999996</v>
      </c>
      <c r="F1058" s="37">
        <f>IFERROR('Production Inputs'!$FO$37*Dependencies!$D$11,0)</f>
        <v>0</v>
      </c>
      <c r="G1058" s="37">
        <f t="array" ref="G1058">IFERROR(SUMPRODUCT(('Production Inputs'!$A:$A="LLPS")*('Production Inputs'!$B:$B="TOTAL ACTIVE")*'Production Inputs'!$FO:$FO),0)</f>
        <v>0</v>
      </c>
      <c r="H1058" s="30">
        <f t="shared" si="112"/>
        <v>177.28999999999996</v>
      </c>
      <c r="I1058" s="30">
        <f ca="1">IFERROR(AVERAGEIF(OFFSET(F1058,0,0,MIN(Controls!$B$8,COUNTIF(B1058:B$1973,B1058)),1),"&gt;"&amp;0),0)</f>
        <v>0</v>
      </c>
      <c r="J1058" s="38">
        <f t="shared" ca="1" si="113"/>
        <v>999</v>
      </c>
      <c r="K1058" s="30">
        <f t="shared" ca="1" si="117"/>
        <v>0</v>
      </c>
      <c r="L1058" t="str">
        <f t="shared" ca="1" si="114"/>
        <v>Overstock</v>
      </c>
      <c r="M1058" s="39">
        <f>IFERROR(VLOOKUP("LLPS",Controls!A:I,7,0),6)</f>
        <v>4</v>
      </c>
      <c r="N1058" s="39">
        <f>IFERROR(VLOOKUP("LLPS",Controls!A:I,8,0),3)</f>
        <v>3</v>
      </c>
      <c r="O1058" s="39">
        <f>IFERROR(VLOOKUP("LLPS",Controls!A:I,9,0),18)</f>
        <v>12</v>
      </c>
      <c r="P1058" s="40">
        <f>IFERROR(VLOOKUP("LLPS",Controls!A:J,5,0),0)</f>
        <v>5</v>
      </c>
      <c r="Q1058" s="39">
        <f>IFERROR(VLOOKUP("LLPS",Controls!A:J,6,0),3)</f>
        <v>4</v>
      </c>
      <c r="R1058" s="21" t="str">
        <f>IFERROR(VLOOKUP("LLPS",Controls!A:K,10,0),"")</f>
        <v>Kinovate</v>
      </c>
      <c r="S1058" s="41">
        <f t="shared" si="115"/>
        <v>50771</v>
      </c>
      <c r="T1058" s="30">
        <f t="shared" si="116"/>
        <v>0</v>
      </c>
      <c r="AB1058">
        <f t="shared" si="118"/>
        <v>93.800000000000011</v>
      </c>
    </row>
    <row r="1059" spans="1:28" ht="13" customHeight="1" x14ac:dyDescent="0.35">
      <c r="A1059" s="153">
        <v>50922</v>
      </c>
      <c r="B1059" s="36" t="s">
        <v>50</v>
      </c>
      <c r="C1059" s="15" t="s">
        <v>52</v>
      </c>
      <c r="D1059" s="15" t="s">
        <v>48</v>
      </c>
      <c r="E1059" s="30">
        <f>H1058</f>
        <v>177.28999999999996</v>
      </c>
      <c r="F1059" s="37">
        <f>IFERROR('Production Inputs'!$FP$37*Dependencies!$D$11,0)</f>
        <v>0</v>
      </c>
      <c r="G1059" s="37">
        <f t="array" ref="G1059">IFERROR(SUMPRODUCT(('Production Inputs'!$A:$A="LLPS")*('Production Inputs'!$B:$B="TOTAL ACTIVE")*'Production Inputs'!$FP:$FP),0)</f>
        <v>0</v>
      </c>
      <c r="H1059" s="30">
        <f t="shared" si="112"/>
        <v>177.28999999999996</v>
      </c>
      <c r="I1059" s="30">
        <f ca="1">IFERROR(AVERAGEIF(OFFSET(F1059,0,0,MIN(Controls!$B$8,COUNTIF(B1059:B$1973,B1059)),1),"&gt;"&amp;0),0)</f>
        <v>0</v>
      </c>
      <c r="J1059" s="38">
        <f t="shared" ca="1" si="113"/>
        <v>999</v>
      </c>
      <c r="K1059" s="30">
        <f t="shared" ca="1" si="117"/>
        <v>0</v>
      </c>
      <c r="L1059" t="str">
        <f t="shared" ca="1" si="114"/>
        <v>Overstock</v>
      </c>
      <c r="M1059" s="39">
        <f>IFERROR(VLOOKUP("LLPS",Controls!A:I,7,0),6)</f>
        <v>4</v>
      </c>
      <c r="N1059" s="39">
        <f>IFERROR(VLOOKUP("LLPS",Controls!A:I,8,0),3)</f>
        <v>3</v>
      </c>
      <c r="O1059" s="39">
        <f>IFERROR(VLOOKUP("LLPS",Controls!A:I,9,0),18)</f>
        <v>12</v>
      </c>
      <c r="P1059" s="40">
        <f>IFERROR(VLOOKUP("LLPS",Controls!A:J,5,0),0)</f>
        <v>5</v>
      </c>
      <c r="Q1059" s="39">
        <f>IFERROR(VLOOKUP("LLPS",Controls!A:J,6,0),3)</f>
        <v>4</v>
      </c>
      <c r="R1059" s="21" t="str">
        <f>IFERROR(VLOOKUP("LLPS",Controls!A:K,10,0),"")</f>
        <v>Kinovate</v>
      </c>
      <c r="S1059" s="41">
        <f t="shared" si="115"/>
        <v>50802</v>
      </c>
      <c r="T1059" s="30">
        <f t="shared" si="116"/>
        <v>0</v>
      </c>
      <c r="AB1059">
        <f t="shared" si="118"/>
        <v>93.800000000000011</v>
      </c>
    </row>
    <row r="1060" spans="1:28" ht="13" customHeight="1" x14ac:dyDescent="0.35">
      <c r="A1060" s="153">
        <v>50952</v>
      </c>
      <c r="B1060" s="36" t="s">
        <v>50</v>
      </c>
      <c r="C1060" s="15" t="s">
        <v>52</v>
      </c>
      <c r="D1060" s="15" t="s">
        <v>48</v>
      </c>
      <c r="E1060" s="30">
        <f>H1059</f>
        <v>177.28999999999996</v>
      </c>
      <c r="F1060" s="37">
        <f>IFERROR('Production Inputs'!$FQ$37*Dependencies!$D$11,0)</f>
        <v>0</v>
      </c>
      <c r="G1060" s="37">
        <f t="array" ref="G1060">IFERROR(SUMPRODUCT(('Production Inputs'!$A:$A="LLPS")*('Production Inputs'!$B:$B="TOTAL ACTIVE")*'Production Inputs'!$FQ:$FQ),0)</f>
        <v>0</v>
      </c>
      <c r="H1060" s="30">
        <f t="shared" si="112"/>
        <v>177.28999999999996</v>
      </c>
      <c r="I1060" s="30">
        <f ca="1">IFERROR(AVERAGEIF(OFFSET(F1060,0,0,MIN(Controls!$B$8,COUNTIF(B1060:B$1973,B1060)),1),"&gt;"&amp;0),0)</f>
        <v>0</v>
      </c>
      <c r="J1060" s="38">
        <f t="shared" ca="1" si="113"/>
        <v>999</v>
      </c>
      <c r="K1060" s="30">
        <f t="shared" ca="1" si="117"/>
        <v>0</v>
      </c>
      <c r="L1060" t="str">
        <f t="shared" ca="1" si="114"/>
        <v>Overstock</v>
      </c>
      <c r="M1060" s="39">
        <f>IFERROR(VLOOKUP("LLPS",Controls!A:I,7,0),6)</f>
        <v>4</v>
      </c>
      <c r="N1060" s="39">
        <f>IFERROR(VLOOKUP("LLPS",Controls!A:I,8,0),3)</f>
        <v>3</v>
      </c>
      <c r="O1060" s="39">
        <f>IFERROR(VLOOKUP("LLPS",Controls!A:I,9,0),18)</f>
        <v>12</v>
      </c>
      <c r="P1060" s="40">
        <f>IFERROR(VLOOKUP("LLPS",Controls!A:J,5,0),0)</f>
        <v>5</v>
      </c>
      <c r="Q1060" s="39">
        <f>IFERROR(VLOOKUP("LLPS",Controls!A:J,6,0),3)</f>
        <v>4</v>
      </c>
      <c r="R1060" s="21" t="str">
        <f>IFERROR(VLOOKUP("LLPS",Controls!A:K,10,0),"")</f>
        <v>Kinovate</v>
      </c>
      <c r="S1060" s="41">
        <f t="shared" si="115"/>
        <v>50830</v>
      </c>
      <c r="T1060" s="30">
        <f t="shared" si="116"/>
        <v>0</v>
      </c>
      <c r="AB1060">
        <f t="shared" si="118"/>
        <v>93.800000000000011</v>
      </c>
    </row>
    <row r="1061" spans="1:28" ht="13" customHeight="1" x14ac:dyDescent="0.35">
      <c r="A1061" s="153">
        <v>50983</v>
      </c>
      <c r="B1061" s="36" t="s">
        <v>50</v>
      </c>
      <c r="C1061" s="15" t="s">
        <v>52</v>
      </c>
      <c r="D1061" s="15" t="s">
        <v>48</v>
      </c>
      <c r="E1061" s="30">
        <f>H1060</f>
        <v>177.28999999999996</v>
      </c>
      <c r="F1061" s="37">
        <f>IFERROR('Production Inputs'!$FR$37*Dependencies!$D$11,0)</f>
        <v>0</v>
      </c>
      <c r="G1061" s="37">
        <f t="array" ref="G1061">IFERROR(SUMPRODUCT(('Production Inputs'!$A:$A="LLPS")*('Production Inputs'!$B:$B="TOTAL ACTIVE")*'Production Inputs'!$FR:$FR),0)</f>
        <v>0</v>
      </c>
      <c r="H1061" s="30">
        <f t="shared" si="112"/>
        <v>177.28999999999996</v>
      </c>
      <c r="I1061" s="30">
        <f ca="1">IFERROR(AVERAGEIF(OFFSET(F1061,0,0,MIN(Controls!$B$8,COUNTIF(B1061:B$1973,B1061)),1),"&gt;"&amp;0),0)</f>
        <v>0</v>
      </c>
      <c r="J1061" s="38">
        <f t="shared" ca="1" si="113"/>
        <v>999</v>
      </c>
      <c r="K1061" s="30">
        <f t="shared" ca="1" si="117"/>
        <v>0</v>
      </c>
      <c r="L1061" t="str">
        <f t="shared" ca="1" si="114"/>
        <v>Overstock</v>
      </c>
      <c r="M1061" s="39">
        <f>IFERROR(VLOOKUP("LLPS",Controls!A:I,7,0),6)</f>
        <v>4</v>
      </c>
      <c r="N1061" s="39">
        <f>IFERROR(VLOOKUP("LLPS",Controls!A:I,8,0),3)</f>
        <v>3</v>
      </c>
      <c r="O1061" s="39">
        <f>IFERROR(VLOOKUP("LLPS",Controls!A:I,9,0),18)</f>
        <v>12</v>
      </c>
      <c r="P1061" s="40">
        <f>IFERROR(VLOOKUP("LLPS",Controls!A:J,5,0),0)</f>
        <v>5</v>
      </c>
      <c r="Q1061" s="39">
        <f>IFERROR(VLOOKUP("LLPS",Controls!A:J,6,0),3)</f>
        <v>4</v>
      </c>
      <c r="R1061" s="21" t="str">
        <f>IFERROR(VLOOKUP("LLPS",Controls!A:K,10,0),"")</f>
        <v>Kinovate</v>
      </c>
      <c r="S1061" s="41">
        <f t="shared" si="115"/>
        <v>50861</v>
      </c>
      <c r="T1061" s="30">
        <f t="shared" si="116"/>
        <v>0</v>
      </c>
      <c r="AB1061">
        <f t="shared" si="118"/>
        <v>93.800000000000011</v>
      </c>
    </row>
    <row r="1062" spans="1:28" ht="13" customHeight="1" x14ac:dyDescent="0.35">
      <c r="A1062" s="153">
        <v>51014</v>
      </c>
      <c r="B1062" s="36" t="s">
        <v>50</v>
      </c>
      <c r="C1062" s="15" t="s">
        <v>52</v>
      </c>
      <c r="D1062" s="15" t="s">
        <v>48</v>
      </c>
      <c r="E1062" s="30">
        <f>H1061</f>
        <v>177.28999999999996</v>
      </c>
      <c r="F1062" s="37">
        <f>IFERROR('Production Inputs'!$FS$37*Dependencies!$D$11,0)</f>
        <v>0</v>
      </c>
      <c r="G1062" s="37">
        <f t="array" ref="G1062">IFERROR(SUMPRODUCT(('Production Inputs'!$A:$A="LLPS")*('Production Inputs'!$B:$B="TOTAL ACTIVE")*'Production Inputs'!$FS:$FS),0)</f>
        <v>0</v>
      </c>
      <c r="H1062" s="30">
        <f t="shared" si="112"/>
        <v>177.28999999999996</v>
      </c>
      <c r="I1062" s="30">
        <f ca="1">IFERROR(AVERAGEIF(OFFSET(F1062,0,0,MIN(Controls!$B$8,COUNTIF(B1062:B$1973,B1062)),1),"&gt;"&amp;0),0)</f>
        <v>0</v>
      </c>
      <c r="J1062" s="38">
        <f t="shared" ca="1" si="113"/>
        <v>999</v>
      </c>
      <c r="K1062" s="30">
        <f t="shared" ca="1" si="117"/>
        <v>0</v>
      </c>
      <c r="L1062" t="str">
        <f t="shared" ca="1" si="114"/>
        <v>Overstock</v>
      </c>
      <c r="M1062" s="39">
        <f>IFERROR(VLOOKUP("LLPS",Controls!A:I,7,0),6)</f>
        <v>4</v>
      </c>
      <c r="N1062" s="39">
        <f>IFERROR(VLOOKUP("LLPS",Controls!A:I,8,0),3)</f>
        <v>3</v>
      </c>
      <c r="O1062" s="39">
        <f>IFERROR(VLOOKUP("LLPS",Controls!A:I,9,0),18)</f>
        <v>12</v>
      </c>
      <c r="P1062" s="40">
        <f>IFERROR(VLOOKUP("LLPS",Controls!A:J,5,0),0)</f>
        <v>5</v>
      </c>
      <c r="Q1062" s="39">
        <f>IFERROR(VLOOKUP("LLPS",Controls!A:J,6,0),3)</f>
        <v>4</v>
      </c>
      <c r="R1062" s="21" t="str">
        <f>IFERROR(VLOOKUP("LLPS",Controls!A:K,10,0),"")</f>
        <v>Kinovate</v>
      </c>
      <c r="S1062" s="41">
        <f t="shared" si="115"/>
        <v>50891</v>
      </c>
      <c r="T1062" s="30">
        <f t="shared" si="116"/>
        <v>0</v>
      </c>
      <c r="AB1062">
        <f t="shared" si="118"/>
        <v>93.800000000000011</v>
      </c>
    </row>
    <row r="1063" spans="1:28" ht="13" customHeight="1" x14ac:dyDescent="0.35">
      <c r="A1063" s="153">
        <v>51044</v>
      </c>
      <c r="B1063" s="36" t="s">
        <v>50</v>
      </c>
      <c r="C1063" s="15" t="s">
        <v>52</v>
      </c>
      <c r="D1063" s="15" t="s">
        <v>48</v>
      </c>
      <c r="E1063" s="30">
        <f>H1062</f>
        <v>177.28999999999996</v>
      </c>
      <c r="F1063" s="37">
        <f>IFERROR('Production Inputs'!$FT$37*Dependencies!$D$11,0)</f>
        <v>0</v>
      </c>
      <c r="G1063" s="37">
        <f t="array" ref="G1063">IFERROR(SUMPRODUCT(('Production Inputs'!$A:$A="LLPS")*('Production Inputs'!$B:$B="TOTAL ACTIVE")*'Production Inputs'!$FT:$FT),0)</f>
        <v>0</v>
      </c>
      <c r="H1063" s="30">
        <f t="shared" si="112"/>
        <v>177.28999999999996</v>
      </c>
      <c r="I1063" s="30">
        <f ca="1">IFERROR(AVERAGEIF(OFFSET(F1063,0,0,MIN(Controls!$B$8,COUNTIF(B1063:B$1973,B1063)),1),"&gt;"&amp;0),0)</f>
        <v>0</v>
      </c>
      <c r="J1063" s="38">
        <f t="shared" ca="1" si="113"/>
        <v>999</v>
      </c>
      <c r="K1063" s="30">
        <f t="shared" ca="1" si="117"/>
        <v>0</v>
      </c>
      <c r="L1063" t="str">
        <f t="shared" ca="1" si="114"/>
        <v>Overstock</v>
      </c>
      <c r="M1063" s="39">
        <f>IFERROR(VLOOKUP("LLPS",Controls!A:I,7,0),6)</f>
        <v>4</v>
      </c>
      <c r="N1063" s="39">
        <f>IFERROR(VLOOKUP("LLPS",Controls!A:I,8,0),3)</f>
        <v>3</v>
      </c>
      <c r="O1063" s="39">
        <f>IFERROR(VLOOKUP("LLPS",Controls!A:I,9,0),18)</f>
        <v>12</v>
      </c>
      <c r="P1063" s="40">
        <f>IFERROR(VLOOKUP("LLPS",Controls!A:J,5,0),0)</f>
        <v>5</v>
      </c>
      <c r="Q1063" s="39">
        <f>IFERROR(VLOOKUP("LLPS",Controls!A:J,6,0),3)</f>
        <v>4</v>
      </c>
      <c r="R1063" s="21" t="str">
        <f>IFERROR(VLOOKUP("LLPS",Controls!A:K,10,0),"")</f>
        <v>Kinovate</v>
      </c>
      <c r="S1063" s="41">
        <f t="shared" si="115"/>
        <v>50922</v>
      </c>
      <c r="T1063" s="30">
        <f t="shared" si="116"/>
        <v>0</v>
      </c>
      <c r="AB1063">
        <f t="shared" si="118"/>
        <v>93.800000000000011</v>
      </c>
    </row>
    <row r="1064" spans="1:28" ht="13" customHeight="1" x14ac:dyDescent="0.35">
      <c r="A1064" s="153">
        <v>51075</v>
      </c>
      <c r="B1064" s="36" t="s">
        <v>50</v>
      </c>
      <c r="C1064" s="15" t="s">
        <v>52</v>
      </c>
      <c r="D1064" s="15" t="s">
        <v>48</v>
      </c>
      <c r="E1064" s="30">
        <f>H1063</f>
        <v>177.28999999999996</v>
      </c>
      <c r="F1064" s="37">
        <f>IFERROR('Production Inputs'!$FU$37*Dependencies!$D$11,0)</f>
        <v>0</v>
      </c>
      <c r="G1064" s="37">
        <f t="array" ref="G1064">IFERROR(SUMPRODUCT(('Production Inputs'!$A:$A="LLPS")*('Production Inputs'!$B:$B="TOTAL ACTIVE")*'Production Inputs'!$FU:$FU),0)</f>
        <v>0</v>
      </c>
      <c r="H1064" s="30">
        <f t="shared" si="112"/>
        <v>177.28999999999996</v>
      </c>
      <c r="I1064" s="30">
        <f ca="1">IFERROR(AVERAGEIF(OFFSET(F1064,0,0,MIN(Controls!$B$8,COUNTIF(B1064:B$1973,B1064)),1),"&gt;"&amp;0),0)</f>
        <v>0</v>
      </c>
      <c r="J1064" s="38">
        <f t="shared" ca="1" si="113"/>
        <v>999</v>
      </c>
      <c r="K1064" s="30">
        <f t="shared" ca="1" si="117"/>
        <v>0</v>
      </c>
      <c r="L1064" t="str">
        <f t="shared" ca="1" si="114"/>
        <v>Overstock</v>
      </c>
      <c r="M1064" s="39">
        <f>IFERROR(VLOOKUP("LLPS",Controls!A:I,7,0),6)</f>
        <v>4</v>
      </c>
      <c r="N1064" s="39">
        <f>IFERROR(VLOOKUP("LLPS",Controls!A:I,8,0),3)</f>
        <v>3</v>
      </c>
      <c r="O1064" s="39">
        <f>IFERROR(VLOOKUP("LLPS",Controls!A:I,9,0),18)</f>
        <v>12</v>
      </c>
      <c r="P1064" s="40">
        <f>IFERROR(VLOOKUP("LLPS",Controls!A:J,5,0),0)</f>
        <v>5</v>
      </c>
      <c r="Q1064" s="39">
        <f>IFERROR(VLOOKUP("LLPS",Controls!A:J,6,0),3)</f>
        <v>4</v>
      </c>
      <c r="R1064" s="21" t="str">
        <f>IFERROR(VLOOKUP("LLPS",Controls!A:K,10,0),"")</f>
        <v>Kinovate</v>
      </c>
      <c r="S1064" s="41">
        <f t="shared" si="115"/>
        <v>50952</v>
      </c>
      <c r="T1064" s="30">
        <f t="shared" si="116"/>
        <v>0</v>
      </c>
      <c r="AB1064">
        <f t="shared" si="118"/>
        <v>93.800000000000011</v>
      </c>
    </row>
    <row r="1065" spans="1:28" ht="13" customHeight="1" x14ac:dyDescent="0.35">
      <c r="A1065" s="153">
        <v>51105</v>
      </c>
      <c r="B1065" s="36" t="s">
        <v>50</v>
      </c>
      <c r="C1065" s="15" t="s">
        <v>52</v>
      </c>
      <c r="D1065" s="15" t="s">
        <v>48</v>
      </c>
      <c r="E1065" s="30">
        <f>H1064</f>
        <v>177.28999999999996</v>
      </c>
      <c r="F1065" s="37">
        <f>IFERROR('Production Inputs'!$FV$37*Dependencies!$D$11,0)</f>
        <v>0</v>
      </c>
      <c r="G1065" s="37">
        <f t="array" ref="G1065">IFERROR(SUMPRODUCT(('Production Inputs'!$A:$A="LLPS")*('Production Inputs'!$B:$B="TOTAL ACTIVE")*'Production Inputs'!$FV:$FV),0)</f>
        <v>0</v>
      </c>
      <c r="H1065" s="30">
        <f t="shared" si="112"/>
        <v>177.28999999999996</v>
      </c>
      <c r="I1065" s="30">
        <f ca="1">IFERROR(AVERAGEIF(OFFSET(F1065,0,0,MIN(Controls!$B$8,COUNTIF(B1065:B$1973,B1065)),1),"&gt;"&amp;0),0)</f>
        <v>0</v>
      </c>
      <c r="J1065" s="38">
        <f t="shared" ca="1" si="113"/>
        <v>999</v>
      </c>
      <c r="K1065" s="30">
        <f t="shared" ca="1" si="117"/>
        <v>0</v>
      </c>
      <c r="L1065" t="str">
        <f t="shared" ca="1" si="114"/>
        <v>Overstock</v>
      </c>
      <c r="M1065" s="39">
        <f>IFERROR(VLOOKUP("LLPS",Controls!A:I,7,0),6)</f>
        <v>4</v>
      </c>
      <c r="N1065" s="39">
        <f>IFERROR(VLOOKUP("LLPS",Controls!A:I,8,0),3)</f>
        <v>3</v>
      </c>
      <c r="O1065" s="39">
        <f>IFERROR(VLOOKUP("LLPS",Controls!A:I,9,0),18)</f>
        <v>12</v>
      </c>
      <c r="P1065" s="40">
        <f>IFERROR(VLOOKUP("LLPS",Controls!A:J,5,0),0)</f>
        <v>5</v>
      </c>
      <c r="Q1065" s="39">
        <f>IFERROR(VLOOKUP("LLPS",Controls!A:J,6,0),3)</f>
        <v>4</v>
      </c>
      <c r="R1065" s="21" t="str">
        <f>IFERROR(VLOOKUP("LLPS",Controls!A:K,10,0),"")</f>
        <v>Kinovate</v>
      </c>
      <c r="S1065" s="41">
        <f t="shared" si="115"/>
        <v>50983</v>
      </c>
      <c r="T1065" s="30">
        <f t="shared" si="116"/>
        <v>0</v>
      </c>
      <c r="AB1065">
        <f t="shared" si="118"/>
        <v>93.800000000000011</v>
      </c>
    </row>
    <row r="1066" spans="1:28" ht="13" customHeight="1" x14ac:dyDescent="0.35">
      <c r="A1066" s="153">
        <v>51136</v>
      </c>
      <c r="B1066" s="36" t="s">
        <v>50</v>
      </c>
      <c r="C1066" s="15" t="s">
        <v>52</v>
      </c>
      <c r="D1066" s="15" t="s">
        <v>48</v>
      </c>
      <c r="E1066" s="30">
        <f>H1065</f>
        <v>177.28999999999996</v>
      </c>
      <c r="F1066" s="37">
        <f>IFERROR('Production Inputs'!$FW$37*Dependencies!$D$11,0)</f>
        <v>0</v>
      </c>
      <c r="G1066" s="37">
        <f t="array" ref="G1066">IFERROR(SUMPRODUCT(('Production Inputs'!$A:$A="LLPS")*('Production Inputs'!$B:$B="TOTAL ACTIVE")*'Production Inputs'!$FW:$FW),0)</f>
        <v>0</v>
      </c>
      <c r="H1066" s="30">
        <f t="shared" si="112"/>
        <v>177.28999999999996</v>
      </c>
      <c r="I1066" s="30">
        <f ca="1">IFERROR(AVERAGEIF(OFFSET(F1066,0,0,MIN(Controls!$B$8,COUNTIF(B1066:B$1973,B1066)),1),"&gt;"&amp;0),0)</f>
        <v>0</v>
      </c>
      <c r="J1066" s="38">
        <f t="shared" ca="1" si="113"/>
        <v>999</v>
      </c>
      <c r="K1066" s="30">
        <f t="shared" ca="1" si="117"/>
        <v>0</v>
      </c>
      <c r="L1066" t="str">
        <f t="shared" ca="1" si="114"/>
        <v>Overstock</v>
      </c>
      <c r="M1066" s="39">
        <f>IFERROR(VLOOKUP("LLPS",Controls!A:I,7,0),6)</f>
        <v>4</v>
      </c>
      <c r="N1066" s="39">
        <f>IFERROR(VLOOKUP("LLPS",Controls!A:I,8,0),3)</f>
        <v>3</v>
      </c>
      <c r="O1066" s="39">
        <f>IFERROR(VLOOKUP("LLPS",Controls!A:I,9,0),18)</f>
        <v>12</v>
      </c>
      <c r="P1066" s="40">
        <f>IFERROR(VLOOKUP("LLPS",Controls!A:J,5,0),0)</f>
        <v>5</v>
      </c>
      <c r="Q1066" s="39">
        <f>IFERROR(VLOOKUP("LLPS",Controls!A:J,6,0),3)</f>
        <v>4</v>
      </c>
      <c r="R1066" s="21" t="str">
        <f>IFERROR(VLOOKUP("LLPS",Controls!A:K,10,0),"")</f>
        <v>Kinovate</v>
      </c>
      <c r="S1066" s="41">
        <f t="shared" si="115"/>
        <v>51014</v>
      </c>
      <c r="T1066" s="30">
        <f t="shared" si="116"/>
        <v>0</v>
      </c>
      <c r="AB1066">
        <f t="shared" si="118"/>
        <v>93.800000000000011</v>
      </c>
    </row>
    <row r="1067" spans="1:28" ht="13" customHeight="1" x14ac:dyDescent="0.35">
      <c r="A1067" s="153">
        <v>51167</v>
      </c>
      <c r="B1067" s="36" t="s">
        <v>50</v>
      </c>
      <c r="C1067" s="15" t="s">
        <v>52</v>
      </c>
      <c r="D1067" s="15" t="s">
        <v>48</v>
      </c>
      <c r="E1067" s="30">
        <f>H1066</f>
        <v>177.28999999999996</v>
      </c>
      <c r="F1067" s="37">
        <f>IFERROR('Production Inputs'!$FX$37*Dependencies!$D$11,0)</f>
        <v>0</v>
      </c>
      <c r="G1067" s="37">
        <f t="array" ref="G1067">IFERROR(SUMPRODUCT(('Production Inputs'!$A:$A="LLPS")*('Production Inputs'!$B:$B="TOTAL ACTIVE")*'Production Inputs'!$FX:$FX),0)</f>
        <v>0</v>
      </c>
      <c r="H1067" s="30">
        <f t="shared" si="112"/>
        <v>177.28999999999996</v>
      </c>
      <c r="I1067" s="30">
        <f ca="1">IFERROR(AVERAGEIF(OFFSET(F1067,0,0,MIN(Controls!$B$8,COUNTIF(B1067:B$1973,B1067)),1),"&gt;"&amp;0),0)</f>
        <v>0</v>
      </c>
      <c r="J1067" s="38">
        <f t="shared" ca="1" si="113"/>
        <v>999</v>
      </c>
      <c r="K1067" s="30">
        <f t="shared" ca="1" si="117"/>
        <v>0</v>
      </c>
      <c r="L1067" t="str">
        <f t="shared" ca="1" si="114"/>
        <v>Overstock</v>
      </c>
      <c r="M1067" s="39">
        <f>IFERROR(VLOOKUP("LLPS",Controls!A:I,7,0),6)</f>
        <v>4</v>
      </c>
      <c r="N1067" s="39">
        <f>IFERROR(VLOOKUP("LLPS",Controls!A:I,8,0),3)</f>
        <v>3</v>
      </c>
      <c r="O1067" s="39">
        <f>IFERROR(VLOOKUP("LLPS",Controls!A:I,9,0),18)</f>
        <v>12</v>
      </c>
      <c r="P1067" s="40">
        <f>IFERROR(VLOOKUP("LLPS",Controls!A:J,5,0),0)</f>
        <v>5</v>
      </c>
      <c r="Q1067" s="39">
        <f>IFERROR(VLOOKUP("LLPS",Controls!A:J,6,0),3)</f>
        <v>4</v>
      </c>
      <c r="R1067" s="21" t="str">
        <f>IFERROR(VLOOKUP("LLPS",Controls!A:K,10,0),"")</f>
        <v>Kinovate</v>
      </c>
      <c r="S1067" s="41">
        <f t="shared" si="115"/>
        <v>51044</v>
      </c>
      <c r="T1067" s="30">
        <f t="shared" si="116"/>
        <v>0</v>
      </c>
      <c r="AB1067">
        <f t="shared" si="118"/>
        <v>93.800000000000011</v>
      </c>
    </row>
    <row r="1068" spans="1:28" ht="13" customHeight="1" x14ac:dyDescent="0.35">
      <c r="A1068" s="153">
        <v>51196</v>
      </c>
      <c r="B1068" s="36" t="s">
        <v>50</v>
      </c>
      <c r="C1068" s="15" t="s">
        <v>52</v>
      </c>
      <c r="D1068" s="15" t="s">
        <v>48</v>
      </c>
      <c r="E1068" s="30">
        <f>H1067</f>
        <v>177.28999999999996</v>
      </c>
      <c r="F1068" s="37">
        <f>IFERROR('Production Inputs'!$FY$37*Dependencies!$D$11,0)</f>
        <v>0</v>
      </c>
      <c r="G1068" s="37">
        <f t="array" ref="G1068">IFERROR(SUMPRODUCT(('Production Inputs'!$A:$A="LLPS")*('Production Inputs'!$B:$B="TOTAL ACTIVE")*'Production Inputs'!$FY:$FY),0)</f>
        <v>0</v>
      </c>
      <c r="H1068" s="30">
        <f t="shared" si="112"/>
        <v>177.28999999999996</v>
      </c>
      <c r="I1068" s="30">
        <f ca="1">IFERROR(AVERAGEIF(OFFSET(F1068,0,0,MIN(Controls!$B$8,COUNTIF(B1068:B$1973,B1068)),1),"&gt;"&amp;0),0)</f>
        <v>0</v>
      </c>
      <c r="J1068" s="38">
        <f t="shared" ca="1" si="113"/>
        <v>999</v>
      </c>
      <c r="K1068" s="30">
        <f t="shared" ca="1" si="117"/>
        <v>0</v>
      </c>
      <c r="L1068" t="str">
        <f t="shared" ca="1" si="114"/>
        <v>Overstock</v>
      </c>
      <c r="M1068" s="39">
        <f>IFERROR(VLOOKUP("LLPS",Controls!A:I,7,0),6)</f>
        <v>4</v>
      </c>
      <c r="N1068" s="39">
        <f>IFERROR(VLOOKUP("LLPS",Controls!A:I,8,0),3)</f>
        <v>3</v>
      </c>
      <c r="O1068" s="39">
        <f>IFERROR(VLOOKUP("LLPS",Controls!A:I,9,0),18)</f>
        <v>12</v>
      </c>
      <c r="P1068" s="40">
        <f>IFERROR(VLOOKUP("LLPS",Controls!A:J,5,0),0)</f>
        <v>5</v>
      </c>
      <c r="Q1068" s="39">
        <f>IFERROR(VLOOKUP("LLPS",Controls!A:J,6,0),3)</f>
        <v>4</v>
      </c>
      <c r="R1068" s="21" t="str">
        <f>IFERROR(VLOOKUP("LLPS",Controls!A:K,10,0),"")</f>
        <v>Kinovate</v>
      </c>
      <c r="S1068" s="41">
        <f t="shared" si="115"/>
        <v>51075</v>
      </c>
      <c r="T1068" s="30">
        <f t="shared" si="116"/>
        <v>0</v>
      </c>
      <c r="AB1068">
        <f t="shared" si="118"/>
        <v>93.800000000000011</v>
      </c>
    </row>
    <row r="1069" spans="1:28" ht="13" customHeight="1" x14ac:dyDescent="0.35">
      <c r="A1069" s="153">
        <v>51227</v>
      </c>
      <c r="B1069" s="36" t="s">
        <v>50</v>
      </c>
      <c r="C1069" s="15" t="s">
        <v>52</v>
      </c>
      <c r="D1069" s="15" t="s">
        <v>48</v>
      </c>
      <c r="E1069" s="30">
        <f>H1068</f>
        <v>177.28999999999996</v>
      </c>
      <c r="F1069" s="37">
        <f>IFERROR('Production Inputs'!$FZ$37*Dependencies!$D$11,0)</f>
        <v>0</v>
      </c>
      <c r="G1069" s="37">
        <f t="array" ref="G1069">IFERROR(SUMPRODUCT(('Production Inputs'!$A:$A="LLPS")*('Production Inputs'!$B:$B="TOTAL ACTIVE")*'Production Inputs'!$FZ:$FZ),0)</f>
        <v>0</v>
      </c>
      <c r="H1069" s="30">
        <f t="shared" si="112"/>
        <v>177.28999999999996</v>
      </c>
      <c r="I1069" s="30">
        <f ca="1">IFERROR(AVERAGEIF(OFFSET(F1069,0,0,MIN(Controls!$B$8,COUNTIF(B1069:B$1973,B1069)),1),"&gt;"&amp;0),0)</f>
        <v>0</v>
      </c>
      <c r="J1069" s="38">
        <f t="shared" ca="1" si="113"/>
        <v>999</v>
      </c>
      <c r="K1069" s="30">
        <f t="shared" ca="1" si="117"/>
        <v>0</v>
      </c>
      <c r="L1069" t="str">
        <f t="shared" ca="1" si="114"/>
        <v>Overstock</v>
      </c>
      <c r="M1069" s="39">
        <f>IFERROR(VLOOKUP("LLPS",Controls!A:I,7,0),6)</f>
        <v>4</v>
      </c>
      <c r="N1069" s="39">
        <f>IFERROR(VLOOKUP("LLPS",Controls!A:I,8,0),3)</f>
        <v>3</v>
      </c>
      <c r="O1069" s="39">
        <f>IFERROR(VLOOKUP("LLPS",Controls!A:I,9,0),18)</f>
        <v>12</v>
      </c>
      <c r="P1069" s="40">
        <f>IFERROR(VLOOKUP("LLPS",Controls!A:J,5,0),0)</f>
        <v>5</v>
      </c>
      <c r="Q1069" s="39">
        <f>IFERROR(VLOOKUP("LLPS",Controls!A:J,6,0),3)</f>
        <v>4</v>
      </c>
      <c r="R1069" s="21" t="str">
        <f>IFERROR(VLOOKUP("LLPS",Controls!A:K,10,0),"")</f>
        <v>Kinovate</v>
      </c>
      <c r="S1069" s="41">
        <f t="shared" si="115"/>
        <v>51105</v>
      </c>
      <c r="T1069" s="30">
        <f t="shared" si="116"/>
        <v>0</v>
      </c>
      <c r="AB1069">
        <f t="shared" si="118"/>
        <v>93.800000000000011</v>
      </c>
    </row>
    <row r="1070" spans="1:28" ht="13" customHeight="1" x14ac:dyDescent="0.35">
      <c r="A1070" s="153">
        <v>51257</v>
      </c>
      <c r="B1070" s="36" t="s">
        <v>50</v>
      </c>
      <c r="C1070" s="15" t="s">
        <v>52</v>
      </c>
      <c r="D1070" s="15" t="s">
        <v>48</v>
      </c>
      <c r="E1070" s="30">
        <f>H1069</f>
        <v>177.28999999999996</v>
      </c>
      <c r="F1070" s="37">
        <f>IFERROR('Production Inputs'!$GA$37*Dependencies!$D$11,0)</f>
        <v>0</v>
      </c>
      <c r="G1070" s="37">
        <f t="array" ref="G1070">IFERROR(SUMPRODUCT(('Production Inputs'!$A:$A="LLPS")*('Production Inputs'!$B:$B="TOTAL ACTIVE")*'Production Inputs'!$GA:$GA),0)</f>
        <v>0</v>
      </c>
      <c r="H1070" s="30">
        <f t="shared" si="112"/>
        <v>177.28999999999996</v>
      </c>
      <c r="I1070" s="30">
        <f ca="1">IFERROR(AVERAGEIF(OFFSET(F1070,0,0,MIN(Controls!$B$8,COUNTIF(B1070:B$1973,B1070)),1),"&gt;"&amp;0),0)</f>
        <v>0</v>
      </c>
      <c r="J1070" s="38">
        <f t="shared" ca="1" si="113"/>
        <v>999</v>
      </c>
      <c r="K1070" s="30">
        <f t="shared" ca="1" si="117"/>
        <v>0</v>
      </c>
      <c r="L1070" t="str">
        <f t="shared" ca="1" si="114"/>
        <v>Overstock</v>
      </c>
      <c r="M1070" s="39">
        <f>IFERROR(VLOOKUP("LLPS",Controls!A:I,7,0),6)</f>
        <v>4</v>
      </c>
      <c r="N1070" s="39">
        <f>IFERROR(VLOOKUP("LLPS",Controls!A:I,8,0),3)</f>
        <v>3</v>
      </c>
      <c r="O1070" s="39">
        <f>IFERROR(VLOOKUP("LLPS",Controls!A:I,9,0),18)</f>
        <v>12</v>
      </c>
      <c r="P1070" s="40">
        <f>IFERROR(VLOOKUP("LLPS",Controls!A:J,5,0),0)</f>
        <v>5</v>
      </c>
      <c r="Q1070" s="39">
        <f>IFERROR(VLOOKUP("LLPS",Controls!A:J,6,0),3)</f>
        <v>4</v>
      </c>
      <c r="R1070" s="21" t="str">
        <f>IFERROR(VLOOKUP("LLPS",Controls!A:K,10,0),"")</f>
        <v>Kinovate</v>
      </c>
      <c r="S1070" s="41">
        <f t="shared" si="115"/>
        <v>51136</v>
      </c>
      <c r="T1070" s="30">
        <f t="shared" si="116"/>
        <v>0</v>
      </c>
      <c r="AB1070">
        <f t="shared" si="118"/>
        <v>93.800000000000011</v>
      </c>
    </row>
    <row r="1071" spans="1:28" ht="13" customHeight="1" x14ac:dyDescent="0.35">
      <c r="A1071" s="153">
        <v>51288</v>
      </c>
      <c r="B1071" s="36" t="s">
        <v>50</v>
      </c>
      <c r="C1071" s="15" t="s">
        <v>52</v>
      </c>
      <c r="D1071" s="15" t="s">
        <v>48</v>
      </c>
      <c r="E1071" s="30">
        <f>H1070</f>
        <v>177.28999999999996</v>
      </c>
      <c r="F1071" s="37">
        <f>IFERROR('Production Inputs'!$GB$37*Dependencies!$D$11,0)</f>
        <v>0</v>
      </c>
      <c r="G1071" s="37">
        <f t="array" ref="G1071">IFERROR(SUMPRODUCT(('Production Inputs'!$A:$A="LLPS")*('Production Inputs'!$B:$B="TOTAL ACTIVE")*'Production Inputs'!$GB:$GB),0)</f>
        <v>0</v>
      </c>
      <c r="H1071" s="30">
        <f t="shared" si="112"/>
        <v>177.28999999999996</v>
      </c>
      <c r="I1071" s="30">
        <f ca="1">IFERROR(AVERAGEIF(OFFSET(F1071,0,0,MIN(Controls!$B$8,COUNTIF(B1071:B$1973,B1071)),1),"&gt;"&amp;0),0)</f>
        <v>0</v>
      </c>
      <c r="J1071" s="38">
        <f t="shared" ca="1" si="113"/>
        <v>999</v>
      </c>
      <c r="K1071" s="30">
        <f t="shared" ca="1" si="117"/>
        <v>0</v>
      </c>
      <c r="L1071" t="str">
        <f t="shared" ca="1" si="114"/>
        <v>Overstock</v>
      </c>
      <c r="M1071" s="39">
        <f>IFERROR(VLOOKUP("LLPS",Controls!A:I,7,0),6)</f>
        <v>4</v>
      </c>
      <c r="N1071" s="39">
        <f>IFERROR(VLOOKUP("LLPS",Controls!A:I,8,0),3)</f>
        <v>3</v>
      </c>
      <c r="O1071" s="39">
        <f>IFERROR(VLOOKUP("LLPS",Controls!A:I,9,0),18)</f>
        <v>12</v>
      </c>
      <c r="P1071" s="40">
        <f>IFERROR(VLOOKUP("LLPS",Controls!A:J,5,0),0)</f>
        <v>5</v>
      </c>
      <c r="Q1071" s="39">
        <f>IFERROR(VLOOKUP("LLPS",Controls!A:J,6,0),3)</f>
        <v>4</v>
      </c>
      <c r="R1071" s="21" t="str">
        <f>IFERROR(VLOOKUP("LLPS",Controls!A:K,10,0),"")</f>
        <v>Kinovate</v>
      </c>
      <c r="S1071" s="41">
        <f t="shared" si="115"/>
        <v>51167</v>
      </c>
      <c r="T1071" s="30">
        <f t="shared" si="116"/>
        <v>0</v>
      </c>
      <c r="AB1071">
        <f t="shared" si="118"/>
        <v>93.800000000000011</v>
      </c>
    </row>
    <row r="1072" spans="1:28" ht="13" customHeight="1" x14ac:dyDescent="0.35">
      <c r="A1072" s="153">
        <v>51318</v>
      </c>
      <c r="B1072" s="36" t="s">
        <v>50</v>
      </c>
      <c r="C1072" s="15" t="s">
        <v>52</v>
      </c>
      <c r="D1072" s="15" t="s">
        <v>48</v>
      </c>
      <c r="E1072" s="30">
        <f>H1071</f>
        <v>177.28999999999996</v>
      </c>
      <c r="F1072" s="37">
        <f>IFERROR('Production Inputs'!$GC$37*Dependencies!$D$11,0)</f>
        <v>0</v>
      </c>
      <c r="G1072" s="37">
        <f t="array" ref="G1072">IFERROR(SUMPRODUCT(('Production Inputs'!$A:$A="LLPS")*('Production Inputs'!$B:$B="TOTAL ACTIVE")*'Production Inputs'!$GC:$GC),0)</f>
        <v>0</v>
      </c>
      <c r="H1072" s="30">
        <f t="shared" si="112"/>
        <v>177.28999999999996</v>
      </c>
      <c r="I1072" s="30">
        <f ca="1">IFERROR(AVERAGEIF(OFFSET(F1072,0,0,MIN(Controls!$B$8,COUNTIF(B1072:B$1973,B1072)),1),"&gt;"&amp;0),0)</f>
        <v>0</v>
      </c>
      <c r="J1072" s="38">
        <f t="shared" ca="1" si="113"/>
        <v>999</v>
      </c>
      <c r="K1072" s="30">
        <f t="shared" ca="1" si="117"/>
        <v>0</v>
      </c>
      <c r="L1072" t="str">
        <f t="shared" ca="1" si="114"/>
        <v>Overstock</v>
      </c>
      <c r="M1072" s="39">
        <f>IFERROR(VLOOKUP("LLPS",Controls!A:I,7,0),6)</f>
        <v>4</v>
      </c>
      <c r="N1072" s="39">
        <f>IFERROR(VLOOKUP("LLPS",Controls!A:I,8,0),3)</f>
        <v>3</v>
      </c>
      <c r="O1072" s="39">
        <f>IFERROR(VLOOKUP("LLPS",Controls!A:I,9,0),18)</f>
        <v>12</v>
      </c>
      <c r="P1072" s="40">
        <f>IFERROR(VLOOKUP("LLPS",Controls!A:J,5,0),0)</f>
        <v>5</v>
      </c>
      <c r="Q1072" s="39">
        <f>IFERROR(VLOOKUP("LLPS",Controls!A:J,6,0),3)</f>
        <v>4</v>
      </c>
      <c r="R1072" s="21" t="str">
        <f>IFERROR(VLOOKUP("LLPS",Controls!A:K,10,0),"")</f>
        <v>Kinovate</v>
      </c>
      <c r="S1072" s="41">
        <f t="shared" si="115"/>
        <v>51196</v>
      </c>
      <c r="T1072" s="30">
        <f t="shared" si="116"/>
        <v>0</v>
      </c>
      <c r="AB1072">
        <f t="shared" si="118"/>
        <v>93.800000000000011</v>
      </c>
    </row>
    <row r="1073" spans="1:28" ht="13" customHeight="1" x14ac:dyDescent="0.35">
      <c r="A1073" s="153">
        <v>51349</v>
      </c>
      <c r="B1073" s="36" t="s">
        <v>50</v>
      </c>
      <c r="C1073" s="15" t="s">
        <v>52</v>
      </c>
      <c r="D1073" s="15" t="s">
        <v>48</v>
      </c>
      <c r="E1073" s="30">
        <f>H1072</f>
        <v>177.28999999999996</v>
      </c>
      <c r="F1073" s="37">
        <f>IFERROR('Production Inputs'!$GD$37*Dependencies!$D$11,0)</f>
        <v>0</v>
      </c>
      <c r="G1073" s="37">
        <f t="array" ref="G1073">IFERROR(SUMPRODUCT(('Production Inputs'!$A:$A="LLPS")*('Production Inputs'!$B:$B="TOTAL ACTIVE")*'Production Inputs'!$GD:$GD),0)</f>
        <v>0</v>
      </c>
      <c r="H1073" s="30">
        <f t="shared" si="112"/>
        <v>177.28999999999996</v>
      </c>
      <c r="I1073" s="30">
        <f ca="1">IFERROR(AVERAGEIF(OFFSET(F1073,0,0,MIN(Controls!$B$8,COUNTIF(B1073:B$1973,B1073)),1),"&gt;"&amp;0),0)</f>
        <v>0</v>
      </c>
      <c r="J1073" s="38">
        <f t="shared" ca="1" si="113"/>
        <v>999</v>
      </c>
      <c r="K1073" s="30">
        <f t="shared" ca="1" si="117"/>
        <v>0</v>
      </c>
      <c r="L1073" t="str">
        <f t="shared" ca="1" si="114"/>
        <v>Overstock</v>
      </c>
      <c r="M1073" s="39">
        <f>IFERROR(VLOOKUP("LLPS",Controls!A:I,7,0),6)</f>
        <v>4</v>
      </c>
      <c r="N1073" s="39">
        <f>IFERROR(VLOOKUP("LLPS",Controls!A:I,8,0),3)</f>
        <v>3</v>
      </c>
      <c r="O1073" s="39">
        <f>IFERROR(VLOOKUP("LLPS",Controls!A:I,9,0),18)</f>
        <v>12</v>
      </c>
      <c r="P1073" s="40">
        <f>IFERROR(VLOOKUP("LLPS",Controls!A:J,5,0),0)</f>
        <v>5</v>
      </c>
      <c r="Q1073" s="39">
        <f>IFERROR(VLOOKUP("LLPS",Controls!A:J,6,0),3)</f>
        <v>4</v>
      </c>
      <c r="R1073" s="21" t="str">
        <f>IFERROR(VLOOKUP("LLPS",Controls!A:K,10,0),"")</f>
        <v>Kinovate</v>
      </c>
      <c r="S1073" s="41">
        <f t="shared" si="115"/>
        <v>51227</v>
      </c>
      <c r="T1073" s="30">
        <f t="shared" si="116"/>
        <v>0</v>
      </c>
      <c r="AB1073">
        <f t="shared" si="118"/>
        <v>93.800000000000011</v>
      </c>
    </row>
    <row r="1074" spans="1:28" ht="13" customHeight="1" x14ac:dyDescent="0.35">
      <c r="A1074" s="153">
        <v>51380</v>
      </c>
      <c r="B1074" s="36" t="s">
        <v>50</v>
      </c>
      <c r="C1074" s="15" t="s">
        <v>52</v>
      </c>
      <c r="D1074" s="15" t="s">
        <v>48</v>
      </c>
      <c r="E1074" s="30">
        <f>H1073</f>
        <v>177.28999999999996</v>
      </c>
      <c r="F1074" s="37">
        <f>IFERROR('Production Inputs'!$GE$37*Dependencies!$D$11,0)</f>
        <v>0</v>
      </c>
      <c r="G1074" s="37">
        <f t="array" ref="G1074">IFERROR(SUMPRODUCT(('Production Inputs'!$A:$A="LLPS")*('Production Inputs'!$B:$B="TOTAL ACTIVE")*'Production Inputs'!$GE:$GE),0)</f>
        <v>0</v>
      </c>
      <c r="H1074" s="30">
        <f t="shared" si="112"/>
        <v>177.28999999999996</v>
      </c>
      <c r="I1074" s="30">
        <f ca="1">IFERROR(AVERAGEIF(OFFSET(F1074,0,0,MIN(Controls!$B$8,COUNTIF(B1074:B$1973,B1074)),1),"&gt;"&amp;0),0)</f>
        <v>0</v>
      </c>
      <c r="J1074" s="38">
        <f t="shared" ca="1" si="113"/>
        <v>999</v>
      </c>
      <c r="K1074" s="30">
        <f t="shared" ca="1" si="117"/>
        <v>0</v>
      </c>
      <c r="L1074" t="str">
        <f t="shared" ca="1" si="114"/>
        <v>Overstock</v>
      </c>
      <c r="M1074" s="39">
        <f>IFERROR(VLOOKUP("LLPS",Controls!A:I,7,0),6)</f>
        <v>4</v>
      </c>
      <c r="N1074" s="39">
        <f>IFERROR(VLOOKUP("LLPS",Controls!A:I,8,0),3)</f>
        <v>3</v>
      </c>
      <c r="O1074" s="39">
        <f>IFERROR(VLOOKUP("LLPS",Controls!A:I,9,0),18)</f>
        <v>12</v>
      </c>
      <c r="P1074" s="40">
        <f>IFERROR(VLOOKUP("LLPS",Controls!A:J,5,0),0)</f>
        <v>5</v>
      </c>
      <c r="Q1074" s="39">
        <f>IFERROR(VLOOKUP("LLPS",Controls!A:J,6,0),3)</f>
        <v>4</v>
      </c>
      <c r="R1074" s="21" t="str">
        <f>IFERROR(VLOOKUP("LLPS",Controls!A:K,10,0),"")</f>
        <v>Kinovate</v>
      </c>
      <c r="S1074" s="41">
        <f t="shared" si="115"/>
        <v>51257</v>
      </c>
      <c r="T1074" s="30">
        <f t="shared" si="116"/>
        <v>0</v>
      </c>
      <c r="AB1074">
        <f t="shared" si="118"/>
        <v>93.800000000000011</v>
      </c>
    </row>
    <row r="1075" spans="1:28" ht="13" customHeight="1" x14ac:dyDescent="0.35">
      <c r="A1075" s="153">
        <v>51410</v>
      </c>
      <c r="B1075" s="36" t="s">
        <v>50</v>
      </c>
      <c r="C1075" s="15" t="s">
        <v>52</v>
      </c>
      <c r="D1075" s="15" t="s">
        <v>48</v>
      </c>
      <c r="E1075" s="30">
        <f>H1074</f>
        <v>177.28999999999996</v>
      </c>
      <c r="F1075" s="37">
        <f>IFERROR('Production Inputs'!$GF$37*Dependencies!$D$11,0)</f>
        <v>0</v>
      </c>
      <c r="G1075" s="37">
        <f t="array" ref="G1075">IFERROR(SUMPRODUCT(('Production Inputs'!$A:$A="LLPS")*('Production Inputs'!$B:$B="TOTAL ACTIVE")*'Production Inputs'!$GF:$GF),0)</f>
        <v>0</v>
      </c>
      <c r="H1075" s="30">
        <f t="shared" si="112"/>
        <v>177.28999999999996</v>
      </c>
      <c r="I1075" s="30">
        <f ca="1">IFERROR(AVERAGEIF(OFFSET(F1075,0,0,MIN(Controls!$B$8,COUNTIF(B1075:B$1973,B1075)),1),"&gt;"&amp;0),0)</f>
        <v>0</v>
      </c>
      <c r="J1075" s="38">
        <f t="shared" ca="1" si="113"/>
        <v>999</v>
      </c>
      <c r="K1075" s="30">
        <f t="shared" ca="1" si="117"/>
        <v>0</v>
      </c>
      <c r="L1075" t="str">
        <f t="shared" ca="1" si="114"/>
        <v>Overstock</v>
      </c>
      <c r="M1075" s="39">
        <f>IFERROR(VLOOKUP("LLPS",Controls!A:I,7,0),6)</f>
        <v>4</v>
      </c>
      <c r="N1075" s="39">
        <f>IFERROR(VLOOKUP("LLPS",Controls!A:I,8,0),3)</f>
        <v>3</v>
      </c>
      <c r="O1075" s="39">
        <f>IFERROR(VLOOKUP("LLPS",Controls!A:I,9,0),18)</f>
        <v>12</v>
      </c>
      <c r="P1075" s="40">
        <f>IFERROR(VLOOKUP("LLPS",Controls!A:J,5,0),0)</f>
        <v>5</v>
      </c>
      <c r="Q1075" s="39">
        <f>IFERROR(VLOOKUP("LLPS",Controls!A:J,6,0),3)</f>
        <v>4</v>
      </c>
      <c r="R1075" s="21" t="str">
        <f>IFERROR(VLOOKUP("LLPS",Controls!A:K,10,0),"")</f>
        <v>Kinovate</v>
      </c>
      <c r="S1075" s="41">
        <f t="shared" si="115"/>
        <v>51288</v>
      </c>
      <c r="T1075" s="30">
        <f t="shared" si="116"/>
        <v>0</v>
      </c>
      <c r="AB1075">
        <f t="shared" si="118"/>
        <v>93.800000000000011</v>
      </c>
    </row>
    <row r="1076" spans="1:28" ht="13" customHeight="1" x14ac:dyDescent="0.35">
      <c r="A1076" s="153">
        <v>51441</v>
      </c>
      <c r="B1076" s="36" t="s">
        <v>50</v>
      </c>
      <c r="C1076" s="15" t="s">
        <v>52</v>
      </c>
      <c r="D1076" s="15" t="s">
        <v>48</v>
      </c>
      <c r="E1076" s="30">
        <f>H1075</f>
        <v>177.28999999999996</v>
      </c>
      <c r="F1076" s="37">
        <f>IFERROR('Production Inputs'!$GG$37*Dependencies!$D$11,0)</f>
        <v>0</v>
      </c>
      <c r="G1076" s="37">
        <f t="array" ref="G1076">IFERROR(SUMPRODUCT(('Production Inputs'!$A:$A="LLPS")*('Production Inputs'!$B:$B="TOTAL ACTIVE")*'Production Inputs'!$GG:$GG),0)</f>
        <v>0</v>
      </c>
      <c r="H1076" s="30">
        <f t="shared" si="112"/>
        <v>177.28999999999996</v>
      </c>
      <c r="I1076" s="30">
        <f ca="1">IFERROR(AVERAGEIF(OFFSET(F1076,0,0,MIN(Controls!$B$8,COUNTIF(B1076:B$1973,B1076)),1),"&gt;"&amp;0),0)</f>
        <v>0</v>
      </c>
      <c r="J1076" s="38">
        <f t="shared" ca="1" si="113"/>
        <v>999</v>
      </c>
      <c r="K1076" s="30">
        <f t="shared" ca="1" si="117"/>
        <v>0</v>
      </c>
      <c r="L1076" t="str">
        <f t="shared" ca="1" si="114"/>
        <v>Overstock</v>
      </c>
      <c r="M1076" s="39">
        <f>IFERROR(VLOOKUP("LLPS",Controls!A:I,7,0),6)</f>
        <v>4</v>
      </c>
      <c r="N1076" s="39">
        <f>IFERROR(VLOOKUP("LLPS",Controls!A:I,8,0),3)</f>
        <v>3</v>
      </c>
      <c r="O1076" s="39">
        <f>IFERROR(VLOOKUP("LLPS",Controls!A:I,9,0),18)</f>
        <v>12</v>
      </c>
      <c r="P1076" s="40">
        <f>IFERROR(VLOOKUP("LLPS",Controls!A:J,5,0),0)</f>
        <v>5</v>
      </c>
      <c r="Q1076" s="39">
        <f>IFERROR(VLOOKUP("LLPS",Controls!A:J,6,0),3)</f>
        <v>4</v>
      </c>
      <c r="R1076" s="21" t="str">
        <f>IFERROR(VLOOKUP("LLPS",Controls!A:K,10,0),"")</f>
        <v>Kinovate</v>
      </c>
      <c r="S1076" s="41">
        <f t="shared" si="115"/>
        <v>51318</v>
      </c>
      <c r="T1076" s="30">
        <f t="shared" si="116"/>
        <v>0</v>
      </c>
      <c r="AB1076">
        <f t="shared" si="118"/>
        <v>93.800000000000011</v>
      </c>
    </row>
    <row r="1077" spans="1:28" ht="13" customHeight="1" x14ac:dyDescent="0.35">
      <c r="A1077" s="153">
        <v>51471</v>
      </c>
      <c r="B1077" s="36" t="s">
        <v>50</v>
      </c>
      <c r="C1077" s="15" t="s">
        <v>52</v>
      </c>
      <c r="D1077" s="15" t="s">
        <v>48</v>
      </c>
      <c r="E1077" s="30">
        <f>H1076</f>
        <v>177.28999999999996</v>
      </c>
      <c r="F1077" s="37">
        <f>IFERROR('Production Inputs'!$GH$37*Dependencies!$D$11,0)</f>
        <v>0</v>
      </c>
      <c r="G1077" s="37">
        <f t="array" ref="G1077">IFERROR(SUMPRODUCT(('Production Inputs'!$A:$A="LLPS")*('Production Inputs'!$B:$B="TOTAL ACTIVE")*'Production Inputs'!$GH:$GH),0)</f>
        <v>0</v>
      </c>
      <c r="H1077" s="30">
        <f t="shared" si="112"/>
        <v>177.28999999999996</v>
      </c>
      <c r="I1077" s="30">
        <f ca="1">IFERROR(AVERAGEIF(OFFSET(F1077,0,0,MIN(Controls!$B$8,COUNTIF(B1077:B$1973,B1077)),1),"&gt;"&amp;0),0)</f>
        <v>0</v>
      </c>
      <c r="J1077" s="38">
        <f t="shared" ca="1" si="113"/>
        <v>999</v>
      </c>
      <c r="K1077" s="30">
        <f t="shared" ca="1" si="117"/>
        <v>0</v>
      </c>
      <c r="L1077" t="str">
        <f t="shared" ca="1" si="114"/>
        <v>Overstock</v>
      </c>
      <c r="M1077" s="39">
        <f>IFERROR(VLOOKUP("LLPS",Controls!A:I,7,0),6)</f>
        <v>4</v>
      </c>
      <c r="N1077" s="39">
        <f>IFERROR(VLOOKUP("LLPS",Controls!A:I,8,0),3)</f>
        <v>3</v>
      </c>
      <c r="O1077" s="39">
        <f>IFERROR(VLOOKUP("LLPS",Controls!A:I,9,0),18)</f>
        <v>12</v>
      </c>
      <c r="P1077" s="40">
        <f>IFERROR(VLOOKUP("LLPS",Controls!A:J,5,0),0)</f>
        <v>5</v>
      </c>
      <c r="Q1077" s="39">
        <f>IFERROR(VLOOKUP("LLPS",Controls!A:J,6,0),3)</f>
        <v>4</v>
      </c>
      <c r="R1077" s="21" t="str">
        <f>IFERROR(VLOOKUP("LLPS",Controls!A:K,10,0),"")</f>
        <v>Kinovate</v>
      </c>
      <c r="S1077" s="41">
        <f t="shared" si="115"/>
        <v>51349</v>
      </c>
      <c r="T1077" s="30">
        <f t="shared" si="116"/>
        <v>0</v>
      </c>
      <c r="AB1077">
        <f t="shared" si="118"/>
        <v>93.800000000000011</v>
      </c>
    </row>
    <row r="1078" spans="1:28" ht="13" customHeight="1" x14ac:dyDescent="0.35">
      <c r="A1078" s="153">
        <v>46054</v>
      </c>
      <c r="B1078" s="36" t="s">
        <v>54</v>
      </c>
      <c r="C1078" s="15" t="s">
        <v>52</v>
      </c>
      <c r="D1078" s="15" t="s">
        <v>48</v>
      </c>
      <c r="E1078" s="199">
        <f>IFERROR(VLOOKUP("APAD",Controls!A:D,4,0),0)</f>
        <v>374.84</v>
      </c>
      <c r="F1078" s="199">
        <f>IFERROR('Production Inputs'!$L$37*Dependencies!$D$13,0)</f>
        <v>0</v>
      </c>
      <c r="G1078" s="199">
        <f t="array" ref="G1078">IFERROR(SUMPRODUCT(('Production Inputs'!$A:$A="APAD")*('Production Inputs'!$B:$B="TOTAL ACTIVE")*'Production Inputs'!$L:$L),0)</f>
        <v>0</v>
      </c>
      <c r="H1078" s="199">
        <f t="shared" si="112"/>
        <v>374.84</v>
      </c>
      <c r="I1078" s="30">
        <f ca="1">IFERROR(AVERAGEIF(OFFSET(F1078,0,0,MIN(Controls!$B$8,COUNTIF(B1078:B$1973,B1078)),1),"&gt;"&amp;0),0)</f>
        <v>58.720000000000006</v>
      </c>
      <c r="J1078" s="38">
        <f t="shared" ca="1" si="113"/>
        <v>6.3835149863760208</v>
      </c>
      <c r="K1078" s="30">
        <f t="shared" ca="1" si="117"/>
        <v>0</v>
      </c>
      <c r="L1078" t="str">
        <f t="shared" ca="1" si="114"/>
        <v>Low</v>
      </c>
      <c r="M1078" s="39">
        <f>IFERROR(VLOOKUP("APAD",Controls!A:I,7,0),6)</f>
        <v>4</v>
      </c>
      <c r="N1078" s="39">
        <f>IFERROR(VLOOKUP("APAD",Controls!A:I,8,0),3)</f>
        <v>3</v>
      </c>
      <c r="O1078" s="39">
        <f>IFERROR(VLOOKUP("APAD",Controls!A:I,9,0),18)</f>
        <v>12</v>
      </c>
      <c r="P1078" s="40">
        <f>IFERROR(VLOOKUP("APAD",Controls!A:J,5,0),0)</f>
        <v>165</v>
      </c>
      <c r="Q1078" s="39">
        <f>IFERROR(VLOOKUP("APAD",Controls!A:J,6,0),3)</f>
        <v>4</v>
      </c>
      <c r="R1078" s="21" t="str">
        <f>IFERROR(VLOOKUP("APAD",Controls!A:K,10,0),"")</f>
        <v>ST Pharm</v>
      </c>
      <c r="S1078" s="41">
        <f t="shared" si="115"/>
        <v>45931</v>
      </c>
      <c r="T1078" s="30">
        <f t="shared" si="116"/>
        <v>0</v>
      </c>
      <c r="W1078" s="205" cm="1">
        <f t="array" ref="W1078">IF(0&lt;Controls!$B$7,INDEX(A1078:A1256,MATCH(Controls!$B$5,A1078:A1256,1)+0),NA())</f>
        <v>46113</v>
      </c>
      <c r="X1078" cm="1">
        <f t="array" ref="X1078">IF(0&lt;Controls!$B$7,INDEX(F1078:F1256,MATCH(Controls!$B$5,A1078:A1256,1)+0),NA())</f>
        <v>0</v>
      </c>
      <c r="Y1078" cm="1">
        <f t="array" ref="Y1078">IF(0&lt;Controls!$B$7,INDEX(G1078:G1256,MATCH(Controls!$B$5,A1078:A1256,1)+0),NA())</f>
        <v>0</v>
      </c>
      <c r="Z1078" cm="1">
        <f t="array" ref="Z1078">IF(0&lt;Controls!$B$7,INDEX(H1078:H1256,MATCH(Controls!$B$5,A1078:A1256,1)+0),NA())</f>
        <v>374.84</v>
      </c>
      <c r="AA1078" cm="1">
        <f t="array" aca="1" ref="AA1078" ca="1">IF(0&lt;Controls!$B$7,INDEX(M1078:M1256,MATCH(Controls!$B$5,A1078:A1256,1)+0)*INDEX(I1078:I1256,MATCH(Controls!$B$5,A1078:A1256,1)+0),NA())</f>
        <v>234.88000000000002</v>
      </c>
      <c r="AB1078">
        <f t="shared" si="118"/>
        <v>0</v>
      </c>
    </row>
    <row r="1079" spans="1:28" ht="13" customHeight="1" x14ac:dyDescent="0.35">
      <c r="A1079" s="153">
        <v>46082</v>
      </c>
      <c r="B1079" s="36" t="s">
        <v>54</v>
      </c>
      <c r="C1079" s="15" t="s">
        <v>52</v>
      </c>
      <c r="D1079" s="15" t="s">
        <v>48</v>
      </c>
      <c r="E1079" s="199">
        <f>H1078</f>
        <v>374.84</v>
      </c>
      <c r="F1079" s="199">
        <f>IFERROR('Production Inputs'!$M$37*Dependencies!$D$13,0)</f>
        <v>0</v>
      </c>
      <c r="G1079" s="199">
        <f t="array" ref="G1079">IFERROR(SUMPRODUCT(('Production Inputs'!$A:$A="APAD")*('Production Inputs'!$B:$B="TOTAL ACTIVE")*'Production Inputs'!$M:$M),0)</f>
        <v>0</v>
      </c>
      <c r="H1079" s="199">
        <v>374.84</v>
      </c>
      <c r="I1079" s="30">
        <f ca="1">IFERROR(AVERAGEIF(OFFSET(F1079,0,0,MIN(Controls!$B$8,COUNTIF(B1079:B$1973,B1079)),1),"&gt;"&amp;0),0)</f>
        <v>58.720000000000006</v>
      </c>
      <c r="J1079" s="38">
        <f t="shared" ca="1" si="113"/>
        <v>6.3835149863760208</v>
      </c>
      <c r="K1079" s="30">
        <f t="shared" ca="1" si="117"/>
        <v>0</v>
      </c>
      <c r="L1079" t="str">
        <f t="shared" ca="1" si="114"/>
        <v>Low</v>
      </c>
      <c r="M1079" s="39">
        <f>IFERROR(VLOOKUP("APAD",Controls!A:I,7,0),6)</f>
        <v>4</v>
      </c>
      <c r="N1079" s="39">
        <f>IFERROR(VLOOKUP("APAD",Controls!A:I,8,0),3)</f>
        <v>3</v>
      </c>
      <c r="O1079" s="39">
        <f>IFERROR(VLOOKUP("APAD",Controls!A:I,9,0),18)</f>
        <v>12</v>
      </c>
      <c r="P1079" s="40">
        <f>IFERROR(VLOOKUP("APAD",Controls!A:J,5,0),0)</f>
        <v>165</v>
      </c>
      <c r="Q1079" s="39">
        <f>IFERROR(VLOOKUP("APAD",Controls!A:J,6,0),3)</f>
        <v>4</v>
      </c>
      <c r="R1079" s="21" t="str">
        <f>IFERROR(VLOOKUP("APAD",Controls!A:K,10,0),"")</f>
        <v>ST Pharm</v>
      </c>
      <c r="S1079" s="41">
        <f t="shared" si="115"/>
        <v>45962</v>
      </c>
      <c r="T1079" s="30">
        <f t="shared" si="116"/>
        <v>0</v>
      </c>
      <c r="W1079" s="205" cm="1">
        <f t="array" ref="W1079">IF(1&lt;Controls!$B$7,INDEX(A1078:A1256,MATCH(Controls!$B$5,A1078:A1256,1)+1),NA())</f>
        <v>46143</v>
      </c>
      <c r="X1079" cm="1">
        <f t="array" ref="X1079">IF(1&lt;Controls!$B$7,INDEX(F1078:F1256,MATCH(Controls!$B$5,A1078:A1256,1)+1),NA())</f>
        <v>58.72</v>
      </c>
      <c r="Y1079" cm="1">
        <f t="array" ref="Y1079">IF(1&lt;Controls!$B$7,INDEX(G1078:G1256,MATCH(Controls!$B$5,A1078:A1256,1)+1),NA())</f>
        <v>0</v>
      </c>
      <c r="Z1079" cm="1">
        <f t="array" ref="Z1079">IF(1&lt;Controls!$B$7,INDEX(H1078:H1256,MATCH(Controls!$B$5,A1078:A1256,1)+1),NA())</f>
        <v>316.12</v>
      </c>
      <c r="AA1079" cm="1">
        <f t="array" aca="1" ref="AA1079" ca="1">IF(1&lt;Controls!$B$7,INDEX(M1078:M1256,MATCH(Controls!$B$5,A1078:A1256,1)+1)*INDEX(I1078:I1256,MATCH(Controls!$B$5,A1078:A1256,1)+1),NA())</f>
        <v>234.88000000000002</v>
      </c>
      <c r="AB1079">
        <f t="shared" si="118"/>
        <v>0</v>
      </c>
    </row>
    <row r="1080" spans="1:28" ht="13" customHeight="1" x14ac:dyDescent="0.35">
      <c r="A1080" s="153">
        <v>46113</v>
      </c>
      <c r="B1080" s="36" t="s">
        <v>54</v>
      </c>
      <c r="C1080" s="15" t="s">
        <v>52</v>
      </c>
      <c r="D1080" s="15" t="s">
        <v>48</v>
      </c>
      <c r="E1080" s="30">
        <f>H1079</f>
        <v>374.84</v>
      </c>
      <c r="F1080" s="37">
        <f>IFERROR('Production Inputs'!$N$37*Dependencies!$D$13,0)</f>
        <v>0</v>
      </c>
      <c r="G1080" s="37">
        <f t="array" ref="G1080">IFERROR(SUMPRODUCT(('Production Inputs'!$A:$A="APAD")*('Production Inputs'!$B:$B="TOTAL ACTIVE")*'Production Inputs'!$N:$N),0)</f>
        <v>0</v>
      </c>
      <c r="H1080" s="30">
        <f t="shared" si="112"/>
        <v>374.84</v>
      </c>
      <c r="I1080" s="30">
        <f ca="1">IFERROR(AVERAGEIF(OFFSET(F1080,0,0,MIN(Controls!$B$8,COUNTIF(B1080:B$1973,B1080)),1),"&gt;"&amp;0),0)</f>
        <v>58.720000000000006</v>
      </c>
      <c r="J1080" s="38">
        <f t="shared" ca="1" si="113"/>
        <v>6.3835149863760208</v>
      </c>
      <c r="K1080" s="30">
        <f t="shared" ca="1" si="117"/>
        <v>0</v>
      </c>
      <c r="L1080" t="str">
        <f t="shared" ca="1" si="114"/>
        <v>Low</v>
      </c>
      <c r="M1080" s="39">
        <f>IFERROR(VLOOKUP("APAD",Controls!A:I,7,0),6)</f>
        <v>4</v>
      </c>
      <c r="N1080" s="39">
        <f>IFERROR(VLOOKUP("APAD",Controls!A:I,8,0),3)</f>
        <v>3</v>
      </c>
      <c r="O1080" s="39">
        <f>IFERROR(VLOOKUP("APAD",Controls!A:I,9,0),18)</f>
        <v>12</v>
      </c>
      <c r="P1080" s="40">
        <f>IFERROR(VLOOKUP("APAD",Controls!A:J,5,0),0)</f>
        <v>165</v>
      </c>
      <c r="Q1080" s="39">
        <f>IFERROR(VLOOKUP("APAD",Controls!A:J,6,0),3)</f>
        <v>4</v>
      </c>
      <c r="R1080" s="21" t="str">
        <f>IFERROR(VLOOKUP("APAD",Controls!A:K,10,0),"")</f>
        <v>ST Pharm</v>
      </c>
      <c r="S1080" s="41">
        <f t="shared" si="115"/>
        <v>45992</v>
      </c>
      <c r="T1080" s="30">
        <f t="shared" si="116"/>
        <v>0</v>
      </c>
      <c r="W1080" s="205" cm="1">
        <f t="array" ref="W1080">IF(2&lt;Controls!$B$7,INDEX(A1078:A1256,MATCH(Controls!$B$5,A1078:A1256,1)+2),NA())</f>
        <v>46174</v>
      </c>
      <c r="X1080" cm="1">
        <f t="array" ref="X1080">IF(2&lt;Controls!$B$7,INDEX(F1078:F1256,MATCH(Controls!$B$5,A1078:A1256,1)+2),NA())</f>
        <v>88.080000000000013</v>
      </c>
      <c r="Y1080" cm="1">
        <f t="array" ref="Y1080">IF(2&lt;Controls!$B$7,INDEX(G1078:G1256,MATCH(Controls!$B$5,A1078:A1256,1)+2),NA())</f>
        <v>0</v>
      </c>
      <c r="Z1080" cm="1">
        <f t="array" ref="Z1080">IF(2&lt;Controls!$B$7,INDEX(H1078:H1256,MATCH(Controls!$B$5,A1078:A1256,1)+2),NA())</f>
        <v>228.04</v>
      </c>
      <c r="AA1080" cm="1">
        <f t="array" aca="1" ref="AA1080" ca="1">IF(2&lt;Controls!$B$7,INDEX(M1078:M1256,MATCH(Controls!$B$5,A1078:A1256,1)+2)*INDEX(I1078:I1256,MATCH(Controls!$B$5,A1078:A1256,1)+2),NA())</f>
        <v>234.88000000000002</v>
      </c>
      <c r="AB1080">
        <f t="shared" si="118"/>
        <v>0</v>
      </c>
    </row>
    <row r="1081" spans="1:28" ht="13" customHeight="1" x14ac:dyDescent="0.35">
      <c r="A1081" s="153">
        <v>46143</v>
      </c>
      <c r="B1081" s="36" t="s">
        <v>54</v>
      </c>
      <c r="C1081" s="15" t="s">
        <v>52</v>
      </c>
      <c r="D1081" s="15" t="s">
        <v>48</v>
      </c>
      <c r="E1081" s="30">
        <f>H1080</f>
        <v>374.84</v>
      </c>
      <c r="F1081" s="37">
        <f>IFERROR('Production Inputs'!$O$37*Dependencies!$D$13,0)</f>
        <v>58.72</v>
      </c>
      <c r="G1081" s="37">
        <f t="array" ref="G1081">IFERROR(SUMPRODUCT(('Production Inputs'!$A:$A="APAD")*('Production Inputs'!$B:$B="TOTAL ACTIVE")*'Production Inputs'!$O:$O),0)</f>
        <v>0</v>
      </c>
      <c r="H1081" s="30">
        <f t="shared" si="112"/>
        <v>316.12</v>
      </c>
      <c r="I1081" s="30">
        <f ca="1">IFERROR(AVERAGEIF(OFFSET(F1081,0,0,MIN(Controls!$B$8,COUNTIF(B1081:B$1973,B1081)),1),"&gt;"&amp;0),0)</f>
        <v>58.720000000000006</v>
      </c>
      <c r="J1081" s="38">
        <f t="shared" ca="1" si="113"/>
        <v>5.3835149863760217</v>
      </c>
      <c r="K1081" s="30">
        <f t="shared" ca="1" si="117"/>
        <v>0</v>
      </c>
      <c r="L1081" t="str">
        <f t="shared" ca="1" si="114"/>
        <v>Low</v>
      </c>
      <c r="M1081" s="39">
        <f>IFERROR(VLOOKUP("APAD",Controls!A:I,7,0),6)</f>
        <v>4</v>
      </c>
      <c r="N1081" s="39">
        <f>IFERROR(VLOOKUP("APAD",Controls!A:I,8,0),3)</f>
        <v>3</v>
      </c>
      <c r="O1081" s="39">
        <f>IFERROR(VLOOKUP("APAD",Controls!A:I,9,0),18)</f>
        <v>12</v>
      </c>
      <c r="P1081" s="40">
        <f>IFERROR(VLOOKUP("APAD",Controls!A:J,5,0),0)</f>
        <v>165</v>
      </c>
      <c r="Q1081" s="39">
        <f>IFERROR(VLOOKUP("APAD",Controls!A:J,6,0),3)</f>
        <v>4</v>
      </c>
      <c r="R1081" s="21" t="str">
        <f>IFERROR(VLOOKUP("APAD",Controls!A:K,10,0),"")</f>
        <v>ST Pharm</v>
      </c>
      <c r="S1081" s="41">
        <f t="shared" si="115"/>
        <v>46023</v>
      </c>
      <c r="T1081" s="30">
        <f t="shared" si="116"/>
        <v>0</v>
      </c>
      <c r="W1081" s="205" cm="1">
        <f t="array" ref="W1081">IF(3&lt;Controls!$B$7,INDEX(A1078:A1256,MATCH(Controls!$B$5,A1078:A1256,1)+3),NA())</f>
        <v>46204</v>
      </c>
      <c r="X1081" cm="1">
        <f t="array" ref="X1081">IF(3&lt;Controls!$B$7,INDEX(F1078:F1256,MATCH(Controls!$B$5,A1078:A1256,1)+3),NA())</f>
        <v>29.36</v>
      </c>
      <c r="Y1081" cm="1">
        <f t="array" ref="Y1081">IF(3&lt;Controls!$B$7,INDEX(G1078:G1256,MATCH(Controls!$B$5,A1078:A1256,1)+3),NA())</f>
        <v>0</v>
      </c>
      <c r="Z1081" cm="1">
        <f t="array" ref="Z1081">IF(3&lt;Controls!$B$7,INDEX(H1078:H1256,MATCH(Controls!$B$5,A1078:A1256,1)+3),NA())</f>
        <v>198.68</v>
      </c>
      <c r="AA1081" cm="1">
        <f t="array" aca="1" ref="AA1081" ca="1">IF(3&lt;Controls!$B$7,INDEX(M1078:M1256,MATCH(Controls!$B$5,A1078:A1256,1)+3)*INDEX(I1078:I1256,MATCH(Controls!$B$5,A1078:A1256,1)+3),NA())</f>
        <v>117.44</v>
      </c>
      <c r="AB1081">
        <f t="shared" si="118"/>
        <v>58.72</v>
      </c>
    </row>
    <row r="1082" spans="1:28" ht="13" customHeight="1" x14ac:dyDescent="0.35">
      <c r="A1082" s="153">
        <v>46174</v>
      </c>
      <c r="B1082" s="36" t="s">
        <v>54</v>
      </c>
      <c r="C1082" s="15" t="s">
        <v>52</v>
      </c>
      <c r="D1082" s="15" t="s">
        <v>48</v>
      </c>
      <c r="E1082" s="30">
        <f>H1081</f>
        <v>316.12</v>
      </c>
      <c r="F1082" s="37">
        <f>IFERROR('Production Inputs'!$P$37*Dependencies!$D$13,0)</f>
        <v>88.080000000000013</v>
      </c>
      <c r="G1082" s="37">
        <f t="array" ref="G1082">IFERROR(SUMPRODUCT(('Production Inputs'!$A:$A="APAD")*('Production Inputs'!$B:$B="TOTAL ACTIVE")*'Production Inputs'!$P:$P),0)</f>
        <v>0</v>
      </c>
      <c r="H1082" s="30">
        <f t="shared" si="112"/>
        <v>228.04</v>
      </c>
      <c r="I1082" s="30">
        <f ca="1">IFERROR(AVERAGEIF(OFFSET(F1082,0,0,MIN(Controls!$B$8,COUNTIF(B1082:B$1973,B1082)),1),"&gt;"&amp;0),0)</f>
        <v>58.720000000000006</v>
      </c>
      <c r="J1082" s="38">
        <f t="shared" ca="1" si="113"/>
        <v>3.8835149863760212</v>
      </c>
      <c r="K1082" s="30">
        <f t="shared" ca="1" si="117"/>
        <v>0</v>
      </c>
      <c r="L1082" t="str">
        <f t="shared" ca="1" si="114"/>
        <v>Medium</v>
      </c>
      <c r="M1082" s="39">
        <f>IFERROR(VLOOKUP("APAD",Controls!A:I,7,0),6)</f>
        <v>4</v>
      </c>
      <c r="N1082" s="39">
        <f>IFERROR(VLOOKUP("APAD",Controls!A:I,8,0),3)</f>
        <v>3</v>
      </c>
      <c r="O1082" s="39">
        <f>IFERROR(VLOOKUP("APAD",Controls!A:I,9,0),18)</f>
        <v>12</v>
      </c>
      <c r="P1082" s="40">
        <f>IFERROR(VLOOKUP("APAD",Controls!A:J,5,0),0)</f>
        <v>165</v>
      </c>
      <c r="Q1082" s="39">
        <f>IFERROR(VLOOKUP("APAD",Controls!A:J,6,0),3)</f>
        <v>4</v>
      </c>
      <c r="R1082" s="21" t="str">
        <f>IFERROR(VLOOKUP("APAD",Controls!A:K,10,0),"")</f>
        <v>ST Pharm</v>
      </c>
      <c r="S1082" s="41">
        <f t="shared" si="115"/>
        <v>46054</v>
      </c>
      <c r="T1082" s="30">
        <f t="shared" si="116"/>
        <v>0</v>
      </c>
      <c r="W1082" s="205" cm="1">
        <f t="array" ref="W1082">IF(4&lt;Controls!$B$7,INDEX(A1078:A1256,MATCH(Controls!$B$5,A1078:A1256,1)+4),NA())</f>
        <v>46235</v>
      </c>
      <c r="X1082" cm="1">
        <f t="array" ref="X1082">IF(4&lt;Controls!$B$7,INDEX(F1078:F1256,MATCH(Controls!$B$5,A1078:A1256,1)+4),NA())</f>
        <v>0</v>
      </c>
      <c r="Y1082" cm="1">
        <f t="array" ref="Y1082">IF(4&lt;Controls!$B$7,INDEX(G1078:G1256,MATCH(Controls!$B$5,A1078:A1256,1)+4),NA())</f>
        <v>0</v>
      </c>
      <c r="Z1082" cm="1">
        <f t="array" ref="Z1082">IF(4&lt;Controls!$B$7,INDEX(H1078:H1256,MATCH(Controls!$B$5,A1078:A1256,1)+4),NA())</f>
        <v>198.68</v>
      </c>
      <c r="AA1082" cm="1">
        <f t="array" aca="1" ref="AA1082" ca="1">IF(4&lt;Controls!$B$7,INDEX(M1078:M1256,MATCH(Controls!$B$5,A1078:A1256,1)+4)*INDEX(I1078:I1256,MATCH(Controls!$B$5,A1078:A1256,1)+4),NA())</f>
        <v>234.88</v>
      </c>
      <c r="AB1082">
        <f t="shared" si="118"/>
        <v>146.80000000000001</v>
      </c>
    </row>
    <row r="1083" spans="1:28" ht="13" customHeight="1" x14ac:dyDescent="0.35">
      <c r="A1083" s="153">
        <v>46204</v>
      </c>
      <c r="B1083" s="36" t="s">
        <v>54</v>
      </c>
      <c r="C1083" s="15" t="s">
        <v>52</v>
      </c>
      <c r="D1083" s="15" t="s">
        <v>48</v>
      </c>
      <c r="E1083" s="30">
        <f>H1082</f>
        <v>228.04</v>
      </c>
      <c r="F1083" s="37">
        <f>IFERROR('Production Inputs'!$Q$37*Dependencies!$D$13,0)</f>
        <v>29.36</v>
      </c>
      <c r="G1083" s="37">
        <f t="array" ref="G1083">IFERROR(SUMPRODUCT(('Production Inputs'!$A:$A="APAD")*('Production Inputs'!$B:$B="TOTAL ACTIVE")*'Production Inputs'!$Q:$Q),0)</f>
        <v>0</v>
      </c>
      <c r="H1083" s="30">
        <f t="shared" si="112"/>
        <v>198.68</v>
      </c>
      <c r="I1083" s="30">
        <f ca="1">IFERROR(AVERAGEIF(OFFSET(F1083,0,0,MIN(Controls!$B$8,COUNTIF(B1083:B$1973,B1083)),1),"&gt;"&amp;0),0)</f>
        <v>29.36</v>
      </c>
      <c r="J1083" s="38">
        <f t="shared" ca="1" si="113"/>
        <v>6.7670299727520442</v>
      </c>
      <c r="K1083" s="30">
        <f t="shared" ca="1" si="117"/>
        <v>0</v>
      </c>
      <c r="L1083" t="str">
        <f t="shared" ca="1" si="114"/>
        <v>Low</v>
      </c>
      <c r="M1083" s="39">
        <f>IFERROR(VLOOKUP("APAD",Controls!A:I,7,0),6)</f>
        <v>4</v>
      </c>
      <c r="N1083" s="39">
        <f>IFERROR(VLOOKUP("APAD",Controls!A:I,8,0),3)</f>
        <v>3</v>
      </c>
      <c r="O1083" s="39">
        <f>IFERROR(VLOOKUP("APAD",Controls!A:I,9,0),18)</f>
        <v>12</v>
      </c>
      <c r="P1083" s="40">
        <f>IFERROR(VLOOKUP("APAD",Controls!A:J,5,0),0)</f>
        <v>165</v>
      </c>
      <c r="Q1083" s="39">
        <f>IFERROR(VLOOKUP("APAD",Controls!A:J,6,0),3)</f>
        <v>4</v>
      </c>
      <c r="R1083" s="21" t="str">
        <f>IFERROR(VLOOKUP("APAD",Controls!A:K,10,0),"")</f>
        <v>ST Pharm</v>
      </c>
      <c r="S1083" s="41">
        <f t="shared" si="115"/>
        <v>46082</v>
      </c>
      <c r="T1083" s="30">
        <f t="shared" si="116"/>
        <v>0</v>
      </c>
      <c r="W1083" s="205" cm="1">
        <f t="array" ref="W1083">IF(5&lt;Controls!$B$7,INDEX(A1078:A1256,MATCH(Controls!$B$5,A1078:A1256,1)+5),NA())</f>
        <v>46266</v>
      </c>
      <c r="X1083" cm="1">
        <f t="array" ref="X1083">IF(5&lt;Controls!$B$7,INDEX(F1078:F1256,MATCH(Controls!$B$5,A1078:A1256,1)+5),NA())</f>
        <v>0</v>
      </c>
      <c r="Y1083" cm="1">
        <f t="array" ref="Y1083">IF(5&lt;Controls!$B$7,INDEX(G1078:G1256,MATCH(Controls!$B$5,A1078:A1256,1)+5),NA())</f>
        <v>0</v>
      </c>
      <c r="Z1083" cm="1">
        <f t="array" ref="Z1083">IF(5&lt;Controls!$B$7,INDEX(H1078:H1256,MATCH(Controls!$B$5,A1078:A1256,1)+5),"")</f>
        <v>198.68</v>
      </c>
      <c r="AA1083" cm="1">
        <f t="array" aca="1" ref="AA1083" ca="1">IF(5&lt;Controls!$B$7,INDEX(M1078:M1256,MATCH(Controls!$B$5,A1078:A1256,1)+5)*INDEX(I1078:I1256,MATCH(Controls!$B$5,A1078:A1256,1)+5),"")</f>
        <v>234.88</v>
      </c>
      <c r="AB1083">
        <f t="shared" si="118"/>
        <v>176.16000000000003</v>
      </c>
    </row>
    <row r="1084" spans="1:28" ht="13" customHeight="1" x14ac:dyDescent="0.35">
      <c r="A1084" s="153">
        <v>46235</v>
      </c>
      <c r="B1084" s="36" t="s">
        <v>54</v>
      </c>
      <c r="C1084" s="15" t="s">
        <v>52</v>
      </c>
      <c r="D1084" s="15" t="s">
        <v>48</v>
      </c>
      <c r="E1084" s="30">
        <f>H1083</f>
        <v>198.68</v>
      </c>
      <c r="F1084" s="37">
        <f>IFERROR('Production Inputs'!$R$37*Dependencies!$D$13,0)</f>
        <v>0</v>
      </c>
      <c r="G1084" s="37">
        <f t="array" ref="G1084">IFERROR(SUMPRODUCT(('Production Inputs'!$A:$A="APAD")*('Production Inputs'!$B:$B="TOTAL ACTIVE")*'Production Inputs'!$R:$R),0)</f>
        <v>0</v>
      </c>
      <c r="H1084" s="30">
        <f t="shared" si="112"/>
        <v>198.68</v>
      </c>
      <c r="I1084" s="30">
        <f ca="1">IFERROR(AVERAGEIF(OFFSET(F1084,0,0,MIN(Controls!$B$8,COUNTIF(B1084:B$1973,B1084)),1),"&gt;"&amp;0),0)</f>
        <v>58.72</v>
      </c>
      <c r="J1084" s="38">
        <f t="shared" ca="1" si="113"/>
        <v>3.3835149863760221</v>
      </c>
      <c r="K1084" s="30">
        <f t="shared" ca="1" si="117"/>
        <v>0</v>
      </c>
      <c r="L1084" t="str">
        <f t="shared" ca="1" si="114"/>
        <v>Medium</v>
      </c>
      <c r="M1084" s="39">
        <f>IFERROR(VLOOKUP("APAD",Controls!A:I,7,0),6)</f>
        <v>4</v>
      </c>
      <c r="N1084" s="39">
        <f>IFERROR(VLOOKUP("APAD",Controls!A:I,8,0),3)</f>
        <v>3</v>
      </c>
      <c r="O1084" s="39">
        <f>IFERROR(VLOOKUP("APAD",Controls!A:I,9,0),18)</f>
        <v>12</v>
      </c>
      <c r="P1084" s="40">
        <f>IFERROR(VLOOKUP("APAD",Controls!A:J,5,0),0)</f>
        <v>165</v>
      </c>
      <c r="Q1084" s="39">
        <f>IFERROR(VLOOKUP("APAD",Controls!A:J,6,0),3)</f>
        <v>4</v>
      </c>
      <c r="R1084" s="21" t="str">
        <f>IFERROR(VLOOKUP("APAD",Controls!A:K,10,0),"")</f>
        <v>ST Pharm</v>
      </c>
      <c r="S1084" s="41">
        <f t="shared" si="115"/>
        <v>46113</v>
      </c>
      <c r="T1084" s="30">
        <f t="shared" si="116"/>
        <v>0</v>
      </c>
      <c r="W1084" s="205" cm="1">
        <f t="array" ref="W1084">IF(6&lt;Controls!$B$7,INDEX(A1078:A1256,MATCH(Controls!$B$5,A1078:A1256,1)+6),"")</f>
        <v>46296</v>
      </c>
      <c r="X1084" cm="1">
        <f t="array" ref="X1084">IF(6&lt;Controls!$B$7,INDEX(F1078:F1256,MATCH(Controls!$B$5,A1078:A1256,1)+6),"")</f>
        <v>0</v>
      </c>
      <c r="Y1084" cm="1">
        <f t="array" ref="Y1084">IF(6&lt;Controls!$B$7,INDEX(G1078:G1256,MATCH(Controls!$B$5,A1078:A1256,1)+6),"")</f>
        <v>0</v>
      </c>
      <c r="Z1084" cm="1">
        <f t="array" ref="Z1084">IF(6&lt;Controls!$B$7,INDEX(H1078:H1256,MATCH(Controls!$B$5,A1078:A1256,1)+6),"")</f>
        <v>198.68</v>
      </c>
      <c r="AA1084" cm="1">
        <f t="array" aca="1" ref="AA1084" ca="1">IF(6&lt;Controls!$B$7,INDEX(M1078:M1256,MATCH(Controls!$B$5,A1078:A1256,1)+6)*INDEX(I1078:I1256,MATCH(Controls!$B$5,A1078:A1256,1)+6),"")</f>
        <v>234.88</v>
      </c>
      <c r="AB1084">
        <f t="shared" si="118"/>
        <v>176.16000000000003</v>
      </c>
    </row>
    <row r="1085" spans="1:28" ht="13" customHeight="1" x14ac:dyDescent="0.35">
      <c r="A1085" s="153">
        <v>46266</v>
      </c>
      <c r="B1085" s="36" t="s">
        <v>54</v>
      </c>
      <c r="C1085" s="15" t="s">
        <v>52</v>
      </c>
      <c r="D1085" s="15" t="s">
        <v>48</v>
      </c>
      <c r="E1085" s="30">
        <f>H1084</f>
        <v>198.68</v>
      </c>
      <c r="F1085" s="37">
        <f>IFERROR('Production Inputs'!$S$37*Dependencies!$D$13,0)</f>
        <v>0</v>
      </c>
      <c r="G1085" s="37">
        <f t="array" ref="G1085">IFERROR(SUMPRODUCT(('Production Inputs'!$A:$A="APAD")*('Production Inputs'!$B:$B="TOTAL ACTIVE")*'Production Inputs'!$S:$S),0)</f>
        <v>0</v>
      </c>
      <c r="H1085" s="30">
        <f t="shared" si="112"/>
        <v>198.68</v>
      </c>
      <c r="I1085" s="30">
        <f ca="1">IFERROR(AVERAGEIF(OFFSET(F1085,0,0,MIN(Controls!$B$8,COUNTIF(B1085:B$1973,B1085)),1),"&gt;"&amp;0),0)</f>
        <v>58.72</v>
      </c>
      <c r="J1085" s="38">
        <f t="shared" ca="1" si="113"/>
        <v>3.3835149863760221</v>
      </c>
      <c r="K1085" s="30">
        <f t="shared" ca="1" si="117"/>
        <v>0</v>
      </c>
      <c r="L1085" t="str">
        <f t="shared" ca="1" si="114"/>
        <v>Medium</v>
      </c>
      <c r="M1085" s="39">
        <f>IFERROR(VLOOKUP("APAD",Controls!A:I,7,0),6)</f>
        <v>4</v>
      </c>
      <c r="N1085" s="39">
        <f>IFERROR(VLOOKUP("APAD",Controls!A:I,8,0),3)</f>
        <v>3</v>
      </c>
      <c r="O1085" s="39">
        <f>IFERROR(VLOOKUP("APAD",Controls!A:I,9,0),18)</f>
        <v>12</v>
      </c>
      <c r="P1085" s="40">
        <f>IFERROR(VLOOKUP("APAD",Controls!A:J,5,0),0)</f>
        <v>165</v>
      </c>
      <c r="Q1085" s="39">
        <f>IFERROR(VLOOKUP("APAD",Controls!A:J,6,0),3)</f>
        <v>4</v>
      </c>
      <c r="R1085" s="21" t="str">
        <f>IFERROR(VLOOKUP("APAD",Controls!A:K,10,0),"")</f>
        <v>ST Pharm</v>
      </c>
      <c r="S1085" s="41">
        <f t="shared" si="115"/>
        <v>46143</v>
      </c>
      <c r="T1085" s="30">
        <f t="shared" si="116"/>
        <v>0</v>
      </c>
      <c r="W1085" s="205" cm="1">
        <f t="array" ref="W1085">IF(7&lt;Controls!$B$7,INDEX(A1078:A1256,MATCH(Controls!$B$5,A1078:A1256,1)+7),"")</f>
        <v>46327</v>
      </c>
      <c r="X1085" cm="1">
        <f t="array" ref="X1085">IF(7&lt;Controls!$B$7,INDEX(F1078:F1256,MATCH(Controls!$B$5,A1078:A1256,1)+7),"")</f>
        <v>0</v>
      </c>
      <c r="Y1085" cm="1">
        <f t="array" ref="Y1085">IF(7&lt;Controls!$B$7,INDEX(G1078:G1256,MATCH(Controls!$B$5,A1078:A1256,1)+7),"")</f>
        <v>0</v>
      </c>
      <c r="Z1085" cm="1">
        <f t="array" ref="Z1085">IF(7&lt;Controls!$B$7,INDEX(H1078:H1256,MATCH(Controls!$B$5,A1078:A1256,1)+7),"")</f>
        <v>198.68</v>
      </c>
      <c r="AA1085" cm="1">
        <f t="array" aca="1" ref="AA1085" ca="1">IF(7&lt;Controls!$B$7,INDEX(M1078:M1256,MATCH(Controls!$B$5,A1078:A1256,1)+7)*INDEX(I1078:I1256,MATCH(Controls!$B$5,A1078:A1256,1)+7),"")</f>
        <v>234.88</v>
      </c>
      <c r="AB1085">
        <f t="shared" si="118"/>
        <v>176.16000000000003</v>
      </c>
    </row>
    <row r="1086" spans="1:28" ht="13" customHeight="1" x14ac:dyDescent="0.35">
      <c r="A1086" s="153">
        <v>46296</v>
      </c>
      <c r="B1086" s="36" t="s">
        <v>54</v>
      </c>
      <c r="C1086" s="15" t="s">
        <v>52</v>
      </c>
      <c r="D1086" s="15" t="s">
        <v>48</v>
      </c>
      <c r="E1086" s="30">
        <f>H1085</f>
        <v>198.68</v>
      </c>
      <c r="F1086" s="37">
        <f>IFERROR('Production Inputs'!$T$37*Dependencies!$D$13,0)</f>
        <v>0</v>
      </c>
      <c r="G1086" s="37">
        <f t="array" ref="G1086">IFERROR(SUMPRODUCT(('Production Inputs'!$A:$A="APAD")*('Production Inputs'!$B:$B="TOTAL ACTIVE")*'Production Inputs'!$T:$T),0)</f>
        <v>0</v>
      </c>
      <c r="H1086" s="30">
        <f t="shared" si="112"/>
        <v>198.68</v>
      </c>
      <c r="I1086" s="30">
        <f ca="1">IFERROR(AVERAGEIF(OFFSET(F1086,0,0,MIN(Controls!$B$8,COUNTIF(B1086:B$1973,B1086)),1),"&gt;"&amp;0),0)</f>
        <v>58.72</v>
      </c>
      <c r="J1086" s="38">
        <f t="shared" ca="1" si="113"/>
        <v>3.3835149863760221</v>
      </c>
      <c r="K1086" s="30">
        <f t="shared" ca="1" si="117"/>
        <v>0</v>
      </c>
      <c r="L1086" t="str">
        <f t="shared" ca="1" si="114"/>
        <v>Medium</v>
      </c>
      <c r="M1086" s="39">
        <f>IFERROR(VLOOKUP("APAD",Controls!A:I,7,0),6)</f>
        <v>4</v>
      </c>
      <c r="N1086" s="39">
        <f>IFERROR(VLOOKUP("APAD",Controls!A:I,8,0),3)</f>
        <v>3</v>
      </c>
      <c r="O1086" s="39">
        <f>IFERROR(VLOOKUP("APAD",Controls!A:I,9,0),18)</f>
        <v>12</v>
      </c>
      <c r="P1086" s="40">
        <f>IFERROR(VLOOKUP("APAD",Controls!A:J,5,0),0)</f>
        <v>165</v>
      </c>
      <c r="Q1086" s="39">
        <f>IFERROR(VLOOKUP("APAD",Controls!A:J,6,0),3)</f>
        <v>4</v>
      </c>
      <c r="R1086" s="21" t="str">
        <f>IFERROR(VLOOKUP("APAD",Controls!A:K,10,0),"")</f>
        <v>ST Pharm</v>
      </c>
      <c r="S1086" s="41">
        <f t="shared" si="115"/>
        <v>46174</v>
      </c>
      <c r="T1086" s="30">
        <f t="shared" si="116"/>
        <v>0</v>
      </c>
      <c r="W1086" s="205" cm="1">
        <f t="array" ref="W1086">IF(8&lt;Controls!$B$7,INDEX(A1078:A1256,MATCH(Controls!$B$5,A1078:A1256,1)+8),"")</f>
        <v>46357</v>
      </c>
      <c r="X1086" cm="1">
        <f t="array" ref="X1086">IF(8&lt;Controls!$B$7,INDEX(F1078:F1256,MATCH(Controls!$B$5,A1078:A1256,1)+8),"")</f>
        <v>0</v>
      </c>
      <c r="Y1086" cm="1">
        <f t="array" ref="Y1086">IF(8&lt;Controls!$B$7,INDEX(G1078:G1256,MATCH(Controls!$B$5,A1078:A1256,1)+8),"")</f>
        <v>0</v>
      </c>
      <c r="Z1086" cm="1">
        <f t="array" ref="Z1086">IF(8&lt;Controls!$B$7,INDEX(H1078:H1256,MATCH(Controls!$B$5,A1078:A1256,1)+8),"")</f>
        <v>198.68</v>
      </c>
      <c r="AA1086" cm="1">
        <f t="array" aca="1" ref="AA1086" ca="1">IF(8&lt;Controls!$B$7,INDEX(M1078:M1256,MATCH(Controls!$B$5,A1078:A1256,1)+8)*INDEX(I1078:I1256,MATCH(Controls!$B$5,A1078:A1256,1)+8),"")</f>
        <v>234.88</v>
      </c>
      <c r="AB1086">
        <f t="shared" si="118"/>
        <v>176.16000000000003</v>
      </c>
    </row>
    <row r="1087" spans="1:28" ht="13" customHeight="1" x14ac:dyDescent="0.35">
      <c r="A1087" s="153">
        <v>46327</v>
      </c>
      <c r="B1087" s="36" t="s">
        <v>54</v>
      </c>
      <c r="C1087" s="15" t="s">
        <v>52</v>
      </c>
      <c r="D1087" s="15" t="s">
        <v>48</v>
      </c>
      <c r="E1087" s="30">
        <f>H1086</f>
        <v>198.68</v>
      </c>
      <c r="F1087" s="37">
        <f>IFERROR('Production Inputs'!$U$37*Dependencies!$D$13,0)</f>
        <v>0</v>
      </c>
      <c r="G1087" s="37">
        <f t="array" ref="G1087">IFERROR(SUMPRODUCT(('Production Inputs'!$A:$A="APAD")*('Production Inputs'!$B:$B="TOTAL ACTIVE")*'Production Inputs'!$U:$U),0)</f>
        <v>0</v>
      </c>
      <c r="H1087" s="30">
        <f t="shared" si="112"/>
        <v>198.68</v>
      </c>
      <c r="I1087" s="30">
        <f ca="1">IFERROR(AVERAGEIF(OFFSET(F1087,0,0,MIN(Controls!$B$8,COUNTIF(B1087:B$1973,B1087)),1),"&gt;"&amp;0),0)</f>
        <v>58.72</v>
      </c>
      <c r="J1087" s="38">
        <f t="shared" ca="1" si="113"/>
        <v>3.3835149863760221</v>
      </c>
      <c r="K1087" s="30">
        <f t="shared" ca="1" si="117"/>
        <v>0</v>
      </c>
      <c r="L1087" t="str">
        <f t="shared" ca="1" si="114"/>
        <v>Medium</v>
      </c>
      <c r="M1087" s="39">
        <f>IFERROR(VLOOKUP("APAD",Controls!A:I,7,0),6)</f>
        <v>4</v>
      </c>
      <c r="N1087" s="39">
        <f>IFERROR(VLOOKUP("APAD",Controls!A:I,8,0),3)</f>
        <v>3</v>
      </c>
      <c r="O1087" s="39">
        <f>IFERROR(VLOOKUP("APAD",Controls!A:I,9,0),18)</f>
        <v>12</v>
      </c>
      <c r="P1087" s="40">
        <f>IFERROR(VLOOKUP("APAD",Controls!A:J,5,0),0)</f>
        <v>165</v>
      </c>
      <c r="Q1087" s="39">
        <f>IFERROR(VLOOKUP("APAD",Controls!A:J,6,0),3)</f>
        <v>4</v>
      </c>
      <c r="R1087" s="21" t="str">
        <f>IFERROR(VLOOKUP("APAD",Controls!A:K,10,0),"")</f>
        <v>ST Pharm</v>
      </c>
      <c r="S1087" s="41">
        <f t="shared" si="115"/>
        <v>46204</v>
      </c>
      <c r="T1087" s="30">
        <f t="shared" si="116"/>
        <v>0</v>
      </c>
      <c r="W1087" s="205" cm="1">
        <f t="array" ref="W1087">IF(9&lt;Controls!$B$7,INDEX(A1078:A1256,MATCH(Controls!$B$5,A1078:A1256,1)+9),"")</f>
        <v>46388</v>
      </c>
      <c r="X1087" cm="1">
        <f t="array" ref="X1087">IF(9&lt;Controls!$B$7,INDEX(F1078:F1256,MATCH(Controls!$B$5,A1078:A1256,1)+9),"")</f>
        <v>0</v>
      </c>
      <c r="Y1087" cm="1">
        <f t="array" ref="Y1087">IF(9&lt;Controls!$B$7,INDEX(G1078:G1256,MATCH(Controls!$B$5,A1078:A1256,1)+9),"")</f>
        <v>165</v>
      </c>
      <c r="Z1087" cm="1">
        <f t="array" ref="Z1087">IF(9&lt;Controls!$B$7,INDEX(H1078:H1256,MATCH(Controls!$B$5,A1078:A1256,1)+9),"")</f>
        <v>363.68</v>
      </c>
      <c r="AA1087" cm="1">
        <f t="array" aca="1" ref="AA1087" ca="1">IF(9&lt;Controls!$B$7,INDEX(M1078:M1256,MATCH(Controls!$B$5,A1078:A1256,1)+9)*INDEX(I1078:I1256,MATCH(Controls!$B$5,A1078:A1256,1)+9),"")</f>
        <v>234.88</v>
      </c>
      <c r="AB1087">
        <f t="shared" si="118"/>
        <v>176.16000000000003</v>
      </c>
    </row>
    <row r="1088" spans="1:28" ht="13" customHeight="1" x14ac:dyDescent="0.35">
      <c r="A1088" s="153">
        <v>46357</v>
      </c>
      <c r="B1088" s="36" t="s">
        <v>54</v>
      </c>
      <c r="C1088" s="15" t="s">
        <v>52</v>
      </c>
      <c r="D1088" s="15" t="s">
        <v>48</v>
      </c>
      <c r="E1088" s="30">
        <f>H1087</f>
        <v>198.68</v>
      </c>
      <c r="F1088" s="37">
        <f>IFERROR('Production Inputs'!$V$37*Dependencies!$D$13,0)</f>
        <v>0</v>
      </c>
      <c r="G1088" s="37">
        <f t="array" ref="G1088">IFERROR(SUMPRODUCT(('Production Inputs'!$A:$A="APAD")*('Production Inputs'!$B:$B="TOTAL ACTIVE")*'Production Inputs'!$V:$V),0)</f>
        <v>0</v>
      </c>
      <c r="H1088" s="30">
        <f t="shared" si="112"/>
        <v>198.68</v>
      </c>
      <c r="I1088" s="30">
        <f ca="1">IFERROR(AVERAGEIF(OFFSET(F1088,0,0,MIN(Controls!$B$8,COUNTIF(B1088:B$1973,B1088)),1),"&gt;"&amp;0),0)</f>
        <v>58.72</v>
      </c>
      <c r="J1088" s="38">
        <f t="shared" ca="1" si="113"/>
        <v>3.3835149863760221</v>
      </c>
      <c r="K1088" s="30">
        <f t="shared" ca="1" si="117"/>
        <v>0</v>
      </c>
      <c r="L1088" t="str">
        <f t="shared" ca="1" si="114"/>
        <v>Medium</v>
      </c>
      <c r="M1088" s="39">
        <f>IFERROR(VLOOKUP("APAD",Controls!A:I,7,0),6)</f>
        <v>4</v>
      </c>
      <c r="N1088" s="39">
        <f>IFERROR(VLOOKUP("APAD",Controls!A:I,8,0),3)</f>
        <v>3</v>
      </c>
      <c r="O1088" s="39">
        <f>IFERROR(VLOOKUP("APAD",Controls!A:I,9,0),18)</f>
        <v>12</v>
      </c>
      <c r="P1088" s="40">
        <f>IFERROR(VLOOKUP("APAD",Controls!A:J,5,0),0)</f>
        <v>165</v>
      </c>
      <c r="Q1088" s="39">
        <f>IFERROR(VLOOKUP("APAD",Controls!A:J,6,0),3)</f>
        <v>4</v>
      </c>
      <c r="R1088" s="21" t="str">
        <f>IFERROR(VLOOKUP("APAD",Controls!A:K,10,0),"")</f>
        <v>ST Pharm</v>
      </c>
      <c r="S1088" s="41">
        <f t="shared" si="115"/>
        <v>46235</v>
      </c>
      <c r="T1088" s="30">
        <f t="shared" si="116"/>
        <v>0</v>
      </c>
      <c r="W1088" s="205" cm="1">
        <f t="array" ref="W1088">IF(10&lt;Controls!$B$7,INDEX(A1078:A1256,MATCH(Controls!$B$5,A1078:A1256,1)+10),"")</f>
        <v>46419</v>
      </c>
      <c r="X1088" cm="1">
        <f t="array" ref="X1088">IF(10&lt;Controls!$B$7,INDEX(F1078:F1256,MATCH(Controls!$B$5,A1078:A1256,1)+10),"")</f>
        <v>0</v>
      </c>
      <c r="Y1088" cm="1">
        <f t="array" ref="Y1088">IF(10&lt;Controls!$B$7,INDEX(G1078:G1256,MATCH(Controls!$B$5,A1078:A1256,1)+10),"")</f>
        <v>0</v>
      </c>
      <c r="Z1088" cm="1">
        <f t="array" ref="Z1088">IF(10&lt;Controls!$B$7,INDEX(H1078:H1256,MATCH(Controls!$B$5,A1078:A1256,1)+10),"")</f>
        <v>363.68</v>
      </c>
      <c r="AA1088" cm="1">
        <f t="array" aca="1" ref="AA1088" ca="1">IF(10&lt;Controls!$B$7,INDEX(M1078:M1256,MATCH(Controls!$B$5,A1078:A1256,1)+10)*INDEX(I1078:I1256,MATCH(Controls!$B$5,A1078:A1256,1)+10),"")</f>
        <v>234.88</v>
      </c>
      <c r="AB1088">
        <f t="shared" si="118"/>
        <v>176.16000000000003</v>
      </c>
    </row>
    <row r="1089" spans="1:28" ht="13" customHeight="1" x14ac:dyDescent="0.35">
      <c r="A1089" s="153">
        <v>46388</v>
      </c>
      <c r="B1089" s="36" t="s">
        <v>54</v>
      </c>
      <c r="C1089" s="15" t="s">
        <v>52</v>
      </c>
      <c r="D1089" s="15" t="s">
        <v>48</v>
      </c>
      <c r="E1089" s="30">
        <f>H1088</f>
        <v>198.68</v>
      </c>
      <c r="F1089" s="37">
        <f>IFERROR('Production Inputs'!$W$37*Dependencies!$D$13,0)</f>
        <v>0</v>
      </c>
      <c r="G1089" s="37">
        <f t="array" ref="G1089">IFERROR(SUMPRODUCT(('Production Inputs'!$A:$A="APAD")*('Production Inputs'!$B:$B="TOTAL ACTIVE")*'Production Inputs'!$W:$W),0)</f>
        <v>165</v>
      </c>
      <c r="H1089" s="30">
        <f t="shared" si="112"/>
        <v>363.68</v>
      </c>
      <c r="I1089" s="30">
        <f ca="1">IFERROR(AVERAGEIF(OFFSET(F1089,0,0,MIN(Controls!$B$8,COUNTIF(B1089:B$1973,B1089)),1),"&gt;"&amp;0),0)</f>
        <v>58.72</v>
      </c>
      <c r="J1089" s="38">
        <f t="shared" ca="1" si="113"/>
        <v>6.1934604904632158</v>
      </c>
      <c r="K1089" s="30">
        <f t="shared" ca="1" si="117"/>
        <v>0</v>
      </c>
      <c r="L1089" t="str">
        <f t="shared" ca="1" si="114"/>
        <v>Low</v>
      </c>
      <c r="M1089" s="39">
        <f>IFERROR(VLOOKUP("APAD",Controls!A:I,7,0),6)</f>
        <v>4</v>
      </c>
      <c r="N1089" s="39">
        <f>IFERROR(VLOOKUP("APAD",Controls!A:I,8,0),3)</f>
        <v>3</v>
      </c>
      <c r="O1089" s="39">
        <f>IFERROR(VLOOKUP("APAD",Controls!A:I,9,0),18)</f>
        <v>12</v>
      </c>
      <c r="P1089" s="40">
        <f>IFERROR(VLOOKUP("APAD",Controls!A:J,5,0),0)</f>
        <v>165</v>
      </c>
      <c r="Q1089" s="39">
        <f>IFERROR(VLOOKUP("APAD",Controls!A:J,6,0),3)</f>
        <v>4</v>
      </c>
      <c r="R1089" s="21" t="str">
        <f>IFERROR(VLOOKUP("APAD",Controls!A:K,10,0),"")</f>
        <v>ST Pharm</v>
      </c>
      <c r="S1089" s="41">
        <f t="shared" si="115"/>
        <v>46266</v>
      </c>
      <c r="T1089" s="30">
        <f t="shared" si="116"/>
        <v>165</v>
      </c>
      <c r="W1089" s="205" cm="1">
        <f t="array" ref="W1089">IF(11&lt;Controls!$B$7,INDEX(A1078:A1256,MATCH(Controls!$B$5,A1078:A1256,1)+11),"")</f>
        <v>46447</v>
      </c>
      <c r="X1089" cm="1">
        <f t="array" ref="X1089">IF(11&lt;Controls!$B$7,INDEX(F1078:F1256,MATCH(Controls!$B$5,A1078:A1256,1)+11),"")</f>
        <v>0</v>
      </c>
      <c r="Y1089" cm="1">
        <f t="array" ref="Y1089">IF(11&lt;Controls!$B$7,INDEX(G1078:G1256,MATCH(Controls!$B$5,A1078:A1256,1)+11),"")</f>
        <v>0</v>
      </c>
      <c r="Z1089" cm="1">
        <f t="array" ref="Z1089">IF(11&lt;Controls!$B$7,INDEX(H1078:H1256,MATCH(Controls!$B$5,A1078:A1256,1)+11),"")</f>
        <v>363.68</v>
      </c>
      <c r="AA1089" cm="1">
        <f t="array" aca="1" ref="AA1089" ca="1">IF(11&lt;Controls!$B$7,INDEX(M1078:M1256,MATCH(Controls!$B$5,A1078:A1256,1)+11)*INDEX(I1078:I1256,MATCH(Controls!$B$5,A1078:A1256,1)+11),"")</f>
        <v>234.88</v>
      </c>
      <c r="AB1089">
        <f t="shared" si="118"/>
        <v>176.16000000000003</v>
      </c>
    </row>
    <row r="1090" spans="1:28" ht="13" customHeight="1" x14ac:dyDescent="0.35">
      <c r="A1090" s="153">
        <v>46419</v>
      </c>
      <c r="B1090" s="36" t="s">
        <v>54</v>
      </c>
      <c r="C1090" s="15" t="s">
        <v>52</v>
      </c>
      <c r="D1090" s="15" t="s">
        <v>48</v>
      </c>
      <c r="E1090" s="30">
        <f>H1089</f>
        <v>363.68</v>
      </c>
      <c r="F1090" s="37">
        <f>IFERROR('Production Inputs'!$X$37*Dependencies!$D$13,0)</f>
        <v>0</v>
      </c>
      <c r="G1090" s="37">
        <f t="array" ref="G1090">IFERROR(SUMPRODUCT(('Production Inputs'!$A:$A="APAD")*('Production Inputs'!$B:$B="TOTAL ACTIVE")*'Production Inputs'!$X:$X),0)</f>
        <v>0</v>
      </c>
      <c r="H1090" s="30">
        <f t="shared" si="112"/>
        <v>363.68</v>
      </c>
      <c r="I1090" s="30">
        <f ca="1">IFERROR(AVERAGEIF(OFFSET(F1090,0,0,MIN(Controls!$B$8,COUNTIF(B1090:B$1973,B1090)),1),"&gt;"&amp;0),0)</f>
        <v>58.72</v>
      </c>
      <c r="J1090" s="38">
        <f t="shared" ca="1" si="113"/>
        <v>6.1934604904632158</v>
      </c>
      <c r="K1090" s="30">
        <f t="shared" ca="1" si="117"/>
        <v>0</v>
      </c>
      <c r="L1090" t="str">
        <f t="shared" ca="1" si="114"/>
        <v>Low</v>
      </c>
      <c r="M1090" s="39">
        <f>IFERROR(VLOOKUP("APAD",Controls!A:I,7,0),6)</f>
        <v>4</v>
      </c>
      <c r="N1090" s="39">
        <f>IFERROR(VLOOKUP("APAD",Controls!A:I,8,0),3)</f>
        <v>3</v>
      </c>
      <c r="O1090" s="39">
        <f>IFERROR(VLOOKUP("APAD",Controls!A:I,9,0),18)</f>
        <v>12</v>
      </c>
      <c r="P1090" s="40">
        <f>IFERROR(VLOOKUP("APAD",Controls!A:J,5,0),0)</f>
        <v>165</v>
      </c>
      <c r="Q1090" s="39">
        <f>IFERROR(VLOOKUP("APAD",Controls!A:J,6,0),3)</f>
        <v>4</v>
      </c>
      <c r="R1090" s="21" t="str">
        <f>IFERROR(VLOOKUP("APAD",Controls!A:K,10,0),"")</f>
        <v>ST Pharm</v>
      </c>
      <c r="S1090" s="41">
        <f t="shared" si="115"/>
        <v>46296</v>
      </c>
      <c r="T1090" s="30">
        <f t="shared" si="116"/>
        <v>0</v>
      </c>
      <c r="W1090" s="205" cm="1">
        <f t="array" ref="W1090">IF(12&lt;Controls!$B$7,INDEX(A1078:A1256,MATCH(Controls!$B$5,A1078:A1256,1)+12),"")</f>
        <v>46478</v>
      </c>
      <c r="X1090" cm="1">
        <f t="array" ref="X1090">IF(12&lt;Controls!$B$7,INDEX(F1078:F1256,MATCH(Controls!$B$5,A1078:A1256,1)+12),"")</f>
        <v>58.72</v>
      </c>
      <c r="Y1090" cm="1">
        <f t="array" ref="Y1090">IF(12&lt;Controls!$B$7,INDEX(G1078:G1256,MATCH(Controls!$B$5,A1078:A1256,1)+12),"")</f>
        <v>0</v>
      </c>
      <c r="Z1090" cm="1">
        <f t="array" ref="Z1090">IF(12&lt;Controls!$B$7,INDEX(H1078:H1256,MATCH(Controls!$B$5,A1078:A1256,1)+12),"")</f>
        <v>304.96000000000004</v>
      </c>
      <c r="AA1090" cm="1">
        <f t="array" aca="1" ref="AA1090" ca="1">IF(12&lt;Controls!$B$7,INDEX(M1078:M1256,MATCH(Controls!$B$5,A1078:A1256,1)+12)*INDEX(I1078:I1256,MATCH(Controls!$B$5,A1078:A1256,1)+12),"")</f>
        <v>234.88</v>
      </c>
      <c r="AB1090">
        <f t="shared" si="118"/>
        <v>176.16000000000003</v>
      </c>
    </row>
    <row r="1091" spans="1:28" ht="13" customHeight="1" x14ac:dyDescent="0.35">
      <c r="A1091" s="153">
        <v>46447</v>
      </c>
      <c r="B1091" s="36" t="s">
        <v>54</v>
      </c>
      <c r="C1091" s="15" t="s">
        <v>52</v>
      </c>
      <c r="D1091" s="15" t="s">
        <v>48</v>
      </c>
      <c r="E1091" s="30">
        <f>H1090</f>
        <v>363.68</v>
      </c>
      <c r="F1091" s="37">
        <f>IFERROR('Production Inputs'!$Y$37*Dependencies!$D$13,0)</f>
        <v>0</v>
      </c>
      <c r="G1091" s="37">
        <f t="array" ref="G1091">IFERROR(SUMPRODUCT(('Production Inputs'!$A:$A="APAD")*('Production Inputs'!$B:$B="TOTAL ACTIVE")*'Production Inputs'!$Y:$Y),0)</f>
        <v>0</v>
      </c>
      <c r="H1091" s="30">
        <f t="shared" si="112"/>
        <v>363.68</v>
      </c>
      <c r="I1091" s="30">
        <f ca="1">IFERROR(AVERAGEIF(OFFSET(F1091,0,0,MIN(Controls!$B$8,COUNTIF(B1091:B$1973,B1091)),1),"&gt;"&amp;0),0)</f>
        <v>58.72</v>
      </c>
      <c r="J1091" s="38">
        <f t="shared" ca="1" si="113"/>
        <v>6.1934604904632158</v>
      </c>
      <c r="K1091" s="30">
        <f t="shared" ca="1" si="117"/>
        <v>0</v>
      </c>
      <c r="L1091" t="str">
        <f t="shared" ca="1" si="114"/>
        <v>Low</v>
      </c>
      <c r="M1091" s="39">
        <f>IFERROR(VLOOKUP("APAD",Controls!A:I,7,0),6)</f>
        <v>4</v>
      </c>
      <c r="N1091" s="39">
        <f>IFERROR(VLOOKUP("APAD",Controls!A:I,8,0),3)</f>
        <v>3</v>
      </c>
      <c r="O1091" s="39">
        <f>IFERROR(VLOOKUP("APAD",Controls!A:I,9,0),18)</f>
        <v>12</v>
      </c>
      <c r="P1091" s="40">
        <f>IFERROR(VLOOKUP("APAD",Controls!A:J,5,0),0)</f>
        <v>165</v>
      </c>
      <c r="Q1091" s="39">
        <f>IFERROR(VLOOKUP("APAD",Controls!A:J,6,0),3)</f>
        <v>4</v>
      </c>
      <c r="R1091" s="21" t="str">
        <f>IFERROR(VLOOKUP("APAD",Controls!A:K,10,0),"")</f>
        <v>ST Pharm</v>
      </c>
      <c r="S1091" s="41">
        <f t="shared" si="115"/>
        <v>46327</v>
      </c>
      <c r="T1091" s="30">
        <f t="shared" si="116"/>
        <v>0</v>
      </c>
      <c r="W1091" s="205" cm="1">
        <f t="array" ref="W1091">IF(13&lt;Controls!$B$7,INDEX(A1078:A1256,MATCH(Controls!$B$5,A1078:A1256,1)+13),"")</f>
        <v>46508</v>
      </c>
      <c r="X1091" cm="1">
        <f t="array" ref="X1091">IF(13&lt;Controls!$B$7,INDEX(F1078:F1256,MATCH(Controls!$B$5,A1078:A1256,1)+13),"")</f>
        <v>58.72</v>
      </c>
      <c r="Y1091" cm="1">
        <f t="array" ref="Y1091">IF(13&lt;Controls!$B$7,INDEX(G1078:G1256,MATCH(Controls!$B$5,A1078:A1256,1)+13),"")</f>
        <v>0</v>
      </c>
      <c r="Z1091" cm="1">
        <f t="array" ref="Z1091">IF(13&lt;Controls!$B$7,INDEX(H1078:H1256,MATCH(Controls!$B$5,A1078:A1256,1)+13),"")</f>
        <v>246.24000000000004</v>
      </c>
      <c r="AA1091" cm="1">
        <f t="array" aca="1" ref="AA1091" ca="1">IF(13&lt;Controls!$B$7,INDEX(M1078:M1256,MATCH(Controls!$B$5,A1078:A1256,1)+13)*INDEX(I1078:I1256,MATCH(Controls!$B$5,A1078:A1256,1)+13),"")</f>
        <v>234.88</v>
      </c>
      <c r="AB1091">
        <f t="shared" si="118"/>
        <v>176.16000000000003</v>
      </c>
    </row>
    <row r="1092" spans="1:28" ht="13" customHeight="1" x14ac:dyDescent="0.35">
      <c r="A1092" s="153">
        <v>46478</v>
      </c>
      <c r="B1092" s="36" t="s">
        <v>54</v>
      </c>
      <c r="C1092" s="15" t="s">
        <v>52</v>
      </c>
      <c r="D1092" s="15" t="s">
        <v>48</v>
      </c>
      <c r="E1092" s="30">
        <f>H1091</f>
        <v>363.68</v>
      </c>
      <c r="F1092" s="37">
        <f>IFERROR('Production Inputs'!$Z$37*Dependencies!$D$13,0)</f>
        <v>58.72</v>
      </c>
      <c r="G1092" s="37">
        <f t="array" ref="G1092">IFERROR(SUMPRODUCT(('Production Inputs'!$A:$A="APAD")*('Production Inputs'!$B:$B="TOTAL ACTIVE")*'Production Inputs'!$Z:$Z),0)</f>
        <v>0</v>
      </c>
      <c r="H1092" s="30">
        <f t="shared" ref="H1092:H1155" si="119">E1092+G1092-F1092</f>
        <v>304.96000000000004</v>
      </c>
      <c r="I1092" s="30">
        <f ca="1">IFERROR(AVERAGEIF(OFFSET(F1092,0,0,MIN(Controls!$B$8,COUNTIF(B1092:B$1973,B1092)),1),"&gt;"&amp;0),0)</f>
        <v>58.72</v>
      </c>
      <c r="J1092" s="38">
        <f t="shared" ref="J1092:J1155" ca="1" si="120">IFERROR(H1092/I1092,IF(H1092&gt;0,999,0))</f>
        <v>5.1934604904632158</v>
      </c>
      <c r="K1092" s="30">
        <f t="shared" ca="1" si="117"/>
        <v>0</v>
      </c>
      <c r="L1092" t="str">
        <f t="shared" ref="L1092:L1155" ca="1" si="121">IF(H1092&lt;=0,"High",IF(J1092&lt;N1092,"High",IF(J1092&lt;M1092,"Medium",IF(J1092&gt;O1092,"Overstock","Low"))))</f>
        <v>Low</v>
      </c>
      <c r="M1092" s="39">
        <f>IFERROR(VLOOKUP("APAD",Controls!A:I,7,0),6)</f>
        <v>4</v>
      </c>
      <c r="N1092" s="39">
        <f>IFERROR(VLOOKUP("APAD",Controls!A:I,8,0),3)</f>
        <v>3</v>
      </c>
      <c r="O1092" s="39">
        <f>IFERROR(VLOOKUP("APAD",Controls!A:I,9,0),18)</f>
        <v>12</v>
      </c>
      <c r="P1092" s="40">
        <f>IFERROR(VLOOKUP("APAD",Controls!A:J,5,0),0)</f>
        <v>165</v>
      </c>
      <c r="Q1092" s="39">
        <f>IFERROR(VLOOKUP("APAD",Controls!A:J,6,0),3)</f>
        <v>4</v>
      </c>
      <c r="R1092" s="21" t="str">
        <f>IFERROR(VLOOKUP("APAD",Controls!A:K,10,0),"")</f>
        <v>ST Pharm</v>
      </c>
      <c r="S1092" s="41">
        <f t="shared" ref="S1092:S1155" si="122">IFERROR(EDATE(A1092,-Q1092),"")</f>
        <v>46357</v>
      </c>
      <c r="T1092" s="30">
        <f t="shared" ref="T1092:T1155" si="123">G1092</f>
        <v>0</v>
      </c>
      <c r="W1092" s="205" cm="1">
        <f t="array" ref="W1092">IF(14&lt;Controls!$B$7,INDEX(A1078:A1256,MATCH(Controls!$B$5,A1078:A1256,1)+14),"")</f>
        <v>46539</v>
      </c>
      <c r="X1092" cm="1">
        <f t="array" ref="X1092">IF(14&lt;Controls!$B$7,INDEX(F1078:F1256,MATCH(Controls!$B$5,A1078:A1256,1)+14),"")</f>
        <v>58.72</v>
      </c>
      <c r="Y1092" cm="1">
        <f t="array" ref="Y1092">IF(14&lt;Controls!$B$7,INDEX(G1078:G1256,MATCH(Controls!$B$5,A1078:A1256,1)+14),"")</f>
        <v>0</v>
      </c>
      <c r="Z1092" cm="1">
        <f t="array" ref="Z1092">IF(14&lt;Controls!$B$7,INDEX(H1078:H1256,MATCH(Controls!$B$5,A1078:A1256,1)+14),"")</f>
        <v>187.52000000000004</v>
      </c>
      <c r="AA1092" cm="1">
        <f t="array" aca="1" ref="AA1092" ca="1">IF(14&lt;Controls!$B$7,INDEX(M1078:M1256,MATCH(Controls!$B$5,A1078:A1256,1)+14)*INDEX(I1078:I1256,MATCH(Controls!$B$5,A1078:A1256,1)+14),"")</f>
        <v>234.88</v>
      </c>
      <c r="AB1092">
        <f t="shared" si="118"/>
        <v>234.88000000000002</v>
      </c>
    </row>
    <row r="1093" spans="1:28" ht="13" customHeight="1" x14ac:dyDescent="0.35">
      <c r="A1093" s="153">
        <v>46508</v>
      </c>
      <c r="B1093" s="36" t="s">
        <v>54</v>
      </c>
      <c r="C1093" s="15" t="s">
        <v>52</v>
      </c>
      <c r="D1093" s="15" t="s">
        <v>48</v>
      </c>
      <c r="E1093" s="30">
        <f>H1092</f>
        <v>304.96000000000004</v>
      </c>
      <c r="F1093" s="37">
        <f>IFERROR('Production Inputs'!$AA$37*Dependencies!$D$13,0)</f>
        <v>58.72</v>
      </c>
      <c r="G1093" s="37">
        <f t="array" ref="G1093">IFERROR(SUMPRODUCT(('Production Inputs'!$A:$A="APAD")*('Production Inputs'!$B:$B="TOTAL ACTIVE")*'Production Inputs'!$AA:$AA),0)</f>
        <v>0</v>
      </c>
      <c r="H1093" s="30">
        <f t="shared" si="119"/>
        <v>246.24000000000004</v>
      </c>
      <c r="I1093" s="30">
        <f ca="1">IFERROR(AVERAGEIF(OFFSET(F1093,0,0,MIN(Controls!$B$8,COUNTIF(B1093:B$1973,B1093)),1),"&gt;"&amp;0),0)</f>
        <v>58.72</v>
      </c>
      <c r="J1093" s="38">
        <f t="shared" ca="1" si="120"/>
        <v>4.1934604904632158</v>
      </c>
      <c r="K1093" s="30">
        <f t="shared" ref="K1093:K1156" ca="1" si="124">IFERROR(IF(H1093&lt;(N1093*I1093), CEILING(MAX(0,ROUND((M1093*I1093-H1093)/P1093,0)*P1093),P1093), 0), 0)</f>
        <v>0</v>
      </c>
      <c r="L1093" t="str">
        <f t="shared" ca="1" si="121"/>
        <v>Low</v>
      </c>
      <c r="M1093" s="39">
        <f>IFERROR(VLOOKUP("APAD",Controls!A:I,7,0),6)</f>
        <v>4</v>
      </c>
      <c r="N1093" s="39">
        <f>IFERROR(VLOOKUP("APAD",Controls!A:I,8,0),3)</f>
        <v>3</v>
      </c>
      <c r="O1093" s="39">
        <f>IFERROR(VLOOKUP("APAD",Controls!A:I,9,0),18)</f>
        <v>12</v>
      </c>
      <c r="P1093" s="40">
        <f>IFERROR(VLOOKUP("APAD",Controls!A:J,5,0),0)</f>
        <v>165</v>
      </c>
      <c r="Q1093" s="39">
        <f>IFERROR(VLOOKUP("APAD",Controls!A:J,6,0),3)</f>
        <v>4</v>
      </c>
      <c r="R1093" s="21" t="str">
        <f>IFERROR(VLOOKUP("APAD",Controls!A:K,10,0),"")</f>
        <v>ST Pharm</v>
      </c>
      <c r="S1093" s="41">
        <f t="shared" si="122"/>
        <v>46388</v>
      </c>
      <c r="T1093" s="30">
        <f t="shared" si="123"/>
        <v>0</v>
      </c>
      <c r="W1093" s="205" cm="1">
        <f t="array" ref="W1093">IF(15&lt;Controls!$B$7,INDEX(A1078:A1256,MATCH(Controls!$B$5,A1078:A1256,1)+15),"")</f>
        <v>46569</v>
      </c>
      <c r="X1093" cm="1">
        <f t="array" ref="X1093">IF(15&lt;Controls!$B$7,INDEX(F1078:F1256,MATCH(Controls!$B$5,A1078:A1256,1)+15),"")</f>
        <v>58.72</v>
      </c>
      <c r="Y1093" cm="1">
        <f t="array" ref="Y1093">IF(15&lt;Controls!$B$7,INDEX(G1078:G1256,MATCH(Controls!$B$5,A1078:A1256,1)+15),"")</f>
        <v>0</v>
      </c>
      <c r="Z1093" cm="1">
        <f t="array" ref="Z1093">IF(15&lt;Controls!$B$7,INDEX(H1078:H1256,MATCH(Controls!$B$5,A1078:A1256,1)+15),"")</f>
        <v>128.80000000000004</v>
      </c>
      <c r="AA1093" cm="1">
        <f t="array" aca="1" ref="AA1093" ca="1">IF(15&lt;Controls!$B$7,INDEX(M1078:M1256,MATCH(Controls!$B$5,A1078:A1256,1)+15)*INDEX(I1078:I1256,MATCH(Controls!$B$5,A1078:A1256,1)+15),"")</f>
        <v>234.88</v>
      </c>
      <c r="AB1093">
        <f t="shared" ref="AB1093:AB1156" si="125">SUMIFS($F$4:$F$2331,$B$4:$B$2331,B1093,$A$4:$A$2331,"&lt;="&amp;A1093)</f>
        <v>293.60000000000002</v>
      </c>
    </row>
    <row r="1094" spans="1:28" ht="13" customHeight="1" x14ac:dyDescent="0.35">
      <c r="A1094" s="153">
        <v>46539</v>
      </c>
      <c r="B1094" s="36" t="s">
        <v>54</v>
      </c>
      <c r="C1094" s="15" t="s">
        <v>52</v>
      </c>
      <c r="D1094" s="15" t="s">
        <v>48</v>
      </c>
      <c r="E1094" s="30">
        <f>H1093</f>
        <v>246.24000000000004</v>
      </c>
      <c r="F1094" s="37">
        <f>IFERROR('Production Inputs'!$AB$37*Dependencies!$D$13,0)</f>
        <v>58.72</v>
      </c>
      <c r="G1094" s="37">
        <f t="array" ref="G1094">IFERROR(SUMPRODUCT(('Production Inputs'!$A:$A="APAD")*('Production Inputs'!$B:$B="TOTAL ACTIVE")*'Production Inputs'!$AB:$AB),0)</f>
        <v>0</v>
      </c>
      <c r="H1094" s="30">
        <f t="shared" si="119"/>
        <v>187.52000000000004</v>
      </c>
      <c r="I1094" s="30">
        <f ca="1">IFERROR(AVERAGEIF(OFFSET(F1094,0,0,MIN(Controls!$B$8,COUNTIF(B1094:B$1973,B1094)),1),"&gt;"&amp;0),0)</f>
        <v>58.72</v>
      </c>
      <c r="J1094" s="38">
        <f t="shared" ca="1" si="120"/>
        <v>3.1934604904632158</v>
      </c>
      <c r="K1094" s="30">
        <f t="shared" ca="1" si="124"/>
        <v>0</v>
      </c>
      <c r="L1094" t="str">
        <f t="shared" ca="1" si="121"/>
        <v>Medium</v>
      </c>
      <c r="M1094" s="39">
        <f>IFERROR(VLOOKUP("APAD",Controls!A:I,7,0),6)</f>
        <v>4</v>
      </c>
      <c r="N1094" s="39">
        <f>IFERROR(VLOOKUP("APAD",Controls!A:I,8,0),3)</f>
        <v>3</v>
      </c>
      <c r="O1094" s="39">
        <f>IFERROR(VLOOKUP("APAD",Controls!A:I,9,0),18)</f>
        <v>12</v>
      </c>
      <c r="P1094" s="40">
        <f>IFERROR(VLOOKUP("APAD",Controls!A:J,5,0),0)</f>
        <v>165</v>
      </c>
      <c r="Q1094" s="39">
        <f>IFERROR(VLOOKUP("APAD",Controls!A:J,6,0),3)</f>
        <v>4</v>
      </c>
      <c r="R1094" s="21" t="str">
        <f>IFERROR(VLOOKUP("APAD",Controls!A:K,10,0),"")</f>
        <v>ST Pharm</v>
      </c>
      <c r="S1094" s="41">
        <f t="shared" si="122"/>
        <v>46419</v>
      </c>
      <c r="T1094" s="30">
        <f t="shared" si="123"/>
        <v>0</v>
      </c>
      <c r="W1094" s="205" cm="1">
        <f t="array" ref="W1094">IF(16&lt;Controls!$B$7,INDEX(A1078:A1256,MATCH(Controls!$B$5,A1078:A1256,1)+16),"")</f>
        <v>46600</v>
      </c>
      <c r="X1094" cm="1">
        <f t="array" ref="X1094">IF(16&lt;Controls!$B$7,INDEX(F1078:F1256,MATCH(Controls!$B$5,A1078:A1256,1)+16),"")</f>
        <v>0</v>
      </c>
      <c r="Y1094" cm="1">
        <f t="array" ref="Y1094">IF(16&lt;Controls!$B$7,INDEX(G1078:G1256,MATCH(Controls!$B$5,A1078:A1256,1)+16),"")</f>
        <v>0</v>
      </c>
      <c r="Z1094" cm="1">
        <f t="array" ref="Z1094">IF(16&lt;Controls!$B$7,INDEX(H1078:H1256,MATCH(Controls!$B$5,A1078:A1256,1)+16),"")</f>
        <v>128.80000000000004</v>
      </c>
      <c r="AA1094" cm="1">
        <f t="array" aca="1" ref="AA1094" ca="1">IF(16&lt;Controls!$B$7,INDEX(M1078:M1256,MATCH(Controls!$B$5,A1078:A1256,1)+16)*INDEX(I1078:I1256,MATCH(Controls!$B$5,A1078:A1256,1)+16),"")</f>
        <v>0</v>
      </c>
      <c r="AB1094">
        <f t="shared" si="125"/>
        <v>352.32000000000005</v>
      </c>
    </row>
    <row r="1095" spans="1:28" ht="13" customHeight="1" x14ac:dyDescent="0.35">
      <c r="A1095" s="153">
        <v>46569</v>
      </c>
      <c r="B1095" s="36" t="s">
        <v>54</v>
      </c>
      <c r="C1095" s="15" t="s">
        <v>52</v>
      </c>
      <c r="D1095" s="15" t="s">
        <v>48</v>
      </c>
      <c r="E1095" s="30">
        <f>H1094</f>
        <v>187.52000000000004</v>
      </c>
      <c r="F1095" s="37">
        <f>IFERROR('Production Inputs'!$AC$37*Dependencies!$D$13,0)</f>
        <v>58.72</v>
      </c>
      <c r="G1095" s="37">
        <f t="array" ref="G1095">IFERROR(SUMPRODUCT(('Production Inputs'!$A:$A="APAD")*('Production Inputs'!$B:$B="TOTAL ACTIVE")*'Production Inputs'!$AC:$AC),0)</f>
        <v>0</v>
      </c>
      <c r="H1095" s="30">
        <f t="shared" si="119"/>
        <v>128.80000000000004</v>
      </c>
      <c r="I1095" s="30">
        <f ca="1">IFERROR(AVERAGEIF(OFFSET(F1095,0,0,MIN(Controls!$B$8,COUNTIF(B1095:B$1973,B1095)),1),"&gt;"&amp;0),0)</f>
        <v>58.72</v>
      </c>
      <c r="J1095" s="38">
        <f t="shared" ca="1" si="120"/>
        <v>2.1934604904632158</v>
      </c>
      <c r="K1095" s="30">
        <f t="shared" ca="1" si="124"/>
        <v>165</v>
      </c>
      <c r="L1095" t="str">
        <f t="shared" ca="1" si="121"/>
        <v>High</v>
      </c>
      <c r="M1095" s="39">
        <f>IFERROR(VLOOKUP("APAD",Controls!A:I,7,0),6)</f>
        <v>4</v>
      </c>
      <c r="N1095" s="39">
        <f>IFERROR(VLOOKUP("APAD",Controls!A:I,8,0),3)</f>
        <v>3</v>
      </c>
      <c r="O1095" s="39">
        <f>IFERROR(VLOOKUP("APAD",Controls!A:I,9,0),18)</f>
        <v>12</v>
      </c>
      <c r="P1095" s="40">
        <f>IFERROR(VLOOKUP("APAD",Controls!A:J,5,0),0)</f>
        <v>165</v>
      </c>
      <c r="Q1095" s="39">
        <f>IFERROR(VLOOKUP("APAD",Controls!A:J,6,0),3)</f>
        <v>4</v>
      </c>
      <c r="R1095" s="21" t="str">
        <f>IFERROR(VLOOKUP("APAD",Controls!A:K,10,0),"")</f>
        <v>ST Pharm</v>
      </c>
      <c r="S1095" s="41">
        <f t="shared" si="122"/>
        <v>46447</v>
      </c>
      <c r="T1095" s="30">
        <f t="shared" si="123"/>
        <v>0</v>
      </c>
      <c r="W1095" s="205" cm="1">
        <f t="array" ref="W1095">IF(17&lt;Controls!$B$7,INDEX(A1078:A1256,MATCH(Controls!$B$5,A1078:A1256,1)+17),"")</f>
        <v>46631</v>
      </c>
      <c r="X1095" cm="1">
        <f t="array" ref="X1095">IF(17&lt;Controls!$B$7,INDEX(F1078:F1256,MATCH(Controls!$B$5,A1078:A1256,1)+17),"")</f>
        <v>0</v>
      </c>
      <c r="Y1095" cm="1">
        <f t="array" ref="Y1095">IF(17&lt;Controls!$B$7,INDEX(G1078:G1256,MATCH(Controls!$B$5,A1078:A1256,1)+17),"")</f>
        <v>0</v>
      </c>
      <c r="Z1095" cm="1">
        <f t="array" ref="Z1095">IF(17&lt;Controls!$B$7,INDEX(H1078:H1256,MATCH(Controls!$B$5,A1078:A1256,1)+17),"")</f>
        <v>128.80000000000004</v>
      </c>
      <c r="AA1095" cm="1">
        <f t="array" aca="1" ref="AA1095" ca="1">IF(17&lt;Controls!$B$7,INDEX(M1078:M1256,MATCH(Controls!$B$5,A1078:A1256,1)+17)*INDEX(I1078:I1256,MATCH(Controls!$B$5,A1078:A1256,1)+17),"")</f>
        <v>0</v>
      </c>
      <c r="AB1095">
        <f t="shared" si="125"/>
        <v>411.04000000000008</v>
      </c>
    </row>
    <row r="1096" spans="1:28" ht="13" customHeight="1" x14ac:dyDescent="0.35">
      <c r="A1096" s="153">
        <v>46600</v>
      </c>
      <c r="B1096" s="36" t="s">
        <v>54</v>
      </c>
      <c r="C1096" s="15" t="s">
        <v>52</v>
      </c>
      <c r="D1096" s="15" t="s">
        <v>48</v>
      </c>
      <c r="E1096" s="30">
        <f>H1095</f>
        <v>128.80000000000004</v>
      </c>
      <c r="F1096" s="37">
        <f>IFERROR('Production Inputs'!$AD$37*Dependencies!$D$13,0)</f>
        <v>0</v>
      </c>
      <c r="G1096" s="37">
        <f t="array" ref="G1096">IFERROR(SUMPRODUCT(('Production Inputs'!$A:$A="APAD")*('Production Inputs'!$B:$B="TOTAL ACTIVE")*'Production Inputs'!$AD:$AD),0)</f>
        <v>0</v>
      </c>
      <c r="H1096" s="30">
        <f t="shared" si="119"/>
        <v>128.80000000000004</v>
      </c>
      <c r="I1096" s="30">
        <f ca="1">IFERROR(AVERAGEIF(OFFSET(F1096,0,0,MIN(Controls!$B$8,COUNTIF(B1096:B$1973,B1096)),1),"&gt;"&amp;0),0)</f>
        <v>0</v>
      </c>
      <c r="J1096" s="38">
        <f t="shared" ca="1" si="120"/>
        <v>999</v>
      </c>
      <c r="K1096" s="30">
        <f t="shared" ca="1" si="124"/>
        <v>0</v>
      </c>
      <c r="L1096" t="str">
        <f t="shared" ca="1" si="121"/>
        <v>Overstock</v>
      </c>
      <c r="M1096" s="39">
        <f>IFERROR(VLOOKUP("APAD",Controls!A:I,7,0),6)</f>
        <v>4</v>
      </c>
      <c r="N1096" s="39">
        <f>IFERROR(VLOOKUP("APAD",Controls!A:I,8,0),3)</f>
        <v>3</v>
      </c>
      <c r="O1096" s="39">
        <f>IFERROR(VLOOKUP("APAD",Controls!A:I,9,0),18)</f>
        <v>12</v>
      </c>
      <c r="P1096" s="40">
        <f>IFERROR(VLOOKUP("APAD",Controls!A:J,5,0),0)</f>
        <v>165</v>
      </c>
      <c r="Q1096" s="39">
        <f>IFERROR(VLOOKUP("APAD",Controls!A:J,6,0),3)</f>
        <v>4</v>
      </c>
      <c r="R1096" s="21" t="str">
        <f>IFERROR(VLOOKUP("APAD",Controls!A:K,10,0),"")</f>
        <v>ST Pharm</v>
      </c>
      <c r="S1096" s="41">
        <f t="shared" si="122"/>
        <v>46478</v>
      </c>
      <c r="T1096" s="30">
        <f t="shared" si="123"/>
        <v>0</v>
      </c>
      <c r="W1096" s="205" t="str" cm="1">
        <f t="array" ref="W1096">IF(18&lt;Controls!$B$7,INDEX(A1078:A1256,MATCH(Controls!$B$5,A1078:A1256,1)+18),"")</f>
        <v/>
      </c>
      <c r="X1096" t="str" cm="1">
        <f t="array" ref="X1096">IF(18&lt;Controls!$B$7,INDEX(F1078:F1256,MATCH(Controls!$B$5,A1078:A1256,1)+18),"")</f>
        <v/>
      </c>
      <c r="Y1096" t="str" cm="1">
        <f t="array" ref="Y1096">IF(18&lt;Controls!$B$7,INDEX(G1078:G1256,MATCH(Controls!$B$5,A1078:A1256,1)+18),"")</f>
        <v/>
      </c>
      <c r="Z1096" t="str" cm="1">
        <f t="array" ref="Z1096">IF(18&lt;Controls!$B$7,INDEX(H1078:H1256,MATCH(Controls!$B$5,A1078:A1256,1)+18),"")</f>
        <v/>
      </c>
      <c r="AA1096" t="str" cm="1">
        <f t="array" ref="AA1096">IF(18&lt;Controls!$B$7,INDEX(M1078:M1256,MATCH(Controls!$B$5,A1078:A1256,1)+18)*INDEX(I1078:I1256,MATCH(Controls!$B$5,A1078:A1256,1)+18),"")</f>
        <v/>
      </c>
      <c r="AB1096">
        <f t="shared" si="125"/>
        <v>411.04000000000008</v>
      </c>
    </row>
    <row r="1097" spans="1:28" ht="13" customHeight="1" x14ac:dyDescent="0.35">
      <c r="A1097" s="153">
        <v>46631</v>
      </c>
      <c r="B1097" s="36" t="s">
        <v>54</v>
      </c>
      <c r="C1097" s="15" t="s">
        <v>52</v>
      </c>
      <c r="D1097" s="15" t="s">
        <v>48</v>
      </c>
      <c r="E1097" s="30">
        <f>H1096</f>
        <v>128.80000000000004</v>
      </c>
      <c r="F1097" s="37">
        <f>IFERROR('Production Inputs'!$AE$37*Dependencies!$D$13,0)</f>
        <v>0</v>
      </c>
      <c r="G1097" s="37">
        <f t="array" ref="G1097">IFERROR(SUMPRODUCT(('Production Inputs'!$A:$A="APAD")*('Production Inputs'!$B:$B="TOTAL ACTIVE")*'Production Inputs'!$AE:$AE),0)</f>
        <v>0</v>
      </c>
      <c r="H1097" s="30">
        <f t="shared" si="119"/>
        <v>128.80000000000004</v>
      </c>
      <c r="I1097" s="30">
        <f ca="1">IFERROR(AVERAGEIF(OFFSET(F1097,0,0,MIN(Controls!$B$8,COUNTIF(B1097:B$1973,B1097)),1),"&gt;"&amp;0),0)</f>
        <v>0</v>
      </c>
      <c r="J1097" s="38">
        <f t="shared" ca="1" si="120"/>
        <v>999</v>
      </c>
      <c r="K1097" s="30">
        <f t="shared" ca="1" si="124"/>
        <v>0</v>
      </c>
      <c r="L1097" t="str">
        <f t="shared" ca="1" si="121"/>
        <v>Overstock</v>
      </c>
      <c r="M1097" s="39">
        <f>IFERROR(VLOOKUP("APAD",Controls!A:I,7,0),6)</f>
        <v>4</v>
      </c>
      <c r="N1097" s="39">
        <f>IFERROR(VLOOKUP("APAD",Controls!A:I,8,0),3)</f>
        <v>3</v>
      </c>
      <c r="O1097" s="39">
        <f>IFERROR(VLOOKUP("APAD",Controls!A:I,9,0),18)</f>
        <v>12</v>
      </c>
      <c r="P1097" s="40">
        <f>IFERROR(VLOOKUP("APAD",Controls!A:J,5,0),0)</f>
        <v>165</v>
      </c>
      <c r="Q1097" s="39">
        <f>IFERROR(VLOOKUP("APAD",Controls!A:J,6,0),3)</f>
        <v>4</v>
      </c>
      <c r="R1097" s="21" t="str">
        <f>IFERROR(VLOOKUP("APAD",Controls!A:K,10,0),"")</f>
        <v>ST Pharm</v>
      </c>
      <c r="S1097" s="41">
        <f t="shared" si="122"/>
        <v>46508</v>
      </c>
      <c r="T1097" s="30">
        <f t="shared" si="123"/>
        <v>0</v>
      </c>
      <c r="W1097" s="205" t="str" cm="1">
        <f t="array" ref="W1097">IF(19&lt;Controls!$B$7,INDEX(A1078:A1256,MATCH(Controls!$B$5,A1078:A1256,1)+19),"")</f>
        <v/>
      </c>
      <c r="X1097" t="str" cm="1">
        <f t="array" ref="X1097">IF(19&lt;Controls!$B$7,INDEX(F1078:F1256,MATCH(Controls!$B$5,A1078:A1256,1)+19),"")</f>
        <v/>
      </c>
      <c r="Y1097" t="str" cm="1">
        <f t="array" ref="Y1097">IF(19&lt;Controls!$B$7,INDEX(G1078:G1256,MATCH(Controls!$B$5,A1078:A1256,1)+19),"")</f>
        <v/>
      </c>
      <c r="Z1097" t="str" cm="1">
        <f t="array" ref="Z1097">IF(19&lt;Controls!$B$7,INDEX(H1078:H1256,MATCH(Controls!$B$5,A1078:A1256,1)+19),"")</f>
        <v/>
      </c>
      <c r="AA1097" t="str" cm="1">
        <f t="array" ref="AA1097">IF(19&lt;Controls!$B$7,INDEX(M1078:M1256,MATCH(Controls!$B$5,A1078:A1256,1)+19)*INDEX(I1078:I1256,MATCH(Controls!$B$5,A1078:A1256,1)+19),"")</f>
        <v/>
      </c>
      <c r="AB1097">
        <f t="shared" si="125"/>
        <v>411.04000000000008</v>
      </c>
    </row>
    <row r="1098" spans="1:28" ht="13" customHeight="1" x14ac:dyDescent="0.35">
      <c r="A1098" s="153">
        <v>46661</v>
      </c>
      <c r="B1098" s="36" t="s">
        <v>54</v>
      </c>
      <c r="C1098" s="15" t="s">
        <v>52</v>
      </c>
      <c r="D1098" s="15" t="s">
        <v>48</v>
      </c>
      <c r="E1098" s="30">
        <f>H1097</f>
        <v>128.80000000000004</v>
      </c>
      <c r="F1098" s="37">
        <f>IFERROR('Production Inputs'!$AF$37*Dependencies!$D$13,0)</f>
        <v>0</v>
      </c>
      <c r="G1098" s="37">
        <f t="array" ref="G1098">IFERROR(SUMPRODUCT(('Production Inputs'!$A:$A="APAD")*('Production Inputs'!$B:$B="TOTAL ACTIVE")*'Production Inputs'!$AF:$AF),0)</f>
        <v>0</v>
      </c>
      <c r="H1098" s="30">
        <f t="shared" si="119"/>
        <v>128.80000000000004</v>
      </c>
      <c r="I1098" s="30">
        <f ca="1">IFERROR(AVERAGEIF(OFFSET(F1098,0,0,MIN(Controls!$B$8,COUNTIF(B1098:B$1973,B1098)),1),"&gt;"&amp;0),0)</f>
        <v>0</v>
      </c>
      <c r="J1098" s="38">
        <f t="shared" ca="1" si="120"/>
        <v>999</v>
      </c>
      <c r="K1098" s="30">
        <f t="shared" ca="1" si="124"/>
        <v>0</v>
      </c>
      <c r="L1098" t="str">
        <f t="shared" ca="1" si="121"/>
        <v>Overstock</v>
      </c>
      <c r="M1098" s="39">
        <f>IFERROR(VLOOKUP("APAD",Controls!A:I,7,0),6)</f>
        <v>4</v>
      </c>
      <c r="N1098" s="39">
        <f>IFERROR(VLOOKUP("APAD",Controls!A:I,8,0),3)</f>
        <v>3</v>
      </c>
      <c r="O1098" s="39">
        <f>IFERROR(VLOOKUP("APAD",Controls!A:I,9,0),18)</f>
        <v>12</v>
      </c>
      <c r="P1098" s="40">
        <f>IFERROR(VLOOKUP("APAD",Controls!A:J,5,0),0)</f>
        <v>165</v>
      </c>
      <c r="Q1098" s="39">
        <f>IFERROR(VLOOKUP("APAD",Controls!A:J,6,0),3)</f>
        <v>4</v>
      </c>
      <c r="R1098" s="21" t="str">
        <f>IFERROR(VLOOKUP("APAD",Controls!A:K,10,0),"")</f>
        <v>ST Pharm</v>
      </c>
      <c r="S1098" s="41">
        <f t="shared" si="122"/>
        <v>46539</v>
      </c>
      <c r="T1098" s="30">
        <f t="shared" si="123"/>
        <v>0</v>
      </c>
      <c r="W1098" s="205" t="str" cm="1">
        <f t="array" ref="W1098">IF(20&lt;Controls!$B$7,INDEX(A1078:A1256,MATCH(Controls!$B$5,A1078:A1256,1)+20),"")</f>
        <v/>
      </c>
      <c r="X1098" t="str" cm="1">
        <f t="array" ref="X1098">IF(20&lt;Controls!$B$7,INDEX(F1078:F1256,MATCH(Controls!$B$5,A1078:A1256,1)+20),"")</f>
        <v/>
      </c>
      <c r="Y1098" t="str" cm="1">
        <f t="array" ref="Y1098">IF(20&lt;Controls!$B$7,INDEX(G1078:G1256,MATCH(Controls!$B$5,A1078:A1256,1)+20),"")</f>
        <v/>
      </c>
      <c r="Z1098" t="str" cm="1">
        <f t="array" ref="Z1098">IF(20&lt;Controls!$B$7,INDEX(H1078:H1256,MATCH(Controls!$B$5,A1078:A1256,1)+20),"")</f>
        <v/>
      </c>
      <c r="AA1098" t="str" cm="1">
        <f t="array" ref="AA1098">IF(20&lt;Controls!$B$7,INDEX(M1078:M1256,MATCH(Controls!$B$5,A1078:A1256,1)+20)*INDEX(I1078:I1256,MATCH(Controls!$B$5,A1078:A1256,1)+20),"")</f>
        <v/>
      </c>
      <c r="AB1098">
        <f t="shared" si="125"/>
        <v>411.04000000000008</v>
      </c>
    </row>
    <row r="1099" spans="1:28" ht="13" customHeight="1" x14ac:dyDescent="0.35">
      <c r="A1099" s="153">
        <v>46692</v>
      </c>
      <c r="B1099" s="36" t="s">
        <v>54</v>
      </c>
      <c r="C1099" s="15" t="s">
        <v>52</v>
      </c>
      <c r="D1099" s="15" t="s">
        <v>48</v>
      </c>
      <c r="E1099" s="30">
        <f>H1098</f>
        <v>128.80000000000004</v>
      </c>
      <c r="F1099" s="37">
        <f>IFERROR('Production Inputs'!$AG$37*Dependencies!$D$13,0)</f>
        <v>0</v>
      </c>
      <c r="G1099" s="37">
        <f t="array" ref="G1099">IFERROR(SUMPRODUCT(('Production Inputs'!$A:$A="APAD")*('Production Inputs'!$B:$B="TOTAL ACTIVE")*'Production Inputs'!$AG:$AG),0)</f>
        <v>0</v>
      </c>
      <c r="H1099" s="30">
        <f t="shared" si="119"/>
        <v>128.80000000000004</v>
      </c>
      <c r="I1099" s="30">
        <f ca="1">IFERROR(AVERAGEIF(OFFSET(F1099,0,0,MIN(Controls!$B$8,COUNTIF(B1099:B$1973,B1099)),1),"&gt;"&amp;0),0)</f>
        <v>0</v>
      </c>
      <c r="J1099" s="38">
        <f t="shared" ca="1" si="120"/>
        <v>999</v>
      </c>
      <c r="K1099" s="30">
        <f t="shared" ca="1" si="124"/>
        <v>0</v>
      </c>
      <c r="L1099" t="str">
        <f t="shared" ca="1" si="121"/>
        <v>Overstock</v>
      </c>
      <c r="M1099" s="39">
        <f>IFERROR(VLOOKUP("APAD",Controls!A:I,7,0),6)</f>
        <v>4</v>
      </c>
      <c r="N1099" s="39">
        <f>IFERROR(VLOOKUP("APAD",Controls!A:I,8,0),3)</f>
        <v>3</v>
      </c>
      <c r="O1099" s="39">
        <f>IFERROR(VLOOKUP("APAD",Controls!A:I,9,0),18)</f>
        <v>12</v>
      </c>
      <c r="P1099" s="40">
        <f>IFERROR(VLOOKUP("APAD",Controls!A:J,5,0),0)</f>
        <v>165</v>
      </c>
      <c r="Q1099" s="39">
        <f>IFERROR(VLOOKUP("APAD",Controls!A:J,6,0),3)</f>
        <v>4</v>
      </c>
      <c r="R1099" s="21" t="str">
        <f>IFERROR(VLOOKUP("APAD",Controls!A:K,10,0),"")</f>
        <v>ST Pharm</v>
      </c>
      <c r="S1099" s="41">
        <f t="shared" si="122"/>
        <v>46569</v>
      </c>
      <c r="T1099" s="30">
        <f t="shared" si="123"/>
        <v>0</v>
      </c>
      <c r="W1099" s="205" t="str" cm="1">
        <f t="array" ref="W1099">IF(21&lt;Controls!$B$7,INDEX(A1078:A1256,MATCH(Controls!$B$5,A1078:A1256,1)+21),"")</f>
        <v/>
      </c>
      <c r="X1099" t="str" cm="1">
        <f t="array" ref="X1099">IF(21&lt;Controls!$B$7,INDEX(F1078:F1256,MATCH(Controls!$B$5,A1078:A1256,1)+21),"")</f>
        <v/>
      </c>
      <c r="Y1099" t="str" cm="1">
        <f t="array" ref="Y1099">IF(21&lt;Controls!$B$7,INDEX(G1078:G1256,MATCH(Controls!$B$5,A1078:A1256,1)+21),"")</f>
        <v/>
      </c>
      <c r="Z1099" t="str" cm="1">
        <f t="array" ref="Z1099">IF(21&lt;Controls!$B$7,INDEX(H1078:H1256,MATCH(Controls!$B$5,A1078:A1256,1)+21),"")</f>
        <v/>
      </c>
      <c r="AA1099" t="str" cm="1">
        <f t="array" ref="AA1099">IF(21&lt;Controls!$B$7,INDEX(M1078:M1256,MATCH(Controls!$B$5,A1078:A1256,1)+21)*INDEX(I1078:I1256,MATCH(Controls!$B$5,A1078:A1256,1)+21),"")</f>
        <v/>
      </c>
      <c r="AB1099">
        <f t="shared" si="125"/>
        <v>411.04000000000008</v>
      </c>
    </row>
    <row r="1100" spans="1:28" ht="13" customHeight="1" x14ac:dyDescent="0.35">
      <c r="A1100" s="153">
        <v>46722</v>
      </c>
      <c r="B1100" s="36" t="s">
        <v>54</v>
      </c>
      <c r="C1100" s="15" t="s">
        <v>52</v>
      </c>
      <c r="D1100" s="15" t="s">
        <v>48</v>
      </c>
      <c r="E1100" s="30">
        <f>H1099</f>
        <v>128.80000000000004</v>
      </c>
      <c r="F1100" s="37">
        <f>IFERROR('Production Inputs'!$AH$37*Dependencies!$D$13,0)</f>
        <v>0</v>
      </c>
      <c r="G1100" s="37">
        <f t="array" ref="G1100">IFERROR(SUMPRODUCT(('Production Inputs'!$A:$A="APAD")*('Production Inputs'!$B:$B="TOTAL ACTIVE")*'Production Inputs'!$AH:$AH),0)</f>
        <v>0</v>
      </c>
      <c r="H1100" s="30">
        <f t="shared" si="119"/>
        <v>128.80000000000004</v>
      </c>
      <c r="I1100" s="30">
        <f ca="1">IFERROR(AVERAGEIF(OFFSET(F1100,0,0,MIN(Controls!$B$8,COUNTIF(B1100:B$1973,B1100)),1),"&gt;"&amp;0),0)</f>
        <v>0</v>
      </c>
      <c r="J1100" s="38">
        <f t="shared" ca="1" si="120"/>
        <v>999</v>
      </c>
      <c r="K1100" s="30">
        <f t="shared" ca="1" si="124"/>
        <v>0</v>
      </c>
      <c r="L1100" t="str">
        <f t="shared" ca="1" si="121"/>
        <v>Overstock</v>
      </c>
      <c r="M1100" s="39">
        <f>IFERROR(VLOOKUP("APAD",Controls!A:I,7,0),6)</f>
        <v>4</v>
      </c>
      <c r="N1100" s="39">
        <f>IFERROR(VLOOKUP("APAD",Controls!A:I,8,0),3)</f>
        <v>3</v>
      </c>
      <c r="O1100" s="39">
        <f>IFERROR(VLOOKUP("APAD",Controls!A:I,9,0),18)</f>
        <v>12</v>
      </c>
      <c r="P1100" s="40">
        <f>IFERROR(VLOOKUP("APAD",Controls!A:J,5,0),0)</f>
        <v>165</v>
      </c>
      <c r="Q1100" s="39">
        <f>IFERROR(VLOOKUP("APAD",Controls!A:J,6,0),3)</f>
        <v>4</v>
      </c>
      <c r="R1100" s="21" t="str">
        <f>IFERROR(VLOOKUP("APAD",Controls!A:K,10,0),"")</f>
        <v>ST Pharm</v>
      </c>
      <c r="S1100" s="41">
        <f t="shared" si="122"/>
        <v>46600</v>
      </c>
      <c r="T1100" s="30">
        <f t="shared" si="123"/>
        <v>0</v>
      </c>
      <c r="W1100" s="205" t="str" cm="1">
        <f t="array" ref="W1100">IF(22&lt;Controls!$B$7,INDEX(A1078:A1256,MATCH(Controls!$B$5,A1078:A1256,1)+22),"")</f>
        <v/>
      </c>
      <c r="X1100" t="str" cm="1">
        <f t="array" ref="X1100">IF(22&lt;Controls!$B$7,INDEX(F1078:F1256,MATCH(Controls!$B$5,A1078:A1256,1)+22),"")</f>
        <v/>
      </c>
      <c r="Y1100" t="str" cm="1">
        <f t="array" ref="Y1100">IF(22&lt;Controls!$B$7,INDEX(G1078:G1256,MATCH(Controls!$B$5,A1078:A1256,1)+22),"")</f>
        <v/>
      </c>
      <c r="Z1100" t="str" cm="1">
        <f t="array" ref="Z1100">IF(22&lt;Controls!$B$7,INDEX(H1078:H1256,MATCH(Controls!$B$5,A1078:A1256,1)+22),"")</f>
        <v/>
      </c>
      <c r="AA1100" t="str" cm="1">
        <f t="array" ref="AA1100">IF(22&lt;Controls!$B$7,INDEX(M1078:M1256,MATCH(Controls!$B$5,A1078:A1256,1)+22)*INDEX(I1078:I1256,MATCH(Controls!$B$5,A1078:A1256,1)+22),"")</f>
        <v/>
      </c>
      <c r="AB1100">
        <f t="shared" si="125"/>
        <v>411.04000000000008</v>
      </c>
    </row>
    <row r="1101" spans="1:28" ht="13" customHeight="1" x14ac:dyDescent="0.35">
      <c r="A1101" s="153">
        <v>46753</v>
      </c>
      <c r="B1101" s="36" t="s">
        <v>54</v>
      </c>
      <c r="C1101" s="15" t="s">
        <v>52</v>
      </c>
      <c r="D1101" s="15" t="s">
        <v>48</v>
      </c>
      <c r="E1101" s="30">
        <f>H1100</f>
        <v>128.80000000000004</v>
      </c>
      <c r="F1101" s="37">
        <f>IFERROR('Production Inputs'!$AI$37*Dependencies!$D$13,0)</f>
        <v>0</v>
      </c>
      <c r="G1101" s="37">
        <f t="array" ref="G1101">IFERROR(SUMPRODUCT(('Production Inputs'!$A:$A="APAD")*('Production Inputs'!$B:$B="TOTAL ACTIVE")*'Production Inputs'!$AI:$AI),0)</f>
        <v>0</v>
      </c>
      <c r="H1101" s="30">
        <f t="shared" si="119"/>
        <v>128.80000000000004</v>
      </c>
      <c r="I1101" s="30">
        <f ca="1">IFERROR(AVERAGEIF(OFFSET(F1101,0,0,MIN(Controls!$B$8,COUNTIF(B1101:B$1973,B1101)),1),"&gt;"&amp;0),0)</f>
        <v>0</v>
      </c>
      <c r="J1101" s="38">
        <f t="shared" ca="1" si="120"/>
        <v>999</v>
      </c>
      <c r="K1101" s="30">
        <f t="shared" ca="1" si="124"/>
        <v>0</v>
      </c>
      <c r="L1101" t="str">
        <f t="shared" ca="1" si="121"/>
        <v>Overstock</v>
      </c>
      <c r="M1101" s="39">
        <f>IFERROR(VLOOKUP("APAD",Controls!A:I,7,0),6)</f>
        <v>4</v>
      </c>
      <c r="N1101" s="39">
        <f>IFERROR(VLOOKUP("APAD",Controls!A:I,8,0),3)</f>
        <v>3</v>
      </c>
      <c r="O1101" s="39">
        <f>IFERROR(VLOOKUP("APAD",Controls!A:I,9,0),18)</f>
        <v>12</v>
      </c>
      <c r="P1101" s="40">
        <f>IFERROR(VLOOKUP("APAD",Controls!A:J,5,0),0)</f>
        <v>165</v>
      </c>
      <c r="Q1101" s="39">
        <f>IFERROR(VLOOKUP("APAD",Controls!A:J,6,0),3)</f>
        <v>4</v>
      </c>
      <c r="R1101" s="21" t="str">
        <f>IFERROR(VLOOKUP("APAD",Controls!A:K,10,0),"")</f>
        <v>ST Pharm</v>
      </c>
      <c r="S1101" s="41">
        <f t="shared" si="122"/>
        <v>46631</v>
      </c>
      <c r="T1101" s="30">
        <f t="shared" si="123"/>
        <v>0</v>
      </c>
      <c r="W1101" s="205" t="str" cm="1">
        <f t="array" ref="W1101">IF(23&lt;Controls!$B$7,INDEX(A1078:A1256,MATCH(Controls!$B$5,A1078:A1256,1)+23),"")</f>
        <v/>
      </c>
      <c r="X1101" t="str" cm="1">
        <f t="array" ref="X1101">IF(23&lt;Controls!$B$7,INDEX(F1078:F1256,MATCH(Controls!$B$5,A1078:A1256,1)+23),"")</f>
        <v/>
      </c>
      <c r="Y1101" t="str" cm="1">
        <f t="array" ref="Y1101">IF(23&lt;Controls!$B$7,INDEX(G1078:G1256,MATCH(Controls!$B$5,A1078:A1256,1)+23),"")</f>
        <v/>
      </c>
      <c r="Z1101" t="str" cm="1">
        <f t="array" ref="Z1101">IF(23&lt;Controls!$B$7,INDEX(H1078:H1256,MATCH(Controls!$B$5,A1078:A1256,1)+23),"")</f>
        <v/>
      </c>
      <c r="AA1101" t="str" cm="1">
        <f t="array" ref="AA1101">IF(23&lt;Controls!$B$7,INDEX(M1078:M1256,MATCH(Controls!$B$5,A1078:A1256,1)+23)*INDEX(I1078:I1256,MATCH(Controls!$B$5,A1078:A1256,1)+23),"")</f>
        <v/>
      </c>
      <c r="AB1101">
        <f t="shared" si="125"/>
        <v>411.04000000000008</v>
      </c>
    </row>
    <row r="1102" spans="1:28" ht="13" customHeight="1" x14ac:dyDescent="0.35">
      <c r="A1102" s="153">
        <v>46784</v>
      </c>
      <c r="B1102" s="36" t="s">
        <v>54</v>
      </c>
      <c r="C1102" s="15" t="s">
        <v>52</v>
      </c>
      <c r="D1102" s="15" t="s">
        <v>48</v>
      </c>
      <c r="E1102" s="30">
        <f>H1101</f>
        <v>128.80000000000004</v>
      </c>
      <c r="F1102" s="37">
        <f>IFERROR('Production Inputs'!$AJ$37*Dependencies!$D$13,0)</f>
        <v>0</v>
      </c>
      <c r="G1102" s="37">
        <f t="array" ref="G1102">IFERROR(SUMPRODUCT(('Production Inputs'!$A:$A="APAD")*('Production Inputs'!$B:$B="TOTAL ACTIVE")*'Production Inputs'!$AJ:$AJ),0)</f>
        <v>0</v>
      </c>
      <c r="H1102" s="30">
        <f t="shared" si="119"/>
        <v>128.80000000000004</v>
      </c>
      <c r="I1102" s="30">
        <f ca="1">IFERROR(AVERAGEIF(OFFSET(F1102,0,0,MIN(Controls!$B$8,COUNTIF(B1102:B$1973,B1102)),1),"&gt;"&amp;0),0)</f>
        <v>0</v>
      </c>
      <c r="J1102" s="38">
        <f t="shared" ca="1" si="120"/>
        <v>999</v>
      </c>
      <c r="K1102" s="30">
        <f t="shared" ca="1" si="124"/>
        <v>0</v>
      </c>
      <c r="L1102" t="str">
        <f t="shared" ca="1" si="121"/>
        <v>Overstock</v>
      </c>
      <c r="M1102" s="39">
        <f>IFERROR(VLOOKUP("APAD",Controls!A:I,7,0),6)</f>
        <v>4</v>
      </c>
      <c r="N1102" s="39">
        <f>IFERROR(VLOOKUP("APAD",Controls!A:I,8,0),3)</f>
        <v>3</v>
      </c>
      <c r="O1102" s="39">
        <f>IFERROR(VLOOKUP("APAD",Controls!A:I,9,0),18)</f>
        <v>12</v>
      </c>
      <c r="P1102" s="40">
        <f>IFERROR(VLOOKUP("APAD",Controls!A:J,5,0),0)</f>
        <v>165</v>
      </c>
      <c r="Q1102" s="39">
        <f>IFERROR(VLOOKUP("APAD",Controls!A:J,6,0),3)</f>
        <v>4</v>
      </c>
      <c r="R1102" s="21" t="str">
        <f>IFERROR(VLOOKUP("APAD",Controls!A:K,10,0),"")</f>
        <v>ST Pharm</v>
      </c>
      <c r="S1102" s="41">
        <f t="shared" si="122"/>
        <v>46661</v>
      </c>
      <c r="T1102" s="30">
        <f t="shared" si="123"/>
        <v>0</v>
      </c>
      <c r="W1102" s="205" t="str" cm="1">
        <f t="array" ref="W1102">IF(24&lt;Controls!$B$7,INDEX(A1078:A1256,MATCH(Controls!$B$5,A1078:A1256,1)+24),"")</f>
        <v/>
      </c>
      <c r="X1102" t="str" cm="1">
        <f t="array" ref="X1102">IF(24&lt;Controls!$B$7,INDEX(F1078:F1256,MATCH(Controls!$B$5,A1078:A1256,1)+24),"")</f>
        <v/>
      </c>
      <c r="Y1102" t="str" cm="1">
        <f t="array" ref="Y1102">IF(24&lt;Controls!$B$7,INDEX(G1078:G1256,MATCH(Controls!$B$5,A1078:A1256,1)+24),"")</f>
        <v/>
      </c>
      <c r="Z1102" t="str" cm="1">
        <f t="array" ref="Z1102">IF(24&lt;Controls!$B$7,INDEX(H1078:H1256,MATCH(Controls!$B$5,A1078:A1256,1)+24),"")</f>
        <v/>
      </c>
      <c r="AA1102" t="str" cm="1">
        <f t="array" ref="AA1102">IF(24&lt;Controls!$B$7,INDEX(M1078:M1256,MATCH(Controls!$B$5,A1078:A1256,1)+24)*INDEX(I1078:I1256,MATCH(Controls!$B$5,A1078:A1256,1)+24),"")</f>
        <v/>
      </c>
      <c r="AB1102">
        <f t="shared" si="125"/>
        <v>411.04000000000008</v>
      </c>
    </row>
    <row r="1103" spans="1:28" ht="13" customHeight="1" x14ac:dyDescent="0.35">
      <c r="A1103" s="153">
        <v>46813</v>
      </c>
      <c r="B1103" s="36" t="s">
        <v>54</v>
      </c>
      <c r="C1103" s="15" t="s">
        <v>52</v>
      </c>
      <c r="D1103" s="15" t="s">
        <v>48</v>
      </c>
      <c r="E1103" s="30">
        <f>H1102</f>
        <v>128.80000000000004</v>
      </c>
      <c r="F1103" s="37">
        <f>IFERROR('Production Inputs'!$AK$37*Dependencies!$D$13,0)</f>
        <v>0</v>
      </c>
      <c r="G1103" s="37">
        <f t="array" ref="G1103">IFERROR(SUMPRODUCT(('Production Inputs'!$A:$A="APAD")*('Production Inputs'!$B:$B="TOTAL ACTIVE")*'Production Inputs'!$AK:$AK),0)</f>
        <v>0</v>
      </c>
      <c r="H1103" s="30">
        <f t="shared" si="119"/>
        <v>128.80000000000004</v>
      </c>
      <c r="I1103" s="30">
        <f ca="1">IFERROR(AVERAGEIF(OFFSET(F1103,0,0,MIN(Controls!$B$8,COUNTIF(B1103:B$1973,B1103)),1),"&gt;"&amp;0),0)</f>
        <v>0</v>
      </c>
      <c r="J1103" s="38">
        <f t="shared" ca="1" si="120"/>
        <v>999</v>
      </c>
      <c r="K1103" s="30">
        <f t="shared" ca="1" si="124"/>
        <v>0</v>
      </c>
      <c r="L1103" t="str">
        <f t="shared" ca="1" si="121"/>
        <v>Overstock</v>
      </c>
      <c r="M1103" s="39">
        <f>IFERROR(VLOOKUP("APAD",Controls!A:I,7,0),6)</f>
        <v>4</v>
      </c>
      <c r="N1103" s="39">
        <f>IFERROR(VLOOKUP("APAD",Controls!A:I,8,0),3)</f>
        <v>3</v>
      </c>
      <c r="O1103" s="39">
        <f>IFERROR(VLOOKUP("APAD",Controls!A:I,9,0),18)</f>
        <v>12</v>
      </c>
      <c r="P1103" s="40">
        <f>IFERROR(VLOOKUP("APAD",Controls!A:J,5,0),0)</f>
        <v>165</v>
      </c>
      <c r="Q1103" s="39">
        <f>IFERROR(VLOOKUP("APAD",Controls!A:J,6,0),3)</f>
        <v>4</v>
      </c>
      <c r="R1103" s="21" t="str">
        <f>IFERROR(VLOOKUP("APAD",Controls!A:K,10,0),"")</f>
        <v>ST Pharm</v>
      </c>
      <c r="S1103" s="41">
        <f t="shared" si="122"/>
        <v>46692</v>
      </c>
      <c r="T1103" s="30">
        <f t="shared" si="123"/>
        <v>0</v>
      </c>
      <c r="W1103" s="205" t="str" cm="1">
        <f t="array" ref="W1103">IF(25&lt;Controls!$B$7,INDEX(A1078:A1256,MATCH(Controls!$B$5,A1078:A1256,1)+25),"")</f>
        <v/>
      </c>
      <c r="X1103" t="str" cm="1">
        <f t="array" ref="X1103">IF(25&lt;Controls!$B$7,INDEX(F1078:F1256,MATCH(Controls!$B$5,A1078:A1256,1)+25),"")</f>
        <v/>
      </c>
      <c r="Y1103" t="str" cm="1">
        <f t="array" ref="Y1103">IF(25&lt;Controls!$B$7,INDEX(G1078:G1256,MATCH(Controls!$B$5,A1078:A1256,1)+25),"")</f>
        <v/>
      </c>
      <c r="Z1103" t="str" cm="1">
        <f t="array" ref="Z1103">IF(25&lt;Controls!$B$7,INDEX(H1078:H1256,MATCH(Controls!$B$5,A1078:A1256,1)+25),"")</f>
        <v/>
      </c>
      <c r="AA1103" t="str" cm="1">
        <f t="array" ref="AA1103">IF(25&lt;Controls!$B$7,INDEX(M1078:M1256,MATCH(Controls!$B$5,A1078:A1256,1)+25)*INDEX(I1078:I1256,MATCH(Controls!$B$5,A1078:A1256,1)+25),"")</f>
        <v/>
      </c>
      <c r="AB1103">
        <f t="shared" si="125"/>
        <v>411.04000000000008</v>
      </c>
    </row>
    <row r="1104" spans="1:28" ht="13" customHeight="1" x14ac:dyDescent="0.35">
      <c r="A1104" s="153">
        <v>46844</v>
      </c>
      <c r="B1104" s="36" t="s">
        <v>54</v>
      </c>
      <c r="C1104" s="15" t="s">
        <v>52</v>
      </c>
      <c r="D1104" s="15" t="s">
        <v>48</v>
      </c>
      <c r="E1104" s="30">
        <f>H1103</f>
        <v>128.80000000000004</v>
      </c>
      <c r="F1104" s="37">
        <f>IFERROR('Production Inputs'!$AL$37*Dependencies!$D$13,0)</f>
        <v>0</v>
      </c>
      <c r="G1104" s="37">
        <f t="array" ref="G1104">IFERROR(SUMPRODUCT(('Production Inputs'!$A:$A="APAD")*('Production Inputs'!$B:$B="TOTAL ACTIVE")*'Production Inputs'!$AL:$AL),0)</f>
        <v>0</v>
      </c>
      <c r="H1104" s="30">
        <f t="shared" si="119"/>
        <v>128.80000000000004</v>
      </c>
      <c r="I1104" s="30">
        <f ca="1">IFERROR(AVERAGEIF(OFFSET(F1104,0,0,MIN(Controls!$B$8,COUNTIF(B1104:B$1973,B1104)),1),"&gt;"&amp;0),0)</f>
        <v>0</v>
      </c>
      <c r="J1104" s="38">
        <f t="shared" ca="1" si="120"/>
        <v>999</v>
      </c>
      <c r="K1104" s="30">
        <f t="shared" ca="1" si="124"/>
        <v>0</v>
      </c>
      <c r="L1104" t="str">
        <f t="shared" ca="1" si="121"/>
        <v>Overstock</v>
      </c>
      <c r="M1104" s="39">
        <f>IFERROR(VLOOKUP("APAD",Controls!A:I,7,0),6)</f>
        <v>4</v>
      </c>
      <c r="N1104" s="39">
        <f>IFERROR(VLOOKUP("APAD",Controls!A:I,8,0),3)</f>
        <v>3</v>
      </c>
      <c r="O1104" s="39">
        <f>IFERROR(VLOOKUP("APAD",Controls!A:I,9,0),18)</f>
        <v>12</v>
      </c>
      <c r="P1104" s="40">
        <f>IFERROR(VLOOKUP("APAD",Controls!A:J,5,0),0)</f>
        <v>165</v>
      </c>
      <c r="Q1104" s="39">
        <f>IFERROR(VLOOKUP("APAD",Controls!A:J,6,0),3)</f>
        <v>4</v>
      </c>
      <c r="R1104" s="21" t="str">
        <f>IFERROR(VLOOKUP("APAD",Controls!A:K,10,0),"")</f>
        <v>ST Pharm</v>
      </c>
      <c r="S1104" s="41">
        <f t="shared" si="122"/>
        <v>46722</v>
      </c>
      <c r="T1104" s="30">
        <f t="shared" si="123"/>
        <v>0</v>
      </c>
      <c r="W1104" s="205" t="str" cm="1">
        <f t="array" ref="W1104">IF(26&lt;Controls!$B$7,INDEX(A1078:A1256,MATCH(Controls!$B$5,A1078:A1256,1)+26),"")</f>
        <v/>
      </c>
      <c r="X1104" t="str" cm="1">
        <f t="array" ref="X1104">IF(26&lt;Controls!$B$7,INDEX(F1078:F1256,MATCH(Controls!$B$5,A1078:A1256,1)+26),"")</f>
        <v/>
      </c>
      <c r="Y1104" t="str" cm="1">
        <f t="array" ref="Y1104">IF(26&lt;Controls!$B$7,INDEX(G1078:G1256,MATCH(Controls!$B$5,A1078:A1256,1)+26),"")</f>
        <v/>
      </c>
      <c r="Z1104" t="str" cm="1">
        <f t="array" ref="Z1104">IF(26&lt;Controls!$B$7,INDEX(H1078:H1256,MATCH(Controls!$B$5,A1078:A1256,1)+26),"")</f>
        <v/>
      </c>
      <c r="AA1104" t="str" cm="1">
        <f t="array" ref="AA1104">IF(26&lt;Controls!$B$7,INDEX(M1078:M1256,MATCH(Controls!$B$5,A1078:A1256,1)+26)*INDEX(I1078:I1256,MATCH(Controls!$B$5,A1078:A1256,1)+26),"")</f>
        <v/>
      </c>
      <c r="AB1104">
        <f t="shared" si="125"/>
        <v>411.04000000000008</v>
      </c>
    </row>
    <row r="1105" spans="1:28" ht="13" customHeight="1" x14ac:dyDescent="0.35">
      <c r="A1105" s="153">
        <v>46874</v>
      </c>
      <c r="B1105" s="36" t="s">
        <v>54</v>
      </c>
      <c r="C1105" s="15" t="s">
        <v>52</v>
      </c>
      <c r="D1105" s="15" t="s">
        <v>48</v>
      </c>
      <c r="E1105" s="30">
        <f>H1104</f>
        <v>128.80000000000004</v>
      </c>
      <c r="F1105" s="37">
        <f>IFERROR('Production Inputs'!$AM$37*Dependencies!$D$13,0)</f>
        <v>0</v>
      </c>
      <c r="G1105" s="37">
        <f t="array" ref="G1105">IFERROR(SUMPRODUCT(('Production Inputs'!$A:$A="APAD")*('Production Inputs'!$B:$B="TOTAL ACTIVE")*'Production Inputs'!$AM:$AM),0)</f>
        <v>0</v>
      </c>
      <c r="H1105" s="30">
        <f t="shared" si="119"/>
        <v>128.80000000000004</v>
      </c>
      <c r="I1105" s="30">
        <f ca="1">IFERROR(AVERAGEIF(OFFSET(F1105,0,0,MIN(Controls!$B$8,COUNTIF(B1105:B$1973,B1105)),1),"&gt;"&amp;0),0)</f>
        <v>0</v>
      </c>
      <c r="J1105" s="38">
        <f t="shared" ca="1" si="120"/>
        <v>999</v>
      </c>
      <c r="K1105" s="30">
        <f t="shared" ca="1" si="124"/>
        <v>0</v>
      </c>
      <c r="L1105" t="str">
        <f t="shared" ca="1" si="121"/>
        <v>Overstock</v>
      </c>
      <c r="M1105" s="39">
        <f>IFERROR(VLOOKUP("APAD",Controls!A:I,7,0),6)</f>
        <v>4</v>
      </c>
      <c r="N1105" s="39">
        <f>IFERROR(VLOOKUP("APAD",Controls!A:I,8,0),3)</f>
        <v>3</v>
      </c>
      <c r="O1105" s="39">
        <f>IFERROR(VLOOKUP("APAD",Controls!A:I,9,0),18)</f>
        <v>12</v>
      </c>
      <c r="P1105" s="40">
        <f>IFERROR(VLOOKUP("APAD",Controls!A:J,5,0),0)</f>
        <v>165</v>
      </c>
      <c r="Q1105" s="39">
        <f>IFERROR(VLOOKUP("APAD",Controls!A:J,6,0),3)</f>
        <v>4</v>
      </c>
      <c r="R1105" s="21" t="str">
        <f>IFERROR(VLOOKUP("APAD",Controls!A:K,10,0),"")</f>
        <v>ST Pharm</v>
      </c>
      <c r="S1105" s="41">
        <f t="shared" si="122"/>
        <v>46753</v>
      </c>
      <c r="T1105" s="30">
        <f t="shared" si="123"/>
        <v>0</v>
      </c>
      <c r="W1105" s="205" t="str" cm="1">
        <f t="array" ref="W1105">IF(27&lt;Controls!$B$7,INDEX(A1078:A1256,MATCH(Controls!$B$5,A1078:A1256,1)+27),"")</f>
        <v/>
      </c>
      <c r="X1105" t="str" cm="1">
        <f t="array" ref="X1105">IF(27&lt;Controls!$B$7,INDEX(F1078:F1256,MATCH(Controls!$B$5,A1078:A1256,1)+27),"")</f>
        <v/>
      </c>
      <c r="Y1105" t="str" cm="1">
        <f t="array" ref="Y1105">IF(27&lt;Controls!$B$7,INDEX(G1078:G1256,MATCH(Controls!$B$5,A1078:A1256,1)+27),"")</f>
        <v/>
      </c>
      <c r="Z1105" t="str" cm="1">
        <f t="array" ref="Z1105">IF(27&lt;Controls!$B$7,INDEX(H1078:H1256,MATCH(Controls!$B$5,A1078:A1256,1)+27),"")</f>
        <v/>
      </c>
      <c r="AA1105" t="str" cm="1">
        <f t="array" ref="AA1105">IF(27&lt;Controls!$B$7,INDEX(M1078:M1256,MATCH(Controls!$B$5,A1078:A1256,1)+27)*INDEX(I1078:I1256,MATCH(Controls!$B$5,A1078:A1256,1)+27),"")</f>
        <v/>
      </c>
      <c r="AB1105">
        <f t="shared" si="125"/>
        <v>411.04000000000008</v>
      </c>
    </row>
    <row r="1106" spans="1:28" ht="13" customHeight="1" x14ac:dyDescent="0.35">
      <c r="A1106" s="153">
        <v>46905</v>
      </c>
      <c r="B1106" s="36" t="s">
        <v>54</v>
      </c>
      <c r="C1106" s="15" t="s">
        <v>52</v>
      </c>
      <c r="D1106" s="15" t="s">
        <v>48</v>
      </c>
      <c r="E1106" s="30">
        <f>H1105</f>
        <v>128.80000000000004</v>
      </c>
      <c r="F1106" s="37">
        <f>IFERROR('Production Inputs'!$AN$37*Dependencies!$D$13,0)</f>
        <v>0</v>
      </c>
      <c r="G1106" s="37">
        <f t="array" ref="G1106">IFERROR(SUMPRODUCT(('Production Inputs'!$A:$A="APAD")*('Production Inputs'!$B:$B="TOTAL ACTIVE")*'Production Inputs'!$AN:$AN),0)</f>
        <v>0</v>
      </c>
      <c r="H1106" s="30">
        <f t="shared" si="119"/>
        <v>128.80000000000004</v>
      </c>
      <c r="I1106" s="30">
        <f ca="1">IFERROR(AVERAGEIF(OFFSET(F1106,0,0,MIN(Controls!$B$8,COUNTIF(B1106:B$1973,B1106)),1),"&gt;"&amp;0),0)</f>
        <v>0</v>
      </c>
      <c r="J1106" s="38">
        <f t="shared" ca="1" si="120"/>
        <v>999</v>
      </c>
      <c r="K1106" s="30">
        <f t="shared" ca="1" si="124"/>
        <v>0</v>
      </c>
      <c r="L1106" t="str">
        <f t="shared" ca="1" si="121"/>
        <v>Overstock</v>
      </c>
      <c r="M1106" s="39">
        <f>IFERROR(VLOOKUP("APAD",Controls!A:I,7,0),6)</f>
        <v>4</v>
      </c>
      <c r="N1106" s="39">
        <f>IFERROR(VLOOKUP("APAD",Controls!A:I,8,0),3)</f>
        <v>3</v>
      </c>
      <c r="O1106" s="39">
        <f>IFERROR(VLOOKUP("APAD",Controls!A:I,9,0),18)</f>
        <v>12</v>
      </c>
      <c r="P1106" s="40">
        <f>IFERROR(VLOOKUP("APAD",Controls!A:J,5,0),0)</f>
        <v>165</v>
      </c>
      <c r="Q1106" s="39">
        <f>IFERROR(VLOOKUP("APAD",Controls!A:J,6,0),3)</f>
        <v>4</v>
      </c>
      <c r="R1106" s="21" t="str">
        <f>IFERROR(VLOOKUP("APAD",Controls!A:K,10,0),"")</f>
        <v>ST Pharm</v>
      </c>
      <c r="S1106" s="41">
        <f t="shared" si="122"/>
        <v>46784</v>
      </c>
      <c r="T1106" s="30">
        <f t="shared" si="123"/>
        <v>0</v>
      </c>
      <c r="W1106" s="205" t="str" cm="1">
        <f t="array" ref="W1106">IF(28&lt;Controls!$B$7,INDEX(A1078:A1256,MATCH(Controls!$B$5,A1078:A1256,1)+28),"")</f>
        <v/>
      </c>
      <c r="X1106" t="str" cm="1">
        <f t="array" ref="X1106">IF(28&lt;Controls!$B$7,INDEX(F1078:F1256,MATCH(Controls!$B$5,A1078:A1256,1)+28),"")</f>
        <v/>
      </c>
      <c r="Y1106" t="str" cm="1">
        <f t="array" ref="Y1106">IF(28&lt;Controls!$B$7,INDEX(G1078:G1256,MATCH(Controls!$B$5,A1078:A1256,1)+28),"")</f>
        <v/>
      </c>
      <c r="Z1106" t="str" cm="1">
        <f t="array" ref="Z1106">IF(28&lt;Controls!$B$7,INDEX(H1078:H1256,MATCH(Controls!$B$5,A1078:A1256,1)+28),"")</f>
        <v/>
      </c>
      <c r="AA1106" t="str" cm="1">
        <f t="array" ref="AA1106">IF(28&lt;Controls!$B$7,INDEX(M1078:M1256,MATCH(Controls!$B$5,A1078:A1256,1)+28)*INDEX(I1078:I1256,MATCH(Controls!$B$5,A1078:A1256,1)+28),"")</f>
        <v/>
      </c>
      <c r="AB1106">
        <f t="shared" si="125"/>
        <v>411.04000000000008</v>
      </c>
    </row>
    <row r="1107" spans="1:28" ht="13" customHeight="1" x14ac:dyDescent="0.35">
      <c r="A1107" s="153">
        <v>46935</v>
      </c>
      <c r="B1107" s="36" t="s">
        <v>54</v>
      </c>
      <c r="C1107" s="15" t="s">
        <v>52</v>
      </c>
      <c r="D1107" s="15" t="s">
        <v>48</v>
      </c>
      <c r="E1107" s="30">
        <f>H1106</f>
        <v>128.80000000000004</v>
      </c>
      <c r="F1107" s="37">
        <f>IFERROR('Production Inputs'!$AO$37*Dependencies!$D$13,0)</f>
        <v>0</v>
      </c>
      <c r="G1107" s="37">
        <f t="array" ref="G1107">IFERROR(SUMPRODUCT(('Production Inputs'!$A:$A="APAD")*('Production Inputs'!$B:$B="TOTAL ACTIVE")*'Production Inputs'!$AO:$AO),0)</f>
        <v>0</v>
      </c>
      <c r="H1107" s="30">
        <f t="shared" si="119"/>
        <v>128.80000000000004</v>
      </c>
      <c r="I1107" s="30">
        <f ca="1">IFERROR(AVERAGEIF(OFFSET(F1107,0,0,MIN(Controls!$B$8,COUNTIF(B1107:B$1973,B1107)),1),"&gt;"&amp;0),0)</f>
        <v>0</v>
      </c>
      <c r="J1107" s="38">
        <f t="shared" ca="1" si="120"/>
        <v>999</v>
      </c>
      <c r="K1107" s="30">
        <f t="shared" ca="1" si="124"/>
        <v>0</v>
      </c>
      <c r="L1107" t="str">
        <f t="shared" ca="1" si="121"/>
        <v>Overstock</v>
      </c>
      <c r="M1107" s="39">
        <f>IFERROR(VLOOKUP("APAD",Controls!A:I,7,0),6)</f>
        <v>4</v>
      </c>
      <c r="N1107" s="39">
        <f>IFERROR(VLOOKUP("APAD",Controls!A:I,8,0),3)</f>
        <v>3</v>
      </c>
      <c r="O1107" s="39">
        <f>IFERROR(VLOOKUP("APAD",Controls!A:I,9,0),18)</f>
        <v>12</v>
      </c>
      <c r="P1107" s="40">
        <f>IFERROR(VLOOKUP("APAD",Controls!A:J,5,0),0)</f>
        <v>165</v>
      </c>
      <c r="Q1107" s="39">
        <f>IFERROR(VLOOKUP("APAD",Controls!A:J,6,0),3)</f>
        <v>4</v>
      </c>
      <c r="R1107" s="21" t="str">
        <f>IFERROR(VLOOKUP("APAD",Controls!A:K,10,0),"")</f>
        <v>ST Pharm</v>
      </c>
      <c r="S1107" s="41">
        <f t="shared" si="122"/>
        <v>46813</v>
      </c>
      <c r="T1107" s="30">
        <f t="shared" si="123"/>
        <v>0</v>
      </c>
      <c r="W1107" s="205" t="str" cm="1">
        <f t="array" ref="W1107">IF(29&lt;Controls!$B$7,INDEX(A1078:A1256,MATCH(Controls!$B$5,A1078:A1256,1)+29),"")</f>
        <v/>
      </c>
      <c r="X1107" t="str" cm="1">
        <f t="array" ref="X1107">IF(29&lt;Controls!$B$7,INDEX(F1078:F1256,MATCH(Controls!$B$5,A1078:A1256,1)+29),"")</f>
        <v/>
      </c>
      <c r="Y1107" t="str" cm="1">
        <f t="array" ref="Y1107">IF(29&lt;Controls!$B$7,INDEX(G1078:G1256,MATCH(Controls!$B$5,A1078:A1256,1)+29),"")</f>
        <v/>
      </c>
      <c r="Z1107" t="str" cm="1">
        <f t="array" ref="Z1107">IF(29&lt;Controls!$B$7,INDEX(H1078:H1256,MATCH(Controls!$B$5,A1078:A1256,1)+29),"")</f>
        <v/>
      </c>
      <c r="AA1107" t="str" cm="1">
        <f t="array" ref="AA1107">IF(29&lt;Controls!$B$7,INDEX(M1078:M1256,MATCH(Controls!$B$5,A1078:A1256,1)+29)*INDEX(I1078:I1256,MATCH(Controls!$B$5,A1078:A1256,1)+29),"")</f>
        <v/>
      </c>
      <c r="AB1107">
        <f t="shared" si="125"/>
        <v>411.04000000000008</v>
      </c>
    </row>
    <row r="1108" spans="1:28" ht="13" customHeight="1" x14ac:dyDescent="0.35">
      <c r="A1108" s="153">
        <v>46966</v>
      </c>
      <c r="B1108" s="36" t="s">
        <v>54</v>
      </c>
      <c r="C1108" s="15" t="s">
        <v>52</v>
      </c>
      <c r="D1108" s="15" t="s">
        <v>48</v>
      </c>
      <c r="E1108" s="30">
        <f>H1107</f>
        <v>128.80000000000004</v>
      </c>
      <c r="F1108" s="37">
        <f>IFERROR('Production Inputs'!$AP$37*Dependencies!$D$13,0)</f>
        <v>0</v>
      </c>
      <c r="G1108" s="37">
        <f t="array" ref="G1108">IFERROR(SUMPRODUCT(('Production Inputs'!$A:$A="APAD")*('Production Inputs'!$B:$B="TOTAL ACTIVE")*'Production Inputs'!$AP:$AP),0)</f>
        <v>0</v>
      </c>
      <c r="H1108" s="30">
        <f t="shared" si="119"/>
        <v>128.80000000000004</v>
      </c>
      <c r="I1108" s="30">
        <f ca="1">IFERROR(AVERAGEIF(OFFSET(F1108,0,0,MIN(Controls!$B$8,COUNTIF(B1108:B$1973,B1108)),1),"&gt;"&amp;0),0)</f>
        <v>0</v>
      </c>
      <c r="J1108" s="38">
        <f t="shared" ca="1" si="120"/>
        <v>999</v>
      </c>
      <c r="K1108" s="30">
        <f t="shared" ca="1" si="124"/>
        <v>0</v>
      </c>
      <c r="L1108" t="str">
        <f t="shared" ca="1" si="121"/>
        <v>Overstock</v>
      </c>
      <c r="M1108" s="39">
        <f>IFERROR(VLOOKUP("APAD",Controls!A:I,7,0),6)</f>
        <v>4</v>
      </c>
      <c r="N1108" s="39">
        <f>IFERROR(VLOOKUP("APAD",Controls!A:I,8,0),3)</f>
        <v>3</v>
      </c>
      <c r="O1108" s="39">
        <f>IFERROR(VLOOKUP("APAD",Controls!A:I,9,0),18)</f>
        <v>12</v>
      </c>
      <c r="P1108" s="40">
        <f>IFERROR(VLOOKUP("APAD",Controls!A:J,5,0),0)</f>
        <v>165</v>
      </c>
      <c r="Q1108" s="39">
        <f>IFERROR(VLOOKUP("APAD",Controls!A:J,6,0),3)</f>
        <v>4</v>
      </c>
      <c r="R1108" s="21" t="str">
        <f>IFERROR(VLOOKUP("APAD",Controls!A:K,10,0),"")</f>
        <v>ST Pharm</v>
      </c>
      <c r="S1108" s="41">
        <f t="shared" si="122"/>
        <v>46844</v>
      </c>
      <c r="T1108" s="30">
        <f t="shared" si="123"/>
        <v>0</v>
      </c>
      <c r="W1108" s="205" t="str" cm="1">
        <f t="array" ref="W1108">IF(30&lt;Controls!$B$7,INDEX(A1078:A1256,MATCH(Controls!$B$5,A1078:A1256,1)+30),"")</f>
        <v/>
      </c>
      <c r="X1108" t="str" cm="1">
        <f t="array" ref="X1108">IF(30&lt;Controls!$B$7,INDEX(F1078:F1256,MATCH(Controls!$B$5,A1078:A1256,1)+30),"")</f>
        <v/>
      </c>
      <c r="Y1108" t="str" cm="1">
        <f t="array" ref="Y1108">IF(30&lt;Controls!$B$7,INDEX(G1078:G1256,MATCH(Controls!$B$5,A1078:A1256,1)+30),"")</f>
        <v/>
      </c>
      <c r="Z1108" t="str" cm="1">
        <f t="array" ref="Z1108">IF(30&lt;Controls!$B$7,INDEX(H1078:H1256,MATCH(Controls!$B$5,A1078:A1256,1)+30),"")</f>
        <v/>
      </c>
      <c r="AA1108" t="str" cm="1">
        <f t="array" ref="AA1108">IF(30&lt;Controls!$B$7,INDEX(M1078:M1256,MATCH(Controls!$B$5,A1078:A1256,1)+30)*INDEX(I1078:I1256,MATCH(Controls!$B$5,A1078:A1256,1)+30),"")</f>
        <v/>
      </c>
      <c r="AB1108">
        <f t="shared" si="125"/>
        <v>411.04000000000008</v>
      </c>
    </row>
    <row r="1109" spans="1:28" ht="13" customHeight="1" x14ac:dyDescent="0.35">
      <c r="A1109" s="153">
        <v>46997</v>
      </c>
      <c r="B1109" s="36" t="s">
        <v>54</v>
      </c>
      <c r="C1109" s="15" t="s">
        <v>52</v>
      </c>
      <c r="D1109" s="15" t="s">
        <v>48</v>
      </c>
      <c r="E1109" s="30">
        <f>H1108</f>
        <v>128.80000000000004</v>
      </c>
      <c r="F1109" s="37">
        <f>IFERROR('Production Inputs'!$AQ$37*Dependencies!$D$13,0)</f>
        <v>0</v>
      </c>
      <c r="G1109" s="37">
        <f t="array" ref="G1109">IFERROR(SUMPRODUCT(('Production Inputs'!$A:$A="APAD")*('Production Inputs'!$B:$B="TOTAL ACTIVE")*'Production Inputs'!$AQ:$AQ),0)</f>
        <v>0</v>
      </c>
      <c r="H1109" s="30">
        <f t="shared" si="119"/>
        <v>128.80000000000004</v>
      </c>
      <c r="I1109" s="30">
        <f ca="1">IFERROR(AVERAGEIF(OFFSET(F1109,0,0,MIN(Controls!$B$8,COUNTIF(B1109:B$1973,B1109)),1),"&gt;"&amp;0),0)</f>
        <v>0</v>
      </c>
      <c r="J1109" s="38">
        <f t="shared" ca="1" si="120"/>
        <v>999</v>
      </c>
      <c r="K1109" s="30">
        <f t="shared" ca="1" si="124"/>
        <v>0</v>
      </c>
      <c r="L1109" t="str">
        <f t="shared" ca="1" si="121"/>
        <v>Overstock</v>
      </c>
      <c r="M1109" s="39">
        <f>IFERROR(VLOOKUP("APAD",Controls!A:I,7,0),6)</f>
        <v>4</v>
      </c>
      <c r="N1109" s="39">
        <f>IFERROR(VLOOKUP("APAD",Controls!A:I,8,0),3)</f>
        <v>3</v>
      </c>
      <c r="O1109" s="39">
        <f>IFERROR(VLOOKUP("APAD",Controls!A:I,9,0),18)</f>
        <v>12</v>
      </c>
      <c r="P1109" s="40">
        <f>IFERROR(VLOOKUP("APAD",Controls!A:J,5,0),0)</f>
        <v>165</v>
      </c>
      <c r="Q1109" s="39">
        <f>IFERROR(VLOOKUP("APAD",Controls!A:J,6,0),3)</f>
        <v>4</v>
      </c>
      <c r="R1109" s="21" t="str">
        <f>IFERROR(VLOOKUP("APAD",Controls!A:K,10,0),"")</f>
        <v>ST Pharm</v>
      </c>
      <c r="S1109" s="41">
        <f t="shared" si="122"/>
        <v>46874</v>
      </c>
      <c r="T1109" s="30">
        <f t="shared" si="123"/>
        <v>0</v>
      </c>
      <c r="W1109" s="205" t="str" cm="1">
        <f t="array" ref="W1109">IF(31&lt;Controls!$B$7,INDEX(A1078:A1256,MATCH(Controls!$B$5,A1078:A1256,1)+31),"")</f>
        <v/>
      </c>
      <c r="X1109" t="str" cm="1">
        <f t="array" ref="X1109">IF(31&lt;Controls!$B$7,INDEX(F1078:F1256,MATCH(Controls!$B$5,A1078:A1256,1)+31),"")</f>
        <v/>
      </c>
      <c r="Y1109" t="str" cm="1">
        <f t="array" ref="Y1109">IF(31&lt;Controls!$B$7,INDEX(G1078:G1256,MATCH(Controls!$B$5,A1078:A1256,1)+31),"")</f>
        <v/>
      </c>
      <c r="Z1109" t="str" cm="1">
        <f t="array" ref="Z1109">IF(31&lt;Controls!$B$7,INDEX(H1078:H1256,MATCH(Controls!$B$5,A1078:A1256,1)+31),"")</f>
        <v/>
      </c>
      <c r="AA1109" t="str" cm="1">
        <f t="array" ref="AA1109">IF(31&lt;Controls!$B$7,INDEX(M1078:M1256,MATCH(Controls!$B$5,A1078:A1256,1)+31)*INDEX(I1078:I1256,MATCH(Controls!$B$5,A1078:A1256,1)+31),"")</f>
        <v/>
      </c>
      <c r="AB1109">
        <f t="shared" si="125"/>
        <v>411.04000000000008</v>
      </c>
    </row>
    <row r="1110" spans="1:28" ht="13" customHeight="1" x14ac:dyDescent="0.35">
      <c r="A1110" s="153">
        <v>47027</v>
      </c>
      <c r="B1110" s="36" t="s">
        <v>54</v>
      </c>
      <c r="C1110" s="15" t="s">
        <v>52</v>
      </c>
      <c r="D1110" s="15" t="s">
        <v>48</v>
      </c>
      <c r="E1110" s="30">
        <f>H1109</f>
        <v>128.80000000000004</v>
      </c>
      <c r="F1110" s="37">
        <f>IFERROR('Production Inputs'!$AR$37*Dependencies!$D$13,0)</f>
        <v>0</v>
      </c>
      <c r="G1110" s="37">
        <f t="array" ref="G1110">IFERROR(SUMPRODUCT(('Production Inputs'!$A:$A="APAD")*('Production Inputs'!$B:$B="TOTAL ACTIVE")*'Production Inputs'!$AR:$AR),0)</f>
        <v>0</v>
      </c>
      <c r="H1110" s="30">
        <f t="shared" si="119"/>
        <v>128.80000000000004</v>
      </c>
      <c r="I1110" s="30">
        <f ca="1">IFERROR(AVERAGEIF(OFFSET(F1110,0,0,MIN(Controls!$B$8,COUNTIF(B1110:B$1973,B1110)),1),"&gt;"&amp;0),0)</f>
        <v>0</v>
      </c>
      <c r="J1110" s="38">
        <f t="shared" ca="1" si="120"/>
        <v>999</v>
      </c>
      <c r="K1110" s="30">
        <f t="shared" ca="1" si="124"/>
        <v>0</v>
      </c>
      <c r="L1110" t="str">
        <f t="shared" ca="1" si="121"/>
        <v>Overstock</v>
      </c>
      <c r="M1110" s="39">
        <f>IFERROR(VLOOKUP("APAD",Controls!A:I,7,0),6)</f>
        <v>4</v>
      </c>
      <c r="N1110" s="39">
        <f>IFERROR(VLOOKUP("APAD",Controls!A:I,8,0),3)</f>
        <v>3</v>
      </c>
      <c r="O1110" s="39">
        <f>IFERROR(VLOOKUP("APAD",Controls!A:I,9,0),18)</f>
        <v>12</v>
      </c>
      <c r="P1110" s="40">
        <f>IFERROR(VLOOKUP("APAD",Controls!A:J,5,0),0)</f>
        <v>165</v>
      </c>
      <c r="Q1110" s="39">
        <f>IFERROR(VLOOKUP("APAD",Controls!A:J,6,0),3)</f>
        <v>4</v>
      </c>
      <c r="R1110" s="21" t="str">
        <f>IFERROR(VLOOKUP("APAD",Controls!A:K,10,0),"")</f>
        <v>ST Pharm</v>
      </c>
      <c r="S1110" s="41">
        <f t="shared" si="122"/>
        <v>46905</v>
      </c>
      <c r="T1110" s="30">
        <f t="shared" si="123"/>
        <v>0</v>
      </c>
      <c r="W1110" s="205" t="str" cm="1">
        <f t="array" ref="W1110">IF(32&lt;Controls!$B$7,INDEX(A1078:A1256,MATCH(Controls!$B$5,A1078:A1256,1)+32),"")</f>
        <v/>
      </c>
      <c r="X1110" t="str" cm="1">
        <f t="array" ref="X1110">IF(32&lt;Controls!$B$7,INDEX(F1078:F1256,MATCH(Controls!$B$5,A1078:A1256,1)+32),"")</f>
        <v/>
      </c>
      <c r="Y1110" t="str" cm="1">
        <f t="array" ref="Y1110">IF(32&lt;Controls!$B$7,INDEX(G1078:G1256,MATCH(Controls!$B$5,A1078:A1256,1)+32),"")</f>
        <v/>
      </c>
      <c r="Z1110" t="str" cm="1">
        <f t="array" ref="Z1110">IF(32&lt;Controls!$B$7,INDEX(H1078:H1256,MATCH(Controls!$B$5,A1078:A1256,1)+32),"")</f>
        <v/>
      </c>
      <c r="AA1110" t="str" cm="1">
        <f t="array" ref="AA1110">IF(32&lt;Controls!$B$7,INDEX(M1078:M1256,MATCH(Controls!$B$5,A1078:A1256,1)+32)*INDEX(I1078:I1256,MATCH(Controls!$B$5,A1078:A1256,1)+32),"")</f>
        <v/>
      </c>
      <c r="AB1110">
        <f t="shared" si="125"/>
        <v>411.04000000000008</v>
      </c>
    </row>
    <row r="1111" spans="1:28" ht="13" customHeight="1" x14ac:dyDescent="0.35">
      <c r="A1111" s="153">
        <v>47058</v>
      </c>
      <c r="B1111" s="36" t="s">
        <v>54</v>
      </c>
      <c r="C1111" s="15" t="s">
        <v>52</v>
      </c>
      <c r="D1111" s="15" t="s">
        <v>48</v>
      </c>
      <c r="E1111" s="30">
        <f>H1110</f>
        <v>128.80000000000004</v>
      </c>
      <c r="F1111" s="37">
        <f>IFERROR('Production Inputs'!$AS$37*Dependencies!$D$13,0)</f>
        <v>0</v>
      </c>
      <c r="G1111" s="37">
        <f t="array" ref="G1111">IFERROR(SUMPRODUCT(('Production Inputs'!$A:$A="APAD")*('Production Inputs'!$B:$B="TOTAL ACTIVE")*'Production Inputs'!$AS:$AS),0)</f>
        <v>0</v>
      </c>
      <c r="H1111" s="30">
        <f t="shared" si="119"/>
        <v>128.80000000000004</v>
      </c>
      <c r="I1111" s="30">
        <f ca="1">IFERROR(AVERAGEIF(OFFSET(F1111,0,0,MIN(Controls!$B$8,COUNTIF(B1111:B$1973,B1111)),1),"&gt;"&amp;0),0)</f>
        <v>0</v>
      </c>
      <c r="J1111" s="38">
        <f t="shared" ca="1" si="120"/>
        <v>999</v>
      </c>
      <c r="K1111" s="30">
        <f t="shared" ca="1" si="124"/>
        <v>0</v>
      </c>
      <c r="L1111" t="str">
        <f t="shared" ca="1" si="121"/>
        <v>Overstock</v>
      </c>
      <c r="M1111" s="39">
        <f>IFERROR(VLOOKUP("APAD",Controls!A:I,7,0),6)</f>
        <v>4</v>
      </c>
      <c r="N1111" s="39">
        <f>IFERROR(VLOOKUP("APAD",Controls!A:I,8,0),3)</f>
        <v>3</v>
      </c>
      <c r="O1111" s="39">
        <f>IFERROR(VLOOKUP("APAD",Controls!A:I,9,0),18)</f>
        <v>12</v>
      </c>
      <c r="P1111" s="40">
        <f>IFERROR(VLOOKUP("APAD",Controls!A:J,5,0),0)</f>
        <v>165</v>
      </c>
      <c r="Q1111" s="39">
        <f>IFERROR(VLOOKUP("APAD",Controls!A:J,6,0),3)</f>
        <v>4</v>
      </c>
      <c r="R1111" s="21" t="str">
        <f>IFERROR(VLOOKUP("APAD",Controls!A:K,10,0),"")</f>
        <v>ST Pharm</v>
      </c>
      <c r="S1111" s="41">
        <f t="shared" si="122"/>
        <v>46935</v>
      </c>
      <c r="T1111" s="30">
        <f t="shared" si="123"/>
        <v>0</v>
      </c>
      <c r="W1111" s="205" t="str" cm="1">
        <f t="array" ref="W1111">IF(33&lt;Controls!$B$7,INDEX(A1078:A1256,MATCH(Controls!$B$5,A1078:A1256,1)+33),"")</f>
        <v/>
      </c>
      <c r="X1111" t="str" cm="1">
        <f t="array" ref="X1111">IF(33&lt;Controls!$B$7,INDEX(F1078:F1256,MATCH(Controls!$B$5,A1078:A1256,1)+33),"")</f>
        <v/>
      </c>
      <c r="Y1111" t="str" cm="1">
        <f t="array" ref="Y1111">IF(33&lt;Controls!$B$7,INDEX(G1078:G1256,MATCH(Controls!$B$5,A1078:A1256,1)+33),"")</f>
        <v/>
      </c>
      <c r="Z1111" t="str" cm="1">
        <f t="array" ref="Z1111">IF(33&lt;Controls!$B$7,INDEX(H1078:H1256,MATCH(Controls!$B$5,A1078:A1256,1)+33),"")</f>
        <v/>
      </c>
      <c r="AA1111" t="str" cm="1">
        <f t="array" ref="AA1111">IF(33&lt;Controls!$B$7,INDEX(M1078:M1256,MATCH(Controls!$B$5,A1078:A1256,1)+33)*INDEX(I1078:I1256,MATCH(Controls!$B$5,A1078:A1256,1)+33),"")</f>
        <v/>
      </c>
      <c r="AB1111">
        <f t="shared" si="125"/>
        <v>411.04000000000008</v>
      </c>
    </row>
    <row r="1112" spans="1:28" ht="13" customHeight="1" x14ac:dyDescent="0.35">
      <c r="A1112" s="153">
        <v>47088</v>
      </c>
      <c r="B1112" s="36" t="s">
        <v>54</v>
      </c>
      <c r="C1112" s="15" t="s">
        <v>52</v>
      </c>
      <c r="D1112" s="15" t="s">
        <v>48</v>
      </c>
      <c r="E1112" s="30">
        <f>H1111</f>
        <v>128.80000000000004</v>
      </c>
      <c r="F1112" s="37">
        <f>IFERROR('Production Inputs'!$AT$37*Dependencies!$D$13,0)</f>
        <v>0</v>
      </c>
      <c r="G1112" s="37">
        <f t="array" ref="G1112">IFERROR(SUMPRODUCT(('Production Inputs'!$A:$A="APAD")*('Production Inputs'!$B:$B="TOTAL ACTIVE")*'Production Inputs'!$AT:$AT),0)</f>
        <v>0</v>
      </c>
      <c r="H1112" s="30">
        <f t="shared" si="119"/>
        <v>128.80000000000004</v>
      </c>
      <c r="I1112" s="30">
        <f ca="1">IFERROR(AVERAGEIF(OFFSET(F1112,0,0,MIN(Controls!$B$8,COUNTIF(B1112:B$1973,B1112)),1),"&gt;"&amp;0),0)</f>
        <v>0</v>
      </c>
      <c r="J1112" s="38">
        <f t="shared" ca="1" si="120"/>
        <v>999</v>
      </c>
      <c r="K1112" s="30">
        <f t="shared" ca="1" si="124"/>
        <v>0</v>
      </c>
      <c r="L1112" t="str">
        <f t="shared" ca="1" si="121"/>
        <v>Overstock</v>
      </c>
      <c r="M1112" s="39">
        <f>IFERROR(VLOOKUP("APAD",Controls!A:I,7,0),6)</f>
        <v>4</v>
      </c>
      <c r="N1112" s="39">
        <f>IFERROR(VLOOKUP("APAD",Controls!A:I,8,0),3)</f>
        <v>3</v>
      </c>
      <c r="O1112" s="39">
        <f>IFERROR(VLOOKUP("APAD",Controls!A:I,9,0),18)</f>
        <v>12</v>
      </c>
      <c r="P1112" s="40">
        <f>IFERROR(VLOOKUP("APAD",Controls!A:J,5,0),0)</f>
        <v>165</v>
      </c>
      <c r="Q1112" s="39">
        <f>IFERROR(VLOOKUP("APAD",Controls!A:J,6,0),3)</f>
        <v>4</v>
      </c>
      <c r="R1112" s="21" t="str">
        <f>IFERROR(VLOOKUP("APAD",Controls!A:K,10,0),"")</f>
        <v>ST Pharm</v>
      </c>
      <c r="S1112" s="41">
        <f t="shared" si="122"/>
        <v>46966</v>
      </c>
      <c r="T1112" s="30">
        <f t="shared" si="123"/>
        <v>0</v>
      </c>
      <c r="W1112" s="205" t="str" cm="1">
        <f t="array" ref="W1112">IF(34&lt;Controls!$B$7,INDEX(A1078:A1256,MATCH(Controls!$B$5,A1078:A1256,1)+34),"")</f>
        <v/>
      </c>
      <c r="X1112" t="str" cm="1">
        <f t="array" ref="X1112">IF(34&lt;Controls!$B$7,INDEX(F1078:F1256,MATCH(Controls!$B$5,A1078:A1256,1)+34),"")</f>
        <v/>
      </c>
      <c r="Y1112" t="str" cm="1">
        <f t="array" ref="Y1112">IF(34&lt;Controls!$B$7,INDEX(G1078:G1256,MATCH(Controls!$B$5,A1078:A1256,1)+34),"")</f>
        <v/>
      </c>
      <c r="Z1112" t="str" cm="1">
        <f t="array" ref="Z1112">IF(34&lt;Controls!$B$7,INDEX(H1078:H1256,MATCH(Controls!$B$5,A1078:A1256,1)+34),"")</f>
        <v/>
      </c>
      <c r="AA1112" t="str" cm="1">
        <f t="array" ref="AA1112">IF(34&lt;Controls!$B$7,INDEX(M1078:M1256,MATCH(Controls!$B$5,A1078:A1256,1)+34)*INDEX(I1078:I1256,MATCH(Controls!$B$5,A1078:A1256,1)+34),"")</f>
        <v/>
      </c>
      <c r="AB1112">
        <f t="shared" si="125"/>
        <v>411.04000000000008</v>
      </c>
    </row>
    <row r="1113" spans="1:28" ht="13" customHeight="1" x14ac:dyDescent="0.35">
      <c r="A1113" s="153">
        <v>47119</v>
      </c>
      <c r="B1113" s="36" t="s">
        <v>54</v>
      </c>
      <c r="C1113" s="15" t="s">
        <v>52</v>
      </c>
      <c r="D1113" s="15" t="s">
        <v>48</v>
      </c>
      <c r="E1113" s="30">
        <f>H1112</f>
        <v>128.80000000000004</v>
      </c>
      <c r="F1113" s="37">
        <f>IFERROR('Production Inputs'!$AU$37*Dependencies!$D$13,0)</f>
        <v>0</v>
      </c>
      <c r="G1113" s="37">
        <f t="array" ref="G1113">IFERROR(SUMPRODUCT(('Production Inputs'!$A:$A="APAD")*('Production Inputs'!$B:$B="TOTAL ACTIVE")*'Production Inputs'!$AU:$AU),0)</f>
        <v>0</v>
      </c>
      <c r="H1113" s="30">
        <f t="shared" si="119"/>
        <v>128.80000000000004</v>
      </c>
      <c r="I1113" s="30">
        <f ca="1">IFERROR(AVERAGEIF(OFFSET(F1113,0,0,MIN(Controls!$B$8,COUNTIF(B1113:B$1973,B1113)),1),"&gt;"&amp;0),0)</f>
        <v>0</v>
      </c>
      <c r="J1113" s="38">
        <f t="shared" ca="1" si="120"/>
        <v>999</v>
      </c>
      <c r="K1113" s="30">
        <f t="shared" ca="1" si="124"/>
        <v>0</v>
      </c>
      <c r="L1113" t="str">
        <f t="shared" ca="1" si="121"/>
        <v>Overstock</v>
      </c>
      <c r="M1113" s="39">
        <f>IFERROR(VLOOKUP("APAD",Controls!A:I,7,0),6)</f>
        <v>4</v>
      </c>
      <c r="N1113" s="39">
        <f>IFERROR(VLOOKUP("APAD",Controls!A:I,8,0),3)</f>
        <v>3</v>
      </c>
      <c r="O1113" s="39">
        <f>IFERROR(VLOOKUP("APAD",Controls!A:I,9,0),18)</f>
        <v>12</v>
      </c>
      <c r="P1113" s="40">
        <f>IFERROR(VLOOKUP("APAD",Controls!A:J,5,0),0)</f>
        <v>165</v>
      </c>
      <c r="Q1113" s="39">
        <f>IFERROR(VLOOKUP("APAD",Controls!A:J,6,0),3)</f>
        <v>4</v>
      </c>
      <c r="R1113" s="21" t="str">
        <f>IFERROR(VLOOKUP("APAD",Controls!A:K,10,0),"")</f>
        <v>ST Pharm</v>
      </c>
      <c r="S1113" s="41">
        <f t="shared" si="122"/>
        <v>46997</v>
      </c>
      <c r="T1113" s="30">
        <f t="shared" si="123"/>
        <v>0</v>
      </c>
      <c r="W1113" s="205" t="str" cm="1">
        <f t="array" ref="W1113">IF(35&lt;Controls!$B$7,INDEX(A1078:A1256,MATCH(Controls!$B$5,A1078:A1256,1)+35),"")</f>
        <v/>
      </c>
      <c r="X1113" t="str" cm="1">
        <f t="array" ref="X1113">IF(35&lt;Controls!$B$7,INDEX(F1078:F1256,MATCH(Controls!$B$5,A1078:A1256,1)+35),"")</f>
        <v/>
      </c>
      <c r="Y1113" t="str" cm="1">
        <f t="array" ref="Y1113">IF(35&lt;Controls!$B$7,INDEX(G1078:G1256,MATCH(Controls!$B$5,A1078:A1256,1)+35),"")</f>
        <v/>
      </c>
      <c r="Z1113" t="str" cm="1">
        <f t="array" ref="Z1113">IF(35&lt;Controls!$B$7,INDEX(H1078:H1256,MATCH(Controls!$B$5,A1078:A1256,1)+35),"")</f>
        <v/>
      </c>
      <c r="AA1113" t="str" cm="1">
        <f t="array" ref="AA1113">IF(35&lt;Controls!$B$7,INDEX(M1078:M1256,MATCH(Controls!$B$5,A1078:A1256,1)+35)*INDEX(I1078:I1256,MATCH(Controls!$B$5,A1078:A1256,1)+35),"")</f>
        <v/>
      </c>
      <c r="AB1113">
        <f t="shared" si="125"/>
        <v>411.04000000000008</v>
      </c>
    </row>
    <row r="1114" spans="1:28" ht="13" customHeight="1" x14ac:dyDescent="0.35">
      <c r="A1114" s="153">
        <v>47150</v>
      </c>
      <c r="B1114" s="36" t="s">
        <v>54</v>
      </c>
      <c r="C1114" s="15" t="s">
        <v>52</v>
      </c>
      <c r="D1114" s="15" t="s">
        <v>48</v>
      </c>
      <c r="E1114" s="30">
        <f>H1113</f>
        <v>128.80000000000004</v>
      </c>
      <c r="F1114" s="37">
        <f>IFERROR('Production Inputs'!$AV$37*Dependencies!$D$13,0)</f>
        <v>0</v>
      </c>
      <c r="G1114" s="37">
        <f t="array" ref="G1114">IFERROR(SUMPRODUCT(('Production Inputs'!$A:$A="APAD")*('Production Inputs'!$B:$B="TOTAL ACTIVE")*'Production Inputs'!$AV:$AV),0)</f>
        <v>0</v>
      </c>
      <c r="H1114" s="30">
        <f t="shared" si="119"/>
        <v>128.80000000000004</v>
      </c>
      <c r="I1114" s="30">
        <f ca="1">IFERROR(AVERAGEIF(OFFSET(F1114,0,0,MIN(Controls!$B$8,COUNTIF(B1114:B$1973,B1114)),1),"&gt;"&amp;0),0)</f>
        <v>0</v>
      </c>
      <c r="J1114" s="38">
        <f t="shared" ca="1" si="120"/>
        <v>999</v>
      </c>
      <c r="K1114" s="30">
        <f t="shared" ca="1" si="124"/>
        <v>0</v>
      </c>
      <c r="L1114" t="str">
        <f t="shared" ca="1" si="121"/>
        <v>Overstock</v>
      </c>
      <c r="M1114" s="39">
        <f>IFERROR(VLOOKUP("APAD",Controls!A:I,7,0),6)</f>
        <v>4</v>
      </c>
      <c r="N1114" s="39">
        <f>IFERROR(VLOOKUP("APAD",Controls!A:I,8,0),3)</f>
        <v>3</v>
      </c>
      <c r="O1114" s="39">
        <f>IFERROR(VLOOKUP("APAD",Controls!A:I,9,0),18)</f>
        <v>12</v>
      </c>
      <c r="P1114" s="40">
        <f>IFERROR(VLOOKUP("APAD",Controls!A:J,5,0),0)</f>
        <v>165</v>
      </c>
      <c r="Q1114" s="39">
        <f>IFERROR(VLOOKUP("APAD",Controls!A:J,6,0),3)</f>
        <v>4</v>
      </c>
      <c r="R1114" s="21" t="str">
        <f>IFERROR(VLOOKUP("APAD",Controls!A:K,10,0),"")</f>
        <v>ST Pharm</v>
      </c>
      <c r="S1114" s="41">
        <f t="shared" si="122"/>
        <v>47027</v>
      </c>
      <c r="T1114" s="30">
        <f t="shared" si="123"/>
        <v>0</v>
      </c>
      <c r="AB1114">
        <f t="shared" si="125"/>
        <v>411.04000000000008</v>
      </c>
    </row>
    <row r="1115" spans="1:28" ht="13" customHeight="1" x14ac:dyDescent="0.35">
      <c r="A1115" s="153">
        <v>47178</v>
      </c>
      <c r="B1115" s="36" t="s">
        <v>54</v>
      </c>
      <c r="C1115" s="15" t="s">
        <v>52</v>
      </c>
      <c r="D1115" s="15" t="s">
        <v>48</v>
      </c>
      <c r="E1115" s="30">
        <f>H1114</f>
        <v>128.80000000000004</v>
      </c>
      <c r="F1115" s="37">
        <f>IFERROR('Production Inputs'!$AW$37*Dependencies!$D$13,0)</f>
        <v>0</v>
      </c>
      <c r="G1115" s="37">
        <f t="array" ref="G1115">IFERROR(SUMPRODUCT(('Production Inputs'!$A:$A="APAD")*('Production Inputs'!$B:$B="TOTAL ACTIVE")*'Production Inputs'!$AW:$AW),0)</f>
        <v>0</v>
      </c>
      <c r="H1115" s="30">
        <f t="shared" si="119"/>
        <v>128.80000000000004</v>
      </c>
      <c r="I1115" s="30">
        <f ca="1">IFERROR(AVERAGEIF(OFFSET(F1115,0,0,MIN(Controls!$B$8,COUNTIF(B1115:B$1973,B1115)),1),"&gt;"&amp;0),0)</f>
        <v>0</v>
      </c>
      <c r="J1115" s="38">
        <f t="shared" ca="1" si="120"/>
        <v>999</v>
      </c>
      <c r="K1115" s="30">
        <f t="shared" ca="1" si="124"/>
        <v>0</v>
      </c>
      <c r="L1115" t="str">
        <f t="shared" ca="1" si="121"/>
        <v>Overstock</v>
      </c>
      <c r="M1115" s="39">
        <f>IFERROR(VLOOKUP("APAD",Controls!A:I,7,0),6)</f>
        <v>4</v>
      </c>
      <c r="N1115" s="39">
        <f>IFERROR(VLOOKUP("APAD",Controls!A:I,8,0),3)</f>
        <v>3</v>
      </c>
      <c r="O1115" s="39">
        <f>IFERROR(VLOOKUP("APAD",Controls!A:I,9,0),18)</f>
        <v>12</v>
      </c>
      <c r="P1115" s="40">
        <f>IFERROR(VLOOKUP("APAD",Controls!A:J,5,0),0)</f>
        <v>165</v>
      </c>
      <c r="Q1115" s="39">
        <f>IFERROR(VLOOKUP("APAD",Controls!A:J,6,0),3)</f>
        <v>4</v>
      </c>
      <c r="R1115" s="21" t="str">
        <f>IFERROR(VLOOKUP("APAD",Controls!A:K,10,0),"")</f>
        <v>ST Pharm</v>
      </c>
      <c r="S1115" s="41">
        <f t="shared" si="122"/>
        <v>47058</v>
      </c>
      <c r="T1115" s="30">
        <f t="shared" si="123"/>
        <v>0</v>
      </c>
      <c r="AB1115">
        <f t="shared" si="125"/>
        <v>411.04000000000008</v>
      </c>
    </row>
    <row r="1116" spans="1:28" ht="13" customHeight="1" x14ac:dyDescent="0.35">
      <c r="A1116" s="153">
        <v>47209</v>
      </c>
      <c r="B1116" s="36" t="s">
        <v>54</v>
      </c>
      <c r="C1116" s="15" t="s">
        <v>52</v>
      </c>
      <c r="D1116" s="15" t="s">
        <v>48</v>
      </c>
      <c r="E1116" s="30">
        <f>H1115</f>
        <v>128.80000000000004</v>
      </c>
      <c r="F1116" s="37">
        <f>IFERROR('Production Inputs'!$AX$37*Dependencies!$D$13,0)</f>
        <v>0</v>
      </c>
      <c r="G1116" s="37">
        <f t="array" ref="G1116">IFERROR(SUMPRODUCT(('Production Inputs'!$A:$A="APAD")*('Production Inputs'!$B:$B="TOTAL ACTIVE")*'Production Inputs'!$AX:$AX),0)</f>
        <v>0</v>
      </c>
      <c r="H1116" s="30">
        <f t="shared" si="119"/>
        <v>128.80000000000004</v>
      </c>
      <c r="I1116" s="30">
        <f ca="1">IFERROR(AVERAGEIF(OFFSET(F1116,0,0,MIN(Controls!$B$8,COUNTIF(B1116:B$1973,B1116)),1),"&gt;"&amp;0),0)</f>
        <v>0</v>
      </c>
      <c r="J1116" s="38">
        <f t="shared" ca="1" si="120"/>
        <v>999</v>
      </c>
      <c r="K1116" s="30">
        <f t="shared" ca="1" si="124"/>
        <v>0</v>
      </c>
      <c r="L1116" t="str">
        <f t="shared" ca="1" si="121"/>
        <v>Overstock</v>
      </c>
      <c r="M1116" s="39">
        <f>IFERROR(VLOOKUP("APAD",Controls!A:I,7,0),6)</f>
        <v>4</v>
      </c>
      <c r="N1116" s="39">
        <f>IFERROR(VLOOKUP("APAD",Controls!A:I,8,0),3)</f>
        <v>3</v>
      </c>
      <c r="O1116" s="39">
        <f>IFERROR(VLOOKUP("APAD",Controls!A:I,9,0),18)</f>
        <v>12</v>
      </c>
      <c r="P1116" s="40">
        <f>IFERROR(VLOOKUP("APAD",Controls!A:J,5,0),0)</f>
        <v>165</v>
      </c>
      <c r="Q1116" s="39">
        <f>IFERROR(VLOOKUP("APAD",Controls!A:J,6,0),3)</f>
        <v>4</v>
      </c>
      <c r="R1116" s="21" t="str">
        <f>IFERROR(VLOOKUP("APAD",Controls!A:K,10,0),"")</f>
        <v>ST Pharm</v>
      </c>
      <c r="S1116" s="41">
        <f t="shared" si="122"/>
        <v>47088</v>
      </c>
      <c r="T1116" s="30">
        <f t="shared" si="123"/>
        <v>0</v>
      </c>
      <c r="AB1116">
        <f t="shared" si="125"/>
        <v>411.04000000000008</v>
      </c>
    </row>
    <row r="1117" spans="1:28" ht="13" customHeight="1" x14ac:dyDescent="0.35">
      <c r="A1117" s="153">
        <v>47239</v>
      </c>
      <c r="B1117" s="36" t="s">
        <v>54</v>
      </c>
      <c r="C1117" s="15" t="s">
        <v>52</v>
      </c>
      <c r="D1117" s="15" t="s">
        <v>48</v>
      </c>
      <c r="E1117" s="30">
        <f>H1116</f>
        <v>128.80000000000004</v>
      </c>
      <c r="F1117" s="37">
        <f>IFERROR('Production Inputs'!$AY$37*Dependencies!$D$13,0)</f>
        <v>0</v>
      </c>
      <c r="G1117" s="37">
        <f t="array" ref="G1117">IFERROR(SUMPRODUCT(('Production Inputs'!$A:$A="APAD")*('Production Inputs'!$B:$B="TOTAL ACTIVE")*'Production Inputs'!$AY:$AY),0)</f>
        <v>0</v>
      </c>
      <c r="H1117" s="30">
        <f t="shared" si="119"/>
        <v>128.80000000000004</v>
      </c>
      <c r="I1117" s="30">
        <f ca="1">IFERROR(AVERAGEIF(OFFSET(F1117,0,0,MIN(Controls!$B$8,COUNTIF(B1117:B$1973,B1117)),1),"&gt;"&amp;0),0)</f>
        <v>0</v>
      </c>
      <c r="J1117" s="38">
        <f t="shared" ca="1" si="120"/>
        <v>999</v>
      </c>
      <c r="K1117" s="30">
        <f t="shared" ca="1" si="124"/>
        <v>0</v>
      </c>
      <c r="L1117" t="str">
        <f t="shared" ca="1" si="121"/>
        <v>Overstock</v>
      </c>
      <c r="M1117" s="39">
        <f>IFERROR(VLOOKUP("APAD",Controls!A:I,7,0),6)</f>
        <v>4</v>
      </c>
      <c r="N1117" s="39">
        <f>IFERROR(VLOOKUP("APAD",Controls!A:I,8,0),3)</f>
        <v>3</v>
      </c>
      <c r="O1117" s="39">
        <f>IFERROR(VLOOKUP("APAD",Controls!A:I,9,0),18)</f>
        <v>12</v>
      </c>
      <c r="P1117" s="40">
        <f>IFERROR(VLOOKUP("APAD",Controls!A:J,5,0),0)</f>
        <v>165</v>
      </c>
      <c r="Q1117" s="39">
        <f>IFERROR(VLOOKUP("APAD",Controls!A:J,6,0),3)</f>
        <v>4</v>
      </c>
      <c r="R1117" s="21" t="str">
        <f>IFERROR(VLOOKUP("APAD",Controls!A:K,10,0),"")</f>
        <v>ST Pharm</v>
      </c>
      <c r="S1117" s="41">
        <f t="shared" si="122"/>
        <v>47119</v>
      </c>
      <c r="T1117" s="30">
        <f t="shared" si="123"/>
        <v>0</v>
      </c>
      <c r="AB1117">
        <f t="shared" si="125"/>
        <v>411.04000000000008</v>
      </c>
    </row>
    <row r="1118" spans="1:28" ht="13" customHeight="1" x14ac:dyDescent="0.35">
      <c r="A1118" s="153">
        <v>47270</v>
      </c>
      <c r="B1118" s="36" t="s">
        <v>54</v>
      </c>
      <c r="C1118" s="15" t="s">
        <v>52</v>
      </c>
      <c r="D1118" s="15" t="s">
        <v>48</v>
      </c>
      <c r="E1118" s="30">
        <f>H1117</f>
        <v>128.80000000000004</v>
      </c>
      <c r="F1118" s="37">
        <f>IFERROR('Production Inputs'!$AZ$37*Dependencies!$D$13,0)</f>
        <v>0</v>
      </c>
      <c r="G1118" s="37">
        <f t="array" ref="G1118">IFERROR(SUMPRODUCT(('Production Inputs'!$A:$A="APAD")*('Production Inputs'!$B:$B="TOTAL ACTIVE")*'Production Inputs'!$AZ:$AZ),0)</f>
        <v>0</v>
      </c>
      <c r="H1118" s="30">
        <f t="shared" si="119"/>
        <v>128.80000000000004</v>
      </c>
      <c r="I1118" s="30">
        <f ca="1">IFERROR(AVERAGEIF(OFFSET(F1118,0,0,MIN(Controls!$B$8,COUNTIF(B1118:B$1973,B1118)),1),"&gt;"&amp;0),0)</f>
        <v>0</v>
      </c>
      <c r="J1118" s="38">
        <f t="shared" ca="1" si="120"/>
        <v>999</v>
      </c>
      <c r="K1118" s="30">
        <f t="shared" ca="1" si="124"/>
        <v>0</v>
      </c>
      <c r="L1118" t="str">
        <f t="shared" ca="1" si="121"/>
        <v>Overstock</v>
      </c>
      <c r="M1118" s="39">
        <f>IFERROR(VLOOKUP("APAD",Controls!A:I,7,0),6)</f>
        <v>4</v>
      </c>
      <c r="N1118" s="39">
        <f>IFERROR(VLOOKUP("APAD",Controls!A:I,8,0),3)</f>
        <v>3</v>
      </c>
      <c r="O1118" s="39">
        <f>IFERROR(VLOOKUP("APAD",Controls!A:I,9,0),18)</f>
        <v>12</v>
      </c>
      <c r="P1118" s="40">
        <f>IFERROR(VLOOKUP("APAD",Controls!A:J,5,0),0)</f>
        <v>165</v>
      </c>
      <c r="Q1118" s="39">
        <f>IFERROR(VLOOKUP("APAD",Controls!A:J,6,0),3)</f>
        <v>4</v>
      </c>
      <c r="R1118" s="21" t="str">
        <f>IFERROR(VLOOKUP("APAD",Controls!A:K,10,0),"")</f>
        <v>ST Pharm</v>
      </c>
      <c r="S1118" s="41">
        <f t="shared" si="122"/>
        <v>47150</v>
      </c>
      <c r="T1118" s="30">
        <f t="shared" si="123"/>
        <v>0</v>
      </c>
      <c r="AB1118">
        <f t="shared" si="125"/>
        <v>411.04000000000008</v>
      </c>
    </row>
    <row r="1119" spans="1:28" ht="13" customHeight="1" x14ac:dyDescent="0.35">
      <c r="A1119" s="153">
        <v>47300</v>
      </c>
      <c r="B1119" s="36" t="s">
        <v>54</v>
      </c>
      <c r="C1119" s="15" t="s">
        <v>52</v>
      </c>
      <c r="D1119" s="15" t="s">
        <v>48</v>
      </c>
      <c r="E1119" s="30">
        <f>H1118</f>
        <v>128.80000000000004</v>
      </c>
      <c r="F1119" s="37">
        <f>IFERROR('Production Inputs'!$BA$37*Dependencies!$D$13,0)</f>
        <v>0</v>
      </c>
      <c r="G1119" s="37">
        <f t="array" ref="G1119">IFERROR(SUMPRODUCT(('Production Inputs'!$A:$A="APAD")*('Production Inputs'!$B:$B="TOTAL ACTIVE")*'Production Inputs'!$BA:$BA),0)</f>
        <v>0</v>
      </c>
      <c r="H1119" s="30">
        <f t="shared" si="119"/>
        <v>128.80000000000004</v>
      </c>
      <c r="I1119" s="30">
        <f ca="1">IFERROR(AVERAGEIF(OFFSET(F1119,0,0,MIN(Controls!$B$8,COUNTIF(B1119:B$1973,B1119)),1),"&gt;"&amp;0),0)</f>
        <v>0</v>
      </c>
      <c r="J1119" s="38">
        <f t="shared" ca="1" si="120"/>
        <v>999</v>
      </c>
      <c r="K1119" s="30">
        <f t="shared" ca="1" si="124"/>
        <v>0</v>
      </c>
      <c r="L1119" t="str">
        <f t="shared" ca="1" si="121"/>
        <v>Overstock</v>
      </c>
      <c r="M1119" s="39">
        <f>IFERROR(VLOOKUP("APAD",Controls!A:I,7,0),6)</f>
        <v>4</v>
      </c>
      <c r="N1119" s="39">
        <f>IFERROR(VLOOKUP("APAD",Controls!A:I,8,0),3)</f>
        <v>3</v>
      </c>
      <c r="O1119" s="39">
        <f>IFERROR(VLOOKUP("APAD",Controls!A:I,9,0),18)</f>
        <v>12</v>
      </c>
      <c r="P1119" s="40">
        <f>IFERROR(VLOOKUP("APAD",Controls!A:J,5,0),0)</f>
        <v>165</v>
      </c>
      <c r="Q1119" s="39">
        <f>IFERROR(VLOOKUP("APAD",Controls!A:J,6,0),3)</f>
        <v>4</v>
      </c>
      <c r="R1119" s="21" t="str">
        <f>IFERROR(VLOOKUP("APAD",Controls!A:K,10,0),"")</f>
        <v>ST Pharm</v>
      </c>
      <c r="S1119" s="41">
        <f t="shared" si="122"/>
        <v>47178</v>
      </c>
      <c r="T1119" s="30">
        <f t="shared" si="123"/>
        <v>0</v>
      </c>
      <c r="AB1119">
        <f t="shared" si="125"/>
        <v>411.04000000000008</v>
      </c>
    </row>
    <row r="1120" spans="1:28" ht="13" customHeight="1" x14ac:dyDescent="0.35">
      <c r="A1120" s="153">
        <v>47331</v>
      </c>
      <c r="B1120" s="36" t="s">
        <v>54</v>
      </c>
      <c r="C1120" s="15" t="s">
        <v>52</v>
      </c>
      <c r="D1120" s="15" t="s">
        <v>48</v>
      </c>
      <c r="E1120" s="30">
        <f>H1119</f>
        <v>128.80000000000004</v>
      </c>
      <c r="F1120" s="37">
        <f>IFERROR('Production Inputs'!$BB$37*Dependencies!$D$13,0)</f>
        <v>0</v>
      </c>
      <c r="G1120" s="37">
        <f t="array" ref="G1120">IFERROR(SUMPRODUCT(('Production Inputs'!$A:$A="APAD")*('Production Inputs'!$B:$B="TOTAL ACTIVE")*'Production Inputs'!$BB:$BB),0)</f>
        <v>0</v>
      </c>
      <c r="H1120" s="30">
        <f t="shared" si="119"/>
        <v>128.80000000000004</v>
      </c>
      <c r="I1120" s="30">
        <f ca="1">IFERROR(AVERAGEIF(OFFSET(F1120,0,0,MIN(Controls!$B$8,COUNTIF(B1120:B$1973,B1120)),1),"&gt;"&amp;0),0)</f>
        <v>0</v>
      </c>
      <c r="J1120" s="38">
        <f t="shared" ca="1" si="120"/>
        <v>999</v>
      </c>
      <c r="K1120" s="30">
        <f t="shared" ca="1" si="124"/>
        <v>0</v>
      </c>
      <c r="L1120" t="str">
        <f t="shared" ca="1" si="121"/>
        <v>Overstock</v>
      </c>
      <c r="M1120" s="39">
        <f>IFERROR(VLOOKUP("APAD",Controls!A:I,7,0),6)</f>
        <v>4</v>
      </c>
      <c r="N1120" s="39">
        <f>IFERROR(VLOOKUP("APAD",Controls!A:I,8,0),3)</f>
        <v>3</v>
      </c>
      <c r="O1120" s="39">
        <f>IFERROR(VLOOKUP("APAD",Controls!A:I,9,0),18)</f>
        <v>12</v>
      </c>
      <c r="P1120" s="40">
        <f>IFERROR(VLOOKUP("APAD",Controls!A:J,5,0),0)</f>
        <v>165</v>
      </c>
      <c r="Q1120" s="39">
        <f>IFERROR(VLOOKUP("APAD",Controls!A:J,6,0),3)</f>
        <v>4</v>
      </c>
      <c r="R1120" s="21" t="str">
        <f>IFERROR(VLOOKUP("APAD",Controls!A:K,10,0),"")</f>
        <v>ST Pharm</v>
      </c>
      <c r="S1120" s="41">
        <f t="shared" si="122"/>
        <v>47209</v>
      </c>
      <c r="T1120" s="30">
        <f t="shared" si="123"/>
        <v>0</v>
      </c>
      <c r="AB1120">
        <f t="shared" si="125"/>
        <v>411.04000000000008</v>
      </c>
    </row>
    <row r="1121" spans="1:28" ht="13" customHeight="1" x14ac:dyDescent="0.35">
      <c r="A1121" s="153">
        <v>47362</v>
      </c>
      <c r="B1121" s="36" t="s">
        <v>54</v>
      </c>
      <c r="C1121" s="15" t="s">
        <v>52</v>
      </c>
      <c r="D1121" s="15" t="s">
        <v>48</v>
      </c>
      <c r="E1121" s="30">
        <f>H1120</f>
        <v>128.80000000000004</v>
      </c>
      <c r="F1121" s="37">
        <f>IFERROR('Production Inputs'!$BC$37*Dependencies!$D$13,0)</f>
        <v>0</v>
      </c>
      <c r="G1121" s="37">
        <f t="array" ref="G1121">IFERROR(SUMPRODUCT(('Production Inputs'!$A:$A="APAD")*('Production Inputs'!$B:$B="TOTAL ACTIVE")*'Production Inputs'!$BC:$BC),0)</f>
        <v>0</v>
      </c>
      <c r="H1121" s="30">
        <f t="shared" si="119"/>
        <v>128.80000000000004</v>
      </c>
      <c r="I1121" s="30">
        <f ca="1">IFERROR(AVERAGEIF(OFFSET(F1121,0,0,MIN(Controls!$B$8,COUNTIF(B1121:B$1973,B1121)),1),"&gt;"&amp;0),0)</f>
        <v>0</v>
      </c>
      <c r="J1121" s="38">
        <f t="shared" ca="1" si="120"/>
        <v>999</v>
      </c>
      <c r="K1121" s="30">
        <f t="shared" ca="1" si="124"/>
        <v>0</v>
      </c>
      <c r="L1121" t="str">
        <f t="shared" ca="1" si="121"/>
        <v>Overstock</v>
      </c>
      <c r="M1121" s="39">
        <f>IFERROR(VLOOKUP("APAD",Controls!A:I,7,0),6)</f>
        <v>4</v>
      </c>
      <c r="N1121" s="39">
        <f>IFERROR(VLOOKUP("APAD",Controls!A:I,8,0),3)</f>
        <v>3</v>
      </c>
      <c r="O1121" s="39">
        <f>IFERROR(VLOOKUP("APAD",Controls!A:I,9,0),18)</f>
        <v>12</v>
      </c>
      <c r="P1121" s="40">
        <f>IFERROR(VLOOKUP("APAD",Controls!A:J,5,0),0)</f>
        <v>165</v>
      </c>
      <c r="Q1121" s="39">
        <f>IFERROR(VLOOKUP("APAD",Controls!A:J,6,0),3)</f>
        <v>4</v>
      </c>
      <c r="R1121" s="21" t="str">
        <f>IFERROR(VLOOKUP("APAD",Controls!A:K,10,0),"")</f>
        <v>ST Pharm</v>
      </c>
      <c r="S1121" s="41">
        <f t="shared" si="122"/>
        <v>47239</v>
      </c>
      <c r="T1121" s="30">
        <f t="shared" si="123"/>
        <v>0</v>
      </c>
      <c r="AB1121">
        <f t="shared" si="125"/>
        <v>411.04000000000008</v>
      </c>
    </row>
    <row r="1122" spans="1:28" ht="13" customHeight="1" x14ac:dyDescent="0.35">
      <c r="A1122" s="153">
        <v>47392</v>
      </c>
      <c r="B1122" s="36" t="s">
        <v>54</v>
      </c>
      <c r="C1122" s="15" t="s">
        <v>52</v>
      </c>
      <c r="D1122" s="15" t="s">
        <v>48</v>
      </c>
      <c r="E1122" s="30">
        <f>H1121</f>
        <v>128.80000000000004</v>
      </c>
      <c r="F1122" s="37">
        <f>IFERROR('Production Inputs'!$BD$37*Dependencies!$D$13,0)</f>
        <v>0</v>
      </c>
      <c r="G1122" s="37">
        <f t="array" ref="G1122">IFERROR(SUMPRODUCT(('Production Inputs'!$A:$A="APAD")*('Production Inputs'!$B:$B="TOTAL ACTIVE")*'Production Inputs'!$BD:$BD),0)</f>
        <v>0</v>
      </c>
      <c r="H1122" s="30">
        <f t="shared" si="119"/>
        <v>128.80000000000004</v>
      </c>
      <c r="I1122" s="30">
        <f ca="1">IFERROR(AVERAGEIF(OFFSET(F1122,0,0,MIN(Controls!$B$8,COUNTIF(B1122:B$1973,B1122)),1),"&gt;"&amp;0),0)</f>
        <v>0</v>
      </c>
      <c r="J1122" s="38">
        <f t="shared" ca="1" si="120"/>
        <v>999</v>
      </c>
      <c r="K1122" s="30">
        <f t="shared" ca="1" si="124"/>
        <v>0</v>
      </c>
      <c r="L1122" t="str">
        <f t="shared" ca="1" si="121"/>
        <v>Overstock</v>
      </c>
      <c r="M1122" s="39">
        <f>IFERROR(VLOOKUP("APAD",Controls!A:I,7,0),6)</f>
        <v>4</v>
      </c>
      <c r="N1122" s="39">
        <f>IFERROR(VLOOKUP("APAD",Controls!A:I,8,0),3)</f>
        <v>3</v>
      </c>
      <c r="O1122" s="39">
        <f>IFERROR(VLOOKUP("APAD",Controls!A:I,9,0),18)</f>
        <v>12</v>
      </c>
      <c r="P1122" s="40">
        <f>IFERROR(VLOOKUP("APAD",Controls!A:J,5,0),0)</f>
        <v>165</v>
      </c>
      <c r="Q1122" s="39">
        <f>IFERROR(VLOOKUP("APAD",Controls!A:J,6,0),3)</f>
        <v>4</v>
      </c>
      <c r="R1122" s="21" t="str">
        <f>IFERROR(VLOOKUP("APAD",Controls!A:K,10,0),"")</f>
        <v>ST Pharm</v>
      </c>
      <c r="S1122" s="41">
        <f t="shared" si="122"/>
        <v>47270</v>
      </c>
      <c r="T1122" s="30">
        <f t="shared" si="123"/>
        <v>0</v>
      </c>
      <c r="AB1122">
        <f t="shared" si="125"/>
        <v>411.04000000000008</v>
      </c>
    </row>
    <row r="1123" spans="1:28" ht="13" customHeight="1" x14ac:dyDescent="0.35">
      <c r="A1123" s="153">
        <v>47423</v>
      </c>
      <c r="B1123" s="36" t="s">
        <v>54</v>
      </c>
      <c r="C1123" s="15" t="s">
        <v>52</v>
      </c>
      <c r="D1123" s="15" t="s">
        <v>48</v>
      </c>
      <c r="E1123" s="30">
        <f>H1122</f>
        <v>128.80000000000004</v>
      </c>
      <c r="F1123" s="37">
        <f>IFERROR('Production Inputs'!$BE$37*Dependencies!$D$13,0)</f>
        <v>0</v>
      </c>
      <c r="G1123" s="37">
        <f t="array" ref="G1123">IFERROR(SUMPRODUCT(('Production Inputs'!$A:$A="APAD")*('Production Inputs'!$B:$B="TOTAL ACTIVE")*'Production Inputs'!$BE:$BE),0)</f>
        <v>0</v>
      </c>
      <c r="H1123" s="30">
        <f t="shared" si="119"/>
        <v>128.80000000000004</v>
      </c>
      <c r="I1123" s="30">
        <f ca="1">IFERROR(AVERAGEIF(OFFSET(F1123,0,0,MIN(Controls!$B$8,COUNTIF(B1123:B$1973,B1123)),1),"&gt;"&amp;0),0)</f>
        <v>0</v>
      </c>
      <c r="J1123" s="38">
        <f t="shared" ca="1" si="120"/>
        <v>999</v>
      </c>
      <c r="K1123" s="30">
        <f t="shared" ca="1" si="124"/>
        <v>0</v>
      </c>
      <c r="L1123" t="str">
        <f t="shared" ca="1" si="121"/>
        <v>Overstock</v>
      </c>
      <c r="M1123" s="39">
        <f>IFERROR(VLOOKUP("APAD",Controls!A:I,7,0),6)</f>
        <v>4</v>
      </c>
      <c r="N1123" s="39">
        <f>IFERROR(VLOOKUP("APAD",Controls!A:I,8,0),3)</f>
        <v>3</v>
      </c>
      <c r="O1123" s="39">
        <f>IFERROR(VLOOKUP("APAD",Controls!A:I,9,0),18)</f>
        <v>12</v>
      </c>
      <c r="P1123" s="40">
        <f>IFERROR(VLOOKUP("APAD",Controls!A:J,5,0),0)</f>
        <v>165</v>
      </c>
      <c r="Q1123" s="39">
        <f>IFERROR(VLOOKUP("APAD",Controls!A:J,6,0),3)</f>
        <v>4</v>
      </c>
      <c r="R1123" s="21" t="str">
        <f>IFERROR(VLOOKUP("APAD",Controls!A:K,10,0),"")</f>
        <v>ST Pharm</v>
      </c>
      <c r="S1123" s="41">
        <f t="shared" si="122"/>
        <v>47300</v>
      </c>
      <c r="T1123" s="30">
        <f t="shared" si="123"/>
        <v>0</v>
      </c>
      <c r="AB1123">
        <f t="shared" si="125"/>
        <v>411.04000000000008</v>
      </c>
    </row>
    <row r="1124" spans="1:28" ht="13" customHeight="1" x14ac:dyDescent="0.35">
      <c r="A1124" s="153">
        <v>47453</v>
      </c>
      <c r="B1124" s="36" t="s">
        <v>54</v>
      </c>
      <c r="C1124" s="15" t="s">
        <v>52</v>
      </c>
      <c r="D1124" s="15" t="s">
        <v>48</v>
      </c>
      <c r="E1124" s="30">
        <f>H1123</f>
        <v>128.80000000000004</v>
      </c>
      <c r="F1124" s="37">
        <f>IFERROR('Production Inputs'!$BF$37*Dependencies!$D$13,0)</f>
        <v>0</v>
      </c>
      <c r="G1124" s="37">
        <f t="array" ref="G1124">IFERROR(SUMPRODUCT(('Production Inputs'!$A:$A="APAD")*('Production Inputs'!$B:$B="TOTAL ACTIVE")*'Production Inputs'!$BF:$BF),0)</f>
        <v>0</v>
      </c>
      <c r="H1124" s="30">
        <f t="shared" si="119"/>
        <v>128.80000000000004</v>
      </c>
      <c r="I1124" s="30">
        <f ca="1">IFERROR(AVERAGEIF(OFFSET(F1124,0,0,MIN(Controls!$B$8,COUNTIF(B1124:B$1973,B1124)),1),"&gt;"&amp;0),0)</f>
        <v>0</v>
      </c>
      <c r="J1124" s="38">
        <f t="shared" ca="1" si="120"/>
        <v>999</v>
      </c>
      <c r="K1124" s="30">
        <f t="shared" ca="1" si="124"/>
        <v>0</v>
      </c>
      <c r="L1124" t="str">
        <f t="shared" ca="1" si="121"/>
        <v>Overstock</v>
      </c>
      <c r="M1124" s="39">
        <f>IFERROR(VLOOKUP("APAD",Controls!A:I,7,0),6)</f>
        <v>4</v>
      </c>
      <c r="N1124" s="39">
        <f>IFERROR(VLOOKUP("APAD",Controls!A:I,8,0),3)</f>
        <v>3</v>
      </c>
      <c r="O1124" s="39">
        <f>IFERROR(VLOOKUP("APAD",Controls!A:I,9,0),18)</f>
        <v>12</v>
      </c>
      <c r="P1124" s="40">
        <f>IFERROR(VLOOKUP("APAD",Controls!A:J,5,0),0)</f>
        <v>165</v>
      </c>
      <c r="Q1124" s="39">
        <f>IFERROR(VLOOKUP("APAD",Controls!A:J,6,0),3)</f>
        <v>4</v>
      </c>
      <c r="R1124" s="21" t="str">
        <f>IFERROR(VLOOKUP("APAD",Controls!A:K,10,0),"")</f>
        <v>ST Pharm</v>
      </c>
      <c r="S1124" s="41">
        <f t="shared" si="122"/>
        <v>47331</v>
      </c>
      <c r="T1124" s="30">
        <f t="shared" si="123"/>
        <v>0</v>
      </c>
      <c r="AB1124">
        <f t="shared" si="125"/>
        <v>411.04000000000008</v>
      </c>
    </row>
    <row r="1125" spans="1:28" ht="13" customHeight="1" x14ac:dyDescent="0.35">
      <c r="A1125" s="153">
        <v>47484</v>
      </c>
      <c r="B1125" s="36" t="s">
        <v>54</v>
      </c>
      <c r="C1125" s="15" t="s">
        <v>52</v>
      </c>
      <c r="D1125" s="15" t="s">
        <v>48</v>
      </c>
      <c r="E1125" s="30">
        <f>H1124</f>
        <v>128.80000000000004</v>
      </c>
      <c r="F1125" s="37">
        <f>IFERROR('Production Inputs'!$BG$37*Dependencies!$D$13,0)</f>
        <v>0</v>
      </c>
      <c r="G1125" s="37">
        <f t="array" ref="G1125">IFERROR(SUMPRODUCT(('Production Inputs'!$A:$A="APAD")*('Production Inputs'!$B:$B="TOTAL ACTIVE")*'Production Inputs'!$BG:$BG),0)</f>
        <v>0</v>
      </c>
      <c r="H1125" s="30">
        <f t="shared" si="119"/>
        <v>128.80000000000004</v>
      </c>
      <c r="I1125" s="30">
        <f ca="1">IFERROR(AVERAGEIF(OFFSET(F1125,0,0,MIN(Controls!$B$8,COUNTIF(B1125:B$1973,B1125)),1),"&gt;"&amp;0),0)</f>
        <v>0</v>
      </c>
      <c r="J1125" s="38">
        <f t="shared" ca="1" si="120"/>
        <v>999</v>
      </c>
      <c r="K1125" s="30">
        <f t="shared" ca="1" si="124"/>
        <v>0</v>
      </c>
      <c r="L1125" t="str">
        <f t="shared" ca="1" si="121"/>
        <v>Overstock</v>
      </c>
      <c r="M1125" s="39">
        <f>IFERROR(VLOOKUP("APAD",Controls!A:I,7,0),6)</f>
        <v>4</v>
      </c>
      <c r="N1125" s="39">
        <f>IFERROR(VLOOKUP("APAD",Controls!A:I,8,0),3)</f>
        <v>3</v>
      </c>
      <c r="O1125" s="39">
        <f>IFERROR(VLOOKUP("APAD",Controls!A:I,9,0),18)</f>
        <v>12</v>
      </c>
      <c r="P1125" s="40">
        <f>IFERROR(VLOOKUP("APAD",Controls!A:J,5,0),0)</f>
        <v>165</v>
      </c>
      <c r="Q1125" s="39">
        <f>IFERROR(VLOOKUP("APAD",Controls!A:J,6,0),3)</f>
        <v>4</v>
      </c>
      <c r="R1125" s="21" t="str">
        <f>IFERROR(VLOOKUP("APAD",Controls!A:K,10,0),"")</f>
        <v>ST Pharm</v>
      </c>
      <c r="S1125" s="41">
        <f t="shared" si="122"/>
        <v>47362</v>
      </c>
      <c r="T1125" s="30">
        <f t="shared" si="123"/>
        <v>0</v>
      </c>
      <c r="AB1125">
        <f t="shared" si="125"/>
        <v>411.04000000000008</v>
      </c>
    </row>
    <row r="1126" spans="1:28" ht="13" customHeight="1" x14ac:dyDescent="0.35">
      <c r="A1126" s="153">
        <v>47515</v>
      </c>
      <c r="B1126" s="36" t="s">
        <v>54</v>
      </c>
      <c r="C1126" s="15" t="s">
        <v>52</v>
      </c>
      <c r="D1126" s="15" t="s">
        <v>48</v>
      </c>
      <c r="E1126" s="30">
        <f>H1125</f>
        <v>128.80000000000004</v>
      </c>
      <c r="F1126" s="37">
        <f>IFERROR('Production Inputs'!$BH$37*Dependencies!$D$13,0)</f>
        <v>0</v>
      </c>
      <c r="G1126" s="37">
        <f t="array" ref="G1126">IFERROR(SUMPRODUCT(('Production Inputs'!$A:$A="APAD")*('Production Inputs'!$B:$B="TOTAL ACTIVE")*'Production Inputs'!$BH:$BH),0)</f>
        <v>0</v>
      </c>
      <c r="H1126" s="30">
        <f t="shared" si="119"/>
        <v>128.80000000000004</v>
      </c>
      <c r="I1126" s="30">
        <f ca="1">IFERROR(AVERAGEIF(OFFSET(F1126,0,0,MIN(Controls!$B$8,COUNTIF(B1126:B$1973,B1126)),1),"&gt;"&amp;0),0)</f>
        <v>0</v>
      </c>
      <c r="J1126" s="38">
        <f t="shared" ca="1" si="120"/>
        <v>999</v>
      </c>
      <c r="K1126" s="30">
        <f t="shared" ca="1" si="124"/>
        <v>0</v>
      </c>
      <c r="L1126" t="str">
        <f t="shared" ca="1" si="121"/>
        <v>Overstock</v>
      </c>
      <c r="M1126" s="39">
        <f>IFERROR(VLOOKUP("APAD",Controls!A:I,7,0),6)</f>
        <v>4</v>
      </c>
      <c r="N1126" s="39">
        <f>IFERROR(VLOOKUP("APAD",Controls!A:I,8,0),3)</f>
        <v>3</v>
      </c>
      <c r="O1126" s="39">
        <f>IFERROR(VLOOKUP("APAD",Controls!A:I,9,0),18)</f>
        <v>12</v>
      </c>
      <c r="P1126" s="40">
        <f>IFERROR(VLOOKUP("APAD",Controls!A:J,5,0),0)</f>
        <v>165</v>
      </c>
      <c r="Q1126" s="39">
        <f>IFERROR(VLOOKUP("APAD",Controls!A:J,6,0),3)</f>
        <v>4</v>
      </c>
      <c r="R1126" s="21" t="str">
        <f>IFERROR(VLOOKUP("APAD",Controls!A:K,10,0),"")</f>
        <v>ST Pharm</v>
      </c>
      <c r="S1126" s="41">
        <f t="shared" si="122"/>
        <v>47392</v>
      </c>
      <c r="T1126" s="30">
        <f t="shared" si="123"/>
        <v>0</v>
      </c>
      <c r="AB1126">
        <f t="shared" si="125"/>
        <v>411.04000000000008</v>
      </c>
    </row>
    <row r="1127" spans="1:28" ht="13" customHeight="1" x14ac:dyDescent="0.35">
      <c r="A1127" s="153">
        <v>47543</v>
      </c>
      <c r="B1127" s="36" t="s">
        <v>54</v>
      </c>
      <c r="C1127" s="15" t="s">
        <v>52</v>
      </c>
      <c r="D1127" s="15" t="s">
        <v>48</v>
      </c>
      <c r="E1127" s="30">
        <f>H1126</f>
        <v>128.80000000000004</v>
      </c>
      <c r="F1127" s="37">
        <f>IFERROR('Production Inputs'!$BI$37*Dependencies!$D$13,0)</f>
        <v>0</v>
      </c>
      <c r="G1127" s="37">
        <f t="array" ref="G1127">IFERROR(SUMPRODUCT(('Production Inputs'!$A:$A="APAD")*('Production Inputs'!$B:$B="TOTAL ACTIVE")*'Production Inputs'!$BI:$BI),0)</f>
        <v>0</v>
      </c>
      <c r="H1127" s="30">
        <f t="shared" si="119"/>
        <v>128.80000000000004</v>
      </c>
      <c r="I1127" s="30">
        <f ca="1">IFERROR(AVERAGEIF(OFFSET(F1127,0,0,MIN(Controls!$B$8,COUNTIF(B1127:B$1973,B1127)),1),"&gt;"&amp;0),0)</f>
        <v>0</v>
      </c>
      <c r="J1127" s="38">
        <f t="shared" ca="1" si="120"/>
        <v>999</v>
      </c>
      <c r="K1127" s="30">
        <f t="shared" ca="1" si="124"/>
        <v>0</v>
      </c>
      <c r="L1127" t="str">
        <f t="shared" ca="1" si="121"/>
        <v>Overstock</v>
      </c>
      <c r="M1127" s="39">
        <f>IFERROR(VLOOKUP("APAD",Controls!A:I,7,0),6)</f>
        <v>4</v>
      </c>
      <c r="N1127" s="39">
        <f>IFERROR(VLOOKUP("APAD",Controls!A:I,8,0),3)</f>
        <v>3</v>
      </c>
      <c r="O1127" s="39">
        <f>IFERROR(VLOOKUP("APAD",Controls!A:I,9,0),18)</f>
        <v>12</v>
      </c>
      <c r="P1127" s="40">
        <f>IFERROR(VLOOKUP("APAD",Controls!A:J,5,0),0)</f>
        <v>165</v>
      </c>
      <c r="Q1127" s="39">
        <f>IFERROR(VLOOKUP("APAD",Controls!A:J,6,0),3)</f>
        <v>4</v>
      </c>
      <c r="R1127" s="21" t="str">
        <f>IFERROR(VLOOKUP("APAD",Controls!A:K,10,0),"")</f>
        <v>ST Pharm</v>
      </c>
      <c r="S1127" s="41">
        <f t="shared" si="122"/>
        <v>47423</v>
      </c>
      <c r="T1127" s="30">
        <f t="shared" si="123"/>
        <v>0</v>
      </c>
      <c r="AB1127">
        <f t="shared" si="125"/>
        <v>411.04000000000008</v>
      </c>
    </row>
    <row r="1128" spans="1:28" ht="13" customHeight="1" x14ac:dyDescent="0.35">
      <c r="A1128" s="153">
        <v>47574</v>
      </c>
      <c r="B1128" s="36" t="s">
        <v>54</v>
      </c>
      <c r="C1128" s="15" t="s">
        <v>52</v>
      </c>
      <c r="D1128" s="15" t="s">
        <v>48</v>
      </c>
      <c r="E1128" s="30">
        <f>H1127</f>
        <v>128.80000000000004</v>
      </c>
      <c r="F1128" s="37">
        <f>IFERROR('Production Inputs'!$BJ$37*Dependencies!$D$13,0)</f>
        <v>0</v>
      </c>
      <c r="G1128" s="37">
        <f t="array" ref="G1128">IFERROR(SUMPRODUCT(('Production Inputs'!$A:$A="APAD")*('Production Inputs'!$B:$B="TOTAL ACTIVE")*'Production Inputs'!$BJ:$BJ),0)</f>
        <v>0</v>
      </c>
      <c r="H1128" s="30">
        <f t="shared" si="119"/>
        <v>128.80000000000004</v>
      </c>
      <c r="I1128" s="30">
        <f ca="1">IFERROR(AVERAGEIF(OFFSET(F1128,0,0,MIN(Controls!$B$8,COUNTIF(B1128:B$1973,B1128)),1),"&gt;"&amp;0),0)</f>
        <v>0</v>
      </c>
      <c r="J1128" s="38">
        <f t="shared" ca="1" si="120"/>
        <v>999</v>
      </c>
      <c r="K1128" s="30">
        <f t="shared" ca="1" si="124"/>
        <v>0</v>
      </c>
      <c r="L1128" t="str">
        <f t="shared" ca="1" si="121"/>
        <v>Overstock</v>
      </c>
      <c r="M1128" s="39">
        <f>IFERROR(VLOOKUP("APAD",Controls!A:I,7,0),6)</f>
        <v>4</v>
      </c>
      <c r="N1128" s="39">
        <f>IFERROR(VLOOKUP("APAD",Controls!A:I,8,0),3)</f>
        <v>3</v>
      </c>
      <c r="O1128" s="39">
        <f>IFERROR(VLOOKUP("APAD",Controls!A:I,9,0),18)</f>
        <v>12</v>
      </c>
      <c r="P1128" s="40">
        <f>IFERROR(VLOOKUP("APAD",Controls!A:J,5,0),0)</f>
        <v>165</v>
      </c>
      <c r="Q1128" s="39">
        <f>IFERROR(VLOOKUP("APAD",Controls!A:J,6,0),3)</f>
        <v>4</v>
      </c>
      <c r="R1128" s="21" t="str">
        <f>IFERROR(VLOOKUP("APAD",Controls!A:K,10,0),"")</f>
        <v>ST Pharm</v>
      </c>
      <c r="S1128" s="41">
        <f t="shared" si="122"/>
        <v>47453</v>
      </c>
      <c r="T1128" s="30">
        <f t="shared" si="123"/>
        <v>0</v>
      </c>
      <c r="AB1128">
        <f t="shared" si="125"/>
        <v>411.04000000000008</v>
      </c>
    </row>
    <row r="1129" spans="1:28" ht="13" customHeight="1" x14ac:dyDescent="0.35">
      <c r="A1129" s="153">
        <v>47604</v>
      </c>
      <c r="B1129" s="36" t="s">
        <v>54</v>
      </c>
      <c r="C1129" s="15" t="s">
        <v>52</v>
      </c>
      <c r="D1129" s="15" t="s">
        <v>48</v>
      </c>
      <c r="E1129" s="30">
        <f>H1128</f>
        <v>128.80000000000004</v>
      </c>
      <c r="F1129" s="37">
        <f>IFERROR('Production Inputs'!$BK$37*Dependencies!$D$13,0)</f>
        <v>0</v>
      </c>
      <c r="G1129" s="37">
        <f t="array" ref="G1129">IFERROR(SUMPRODUCT(('Production Inputs'!$A:$A="APAD")*('Production Inputs'!$B:$B="TOTAL ACTIVE")*'Production Inputs'!$BK:$BK),0)</f>
        <v>0</v>
      </c>
      <c r="H1129" s="30">
        <f t="shared" si="119"/>
        <v>128.80000000000004</v>
      </c>
      <c r="I1129" s="30">
        <f ca="1">IFERROR(AVERAGEIF(OFFSET(F1129,0,0,MIN(Controls!$B$8,COUNTIF(B1129:B$1973,B1129)),1),"&gt;"&amp;0),0)</f>
        <v>0</v>
      </c>
      <c r="J1129" s="38">
        <f t="shared" ca="1" si="120"/>
        <v>999</v>
      </c>
      <c r="K1129" s="30">
        <f t="shared" ca="1" si="124"/>
        <v>0</v>
      </c>
      <c r="L1129" t="str">
        <f t="shared" ca="1" si="121"/>
        <v>Overstock</v>
      </c>
      <c r="M1129" s="39">
        <f>IFERROR(VLOOKUP("APAD",Controls!A:I,7,0),6)</f>
        <v>4</v>
      </c>
      <c r="N1129" s="39">
        <f>IFERROR(VLOOKUP("APAD",Controls!A:I,8,0),3)</f>
        <v>3</v>
      </c>
      <c r="O1129" s="39">
        <f>IFERROR(VLOOKUP("APAD",Controls!A:I,9,0),18)</f>
        <v>12</v>
      </c>
      <c r="P1129" s="40">
        <f>IFERROR(VLOOKUP("APAD",Controls!A:J,5,0),0)</f>
        <v>165</v>
      </c>
      <c r="Q1129" s="39">
        <f>IFERROR(VLOOKUP("APAD",Controls!A:J,6,0),3)</f>
        <v>4</v>
      </c>
      <c r="R1129" s="21" t="str">
        <f>IFERROR(VLOOKUP("APAD",Controls!A:K,10,0),"")</f>
        <v>ST Pharm</v>
      </c>
      <c r="S1129" s="41">
        <f t="shared" si="122"/>
        <v>47484</v>
      </c>
      <c r="T1129" s="30">
        <f t="shared" si="123"/>
        <v>0</v>
      </c>
      <c r="AB1129">
        <f t="shared" si="125"/>
        <v>411.04000000000008</v>
      </c>
    </row>
    <row r="1130" spans="1:28" ht="13" customHeight="1" x14ac:dyDescent="0.35">
      <c r="A1130" s="153">
        <v>47635</v>
      </c>
      <c r="B1130" s="36" t="s">
        <v>54</v>
      </c>
      <c r="C1130" s="15" t="s">
        <v>52</v>
      </c>
      <c r="D1130" s="15" t="s">
        <v>48</v>
      </c>
      <c r="E1130" s="30">
        <f>H1129</f>
        <v>128.80000000000004</v>
      </c>
      <c r="F1130" s="37">
        <f>IFERROR('Production Inputs'!$BL$37*Dependencies!$D$13,0)</f>
        <v>0</v>
      </c>
      <c r="G1130" s="37">
        <f t="array" ref="G1130">IFERROR(SUMPRODUCT(('Production Inputs'!$A:$A="APAD")*('Production Inputs'!$B:$B="TOTAL ACTIVE")*'Production Inputs'!$BL:$BL),0)</f>
        <v>0</v>
      </c>
      <c r="H1130" s="30">
        <f t="shared" si="119"/>
        <v>128.80000000000004</v>
      </c>
      <c r="I1130" s="30">
        <f ca="1">IFERROR(AVERAGEIF(OFFSET(F1130,0,0,MIN(Controls!$B$8,COUNTIF(B1130:B$1973,B1130)),1),"&gt;"&amp;0),0)</f>
        <v>0</v>
      </c>
      <c r="J1130" s="38">
        <f t="shared" ca="1" si="120"/>
        <v>999</v>
      </c>
      <c r="K1130" s="30">
        <f t="shared" ca="1" si="124"/>
        <v>0</v>
      </c>
      <c r="L1130" t="str">
        <f t="shared" ca="1" si="121"/>
        <v>Overstock</v>
      </c>
      <c r="M1130" s="39">
        <f>IFERROR(VLOOKUP("APAD",Controls!A:I,7,0),6)</f>
        <v>4</v>
      </c>
      <c r="N1130" s="39">
        <f>IFERROR(VLOOKUP("APAD",Controls!A:I,8,0),3)</f>
        <v>3</v>
      </c>
      <c r="O1130" s="39">
        <f>IFERROR(VLOOKUP("APAD",Controls!A:I,9,0),18)</f>
        <v>12</v>
      </c>
      <c r="P1130" s="40">
        <f>IFERROR(VLOOKUP("APAD",Controls!A:J,5,0),0)</f>
        <v>165</v>
      </c>
      <c r="Q1130" s="39">
        <f>IFERROR(VLOOKUP("APAD",Controls!A:J,6,0),3)</f>
        <v>4</v>
      </c>
      <c r="R1130" s="21" t="str">
        <f>IFERROR(VLOOKUP("APAD",Controls!A:K,10,0),"")</f>
        <v>ST Pharm</v>
      </c>
      <c r="S1130" s="41">
        <f t="shared" si="122"/>
        <v>47515</v>
      </c>
      <c r="T1130" s="30">
        <f t="shared" si="123"/>
        <v>0</v>
      </c>
      <c r="AB1130">
        <f t="shared" si="125"/>
        <v>411.04000000000008</v>
      </c>
    </row>
    <row r="1131" spans="1:28" ht="13" customHeight="1" x14ac:dyDescent="0.35">
      <c r="A1131" s="153">
        <v>47665</v>
      </c>
      <c r="B1131" s="36" t="s">
        <v>54</v>
      </c>
      <c r="C1131" s="15" t="s">
        <v>52</v>
      </c>
      <c r="D1131" s="15" t="s">
        <v>48</v>
      </c>
      <c r="E1131" s="30">
        <f>H1130</f>
        <v>128.80000000000004</v>
      </c>
      <c r="F1131" s="37">
        <f>IFERROR('Production Inputs'!$BM$37*Dependencies!$D$13,0)</f>
        <v>0</v>
      </c>
      <c r="G1131" s="37">
        <f t="array" ref="G1131">IFERROR(SUMPRODUCT(('Production Inputs'!$A:$A="APAD")*('Production Inputs'!$B:$B="TOTAL ACTIVE")*'Production Inputs'!$BM:$BM),0)</f>
        <v>0</v>
      </c>
      <c r="H1131" s="30">
        <f t="shared" si="119"/>
        <v>128.80000000000004</v>
      </c>
      <c r="I1131" s="30">
        <f ca="1">IFERROR(AVERAGEIF(OFFSET(F1131,0,0,MIN(Controls!$B$8,COUNTIF(B1131:B$1973,B1131)),1),"&gt;"&amp;0),0)</f>
        <v>0</v>
      </c>
      <c r="J1131" s="38">
        <f t="shared" ca="1" si="120"/>
        <v>999</v>
      </c>
      <c r="K1131" s="30">
        <f t="shared" ca="1" si="124"/>
        <v>0</v>
      </c>
      <c r="L1131" t="str">
        <f t="shared" ca="1" si="121"/>
        <v>Overstock</v>
      </c>
      <c r="M1131" s="39">
        <f>IFERROR(VLOOKUP("APAD",Controls!A:I,7,0),6)</f>
        <v>4</v>
      </c>
      <c r="N1131" s="39">
        <f>IFERROR(VLOOKUP("APAD",Controls!A:I,8,0),3)</f>
        <v>3</v>
      </c>
      <c r="O1131" s="39">
        <f>IFERROR(VLOOKUP("APAD",Controls!A:I,9,0),18)</f>
        <v>12</v>
      </c>
      <c r="P1131" s="40">
        <f>IFERROR(VLOOKUP("APAD",Controls!A:J,5,0),0)</f>
        <v>165</v>
      </c>
      <c r="Q1131" s="39">
        <f>IFERROR(VLOOKUP("APAD",Controls!A:J,6,0),3)</f>
        <v>4</v>
      </c>
      <c r="R1131" s="21" t="str">
        <f>IFERROR(VLOOKUP("APAD",Controls!A:K,10,0),"")</f>
        <v>ST Pharm</v>
      </c>
      <c r="S1131" s="41">
        <f t="shared" si="122"/>
        <v>47543</v>
      </c>
      <c r="T1131" s="30">
        <f t="shared" si="123"/>
        <v>0</v>
      </c>
      <c r="AB1131">
        <f t="shared" si="125"/>
        <v>411.04000000000008</v>
      </c>
    </row>
    <row r="1132" spans="1:28" ht="13" customHeight="1" x14ac:dyDescent="0.35">
      <c r="A1132" s="153">
        <v>47696</v>
      </c>
      <c r="B1132" s="36" t="s">
        <v>54</v>
      </c>
      <c r="C1132" s="15" t="s">
        <v>52</v>
      </c>
      <c r="D1132" s="15" t="s">
        <v>48</v>
      </c>
      <c r="E1132" s="30">
        <f>H1131</f>
        <v>128.80000000000004</v>
      </c>
      <c r="F1132" s="37">
        <f>IFERROR('Production Inputs'!$BN$37*Dependencies!$D$13,0)</f>
        <v>0</v>
      </c>
      <c r="G1132" s="37">
        <f t="array" ref="G1132">IFERROR(SUMPRODUCT(('Production Inputs'!$A:$A="APAD")*('Production Inputs'!$B:$B="TOTAL ACTIVE")*'Production Inputs'!$BN:$BN),0)</f>
        <v>0</v>
      </c>
      <c r="H1132" s="30">
        <f t="shared" si="119"/>
        <v>128.80000000000004</v>
      </c>
      <c r="I1132" s="30">
        <f ca="1">IFERROR(AVERAGEIF(OFFSET(F1132,0,0,MIN(Controls!$B$8,COUNTIF(B1132:B$1973,B1132)),1),"&gt;"&amp;0),0)</f>
        <v>0</v>
      </c>
      <c r="J1132" s="38">
        <f t="shared" ca="1" si="120"/>
        <v>999</v>
      </c>
      <c r="K1132" s="30">
        <f t="shared" ca="1" si="124"/>
        <v>0</v>
      </c>
      <c r="L1132" t="str">
        <f t="shared" ca="1" si="121"/>
        <v>Overstock</v>
      </c>
      <c r="M1132" s="39">
        <f>IFERROR(VLOOKUP("APAD",Controls!A:I,7,0),6)</f>
        <v>4</v>
      </c>
      <c r="N1132" s="39">
        <f>IFERROR(VLOOKUP("APAD",Controls!A:I,8,0),3)</f>
        <v>3</v>
      </c>
      <c r="O1132" s="39">
        <f>IFERROR(VLOOKUP("APAD",Controls!A:I,9,0),18)</f>
        <v>12</v>
      </c>
      <c r="P1132" s="40">
        <f>IFERROR(VLOOKUP("APAD",Controls!A:J,5,0),0)</f>
        <v>165</v>
      </c>
      <c r="Q1132" s="39">
        <f>IFERROR(VLOOKUP("APAD",Controls!A:J,6,0),3)</f>
        <v>4</v>
      </c>
      <c r="R1132" s="21" t="str">
        <f>IFERROR(VLOOKUP("APAD",Controls!A:K,10,0),"")</f>
        <v>ST Pharm</v>
      </c>
      <c r="S1132" s="41">
        <f t="shared" si="122"/>
        <v>47574</v>
      </c>
      <c r="T1132" s="30">
        <f t="shared" si="123"/>
        <v>0</v>
      </c>
      <c r="AB1132">
        <f t="shared" si="125"/>
        <v>411.04000000000008</v>
      </c>
    </row>
    <row r="1133" spans="1:28" ht="13" customHeight="1" x14ac:dyDescent="0.35">
      <c r="A1133" s="153">
        <v>47727</v>
      </c>
      <c r="B1133" s="36" t="s">
        <v>54</v>
      </c>
      <c r="C1133" s="15" t="s">
        <v>52</v>
      </c>
      <c r="D1133" s="15" t="s">
        <v>48</v>
      </c>
      <c r="E1133" s="30">
        <f>H1132</f>
        <v>128.80000000000004</v>
      </c>
      <c r="F1133" s="37">
        <f>IFERROR('Production Inputs'!$BO$37*Dependencies!$D$13,0)</f>
        <v>0</v>
      </c>
      <c r="G1133" s="37">
        <f t="array" ref="G1133">IFERROR(SUMPRODUCT(('Production Inputs'!$A:$A="APAD")*('Production Inputs'!$B:$B="TOTAL ACTIVE")*'Production Inputs'!$BO:$BO),0)</f>
        <v>0</v>
      </c>
      <c r="H1133" s="30">
        <f t="shared" si="119"/>
        <v>128.80000000000004</v>
      </c>
      <c r="I1133" s="30">
        <f ca="1">IFERROR(AVERAGEIF(OFFSET(F1133,0,0,MIN(Controls!$B$8,COUNTIF(B1133:B$1973,B1133)),1),"&gt;"&amp;0),0)</f>
        <v>0</v>
      </c>
      <c r="J1133" s="38">
        <f t="shared" ca="1" si="120"/>
        <v>999</v>
      </c>
      <c r="K1133" s="30">
        <f t="shared" ca="1" si="124"/>
        <v>0</v>
      </c>
      <c r="L1133" t="str">
        <f t="shared" ca="1" si="121"/>
        <v>Overstock</v>
      </c>
      <c r="M1133" s="39">
        <f>IFERROR(VLOOKUP("APAD",Controls!A:I,7,0),6)</f>
        <v>4</v>
      </c>
      <c r="N1133" s="39">
        <f>IFERROR(VLOOKUP("APAD",Controls!A:I,8,0),3)</f>
        <v>3</v>
      </c>
      <c r="O1133" s="39">
        <f>IFERROR(VLOOKUP("APAD",Controls!A:I,9,0),18)</f>
        <v>12</v>
      </c>
      <c r="P1133" s="40">
        <f>IFERROR(VLOOKUP("APAD",Controls!A:J,5,0),0)</f>
        <v>165</v>
      </c>
      <c r="Q1133" s="39">
        <f>IFERROR(VLOOKUP("APAD",Controls!A:J,6,0),3)</f>
        <v>4</v>
      </c>
      <c r="R1133" s="21" t="str">
        <f>IFERROR(VLOOKUP("APAD",Controls!A:K,10,0),"")</f>
        <v>ST Pharm</v>
      </c>
      <c r="S1133" s="41">
        <f t="shared" si="122"/>
        <v>47604</v>
      </c>
      <c r="T1133" s="30">
        <f t="shared" si="123"/>
        <v>0</v>
      </c>
      <c r="AB1133">
        <f t="shared" si="125"/>
        <v>411.04000000000008</v>
      </c>
    </row>
    <row r="1134" spans="1:28" ht="13" customHeight="1" x14ac:dyDescent="0.35">
      <c r="A1134" s="153">
        <v>47757</v>
      </c>
      <c r="B1134" s="36" t="s">
        <v>54</v>
      </c>
      <c r="C1134" s="15" t="s">
        <v>52</v>
      </c>
      <c r="D1134" s="15" t="s">
        <v>48</v>
      </c>
      <c r="E1134" s="30">
        <f>H1133</f>
        <v>128.80000000000004</v>
      </c>
      <c r="F1134" s="37">
        <f>IFERROR('Production Inputs'!$BP$37*Dependencies!$D$13,0)</f>
        <v>0</v>
      </c>
      <c r="G1134" s="37">
        <f t="array" ref="G1134">IFERROR(SUMPRODUCT(('Production Inputs'!$A:$A="APAD")*('Production Inputs'!$B:$B="TOTAL ACTIVE")*'Production Inputs'!$BP:$BP),0)</f>
        <v>0</v>
      </c>
      <c r="H1134" s="30">
        <f t="shared" si="119"/>
        <v>128.80000000000004</v>
      </c>
      <c r="I1134" s="30">
        <f ca="1">IFERROR(AVERAGEIF(OFFSET(F1134,0,0,MIN(Controls!$B$8,COUNTIF(B1134:B$1973,B1134)),1),"&gt;"&amp;0),0)</f>
        <v>0</v>
      </c>
      <c r="J1134" s="38">
        <f t="shared" ca="1" si="120"/>
        <v>999</v>
      </c>
      <c r="K1134" s="30">
        <f t="shared" ca="1" si="124"/>
        <v>0</v>
      </c>
      <c r="L1134" t="str">
        <f t="shared" ca="1" si="121"/>
        <v>Overstock</v>
      </c>
      <c r="M1134" s="39">
        <f>IFERROR(VLOOKUP("APAD",Controls!A:I,7,0),6)</f>
        <v>4</v>
      </c>
      <c r="N1134" s="39">
        <f>IFERROR(VLOOKUP("APAD",Controls!A:I,8,0),3)</f>
        <v>3</v>
      </c>
      <c r="O1134" s="39">
        <f>IFERROR(VLOOKUP("APAD",Controls!A:I,9,0),18)</f>
        <v>12</v>
      </c>
      <c r="P1134" s="40">
        <f>IFERROR(VLOOKUP("APAD",Controls!A:J,5,0),0)</f>
        <v>165</v>
      </c>
      <c r="Q1134" s="39">
        <f>IFERROR(VLOOKUP("APAD",Controls!A:J,6,0),3)</f>
        <v>4</v>
      </c>
      <c r="R1134" s="21" t="str">
        <f>IFERROR(VLOOKUP("APAD",Controls!A:K,10,0),"")</f>
        <v>ST Pharm</v>
      </c>
      <c r="S1134" s="41">
        <f t="shared" si="122"/>
        <v>47635</v>
      </c>
      <c r="T1134" s="30">
        <f t="shared" si="123"/>
        <v>0</v>
      </c>
      <c r="AB1134">
        <f t="shared" si="125"/>
        <v>411.04000000000008</v>
      </c>
    </row>
    <row r="1135" spans="1:28" ht="13" customHeight="1" x14ac:dyDescent="0.35">
      <c r="A1135" s="153">
        <v>47788</v>
      </c>
      <c r="B1135" s="36" t="s">
        <v>54</v>
      </c>
      <c r="C1135" s="15" t="s">
        <v>52</v>
      </c>
      <c r="D1135" s="15" t="s">
        <v>48</v>
      </c>
      <c r="E1135" s="30">
        <f>H1134</f>
        <v>128.80000000000004</v>
      </c>
      <c r="F1135" s="37">
        <f>IFERROR('Production Inputs'!$BQ$37*Dependencies!$D$13,0)</f>
        <v>0</v>
      </c>
      <c r="G1135" s="37">
        <f t="array" ref="G1135">IFERROR(SUMPRODUCT(('Production Inputs'!$A:$A="APAD")*('Production Inputs'!$B:$B="TOTAL ACTIVE")*'Production Inputs'!$BQ:$BQ),0)</f>
        <v>0</v>
      </c>
      <c r="H1135" s="30">
        <f t="shared" si="119"/>
        <v>128.80000000000004</v>
      </c>
      <c r="I1135" s="30">
        <f ca="1">IFERROR(AVERAGEIF(OFFSET(F1135,0,0,MIN(Controls!$B$8,COUNTIF(B1135:B$1973,B1135)),1),"&gt;"&amp;0),0)</f>
        <v>0</v>
      </c>
      <c r="J1135" s="38">
        <f t="shared" ca="1" si="120"/>
        <v>999</v>
      </c>
      <c r="K1135" s="30">
        <f t="shared" ca="1" si="124"/>
        <v>0</v>
      </c>
      <c r="L1135" t="str">
        <f t="shared" ca="1" si="121"/>
        <v>Overstock</v>
      </c>
      <c r="M1135" s="39">
        <f>IFERROR(VLOOKUP("APAD",Controls!A:I,7,0),6)</f>
        <v>4</v>
      </c>
      <c r="N1135" s="39">
        <f>IFERROR(VLOOKUP("APAD",Controls!A:I,8,0),3)</f>
        <v>3</v>
      </c>
      <c r="O1135" s="39">
        <f>IFERROR(VLOOKUP("APAD",Controls!A:I,9,0),18)</f>
        <v>12</v>
      </c>
      <c r="P1135" s="40">
        <f>IFERROR(VLOOKUP("APAD",Controls!A:J,5,0),0)</f>
        <v>165</v>
      </c>
      <c r="Q1135" s="39">
        <f>IFERROR(VLOOKUP("APAD",Controls!A:J,6,0),3)</f>
        <v>4</v>
      </c>
      <c r="R1135" s="21" t="str">
        <f>IFERROR(VLOOKUP("APAD",Controls!A:K,10,0),"")</f>
        <v>ST Pharm</v>
      </c>
      <c r="S1135" s="41">
        <f t="shared" si="122"/>
        <v>47665</v>
      </c>
      <c r="T1135" s="30">
        <f t="shared" si="123"/>
        <v>0</v>
      </c>
      <c r="AB1135">
        <f t="shared" si="125"/>
        <v>411.04000000000008</v>
      </c>
    </row>
    <row r="1136" spans="1:28" ht="13" customHeight="1" x14ac:dyDescent="0.35">
      <c r="A1136" s="153">
        <v>47818</v>
      </c>
      <c r="B1136" s="36" t="s">
        <v>54</v>
      </c>
      <c r="C1136" s="15" t="s">
        <v>52</v>
      </c>
      <c r="D1136" s="15" t="s">
        <v>48</v>
      </c>
      <c r="E1136" s="30">
        <f>H1135</f>
        <v>128.80000000000004</v>
      </c>
      <c r="F1136" s="37">
        <f>IFERROR('Production Inputs'!$BR$37*Dependencies!$D$13,0)</f>
        <v>0</v>
      </c>
      <c r="G1136" s="37">
        <f t="array" ref="G1136">IFERROR(SUMPRODUCT(('Production Inputs'!$A:$A="APAD")*('Production Inputs'!$B:$B="TOTAL ACTIVE")*'Production Inputs'!$BR:$BR),0)</f>
        <v>0</v>
      </c>
      <c r="H1136" s="30">
        <f t="shared" si="119"/>
        <v>128.80000000000004</v>
      </c>
      <c r="I1136" s="30">
        <f ca="1">IFERROR(AVERAGEIF(OFFSET(F1136,0,0,MIN(Controls!$B$8,COUNTIF(B1136:B$1973,B1136)),1),"&gt;"&amp;0),0)</f>
        <v>0</v>
      </c>
      <c r="J1136" s="38">
        <f t="shared" ca="1" si="120"/>
        <v>999</v>
      </c>
      <c r="K1136" s="30">
        <f t="shared" ca="1" si="124"/>
        <v>0</v>
      </c>
      <c r="L1136" t="str">
        <f t="shared" ca="1" si="121"/>
        <v>Overstock</v>
      </c>
      <c r="M1136" s="39">
        <f>IFERROR(VLOOKUP("APAD",Controls!A:I,7,0),6)</f>
        <v>4</v>
      </c>
      <c r="N1136" s="39">
        <f>IFERROR(VLOOKUP("APAD",Controls!A:I,8,0),3)</f>
        <v>3</v>
      </c>
      <c r="O1136" s="39">
        <f>IFERROR(VLOOKUP("APAD",Controls!A:I,9,0),18)</f>
        <v>12</v>
      </c>
      <c r="P1136" s="40">
        <f>IFERROR(VLOOKUP("APAD",Controls!A:J,5,0),0)</f>
        <v>165</v>
      </c>
      <c r="Q1136" s="39">
        <f>IFERROR(VLOOKUP("APAD",Controls!A:J,6,0),3)</f>
        <v>4</v>
      </c>
      <c r="R1136" s="21" t="str">
        <f>IFERROR(VLOOKUP("APAD",Controls!A:K,10,0),"")</f>
        <v>ST Pharm</v>
      </c>
      <c r="S1136" s="41">
        <f t="shared" si="122"/>
        <v>47696</v>
      </c>
      <c r="T1136" s="30">
        <f t="shared" si="123"/>
        <v>0</v>
      </c>
      <c r="AB1136">
        <f t="shared" si="125"/>
        <v>411.04000000000008</v>
      </c>
    </row>
    <row r="1137" spans="1:28" ht="13" customHeight="1" x14ac:dyDescent="0.35">
      <c r="A1137" s="153">
        <v>47849</v>
      </c>
      <c r="B1137" s="36" t="s">
        <v>54</v>
      </c>
      <c r="C1137" s="15" t="s">
        <v>52</v>
      </c>
      <c r="D1137" s="15" t="s">
        <v>48</v>
      </c>
      <c r="E1137" s="30">
        <f>H1136</f>
        <v>128.80000000000004</v>
      </c>
      <c r="F1137" s="37">
        <f>IFERROR('Production Inputs'!$BS$37*Dependencies!$D$13,0)</f>
        <v>0</v>
      </c>
      <c r="G1137" s="37">
        <f t="array" ref="G1137">IFERROR(SUMPRODUCT(('Production Inputs'!$A:$A="APAD")*('Production Inputs'!$B:$B="TOTAL ACTIVE")*'Production Inputs'!$BS:$BS),0)</f>
        <v>0</v>
      </c>
      <c r="H1137" s="30">
        <f t="shared" si="119"/>
        <v>128.80000000000004</v>
      </c>
      <c r="I1137" s="30">
        <f ca="1">IFERROR(AVERAGEIF(OFFSET(F1137,0,0,MIN(Controls!$B$8,COUNTIF(B1137:B$1973,B1137)),1),"&gt;"&amp;0),0)</f>
        <v>0</v>
      </c>
      <c r="J1137" s="38">
        <f t="shared" ca="1" si="120"/>
        <v>999</v>
      </c>
      <c r="K1137" s="30">
        <f t="shared" ca="1" si="124"/>
        <v>0</v>
      </c>
      <c r="L1137" t="str">
        <f t="shared" ca="1" si="121"/>
        <v>Overstock</v>
      </c>
      <c r="M1137" s="39">
        <f>IFERROR(VLOOKUP("APAD",Controls!A:I,7,0),6)</f>
        <v>4</v>
      </c>
      <c r="N1137" s="39">
        <f>IFERROR(VLOOKUP("APAD",Controls!A:I,8,0),3)</f>
        <v>3</v>
      </c>
      <c r="O1137" s="39">
        <f>IFERROR(VLOOKUP("APAD",Controls!A:I,9,0),18)</f>
        <v>12</v>
      </c>
      <c r="P1137" s="40">
        <f>IFERROR(VLOOKUP("APAD",Controls!A:J,5,0),0)</f>
        <v>165</v>
      </c>
      <c r="Q1137" s="39">
        <f>IFERROR(VLOOKUP("APAD",Controls!A:J,6,0),3)</f>
        <v>4</v>
      </c>
      <c r="R1137" s="21" t="str">
        <f>IFERROR(VLOOKUP("APAD",Controls!A:K,10,0),"")</f>
        <v>ST Pharm</v>
      </c>
      <c r="S1137" s="41">
        <f t="shared" si="122"/>
        <v>47727</v>
      </c>
      <c r="T1137" s="30">
        <f t="shared" si="123"/>
        <v>0</v>
      </c>
      <c r="AB1137">
        <f t="shared" si="125"/>
        <v>411.04000000000008</v>
      </c>
    </row>
    <row r="1138" spans="1:28" ht="13" customHeight="1" x14ac:dyDescent="0.35">
      <c r="A1138" s="153">
        <v>47880</v>
      </c>
      <c r="B1138" s="36" t="s">
        <v>54</v>
      </c>
      <c r="C1138" s="15" t="s">
        <v>52</v>
      </c>
      <c r="D1138" s="15" t="s">
        <v>48</v>
      </c>
      <c r="E1138" s="30">
        <f>H1137</f>
        <v>128.80000000000004</v>
      </c>
      <c r="F1138" s="37">
        <f>IFERROR('Production Inputs'!$BT$37*Dependencies!$D$13,0)</f>
        <v>0</v>
      </c>
      <c r="G1138" s="37">
        <f t="array" ref="G1138">IFERROR(SUMPRODUCT(('Production Inputs'!$A:$A="APAD")*('Production Inputs'!$B:$B="TOTAL ACTIVE")*'Production Inputs'!$BT:$BT),0)</f>
        <v>0</v>
      </c>
      <c r="H1138" s="30">
        <f t="shared" si="119"/>
        <v>128.80000000000004</v>
      </c>
      <c r="I1138" s="30">
        <f ca="1">IFERROR(AVERAGEIF(OFFSET(F1138,0,0,MIN(Controls!$B$8,COUNTIF(B1138:B$1973,B1138)),1),"&gt;"&amp;0),0)</f>
        <v>0</v>
      </c>
      <c r="J1138" s="38">
        <f t="shared" ca="1" si="120"/>
        <v>999</v>
      </c>
      <c r="K1138" s="30">
        <f t="shared" ca="1" si="124"/>
        <v>0</v>
      </c>
      <c r="L1138" t="str">
        <f t="shared" ca="1" si="121"/>
        <v>Overstock</v>
      </c>
      <c r="M1138" s="39">
        <f>IFERROR(VLOOKUP("APAD",Controls!A:I,7,0),6)</f>
        <v>4</v>
      </c>
      <c r="N1138" s="39">
        <f>IFERROR(VLOOKUP("APAD",Controls!A:I,8,0),3)</f>
        <v>3</v>
      </c>
      <c r="O1138" s="39">
        <f>IFERROR(VLOOKUP("APAD",Controls!A:I,9,0),18)</f>
        <v>12</v>
      </c>
      <c r="P1138" s="40">
        <f>IFERROR(VLOOKUP("APAD",Controls!A:J,5,0),0)</f>
        <v>165</v>
      </c>
      <c r="Q1138" s="39">
        <f>IFERROR(VLOOKUP("APAD",Controls!A:J,6,0),3)</f>
        <v>4</v>
      </c>
      <c r="R1138" s="21" t="str">
        <f>IFERROR(VLOOKUP("APAD",Controls!A:K,10,0),"")</f>
        <v>ST Pharm</v>
      </c>
      <c r="S1138" s="41">
        <f t="shared" si="122"/>
        <v>47757</v>
      </c>
      <c r="T1138" s="30">
        <f t="shared" si="123"/>
        <v>0</v>
      </c>
      <c r="AB1138">
        <f t="shared" si="125"/>
        <v>411.04000000000008</v>
      </c>
    </row>
    <row r="1139" spans="1:28" ht="13" customHeight="1" x14ac:dyDescent="0.35">
      <c r="A1139" s="153">
        <v>47908</v>
      </c>
      <c r="B1139" s="36" t="s">
        <v>54</v>
      </c>
      <c r="C1139" s="15" t="s">
        <v>52</v>
      </c>
      <c r="D1139" s="15" t="s">
        <v>48</v>
      </c>
      <c r="E1139" s="30">
        <f>H1138</f>
        <v>128.80000000000004</v>
      </c>
      <c r="F1139" s="37">
        <f>IFERROR('Production Inputs'!$BU$37*Dependencies!$D$13,0)</f>
        <v>0</v>
      </c>
      <c r="G1139" s="37">
        <f t="array" ref="G1139">IFERROR(SUMPRODUCT(('Production Inputs'!$A:$A="APAD")*('Production Inputs'!$B:$B="TOTAL ACTIVE")*'Production Inputs'!$BU:$BU),0)</f>
        <v>0</v>
      </c>
      <c r="H1139" s="30">
        <f t="shared" si="119"/>
        <v>128.80000000000004</v>
      </c>
      <c r="I1139" s="30">
        <f ca="1">IFERROR(AVERAGEIF(OFFSET(F1139,0,0,MIN(Controls!$B$8,COUNTIF(B1139:B$1973,B1139)),1),"&gt;"&amp;0),0)</f>
        <v>0</v>
      </c>
      <c r="J1139" s="38">
        <f t="shared" ca="1" si="120"/>
        <v>999</v>
      </c>
      <c r="K1139" s="30">
        <f t="shared" ca="1" si="124"/>
        <v>0</v>
      </c>
      <c r="L1139" t="str">
        <f t="shared" ca="1" si="121"/>
        <v>Overstock</v>
      </c>
      <c r="M1139" s="39">
        <f>IFERROR(VLOOKUP("APAD",Controls!A:I,7,0),6)</f>
        <v>4</v>
      </c>
      <c r="N1139" s="39">
        <f>IFERROR(VLOOKUP("APAD",Controls!A:I,8,0),3)</f>
        <v>3</v>
      </c>
      <c r="O1139" s="39">
        <f>IFERROR(VLOOKUP("APAD",Controls!A:I,9,0),18)</f>
        <v>12</v>
      </c>
      <c r="P1139" s="40">
        <f>IFERROR(VLOOKUP("APAD",Controls!A:J,5,0),0)</f>
        <v>165</v>
      </c>
      <c r="Q1139" s="39">
        <f>IFERROR(VLOOKUP("APAD",Controls!A:J,6,0),3)</f>
        <v>4</v>
      </c>
      <c r="R1139" s="21" t="str">
        <f>IFERROR(VLOOKUP("APAD",Controls!A:K,10,0),"")</f>
        <v>ST Pharm</v>
      </c>
      <c r="S1139" s="41">
        <f t="shared" si="122"/>
        <v>47788</v>
      </c>
      <c r="T1139" s="30">
        <f t="shared" si="123"/>
        <v>0</v>
      </c>
      <c r="AB1139">
        <f t="shared" si="125"/>
        <v>411.04000000000008</v>
      </c>
    </row>
    <row r="1140" spans="1:28" ht="13" customHeight="1" x14ac:dyDescent="0.35">
      <c r="A1140" s="153">
        <v>47939</v>
      </c>
      <c r="B1140" s="36" t="s">
        <v>54</v>
      </c>
      <c r="C1140" s="15" t="s">
        <v>52</v>
      </c>
      <c r="D1140" s="15" t="s">
        <v>48</v>
      </c>
      <c r="E1140" s="30">
        <f>H1139</f>
        <v>128.80000000000004</v>
      </c>
      <c r="F1140" s="37">
        <f>IFERROR('Production Inputs'!$BV$37*Dependencies!$D$13,0)</f>
        <v>0</v>
      </c>
      <c r="G1140" s="37">
        <f t="array" ref="G1140">IFERROR(SUMPRODUCT(('Production Inputs'!$A:$A="APAD")*('Production Inputs'!$B:$B="TOTAL ACTIVE")*'Production Inputs'!$BV:$BV),0)</f>
        <v>0</v>
      </c>
      <c r="H1140" s="30">
        <f t="shared" si="119"/>
        <v>128.80000000000004</v>
      </c>
      <c r="I1140" s="30">
        <f ca="1">IFERROR(AVERAGEIF(OFFSET(F1140,0,0,MIN(Controls!$B$8,COUNTIF(B1140:B$1973,B1140)),1),"&gt;"&amp;0),0)</f>
        <v>0</v>
      </c>
      <c r="J1140" s="38">
        <f t="shared" ca="1" si="120"/>
        <v>999</v>
      </c>
      <c r="K1140" s="30">
        <f t="shared" ca="1" si="124"/>
        <v>0</v>
      </c>
      <c r="L1140" t="str">
        <f t="shared" ca="1" si="121"/>
        <v>Overstock</v>
      </c>
      <c r="M1140" s="39">
        <f>IFERROR(VLOOKUP("APAD",Controls!A:I,7,0),6)</f>
        <v>4</v>
      </c>
      <c r="N1140" s="39">
        <f>IFERROR(VLOOKUP("APAD",Controls!A:I,8,0),3)</f>
        <v>3</v>
      </c>
      <c r="O1140" s="39">
        <f>IFERROR(VLOOKUP("APAD",Controls!A:I,9,0),18)</f>
        <v>12</v>
      </c>
      <c r="P1140" s="40">
        <f>IFERROR(VLOOKUP("APAD",Controls!A:J,5,0),0)</f>
        <v>165</v>
      </c>
      <c r="Q1140" s="39">
        <f>IFERROR(VLOOKUP("APAD",Controls!A:J,6,0),3)</f>
        <v>4</v>
      </c>
      <c r="R1140" s="21" t="str">
        <f>IFERROR(VLOOKUP("APAD",Controls!A:K,10,0),"")</f>
        <v>ST Pharm</v>
      </c>
      <c r="S1140" s="41">
        <f t="shared" si="122"/>
        <v>47818</v>
      </c>
      <c r="T1140" s="30">
        <f t="shared" si="123"/>
        <v>0</v>
      </c>
      <c r="AB1140">
        <f t="shared" si="125"/>
        <v>411.04000000000008</v>
      </c>
    </row>
    <row r="1141" spans="1:28" ht="13" customHeight="1" x14ac:dyDescent="0.35">
      <c r="A1141" s="153">
        <v>47969</v>
      </c>
      <c r="B1141" s="36" t="s">
        <v>54</v>
      </c>
      <c r="C1141" s="15" t="s">
        <v>52</v>
      </c>
      <c r="D1141" s="15" t="s">
        <v>48</v>
      </c>
      <c r="E1141" s="30">
        <f>H1140</f>
        <v>128.80000000000004</v>
      </c>
      <c r="F1141" s="37">
        <f>IFERROR('Production Inputs'!$BW$37*Dependencies!$D$13,0)</f>
        <v>0</v>
      </c>
      <c r="G1141" s="37">
        <f t="array" ref="G1141">IFERROR(SUMPRODUCT(('Production Inputs'!$A:$A="APAD")*('Production Inputs'!$B:$B="TOTAL ACTIVE")*'Production Inputs'!$BW:$BW),0)</f>
        <v>0</v>
      </c>
      <c r="H1141" s="30">
        <f t="shared" si="119"/>
        <v>128.80000000000004</v>
      </c>
      <c r="I1141" s="30">
        <f ca="1">IFERROR(AVERAGEIF(OFFSET(F1141,0,0,MIN(Controls!$B$8,COUNTIF(B1141:B$1973,B1141)),1),"&gt;"&amp;0),0)</f>
        <v>0</v>
      </c>
      <c r="J1141" s="38">
        <f t="shared" ca="1" si="120"/>
        <v>999</v>
      </c>
      <c r="K1141" s="30">
        <f t="shared" ca="1" si="124"/>
        <v>0</v>
      </c>
      <c r="L1141" t="str">
        <f t="shared" ca="1" si="121"/>
        <v>Overstock</v>
      </c>
      <c r="M1141" s="39">
        <f>IFERROR(VLOOKUP("APAD",Controls!A:I,7,0),6)</f>
        <v>4</v>
      </c>
      <c r="N1141" s="39">
        <f>IFERROR(VLOOKUP("APAD",Controls!A:I,8,0),3)</f>
        <v>3</v>
      </c>
      <c r="O1141" s="39">
        <f>IFERROR(VLOOKUP("APAD",Controls!A:I,9,0),18)</f>
        <v>12</v>
      </c>
      <c r="P1141" s="40">
        <f>IFERROR(VLOOKUP("APAD",Controls!A:J,5,0),0)</f>
        <v>165</v>
      </c>
      <c r="Q1141" s="39">
        <f>IFERROR(VLOOKUP("APAD",Controls!A:J,6,0),3)</f>
        <v>4</v>
      </c>
      <c r="R1141" s="21" t="str">
        <f>IFERROR(VLOOKUP("APAD",Controls!A:K,10,0),"")</f>
        <v>ST Pharm</v>
      </c>
      <c r="S1141" s="41">
        <f t="shared" si="122"/>
        <v>47849</v>
      </c>
      <c r="T1141" s="30">
        <f t="shared" si="123"/>
        <v>0</v>
      </c>
      <c r="AB1141">
        <f t="shared" si="125"/>
        <v>411.04000000000008</v>
      </c>
    </row>
    <row r="1142" spans="1:28" ht="13" customHeight="1" x14ac:dyDescent="0.35">
      <c r="A1142" s="153">
        <v>48000</v>
      </c>
      <c r="B1142" s="36" t="s">
        <v>54</v>
      </c>
      <c r="C1142" s="15" t="s">
        <v>52</v>
      </c>
      <c r="D1142" s="15" t="s">
        <v>48</v>
      </c>
      <c r="E1142" s="30">
        <f>H1141</f>
        <v>128.80000000000004</v>
      </c>
      <c r="F1142" s="37">
        <f>IFERROR('Production Inputs'!$BX$37*Dependencies!$D$13,0)</f>
        <v>0</v>
      </c>
      <c r="G1142" s="37">
        <f t="array" ref="G1142">IFERROR(SUMPRODUCT(('Production Inputs'!$A:$A="APAD")*('Production Inputs'!$B:$B="TOTAL ACTIVE")*'Production Inputs'!$BX:$BX),0)</f>
        <v>0</v>
      </c>
      <c r="H1142" s="30">
        <f t="shared" si="119"/>
        <v>128.80000000000004</v>
      </c>
      <c r="I1142" s="30">
        <f ca="1">IFERROR(AVERAGEIF(OFFSET(F1142,0,0,MIN(Controls!$B$8,COUNTIF(B1142:B$1973,B1142)),1),"&gt;"&amp;0),0)</f>
        <v>0</v>
      </c>
      <c r="J1142" s="38">
        <f t="shared" ca="1" si="120"/>
        <v>999</v>
      </c>
      <c r="K1142" s="30">
        <f t="shared" ca="1" si="124"/>
        <v>0</v>
      </c>
      <c r="L1142" t="str">
        <f t="shared" ca="1" si="121"/>
        <v>Overstock</v>
      </c>
      <c r="M1142" s="39">
        <f>IFERROR(VLOOKUP("APAD",Controls!A:I,7,0),6)</f>
        <v>4</v>
      </c>
      <c r="N1142" s="39">
        <f>IFERROR(VLOOKUP("APAD",Controls!A:I,8,0),3)</f>
        <v>3</v>
      </c>
      <c r="O1142" s="39">
        <f>IFERROR(VLOOKUP("APAD",Controls!A:I,9,0),18)</f>
        <v>12</v>
      </c>
      <c r="P1142" s="40">
        <f>IFERROR(VLOOKUP("APAD",Controls!A:J,5,0),0)</f>
        <v>165</v>
      </c>
      <c r="Q1142" s="39">
        <f>IFERROR(VLOOKUP("APAD",Controls!A:J,6,0),3)</f>
        <v>4</v>
      </c>
      <c r="R1142" s="21" t="str">
        <f>IFERROR(VLOOKUP("APAD",Controls!A:K,10,0),"")</f>
        <v>ST Pharm</v>
      </c>
      <c r="S1142" s="41">
        <f t="shared" si="122"/>
        <v>47880</v>
      </c>
      <c r="T1142" s="30">
        <f t="shared" si="123"/>
        <v>0</v>
      </c>
      <c r="AB1142">
        <f t="shared" si="125"/>
        <v>411.04000000000008</v>
      </c>
    </row>
    <row r="1143" spans="1:28" ht="13" customHeight="1" x14ac:dyDescent="0.35">
      <c r="A1143" s="153">
        <v>48030</v>
      </c>
      <c r="B1143" s="36" t="s">
        <v>54</v>
      </c>
      <c r="C1143" s="15" t="s">
        <v>52</v>
      </c>
      <c r="D1143" s="15" t="s">
        <v>48</v>
      </c>
      <c r="E1143" s="30">
        <f>H1142</f>
        <v>128.80000000000004</v>
      </c>
      <c r="F1143" s="37">
        <f>IFERROR('Production Inputs'!$BY$37*Dependencies!$D$13,0)</f>
        <v>0</v>
      </c>
      <c r="G1143" s="37">
        <f t="array" ref="G1143">IFERROR(SUMPRODUCT(('Production Inputs'!$A:$A="APAD")*('Production Inputs'!$B:$B="TOTAL ACTIVE")*'Production Inputs'!$BY:$BY),0)</f>
        <v>0</v>
      </c>
      <c r="H1143" s="30">
        <f t="shared" si="119"/>
        <v>128.80000000000004</v>
      </c>
      <c r="I1143" s="30">
        <f ca="1">IFERROR(AVERAGEIF(OFFSET(F1143,0,0,MIN(Controls!$B$8,COUNTIF(B1143:B$1973,B1143)),1),"&gt;"&amp;0),0)</f>
        <v>0</v>
      </c>
      <c r="J1143" s="38">
        <f t="shared" ca="1" si="120"/>
        <v>999</v>
      </c>
      <c r="K1143" s="30">
        <f t="shared" ca="1" si="124"/>
        <v>0</v>
      </c>
      <c r="L1143" t="str">
        <f t="shared" ca="1" si="121"/>
        <v>Overstock</v>
      </c>
      <c r="M1143" s="39">
        <f>IFERROR(VLOOKUP("APAD",Controls!A:I,7,0),6)</f>
        <v>4</v>
      </c>
      <c r="N1143" s="39">
        <f>IFERROR(VLOOKUP("APAD",Controls!A:I,8,0),3)</f>
        <v>3</v>
      </c>
      <c r="O1143" s="39">
        <f>IFERROR(VLOOKUP("APAD",Controls!A:I,9,0),18)</f>
        <v>12</v>
      </c>
      <c r="P1143" s="40">
        <f>IFERROR(VLOOKUP("APAD",Controls!A:J,5,0),0)</f>
        <v>165</v>
      </c>
      <c r="Q1143" s="39">
        <f>IFERROR(VLOOKUP("APAD",Controls!A:J,6,0),3)</f>
        <v>4</v>
      </c>
      <c r="R1143" s="21" t="str">
        <f>IFERROR(VLOOKUP("APAD",Controls!A:K,10,0),"")</f>
        <v>ST Pharm</v>
      </c>
      <c r="S1143" s="41">
        <f t="shared" si="122"/>
        <v>47908</v>
      </c>
      <c r="T1143" s="30">
        <f t="shared" si="123"/>
        <v>0</v>
      </c>
      <c r="AB1143">
        <f t="shared" si="125"/>
        <v>411.04000000000008</v>
      </c>
    </row>
    <row r="1144" spans="1:28" ht="13" customHeight="1" x14ac:dyDescent="0.35">
      <c r="A1144" s="153">
        <v>48061</v>
      </c>
      <c r="B1144" s="36" t="s">
        <v>54</v>
      </c>
      <c r="C1144" s="15" t="s">
        <v>52</v>
      </c>
      <c r="D1144" s="15" t="s">
        <v>48</v>
      </c>
      <c r="E1144" s="30">
        <f>H1143</f>
        <v>128.80000000000004</v>
      </c>
      <c r="F1144" s="37">
        <f>IFERROR('Production Inputs'!$BZ$37*Dependencies!$D$13,0)</f>
        <v>0</v>
      </c>
      <c r="G1144" s="37">
        <f t="array" ref="G1144">IFERROR(SUMPRODUCT(('Production Inputs'!$A:$A="APAD")*('Production Inputs'!$B:$B="TOTAL ACTIVE")*'Production Inputs'!$BZ:$BZ),0)</f>
        <v>0</v>
      </c>
      <c r="H1144" s="30">
        <f t="shared" si="119"/>
        <v>128.80000000000004</v>
      </c>
      <c r="I1144" s="30">
        <f ca="1">IFERROR(AVERAGEIF(OFFSET(F1144,0,0,MIN(Controls!$B$8,COUNTIF(B1144:B$1973,B1144)),1),"&gt;"&amp;0),0)</f>
        <v>0</v>
      </c>
      <c r="J1144" s="38">
        <f t="shared" ca="1" si="120"/>
        <v>999</v>
      </c>
      <c r="K1144" s="30">
        <f t="shared" ca="1" si="124"/>
        <v>0</v>
      </c>
      <c r="L1144" t="str">
        <f t="shared" ca="1" si="121"/>
        <v>Overstock</v>
      </c>
      <c r="M1144" s="39">
        <f>IFERROR(VLOOKUP("APAD",Controls!A:I,7,0),6)</f>
        <v>4</v>
      </c>
      <c r="N1144" s="39">
        <f>IFERROR(VLOOKUP("APAD",Controls!A:I,8,0),3)</f>
        <v>3</v>
      </c>
      <c r="O1144" s="39">
        <f>IFERROR(VLOOKUP("APAD",Controls!A:I,9,0),18)</f>
        <v>12</v>
      </c>
      <c r="P1144" s="40">
        <f>IFERROR(VLOOKUP("APAD",Controls!A:J,5,0),0)</f>
        <v>165</v>
      </c>
      <c r="Q1144" s="39">
        <f>IFERROR(VLOOKUP("APAD",Controls!A:J,6,0),3)</f>
        <v>4</v>
      </c>
      <c r="R1144" s="21" t="str">
        <f>IFERROR(VLOOKUP("APAD",Controls!A:K,10,0),"")</f>
        <v>ST Pharm</v>
      </c>
      <c r="S1144" s="41">
        <f t="shared" si="122"/>
        <v>47939</v>
      </c>
      <c r="T1144" s="30">
        <f t="shared" si="123"/>
        <v>0</v>
      </c>
      <c r="AB1144">
        <f t="shared" si="125"/>
        <v>411.04000000000008</v>
      </c>
    </row>
    <row r="1145" spans="1:28" ht="13" customHeight="1" x14ac:dyDescent="0.35">
      <c r="A1145" s="153">
        <v>48092</v>
      </c>
      <c r="B1145" s="36" t="s">
        <v>54</v>
      </c>
      <c r="C1145" s="15" t="s">
        <v>52</v>
      </c>
      <c r="D1145" s="15" t="s">
        <v>48</v>
      </c>
      <c r="E1145" s="30">
        <f>H1144</f>
        <v>128.80000000000004</v>
      </c>
      <c r="F1145" s="37">
        <f>IFERROR('Production Inputs'!$CA$37*Dependencies!$D$13,0)</f>
        <v>0</v>
      </c>
      <c r="G1145" s="37">
        <f t="array" ref="G1145">IFERROR(SUMPRODUCT(('Production Inputs'!$A:$A="APAD")*('Production Inputs'!$B:$B="TOTAL ACTIVE")*'Production Inputs'!$CA:$CA),0)</f>
        <v>0</v>
      </c>
      <c r="H1145" s="30">
        <f t="shared" si="119"/>
        <v>128.80000000000004</v>
      </c>
      <c r="I1145" s="30">
        <f ca="1">IFERROR(AVERAGEIF(OFFSET(F1145,0,0,MIN(Controls!$B$8,COUNTIF(B1145:B$1973,B1145)),1),"&gt;"&amp;0),0)</f>
        <v>0</v>
      </c>
      <c r="J1145" s="38">
        <f t="shared" ca="1" si="120"/>
        <v>999</v>
      </c>
      <c r="K1145" s="30">
        <f t="shared" ca="1" si="124"/>
        <v>0</v>
      </c>
      <c r="L1145" t="str">
        <f t="shared" ca="1" si="121"/>
        <v>Overstock</v>
      </c>
      <c r="M1145" s="39">
        <f>IFERROR(VLOOKUP("APAD",Controls!A:I,7,0),6)</f>
        <v>4</v>
      </c>
      <c r="N1145" s="39">
        <f>IFERROR(VLOOKUP("APAD",Controls!A:I,8,0),3)</f>
        <v>3</v>
      </c>
      <c r="O1145" s="39">
        <f>IFERROR(VLOOKUP("APAD",Controls!A:I,9,0),18)</f>
        <v>12</v>
      </c>
      <c r="P1145" s="40">
        <f>IFERROR(VLOOKUP("APAD",Controls!A:J,5,0),0)</f>
        <v>165</v>
      </c>
      <c r="Q1145" s="39">
        <f>IFERROR(VLOOKUP("APAD",Controls!A:J,6,0),3)</f>
        <v>4</v>
      </c>
      <c r="R1145" s="21" t="str">
        <f>IFERROR(VLOOKUP("APAD",Controls!A:K,10,0),"")</f>
        <v>ST Pharm</v>
      </c>
      <c r="S1145" s="41">
        <f t="shared" si="122"/>
        <v>47969</v>
      </c>
      <c r="T1145" s="30">
        <f t="shared" si="123"/>
        <v>0</v>
      </c>
      <c r="AB1145">
        <f t="shared" si="125"/>
        <v>411.04000000000008</v>
      </c>
    </row>
    <row r="1146" spans="1:28" ht="13" customHeight="1" x14ac:dyDescent="0.35">
      <c r="A1146" s="153">
        <v>48122</v>
      </c>
      <c r="B1146" s="36" t="s">
        <v>54</v>
      </c>
      <c r="C1146" s="15" t="s">
        <v>52</v>
      </c>
      <c r="D1146" s="15" t="s">
        <v>48</v>
      </c>
      <c r="E1146" s="30">
        <f>H1145</f>
        <v>128.80000000000004</v>
      </c>
      <c r="F1146" s="37">
        <f>IFERROR('Production Inputs'!$CB$37*Dependencies!$D$13,0)</f>
        <v>0</v>
      </c>
      <c r="G1146" s="37">
        <f t="array" ref="G1146">IFERROR(SUMPRODUCT(('Production Inputs'!$A:$A="APAD")*('Production Inputs'!$B:$B="TOTAL ACTIVE")*'Production Inputs'!$CB:$CB),0)</f>
        <v>0</v>
      </c>
      <c r="H1146" s="30">
        <f t="shared" si="119"/>
        <v>128.80000000000004</v>
      </c>
      <c r="I1146" s="30">
        <f ca="1">IFERROR(AVERAGEIF(OFFSET(F1146,0,0,MIN(Controls!$B$8,COUNTIF(B1146:B$1973,B1146)),1),"&gt;"&amp;0),0)</f>
        <v>0</v>
      </c>
      <c r="J1146" s="38">
        <f t="shared" ca="1" si="120"/>
        <v>999</v>
      </c>
      <c r="K1146" s="30">
        <f t="shared" ca="1" si="124"/>
        <v>0</v>
      </c>
      <c r="L1146" t="str">
        <f t="shared" ca="1" si="121"/>
        <v>Overstock</v>
      </c>
      <c r="M1146" s="39">
        <f>IFERROR(VLOOKUP("APAD",Controls!A:I,7,0),6)</f>
        <v>4</v>
      </c>
      <c r="N1146" s="39">
        <f>IFERROR(VLOOKUP("APAD",Controls!A:I,8,0),3)</f>
        <v>3</v>
      </c>
      <c r="O1146" s="39">
        <f>IFERROR(VLOOKUP("APAD",Controls!A:I,9,0),18)</f>
        <v>12</v>
      </c>
      <c r="P1146" s="40">
        <f>IFERROR(VLOOKUP("APAD",Controls!A:J,5,0),0)</f>
        <v>165</v>
      </c>
      <c r="Q1146" s="39">
        <f>IFERROR(VLOOKUP("APAD",Controls!A:J,6,0),3)</f>
        <v>4</v>
      </c>
      <c r="R1146" s="21" t="str">
        <f>IFERROR(VLOOKUP("APAD",Controls!A:K,10,0),"")</f>
        <v>ST Pharm</v>
      </c>
      <c r="S1146" s="41">
        <f t="shared" si="122"/>
        <v>48000</v>
      </c>
      <c r="T1146" s="30">
        <f t="shared" si="123"/>
        <v>0</v>
      </c>
      <c r="AB1146">
        <f t="shared" si="125"/>
        <v>411.04000000000008</v>
      </c>
    </row>
    <row r="1147" spans="1:28" ht="13" customHeight="1" x14ac:dyDescent="0.35">
      <c r="A1147" s="153">
        <v>48153</v>
      </c>
      <c r="B1147" s="36" t="s">
        <v>54</v>
      </c>
      <c r="C1147" s="15" t="s">
        <v>52</v>
      </c>
      <c r="D1147" s="15" t="s">
        <v>48</v>
      </c>
      <c r="E1147" s="30">
        <f>H1146</f>
        <v>128.80000000000004</v>
      </c>
      <c r="F1147" s="37">
        <f>IFERROR('Production Inputs'!$CC$37*Dependencies!$D$13,0)</f>
        <v>0</v>
      </c>
      <c r="G1147" s="37">
        <f t="array" ref="G1147">IFERROR(SUMPRODUCT(('Production Inputs'!$A:$A="APAD")*('Production Inputs'!$B:$B="TOTAL ACTIVE")*'Production Inputs'!$CC:$CC),0)</f>
        <v>0</v>
      </c>
      <c r="H1147" s="30">
        <f t="shared" si="119"/>
        <v>128.80000000000004</v>
      </c>
      <c r="I1147" s="30">
        <f ca="1">IFERROR(AVERAGEIF(OFFSET(F1147,0,0,MIN(Controls!$B$8,COUNTIF(B1147:B$1973,B1147)),1),"&gt;"&amp;0),0)</f>
        <v>0</v>
      </c>
      <c r="J1147" s="38">
        <f t="shared" ca="1" si="120"/>
        <v>999</v>
      </c>
      <c r="K1147" s="30">
        <f t="shared" ca="1" si="124"/>
        <v>0</v>
      </c>
      <c r="L1147" t="str">
        <f t="shared" ca="1" si="121"/>
        <v>Overstock</v>
      </c>
      <c r="M1147" s="39">
        <f>IFERROR(VLOOKUP("APAD",Controls!A:I,7,0),6)</f>
        <v>4</v>
      </c>
      <c r="N1147" s="39">
        <f>IFERROR(VLOOKUP("APAD",Controls!A:I,8,0),3)</f>
        <v>3</v>
      </c>
      <c r="O1147" s="39">
        <f>IFERROR(VLOOKUP("APAD",Controls!A:I,9,0),18)</f>
        <v>12</v>
      </c>
      <c r="P1147" s="40">
        <f>IFERROR(VLOOKUP("APAD",Controls!A:J,5,0),0)</f>
        <v>165</v>
      </c>
      <c r="Q1147" s="39">
        <f>IFERROR(VLOOKUP("APAD",Controls!A:J,6,0),3)</f>
        <v>4</v>
      </c>
      <c r="R1147" s="21" t="str">
        <f>IFERROR(VLOOKUP("APAD",Controls!A:K,10,0),"")</f>
        <v>ST Pharm</v>
      </c>
      <c r="S1147" s="41">
        <f t="shared" si="122"/>
        <v>48030</v>
      </c>
      <c r="T1147" s="30">
        <f t="shared" si="123"/>
        <v>0</v>
      </c>
      <c r="AB1147">
        <f t="shared" si="125"/>
        <v>411.04000000000008</v>
      </c>
    </row>
    <row r="1148" spans="1:28" ht="13" customHeight="1" x14ac:dyDescent="0.35">
      <c r="A1148" s="153">
        <v>48183</v>
      </c>
      <c r="B1148" s="36" t="s">
        <v>54</v>
      </c>
      <c r="C1148" s="15" t="s">
        <v>52</v>
      </c>
      <c r="D1148" s="15" t="s">
        <v>48</v>
      </c>
      <c r="E1148" s="30">
        <f>H1147</f>
        <v>128.80000000000004</v>
      </c>
      <c r="F1148" s="37">
        <f>IFERROR('Production Inputs'!$CD$37*Dependencies!$D$13,0)</f>
        <v>0</v>
      </c>
      <c r="G1148" s="37">
        <f t="array" ref="G1148">IFERROR(SUMPRODUCT(('Production Inputs'!$A:$A="APAD")*('Production Inputs'!$B:$B="TOTAL ACTIVE")*'Production Inputs'!$CD:$CD),0)</f>
        <v>0</v>
      </c>
      <c r="H1148" s="30">
        <f t="shared" si="119"/>
        <v>128.80000000000004</v>
      </c>
      <c r="I1148" s="30">
        <f ca="1">IFERROR(AVERAGEIF(OFFSET(F1148,0,0,MIN(Controls!$B$8,COUNTIF(B1148:B$1973,B1148)),1),"&gt;"&amp;0),0)</f>
        <v>0</v>
      </c>
      <c r="J1148" s="38">
        <f t="shared" ca="1" si="120"/>
        <v>999</v>
      </c>
      <c r="K1148" s="30">
        <f t="shared" ca="1" si="124"/>
        <v>0</v>
      </c>
      <c r="L1148" t="str">
        <f t="shared" ca="1" si="121"/>
        <v>Overstock</v>
      </c>
      <c r="M1148" s="39">
        <f>IFERROR(VLOOKUP("APAD",Controls!A:I,7,0),6)</f>
        <v>4</v>
      </c>
      <c r="N1148" s="39">
        <f>IFERROR(VLOOKUP("APAD",Controls!A:I,8,0),3)</f>
        <v>3</v>
      </c>
      <c r="O1148" s="39">
        <f>IFERROR(VLOOKUP("APAD",Controls!A:I,9,0),18)</f>
        <v>12</v>
      </c>
      <c r="P1148" s="40">
        <f>IFERROR(VLOOKUP("APAD",Controls!A:J,5,0),0)</f>
        <v>165</v>
      </c>
      <c r="Q1148" s="39">
        <f>IFERROR(VLOOKUP("APAD",Controls!A:J,6,0),3)</f>
        <v>4</v>
      </c>
      <c r="R1148" s="21" t="str">
        <f>IFERROR(VLOOKUP("APAD",Controls!A:K,10,0),"")</f>
        <v>ST Pharm</v>
      </c>
      <c r="S1148" s="41">
        <f t="shared" si="122"/>
        <v>48061</v>
      </c>
      <c r="T1148" s="30">
        <f t="shared" si="123"/>
        <v>0</v>
      </c>
      <c r="AB1148">
        <f t="shared" si="125"/>
        <v>411.04000000000008</v>
      </c>
    </row>
    <row r="1149" spans="1:28" ht="13" customHeight="1" x14ac:dyDescent="0.35">
      <c r="A1149" s="153">
        <v>48214</v>
      </c>
      <c r="B1149" s="36" t="s">
        <v>54</v>
      </c>
      <c r="C1149" s="15" t="s">
        <v>52</v>
      </c>
      <c r="D1149" s="15" t="s">
        <v>48</v>
      </c>
      <c r="E1149" s="30">
        <f>H1148</f>
        <v>128.80000000000004</v>
      </c>
      <c r="F1149" s="37">
        <f>IFERROR('Production Inputs'!$CE$37*Dependencies!$D$13,0)</f>
        <v>0</v>
      </c>
      <c r="G1149" s="37">
        <f t="array" ref="G1149">IFERROR(SUMPRODUCT(('Production Inputs'!$A:$A="APAD")*('Production Inputs'!$B:$B="TOTAL ACTIVE")*'Production Inputs'!$CE:$CE),0)</f>
        <v>0</v>
      </c>
      <c r="H1149" s="30">
        <f t="shared" si="119"/>
        <v>128.80000000000004</v>
      </c>
      <c r="I1149" s="30">
        <f ca="1">IFERROR(AVERAGEIF(OFFSET(F1149,0,0,MIN(Controls!$B$8,COUNTIF(B1149:B$1973,B1149)),1),"&gt;"&amp;0),0)</f>
        <v>0</v>
      </c>
      <c r="J1149" s="38">
        <f t="shared" ca="1" si="120"/>
        <v>999</v>
      </c>
      <c r="K1149" s="30">
        <f t="shared" ca="1" si="124"/>
        <v>0</v>
      </c>
      <c r="L1149" t="str">
        <f t="shared" ca="1" si="121"/>
        <v>Overstock</v>
      </c>
      <c r="M1149" s="39">
        <f>IFERROR(VLOOKUP("APAD",Controls!A:I,7,0),6)</f>
        <v>4</v>
      </c>
      <c r="N1149" s="39">
        <f>IFERROR(VLOOKUP("APAD",Controls!A:I,8,0),3)</f>
        <v>3</v>
      </c>
      <c r="O1149" s="39">
        <f>IFERROR(VLOOKUP("APAD",Controls!A:I,9,0),18)</f>
        <v>12</v>
      </c>
      <c r="P1149" s="40">
        <f>IFERROR(VLOOKUP("APAD",Controls!A:J,5,0),0)</f>
        <v>165</v>
      </c>
      <c r="Q1149" s="39">
        <f>IFERROR(VLOOKUP("APAD",Controls!A:J,6,0),3)</f>
        <v>4</v>
      </c>
      <c r="R1149" s="21" t="str">
        <f>IFERROR(VLOOKUP("APAD",Controls!A:K,10,0),"")</f>
        <v>ST Pharm</v>
      </c>
      <c r="S1149" s="41">
        <f t="shared" si="122"/>
        <v>48092</v>
      </c>
      <c r="T1149" s="30">
        <f t="shared" si="123"/>
        <v>0</v>
      </c>
      <c r="AB1149">
        <f t="shared" si="125"/>
        <v>411.04000000000008</v>
      </c>
    </row>
    <row r="1150" spans="1:28" ht="13" customHeight="1" x14ac:dyDescent="0.35">
      <c r="A1150" s="153">
        <v>48245</v>
      </c>
      <c r="B1150" s="36" t="s">
        <v>54</v>
      </c>
      <c r="C1150" s="15" t="s">
        <v>52</v>
      </c>
      <c r="D1150" s="15" t="s">
        <v>48</v>
      </c>
      <c r="E1150" s="30">
        <f>H1149</f>
        <v>128.80000000000004</v>
      </c>
      <c r="F1150" s="37">
        <f>IFERROR('Production Inputs'!$CF$37*Dependencies!$D$13,0)</f>
        <v>0</v>
      </c>
      <c r="G1150" s="37">
        <f t="array" ref="G1150">IFERROR(SUMPRODUCT(('Production Inputs'!$A:$A="APAD")*('Production Inputs'!$B:$B="TOTAL ACTIVE")*'Production Inputs'!$CF:$CF),0)</f>
        <v>0</v>
      </c>
      <c r="H1150" s="30">
        <f t="shared" si="119"/>
        <v>128.80000000000004</v>
      </c>
      <c r="I1150" s="30">
        <f ca="1">IFERROR(AVERAGEIF(OFFSET(F1150,0,0,MIN(Controls!$B$8,COUNTIF(B1150:B$1973,B1150)),1),"&gt;"&amp;0),0)</f>
        <v>0</v>
      </c>
      <c r="J1150" s="38">
        <f t="shared" ca="1" si="120"/>
        <v>999</v>
      </c>
      <c r="K1150" s="30">
        <f t="shared" ca="1" si="124"/>
        <v>0</v>
      </c>
      <c r="L1150" t="str">
        <f t="shared" ca="1" si="121"/>
        <v>Overstock</v>
      </c>
      <c r="M1150" s="39">
        <f>IFERROR(VLOOKUP("APAD",Controls!A:I,7,0),6)</f>
        <v>4</v>
      </c>
      <c r="N1150" s="39">
        <f>IFERROR(VLOOKUP("APAD",Controls!A:I,8,0),3)</f>
        <v>3</v>
      </c>
      <c r="O1150" s="39">
        <f>IFERROR(VLOOKUP("APAD",Controls!A:I,9,0),18)</f>
        <v>12</v>
      </c>
      <c r="P1150" s="40">
        <f>IFERROR(VLOOKUP("APAD",Controls!A:J,5,0),0)</f>
        <v>165</v>
      </c>
      <c r="Q1150" s="39">
        <f>IFERROR(VLOOKUP("APAD",Controls!A:J,6,0),3)</f>
        <v>4</v>
      </c>
      <c r="R1150" s="21" t="str">
        <f>IFERROR(VLOOKUP("APAD",Controls!A:K,10,0),"")</f>
        <v>ST Pharm</v>
      </c>
      <c r="S1150" s="41">
        <f t="shared" si="122"/>
        <v>48122</v>
      </c>
      <c r="T1150" s="30">
        <f t="shared" si="123"/>
        <v>0</v>
      </c>
      <c r="AB1150">
        <f t="shared" si="125"/>
        <v>411.04000000000008</v>
      </c>
    </row>
    <row r="1151" spans="1:28" ht="13" customHeight="1" x14ac:dyDescent="0.35">
      <c r="A1151" s="153">
        <v>48274</v>
      </c>
      <c r="B1151" s="36" t="s">
        <v>54</v>
      </c>
      <c r="C1151" s="15" t="s">
        <v>52</v>
      </c>
      <c r="D1151" s="15" t="s">
        <v>48</v>
      </c>
      <c r="E1151" s="30">
        <f>H1150</f>
        <v>128.80000000000004</v>
      </c>
      <c r="F1151" s="37">
        <f>IFERROR('Production Inputs'!$CG$37*Dependencies!$D$13,0)</f>
        <v>0</v>
      </c>
      <c r="G1151" s="37">
        <f t="array" ref="G1151">IFERROR(SUMPRODUCT(('Production Inputs'!$A:$A="APAD")*('Production Inputs'!$B:$B="TOTAL ACTIVE")*'Production Inputs'!$CG:$CG),0)</f>
        <v>0</v>
      </c>
      <c r="H1151" s="30">
        <f t="shared" si="119"/>
        <v>128.80000000000004</v>
      </c>
      <c r="I1151" s="30">
        <f ca="1">IFERROR(AVERAGEIF(OFFSET(F1151,0,0,MIN(Controls!$B$8,COUNTIF(B1151:B$1973,B1151)),1),"&gt;"&amp;0),0)</f>
        <v>0</v>
      </c>
      <c r="J1151" s="38">
        <f t="shared" ca="1" si="120"/>
        <v>999</v>
      </c>
      <c r="K1151" s="30">
        <f t="shared" ca="1" si="124"/>
        <v>0</v>
      </c>
      <c r="L1151" t="str">
        <f t="shared" ca="1" si="121"/>
        <v>Overstock</v>
      </c>
      <c r="M1151" s="39">
        <f>IFERROR(VLOOKUP("APAD",Controls!A:I,7,0),6)</f>
        <v>4</v>
      </c>
      <c r="N1151" s="39">
        <f>IFERROR(VLOOKUP("APAD",Controls!A:I,8,0),3)</f>
        <v>3</v>
      </c>
      <c r="O1151" s="39">
        <f>IFERROR(VLOOKUP("APAD",Controls!A:I,9,0),18)</f>
        <v>12</v>
      </c>
      <c r="P1151" s="40">
        <f>IFERROR(VLOOKUP("APAD",Controls!A:J,5,0),0)</f>
        <v>165</v>
      </c>
      <c r="Q1151" s="39">
        <f>IFERROR(VLOOKUP("APAD",Controls!A:J,6,0),3)</f>
        <v>4</v>
      </c>
      <c r="R1151" s="21" t="str">
        <f>IFERROR(VLOOKUP("APAD",Controls!A:K,10,0),"")</f>
        <v>ST Pharm</v>
      </c>
      <c r="S1151" s="41">
        <f t="shared" si="122"/>
        <v>48153</v>
      </c>
      <c r="T1151" s="30">
        <f t="shared" si="123"/>
        <v>0</v>
      </c>
      <c r="AB1151">
        <f t="shared" si="125"/>
        <v>411.04000000000008</v>
      </c>
    </row>
    <row r="1152" spans="1:28" ht="13" customHeight="1" x14ac:dyDescent="0.35">
      <c r="A1152" s="153">
        <v>48305</v>
      </c>
      <c r="B1152" s="36" t="s">
        <v>54</v>
      </c>
      <c r="C1152" s="15" t="s">
        <v>52</v>
      </c>
      <c r="D1152" s="15" t="s">
        <v>48</v>
      </c>
      <c r="E1152" s="30">
        <f>H1151</f>
        <v>128.80000000000004</v>
      </c>
      <c r="F1152" s="37">
        <f>IFERROR('Production Inputs'!$CH$37*Dependencies!$D$13,0)</f>
        <v>0</v>
      </c>
      <c r="G1152" s="37">
        <f t="array" ref="G1152">IFERROR(SUMPRODUCT(('Production Inputs'!$A:$A="APAD")*('Production Inputs'!$B:$B="TOTAL ACTIVE")*'Production Inputs'!$CH:$CH),0)</f>
        <v>0</v>
      </c>
      <c r="H1152" s="30">
        <f t="shared" si="119"/>
        <v>128.80000000000004</v>
      </c>
      <c r="I1152" s="30">
        <f ca="1">IFERROR(AVERAGEIF(OFFSET(F1152,0,0,MIN(Controls!$B$8,COUNTIF(B1152:B$1973,B1152)),1),"&gt;"&amp;0),0)</f>
        <v>0</v>
      </c>
      <c r="J1152" s="38">
        <f t="shared" ca="1" si="120"/>
        <v>999</v>
      </c>
      <c r="K1152" s="30">
        <f t="shared" ca="1" si="124"/>
        <v>0</v>
      </c>
      <c r="L1152" t="str">
        <f t="shared" ca="1" si="121"/>
        <v>Overstock</v>
      </c>
      <c r="M1152" s="39">
        <f>IFERROR(VLOOKUP("APAD",Controls!A:I,7,0),6)</f>
        <v>4</v>
      </c>
      <c r="N1152" s="39">
        <f>IFERROR(VLOOKUP("APAD",Controls!A:I,8,0),3)</f>
        <v>3</v>
      </c>
      <c r="O1152" s="39">
        <f>IFERROR(VLOOKUP("APAD",Controls!A:I,9,0),18)</f>
        <v>12</v>
      </c>
      <c r="P1152" s="40">
        <f>IFERROR(VLOOKUP("APAD",Controls!A:J,5,0),0)</f>
        <v>165</v>
      </c>
      <c r="Q1152" s="39">
        <f>IFERROR(VLOOKUP("APAD",Controls!A:J,6,0),3)</f>
        <v>4</v>
      </c>
      <c r="R1152" s="21" t="str">
        <f>IFERROR(VLOOKUP("APAD",Controls!A:K,10,0),"")</f>
        <v>ST Pharm</v>
      </c>
      <c r="S1152" s="41">
        <f t="shared" si="122"/>
        <v>48183</v>
      </c>
      <c r="T1152" s="30">
        <f t="shared" si="123"/>
        <v>0</v>
      </c>
      <c r="AB1152">
        <f t="shared" si="125"/>
        <v>411.04000000000008</v>
      </c>
    </row>
    <row r="1153" spans="1:28" ht="13" customHeight="1" x14ac:dyDescent="0.35">
      <c r="A1153" s="153">
        <v>48335</v>
      </c>
      <c r="B1153" s="36" t="s">
        <v>54</v>
      </c>
      <c r="C1153" s="15" t="s">
        <v>52</v>
      </c>
      <c r="D1153" s="15" t="s">
        <v>48</v>
      </c>
      <c r="E1153" s="30">
        <f>H1152</f>
        <v>128.80000000000004</v>
      </c>
      <c r="F1153" s="37">
        <f>IFERROR('Production Inputs'!$CI$37*Dependencies!$D$13,0)</f>
        <v>0</v>
      </c>
      <c r="G1153" s="37">
        <f t="array" ref="G1153">IFERROR(SUMPRODUCT(('Production Inputs'!$A:$A="APAD")*('Production Inputs'!$B:$B="TOTAL ACTIVE")*'Production Inputs'!$CI:$CI),0)</f>
        <v>0</v>
      </c>
      <c r="H1153" s="30">
        <f t="shared" si="119"/>
        <v>128.80000000000004</v>
      </c>
      <c r="I1153" s="30">
        <f ca="1">IFERROR(AVERAGEIF(OFFSET(F1153,0,0,MIN(Controls!$B$8,COUNTIF(B1153:B$1973,B1153)),1),"&gt;"&amp;0),0)</f>
        <v>0</v>
      </c>
      <c r="J1153" s="38">
        <f t="shared" ca="1" si="120"/>
        <v>999</v>
      </c>
      <c r="K1153" s="30">
        <f t="shared" ca="1" si="124"/>
        <v>0</v>
      </c>
      <c r="L1153" t="str">
        <f t="shared" ca="1" si="121"/>
        <v>Overstock</v>
      </c>
      <c r="M1153" s="39">
        <f>IFERROR(VLOOKUP("APAD",Controls!A:I,7,0),6)</f>
        <v>4</v>
      </c>
      <c r="N1153" s="39">
        <f>IFERROR(VLOOKUP("APAD",Controls!A:I,8,0),3)</f>
        <v>3</v>
      </c>
      <c r="O1153" s="39">
        <f>IFERROR(VLOOKUP("APAD",Controls!A:I,9,0),18)</f>
        <v>12</v>
      </c>
      <c r="P1153" s="40">
        <f>IFERROR(VLOOKUP("APAD",Controls!A:J,5,0),0)</f>
        <v>165</v>
      </c>
      <c r="Q1153" s="39">
        <f>IFERROR(VLOOKUP("APAD",Controls!A:J,6,0),3)</f>
        <v>4</v>
      </c>
      <c r="R1153" s="21" t="str">
        <f>IFERROR(VLOOKUP("APAD",Controls!A:K,10,0),"")</f>
        <v>ST Pharm</v>
      </c>
      <c r="S1153" s="41">
        <f t="shared" si="122"/>
        <v>48214</v>
      </c>
      <c r="T1153" s="30">
        <f t="shared" si="123"/>
        <v>0</v>
      </c>
      <c r="AB1153">
        <f t="shared" si="125"/>
        <v>411.04000000000008</v>
      </c>
    </row>
    <row r="1154" spans="1:28" ht="13" customHeight="1" x14ac:dyDescent="0.35">
      <c r="A1154" s="153">
        <v>48366</v>
      </c>
      <c r="B1154" s="36" t="s">
        <v>54</v>
      </c>
      <c r="C1154" s="15" t="s">
        <v>52</v>
      </c>
      <c r="D1154" s="15" t="s">
        <v>48</v>
      </c>
      <c r="E1154" s="30">
        <f>H1153</f>
        <v>128.80000000000004</v>
      </c>
      <c r="F1154" s="37">
        <f>IFERROR('Production Inputs'!$CJ$37*Dependencies!$D$13,0)</f>
        <v>0</v>
      </c>
      <c r="G1154" s="37">
        <f t="array" ref="G1154">IFERROR(SUMPRODUCT(('Production Inputs'!$A:$A="APAD")*('Production Inputs'!$B:$B="TOTAL ACTIVE")*'Production Inputs'!$CJ:$CJ),0)</f>
        <v>0</v>
      </c>
      <c r="H1154" s="30">
        <f t="shared" si="119"/>
        <v>128.80000000000004</v>
      </c>
      <c r="I1154" s="30">
        <f ca="1">IFERROR(AVERAGEIF(OFFSET(F1154,0,0,MIN(Controls!$B$8,COUNTIF(B1154:B$1973,B1154)),1),"&gt;"&amp;0),0)</f>
        <v>0</v>
      </c>
      <c r="J1154" s="38">
        <f t="shared" ca="1" si="120"/>
        <v>999</v>
      </c>
      <c r="K1154" s="30">
        <f t="shared" ca="1" si="124"/>
        <v>0</v>
      </c>
      <c r="L1154" t="str">
        <f t="shared" ca="1" si="121"/>
        <v>Overstock</v>
      </c>
      <c r="M1154" s="39">
        <f>IFERROR(VLOOKUP("APAD",Controls!A:I,7,0),6)</f>
        <v>4</v>
      </c>
      <c r="N1154" s="39">
        <f>IFERROR(VLOOKUP("APAD",Controls!A:I,8,0),3)</f>
        <v>3</v>
      </c>
      <c r="O1154" s="39">
        <f>IFERROR(VLOOKUP("APAD",Controls!A:I,9,0),18)</f>
        <v>12</v>
      </c>
      <c r="P1154" s="40">
        <f>IFERROR(VLOOKUP("APAD",Controls!A:J,5,0),0)</f>
        <v>165</v>
      </c>
      <c r="Q1154" s="39">
        <f>IFERROR(VLOOKUP("APAD",Controls!A:J,6,0),3)</f>
        <v>4</v>
      </c>
      <c r="R1154" s="21" t="str">
        <f>IFERROR(VLOOKUP("APAD",Controls!A:K,10,0),"")</f>
        <v>ST Pharm</v>
      </c>
      <c r="S1154" s="41">
        <f t="shared" si="122"/>
        <v>48245</v>
      </c>
      <c r="T1154" s="30">
        <f t="shared" si="123"/>
        <v>0</v>
      </c>
      <c r="AB1154">
        <f t="shared" si="125"/>
        <v>411.04000000000008</v>
      </c>
    </row>
    <row r="1155" spans="1:28" ht="13" customHeight="1" x14ac:dyDescent="0.35">
      <c r="A1155" s="153">
        <v>48396</v>
      </c>
      <c r="B1155" s="36" t="s">
        <v>54</v>
      </c>
      <c r="C1155" s="15" t="s">
        <v>52</v>
      </c>
      <c r="D1155" s="15" t="s">
        <v>48</v>
      </c>
      <c r="E1155" s="30">
        <f>H1154</f>
        <v>128.80000000000004</v>
      </c>
      <c r="F1155" s="37">
        <f>IFERROR('Production Inputs'!$CK$37*Dependencies!$D$13,0)</f>
        <v>0</v>
      </c>
      <c r="G1155" s="37">
        <f t="array" ref="G1155">IFERROR(SUMPRODUCT(('Production Inputs'!$A:$A="APAD")*('Production Inputs'!$B:$B="TOTAL ACTIVE")*'Production Inputs'!$CK:$CK),0)</f>
        <v>0</v>
      </c>
      <c r="H1155" s="30">
        <f t="shared" si="119"/>
        <v>128.80000000000004</v>
      </c>
      <c r="I1155" s="30">
        <f ca="1">IFERROR(AVERAGEIF(OFFSET(F1155,0,0,MIN(Controls!$B$8,COUNTIF(B1155:B$1973,B1155)),1),"&gt;"&amp;0),0)</f>
        <v>0</v>
      </c>
      <c r="J1155" s="38">
        <f t="shared" ca="1" si="120"/>
        <v>999</v>
      </c>
      <c r="K1155" s="30">
        <f t="shared" ca="1" si="124"/>
        <v>0</v>
      </c>
      <c r="L1155" t="str">
        <f t="shared" ca="1" si="121"/>
        <v>Overstock</v>
      </c>
      <c r="M1155" s="39">
        <f>IFERROR(VLOOKUP("APAD",Controls!A:I,7,0),6)</f>
        <v>4</v>
      </c>
      <c r="N1155" s="39">
        <f>IFERROR(VLOOKUP("APAD",Controls!A:I,8,0),3)</f>
        <v>3</v>
      </c>
      <c r="O1155" s="39">
        <f>IFERROR(VLOOKUP("APAD",Controls!A:I,9,0),18)</f>
        <v>12</v>
      </c>
      <c r="P1155" s="40">
        <f>IFERROR(VLOOKUP("APAD",Controls!A:J,5,0),0)</f>
        <v>165</v>
      </c>
      <c r="Q1155" s="39">
        <f>IFERROR(VLOOKUP("APAD",Controls!A:J,6,0),3)</f>
        <v>4</v>
      </c>
      <c r="R1155" s="21" t="str">
        <f>IFERROR(VLOOKUP("APAD",Controls!A:K,10,0),"")</f>
        <v>ST Pharm</v>
      </c>
      <c r="S1155" s="41">
        <f t="shared" si="122"/>
        <v>48274</v>
      </c>
      <c r="T1155" s="30">
        <f t="shared" si="123"/>
        <v>0</v>
      </c>
      <c r="AB1155">
        <f t="shared" si="125"/>
        <v>411.04000000000008</v>
      </c>
    </row>
    <row r="1156" spans="1:28" ht="13" customHeight="1" x14ac:dyDescent="0.35">
      <c r="A1156" s="153">
        <v>48427</v>
      </c>
      <c r="B1156" s="36" t="s">
        <v>54</v>
      </c>
      <c r="C1156" s="15" t="s">
        <v>52</v>
      </c>
      <c r="D1156" s="15" t="s">
        <v>48</v>
      </c>
      <c r="E1156" s="30">
        <f>H1155</f>
        <v>128.80000000000004</v>
      </c>
      <c r="F1156" s="37">
        <f>IFERROR('Production Inputs'!$CL$37*Dependencies!$D$13,0)</f>
        <v>0</v>
      </c>
      <c r="G1156" s="37">
        <f t="array" ref="G1156">IFERROR(SUMPRODUCT(('Production Inputs'!$A:$A="APAD")*('Production Inputs'!$B:$B="TOTAL ACTIVE")*'Production Inputs'!$CL:$CL),0)</f>
        <v>0</v>
      </c>
      <c r="H1156" s="30">
        <f t="shared" ref="H1156:H1219" si="126">E1156+G1156-F1156</f>
        <v>128.80000000000004</v>
      </c>
      <c r="I1156" s="30">
        <f ca="1">IFERROR(AVERAGEIF(OFFSET(F1156,0,0,MIN(Controls!$B$8,COUNTIF(B1156:B$1973,B1156)),1),"&gt;"&amp;0),0)</f>
        <v>0</v>
      </c>
      <c r="J1156" s="38">
        <f t="shared" ref="J1156:J1219" ca="1" si="127">IFERROR(H1156/I1156,IF(H1156&gt;0,999,0))</f>
        <v>999</v>
      </c>
      <c r="K1156" s="30">
        <f t="shared" ca="1" si="124"/>
        <v>0</v>
      </c>
      <c r="L1156" t="str">
        <f t="shared" ref="L1156:L1219" ca="1" si="128">IF(H1156&lt;=0,"High",IF(J1156&lt;N1156,"High",IF(J1156&lt;M1156,"Medium",IF(J1156&gt;O1156,"Overstock","Low"))))</f>
        <v>Overstock</v>
      </c>
      <c r="M1156" s="39">
        <f>IFERROR(VLOOKUP("APAD",Controls!A:I,7,0),6)</f>
        <v>4</v>
      </c>
      <c r="N1156" s="39">
        <f>IFERROR(VLOOKUP("APAD",Controls!A:I,8,0),3)</f>
        <v>3</v>
      </c>
      <c r="O1156" s="39">
        <f>IFERROR(VLOOKUP("APAD",Controls!A:I,9,0),18)</f>
        <v>12</v>
      </c>
      <c r="P1156" s="40">
        <f>IFERROR(VLOOKUP("APAD",Controls!A:J,5,0),0)</f>
        <v>165</v>
      </c>
      <c r="Q1156" s="39">
        <f>IFERROR(VLOOKUP("APAD",Controls!A:J,6,0),3)</f>
        <v>4</v>
      </c>
      <c r="R1156" s="21" t="str">
        <f>IFERROR(VLOOKUP("APAD",Controls!A:K,10,0),"")</f>
        <v>ST Pharm</v>
      </c>
      <c r="S1156" s="41">
        <f t="shared" ref="S1156:S1219" si="129">IFERROR(EDATE(A1156,-Q1156),"")</f>
        <v>48305</v>
      </c>
      <c r="T1156" s="30">
        <f t="shared" ref="T1156:T1219" si="130">G1156</f>
        <v>0</v>
      </c>
      <c r="AB1156">
        <f t="shared" si="125"/>
        <v>411.04000000000008</v>
      </c>
    </row>
    <row r="1157" spans="1:28" ht="13" customHeight="1" x14ac:dyDescent="0.35">
      <c r="A1157" s="153">
        <v>48458</v>
      </c>
      <c r="B1157" s="36" t="s">
        <v>54</v>
      </c>
      <c r="C1157" s="15" t="s">
        <v>52</v>
      </c>
      <c r="D1157" s="15" t="s">
        <v>48</v>
      </c>
      <c r="E1157" s="30">
        <f>H1156</f>
        <v>128.80000000000004</v>
      </c>
      <c r="F1157" s="37">
        <f>IFERROR('Production Inputs'!$CM$37*Dependencies!$D$13,0)</f>
        <v>0</v>
      </c>
      <c r="G1157" s="37">
        <f t="array" ref="G1157">IFERROR(SUMPRODUCT(('Production Inputs'!$A:$A="APAD")*('Production Inputs'!$B:$B="TOTAL ACTIVE")*'Production Inputs'!$CM:$CM),0)</f>
        <v>0</v>
      </c>
      <c r="H1157" s="30">
        <f t="shared" si="126"/>
        <v>128.80000000000004</v>
      </c>
      <c r="I1157" s="30">
        <f ca="1">IFERROR(AVERAGEIF(OFFSET(F1157,0,0,MIN(Controls!$B$8,COUNTIF(B1157:B$1973,B1157)),1),"&gt;"&amp;0),0)</f>
        <v>0</v>
      </c>
      <c r="J1157" s="38">
        <f t="shared" ca="1" si="127"/>
        <v>999</v>
      </c>
      <c r="K1157" s="30">
        <f t="shared" ref="K1157:K1220" ca="1" si="131">IFERROR(IF(H1157&lt;(N1157*I1157), CEILING(MAX(0,ROUND((M1157*I1157-H1157)/P1157,0)*P1157),P1157), 0), 0)</f>
        <v>0</v>
      </c>
      <c r="L1157" t="str">
        <f t="shared" ca="1" si="128"/>
        <v>Overstock</v>
      </c>
      <c r="M1157" s="39">
        <f>IFERROR(VLOOKUP("APAD",Controls!A:I,7,0),6)</f>
        <v>4</v>
      </c>
      <c r="N1157" s="39">
        <f>IFERROR(VLOOKUP("APAD",Controls!A:I,8,0),3)</f>
        <v>3</v>
      </c>
      <c r="O1157" s="39">
        <f>IFERROR(VLOOKUP("APAD",Controls!A:I,9,0),18)</f>
        <v>12</v>
      </c>
      <c r="P1157" s="40">
        <f>IFERROR(VLOOKUP("APAD",Controls!A:J,5,0),0)</f>
        <v>165</v>
      </c>
      <c r="Q1157" s="39">
        <f>IFERROR(VLOOKUP("APAD",Controls!A:J,6,0),3)</f>
        <v>4</v>
      </c>
      <c r="R1157" s="21" t="str">
        <f>IFERROR(VLOOKUP("APAD",Controls!A:K,10,0),"")</f>
        <v>ST Pharm</v>
      </c>
      <c r="S1157" s="41">
        <f t="shared" si="129"/>
        <v>48335</v>
      </c>
      <c r="T1157" s="30">
        <f t="shared" si="130"/>
        <v>0</v>
      </c>
      <c r="AB1157">
        <f t="shared" ref="AB1157:AB1220" si="132">SUMIFS($F$4:$F$2331,$B$4:$B$2331,B1157,$A$4:$A$2331,"&lt;="&amp;A1157)</f>
        <v>411.04000000000008</v>
      </c>
    </row>
    <row r="1158" spans="1:28" ht="13" customHeight="1" x14ac:dyDescent="0.35">
      <c r="A1158" s="153">
        <v>48488</v>
      </c>
      <c r="B1158" s="36" t="s">
        <v>54</v>
      </c>
      <c r="C1158" s="15" t="s">
        <v>52</v>
      </c>
      <c r="D1158" s="15" t="s">
        <v>48</v>
      </c>
      <c r="E1158" s="30">
        <f>H1157</f>
        <v>128.80000000000004</v>
      </c>
      <c r="F1158" s="37">
        <f>IFERROR('Production Inputs'!$CN$37*Dependencies!$D$13,0)</f>
        <v>0</v>
      </c>
      <c r="G1158" s="37">
        <f t="array" ref="G1158">IFERROR(SUMPRODUCT(('Production Inputs'!$A:$A="APAD")*('Production Inputs'!$B:$B="TOTAL ACTIVE")*'Production Inputs'!$CN:$CN),0)</f>
        <v>0</v>
      </c>
      <c r="H1158" s="30">
        <f t="shared" si="126"/>
        <v>128.80000000000004</v>
      </c>
      <c r="I1158" s="30">
        <f ca="1">IFERROR(AVERAGEIF(OFFSET(F1158,0,0,MIN(Controls!$B$8,COUNTIF(B1158:B$1973,B1158)),1),"&gt;"&amp;0),0)</f>
        <v>0</v>
      </c>
      <c r="J1158" s="38">
        <f t="shared" ca="1" si="127"/>
        <v>999</v>
      </c>
      <c r="K1158" s="30">
        <f t="shared" ca="1" si="131"/>
        <v>0</v>
      </c>
      <c r="L1158" t="str">
        <f t="shared" ca="1" si="128"/>
        <v>Overstock</v>
      </c>
      <c r="M1158" s="39">
        <f>IFERROR(VLOOKUP("APAD",Controls!A:I,7,0),6)</f>
        <v>4</v>
      </c>
      <c r="N1158" s="39">
        <f>IFERROR(VLOOKUP("APAD",Controls!A:I,8,0),3)</f>
        <v>3</v>
      </c>
      <c r="O1158" s="39">
        <f>IFERROR(VLOOKUP("APAD",Controls!A:I,9,0),18)</f>
        <v>12</v>
      </c>
      <c r="P1158" s="40">
        <f>IFERROR(VLOOKUP("APAD",Controls!A:J,5,0),0)</f>
        <v>165</v>
      </c>
      <c r="Q1158" s="39">
        <f>IFERROR(VLOOKUP("APAD",Controls!A:J,6,0),3)</f>
        <v>4</v>
      </c>
      <c r="R1158" s="21" t="str">
        <f>IFERROR(VLOOKUP("APAD",Controls!A:K,10,0),"")</f>
        <v>ST Pharm</v>
      </c>
      <c r="S1158" s="41">
        <f t="shared" si="129"/>
        <v>48366</v>
      </c>
      <c r="T1158" s="30">
        <f t="shared" si="130"/>
        <v>0</v>
      </c>
      <c r="AB1158">
        <f t="shared" si="132"/>
        <v>411.04000000000008</v>
      </c>
    </row>
    <row r="1159" spans="1:28" ht="13" customHeight="1" x14ac:dyDescent="0.35">
      <c r="A1159" s="153">
        <v>48519</v>
      </c>
      <c r="B1159" s="36" t="s">
        <v>54</v>
      </c>
      <c r="C1159" s="15" t="s">
        <v>52</v>
      </c>
      <c r="D1159" s="15" t="s">
        <v>48</v>
      </c>
      <c r="E1159" s="30">
        <f>H1158</f>
        <v>128.80000000000004</v>
      </c>
      <c r="F1159" s="37">
        <f>IFERROR('Production Inputs'!$CO$37*Dependencies!$D$13,0)</f>
        <v>0</v>
      </c>
      <c r="G1159" s="37">
        <f t="array" ref="G1159">IFERROR(SUMPRODUCT(('Production Inputs'!$A:$A="APAD")*('Production Inputs'!$B:$B="TOTAL ACTIVE")*'Production Inputs'!$CO:$CO),0)</f>
        <v>0</v>
      </c>
      <c r="H1159" s="30">
        <f t="shared" si="126"/>
        <v>128.80000000000004</v>
      </c>
      <c r="I1159" s="30">
        <f ca="1">IFERROR(AVERAGEIF(OFFSET(F1159,0,0,MIN(Controls!$B$8,COUNTIF(B1159:B$1973,B1159)),1),"&gt;"&amp;0),0)</f>
        <v>0</v>
      </c>
      <c r="J1159" s="38">
        <f t="shared" ca="1" si="127"/>
        <v>999</v>
      </c>
      <c r="K1159" s="30">
        <f t="shared" ca="1" si="131"/>
        <v>0</v>
      </c>
      <c r="L1159" t="str">
        <f t="shared" ca="1" si="128"/>
        <v>Overstock</v>
      </c>
      <c r="M1159" s="39">
        <f>IFERROR(VLOOKUP("APAD",Controls!A:I,7,0),6)</f>
        <v>4</v>
      </c>
      <c r="N1159" s="39">
        <f>IFERROR(VLOOKUP("APAD",Controls!A:I,8,0),3)</f>
        <v>3</v>
      </c>
      <c r="O1159" s="39">
        <f>IFERROR(VLOOKUP("APAD",Controls!A:I,9,0),18)</f>
        <v>12</v>
      </c>
      <c r="P1159" s="40">
        <f>IFERROR(VLOOKUP("APAD",Controls!A:J,5,0),0)</f>
        <v>165</v>
      </c>
      <c r="Q1159" s="39">
        <f>IFERROR(VLOOKUP("APAD",Controls!A:J,6,0),3)</f>
        <v>4</v>
      </c>
      <c r="R1159" s="21" t="str">
        <f>IFERROR(VLOOKUP("APAD",Controls!A:K,10,0),"")</f>
        <v>ST Pharm</v>
      </c>
      <c r="S1159" s="41">
        <f t="shared" si="129"/>
        <v>48396</v>
      </c>
      <c r="T1159" s="30">
        <f t="shared" si="130"/>
        <v>0</v>
      </c>
      <c r="AB1159">
        <f t="shared" si="132"/>
        <v>411.04000000000008</v>
      </c>
    </row>
    <row r="1160" spans="1:28" ht="13" customHeight="1" x14ac:dyDescent="0.35">
      <c r="A1160" s="153">
        <v>48549</v>
      </c>
      <c r="B1160" s="36" t="s">
        <v>54</v>
      </c>
      <c r="C1160" s="15" t="s">
        <v>52</v>
      </c>
      <c r="D1160" s="15" t="s">
        <v>48</v>
      </c>
      <c r="E1160" s="30">
        <f>H1159</f>
        <v>128.80000000000004</v>
      </c>
      <c r="F1160" s="37">
        <f>IFERROR('Production Inputs'!$CP$37*Dependencies!$D$13,0)</f>
        <v>0</v>
      </c>
      <c r="G1160" s="37">
        <f t="array" ref="G1160">IFERROR(SUMPRODUCT(('Production Inputs'!$A:$A="APAD")*('Production Inputs'!$B:$B="TOTAL ACTIVE")*'Production Inputs'!$CP:$CP),0)</f>
        <v>0</v>
      </c>
      <c r="H1160" s="30">
        <f t="shared" si="126"/>
        <v>128.80000000000004</v>
      </c>
      <c r="I1160" s="30">
        <f ca="1">IFERROR(AVERAGEIF(OFFSET(F1160,0,0,MIN(Controls!$B$8,COUNTIF(B1160:B$1973,B1160)),1),"&gt;"&amp;0),0)</f>
        <v>0</v>
      </c>
      <c r="J1160" s="38">
        <f t="shared" ca="1" si="127"/>
        <v>999</v>
      </c>
      <c r="K1160" s="30">
        <f t="shared" ca="1" si="131"/>
        <v>0</v>
      </c>
      <c r="L1160" t="str">
        <f t="shared" ca="1" si="128"/>
        <v>Overstock</v>
      </c>
      <c r="M1160" s="39">
        <f>IFERROR(VLOOKUP("APAD",Controls!A:I,7,0),6)</f>
        <v>4</v>
      </c>
      <c r="N1160" s="39">
        <f>IFERROR(VLOOKUP("APAD",Controls!A:I,8,0),3)</f>
        <v>3</v>
      </c>
      <c r="O1160" s="39">
        <f>IFERROR(VLOOKUP("APAD",Controls!A:I,9,0),18)</f>
        <v>12</v>
      </c>
      <c r="P1160" s="40">
        <f>IFERROR(VLOOKUP("APAD",Controls!A:J,5,0),0)</f>
        <v>165</v>
      </c>
      <c r="Q1160" s="39">
        <f>IFERROR(VLOOKUP("APAD",Controls!A:J,6,0),3)</f>
        <v>4</v>
      </c>
      <c r="R1160" s="21" t="str">
        <f>IFERROR(VLOOKUP("APAD",Controls!A:K,10,0),"")</f>
        <v>ST Pharm</v>
      </c>
      <c r="S1160" s="41">
        <f t="shared" si="129"/>
        <v>48427</v>
      </c>
      <c r="T1160" s="30">
        <f t="shared" si="130"/>
        <v>0</v>
      </c>
      <c r="AB1160">
        <f t="shared" si="132"/>
        <v>411.04000000000008</v>
      </c>
    </row>
    <row r="1161" spans="1:28" ht="13" customHeight="1" x14ac:dyDescent="0.35">
      <c r="A1161" s="153">
        <v>48580</v>
      </c>
      <c r="B1161" s="36" t="s">
        <v>54</v>
      </c>
      <c r="C1161" s="15" t="s">
        <v>52</v>
      </c>
      <c r="D1161" s="15" t="s">
        <v>48</v>
      </c>
      <c r="E1161" s="30">
        <f>H1160</f>
        <v>128.80000000000004</v>
      </c>
      <c r="F1161" s="37">
        <f>IFERROR('Production Inputs'!$CQ$37*Dependencies!$D$13,0)</f>
        <v>0</v>
      </c>
      <c r="G1161" s="37">
        <f t="array" ref="G1161">IFERROR(SUMPRODUCT(('Production Inputs'!$A:$A="APAD")*('Production Inputs'!$B:$B="TOTAL ACTIVE")*'Production Inputs'!$CQ:$CQ),0)</f>
        <v>0</v>
      </c>
      <c r="H1161" s="30">
        <f t="shared" si="126"/>
        <v>128.80000000000004</v>
      </c>
      <c r="I1161" s="30">
        <f ca="1">IFERROR(AVERAGEIF(OFFSET(F1161,0,0,MIN(Controls!$B$8,COUNTIF(B1161:B$1973,B1161)),1),"&gt;"&amp;0),0)</f>
        <v>0</v>
      </c>
      <c r="J1161" s="38">
        <f t="shared" ca="1" si="127"/>
        <v>999</v>
      </c>
      <c r="K1161" s="30">
        <f t="shared" ca="1" si="131"/>
        <v>0</v>
      </c>
      <c r="L1161" t="str">
        <f t="shared" ca="1" si="128"/>
        <v>Overstock</v>
      </c>
      <c r="M1161" s="39">
        <f>IFERROR(VLOOKUP("APAD",Controls!A:I,7,0),6)</f>
        <v>4</v>
      </c>
      <c r="N1161" s="39">
        <f>IFERROR(VLOOKUP("APAD",Controls!A:I,8,0),3)</f>
        <v>3</v>
      </c>
      <c r="O1161" s="39">
        <f>IFERROR(VLOOKUP("APAD",Controls!A:I,9,0),18)</f>
        <v>12</v>
      </c>
      <c r="P1161" s="40">
        <f>IFERROR(VLOOKUP("APAD",Controls!A:J,5,0),0)</f>
        <v>165</v>
      </c>
      <c r="Q1161" s="39">
        <f>IFERROR(VLOOKUP("APAD",Controls!A:J,6,0),3)</f>
        <v>4</v>
      </c>
      <c r="R1161" s="21" t="str">
        <f>IFERROR(VLOOKUP("APAD",Controls!A:K,10,0),"")</f>
        <v>ST Pharm</v>
      </c>
      <c r="S1161" s="41">
        <f t="shared" si="129"/>
        <v>48458</v>
      </c>
      <c r="T1161" s="30">
        <f t="shared" si="130"/>
        <v>0</v>
      </c>
      <c r="AB1161">
        <f t="shared" si="132"/>
        <v>411.04000000000008</v>
      </c>
    </row>
    <row r="1162" spans="1:28" ht="13" customHeight="1" x14ac:dyDescent="0.35">
      <c r="A1162" s="153">
        <v>48611</v>
      </c>
      <c r="B1162" s="36" t="s">
        <v>54</v>
      </c>
      <c r="C1162" s="15" t="s">
        <v>52</v>
      </c>
      <c r="D1162" s="15" t="s">
        <v>48</v>
      </c>
      <c r="E1162" s="30">
        <f>H1161</f>
        <v>128.80000000000004</v>
      </c>
      <c r="F1162" s="37">
        <f>IFERROR('Production Inputs'!$CR$37*Dependencies!$D$13,0)</f>
        <v>0</v>
      </c>
      <c r="G1162" s="37">
        <f t="array" ref="G1162">IFERROR(SUMPRODUCT(('Production Inputs'!$A:$A="APAD")*('Production Inputs'!$B:$B="TOTAL ACTIVE")*'Production Inputs'!$CR:$CR),0)</f>
        <v>0</v>
      </c>
      <c r="H1162" s="30">
        <f t="shared" si="126"/>
        <v>128.80000000000004</v>
      </c>
      <c r="I1162" s="30">
        <f ca="1">IFERROR(AVERAGEIF(OFFSET(F1162,0,0,MIN(Controls!$B$8,COUNTIF(B1162:B$1973,B1162)),1),"&gt;"&amp;0),0)</f>
        <v>0</v>
      </c>
      <c r="J1162" s="38">
        <f t="shared" ca="1" si="127"/>
        <v>999</v>
      </c>
      <c r="K1162" s="30">
        <f t="shared" ca="1" si="131"/>
        <v>0</v>
      </c>
      <c r="L1162" t="str">
        <f t="shared" ca="1" si="128"/>
        <v>Overstock</v>
      </c>
      <c r="M1162" s="39">
        <f>IFERROR(VLOOKUP("APAD",Controls!A:I,7,0),6)</f>
        <v>4</v>
      </c>
      <c r="N1162" s="39">
        <f>IFERROR(VLOOKUP("APAD",Controls!A:I,8,0),3)</f>
        <v>3</v>
      </c>
      <c r="O1162" s="39">
        <f>IFERROR(VLOOKUP("APAD",Controls!A:I,9,0),18)</f>
        <v>12</v>
      </c>
      <c r="P1162" s="40">
        <f>IFERROR(VLOOKUP("APAD",Controls!A:J,5,0),0)</f>
        <v>165</v>
      </c>
      <c r="Q1162" s="39">
        <f>IFERROR(VLOOKUP("APAD",Controls!A:J,6,0),3)</f>
        <v>4</v>
      </c>
      <c r="R1162" s="21" t="str">
        <f>IFERROR(VLOOKUP("APAD",Controls!A:K,10,0),"")</f>
        <v>ST Pharm</v>
      </c>
      <c r="S1162" s="41">
        <f t="shared" si="129"/>
        <v>48488</v>
      </c>
      <c r="T1162" s="30">
        <f t="shared" si="130"/>
        <v>0</v>
      </c>
      <c r="AB1162">
        <f t="shared" si="132"/>
        <v>411.04000000000008</v>
      </c>
    </row>
    <row r="1163" spans="1:28" ht="13" customHeight="1" x14ac:dyDescent="0.35">
      <c r="A1163" s="153">
        <v>48639</v>
      </c>
      <c r="B1163" s="36" t="s">
        <v>54</v>
      </c>
      <c r="C1163" s="15" t="s">
        <v>52</v>
      </c>
      <c r="D1163" s="15" t="s">
        <v>48</v>
      </c>
      <c r="E1163" s="30">
        <f>H1162</f>
        <v>128.80000000000004</v>
      </c>
      <c r="F1163" s="37">
        <f>IFERROR('Production Inputs'!$CS$37*Dependencies!$D$13,0)</f>
        <v>0</v>
      </c>
      <c r="G1163" s="37">
        <f t="array" ref="G1163">IFERROR(SUMPRODUCT(('Production Inputs'!$A:$A="APAD")*('Production Inputs'!$B:$B="TOTAL ACTIVE")*'Production Inputs'!$CS:$CS),0)</f>
        <v>0</v>
      </c>
      <c r="H1163" s="30">
        <f t="shared" si="126"/>
        <v>128.80000000000004</v>
      </c>
      <c r="I1163" s="30">
        <f ca="1">IFERROR(AVERAGEIF(OFFSET(F1163,0,0,MIN(Controls!$B$8,COUNTIF(B1163:B$1973,B1163)),1),"&gt;"&amp;0),0)</f>
        <v>0</v>
      </c>
      <c r="J1163" s="38">
        <f t="shared" ca="1" si="127"/>
        <v>999</v>
      </c>
      <c r="K1163" s="30">
        <f t="shared" ca="1" si="131"/>
        <v>0</v>
      </c>
      <c r="L1163" t="str">
        <f t="shared" ca="1" si="128"/>
        <v>Overstock</v>
      </c>
      <c r="M1163" s="39">
        <f>IFERROR(VLOOKUP("APAD",Controls!A:I,7,0),6)</f>
        <v>4</v>
      </c>
      <c r="N1163" s="39">
        <f>IFERROR(VLOOKUP("APAD",Controls!A:I,8,0),3)</f>
        <v>3</v>
      </c>
      <c r="O1163" s="39">
        <f>IFERROR(VLOOKUP("APAD",Controls!A:I,9,0),18)</f>
        <v>12</v>
      </c>
      <c r="P1163" s="40">
        <f>IFERROR(VLOOKUP("APAD",Controls!A:J,5,0),0)</f>
        <v>165</v>
      </c>
      <c r="Q1163" s="39">
        <f>IFERROR(VLOOKUP("APAD",Controls!A:J,6,0),3)</f>
        <v>4</v>
      </c>
      <c r="R1163" s="21" t="str">
        <f>IFERROR(VLOOKUP("APAD",Controls!A:K,10,0),"")</f>
        <v>ST Pharm</v>
      </c>
      <c r="S1163" s="41">
        <f t="shared" si="129"/>
        <v>48519</v>
      </c>
      <c r="T1163" s="30">
        <f t="shared" si="130"/>
        <v>0</v>
      </c>
      <c r="AB1163">
        <f t="shared" si="132"/>
        <v>411.04000000000008</v>
      </c>
    </row>
    <row r="1164" spans="1:28" ht="13" customHeight="1" x14ac:dyDescent="0.35">
      <c r="A1164" s="153">
        <v>48670</v>
      </c>
      <c r="B1164" s="36" t="s">
        <v>54</v>
      </c>
      <c r="C1164" s="15" t="s">
        <v>52</v>
      </c>
      <c r="D1164" s="15" t="s">
        <v>48</v>
      </c>
      <c r="E1164" s="30">
        <f>H1163</f>
        <v>128.80000000000004</v>
      </c>
      <c r="F1164" s="37">
        <f>IFERROR('Production Inputs'!$CT$37*Dependencies!$D$13,0)</f>
        <v>0</v>
      </c>
      <c r="G1164" s="37">
        <f t="array" ref="G1164">IFERROR(SUMPRODUCT(('Production Inputs'!$A:$A="APAD")*('Production Inputs'!$B:$B="TOTAL ACTIVE")*'Production Inputs'!$CT:$CT),0)</f>
        <v>0</v>
      </c>
      <c r="H1164" s="30">
        <f t="shared" si="126"/>
        <v>128.80000000000004</v>
      </c>
      <c r="I1164" s="30">
        <f ca="1">IFERROR(AVERAGEIF(OFFSET(F1164,0,0,MIN(Controls!$B$8,COUNTIF(B1164:B$1973,B1164)),1),"&gt;"&amp;0),0)</f>
        <v>0</v>
      </c>
      <c r="J1164" s="38">
        <f t="shared" ca="1" si="127"/>
        <v>999</v>
      </c>
      <c r="K1164" s="30">
        <f t="shared" ca="1" si="131"/>
        <v>0</v>
      </c>
      <c r="L1164" t="str">
        <f t="shared" ca="1" si="128"/>
        <v>Overstock</v>
      </c>
      <c r="M1164" s="39">
        <f>IFERROR(VLOOKUP("APAD",Controls!A:I,7,0),6)</f>
        <v>4</v>
      </c>
      <c r="N1164" s="39">
        <f>IFERROR(VLOOKUP("APAD",Controls!A:I,8,0),3)</f>
        <v>3</v>
      </c>
      <c r="O1164" s="39">
        <f>IFERROR(VLOOKUP("APAD",Controls!A:I,9,0),18)</f>
        <v>12</v>
      </c>
      <c r="P1164" s="40">
        <f>IFERROR(VLOOKUP("APAD",Controls!A:J,5,0),0)</f>
        <v>165</v>
      </c>
      <c r="Q1164" s="39">
        <f>IFERROR(VLOOKUP("APAD",Controls!A:J,6,0),3)</f>
        <v>4</v>
      </c>
      <c r="R1164" s="21" t="str">
        <f>IFERROR(VLOOKUP("APAD",Controls!A:K,10,0),"")</f>
        <v>ST Pharm</v>
      </c>
      <c r="S1164" s="41">
        <f t="shared" si="129"/>
        <v>48549</v>
      </c>
      <c r="T1164" s="30">
        <f t="shared" si="130"/>
        <v>0</v>
      </c>
      <c r="AB1164">
        <f t="shared" si="132"/>
        <v>411.04000000000008</v>
      </c>
    </row>
    <row r="1165" spans="1:28" ht="13" customHeight="1" x14ac:dyDescent="0.35">
      <c r="A1165" s="153">
        <v>48700</v>
      </c>
      <c r="B1165" s="36" t="s">
        <v>54</v>
      </c>
      <c r="C1165" s="15" t="s">
        <v>52</v>
      </c>
      <c r="D1165" s="15" t="s">
        <v>48</v>
      </c>
      <c r="E1165" s="30">
        <f>H1164</f>
        <v>128.80000000000004</v>
      </c>
      <c r="F1165" s="37">
        <f>IFERROR('Production Inputs'!$CU$37*Dependencies!$D$13,0)</f>
        <v>0</v>
      </c>
      <c r="G1165" s="37">
        <f t="array" ref="G1165">IFERROR(SUMPRODUCT(('Production Inputs'!$A:$A="APAD")*('Production Inputs'!$B:$B="TOTAL ACTIVE")*'Production Inputs'!$CU:$CU),0)</f>
        <v>0</v>
      </c>
      <c r="H1165" s="30">
        <f t="shared" si="126"/>
        <v>128.80000000000004</v>
      </c>
      <c r="I1165" s="30">
        <f ca="1">IFERROR(AVERAGEIF(OFFSET(F1165,0,0,MIN(Controls!$B$8,COUNTIF(B1165:B$1973,B1165)),1),"&gt;"&amp;0),0)</f>
        <v>0</v>
      </c>
      <c r="J1165" s="38">
        <f t="shared" ca="1" si="127"/>
        <v>999</v>
      </c>
      <c r="K1165" s="30">
        <f t="shared" ca="1" si="131"/>
        <v>0</v>
      </c>
      <c r="L1165" t="str">
        <f t="shared" ca="1" si="128"/>
        <v>Overstock</v>
      </c>
      <c r="M1165" s="39">
        <f>IFERROR(VLOOKUP("APAD",Controls!A:I,7,0),6)</f>
        <v>4</v>
      </c>
      <c r="N1165" s="39">
        <f>IFERROR(VLOOKUP("APAD",Controls!A:I,8,0),3)</f>
        <v>3</v>
      </c>
      <c r="O1165" s="39">
        <f>IFERROR(VLOOKUP("APAD",Controls!A:I,9,0),18)</f>
        <v>12</v>
      </c>
      <c r="P1165" s="40">
        <f>IFERROR(VLOOKUP("APAD",Controls!A:J,5,0),0)</f>
        <v>165</v>
      </c>
      <c r="Q1165" s="39">
        <f>IFERROR(VLOOKUP("APAD",Controls!A:J,6,0),3)</f>
        <v>4</v>
      </c>
      <c r="R1165" s="21" t="str">
        <f>IFERROR(VLOOKUP("APAD",Controls!A:K,10,0),"")</f>
        <v>ST Pharm</v>
      </c>
      <c r="S1165" s="41">
        <f t="shared" si="129"/>
        <v>48580</v>
      </c>
      <c r="T1165" s="30">
        <f t="shared" si="130"/>
        <v>0</v>
      </c>
      <c r="AB1165">
        <f t="shared" si="132"/>
        <v>411.04000000000008</v>
      </c>
    </row>
    <row r="1166" spans="1:28" ht="13" customHeight="1" x14ac:dyDescent="0.35">
      <c r="A1166" s="153">
        <v>48731</v>
      </c>
      <c r="B1166" s="36" t="s">
        <v>54</v>
      </c>
      <c r="C1166" s="15" t="s">
        <v>52</v>
      </c>
      <c r="D1166" s="15" t="s">
        <v>48</v>
      </c>
      <c r="E1166" s="30">
        <f>H1165</f>
        <v>128.80000000000004</v>
      </c>
      <c r="F1166" s="37">
        <f>IFERROR('Production Inputs'!$CV$37*Dependencies!$D$13,0)</f>
        <v>0</v>
      </c>
      <c r="G1166" s="37">
        <f t="array" ref="G1166">IFERROR(SUMPRODUCT(('Production Inputs'!$A:$A="APAD")*('Production Inputs'!$B:$B="TOTAL ACTIVE")*'Production Inputs'!$CV:$CV),0)</f>
        <v>0</v>
      </c>
      <c r="H1166" s="30">
        <f t="shared" si="126"/>
        <v>128.80000000000004</v>
      </c>
      <c r="I1166" s="30">
        <f ca="1">IFERROR(AVERAGEIF(OFFSET(F1166,0,0,MIN(Controls!$B$8,COUNTIF(B1166:B$1973,B1166)),1),"&gt;"&amp;0),0)</f>
        <v>0</v>
      </c>
      <c r="J1166" s="38">
        <f t="shared" ca="1" si="127"/>
        <v>999</v>
      </c>
      <c r="K1166" s="30">
        <f t="shared" ca="1" si="131"/>
        <v>0</v>
      </c>
      <c r="L1166" t="str">
        <f t="shared" ca="1" si="128"/>
        <v>Overstock</v>
      </c>
      <c r="M1166" s="39">
        <f>IFERROR(VLOOKUP("APAD",Controls!A:I,7,0),6)</f>
        <v>4</v>
      </c>
      <c r="N1166" s="39">
        <f>IFERROR(VLOOKUP("APAD",Controls!A:I,8,0),3)</f>
        <v>3</v>
      </c>
      <c r="O1166" s="39">
        <f>IFERROR(VLOOKUP("APAD",Controls!A:I,9,0),18)</f>
        <v>12</v>
      </c>
      <c r="P1166" s="40">
        <f>IFERROR(VLOOKUP("APAD",Controls!A:J,5,0),0)</f>
        <v>165</v>
      </c>
      <c r="Q1166" s="39">
        <f>IFERROR(VLOOKUP("APAD",Controls!A:J,6,0),3)</f>
        <v>4</v>
      </c>
      <c r="R1166" s="21" t="str">
        <f>IFERROR(VLOOKUP("APAD",Controls!A:K,10,0),"")</f>
        <v>ST Pharm</v>
      </c>
      <c r="S1166" s="41">
        <f t="shared" si="129"/>
        <v>48611</v>
      </c>
      <c r="T1166" s="30">
        <f t="shared" si="130"/>
        <v>0</v>
      </c>
      <c r="AB1166">
        <f t="shared" si="132"/>
        <v>411.04000000000008</v>
      </c>
    </row>
    <row r="1167" spans="1:28" ht="13" customHeight="1" x14ac:dyDescent="0.35">
      <c r="A1167" s="153">
        <v>48761</v>
      </c>
      <c r="B1167" s="36" t="s">
        <v>54</v>
      </c>
      <c r="C1167" s="15" t="s">
        <v>52</v>
      </c>
      <c r="D1167" s="15" t="s">
        <v>48</v>
      </c>
      <c r="E1167" s="30">
        <f>H1166</f>
        <v>128.80000000000004</v>
      </c>
      <c r="F1167" s="37">
        <f>IFERROR('Production Inputs'!$CW$37*Dependencies!$D$13,0)</f>
        <v>0</v>
      </c>
      <c r="G1167" s="37">
        <f t="array" ref="G1167">IFERROR(SUMPRODUCT(('Production Inputs'!$A:$A="APAD")*('Production Inputs'!$B:$B="TOTAL ACTIVE")*'Production Inputs'!$CW:$CW),0)</f>
        <v>0</v>
      </c>
      <c r="H1167" s="30">
        <f t="shared" si="126"/>
        <v>128.80000000000004</v>
      </c>
      <c r="I1167" s="30">
        <f ca="1">IFERROR(AVERAGEIF(OFFSET(F1167,0,0,MIN(Controls!$B$8,COUNTIF(B1167:B$1973,B1167)),1),"&gt;"&amp;0),0)</f>
        <v>0</v>
      </c>
      <c r="J1167" s="38">
        <f t="shared" ca="1" si="127"/>
        <v>999</v>
      </c>
      <c r="K1167" s="30">
        <f t="shared" ca="1" si="131"/>
        <v>0</v>
      </c>
      <c r="L1167" t="str">
        <f t="shared" ca="1" si="128"/>
        <v>Overstock</v>
      </c>
      <c r="M1167" s="39">
        <f>IFERROR(VLOOKUP("APAD",Controls!A:I,7,0),6)</f>
        <v>4</v>
      </c>
      <c r="N1167" s="39">
        <f>IFERROR(VLOOKUP("APAD",Controls!A:I,8,0),3)</f>
        <v>3</v>
      </c>
      <c r="O1167" s="39">
        <f>IFERROR(VLOOKUP("APAD",Controls!A:I,9,0),18)</f>
        <v>12</v>
      </c>
      <c r="P1167" s="40">
        <f>IFERROR(VLOOKUP("APAD",Controls!A:J,5,0),0)</f>
        <v>165</v>
      </c>
      <c r="Q1167" s="39">
        <f>IFERROR(VLOOKUP("APAD",Controls!A:J,6,0),3)</f>
        <v>4</v>
      </c>
      <c r="R1167" s="21" t="str">
        <f>IFERROR(VLOOKUP("APAD",Controls!A:K,10,0),"")</f>
        <v>ST Pharm</v>
      </c>
      <c r="S1167" s="41">
        <f t="shared" si="129"/>
        <v>48639</v>
      </c>
      <c r="T1167" s="30">
        <f t="shared" si="130"/>
        <v>0</v>
      </c>
      <c r="AB1167">
        <f t="shared" si="132"/>
        <v>411.04000000000008</v>
      </c>
    </row>
    <row r="1168" spans="1:28" ht="13" customHeight="1" x14ac:dyDescent="0.35">
      <c r="A1168" s="153">
        <v>48792</v>
      </c>
      <c r="B1168" s="36" t="s">
        <v>54</v>
      </c>
      <c r="C1168" s="15" t="s">
        <v>52</v>
      </c>
      <c r="D1168" s="15" t="s">
        <v>48</v>
      </c>
      <c r="E1168" s="30">
        <f>H1167</f>
        <v>128.80000000000004</v>
      </c>
      <c r="F1168" s="37">
        <f>IFERROR('Production Inputs'!$CX$37*Dependencies!$D$13,0)</f>
        <v>0</v>
      </c>
      <c r="G1168" s="37">
        <f t="array" ref="G1168">IFERROR(SUMPRODUCT(('Production Inputs'!$A:$A="APAD")*('Production Inputs'!$B:$B="TOTAL ACTIVE")*'Production Inputs'!$CX:$CX),0)</f>
        <v>0</v>
      </c>
      <c r="H1168" s="30">
        <f t="shared" si="126"/>
        <v>128.80000000000004</v>
      </c>
      <c r="I1168" s="30">
        <f ca="1">IFERROR(AVERAGEIF(OFFSET(F1168,0,0,MIN(Controls!$B$8,COUNTIF(B1168:B$1973,B1168)),1),"&gt;"&amp;0),0)</f>
        <v>0</v>
      </c>
      <c r="J1168" s="38">
        <f t="shared" ca="1" si="127"/>
        <v>999</v>
      </c>
      <c r="K1168" s="30">
        <f t="shared" ca="1" si="131"/>
        <v>0</v>
      </c>
      <c r="L1168" t="str">
        <f t="shared" ca="1" si="128"/>
        <v>Overstock</v>
      </c>
      <c r="M1168" s="39">
        <f>IFERROR(VLOOKUP("APAD",Controls!A:I,7,0),6)</f>
        <v>4</v>
      </c>
      <c r="N1168" s="39">
        <f>IFERROR(VLOOKUP("APAD",Controls!A:I,8,0),3)</f>
        <v>3</v>
      </c>
      <c r="O1168" s="39">
        <f>IFERROR(VLOOKUP("APAD",Controls!A:I,9,0),18)</f>
        <v>12</v>
      </c>
      <c r="P1168" s="40">
        <f>IFERROR(VLOOKUP("APAD",Controls!A:J,5,0),0)</f>
        <v>165</v>
      </c>
      <c r="Q1168" s="39">
        <f>IFERROR(VLOOKUP("APAD",Controls!A:J,6,0),3)</f>
        <v>4</v>
      </c>
      <c r="R1168" s="21" t="str">
        <f>IFERROR(VLOOKUP("APAD",Controls!A:K,10,0),"")</f>
        <v>ST Pharm</v>
      </c>
      <c r="S1168" s="41">
        <f t="shared" si="129"/>
        <v>48670</v>
      </c>
      <c r="T1168" s="30">
        <f t="shared" si="130"/>
        <v>0</v>
      </c>
      <c r="AB1168">
        <f t="shared" si="132"/>
        <v>411.04000000000008</v>
      </c>
    </row>
    <row r="1169" spans="1:28" ht="13" customHeight="1" x14ac:dyDescent="0.35">
      <c r="A1169" s="153">
        <v>48823</v>
      </c>
      <c r="B1169" s="36" t="s">
        <v>54</v>
      </c>
      <c r="C1169" s="15" t="s">
        <v>52</v>
      </c>
      <c r="D1169" s="15" t="s">
        <v>48</v>
      </c>
      <c r="E1169" s="30">
        <f>H1168</f>
        <v>128.80000000000004</v>
      </c>
      <c r="F1169" s="37">
        <f>IFERROR('Production Inputs'!$CY$37*Dependencies!$D$13,0)</f>
        <v>0</v>
      </c>
      <c r="G1169" s="37">
        <f t="array" ref="G1169">IFERROR(SUMPRODUCT(('Production Inputs'!$A:$A="APAD")*('Production Inputs'!$B:$B="TOTAL ACTIVE")*'Production Inputs'!$CY:$CY),0)</f>
        <v>0</v>
      </c>
      <c r="H1169" s="30">
        <f t="shared" si="126"/>
        <v>128.80000000000004</v>
      </c>
      <c r="I1169" s="30">
        <f ca="1">IFERROR(AVERAGEIF(OFFSET(F1169,0,0,MIN(Controls!$B$8,COUNTIF(B1169:B$1973,B1169)),1),"&gt;"&amp;0),0)</f>
        <v>0</v>
      </c>
      <c r="J1169" s="38">
        <f t="shared" ca="1" si="127"/>
        <v>999</v>
      </c>
      <c r="K1169" s="30">
        <f t="shared" ca="1" si="131"/>
        <v>0</v>
      </c>
      <c r="L1169" t="str">
        <f t="shared" ca="1" si="128"/>
        <v>Overstock</v>
      </c>
      <c r="M1169" s="39">
        <f>IFERROR(VLOOKUP("APAD",Controls!A:I,7,0),6)</f>
        <v>4</v>
      </c>
      <c r="N1169" s="39">
        <f>IFERROR(VLOOKUP("APAD",Controls!A:I,8,0),3)</f>
        <v>3</v>
      </c>
      <c r="O1169" s="39">
        <f>IFERROR(VLOOKUP("APAD",Controls!A:I,9,0),18)</f>
        <v>12</v>
      </c>
      <c r="P1169" s="40">
        <f>IFERROR(VLOOKUP("APAD",Controls!A:J,5,0),0)</f>
        <v>165</v>
      </c>
      <c r="Q1169" s="39">
        <f>IFERROR(VLOOKUP("APAD",Controls!A:J,6,0),3)</f>
        <v>4</v>
      </c>
      <c r="R1169" s="21" t="str">
        <f>IFERROR(VLOOKUP("APAD",Controls!A:K,10,0),"")</f>
        <v>ST Pharm</v>
      </c>
      <c r="S1169" s="41">
        <f t="shared" si="129"/>
        <v>48700</v>
      </c>
      <c r="T1169" s="30">
        <f t="shared" si="130"/>
        <v>0</v>
      </c>
      <c r="AB1169">
        <f t="shared" si="132"/>
        <v>411.04000000000008</v>
      </c>
    </row>
    <row r="1170" spans="1:28" ht="13" customHeight="1" x14ac:dyDescent="0.35">
      <c r="A1170" s="153">
        <v>48853</v>
      </c>
      <c r="B1170" s="36" t="s">
        <v>54</v>
      </c>
      <c r="C1170" s="15" t="s">
        <v>52</v>
      </c>
      <c r="D1170" s="15" t="s">
        <v>48</v>
      </c>
      <c r="E1170" s="30">
        <f>H1169</f>
        <v>128.80000000000004</v>
      </c>
      <c r="F1170" s="37">
        <f>IFERROR('Production Inputs'!$CZ$37*Dependencies!$D$13,0)</f>
        <v>0</v>
      </c>
      <c r="G1170" s="37">
        <f t="array" ref="G1170">IFERROR(SUMPRODUCT(('Production Inputs'!$A:$A="APAD")*('Production Inputs'!$B:$B="TOTAL ACTIVE")*'Production Inputs'!$CZ:$CZ),0)</f>
        <v>0</v>
      </c>
      <c r="H1170" s="30">
        <f t="shared" si="126"/>
        <v>128.80000000000004</v>
      </c>
      <c r="I1170" s="30">
        <f ca="1">IFERROR(AVERAGEIF(OFFSET(F1170,0,0,MIN(Controls!$B$8,COUNTIF(B1170:B$1973,B1170)),1),"&gt;"&amp;0),0)</f>
        <v>0</v>
      </c>
      <c r="J1170" s="38">
        <f t="shared" ca="1" si="127"/>
        <v>999</v>
      </c>
      <c r="K1170" s="30">
        <f t="shared" ca="1" si="131"/>
        <v>0</v>
      </c>
      <c r="L1170" t="str">
        <f t="shared" ca="1" si="128"/>
        <v>Overstock</v>
      </c>
      <c r="M1170" s="39">
        <f>IFERROR(VLOOKUP("APAD",Controls!A:I,7,0),6)</f>
        <v>4</v>
      </c>
      <c r="N1170" s="39">
        <f>IFERROR(VLOOKUP("APAD",Controls!A:I,8,0),3)</f>
        <v>3</v>
      </c>
      <c r="O1170" s="39">
        <f>IFERROR(VLOOKUP("APAD",Controls!A:I,9,0),18)</f>
        <v>12</v>
      </c>
      <c r="P1170" s="40">
        <f>IFERROR(VLOOKUP("APAD",Controls!A:J,5,0),0)</f>
        <v>165</v>
      </c>
      <c r="Q1170" s="39">
        <f>IFERROR(VLOOKUP("APAD",Controls!A:J,6,0),3)</f>
        <v>4</v>
      </c>
      <c r="R1170" s="21" t="str">
        <f>IFERROR(VLOOKUP("APAD",Controls!A:K,10,0),"")</f>
        <v>ST Pharm</v>
      </c>
      <c r="S1170" s="41">
        <f t="shared" si="129"/>
        <v>48731</v>
      </c>
      <c r="T1170" s="30">
        <f t="shared" si="130"/>
        <v>0</v>
      </c>
      <c r="AB1170">
        <f t="shared" si="132"/>
        <v>411.04000000000008</v>
      </c>
    </row>
    <row r="1171" spans="1:28" ht="13" customHeight="1" x14ac:dyDescent="0.35">
      <c r="A1171" s="153">
        <v>48884</v>
      </c>
      <c r="B1171" s="36" t="s">
        <v>54</v>
      </c>
      <c r="C1171" s="15" t="s">
        <v>52</v>
      </c>
      <c r="D1171" s="15" t="s">
        <v>48</v>
      </c>
      <c r="E1171" s="30">
        <f>H1170</f>
        <v>128.80000000000004</v>
      </c>
      <c r="F1171" s="37">
        <f>IFERROR('Production Inputs'!$DA$37*Dependencies!$D$13,0)</f>
        <v>0</v>
      </c>
      <c r="G1171" s="37">
        <f t="array" ref="G1171">IFERROR(SUMPRODUCT(('Production Inputs'!$A:$A="APAD")*('Production Inputs'!$B:$B="TOTAL ACTIVE")*'Production Inputs'!$DA:$DA),0)</f>
        <v>0</v>
      </c>
      <c r="H1171" s="30">
        <f t="shared" si="126"/>
        <v>128.80000000000004</v>
      </c>
      <c r="I1171" s="30">
        <f ca="1">IFERROR(AVERAGEIF(OFFSET(F1171,0,0,MIN(Controls!$B$8,COUNTIF(B1171:B$1973,B1171)),1),"&gt;"&amp;0),0)</f>
        <v>0</v>
      </c>
      <c r="J1171" s="38">
        <f t="shared" ca="1" si="127"/>
        <v>999</v>
      </c>
      <c r="K1171" s="30">
        <f t="shared" ca="1" si="131"/>
        <v>0</v>
      </c>
      <c r="L1171" t="str">
        <f t="shared" ca="1" si="128"/>
        <v>Overstock</v>
      </c>
      <c r="M1171" s="39">
        <f>IFERROR(VLOOKUP("APAD",Controls!A:I,7,0),6)</f>
        <v>4</v>
      </c>
      <c r="N1171" s="39">
        <f>IFERROR(VLOOKUP("APAD",Controls!A:I,8,0),3)</f>
        <v>3</v>
      </c>
      <c r="O1171" s="39">
        <f>IFERROR(VLOOKUP("APAD",Controls!A:I,9,0),18)</f>
        <v>12</v>
      </c>
      <c r="P1171" s="40">
        <f>IFERROR(VLOOKUP("APAD",Controls!A:J,5,0),0)</f>
        <v>165</v>
      </c>
      <c r="Q1171" s="39">
        <f>IFERROR(VLOOKUP("APAD",Controls!A:J,6,0),3)</f>
        <v>4</v>
      </c>
      <c r="R1171" s="21" t="str">
        <f>IFERROR(VLOOKUP("APAD",Controls!A:K,10,0),"")</f>
        <v>ST Pharm</v>
      </c>
      <c r="S1171" s="41">
        <f t="shared" si="129"/>
        <v>48761</v>
      </c>
      <c r="T1171" s="30">
        <f t="shared" si="130"/>
        <v>0</v>
      </c>
      <c r="AB1171">
        <f t="shared" si="132"/>
        <v>411.04000000000008</v>
      </c>
    </row>
    <row r="1172" spans="1:28" ht="13" customHeight="1" x14ac:dyDescent="0.35">
      <c r="A1172" s="153">
        <v>48914</v>
      </c>
      <c r="B1172" s="36" t="s">
        <v>54</v>
      </c>
      <c r="C1172" s="15" t="s">
        <v>52</v>
      </c>
      <c r="D1172" s="15" t="s">
        <v>48</v>
      </c>
      <c r="E1172" s="30">
        <f>H1171</f>
        <v>128.80000000000004</v>
      </c>
      <c r="F1172" s="37">
        <f>IFERROR('Production Inputs'!$DB$37*Dependencies!$D$13,0)</f>
        <v>0</v>
      </c>
      <c r="G1172" s="37">
        <f t="array" ref="G1172">IFERROR(SUMPRODUCT(('Production Inputs'!$A:$A="APAD")*('Production Inputs'!$B:$B="TOTAL ACTIVE")*'Production Inputs'!$DB:$DB),0)</f>
        <v>0</v>
      </c>
      <c r="H1172" s="30">
        <f t="shared" si="126"/>
        <v>128.80000000000004</v>
      </c>
      <c r="I1172" s="30">
        <f ca="1">IFERROR(AVERAGEIF(OFFSET(F1172,0,0,MIN(Controls!$B$8,COUNTIF(B1172:B$1973,B1172)),1),"&gt;"&amp;0),0)</f>
        <v>0</v>
      </c>
      <c r="J1172" s="38">
        <f t="shared" ca="1" si="127"/>
        <v>999</v>
      </c>
      <c r="K1172" s="30">
        <f t="shared" ca="1" si="131"/>
        <v>0</v>
      </c>
      <c r="L1172" t="str">
        <f t="shared" ca="1" si="128"/>
        <v>Overstock</v>
      </c>
      <c r="M1172" s="39">
        <f>IFERROR(VLOOKUP("APAD",Controls!A:I,7,0),6)</f>
        <v>4</v>
      </c>
      <c r="N1172" s="39">
        <f>IFERROR(VLOOKUP("APAD",Controls!A:I,8,0),3)</f>
        <v>3</v>
      </c>
      <c r="O1172" s="39">
        <f>IFERROR(VLOOKUP("APAD",Controls!A:I,9,0),18)</f>
        <v>12</v>
      </c>
      <c r="P1172" s="40">
        <f>IFERROR(VLOOKUP("APAD",Controls!A:J,5,0),0)</f>
        <v>165</v>
      </c>
      <c r="Q1172" s="39">
        <f>IFERROR(VLOOKUP("APAD",Controls!A:J,6,0),3)</f>
        <v>4</v>
      </c>
      <c r="R1172" s="21" t="str">
        <f>IFERROR(VLOOKUP("APAD",Controls!A:K,10,0),"")</f>
        <v>ST Pharm</v>
      </c>
      <c r="S1172" s="41">
        <f t="shared" si="129"/>
        <v>48792</v>
      </c>
      <c r="T1172" s="30">
        <f t="shared" si="130"/>
        <v>0</v>
      </c>
      <c r="AB1172">
        <f t="shared" si="132"/>
        <v>411.04000000000008</v>
      </c>
    </row>
    <row r="1173" spans="1:28" ht="13" customHeight="1" x14ac:dyDescent="0.35">
      <c r="A1173" s="153">
        <v>48945</v>
      </c>
      <c r="B1173" s="36" t="s">
        <v>54</v>
      </c>
      <c r="C1173" s="15" t="s">
        <v>52</v>
      </c>
      <c r="D1173" s="15" t="s">
        <v>48</v>
      </c>
      <c r="E1173" s="30">
        <f>H1172</f>
        <v>128.80000000000004</v>
      </c>
      <c r="F1173" s="37">
        <f>IFERROR('Production Inputs'!$DC$37*Dependencies!$D$13,0)</f>
        <v>0</v>
      </c>
      <c r="G1173" s="37">
        <f t="array" ref="G1173">IFERROR(SUMPRODUCT(('Production Inputs'!$A:$A="APAD")*('Production Inputs'!$B:$B="TOTAL ACTIVE")*'Production Inputs'!$DC:$DC),0)</f>
        <v>0</v>
      </c>
      <c r="H1173" s="30">
        <f t="shared" si="126"/>
        <v>128.80000000000004</v>
      </c>
      <c r="I1173" s="30">
        <f ca="1">IFERROR(AVERAGEIF(OFFSET(F1173,0,0,MIN(Controls!$B$8,COUNTIF(B1173:B$1973,B1173)),1),"&gt;"&amp;0),0)</f>
        <v>0</v>
      </c>
      <c r="J1173" s="38">
        <f t="shared" ca="1" si="127"/>
        <v>999</v>
      </c>
      <c r="K1173" s="30">
        <f t="shared" ca="1" si="131"/>
        <v>0</v>
      </c>
      <c r="L1173" t="str">
        <f t="shared" ca="1" si="128"/>
        <v>Overstock</v>
      </c>
      <c r="M1173" s="39">
        <f>IFERROR(VLOOKUP("APAD",Controls!A:I,7,0),6)</f>
        <v>4</v>
      </c>
      <c r="N1173" s="39">
        <f>IFERROR(VLOOKUP("APAD",Controls!A:I,8,0),3)</f>
        <v>3</v>
      </c>
      <c r="O1173" s="39">
        <f>IFERROR(VLOOKUP("APAD",Controls!A:I,9,0),18)</f>
        <v>12</v>
      </c>
      <c r="P1173" s="40">
        <f>IFERROR(VLOOKUP("APAD",Controls!A:J,5,0),0)</f>
        <v>165</v>
      </c>
      <c r="Q1173" s="39">
        <f>IFERROR(VLOOKUP("APAD",Controls!A:J,6,0),3)</f>
        <v>4</v>
      </c>
      <c r="R1173" s="21" t="str">
        <f>IFERROR(VLOOKUP("APAD",Controls!A:K,10,0),"")</f>
        <v>ST Pharm</v>
      </c>
      <c r="S1173" s="41">
        <f t="shared" si="129"/>
        <v>48823</v>
      </c>
      <c r="T1173" s="30">
        <f t="shared" si="130"/>
        <v>0</v>
      </c>
      <c r="AB1173">
        <f t="shared" si="132"/>
        <v>411.04000000000008</v>
      </c>
    </row>
    <row r="1174" spans="1:28" ht="13" customHeight="1" x14ac:dyDescent="0.35">
      <c r="A1174" s="153">
        <v>48976</v>
      </c>
      <c r="B1174" s="36" t="s">
        <v>54</v>
      </c>
      <c r="C1174" s="15" t="s">
        <v>52</v>
      </c>
      <c r="D1174" s="15" t="s">
        <v>48</v>
      </c>
      <c r="E1174" s="30">
        <f>H1173</f>
        <v>128.80000000000004</v>
      </c>
      <c r="F1174" s="37">
        <f>IFERROR('Production Inputs'!$DD$37*Dependencies!$D$13,0)</f>
        <v>0</v>
      </c>
      <c r="G1174" s="37">
        <f t="array" ref="G1174">IFERROR(SUMPRODUCT(('Production Inputs'!$A:$A="APAD")*('Production Inputs'!$B:$B="TOTAL ACTIVE")*'Production Inputs'!$DD:$DD),0)</f>
        <v>0</v>
      </c>
      <c r="H1174" s="30">
        <f t="shared" si="126"/>
        <v>128.80000000000004</v>
      </c>
      <c r="I1174" s="30">
        <f ca="1">IFERROR(AVERAGEIF(OFFSET(F1174,0,0,MIN(Controls!$B$8,COUNTIF(B1174:B$1973,B1174)),1),"&gt;"&amp;0),0)</f>
        <v>0</v>
      </c>
      <c r="J1174" s="38">
        <f t="shared" ca="1" si="127"/>
        <v>999</v>
      </c>
      <c r="K1174" s="30">
        <f t="shared" ca="1" si="131"/>
        <v>0</v>
      </c>
      <c r="L1174" t="str">
        <f t="shared" ca="1" si="128"/>
        <v>Overstock</v>
      </c>
      <c r="M1174" s="39">
        <f>IFERROR(VLOOKUP("APAD",Controls!A:I,7,0),6)</f>
        <v>4</v>
      </c>
      <c r="N1174" s="39">
        <f>IFERROR(VLOOKUP("APAD",Controls!A:I,8,0),3)</f>
        <v>3</v>
      </c>
      <c r="O1174" s="39">
        <f>IFERROR(VLOOKUP("APAD",Controls!A:I,9,0),18)</f>
        <v>12</v>
      </c>
      <c r="P1174" s="40">
        <f>IFERROR(VLOOKUP("APAD",Controls!A:J,5,0),0)</f>
        <v>165</v>
      </c>
      <c r="Q1174" s="39">
        <f>IFERROR(VLOOKUP("APAD",Controls!A:J,6,0),3)</f>
        <v>4</v>
      </c>
      <c r="R1174" s="21" t="str">
        <f>IFERROR(VLOOKUP("APAD",Controls!A:K,10,0),"")</f>
        <v>ST Pharm</v>
      </c>
      <c r="S1174" s="41">
        <f t="shared" si="129"/>
        <v>48853</v>
      </c>
      <c r="T1174" s="30">
        <f t="shared" si="130"/>
        <v>0</v>
      </c>
      <c r="AB1174">
        <f t="shared" si="132"/>
        <v>411.04000000000008</v>
      </c>
    </row>
    <row r="1175" spans="1:28" ht="13" customHeight="1" x14ac:dyDescent="0.35">
      <c r="A1175" s="153">
        <v>49004</v>
      </c>
      <c r="B1175" s="36" t="s">
        <v>54</v>
      </c>
      <c r="C1175" s="15" t="s">
        <v>52</v>
      </c>
      <c r="D1175" s="15" t="s">
        <v>48</v>
      </c>
      <c r="E1175" s="30">
        <f>H1174</f>
        <v>128.80000000000004</v>
      </c>
      <c r="F1175" s="37">
        <f>IFERROR('Production Inputs'!$DE$37*Dependencies!$D$13,0)</f>
        <v>0</v>
      </c>
      <c r="G1175" s="37">
        <f t="array" ref="G1175">IFERROR(SUMPRODUCT(('Production Inputs'!$A:$A="APAD")*('Production Inputs'!$B:$B="TOTAL ACTIVE")*'Production Inputs'!$DE:$DE),0)</f>
        <v>0</v>
      </c>
      <c r="H1175" s="30">
        <f t="shared" si="126"/>
        <v>128.80000000000004</v>
      </c>
      <c r="I1175" s="30">
        <f ca="1">IFERROR(AVERAGEIF(OFFSET(F1175,0,0,MIN(Controls!$B$8,COUNTIF(B1175:B$1973,B1175)),1),"&gt;"&amp;0),0)</f>
        <v>0</v>
      </c>
      <c r="J1175" s="38">
        <f t="shared" ca="1" si="127"/>
        <v>999</v>
      </c>
      <c r="K1175" s="30">
        <f t="shared" ca="1" si="131"/>
        <v>0</v>
      </c>
      <c r="L1175" t="str">
        <f t="shared" ca="1" si="128"/>
        <v>Overstock</v>
      </c>
      <c r="M1175" s="39">
        <f>IFERROR(VLOOKUP("APAD",Controls!A:I,7,0),6)</f>
        <v>4</v>
      </c>
      <c r="N1175" s="39">
        <f>IFERROR(VLOOKUP("APAD",Controls!A:I,8,0),3)</f>
        <v>3</v>
      </c>
      <c r="O1175" s="39">
        <f>IFERROR(VLOOKUP("APAD",Controls!A:I,9,0),18)</f>
        <v>12</v>
      </c>
      <c r="P1175" s="40">
        <f>IFERROR(VLOOKUP("APAD",Controls!A:J,5,0),0)</f>
        <v>165</v>
      </c>
      <c r="Q1175" s="39">
        <f>IFERROR(VLOOKUP("APAD",Controls!A:J,6,0),3)</f>
        <v>4</v>
      </c>
      <c r="R1175" s="21" t="str">
        <f>IFERROR(VLOOKUP("APAD",Controls!A:K,10,0),"")</f>
        <v>ST Pharm</v>
      </c>
      <c r="S1175" s="41">
        <f t="shared" si="129"/>
        <v>48884</v>
      </c>
      <c r="T1175" s="30">
        <f t="shared" si="130"/>
        <v>0</v>
      </c>
      <c r="AB1175">
        <f t="shared" si="132"/>
        <v>411.04000000000008</v>
      </c>
    </row>
    <row r="1176" spans="1:28" ht="13" customHeight="1" x14ac:dyDescent="0.35">
      <c r="A1176" s="153">
        <v>49035</v>
      </c>
      <c r="B1176" s="36" t="s">
        <v>54</v>
      </c>
      <c r="C1176" s="15" t="s">
        <v>52</v>
      </c>
      <c r="D1176" s="15" t="s">
        <v>48</v>
      </c>
      <c r="E1176" s="30">
        <f>H1175</f>
        <v>128.80000000000004</v>
      </c>
      <c r="F1176" s="37">
        <f>IFERROR('Production Inputs'!$DF$37*Dependencies!$D$13,0)</f>
        <v>0</v>
      </c>
      <c r="G1176" s="37">
        <f t="array" ref="G1176">IFERROR(SUMPRODUCT(('Production Inputs'!$A:$A="APAD")*('Production Inputs'!$B:$B="TOTAL ACTIVE")*'Production Inputs'!$DF:$DF),0)</f>
        <v>0</v>
      </c>
      <c r="H1176" s="30">
        <f t="shared" si="126"/>
        <v>128.80000000000004</v>
      </c>
      <c r="I1176" s="30">
        <f ca="1">IFERROR(AVERAGEIF(OFFSET(F1176,0,0,MIN(Controls!$B$8,COUNTIF(B1176:B$1973,B1176)),1),"&gt;"&amp;0),0)</f>
        <v>0</v>
      </c>
      <c r="J1176" s="38">
        <f t="shared" ca="1" si="127"/>
        <v>999</v>
      </c>
      <c r="K1176" s="30">
        <f t="shared" ca="1" si="131"/>
        <v>0</v>
      </c>
      <c r="L1176" t="str">
        <f t="shared" ca="1" si="128"/>
        <v>Overstock</v>
      </c>
      <c r="M1176" s="39">
        <f>IFERROR(VLOOKUP("APAD",Controls!A:I,7,0),6)</f>
        <v>4</v>
      </c>
      <c r="N1176" s="39">
        <f>IFERROR(VLOOKUP("APAD",Controls!A:I,8,0),3)</f>
        <v>3</v>
      </c>
      <c r="O1176" s="39">
        <f>IFERROR(VLOOKUP("APAD",Controls!A:I,9,0),18)</f>
        <v>12</v>
      </c>
      <c r="P1176" s="40">
        <f>IFERROR(VLOOKUP("APAD",Controls!A:J,5,0),0)</f>
        <v>165</v>
      </c>
      <c r="Q1176" s="39">
        <f>IFERROR(VLOOKUP("APAD",Controls!A:J,6,0),3)</f>
        <v>4</v>
      </c>
      <c r="R1176" s="21" t="str">
        <f>IFERROR(VLOOKUP("APAD",Controls!A:K,10,0),"")</f>
        <v>ST Pharm</v>
      </c>
      <c r="S1176" s="41">
        <f t="shared" si="129"/>
        <v>48914</v>
      </c>
      <c r="T1176" s="30">
        <f t="shared" si="130"/>
        <v>0</v>
      </c>
      <c r="AB1176">
        <f t="shared" si="132"/>
        <v>411.04000000000008</v>
      </c>
    </row>
    <row r="1177" spans="1:28" ht="13" customHeight="1" x14ac:dyDescent="0.35">
      <c r="A1177" s="153">
        <v>49065</v>
      </c>
      <c r="B1177" s="36" t="s">
        <v>54</v>
      </c>
      <c r="C1177" s="15" t="s">
        <v>52</v>
      </c>
      <c r="D1177" s="15" t="s">
        <v>48</v>
      </c>
      <c r="E1177" s="30">
        <f>H1176</f>
        <v>128.80000000000004</v>
      </c>
      <c r="F1177" s="37">
        <f>IFERROR('Production Inputs'!$DG$37*Dependencies!$D$13,0)</f>
        <v>0</v>
      </c>
      <c r="G1177" s="37">
        <f t="array" ref="G1177">IFERROR(SUMPRODUCT(('Production Inputs'!$A:$A="APAD")*('Production Inputs'!$B:$B="TOTAL ACTIVE")*'Production Inputs'!$DG:$DG),0)</f>
        <v>0</v>
      </c>
      <c r="H1177" s="30">
        <f t="shared" si="126"/>
        <v>128.80000000000004</v>
      </c>
      <c r="I1177" s="30">
        <f ca="1">IFERROR(AVERAGEIF(OFFSET(F1177,0,0,MIN(Controls!$B$8,COUNTIF(B1177:B$1973,B1177)),1),"&gt;"&amp;0),0)</f>
        <v>0</v>
      </c>
      <c r="J1177" s="38">
        <f t="shared" ca="1" si="127"/>
        <v>999</v>
      </c>
      <c r="K1177" s="30">
        <f t="shared" ca="1" si="131"/>
        <v>0</v>
      </c>
      <c r="L1177" t="str">
        <f t="shared" ca="1" si="128"/>
        <v>Overstock</v>
      </c>
      <c r="M1177" s="39">
        <f>IFERROR(VLOOKUP("APAD",Controls!A:I,7,0),6)</f>
        <v>4</v>
      </c>
      <c r="N1177" s="39">
        <f>IFERROR(VLOOKUP("APAD",Controls!A:I,8,0),3)</f>
        <v>3</v>
      </c>
      <c r="O1177" s="39">
        <f>IFERROR(VLOOKUP("APAD",Controls!A:I,9,0),18)</f>
        <v>12</v>
      </c>
      <c r="P1177" s="40">
        <f>IFERROR(VLOOKUP("APAD",Controls!A:J,5,0),0)</f>
        <v>165</v>
      </c>
      <c r="Q1177" s="39">
        <f>IFERROR(VLOOKUP("APAD",Controls!A:J,6,0),3)</f>
        <v>4</v>
      </c>
      <c r="R1177" s="21" t="str">
        <f>IFERROR(VLOOKUP("APAD",Controls!A:K,10,0),"")</f>
        <v>ST Pharm</v>
      </c>
      <c r="S1177" s="41">
        <f t="shared" si="129"/>
        <v>48945</v>
      </c>
      <c r="T1177" s="30">
        <f t="shared" si="130"/>
        <v>0</v>
      </c>
      <c r="AB1177">
        <f t="shared" si="132"/>
        <v>411.04000000000008</v>
      </c>
    </row>
    <row r="1178" spans="1:28" ht="13" customHeight="1" x14ac:dyDescent="0.35">
      <c r="A1178" s="153">
        <v>49096</v>
      </c>
      <c r="B1178" s="36" t="s">
        <v>54</v>
      </c>
      <c r="C1178" s="15" t="s">
        <v>52</v>
      </c>
      <c r="D1178" s="15" t="s">
        <v>48</v>
      </c>
      <c r="E1178" s="30">
        <f>H1177</f>
        <v>128.80000000000004</v>
      </c>
      <c r="F1178" s="37">
        <f>IFERROR('Production Inputs'!$DH$37*Dependencies!$D$13,0)</f>
        <v>0</v>
      </c>
      <c r="G1178" s="37">
        <f t="array" ref="G1178">IFERROR(SUMPRODUCT(('Production Inputs'!$A:$A="APAD")*('Production Inputs'!$B:$B="TOTAL ACTIVE")*'Production Inputs'!$DH:$DH),0)</f>
        <v>0</v>
      </c>
      <c r="H1178" s="30">
        <f t="shared" si="126"/>
        <v>128.80000000000004</v>
      </c>
      <c r="I1178" s="30">
        <f ca="1">IFERROR(AVERAGEIF(OFFSET(F1178,0,0,MIN(Controls!$B$8,COUNTIF(B1178:B$1973,B1178)),1),"&gt;"&amp;0),0)</f>
        <v>0</v>
      </c>
      <c r="J1178" s="38">
        <f t="shared" ca="1" si="127"/>
        <v>999</v>
      </c>
      <c r="K1178" s="30">
        <f t="shared" ca="1" si="131"/>
        <v>0</v>
      </c>
      <c r="L1178" t="str">
        <f t="shared" ca="1" si="128"/>
        <v>Overstock</v>
      </c>
      <c r="M1178" s="39">
        <f>IFERROR(VLOOKUP("APAD",Controls!A:I,7,0),6)</f>
        <v>4</v>
      </c>
      <c r="N1178" s="39">
        <f>IFERROR(VLOOKUP("APAD",Controls!A:I,8,0),3)</f>
        <v>3</v>
      </c>
      <c r="O1178" s="39">
        <f>IFERROR(VLOOKUP("APAD",Controls!A:I,9,0),18)</f>
        <v>12</v>
      </c>
      <c r="P1178" s="40">
        <f>IFERROR(VLOOKUP("APAD",Controls!A:J,5,0),0)</f>
        <v>165</v>
      </c>
      <c r="Q1178" s="39">
        <f>IFERROR(VLOOKUP("APAD",Controls!A:J,6,0),3)</f>
        <v>4</v>
      </c>
      <c r="R1178" s="21" t="str">
        <f>IFERROR(VLOOKUP("APAD",Controls!A:K,10,0),"")</f>
        <v>ST Pharm</v>
      </c>
      <c r="S1178" s="41">
        <f t="shared" si="129"/>
        <v>48976</v>
      </c>
      <c r="T1178" s="30">
        <f t="shared" si="130"/>
        <v>0</v>
      </c>
      <c r="AB1178">
        <f t="shared" si="132"/>
        <v>411.04000000000008</v>
      </c>
    </row>
    <row r="1179" spans="1:28" ht="13" customHeight="1" x14ac:dyDescent="0.35">
      <c r="A1179" s="153">
        <v>49126</v>
      </c>
      <c r="B1179" s="36" t="s">
        <v>54</v>
      </c>
      <c r="C1179" s="15" t="s">
        <v>52</v>
      </c>
      <c r="D1179" s="15" t="s">
        <v>48</v>
      </c>
      <c r="E1179" s="30">
        <f>H1178</f>
        <v>128.80000000000004</v>
      </c>
      <c r="F1179" s="37">
        <f>IFERROR('Production Inputs'!$DI$37*Dependencies!$D$13,0)</f>
        <v>0</v>
      </c>
      <c r="G1179" s="37">
        <f t="array" ref="G1179">IFERROR(SUMPRODUCT(('Production Inputs'!$A:$A="APAD")*('Production Inputs'!$B:$B="TOTAL ACTIVE")*'Production Inputs'!$DI:$DI),0)</f>
        <v>0</v>
      </c>
      <c r="H1179" s="30">
        <f t="shared" si="126"/>
        <v>128.80000000000004</v>
      </c>
      <c r="I1179" s="30">
        <f ca="1">IFERROR(AVERAGEIF(OFFSET(F1179,0,0,MIN(Controls!$B$8,COUNTIF(B1179:B$1973,B1179)),1),"&gt;"&amp;0),0)</f>
        <v>0</v>
      </c>
      <c r="J1179" s="38">
        <f t="shared" ca="1" si="127"/>
        <v>999</v>
      </c>
      <c r="K1179" s="30">
        <f t="shared" ca="1" si="131"/>
        <v>0</v>
      </c>
      <c r="L1179" t="str">
        <f t="shared" ca="1" si="128"/>
        <v>Overstock</v>
      </c>
      <c r="M1179" s="39">
        <f>IFERROR(VLOOKUP("APAD",Controls!A:I,7,0),6)</f>
        <v>4</v>
      </c>
      <c r="N1179" s="39">
        <f>IFERROR(VLOOKUP("APAD",Controls!A:I,8,0),3)</f>
        <v>3</v>
      </c>
      <c r="O1179" s="39">
        <f>IFERROR(VLOOKUP("APAD",Controls!A:I,9,0),18)</f>
        <v>12</v>
      </c>
      <c r="P1179" s="40">
        <f>IFERROR(VLOOKUP("APAD",Controls!A:J,5,0),0)</f>
        <v>165</v>
      </c>
      <c r="Q1179" s="39">
        <f>IFERROR(VLOOKUP("APAD",Controls!A:J,6,0),3)</f>
        <v>4</v>
      </c>
      <c r="R1179" s="21" t="str">
        <f>IFERROR(VLOOKUP("APAD",Controls!A:K,10,0),"")</f>
        <v>ST Pharm</v>
      </c>
      <c r="S1179" s="41">
        <f t="shared" si="129"/>
        <v>49004</v>
      </c>
      <c r="T1179" s="30">
        <f t="shared" si="130"/>
        <v>0</v>
      </c>
      <c r="AB1179">
        <f t="shared" si="132"/>
        <v>411.04000000000008</v>
      </c>
    </row>
    <row r="1180" spans="1:28" ht="13" customHeight="1" x14ac:dyDescent="0.35">
      <c r="A1180" s="153">
        <v>49157</v>
      </c>
      <c r="B1180" s="36" t="s">
        <v>54</v>
      </c>
      <c r="C1180" s="15" t="s">
        <v>52</v>
      </c>
      <c r="D1180" s="15" t="s">
        <v>48</v>
      </c>
      <c r="E1180" s="30">
        <f>H1179</f>
        <v>128.80000000000004</v>
      </c>
      <c r="F1180" s="37">
        <f>IFERROR('Production Inputs'!$DJ$37*Dependencies!$D$13,0)</f>
        <v>0</v>
      </c>
      <c r="G1180" s="37">
        <f t="array" ref="G1180">IFERROR(SUMPRODUCT(('Production Inputs'!$A:$A="APAD")*('Production Inputs'!$B:$B="TOTAL ACTIVE")*'Production Inputs'!$DJ:$DJ),0)</f>
        <v>0</v>
      </c>
      <c r="H1180" s="30">
        <f t="shared" si="126"/>
        <v>128.80000000000004</v>
      </c>
      <c r="I1180" s="30">
        <f ca="1">IFERROR(AVERAGEIF(OFFSET(F1180,0,0,MIN(Controls!$B$8,COUNTIF(B1180:B$1973,B1180)),1),"&gt;"&amp;0),0)</f>
        <v>0</v>
      </c>
      <c r="J1180" s="38">
        <f t="shared" ca="1" si="127"/>
        <v>999</v>
      </c>
      <c r="K1180" s="30">
        <f t="shared" ca="1" si="131"/>
        <v>0</v>
      </c>
      <c r="L1180" t="str">
        <f t="shared" ca="1" si="128"/>
        <v>Overstock</v>
      </c>
      <c r="M1180" s="39">
        <f>IFERROR(VLOOKUP("APAD",Controls!A:I,7,0),6)</f>
        <v>4</v>
      </c>
      <c r="N1180" s="39">
        <f>IFERROR(VLOOKUP("APAD",Controls!A:I,8,0),3)</f>
        <v>3</v>
      </c>
      <c r="O1180" s="39">
        <f>IFERROR(VLOOKUP("APAD",Controls!A:I,9,0),18)</f>
        <v>12</v>
      </c>
      <c r="P1180" s="40">
        <f>IFERROR(VLOOKUP("APAD",Controls!A:J,5,0),0)</f>
        <v>165</v>
      </c>
      <c r="Q1180" s="39">
        <f>IFERROR(VLOOKUP("APAD",Controls!A:J,6,0),3)</f>
        <v>4</v>
      </c>
      <c r="R1180" s="21" t="str">
        <f>IFERROR(VLOOKUP("APAD",Controls!A:K,10,0),"")</f>
        <v>ST Pharm</v>
      </c>
      <c r="S1180" s="41">
        <f t="shared" si="129"/>
        <v>49035</v>
      </c>
      <c r="T1180" s="30">
        <f t="shared" si="130"/>
        <v>0</v>
      </c>
      <c r="AB1180">
        <f t="shared" si="132"/>
        <v>411.04000000000008</v>
      </c>
    </row>
    <row r="1181" spans="1:28" ht="13" customHeight="1" x14ac:dyDescent="0.35">
      <c r="A1181" s="153">
        <v>49188</v>
      </c>
      <c r="B1181" s="36" t="s">
        <v>54</v>
      </c>
      <c r="C1181" s="15" t="s">
        <v>52</v>
      </c>
      <c r="D1181" s="15" t="s">
        <v>48</v>
      </c>
      <c r="E1181" s="30">
        <f>H1180</f>
        <v>128.80000000000004</v>
      </c>
      <c r="F1181" s="37">
        <f>IFERROR('Production Inputs'!$DK$37*Dependencies!$D$13,0)</f>
        <v>0</v>
      </c>
      <c r="G1181" s="37">
        <f t="array" ref="G1181">IFERROR(SUMPRODUCT(('Production Inputs'!$A:$A="APAD")*('Production Inputs'!$B:$B="TOTAL ACTIVE")*'Production Inputs'!$DK:$DK),0)</f>
        <v>0</v>
      </c>
      <c r="H1181" s="30">
        <f t="shared" si="126"/>
        <v>128.80000000000004</v>
      </c>
      <c r="I1181" s="30">
        <f ca="1">IFERROR(AVERAGEIF(OFFSET(F1181,0,0,MIN(Controls!$B$8,COUNTIF(B1181:B$1973,B1181)),1),"&gt;"&amp;0),0)</f>
        <v>0</v>
      </c>
      <c r="J1181" s="38">
        <f t="shared" ca="1" si="127"/>
        <v>999</v>
      </c>
      <c r="K1181" s="30">
        <f t="shared" ca="1" si="131"/>
        <v>0</v>
      </c>
      <c r="L1181" t="str">
        <f t="shared" ca="1" si="128"/>
        <v>Overstock</v>
      </c>
      <c r="M1181" s="39">
        <f>IFERROR(VLOOKUP("APAD",Controls!A:I,7,0),6)</f>
        <v>4</v>
      </c>
      <c r="N1181" s="39">
        <f>IFERROR(VLOOKUP("APAD",Controls!A:I,8,0),3)</f>
        <v>3</v>
      </c>
      <c r="O1181" s="39">
        <f>IFERROR(VLOOKUP("APAD",Controls!A:I,9,0),18)</f>
        <v>12</v>
      </c>
      <c r="P1181" s="40">
        <f>IFERROR(VLOOKUP("APAD",Controls!A:J,5,0),0)</f>
        <v>165</v>
      </c>
      <c r="Q1181" s="39">
        <f>IFERROR(VLOOKUP("APAD",Controls!A:J,6,0),3)</f>
        <v>4</v>
      </c>
      <c r="R1181" s="21" t="str">
        <f>IFERROR(VLOOKUP("APAD",Controls!A:K,10,0),"")</f>
        <v>ST Pharm</v>
      </c>
      <c r="S1181" s="41">
        <f t="shared" si="129"/>
        <v>49065</v>
      </c>
      <c r="T1181" s="30">
        <f t="shared" si="130"/>
        <v>0</v>
      </c>
      <c r="AB1181">
        <f t="shared" si="132"/>
        <v>411.04000000000008</v>
      </c>
    </row>
    <row r="1182" spans="1:28" ht="13" customHeight="1" x14ac:dyDescent="0.35">
      <c r="A1182" s="153">
        <v>49218</v>
      </c>
      <c r="B1182" s="36" t="s">
        <v>54</v>
      </c>
      <c r="C1182" s="15" t="s">
        <v>52</v>
      </c>
      <c r="D1182" s="15" t="s">
        <v>48</v>
      </c>
      <c r="E1182" s="30">
        <f>H1181</f>
        <v>128.80000000000004</v>
      </c>
      <c r="F1182" s="37">
        <f>IFERROR('Production Inputs'!$DL$37*Dependencies!$D$13,0)</f>
        <v>0</v>
      </c>
      <c r="G1182" s="37">
        <f t="array" ref="G1182">IFERROR(SUMPRODUCT(('Production Inputs'!$A:$A="APAD")*('Production Inputs'!$B:$B="TOTAL ACTIVE")*'Production Inputs'!$DL:$DL),0)</f>
        <v>0</v>
      </c>
      <c r="H1182" s="30">
        <f t="shared" si="126"/>
        <v>128.80000000000004</v>
      </c>
      <c r="I1182" s="30">
        <f ca="1">IFERROR(AVERAGEIF(OFFSET(F1182,0,0,MIN(Controls!$B$8,COUNTIF(B1182:B$1973,B1182)),1),"&gt;"&amp;0),0)</f>
        <v>0</v>
      </c>
      <c r="J1182" s="38">
        <f t="shared" ca="1" si="127"/>
        <v>999</v>
      </c>
      <c r="K1182" s="30">
        <f t="shared" ca="1" si="131"/>
        <v>0</v>
      </c>
      <c r="L1182" t="str">
        <f t="shared" ca="1" si="128"/>
        <v>Overstock</v>
      </c>
      <c r="M1182" s="39">
        <f>IFERROR(VLOOKUP("APAD",Controls!A:I,7,0),6)</f>
        <v>4</v>
      </c>
      <c r="N1182" s="39">
        <f>IFERROR(VLOOKUP("APAD",Controls!A:I,8,0),3)</f>
        <v>3</v>
      </c>
      <c r="O1182" s="39">
        <f>IFERROR(VLOOKUP("APAD",Controls!A:I,9,0),18)</f>
        <v>12</v>
      </c>
      <c r="P1182" s="40">
        <f>IFERROR(VLOOKUP("APAD",Controls!A:J,5,0),0)</f>
        <v>165</v>
      </c>
      <c r="Q1182" s="39">
        <f>IFERROR(VLOOKUP("APAD",Controls!A:J,6,0),3)</f>
        <v>4</v>
      </c>
      <c r="R1182" s="21" t="str">
        <f>IFERROR(VLOOKUP("APAD",Controls!A:K,10,0),"")</f>
        <v>ST Pharm</v>
      </c>
      <c r="S1182" s="41">
        <f t="shared" si="129"/>
        <v>49096</v>
      </c>
      <c r="T1182" s="30">
        <f t="shared" si="130"/>
        <v>0</v>
      </c>
      <c r="AB1182">
        <f t="shared" si="132"/>
        <v>411.04000000000008</v>
      </c>
    </row>
    <row r="1183" spans="1:28" ht="13" customHeight="1" x14ac:dyDescent="0.35">
      <c r="A1183" s="153">
        <v>49249</v>
      </c>
      <c r="B1183" s="36" t="s">
        <v>54</v>
      </c>
      <c r="C1183" s="15" t="s">
        <v>52</v>
      </c>
      <c r="D1183" s="15" t="s">
        <v>48</v>
      </c>
      <c r="E1183" s="30">
        <f>H1182</f>
        <v>128.80000000000004</v>
      </c>
      <c r="F1183" s="37">
        <f>IFERROR('Production Inputs'!$DM$37*Dependencies!$D$13,0)</f>
        <v>0</v>
      </c>
      <c r="G1183" s="37">
        <f t="array" ref="G1183">IFERROR(SUMPRODUCT(('Production Inputs'!$A:$A="APAD")*('Production Inputs'!$B:$B="TOTAL ACTIVE")*'Production Inputs'!$DM:$DM),0)</f>
        <v>0</v>
      </c>
      <c r="H1183" s="30">
        <f t="shared" si="126"/>
        <v>128.80000000000004</v>
      </c>
      <c r="I1183" s="30">
        <f ca="1">IFERROR(AVERAGEIF(OFFSET(F1183,0,0,MIN(Controls!$B$8,COUNTIF(B1183:B$1973,B1183)),1),"&gt;"&amp;0),0)</f>
        <v>0</v>
      </c>
      <c r="J1183" s="38">
        <f t="shared" ca="1" si="127"/>
        <v>999</v>
      </c>
      <c r="K1183" s="30">
        <f t="shared" ca="1" si="131"/>
        <v>0</v>
      </c>
      <c r="L1183" t="str">
        <f t="shared" ca="1" si="128"/>
        <v>Overstock</v>
      </c>
      <c r="M1183" s="39">
        <f>IFERROR(VLOOKUP("APAD",Controls!A:I,7,0),6)</f>
        <v>4</v>
      </c>
      <c r="N1183" s="39">
        <f>IFERROR(VLOOKUP("APAD",Controls!A:I,8,0),3)</f>
        <v>3</v>
      </c>
      <c r="O1183" s="39">
        <f>IFERROR(VLOOKUP("APAD",Controls!A:I,9,0),18)</f>
        <v>12</v>
      </c>
      <c r="P1183" s="40">
        <f>IFERROR(VLOOKUP("APAD",Controls!A:J,5,0),0)</f>
        <v>165</v>
      </c>
      <c r="Q1183" s="39">
        <f>IFERROR(VLOOKUP("APAD",Controls!A:J,6,0),3)</f>
        <v>4</v>
      </c>
      <c r="R1183" s="21" t="str">
        <f>IFERROR(VLOOKUP("APAD",Controls!A:K,10,0),"")</f>
        <v>ST Pharm</v>
      </c>
      <c r="S1183" s="41">
        <f t="shared" si="129"/>
        <v>49126</v>
      </c>
      <c r="T1183" s="30">
        <f t="shared" si="130"/>
        <v>0</v>
      </c>
      <c r="AB1183">
        <f t="shared" si="132"/>
        <v>411.04000000000008</v>
      </c>
    </row>
    <row r="1184" spans="1:28" ht="13" customHeight="1" x14ac:dyDescent="0.35">
      <c r="A1184" s="153">
        <v>49279</v>
      </c>
      <c r="B1184" s="36" t="s">
        <v>54</v>
      </c>
      <c r="C1184" s="15" t="s">
        <v>52</v>
      </c>
      <c r="D1184" s="15" t="s">
        <v>48</v>
      </c>
      <c r="E1184" s="30">
        <f>H1183</f>
        <v>128.80000000000004</v>
      </c>
      <c r="F1184" s="37">
        <f>IFERROR('Production Inputs'!$DN$37*Dependencies!$D$13,0)</f>
        <v>0</v>
      </c>
      <c r="G1184" s="37">
        <f t="array" ref="G1184">IFERROR(SUMPRODUCT(('Production Inputs'!$A:$A="APAD")*('Production Inputs'!$B:$B="TOTAL ACTIVE")*'Production Inputs'!$DN:$DN),0)</f>
        <v>0</v>
      </c>
      <c r="H1184" s="30">
        <f t="shared" si="126"/>
        <v>128.80000000000004</v>
      </c>
      <c r="I1184" s="30">
        <f ca="1">IFERROR(AVERAGEIF(OFFSET(F1184,0,0,MIN(Controls!$B$8,COUNTIF(B1184:B$1973,B1184)),1),"&gt;"&amp;0),0)</f>
        <v>0</v>
      </c>
      <c r="J1184" s="38">
        <f t="shared" ca="1" si="127"/>
        <v>999</v>
      </c>
      <c r="K1184" s="30">
        <f t="shared" ca="1" si="131"/>
        <v>0</v>
      </c>
      <c r="L1184" t="str">
        <f t="shared" ca="1" si="128"/>
        <v>Overstock</v>
      </c>
      <c r="M1184" s="39">
        <f>IFERROR(VLOOKUP("APAD",Controls!A:I,7,0),6)</f>
        <v>4</v>
      </c>
      <c r="N1184" s="39">
        <f>IFERROR(VLOOKUP("APAD",Controls!A:I,8,0),3)</f>
        <v>3</v>
      </c>
      <c r="O1184" s="39">
        <f>IFERROR(VLOOKUP("APAD",Controls!A:I,9,0),18)</f>
        <v>12</v>
      </c>
      <c r="P1184" s="40">
        <f>IFERROR(VLOOKUP("APAD",Controls!A:J,5,0),0)</f>
        <v>165</v>
      </c>
      <c r="Q1184" s="39">
        <f>IFERROR(VLOOKUP("APAD",Controls!A:J,6,0),3)</f>
        <v>4</v>
      </c>
      <c r="R1184" s="21" t="str">
        <f>IFERROR(VLOOKUP("APAD",Controls!A:K,10,0),"")</f>
        <v>ST Pharm</v>
      </c>
      <c r="S1184" s="41">
        <f t="shared" si="129"/>
        <v>49157</v>
      </c>
      <c r="T1184" s="30">
        <f t="shared" si="130"/>
        <v>0</v>
      </c>
      <c r="AB1184">
        <f t="shared" si="132"/>
        <v>411.04000000000008</v>
      </c>
    </row>
    <row r="1185" spans="1:28" ht="13" customHeight="1" x14ac:dyDescent="0.35">
      <c r="A1185" s="153">
        <v>49310</v>
      </c>
      <c r="B1185" s="36" t="s">
        <v>54</v>
      </c>
      <c r="C1185" s="15" t="s">
        <v>52</v>
      </c>
      <c r="D1185" s="15" t="s">
        <v>48</v>
      </c>
      <c r="E1185" s="30">
        <f>H1184</f>
        <v>128.80000000000004</v>
      </c>
      <c r="F1185" s="37">
        <f>IFERROR('Production Inputs'!$DO$37*Dependencies!$D$13,0)</f>
        <v>0</v>
      </c>
      <c r="G1185" s="37">
        <f t="array" ref="G1185">IFERROR(SUMPRODUCT(('Production Inputs'!$A:$A="APAD")*('Production Inputs'!$B:$B="TOTAL ACTIVE")*'Production Inputs'!$DO:$DO),0)</f>
        <v>0</v>
      </c>
      <c r="H1185" s="30">
        <f t="shared" si="126"/>
        <v>128.80000000000004</v>
      </c>
      <c r="I1185" s="30">
        <f ca="1">IFERROR(AVERAGEIF(OFFSET(F1185,0,0,MIN(Controls!$B$8,COUNTIF(B1185:B$1973,B1185)),1),"&gt;"&amp;0),0)</f>
        <v>0</v>
      </c>
      <c r="J1185" s="38">
        <f t="shared" ca="1" si="127"/>
        <v>999</v>
      </c>
      <c r="K1185" s="30">
        <f t="shared" ca="1" si="131"/>
        <v>0</v>
      </c>
      <c r="L1185" t="str">
        <f t="shared" ca="1" si="128"/>
        <v>Overstock</v>
      </c>
      <c r="M1185" s="39">
        <f>IFERROR(VLOOKUP("APAD",Controls!A:I,7,0),6)</f>
        <v>4</v>
      </c>
      <c r="N1185" s="39">
        <f>IFERROR(VLOOKUP("APAD",Controls!A:I,8,0),3)</f>
        <v>3</v>
      </c>
      <c r="O1185" s="39">
        <f>IFERROR(VLOOKUP("APAD",Controls!A:I,9,0),18)</f>
        <v>12</v>
      </c>
      <c r="P1185" s="40">
        <f>IFERROR(VLOOKUP("APAD",Controls!A:J,5,0),0)</f>
        <v>165</v>
      </c>
      <c r="Q1185" s="39">
        <f>IFERROR(VLOOKUP("APAD",Controls!A:J,6,0),3)</f>
        <v>4</v>
      </c>
      <c r="R1185" s="21" t="str">
        <f>IFERROR(VLOOKUP("APAD",Controls!A:K,10,0),"")</f>
        <v>ST Pharm</v>
      </c>
      <c r="S1185" s="41">
        <f t="shared" si="129"/>
        <v>49188</v>
      </c>
      <c r="T1185" s="30">
        <f t="shared" si="130"/>
        <v>0</v>
      </c>
      <c r="AB1185">
        <f t="shared" si="132"/>
        <v>411.04000000000008</v>
      </c>
    </row>
    <row r="1186" spans="1:28" ht="13" customHeight="1" x14ac:dyDescent="0.35">
      <c r="A1186" s="153">
        <v>49341</v>
      </c>
      <c r="B1186" s="36" t="s">
        <v>54</v>
      </c>
      <c r="C1186" s="15" t="s">
        <v>52</v>
      </c>
      <c r="D1186" s="15" t="s">
        <v>48</v>
      </c>
      <c r="E1186" s="30">
        <f>H1185</f>
        <v>128.80000000000004</v>
      </c>
      <c r="F1186" s="37">
        <f>IFERROR('Production Inputs'!$DP$37*Dependencies!$D$13,0)</f>
        <v>0</v>
      </c>
      <c r="G1186" s="37">
        <f t="array" ref="G1186">IFERROR(SUMPRODUCT(('Production Inputs'!$A:$A="APAD")*('Production Inputs'!$B:$B="TOTAL ACTIVE")*'Production Inputs'!$DP:$DP),0)</f>
        <v>0</v>
      </c>
      <c r="H1186" s="30">
        <f t="shared" si="126"/>
        <v>128.80000000000004</v>
      </c>
      <c r="I1186" s="30">
        <f ca="1">IFERROR(AVERAGEIF(OFFSET(F1186,0,0,MIN(Controls!$B$8,COUNTIF(B1186:B$1973,B1186)),1),"&gt;"&amp;0),0)</f>
        <v>0</v>
      </c>
      <c r="J1186" s="38">
        <f t="shared" ca="1" si="127"/>
        <v>999</v>
      </c>
      <c r="K1186" s="30">
        <f t="shared" ca="1" si="131"/>
        <v>0</v>
      </c>
      <c r="L1186" t="str">
        <f t="shared" ca="1" si="128"/>
        <v>Overstock</v>
      </c>
      <c r="M1186" s="39">
        <f>IFERROR(VLOOKUP("APAD",Controls!A:I,7,0),6)</f>
        <v>4</v>
      </c>
      <c r="N1186" s="39">
        <f>IFERROR(VLOOKUP("APAD",Controls!A:I,8,0),3)</f>
        <v>3</v>
      </c>
      <c r="O1186" s="39">
        <f>IFERROR(VLOOKUP("APAD",Controls!A:I,9,0),18)</f>
        <v>12</v>
      </c>
      <c r="P1186" s="40">
        <f>IFERROR(VLOOKUP("APAD",Controls!A:J,5,0),0)</f>
        <v>165</v>
      </c>
      <c r="Q1186" s="39">
        <f>IFERROR(VLOOKUP("APAD",Controls!A:J,6,0),3)</f>
        <v>4</v>
      </c>
      <c r="R1186" s="21" t="str">
        <f>IFERROR(VLOOKUP("APAD",Controls!A:K,10,0),"")</f>
        <v>ST Pharm</v>
      </c>
      <c r="S1186" s="41">
        <f t="shared" si="129"/>
        <v>49218</v>
      </c>
      <c r="T1186" s="30">
        <f t="shared" si="130"/>
        <v>0</v>
      </c>
      <c r="AB1186">
        <f t="shared" si="132"/>
        <v>411.04000000000008</v>
      </c>
    </row>
    <row r="1187" spans="1:28" ht="13" customHeight="1" x14ac:dyDescent="0.35">
      <c r="A1187" s="153">
        <v>49369</v>
      </c>
      <c r="B1187" s="36" t="s">
        <v>54</v>
      </c>
      <c r="C1187" s="15" t="s">
        <v>52</v>
      </c>
      <c r="D1187" s="15" t="s">
        <v>48</v>
      </c>
      <c r="E1187" s="30">
        <f>H1186</f>
        <v>128.80000000000004</v>
      </c>
      <c r="F1187" s="37">
        <f>IFERROR('Production Inputs'!$DQ$37*Dependencies!$D$13,0)</f>
        <v>0</v>
      </c>
      <c r="G1187" s="37">
        <f t="array" ref="G1187">IFERROR(SUMPRODUCT(('Production Inputs'!$A:$A="APAD")*('Production Inputs'!$B:$B="TOTAL ACTIVE")*'Production Inputs'!$DQ:$DQ),0)</f>
        <v>0</v>
      </c>
      <c r="H1187" s="30">
        <f t="shared" si="126"/>
        <v>128.80000000000004</v>
      </c>
      <c r="I1187" s="30">
        <f ca="1">IFERROR(AVERAGEIF(OFFSET(F1187,0,0,MIN(Controls!$B$8,COUNTIF(B1187:B$1973,B1187)),1),"&gt;"&amp;0),0)</f>
        <v>0</v>
      </c>
      <c r="J1187" s="38">
        <f t="shared" ca="1" si="127"/>
        <v>999</v>
      </c>
      <c r="K1187" s="30">
        <f t="shared" ca="1" si="131"/>
        <v>0</v>
      </c>
      <c r="L1187" t="str">
        <f t="shared" ca="1" si="128"/>
        <v>Overstock</v>
      </c>
      <c r="M1187" s="39">
        <f>IFERROR(VLOOKUP("APAD",Controls!A:I,7,0),6)</f>
        <v>4</v>
      </c>
      <c r="N1187" s="39">
        <f>IFERROR(VLOOKUP("APAD",Controls!A:I,8,0),3)</f>
        <v>3</v>
      </c>
      <c r="O1187" s="39">
        <f>IFERROR(VLOOKUP("APAD",Controls!A:I,9,0),18)</f>
        <v>12</v>
      </c>
      <c r="P1187" s="40">
        <f>IFERROR(VLOOKUP("APAD",Controls!A:J,5,0),0)</f>
        <v>165</v>
      </c>
      <c r="Q1187" s="39">
        <f>IFERROR(VLOOKUP("APAD",Controls!A:J,6,0),3)</f>
        <v>4</v>
      </c>
      <c r="R1187" s="21" t="str">
        <f>IFERROR(VLOOKUP("APAD",Controls!A:K,10,0),"")</f>
        <v>ST Pharm</v>
      </c>
      <c r="S1187" s="41">
        <f t="shared" si="129"/>
        <v>49249</v>
      </c>
      <c r="T1187" s="30">
        <f t="shared" si="130"/>
        <v>0</v>
      </c>
      <c r="AB1187">
        <f t="shared" si="132"/>
        <v>411.04000000000008</v>
      </c>
    </row>
    <row r="1188" spans="1:28" ht="13" customHeight="1" x14ac:dyDescent="0.35">
      <c r="A1188" s="153">
        <v>49400</v>
      </c>
      <c r="B1188" s="36" t="s">
        <v>54</v>
      </c>
      <c r="C1188" s="15" t="s">
        <v>52</v>
      </c>
      <c r="D1188" s="15" t="s">
        <v>48</v>
      </c>
      <c r="E1188" s="30">
        <f>H1187</f>
        <v>128.80000000000004</v>
      </c>
      <c r="F1188" s="37">
        <f>IFERROR('Production Inputs'!$DR$37*Dependencies!$D$13,0)</f>
        <v>0</v>
      </c>
      <c r="G1188" s="37">
        <f t="array" ref="G1188">IFERROR(SUMPRODUCT(('Production Inputs'!$A:$A="APAD")*('Production Inputs'!$B:$B="TOTAL ACTIVE")*'Production Inputs'!$DR:$DR),0)</f>
        <v>0</v>
      </c>
      <c r="H1188" s="30">
        <f t="shared" si="126"/>
        <v>128.80000000000004</v>
      </c>
      <c r="I1188" s="30">
        <f ca="1">IFERROR(AVERAGEIF(OFFSET(F1188,0,0,MIN(Controls!$B$8,COUNTIF(B1188:B$1973,B1188)),1),"&gt;"&amp;0),0)</f>
        <v>0</v>
      </c>
      <c r="J1188" s="38">
        <f t="shared" ca="1" si="127"/>
        <v>999</v>
      </c>
      <c r="K1188" s="30">
        <f t="shared" ca="1" si="131"/>
        <v>0</v>
      </c>
      <c r="L1188" t="str">
        <f t="shared" ca="1" si="128"/>
        <v>Overstock</v>
      </c>
      <c r="M1188" s="39">
        <f>IFERROR(VLOOKUP("APAD",Controls!A:I,7,0),6)</f>
        <v>4</v>
      </c>
      <c r="N1188" s="39">
        <f>IFERROR(VLOOKUP("APAD",Controls!A:I,8,0),3)</f>
        <v>3</v>
      </c>
      <c r="O1188" s="39">
        <f>IFERROR(VLOOKUP("APAD",Controls!A:I,9,0),18)</f>
        <v>12</v>
      </c>
      <c r="P1188" s="40">
        <f>IFERROR(VLOOKUP("APAD",Controls!A:J,5,0),0)</f>
        <v>165</v>
      </c>
      <c r="Q1188" s="39">
        <f>IFERROR(VLOOKUP("APAD",Controls!A:J,6,0),3)</f>
        <v>4</v>
      </c>
      <c r="R1188" s="21" t="str">
        <f>IFERROR(VLOOKUP("APAD",Controls!A:K,10,0),"")</f>
        <v>ST Pharm</v>
      </c>
      <c r="S1188" s="41">
        <f t="shared" si="129"/>
        <v>49279</v>
      </c>
      <c r="T1188" s="30">
        <f t="shared" si="130"/>
        <v>0</v>
      </c>
      <c r="AB1188">
        <f t="shared" si="132"/>
        <v>411.04000000000008</v>
      </c>
    </row>
    <row r="1189" spans="1:28" ht="13" customHeight="1" x14ac:dyDescent="0.35">
      <c r="A1189" s="153">
        <v>49430</v>
      </c>
      <c r="B1189" s="36" t="s">
        <v>54</v>
      </c>
      <c r="C1189" s="15" t="s">
        <v>52</v>
      </c>
      <c r="D1189" s="15" t="s">
        <v>48</v>
      </c>
      <c r="E1189" s="30">
        <f>H1188</f>
        <v>128.80000000000004</v>
      </c>
      <c r="F1189" s="37">
        <f>IFERROR('Production Inputs'!$DS$37*Dependencies!$D$13,0)</f>
        <v>0</v>
      </c>
      <c r="G1189" s="37">
        <f t="array" ref="G1189">IFERROR(SUMPRODUCT(('Production Inputs'!$A:$A="APAD")*('Production Inputs'!$B:$B="TOTAL ACTIVE")*'Production Inputs'!$DS:$DS),0)</f>
        <v>0</v>
      </c>
      <c r="H1189" s="30">
        <f t="shared" si="126"/>
        <v>128.80000000000004</v>
      </c>
      <c r="I1189" s="30">
        <f ca="1">IFERROR(AVERAGEIF(OFFSET(F1189,0,0,MIN(Controls!$B$8,COUNTIF(B1189:B$1973,B1189)),1),"&gt;"&amp;0),0)</f>
        <v>0</v>
      </c>
      <c r="J1189" s="38">
        <f t="shared" ca="1" si="127"/>
        <v>999</v>
      </c>
      <c r="K1189" s="30">
        <f t="shared" ca="1" si="131"/>
        <v>0</v>
      </c>
      <c r="L1189" t="str">
        <f t="shared" ca="1" si="128"/>
        <v>Overstock</v>
      </c>
      <c r="M1189" s="39">
        <f>IFERROR(VLOOKUP("APAD",Controls!A:I,7,0),6)</f>
        <v>4</v>
      </c>
      <c r="N1189" s="39">
        <f>IFERROR(VLOOKUP("APAD",Controls!A:I,8,0),3)</f>
        <v>3</v>
      </c>
      <c r="O1189" s="39">
        <f>IFERROR(VLOOKUP("APAD",Controls!A:I,9,0),18)</f>
        <v>12</v>
      </c>
      <c r="P1189" s="40">
        <f>IFERROR(VLOOKUP("APAD",Controls!A:J,5,0),0)</f>
        <v>165</v>
      </c>
      <c r="Q1189" s="39">
        <f>IFERROR(VLOOKUP("APAD",Controls!A:J,6,0),3)</f>
        <v>4</v>
      </c>
      <c r="R1189" s="21" t="str">
        <f>IFERROR(VLOOKUP("APAD",Controls!A:K,10,0),"")</f>
        <v>ST Pharm</v>
      </c>
      <c r="S1189" s="41">
        <f t="shared" si="129"/>
        <v>49310</v>
      </c>
      <c r="T1189" s="30">
        <f t="shared" si="130"/>
        <v>0</v>
      </c>
      <c r="AB1189">
        <f t="shared" si="132"/>
        <v>411.04000000000008</v>
      </c>
    </row>
    <row r="1190" spans="1:28" ht="13" customHeight="1" x14ac:dyDescent="0.35">
      <c r="A1190" s="153">
        <v>49461</v>
      </c>
      <c r="B1190" s="36" t="s">
        <v>54</v>
      </c>
      <c r="C1190" s="15" t="s">
        <v>52</v>
      </c>
      <c r="D1190" s="15" t="s">
        <v>48</v>
      </c>
      <c r="E1190" s="30">
        <f>H1189</f>
        <v>128.80000000000004</v>
      </c>
      <c r="F1190" s="37">
        <f>IFERROR('Production Inputs'!$DT$37*Dependencies!$D$13,0)</f>
        <v>0</v>
      </c>
      <c r="G1190" s="37">
        <f t="array" ref="G1190">IFERROR(SUMPRODUCT(('Production Inputs'!$A:$A="APAD")*('Production Inputs'!$B:$B="TOTAL ACTIVE")*'Production Inputs'!$DT:$DT),0)</f>
        <v>0</v>
      </c>
      <c r="H1190" s="30">
        <f t="shared" si="126"/>
        <v>128.80000000000004</v>
      </c>
      <c r="I1190" s="30">
        <f ca="1">IFERROR(AVERAGEIF(OFFSET(F1190,0,0,MIN(Controls!$B$8,COUNTIF(B1190:B$1973,B1190)),1),"&gt;"&amp;0),0)</f>
        <v>0</v>
      </c>
      <c r="J1190" s="38">
        <f t="shared" ca="1" si="127"/>
        <v>999</v>
      </c>
      <c r="K1190" s="30">
        <f t="shared" ca="1" si="131"/>
        <v>0</v>
      </c>
      <c r="L1190" t="str">
        <f t="shared" ca="1" si="128"/>
        <v>Overstock</v>
      </c>
      <c r="M1190" s="39">
        <f>IFERROR(VLOOKUP("APAD",Controls!A:I,7,0),6)</f>
        <v>4</v>
      </c>
      <c r="N1190" s="39">
        <f>IFERROR(VLOOKUP("APAD",Controls!A:I,8,0),3)</f>
        <v>3</v>
      </c>
      <c r="O1190" s="39">
        <f>IFERROR(VLOOKUP("APAD",Controls!A:I,9,0),18)</f>
        <v>12</v>
      </c>
      <c r="P1190" s="40">
        <f>IFERROR(VLOOKUP("APAD",Controls!A:J,5,0),0)</f>
        <v>165</v>
      </c>
      <c r="Q1190" s="39">
        <f>IFERROR(VLOOKUP("APAD",Controls!A:J,6,0),3)</f>
        <v>4</v>
      </c>
      <c r="R1190" s="21" t="str">
        <f>IFERROR(VLOOKUP("APAD",Controls!A:K,10,0),"")</f>
        <v>ST Pharm</v>
      </c>
      <c r="S1190" s="41">
        <f t="shared" si="129"/>
        <v>49341</v>
      </c>
      <c r="T1190" s="30">
        <f t="shared" si="130"/>
        <v>0</v>
      </c>
      <c r="AB1190">
        <f t="shared" si="132"/>
        <v>411.04000000000008</v>
      </c>
    </row>
    <row r="1191" spans="1:28" ht="13" customHeight="1" x14ac:dyDescent="0.35">
      <c r="A1191" s="153">
        <v>49491</v>
      </c>
      <c r="B1191" s="36" t="s">
        <v>54</v>
      </c>
      <c r="C1191" s="15" t="s">
        <v>52</v>
      </c>
      <c r="D1191" s="15" t="s">
        <v>48</v>
      </c>
      <c r="E1191" s="30">
        <f>H1190</f>
        <v>128.80000000000004</v>
      </c>
      <c r="F1191" s="37">
        <f>IFERROR('Production Inputs'!$DU$37*Dependencies!$D$13,0)</f>
        <v>0</v>
      </c>
      <c r="G1191" s="37">
        <f t="array" ref="G1191">IFERROR(SUMPRODUCT(('Production Inputs'!$A:$A="APAD")*('Production Inputs'!$B:$B="TOTAL ACTIVE")*'Production Inputs'!$DU:$DU),0)</f>
        <v>0</v>
      </c>
      <c r="H1191" s="30">
        <f t="shared" si="126"/>
        <v>128.80000000000004</v>
      </c>
      <c r="I1191" s="30">
        <f ca="1">IFERROR(AVERAGEIF(OFFSET(F1191,0,0,MIN(Controls!$B$8,COUNTIF(B1191:B$1973,B1191)),1),"&gt;"&amp;0),0)</f>
        <v>0</v>
      </c>
      <c r="J1191" s="38">
        <f t="shared" ca="1" si="127"/>
        <v>999</v>
      </c>
      <c r="K1191" s="30">
        <f t="shared" ca="1" si="131"/>
        <v>0</v>
      </c>
      <c r="L1191" t="str">
        <f t="shared" ca="1" si="128"/>
        <v>Overstock</v>
      </c>
      <c r="M1191" s="39">
        <f>IFERROR(VLOOKUP("APAD",Controls!A:I,7,0),6)</f>
        <v>4</v>
      </c>
      <c r="N1191" s="39">
        <f>IFERROR(VLOOKUP("APAD",Controls!A:I,8,0),3)</f>
        <v>3</v>
      </c>
      <c r="O1191" s="39">
        <f>IFERROR(VLOOKUP("APAD",Controls!A:I,9,0),18)</f>
        <v>12</v>
      </c>
      <c r="P1191" s="40">
        <f>IFERROR(VLOOKUP("APAD",Controls!A:J,5,0),0)</f>
        <v>165</v>
      </c>
      <c r="Q1191" s="39">
        <f>IFERROR(VLOOKUP("APAD",Controls!A:J,6,0),3)</f>
        <v>4</v>
      </c>
      <c r="R1191" s="21" t="str">
        <f>IFERROR(VLOOKUP("APAD",Controls!A:K,10,0),"")</f>
        <v>ST Pharm</v>
      </c>
      <c r="S1191" s="41">
        <f t="shared" si="129"/>
        <v>49369</v>
      </c>
      <c r="T1191" s="30">
        <f t="shared" si="130"/>
        <v>0</v>
      </c>
      <c r="AB1191">
        <f t="shared" si="132"/>
        <v>411.04000000000008</v>
      </c>
    </row>
    <row r="1192" spans="1:28" ht="13" customHeight="1" x14ac:dyDescent="0.35">
      <c r="A1192" s="153">
        <v>49522</v>
      </c>
      <c r="B1192" s="36" t="s">
        <v>54</v>
      </c>
      <c r="C1192" s="15" t="s">
        <v>52</v>
      </c>
      <c r="D1192" s="15" t="s">
        <v>48</v>
      </c>
      <c r="E1192" s="30">
        <f>H1191</f>
        <v>128.80000000000004</v>
      </c>
      <c r="F1192" s="37">
        <f>IFERROR('Production Inputs'!$DV$37*Dependencies!$D$13,0)</f>
        <v>0</v>
      </c>
      <c r="G1192" s="37">
        <f t="array" ref="G1192">IFERROR(SUMPRODUCT(('Production Inputs'!$A:$A="APAD")*('Production Inputs'!$B:$B="TOTAL ACTIVE")*'Production Inputs'!$DV:$DV),0)</f>
        <v>0</v>
      </c>
      <c r="H1192" s="30">
        <f t="shared" si="126"/>
        <v>128.80000000000004</v>
      </c>
      <c r="I1192" s="30">
        <f ca="1">IFERROR(AVERAGEIF(OFFSET(F1192,0,0,MIN(Controls!$B$8,COUNTIF(B1192:B$1973,B1192)),1),"&gt;"&amp;0),0)</f>
        <v>0</v>
      </c>
      <c r="J1192" s="38">
        <f t="shared" ca="1" si="127"/>
        <v>999</v>
      </c>
      <c r="K1192" s="30">
        <f t="shared" ca="1" si="131"/>
        <v>0</v>
      </c>
      <c r="L1192" t="str">
        <f t="shared" ca="1" si="128"/>
        <v>Overstock</v>
      </c>
      <c r="M1192" s="39">
        <f>IFERROR(VLOOKUP("APAD",Controls!A:I,7,0),6)</f>
        <v>4</v>
      </c>
      <c r="N1192" s="39">
        <f>IFERROR(VLOOKUP("APAD",Controls!A:I,8,0),3)</f>
        <v>3</v>
      </c>
      <c r="O1192" s="39">
        <f>IFERROR(VLOOKUP("APAD",Controls!A:I,9,0),18)</f>
        <v>12</v>
      </c>
      <c r="P1192" s="40">
        <f>IFERROR(VLOOKUP("APAD",Controls!A:J,5,0),0)</f>
        <v>165</v>
      </c>
      <c r="Q1192" s="39">
        <f>IFERROR(VLOOKUP("APAD",Controls!A:J,6,0),3)</f>
        <v>4</v>
      </c>
      <c r="R1192" s="21" t="str">
        <f>IFERROR(VLOOKUP("APAD",Controls!A:K,10,0),"")</f>
        <v>ST Pharm</v>
      </c>
      <c r="S1192" s="41">
        <f t="shared" si="129"/>
        <v>49400</v>
      </c>
      <c r="T1192" s="30">
        <f t="shared" si="130"/>
        <v>0</v>
      </c>
      <c r="AB1192">
        <f t="shared" si="132"/>
        <v>411.04000000000008</v>
      </c>
    </row>
    <row r="1193" spans="1:28" ht="13" customHeight="1" x14ac:dyDescent="0.35">
      <c r="A1193" s="153">
        <v>49553</v>
      </c>
      <c r="B1193" s="36" t="s">
        <v>54</v>
      </c>
      <c r="C1193" s="15" t="s">
        <v>52</v>
      </c>
      <c r="D1193" s="15" t="s">
        <v>48</v>
      </c>
      <c r="E1193" s="30">
        <f>H1192</f>
        <v>128.80000000000004</v>
      </c>
      <c r="F1193" s="37">
        <f>IFERROR('Production Inputs'!$DW$37*Dependencies!$D$13,0)</f>
        <v>0</v>
      </c>
      <c r="G1193" s="37">
        <f t="array" ref="G1193">IFERROR(SUMPRODUCT(('Production Inputs'!$A:$A="APAD")*('Production Inputs'!$B:$B="TOTAL ACTIVE")*'Production Inputs'!$DW:$DW),0)</f>
        <v>0</v>
      </c>
      <c r="H1193" s="30">
        <f t="shared" si="126"/>
        <v>128.80000000000004</v>
      </c>
      <c r="I1193" s="30">
        <f ca="1">IFERROR(AVERAGEIF(OFFSET(F1193,0,0,MIN(Controls!$B$8,COUNTIF(B1193:B$1973,B1193)),1),"&gt;"&amp;0),0)</f>
        <v>0</v>
      </c>
      <c r="J1193" s="38">
        <f t="shared" ca="1" si="127"/>
        <v>999</v>
      </c>
      <c r="K1193" s="30">
        <f t="shared" ca="1" si="131"/>
        <v>0</v>
      </c>
      <c r="L1193" t="str">
        <f t="shared" ca="1" si="128"/>
        <v>Overstock</v>
      </c>
      <c r="M1193" s="39">
        <f>IFERROR(VLOOKUP("APAD",Controls!A:I,7,0),6)</f>
        <v>4</v>
      </c>
      <c r="N1193" s="39">
        <f>IFERROR(VLOOKUP("APAD",Controls!A:I,8,0),3)</f>
        <v>3</v>
      </c>
      <c r="O1193" s="39">
        <f>IFERROR(VLOOKUP("APAD",Controls!A:I,9,0),18)</f>
        <v>12</v>
      </c>
      <c r="P1193" s="40">
        <f>IFERROR(VLOOKUP("APAD",Controls!A:J,5,0),0)</f>
        <v>165</v>
      </c>
      <c r="Q1193" s="39">
        <f>IFERROR(VLOOKUP("APAD",Controls!A:J,6,0),3)</f>
        <v>4</v>
      </c>
      <c r="R1193" s="21" t="str">
        <f>IFERROR(VLOOKUP("APAD",Controls!A:K,10,0),"")</f>
        <v>ST Pharm</v>
      </c>
      <c r="S1193" s="41">
        <f t="shared" si="129"/>
        <v>49430</v>
      </c>
      <c r="T1193" s="30">
        <f t="shared" si="130"/>
        <v>0</v>
      </c>
      <c r="AB1193">
        <f t="shared" si="132"/>
        <v>411.04000000000008</v>
      </c>
    </row>
    <row r="1194" spans="1:28" ht="13" customHeight="1" x14ac:dyDescent="0.35">
      <c r="A1194" s="153">
        <v>49583</v>
      </c>
      <c r="B1194" s="36" t="s">
        <v>54</v>
      </c>
      <c r="C1194" s="15" t="s">
        <v>52</v>
      </c>
      <c r="D1194" s="15" t="s">
        <v>48</v>
      </c>
      <c r="E1194" s="30">
        <f>H1193</f>
        <v>128.80000000000004</v>
      </c>
      <c r="F1194" s="37">
        <f>IFERROR('Production Inputs'!$DX$37*Dependencies!$D$13,0)</f>
        <v>0</v>
      </c>
      <c r="G1194" s="37">
        <f t="array" ref="G1194">IFERROR(SUMPRODUCT(('Production Inputs'!$A:$A="APAD")*('Production Inputs'!$B:$B="TOTAL ACTIVE")*'Production Inputs'!$DX:$DX),0)</f>
        <v>0</v>
      </c>
      <c r="H1194" s="30">
        <f t="shared" si="126"/>
        <v>128.80000000000004</v>
      </c>
      <c r="I1194" s="30">
        <f ca="1">IFERROR(AVERAGEIF(OFFSET(F1194,0,0,MIN(Controls!$B$8,COUNTIF(B1194:B$1973,B1194)),1),"&gt;"&amp;0),0)</f>
        <v>0</v>
      </c>
      <c r="J1194" s="38">
        <f t="shared" ca="1" si="127"/>
        <v>999</v>
      </c>
      <c r="K1194" s="30">
        <f t="shared" ca="1" si="131"/>
        <v>0</v>
      </c>
      <c r="L1194" t="str">
        <f t="shared" ca="1" si="128"/>
        <v>Overstock</v>
      </c>
      <c r="M1194" s="39">
        <f>IFERROR(VLOOKUP("APAD",Controls!A:I,7,0),6)</f>
        <v>4</v>
      </c>
      <c r="N1194" s="39">
        <f>IFERROR(VLOOKUP("APAD",Controls!A:I,8,0),3)</f>
        <v>3</v>
      </c>
      <c r="O1194" s="39">
        <f>IFERROR(VLOOKUP("APAD",Controls!A:I,9,0),18)</f>
        <v>12</v>
      </c>
      <c r="P1194" s="40">
        <f>IFERROR(VLOOKUP("APAD",Controls!A:J,5,0),0)</f>
        <v>165</v>
      </c>
      <c r="Q1194" s="39">
        <f>IFERROR(VLOOKUP("APAD",Controls!A:J,6,0),3)</f>
        <v>4</v>
      </c>
      <c r="R1194" s="21" t="str">
        <f>IFERROR(VLOOKUP("APAD",Controls!A:K,10,0),"")</f>
        <v>ST Pharm</v>
      </c>
      <c r="S1194" s="41">
        <f t="shared" si="129"/>
        <v>49461</v>
      </c>
      <c r="T1194" s="30">
        <f t="shared" si="130"/>
        <v>0</v>
      </c>
      <c r="AB1194">
        <f t="shared" si="132"/>
        <v>411.04000000000008</v>
      </c>
    </row>
    <row r="1195" spans="1:28" ht="13" customHeight="1" x14ac:dyDescent="0.35">
      <c r="A1195" s="153">
        <v>49614</v>
      </c>
      <c r="B1195" s="36" t="s">
        <v>54</v>
      </c>
      <c r="C1195" s="15" t="s">
        <v>52</v>
      </c>
      <c r="D1195" s="15" t="s">
        <v>48</v>
      </c>
      <c r="E1195" s="30">
        <f>H1194</f>
        <v>128.80000000000004</v>
      </c>
      <c r="F1195" s="37">
        <f>IFERROR('Production Inputs'!$DY$37*Dependencies!$D$13,0)</f>
        <v>0</v>
      </c>
      <c r="G1195" s="37">
        <f t="array" ref="G1195">IFERROR(SUMPRODUCT(('Production Inputs'!$A:$A="APAD")*('Production Inputs'!$B:$B="TOTAL ACTIVE")*'Production Inputs'!$DY:$DY),0)</f>
        <v>0</v>
      </c>
      <c r="H1195" s="30">
        <f t="shared" si="126"/>
        <v>128.80000000000004</v>
      </c>
      <c r="I1195" s="30">
        <f ca="1">IFERROR(AVERAGEIF(OFFSET(F1195,0,0,MIN(Controls!$B$8,COUNTIF(B1195:B$1973,B1195)),1),"&gt;"&amp;0),0)</f>
        <v>0</v>
      </c>
      <c r="J1195" s="38">
        <f t="shared" ca="1" si="127"/>
        <v>999</v>
      </c>
      <c r="K1195" s="30">
        <f t="shared" ca="1" si="131"/>
        <v>0</v>
      </c>
      <c r="L1195" t="str">
        <f t="shared" ca="1" si="128"/>
        <v>Overstock</v>
      </c>
      <c r="M1195" s="39">
        <f>IFERROR(VLOOKUP("APAD",Controls!A:I,7,0),6)</f>
        <v>4</v>
      </c>
      <c r="N1195" s="39">
        <f>IFERROR(VLOOKUP("APAD",Controls!A:I,8,0),3)</f>
        <v>3</v>
      </c>
      <c r="O1195" s="39">
        <f>IFERROR(VLOOKUP("APAD",Controls!A:I,9,0),18)</f>
        <v>12</v>
      </c>
      <c r="P1195" s="40">
        <f>IFERROR(VLOOKUP("APAD",Controls!A:J,5,0),0)</f>
        <v>165</v>
      </c>
      <c r="Q1195" s="39">
        <f>IFERROR(VLOOKUP("APAD",Controls!A:J,6,0),3)</f>
        <v>4</v>
      </c>
      <c r="R1195" s="21" t="str">
        <f>IFERROR(VLOOKUP("APAD",Controls!A:K,10,0),"")</f>
        <v>ST Pharm</v>
      </c>
      <c r="S1195" s="41">
        <f t="shared" si="129"/>
        <v>49491</v>
      </c>
      <c r="T1195" s="30">
        <f t="shared" si="130"/>
        <v>0</v>
      </c>
      <c r="AB1195">
        <f t="shared" si="132"/>
        <v>411.04000000000008</v>
      </c>
    </row>
    <row r="1196" spans="1:28" ht="13" customHeight="1" x14ac:dyDescent="0.35">
      <c r="A1196" s="153">
        <v>49644</v>
      </c>
      <c r="B1196" s="36" t="s">
        <v>54</v>
      </c>
      <c r="C1196" s="15" t="s">
        <v>52</v>
      </c>
      <c r="D1196" s="15" t="s">
        <v>48</v>
      </c>
      <c r="E1196" s="30">
        <f>H1195</f>
        <v>128.80000000000004</v>
      </c>
      <c r="F1196" s="37">
        <f>IFERROR('Production Inputs'!$DZ$37*Dependencies!$D$13,0)</f>
        <v>0</v>
      </c>
      <c r="G1196" s="37">
        <f t="array" ref="G1196">IFERROR(SUMPRODUCT(('Production Inputs'!$A:$A="APAD")*('Production Inputs'!$B:$B="TOTAL ACTIVE")*'Production Inputs'!$DZ:$DZ),0)</f>
        <v>0</v>
      </c>
      <c r="H1196" s="30">
        <f t="shared" si="126"/>
        <v>128.80000000000004</v>
      </c>
      <c r="I1196" s="30">
        <f ca="1">IFERROR(AVERAGEIF(OFFSET(F1196,0,0,MIN(Controls!$B$8,COUNTIF(B1196:B$1973,B1196)),1),"&gt;"&amp;0),0)</f>
        <v>0</v>
      </c>
      <c r="J1196" s="38">
        <f t="shared" ca="1" si="127"/>
        <v>999</v>
      </c>
      <c r="K1196" s="30">
        <f t="shared" ca="1" si="131"/>
        <v>0</v>
      </c>
      <c r="L1196" t="str">
        <f t="shared" ca="1" si="128"/>
        <v>Overstock</v>
      </c>
      <c r="M1196" s="39">
        <f>IFERROR(VLOOKUP("APAD",Controls!A:I,7,0),6)</f>
        <v>4</v>
      </c>
      <c r="N1196" s="39">
        <f>IFERROR(VLOOKUP("APAD",Controls!A:I,8,0),3)</f>
        <v>3</v>
      </c>
      <c r="O1196" s="39">
        <f>IFERROR(VLOOKUP("APAD",Controls!A:I,9,0),18)</f>
        <v>12</v>
      </c>
      <c r="P1196" s="40">
        <f>IFERROR(VLOOKUP("APAD",Controls!A:J,5,0),0)</f>
        <v>165</v>
      </c>
      <c r="Q1196" s="39">
        <f>IFERROR(VLOOKUP("APAD",Controls!A:J,6,0),3)</f>
        <v>4</v>
      </c>
      <c r="R1196" s="21" t="str">
        <f>IFERROR(VLOOKUP("APAD",Controls!A:K,10,0),"")</f>
        <v>ST Pharm</v>
      </c>
      <c r="S1196" s="41">
        <f t="shared" si="129"/>
        <v>49522</v>
      </c>
      <c r="T1196" s="30">
        <f t="shared" si="130"/>
        <v>0</v>
      </c>
      <c r="AB1196">
        <f t="shared" si="132"/>
        <v>411.04000000000008</v>
      </c>
    </row>
    <row r="1197" spans="1:28" ht="13" customHeight="1" x14ac:dyDescent="0.35">
      <c r="A1197" s="153">
        <v>49675</v>
      </c>
      <c r="B1197" s="36" t="s">
        <v>54</v>
      </c>
      <c r="C1197" s="15" t="s">
        <v>52</v>
      </c>
      <c r="D1197" s="15" t="s">
        <v>48</v>
      </c>
      <c r="E1197" s="30">
        <f>H1196</f>
        <v>128.80000000000004</v>
      </c>
      <c r="F1197" s="37">
        <f>IFERROR('Production Inputs'!$EA$37*Dependencies!$D$13,0)</f>
        <v>0</v>
      </c>
      <c r="G1197" s="37">
        <f t="array" ref="G1197">IFERROR(SUMPRODUCT(('Production Inputs'!$A:$A="APAD")*('Production Inputs'!$B:$B="TOTAL ACTIVE")*'Production Inputs'!$EA:$EA),0)</f>
        <v>0</v>
      </c>
      <c r="H1197" s="30">
        <f t="shared" si="126"/>
        <v>128.80000000000004</v>
      </c>
      <c r="I1197" s="30">
        <f ca="1">IFERROR(AVERAGEIF(OFFSET(F1197,0,0,MIN(Controls!$B$8,COUNTIF(B1197:B$1973,B1197)),1),"&gt;"&amp;0),0)</f>
        <v>0</v>
      </c>
      <c r="J1197" s="38">
        <f t="shared" ca="1" si="127"/>
        <v>999</v>
      </c>
      <c r="K1197" s="30">
        <f t="shared" ca="1" si="131"/>
        <v>0</v>
      </c>
      <c r="L1197" t="str">
        <f t="shared" ca="1" si="128"/>
        <v>Overstock</v>
      </c>
      <c r="M1197" s="39">
        <f>IFERROR(VLOOKUP("APAD",Controls!A:I,7,0),6)</f>
        <v>4</v>
      </c>
      <c r="N1197" s="39">
        <f>IFERROR(VLOOKUP("APAD",Controls!A:I,8,0),3)</f>
        <v>3</v>
      </c>
      <c r="O1197" s="39">
        <f>IFERROR(VLOOKUP("APAD",Controls!A:I,9,0),18)</f>
        <v>12</v>
      </c>
      <c r="P1197" s="40">
        <f>IFERROR(VLOOKUP("APAD",Controls!A:J,5,0),0)</f>
        <v>165</v>
      </c>
      <c r="Q1197" s="39">
        <f>IFERROR(VLOOKUP("APAD",Controls!A:J,6,0),3)</f>
        <v>4</v>
      </c>
      <c r="R1197" s="21" t="str">
        <f>IFERROR(VLOOKUP("APAD",Controls!A:K,10,0),"")</f>
        <v>ST Pharm</v>
      </c>
      <c r="S1197" s="41">
        <f t="shared" si="129"/>
        <v>49553</v>
      </c>
      <c r="T1197" s="30">
        <f t="shared" si="130"/>
        <v>0</v>
      </c>
      <c r="AB1197">
        <f t="shared" si="132"/>
        <v>411.04000000000008</v>
      </c>
    </row>
    <row r="1198" spans="1:28" ht="13" customHeight="1" x14ac:dyDescent="0.35">
      <c r="A1198" s="153">
        <v>49706</v>
      </c>
      <c r="B1198" s="36" t="s">
        <v>54</v>
      </c>
      <c r="C1198" s="15" t="s">
        <v>52</v>
      </c>
      <c r="D1198" s="15" t="s">
        <v>48</v>
      </c>
      <c r="E1198" s="30">
        <f>H1197</f>
        <v>128.80000000000004</v>
      </c>
      <c r="F1198" s="37">
        <f>IFERROR('Production Inputs'!$EB$37*Dependencies!$D$13,0)</f>
        <v>0</v>
      </c>
      <c r="G1198" s="37">
        <f t="array" ref="G1198">IFERROR(SUMPRODUCT(('Production Inputs'!$A:$A="APAD")*('Production Inputs'!$B:$B="TOTAL ACTIVE")*'Production Inputs'!$EB:$EB),0)</f>
        <v>0</v>
      </c>
      <c r="H1198" s="30">
        <f t="shared" si="126"/>
        <v>128.80000000000004</v>
      </c>
      <c r="I1198" s="30">
        <f ca="1">IFERROR(AVERAGEIF(OFFSET(F1198,0,0,MIN(Controls!$B$8,COUNTIF(B1198:B$1973,B1198)),1),"&gt;"&amp;0),0)</f>
        <v>0</v>
      </c>
      <c r="J1198" s="38">
        <f t="shared" ca="1" si="127"/>
        <v>999</v>
      </c>
      <c r="K1198" s="30">
        <f t="shared" ca="1" si="131"/>
        <v>0</v>
      </c>
      <c r="L1198" t="str">
        <f t="shared" ca="1" si="128"/>
        <v>Overstock</v>
      </c>
      <c r="M1198" s="39">
        <f>IFERROR(VLOOKUP("APAD",Controls!A:I,7,0),6)</f>
        <v>4</v>
      </c>
      <c r="N1198" s="39">
        <f>IFERROR(VLOOKUP("APAD",Controls!A:I,8,0),3)</f>
        <v>3</v>
      </c>
      <c r="O1198" s="39">
        <f>IFERROR(VLOOKUP("APAD",Controls!A:I,9,0),18)</f>
        <v>12</v>
      </c>
      <c r="P1198" s="40">
        <f>IFERROR(VLOOKUP("APAD",Controls!A:J,5,0),0)</f>
        <v>165</v>
      </c>
      <c r="Q1198" s="39">
        <f>IFERROR(VLOOKUP("APAD",Controls!A:J,6,0),3)</f>
        <v>4</v>
      </c>
      <c r="R1198" s="21" t="str">
        <f>IFERROR(VLOOKUP("APAD",Controls!A:K,10,0),"")</f>
        <v>ST Pharm</v>
      </c>
      <c r="S1198" s="41">
        <f t="shared" si="129"/>
        <v>49583</v>
      </c>
      <c r="T1198" s="30">
        <f t="shared" si="130"/>
        <v>0</v>
      </c>
      <c r="AB1198">
        <f t="shared" si="132"/>
        <v>411.04000000000008</v>
      </c>
    </row>
    <row r="1199" spans="1:28" ht="13" customHeight="1" x14ac:dyDescent="0.35">
      <c r="A1199" s="153">
        <v>49735</v>
      </c>
      <c r="B1199" s="36" t="s">
        <v>54</v>
      </c>
      <c r="C1199" s="15" t="s">
        <v>52</v>
      </c>
      <c r="D1199" s="15" t="s">
        <v>48</v>
      </c>
      <c r="E1199" s="30">
        <f>H1198</f>
        <v>128.80000000000004</v>
      </c>
      <c r="F1199" s="37">
        <f>IFERROR('Production Inputs'!$EC$37*Dependencies!$D$13,0)</f>
        <v>0</v>
      </c>
      <c r="G1199" s="37">
        <f t="array" ref="G1199">IFERROR(SUMPRODUCT(('Production Inputs'!$A:$A="APAD")*('Production Inputs'!$B:$B="TOTAL ACTIVE")*'Production Inputs'!$EC:$EC),0)</f>
        <v>0</v>
      </c>
      <c r="H1199" s="30">
        <f t="shared" si="126"/>
        <v>128.80000000000004</v>
      </c>
      <c r="I1199" s="30">
        <f ca="1">IFERROR(AVERAGEIF(OFFSET(F1199,0,0,MIN(Controls!$B$8,COUNTIF(B1199:B$1973,B1199)),1),"&gt;"&amp;0),0)</f>
        <v>0</v>
      </c>
      <c r="J1199" s="38">
        <f t="shared" ca="1" si="127"/>
        <v>999</v>
      </c>
      <c r="K1199" s="30">
        <f t="shared" ca="1" si="131"/>
        <v>0</v>
      </c>
      <c r="L1199" t="str">
        <f t="shared" ca="1" si="128"/>
        <v>Overstock</v>
      </c>
      <c r="M1199" s="39">
        <f>IFERROR(VLOOKUP("APAD",Controls!A:I,7,0),6)</f>
        <v>4</v>
      </c>
      <c r="N1199" s="39">
        <f>IFERROR(VLOOKUP("APAD",Controls!A:I,8,0),3)</f>
        <v>3</v>
      </c>
      <c r="O1199" s="39">
        <f>IFERROR(VLOOKUP("APAD",Controls!A:I,9,0),18)</f>
        <v>12</v>
      </c>
      <c r="P1199" s="40">
        <f>IFERROR(VLOOKUP("APAD",Controls!A:J,5,0),0)</f>
        <v>165</v>
      </c>
      <c r="Q1199" s="39">
        <f>IFERROR(VLOOKUP("APAD",Controls!A:J,6,0),3)</f>
        <v>4</v>
      </c>
      <c r="R1199" s="21" t="str">
        <f>IFERROR(VLOOKUP("APAD",Controls!A:K,10,0),"")</f>
        <v>ST Pharm</v>
      </c>
      <c r="S1199" s="41">
        <f t="shared" si="129"/>
        <v>49614</v>
      </c>
      <c r="T1199" s="30">
        <f t="shared" si="130"/>
        <v>0</v>
      </c>
      <c r="AB1199">
        <f t="shared" si="132"/>
        <v>411.04000000000008</v>
      </c>
    </row>
    <row r="1200" spans="1:28" ht="13" customHeight="1" x14ac:dyDescent="0.35">
      <c r="A1200" s="153">
        <v>49766</v>
      </c>
      <c r="B1200" s="36" t="s">
        <v>54</v>
      </c>
      <c r="C1200" s="15" t="s">
        <v>52</v>
      </c>
      <c r="D1200" s="15" t="s">
        <v>48</v>
      </c>
      <c r="E1200" s="30">
        <f>H1199</f>
        <v>128.80000000000004</v>
      </c>
      <c r="F1200" s="37">
        <f>IFERROR('Production Inputs'!$ED$37*Dependencies!$D$13,0)</f>
        <v>0</v>
      </c>
      <c r="G1200" s="37">
        <f t="array" ref="G1200">IFERROR(SUMPRODUCT(('Production Inputs'!$A:$A="APAD")*('Production Inputs'!$B:$B="TOTAL ACTIVE")*'Production Inputs'!$ED:$ED),0)</f>
        <v>0</v>
      </c>
      <c r="H1200" s="30">
        <f t="shared" si="126"/>
        <v>128.80000000000004</v>
      </c>
      <c r="I1200" s="30">
        <f ca="1">IFERROR(AVERAGEIF(OFFSET(F1200,0,0,MIN(Controls!$B$8,COUNTIF(B1200:B$1973,B1200)),1),"&gt;"&amp;0),0)</f>
        <v>0</v>
      </c>
      <c r="J1200" s="38">
        <f t="shared" ca="1" si="127"/>
        <v>999</v>
      </c>
      <c r="K1200" s="30">
        <f t="shared" ca="1" si="131"/>
        <v>0</v>
      </c>
      <c r="L1200" t="str">
        <f t="shared" ca="1" si="128"/>
        <v>Overstock</v>
      </c>
      <c r="M1200" s="39">
        <f>IFERROR(VLOOKUP("APAD",Controls!A:I,7,0),6)</f>
        <v>4</v>
      </c>
      <c r="N1200" s="39">
        <f>IFERROR(VLOOKUP("APAD",Controls!A:I,8,0),3)</f>
        <v>3</v>
      </c>
      <c r="O1200" s="39">
        <f>IFERROR(VLOOKUP("APAD",Controls!A:I,9,0),18)</f>
        <v>12</v>
      </c>
      <c r="P1200" s="40">
        <f>IFERROR(VLOOKUP("APAD",Controls!A:J,5,0),0)</f>
        <v>165</v>
      </c>
      <c r="Q1200" s="39">
        <f>IFERROR(VLOOKUP("APAD",Controls!A:J,6,0),3)</f>
        <v>4</v>
      </c>
      <c r="R1200" s="21" t="str">
        <f>IFERROR(VLOOKUP("APAD",Controls!A:K,10,0),"")</f>
        <v>ST Pharm</v>
      </c>
      <c r="S1200" s="41">
        <f t="shared" si="129"/>
        <v>49644</v>
      </c>
      <c r="T1200" s="30">
        <f t="shared" si="130"/>
        <v>0</v>
      </c>
      <c r="AB1200">
        <f t="shared" si="132"/>
        <v>411.04000000000008</v>
      </c>
    </row>
    <row r="1201" spans="1:28" ht="13" customHeight="1" x14ac:dyDescent="0.35">
      <c r="A1201" s="153">
        <v>49796</v>
      </c>
      <c r="B1201" s="36" t="s">
        <v>54</v>
      </c>
      <c r="C1201" s="15" t="s">
        <v>52</v>
      </c>
      <c r="D1201" s="15" t="s">
        <v>48</v>
      </c>
      <c r="E1201" s="30">
        <f>H1200</f>
        <v>128.80000000000004</v>
      </c>
      <c r="F1201" s="37">
        <f>IFERROR('Production Inputs'!$EE$37*Dependencies!$D$13,0)</f>
        <v>0</v>
      </c>
      <c r="G1201" s="37">
        <f t="array" ref="G1201">IFERROR(SUMPRODUCT(('Production Inputs'!$A:$A="APAD")*('Production Inputs'!$B:$B="TOTAL ACTIVE")*'Production Inputs'!$EE:$EE),0)</f>
        <v>0</v>
      </c>
      <c r="H1201" s="30">
        <f t="shared" si="126"/>
        <v>128.80000000000004</v>
      </c>
      <c r="I1201" s="30">
        <f ca="1">IFERROR(AVERAGEIF(OFFSET(F1201,0,0,MIN(Controls!$B$8,COUNTIF(B1201:B$1973,B1201)),1),"&gt;"&amp;0),0)</f>
        <v>0</v>
      </c>
      <c r="J1201" s="38">
        <f t="shared" ca="1" si="127"/>
        <v>999</v>
      </c>
      <c r="K1201" s="30">
        <f t="shared" ca="1" si="131"/>
        <v>0</v>
      </c>
      <c r="L1201" t="str">
        <f t="shared" ca="1" si="128"/>
        <v>Overstock</v>
      </c>
      <c r="M1201" s="39">
        <f>IFERROR(VLOOKUP("APAD",Controls!A:I,7,0),6)</f>
        <v>4</v>
      </c>
      <c r="N1201" s="39">
        <f>IFERROR(VLOOKUP("APAD",Controls!A:I,8,0),3)</f>
        <v>3</v>
      </c>
      <c r="O1201" s="39">
        <f>IFERROR(VLOOKUP("APAD",Controls!A:I,9,0),18)</f>
        <v>12</v>
      </c>
      <c r="P1201" s="40">
        <f>IFERROR(VLOOKUP("APAD",Controls!A:J,5,0),0)</f>
        <v>165</v>
      </c>
      <c r="Q1201" s="39">
        <f>IFERROR(VLOOKUP("APAD",Controls!A:J,6,0),3)</f>
        <v>4</v>
      </c>
      <c r="R1201" s="21" t="str">
        <f>IFERROR(VLOOKUP("APAD",Controls!A:K,10,0),"")</f>
        <v>ST Pharm</v>
      </c>
      <c r="S1201" s="41">
        <f t="shared" si="129"/>
        <v>49675</v>
      </c>
      <c r="T1201" s="30">
        <f t="shared" si="130"/>
        <v>0</v>
      </c>
      <c r="AB1201">
        <f t="shared" si="132"/>
        <v>411.04000000000008</v>
      </c>
    </row>
    <row r="1202" spans="1:28" ht="13" customHeight="1" x14ac:dyDescent="0.35">
      <c r="A1202" s="153">
        <v>49827</v>
      </c>
      <c r="B1202" s="36" t="s">
        <v>54</v>
      </c>
      <c r="C1202" s="15" t="s">
        <v>52</v>
      </c>
      <c r="D1202" s="15" t="s">
        <v>48</v>
      </c>
      <c r="E1202" s="30">
        <f>H1201</f>
        <v>128.80000000000004</v>
      </c>
      <c r="F1202" s="37">
        <f>IFERROR('Production Inputs'!$EF$37*Dependencies!$D$13,0)</f>
        <v>0</v>
      </c>
      <c r="G1202" s="37">
        <f t="array" ref="G1202">IFERROR(SUMPRODUCT(('Production Inputs'!$A:$A="APAD")*('Production Inputs'!$B:$B="TOTAL ACTIVE")*'Production Inputs'!$EF:$EF),0)</f>
        <v>0</v>
      </c>
      <c r="H1202" s="30">
        <f t="shared" si="126"/>
        <v>128.80000000000004</v>
      </c>
      <c r="I1202" s="30">
        <f ca="1">IFERROR(AVERAGEIF(OFFSET(F1202,0,0,MIN(Controls!$B$8,COUNTIF(B1202:B$1973,B1202)),1),"&gt;"&amp;0),0)</f>
        <v>0</v>
      </c>
      <c r="J1202" s="38">
        <f t="shared" ca="1" si="127"/>
        <v>999</v>
      </c>
      <c r="K1202" s="30">
        <f t="shared" ca="1" si="131"/>
        <v>0</v>
      </c>
      <c r="L1202" t="str">
        <f t="shared" ca="1" si="128"/>
        <v>Overstock</v>
      </c>
      <c r="M1202" s="39">
        <f>IFERROR(VLOOKUP("APAD",Controls!A:I,7,0),6)</f>
        <v>4</v>
      </c>
      <c r="N1202" s="39">
        <f>IFERROR(VLOOKUP("APAD",Controls!A:I,8,0),3)</f>
        <v>3</v>
      </c>
      <c r="O1202" s="39">
        <f>IFERROR(VLOOKUP("APAD",Controls!A:I,9,0),18)</f>
        <v>12</v>
      </c>
      <c r="P1202" s="40">
        <f>IFERROR(VLOOKUP("APAD",Controls!A:J,5,0),0)</f>
        <v>165</v>
      </c>
      <c r="Q1202" s="39">
        <f>IFERROR(VLOOKUP("APAD",Controls!A:J,6,0),3)</f>
        <v>4</v>
      </c>
      <c r="R1202" s="21" t="str">
        <f>IFERROR(VLOOKUP("APAD",Controls!A:K,10,0),"")</f>
        <v>ST Pharm</v>
      </c>
      <c r="S1202" s="41">
        <f t="shared" si="129"/>
        <v>49706</v>
      </c>
      <c r="T1202" s="30">
        <f t="shared" si="130"/>
        <v>0</v>
      </c>
      <c r="AB1202">
        <f t="shared" si="132"/>
        <v>411.04000000000008</v>
      </c>
    </row>
    <row r="1203" spans="1:28" ht="13" customHeight="1" x14ac:dyDescent="0.35">
      <c r="A1203" s="153">
        <v>49857</v>
      </c>
      <c r="B1203" s="36" t="s">
        <v>54</v>
      </c>
      <c r="C1203" s="15" t="s">
        <v>52</v>
      </c>
      <c r="D1203" s="15" t="s">
        <v>48</v>
      </c>
      <c r="E1203" s="30">
        <f>H1202</f>
        <v>128.80000000000004</v>
      </c>
      <c r="F1203" s="37">
        <f>IFERROR('Production Inputs'!$EG$37*Dependencies!$D$13,0)</f>
        <v>0</v>
      </c>
      <c r="G1203" s="37">
        <f t="array" ref="G1203">IFERROR(SUMPRODUCT(('Production Inputs'!$A:$A="APAD")*('Production Inputs'!$B:$B="TOTAL ACTIVE")*'Production Inputs'!$EG:$EG),0)</f>
        <v>0</v>
      </c>
      <c r="H1203" s="30">
        <f t="shared" si="126"/>
        <v>128.80000000000004</v>
      </c>
      <c r="I1203" s="30">
        <f ca="1">IFERROR(AVERAGEIF(OFFSET(F1203,0,0,MIN(Controls!$B$8,COUNTIF(B1203:B$1973,B1203)),1),"&gt;"&amp;0),0)</f>
        <v>0</v>
      </c>
      <c r="J1203" s="38">
        <f t="shared" ca="1" si="127"/>
        <v>999</v>
      </c>
      <c r="K1203" s="30">
        <f t="shared" ca="1" si="131"/>
        <v>0</v>
      </c>
      <c r="L1203" t="str">
        <f t="shared" ca="1" si="128"/>
        <v>Overstock</v>
      </c>
      <c r="M1203" s="39">
        <f>IFERROR(VLOOKUP("APAD",Controls!A:I,7,0),6)</f>
        <v>4</v>
      </c>
      <c r="N1203" s="39">
        <f>IFERROR(VLOOKUP("APAD",Controls!A:I,8,0),3)</f>
        <v>3</v>
      </c>
      <c r="O1203" s="39">
        <f>IFERROR(VLOOKUP("APAD",Controls!A:I,9,0),18)</f>
        <v>12</v>
      </c>
      <c r="P1203" s="40">
        <f>IFERROR(VLOOKUP("APAD",Controls!A:J,5,0),0)</f>
        <v>165</v>
      </c>
      <c r="Q1203" s="39">
        <f>IFERROR(VLOOKUP("APAD",Controls!A:J,6,0),3)</f>
        <v>4</v>
      </c>
      <c r="R1203" s="21" t="str">
        <f>IFERROR(VLOOKUP("APAD",Controls!A:K,10,0),"")</f>
        <v>ST Pharm</v>
      </c>
      <c r="S1203" s="41">
        <f t="shared" si="129"/>
        <v>49735</v>
      </c>
      <c r="T1203" s="30">
        <f t="shared" si="130"/>
        <v>0</v>
      </c>
      <c r="AB1203">
        <f t="shared" si="132"/>
        <v>411.04000000000008</v>
      </c>
    </row>
    <row r="1204" spans="1:28" ht="13" customHeight="1" x14ac:dyDescent="0.35">
      <c r="A1204" s="153">
        <v>49888</v>
      </c>
      <c r="B1204" s="36" t="s">
        <v>54</v>
      </c>
      <c r="C1204" s="15" t="s">
        <v>52</v>
      </c>
      <c r="D1204" s="15" t="s">
        <v>48</v>
      </c>
      <c r="E1204" s="30">
        <f>H1203</f>
        <v>128.80000000000004</v>
      </c>
      <c r="F1204" s="37">
        <f>IFERROR('Production Inputs'!$EH$37*Dependencies!$D$13,0)</f>
        <v>0</v>
      </c>
      <c r="G1204" s="37">
        <f t="array" ref="G1204">IFERROR(SUMPRODUCT(('Production Inputs'!$A:$A="APAD")*('Production Inputs'!$B:$B="TOTAL ACTIVE")*'Production Inputs'!$EH:$EH),0)</f>
        <v>0</v>
      </c>
      <c r="H1204" s="30">
        <f t="shared" si="126"/>
        <v>128.80000000000004</v>
      </c>
      <c r="I1204" s="30">
        <f ca="1">IFERROR(AVERAGEIF(OFFSET(F1204,0,0,MIN(Controls!$B$8,COUNTIF(B1204:B$1973,B1204)),1),"&gt;"&amp;0),0)</f>
        <v>0</v>
      </c>
      <c r="J1204" s="38">
        <f t="shared" ca="1" si="127"/>
        <v>999</v>
      </c>
      <c r="K1204" s="30">
        <f t="shared" ca="1" si="131"/>
        <v>0</v>
      </c>
      <c r="L1204" t="str">
        <f t="shared" ca="1" si="128"/>
        <v>Overstock</v>
      </c>
      <c r="M1204" s="39">
        <f>IFERROR(VLOOKUP("APAD",Controls!A:I,7,0),6)</f>
        <v>4</v>
      </c>
      <c r="N1204" s="39">
        <f>IFERROR(VLOOKUP("APAD",Controls!A:I,8,0),3)</f>
        <v>3</v>
      </c>
      <c r="O1204" s="39">
        <f>IFERROR(VLOOKUP("APAD",Controls!A:I,9,0),18)</f>
        <v>12</v>
      </c>
      <c r="P1204" s="40">
        <f>IFERROR(VLOOKUP("APAD",Controls!A:J,5,0),0)</f>
        <v>165</v>
      </c>
      <c r="Q1204" s="39">
        <f>IFERROR(VLOOKUP("APAD",Controls!A:J,6,0),3)</f>
        <v>4</v>
      </c>
      <c r="R1204" s="21" t="str">
        <f>IFERROR(VLOOKUP("APAD",Controls!A:K,10,0),"")</f>
        <v>ST Pharm</v>
      </c>
      <c r="S1204" s="41">
        <f t="shared" si="129"/>
        <v>49766</v>
      </c>
      <c r="T1204" s="30">
        <f t="shared" si="130"/>
        <v>0</v>
      </c>
      <c r="AB1204">
        <f t="shared" si="132"/>
        <v>411.04000000000008</v>
      </c>
    </row>
    <row r="1205" spans="1:28" ht="13" customHeight="1" x14ac:dyDescent="0.35">
      <c r="A1205" s="153">
        <v>49919</v>
      </c>
      <c r="B1205" s="36" t="s">
        <v>54</v>
      </c>
      <c r="C1205" s="15" t="s">
        <v>52</v>
      </c>
      <c r="D1205" s="15" t="s">
        <v>48</v>
      </c>
      <c r="E1205" s="30">
        <f>H1204</f>
        <v>128.80000000000004</v>
      </c>
      <c r="F1205" s="37">
        <f>IFERROR('Production Inputs'!$EI$37*Dependencies!$D$13,0)</f>
        <v>0</v>
      </c>
      <c r="G1205" s="37">
        <f t="array" ref="G1205">IFERROR(SUMPRODUCT(('Production Inputs'!$A:$A="APAD")*('Production Inputs'!$B:$B="TOTAL ACTIVE")*'Production Inputs'!$EI:$EI),0)</f>
        <v>0</v>
      </c>
      <c r="H1205" s="30">
        <f t="shared" si="126"/>
        <v>128.80000000000004</v>
      </c>
      <c r="I1205" s="30">
        <f ca="1">IFERROR(AVERAGEIF(OFFSET(F1205,0,0,MIN(Controls!$B$8,COUNTIF(B1205:B$1973,B1205)),1),"&gt;"&amp;0),0)</f>
        <v>0</v>
      </c>
      <c r="J1205" s="38">
        <f t="shared" ca="1" si="127"/>
        <v>999</v>
      </c>
      <c r="K1205" s="30">
        <f t="shared" ca="1" si="131"/>
        <v>0</v>
      </c>
      <c r="L1205" t="str">
        <f t="shared" ca="1" si="128"/>
        <v>Overstock</v>
      </c>
      <c r="M1205" s="39">
        <f>IFERROR(VLOOKUP("APAD",Controls!A:I,7,0),6)</f>
        <v>4</v>
      </c>
      <c r="N1205" s="39">
        <f>IFERROR(VLOOKUP("APAD",Controls!A:I,8,0),3)</f>
        <v>3</v>
      </c>
      <c r="O1205" s="39">
        <f>IFERROR(VLOOKUP("APAD",Controls!A:I,9,0),18)</f>
        <v>12</v>
      </c>
      <c r="P1205" s="40">
        <f>IFERROR(VLOOKUP("APAD",Controls!A:J,5,0),0)</f>
        <v>165</v>
      </c>
      <c r="Q1205" s="39">
        <f>IFERROR(VLOOKUP("APAD",Controls!A:J,6,0),3)</f>
        <v>4</v>
      </c>
      <c r="R1205" s="21" t="str">
        <f>IFERROR(VLOOKUP("APAD",Controls!A:K,10,0),"")</f>
        <v>ST Pharm</v>
      </c>
      <c r="S1205" s="41">
        <f t="shared" si="129"/>
        <v>49796</v>
      </c>
      <c r="T1205" s="30">
        <f t="shared" si="130"/>
        <v>0</v>
      </c>
      <c r="AB1205">
        <f t="shared" si="132"/>
        <v>411.04000000000008</v>
      </c>
    </row>
    <row r="1206" spans="1:28" ht="13" customHeight="1" x14ac:dyDescent="0.35">
      <c r="A1206" s="153">
        <v>49949</v>
      </c>
      <c r="B1206" s="36" t="s">
        <v>54</v>
      </c>
      <c r="C1206" s="15" t="s">
        <v>52</v>
      </c>
      <c r="D1206" s="15" t="s">
        <v>48</v>
      </c>
      <c r="E1206" s="30">
        <f>H1205</f>
        <v>128.80000000000004</v>
      </c>
      <c r="F1206" s="37">
        <f>IFERROR('Production Inputs'!$EJ$37*Dependencies!$D$13,0)</f>
        <v>0</v>
      </c>
      <c r="G1206" s="37">
        <f t="array" ref="G1206">IFERROR(SUMPRODUCT(('Production Inputs'!$A:$A="APAD")*('Production Inputs'!$B:$B="TOTAL ACTIVE")*'Production Inputs'!$EJ:$EJ),0)</f>
        <v>0</v>
      </c>
      <c r="H1206" s="30">
        <f t="shared" si="126"/>
        <v>128.80000000000004</v>
      </c>
      <c r="I1206" s="30">
        <f ca="1">IFERROR(AVERAGEIF(OFFSET(F1206,0,0,MIN(Controls!$B$8,COUNTIF(B1206:B$1973,B1206)),1),"&gt;"&amp;0),0)</f>
        <v>0</v>
      </c>
      <c r="J1206" s="38">
        <f t="shared" ca="1" si="127"/>
        <v>999</v>
      </c>
      <c r="K1206" s="30">
        <f t="shared" ca="1" si="131"/>
        <v>0</v>
      </c>
      <c r="L1206" t="str">
        <f t="shared" ca="1" si="128"/>
        <v>Overstock</v>
      </c>
      <c r="M1206" s="39">
        <f>IFERROR(VLOOKUP("APAD",Controls!A:I,7,0),6)</f>
        <v>4</v>
      </c>
      <c r="N1206" s="39">
        <f>IFERROR(VLOOKUP("APAD",Controls!A:I,8,0),3)</f>
        <v>3</v>
      </c>
      <c r="O1206" s="39">
        <f>IFERROR(VLOOKUP("APAD",Controls!A:I,9,0),18)</f>
        <v>12</v>
      </c>
      <c r="P1206" s="40">
        <f>IFERROR(VLOOKUP("APAD",Controls!A:J,5,0),0)</f>
        <v>165</v>
      </c>
      <c r="Q1206" s="39">
        <f>IFERROR(VLOOKUP("APAD",Controls!A:J,6,0),3)</f>
        <v>4</v>
      </c>
      <c r="R1206" s="21" t="str">
        <f>IFERROR(VLOOKUP("APAD",Controls!A:K,10,0),"")</f>
        <v>ST Pharm</v>
      </c>
      <c r="S1206" s="41">
        <f t="shared" si="129"/>
        <v>49827</v>
      </c>
      <c r="T1206" s="30">
        <f t="shared" si="130"/>
        <v>0</v>
      </c>
      <c r="AB1206">
        <f t="shared" si="132"/>
        <v>411.04000000000008</v>
      </c>
    </row>
    <row r="1207" spans="1:28" ht="13" customHeight="1" x14ac:dyDescent="0.35">
      <c r="A1207" s="153">
        <v>49980</v>
      </c>
      <c r="B1207" s="36" t="s">
        <v>54</v>
      </c>
      <c r="C1207" s="15" t="s">
        <v>52</v>
      </c>
      <c r="D1207" s="15" t="s">
        <v>48</v>
      </c>
      <c r="E1207" s="30">
        <f>H1206</f>
        <v>128.80000000000004</v>
      </c>
      <c r="F1207" s="37">
        <f>IFERROR('Production Inputs'!$EK$37*Dependencies!$D$13,0)</f>
        <v>0</v>
      </c>
      <c r="G1207" s="37">
        <f t="array" ref="G1207">IFERROR(SUMPRODUCT(('Production Inputs'!$A:$A="APAD")*('Production Inputs'!$B:$B="TOTAL ACTIVE")*'Production Inputs'!$EK:$EK),0)</f>
        <v>0</v>
      </c>
      <c r="H1207" s="30">
        <f t="shared" si="126"/>
        <v>128.80000000000004</v>
      </c>
      <c r="I1207" s="30">
        <f ca="1">IFERROR(AVERAGEIF(OFFSET(F1207,0,0,MIN(Controls!$B$8,COUNTIF(B1207:B$1973,B1207)),1),"&gt;"&amp;0),0)</f>
        <v>0</v>
      </c>
      <c r="J1207" s="38">
        <f t="shared" ca="1" si="127"/>
        <v>999</v>
      </c>
      <c r="K1207" s="30">
        <f t="shared" ca="1" si="131"/>
        <v>0</v>
      </c>
      <c r="L1207" t="str">
        <f t="shared" ca="1" si="128"/>
        <v>Overstock</v>
      </c>
      <c r="M1207" s="39">
        <f>IFERROR(VLOOKUP("APAD",Controls!A:I,7,0),6)</f>
        <v>4</v>
      </c>
      <c r="N1207" s="39">
        <f>IFERROR(VLOOKUP("APAD",Controls!A:I,8,0),3)</f>
        <v>3</v>
      </c>
      <c r="O1207" s="39">
        <f>IFERROR(VLOOKUP("APAD",Controls!A:I,9,0),18)</f>
        <v>12</v>
      </c>
      <c r="P1207" s="40">
        <f>IFERROR(VLOOKUP("APAD",Controls!A:J,5,0),0)</f>
        <v>165</v>
      </c>
      <c r="Q1207" s="39">
        <f>IFERROR(VLOOKUP("APAD",Controls!A:J,6,0),3)</f>
        <v>4</v>
      </c>
      <c r="R1207" s="21" t="str">
        <f>IFERROR(VLOOKUP("APAD",Controls!A:K,10,0),"")</f>
        <v>ST Pharm</v>
      </c>
      <c r="S1207" s="41">
        <f t="shared" si="129"/>
        <v>49857</v>
      </c>
      <c r="T1207" s="30">
        <f t="shared" si="130"/>
        <v>0</v>
      </c>
      <c r="AB1207">
        <f t="shared" si="132"/>
        <v>411.04000000000008</v>
      </c>
    </row>
    <row r="1208" spans="1:28" ht="13" customHeight="1" x14ac:dyDescent="0.35">
      <c r="A1208" s="153">
        <v>50010</v>
      </c>
      <c r="B1208" s="36" t="s">
        <v>54</v>
      </c>
      <c r="C1208" s="15" t="s">
        <v>52</v>
      </c>
      <c r="D1208" s="15" t="s">
        <v>48</v>
      </c>
      <c r="E1208" s="30">
        <f>H1207</f>
        <v>128.80000000000004</v>
      </c>
      <c r="F1208" s="37">
        <f>IFERROR('Production Inputs'!$EL$37*Dependencies!$D$13,0)</f>
        <v>0</v>
      </c>
      <c r="G1208" s="37">
        <f t="array" ref="G1208">IFERROR(SUMPRODUCT(('Production Inputs'!$A:$A="APAD")*('Production Inputs'!$B:$B="TOTAL ACTIVE")*'Production Inputs'!$EL:$EL),0)</f>
        <v>0</v>
      </c>
      <c r="H1208" s="30">
        <f t="shared" si="126"/>
        <v>128.80000000000004</v>
      </c>
      <c r="I1208" s="30">
        <f ca="1">IFERROR(AVERAGEIF(OFFSET(F1208,0,0,MIN(Controls!$B$8,COUNTIF(B1208:B$1973,B1208)),1),"&gt;"&amp;0),0)</f>
        <v>0</v>
      </c>
      <c r="J1208" s="38">
        <f t="shared" ca="1" si="127"/>
        <v>999</v>
      </c>
      <c r="K1208" s="30">
        <f t="shared" ca="1" si="131"/>
        <v>0</v>
      </c>
      <c r="L1208" t="str">
        <f t="shared" ca="1" si="128"/>
        <v>Overstock</v>
      </c>
      <c r="M1208" s="39">
        <f>IFERROR(VLOOKUP("APAD",Controls!A:I,7,0),6)</f>
        <v>4</v>
      </c>
      <c r="N1208" s="39">
        <f>IFERROR(VLOOKUP("APAD",Controls!A:I,8,0),3)</f>
        <v>3</v>
      </c>
      <c r="O1208" s="39">
        <f>IFERROR(VLOOKUP("APAD",Controls!A:I,9,0),18)</f>
        <v>12</v>
      </c>
      <c r="P1208" s="40">
        <f>IFERROR(VLOOKUP("APAD",Controls!A:J,5,0),0)</f>
        <v>165</v>
      </c>
      <c r="Q1208" s="39">
        <f>IFERROR(VLOOKUP("APAD",Controls!A:J,6,0),3)</f>
        <v>4</v>
      </c>
      <c r="R1208" s="21" t="str">
        <f>IFERROR(VLOOKUP("APAD",Controls!A:K,10,0),"")</f>
        <v>ST Pharm</v>
      </c>
      <c r="S1208" s="41">
        <f t="shared" si="129"/>
        <v>49888</v>
      </c>
      <c r="T1208" s="30">
        <f t="shared" si="130"/>
        <v>0</v>
      </c>
      <c r="AB1208">
        <f t="shared" si="132"/>
        <v>411.04000000000008</v>
      </c>
    </row>
    <row r="1209" spans="1:28" ht="13" customHeight="1" x14ac:dyDescent="0.35">
      <c r="A1209" s="153">
        <v>50041</v>
      </c>
      <c r="B1209" s="36" t="s">
        <v>54</v>
      </c>
      <c r="C1209" s="15" t="s">
        <v>52</v>
      </c>
      <c r="D1209" s="15" t="s">
        <v>48</v>
      </c>
      <c r="E1209" s="30">
        <f>H1208</f>
        <v>128.80000000000004</v>
      </c>
      <c r="F1209" s="37">
        <f>IFERROR('Production Inputs'!$EM$37*Dependencies!$D$13,0)</f>
        <v>0</v>
      </c>
      <c r="G1209" s="37">
        <f t="array" ref="G1209">IFERROR(SUMPRODUCT(('Production Inputs'!$A:$A="APAD")*('Production Inputs'!$B:$B="TOTAL ACTIVE")*'Production Inputs'!$EM:$EM),0)</f>
        <v>0</v>
      </c>
      <c r="H1209" s="30">
        <f t="shared" si="126"/>
        <v>128.80000000000004</v>
      </c>
      <c r="I1209" s="30">
        <f ca="1">IFERROR(AVERAGEIF(OFFSET(F1209,0,0,MIN(Controls!$B$8,COUNTIF(B1209:B$1973,B1209)),1),"&gt;"&amp;0),0)</f>
        <v>0</v>
      </c>
      <c r="J1209" s="38">
        <f t="shared" ca="1" si="127"/>
        <v>999</v>
      </c>
      <c r="K1209" s="30">
        <f t="shared" ca="1" si="131"/>
        <v>0</v>
      </c>
      <c r="L1209" t="str">
        <f t="shared" ca="1" si="128"/>
        <v>Overstock</v>
      </c>
      <c r="M1209" s="39">
        <f>IFERROR(VLOOKUP("APAD",Controls!A:I,7,0),6)</f>
        <v>4</v>
      </c>
      <c r="N1209" s="39">
        <f>IFERROR(VLOOKUP("APAD",Controls!A:I,8,0),3)</f>
        <v>3</v>
      </c>
      <c r="O1209" s="39">
        <f>IFERROR(VLOOKUP("APAD",Controls!A:I,9,0),18)</f>
        <v>12</v>
      </c>
      <c r="P1209" s="40">
        <f>IFERROR(VLOOKUP("APAD",Controls!A:J,5,0),0)</f>
        <v>165</v>
      </c>
      <c r="Q1209" s="39">
        <f>IFERROR(VLOOKUP("APAD",Controls!A:J,6,0),3)</f>
        <v>4</v>
      </c>
      <c r="R1209" s="21" t="str">
        <f>IFERROR(VLOOKUP("APAD",Controls!A:K,10,0),"")</f>
        <v>ST Pharm</v>
      </c>
      <c r="S1209" s="41">
        <f t="shared" si="129"/>
        <v>49919</v>
      </c>
      <c r="T1209" s="30">
        <f t="shared" si="130"/>
        <v>0</v>
      </c>
      <c r="AB1209">
        <f t="shared" si="132"/>
        <v>411.04000000000008</v>
      </c>
    </row>
    <row r="1210" spans="1:28" ht="13" customHeight="1" x14ac:dyDescent="0.35">
      <c r="A1210" s="153">
        <v>50072</v>
      </c>
      <c r="B1210" s="36" t="s">
        <v>54</v>
      </c>
      <c r="C1210" s="15" t="s">
        <v>52</v>
      </c>
      <c r="D1210" s="15" t="s">
        <v>48</v>
      </c>
      <c r="E1210" s="30">
        <f>H1209</f>
        <v>128.80000000000004</v>
      </c>
      <c r="F1210" s="37">
        <f>IFERROR('Production Inputs'!$EN$37*Dependencies!$D$13,0)</f>
        <v>0</v>
      </c>
      <c r="G1210" s="37">
        <f t="array" ref="G1210">IFERROR(SUMPRODUCT(('Production Inputs'!$A:$A="APAD")*('Production Inputs'!$B:$B="TOTAL ACTIVE")*'Production Inputs'!$EN:$EN),0)</f>
        <v>0</v>
      </c>
      <c r="H1210" s="30">
        <f t="shared" si="126"/>
        <v>128.80000000000004</v>
      </c>
      <c r="I1210" s="30">
        <f ca="1">IFERROR(AVERAGEIF(OFFSET(F1210,0,0,MIN(Controls!$B$8,COUNTIF(B1210:B$1973,B1210)),1),"&gt;"&amp;0),0)</f>
        <v>0</v>
      </c>
      <c r="J1210" s="38">
        <f t="shared" ca="1" si="127"/>
        <v>999</v>
      </c>
      <c r="K1210" s="30">
        <f t="shared" ca="1" si="131"/>
        <v>0</v>
      </c>
      <c r="L1210" t="str">
        <f t="shared" ca="1" si="128"/>
        <v>Overstock</v>
      </c>
      <c r="M1210" s="39">
        <f>IFERROR(VLOOKUP("APAD",Controls!A:I,7,0),6)</f>
        <v>4</v>
      </c>
      <c r="N1210" s="39">
        <f>IFERROR(VLOOKUP("APAD",Controls!A:I,8,0),3)</f>
        <v>3</v>
      </c>
      <c r="O1210" s="39">
        <f>IFERROR(VLOOKUP("APAD",Controls!A:I,9,0),18)</f>
        <v>12</v>
      </c>
      <c r="P1210" s="40">
        <f>IFERROR(VLOOKUP("APAD",Controls!A:J,5,0),0)</f>
        <v>165</v>
      </c>
      <c r="Q1210" s="39">
        <f>IFERROR(VLOOKUP("APAD",Controls!A:J,6,0),3)</f>
        <v>4</v>
      </c>
      <c r="R1210" s="21" t="str">
        <f>IFERROR(VLOOKUP("APAD",Controls!A:K,10,0),"")</f>
        <v>ST Pharm</v>
      </c>
      <c r="S1210" s="41">
        <f t="shared" si="129"/>
        <v>49949</v>
      </c>
      <c r="T1210" s="30">
        <f t="shared" si="130"/>
        <v>0</v>
      </c>
      <c r="AB1210">
        <f t="shared" si="132"/>
        <v>411.04000000000008</v>
      </c>
    </row>
    <row r="1211" spans="1:28" ht="13" customHeight="1" x14ac:dyDescent="0.35">
      <c r="A1211" s="153">
        <v>50100</v>
      </c>
      <c r="B1211" s="36" t="s">
        <v>54</v>
      </c>
      <c r="C1211" s="15" t="s">
        <v>52</v>
      </c>
      <c r="D1211" s="15" t="s">
        <v>48</v>
      </c>
      <c r="E1211" s="30">
        <f>H1210</f>
        <v>128.80000000000004</v>
      </c>
      <c r="F1211" s="37">
        <f>IFERROR('Production Inputs'!$EO$37*Dependencies!$D$13,0)</f>
        <v>0</v>
      </c>
      <c r="G1211" s="37">
        <f t="array" ref="G1211">IFERROR(SUMPRODUCT(('Production Inputs'!$A:$A="APAD")*('Production Inputs'!$B:$B="TOTAL ACTIVE")*'Production Inputs'!$EO:$EO),0)</f>
        <v>0</v>
      </c>
      <c r="H1211" s="30">
        <f t="shared" si="126"/>
        <v>128.80000000000004</v>
      </c>
      <c r="I1211" s="30">
        <f ca="1">IFERROR(AVERAGEIF(OFFSET(F1211,0,0,MIN(Controls!$B$8,COUNTIF(B1211:B$1973,B1211)),1),"&gt;"&amp;0),0)</f>
        <v>0</v>
      </c>
      <c r="J1211" s="38">
        <f t="shared" ca="1" si="127"/>
        <v>999</v>
      </c>
      <c r="K1211" s="30">
        <f t="shared" ca="1" si="131"/>
        <v>0</v>
      </c>
      <c r="L1211" t="str">
        <f t="shared" ca="1" si="128"/>
        <v>Overstock</v>
      </c>
      <c r="M1211" s="39">
        <f>IFERROR(VLOOKUP("APAD",Controls!A:I,7,0),6)</f>
        <v>4</v>
      </c>
      <c r="N1211" s="39">
        <f>IFERROR(VLOOKUP("APAD",Controls!A:I,8,0),3)</f>
        <v>3</v>
      </c>
      <c r="O1211" s="39">
        <f>IFERROR(VLOOKUP("APAD",Controls!A:I,9,0),18)</f>
        <v>12</v>
      </c>
      <c r="P1211" s="40">
        <f>IFERROR(VLOOKUP("APAD",Controls!A:J,5,0),0)</f>
        <v>165</v>
      </c>
      <c r="Q1211" s="39">
        <f>IFERROR(VLOOKUP("APAD",Controls!A:J,6,0),3)</f>
        <v>4</v>
      </c>
      <c r="R1211" s="21" t="str">
        <f>IFERROR(VLOOKUP("APAD",Controls!A:K,10,0),"")</f>
        <v>ST Pharm</v>
      </c>
      <c r="S1211" s="41">
        <f t="shared" si="129"/>
        <v>49980</v>
      </c>
      <c r="T1211" s="30">
        <f t="shared" si="130"/>
        <v>0</v>
      </c>
      <c r="AB1211">
        <f t="shared" si="132"/>
        <v>411.04000000000008</v>
      </c>
    </row>
    <row r="1212" spans="1:28" ht="13" customHeight="1" x14ac:dyDescent="0.35">
      <c r="A1212" s="153">
        <v>50131</v>
      </c>
      <c r="B1212" s="36" t="s">
        <v>54</v>
      </c>
      <c r="C1212" s="15" t="s">
        <v>52</v>
      </c>
      <c r="D1212" s="15" t="s">
        <v>48</v>
      </c>
      <c r="E1212" s="30">
        <f>H1211</f>
        <v>128.80000000000004</v>
      </c>
      <c r="F1212" s="37">
        <f>IFERROR('Production Inputs'!$EP$37*Dependencies!$D$13,0)</f>
        <v>0</v>
      </c>
      <c r="G1212" s="37">
        <f t="array" ref="G1212">IFERROR(SUMPRODUCT(('Production Inputs'!$A:$A="APAD")*('Production Inputs'!$B:$B="TOTAL ACTIVE")*'Production Inputs'!$EP:$EP),0)</f>
        <v>0</v>
      </c>
      <c r="H1212" s="30">
        <f t="shared" si="126"/>
        <v>128.80000000000004</v>
      </c>
      <c r="I1212" s="30">
        <f ca="1">IFERROR(AVERAGEIF(OFFSET(F1212,0,0,MIN(Controls!$B$8,COUNTIF(B1212:B$1973,B1212)),1),"&gt;"&amp;0),0)</f>
        <v>0</v>
      </c>
      <c r="J1212" s="38">
        <f t="shared" ca="1" si="127"/>
        <v>999</v>
      </c>
      <c r="K1212" s="30">
        <f t="shared" ca="1" si="131"/>
        <v>0</v>
      </c>
      <c r="L1212" t="str">
        <f t="shared" ca="1" si="128"/>
        <v>Overstock</v>
      </c>
      <c r="M1212" s="39">
        <f>IFERROR(VLOOKUP("APAD",Controls!A:I,7,0),6)</f>
        <v>4</v>
      </c>
      <c r="N1212" s="39">
        <f>IFERROR(VLOOKUP("APAD",Controls!A:I,8,0),3)</f>
        <v>3</v>
      </c>
      <c r="O1212" s="39">
        <f>IFERROR(VLOOKUP("APAD",Controls!A:I,9,0),18)</f>
        <v>12</v>
      </c>
      <c r="P1212" s="40">
        <f>IFERROR(VLOOKUP("APAD",Controls!A:J,5,0),0)</f>
        <v>165</v>
      </c>
      <c r="Q1212" s="39">
        <f>IFERROR(VLOOKUP("APAD",Controls!A:J,6,0),3)</f>
        <v>4</v>
      </c>
      <c r="R1212" s="21" t="str">
        <f>IFERROR(VLOOKUP("APAD",Controls!A:K,10,0),"")</f>
        <v>ST Pharm</v>
      </c>
      <c r="S1212" s="41">
        <f t="shared" si="129"/>
        <v>50010</v>
      </c>
      <c r="T1212" s="30">
        <f t="shared" si="130"/>
        <v>0</v>
      </c>
      <c r="AB1212">
        <f t="shared" si="132"/>
        <v>411.04000000000008</v>
      </c>
    </row>
    <row r="1213" spans="1:28" ht="13" customHeight="1" x14ac:dyDescent="0.35">
      <c r="A1213" s="153">
        <v>50161</v>
      </c>
      <c r="B1213" s="36" t="s">
        <v>54</v>
      </c>
      <c r="C1213" s="15" t="s">
        <v>52</v>
      </c>
      <c r="D1213" s="15" t="s">
        <v>48</v>
      </c>
      <c r="E1213" s="30">
        <f>H1212</f>
        <v>128.80000000000004</v>
      </c>
      <c r="F1213" s="37">
        <f>IFERROR('Production Inputs'!$EQ$37*Dependencies!$D$13,0)</f>
        <v>0</v>
      </c>
      <c r="G1213" s="37">
        <f t="array" ref="G1213">IFERROR(SUMPRODUCT(('Production Inputs'!$A:$A="APAD")*('Production Inputs'!$B:$B="TOTAL ACTIVE")*'Production Inputs'!$EQ:$EQ),0)</f>
        <v>0</v>
      </c>
      <c r="H1213" s="30">
        <f t="shared" si="126"/>
        <v>128.80000000000004</v>
      </c>
      <c r="I1213" s="30">
        <f ca="1">IFERROR(AVERAGEIF(OFFSET(F1213,0,0,MIN(Controls!$B$8,COUNTIF(B1213:B$1973,B1213)),1),"&gt;"&amp;0),0)</f>
        <v>0</v>
      </c>
      <c r="J1213" s="38">
        <f t="shared" ca="1" si="127"/>
        <v>999</v>
      </c>
      <c r="K1213" s="30">
        <f t="shared" ca="1" si="131"/>
        <v>0</v>
      </c>
      <c r="L1213" t="str">
        <f t="shared" ca="1" si="128"/>
        <v>Overstock</v>
      </c>
      <c r="M1213" s="39">
        <f>IFERROR(VLOOKUP("APAD",Controls!A:I,7,0),6)</f>
        <v>4</v>
      </c>
      <c r="N1213" s="39">
        <f>IFERROR(VLOOKUP("APAD",Controls!A:I,8,0),3)</f>
        <v>3</v>
      </c>
      <c r="O1213" s="39">
        <f>IFERROR(VLOOKUP("APAD",Controls!A:I,9,0),18)</f>
        <v>12</v>
      </c>
      <c r="P1213" s="40">
        <f>IFERROR(VLOOKUP("APAD",Controls!A:J,5,0),0)</f>
        <v>165</v>
      </c>
      <c r="Q1213" s="39">
        <f>IFERROR(VLOOKUP("APAD",Controls!A:J,6,0),3)</f>
        <v>4</v>
      </c>
      <c r="R1213" s="21" t="str">
        <f>IFERROR(VLOOKUP("APAD",Controls!A:K,10,0),"")</f>
        <v>ST Pharm</v>
      </c>
      <c r="S1213" s="41">
        <f t="shared" si="129"/>
        <v>50041</v>
      </c>
      <c r="T1213" s="30">
        <f t="shared" si="130"/>
        <v>0</v>
      </c>
      <c r="AB1213">
        <f t="shared" si="132"/>
        <v>411.04000000000008</v>
      </c>
    </row>
    <row r="1214" spans="1:28" ht="13" customHeight="1" x14ac:dyDescent="0.35">
      <c r="A1214" s="153">
        <v>50192</v>
      </c>
      <c r="B1214" s="36" t="s">
        <v>54</v>
      </c>
      <c r="C1214" s="15" t="s">
        <v>52</v>
      </c>
      <c r="D1214" s="15" t="s">
        <v>48</v>
      </c>
      <c r="E1214" s="30">
        <f>H1213</f>
        <v>128.80000000000004</v>
      </c>
      <c r="F1214" s="37">
        <f>IFERROR('Production Inputs'!$ER$37*Dependencies!$D$13,0)</f>
        <v>0</v>
      </c>
      <c r="G1214" s="37">
        <f t="array" ref="G1214">IFERROR(SUMPRODUCT(('Production Inputs'!$A:$A="APAD")*('Production Inputs'!$B:$B="TOTAL ACTIVE")*'Production Inputs'!$ER:$ER),0)</f>
        <v>0</v>
      </c>
      <c r="H1214" s="30">
        <f t="shared" si="126"/>
        <v>128.80000000000004</v>
      </c>
      <c r="I1214" s="30">
        <f ca="1">IFERROR(AVERAGEIF(OFFSET(F1214,0,0,MIN(Controls!$B$8,COUNTIF(B1214:B$1973,B1214)),1),"&gt;"&amp;0),0)</f>
        <v>0</v>
      </c>
      <c r="J1214" s="38">
        <f t="shared" ca="1" si="127"/>
        <v>999</v>
      </c>
      <c r="K1214" s="30">
        <f t="shared" ca="1" si="131"/>
        <v>0</v>
      </c>
      <c r="L1214" t="str">
        <f t="shared" ca="1" si="128"/>
        <v>Overstock</v>
      </c>
      <c r="M1214" s="39">
        <f>IFERROR(VLOOKUP("APAD",Controls!A:I,7,0),6)</f>
        <v>4</v>
      </c>
      <c r="N1214" s="39">
        <f>IFERROR(VLOOKUP("APAD",Controls!A:I,8,0),3)</f>
        <v>3</v>
      </c>
      <c r="O1214" s="39">
        <f>IFERROR(VLOOKUP("APAD",Controls!A:I,9,0),18)</f>
        <v>12</v>
      </c>
      <c r="P1214" s="40">
        <f>IFERROR(VLOOKUP("APAD",Controls!A:J,5,0),0)</f>
        <v>165</v>
      </c>
      <c r="Q1214" s="39">
        <f>IFERROR(VLOOKUP("APAD",Controls!A:J,6,0),3)</f>
        <v>4</v>
      </c>
      <c r="R1214" s="21" t="str">
        <f>IFERROR(VLOOKUP("APAD",Controls!A:K,10,0),"")</f>
        <v>ST Pharm</v>
      </c>
      <c r="S1214" s="41">
        <f t="shared" si="129"/>
        <v>50072</v>
      </c>
      <c r="T1214" s="30">
        <f t="shared" si="130"/>
        <v>0</v>
      </c>
      <c r="AB1214">
        <f t="shared" si="132"/>
        <v>411.04000000000008</v>
      </c>
    </row>
    <row r="1215" spans="1:28" ht="13" customHeight="1" x14ac:dyDescent="0.35">
      <c r="A1215" s="153">
        <v>50222</v>
      </c>
      <c r="B1215" s="36" t="s">
        <v>54</v>
      </c>
      <c r="C1215" s="15" t="s">
        <v>52</v>
      </c>
      <c r="D1215" s="15" t="s">
        <v>48</v>
      </c>
      <c r="E1215" s="30">
        <f>H1214</f>
        <v>128.80000000000004</v>
      </c>
      <c r="F1215" s="37">
        <f>IFERROR('Production Inputs'!$ES$37*Dependencies!$D$13,0)</f>
        <v>0</v>
      </c>
      <c r="G1215" s="37">
        <f t="array" ref="G1215">IFERROR(SUMPRODUCT(('Production Inputs'!$A:$A="APAD")*('Production Inputs'!$B:$B="TOTAL ACTIVE")*'Production Inputs'!$ES:$ES),0)</f>
        <v>0</v>
      </c>
      <c r="H1215" s="30">
        <f t="shared" si="126"/>
        <v>128.80000000000004</v>
      </c>
      <c r="I1215" s="30">
        <f ca="1">IFERROR(AVERAGEIF(OFFSET(F1215,0,0,MIN(Controls!$B$8,COUNTIF(B1215:B$1973,B1215)),1),"&gt;"&amp;0),0)</f>
        <v>0</v>
      </c>
      <c r="J1215" s="38">
        <f t="shared" ca="1" si="127"/>
        <v>999</v>
      </c>
      <c r="K1215" s="30">
        <f t="shared" ca="1" si="131"/>
        <v>0</v>
      </c>
      <c r="L1215" t="str">
        <f t="shared" ca="1" si="128"/>
        <v>Overstock</v>
      </c>
      <c r="M1215" s="39">
        <f>IFERROR(VLOOKUP("APAD",Controls!A:I,7,0),6)</f>
        <v>4</v>
      </c>
      <c r="N1215" s="39">
        <f>IFERROR(VLOOKUP("APAD",Controls!A:I,8,0),3)</f>
        <v>3</v>
      </c>
      <c r="O1215" s="39">
        <f>IFERROR(VLOOKUP("APAD",Controls!A:I,9,0),18)</f>
        <v>12</v>
      </c>
      <c r="P1215" s="40">
        <f>IFERROR(VLOOKUP("APAD",Controls!A:J,5,0),0)</f>
        <v>165</v>
      </c>
      <c r="Q1215" s="39">
        <f>IFERROR(VLOOKUP("APAD",Controls!A:J,6,0),3)</f>
        <v>4</v>
      </c>
      <c r="R1215" s="21" t="str">
        <f>IFERROR(VLOOKUP("APAD",Controls!A:K,10,0),"")</f>
        <v>ST Pharm</v>
      </c>
      <c r="S1215" s="41">
        <f t="shared" si="129"/>
        <v>50100</v>
      </c>
      <c r="T1215" s="30">
        <f t="shared" si="130"/>
        <v>0</v>
      </c>
      <c r="AB1215">
        <f t="shared" si="132"/>
        <v>411.04000000000008</v>
      </c>
    </row>
    <row r="1216" spans="1:28" ht="13" customHeight="1" x14ac:dyDescent="0.35">
      <c r="A1216" s="153">
        <v>50253</v>
      </c>
      <c r="B1216" s="36" t="s">
        <v>54</v>
      </c>
      <c r="C1216" s="15" t="s">
        <v>52</v>
      </c>
      <c r="D1216" s="15" t="s">
        <v>48</v>
      </c>
      <c r="E1216" s="30">
        <f>H1215</f>
        <v>128.80000000000004</v>
      </c>
      <c r="F1216" s="37">
        <f>IFERROR('Production Inputs'!$ET$37*Dependencies!$D$13,0)</f>
        <v>0</v>
      </c>
      <c r="G1216" s="37">
        <f t="array" ref="G1216">IFERROR(SUMPRODUCT(('Production Inputs'!$A:$A="APAD")*('Production Inputs'!$B:$B="TOTAL ACTIVE")*'Production Inputs'!$ET:$ET),0)</f>
        <v>0</v>
      </c>
      <c r="H1216" s="30">
        <f t="shared" si="126"/>
        <v>128.80000000000004</v>
      </c>
      <c r="I1216" s="30">
        <f ca="1">IFERROR(AVERAGEIF(OFFSET(F1216,0,0,MIN(Controls!$B$8,COUNTIF(B1216:B$1973,B1216)),1),"&gt;"&amp;0),0)</f>
        <v>0</v>
      </c>
      <c r="J1216" s="38">
        <f t="shared" ca="1" si="127"/>
        <v>999</v>
      </c>
      <c r="K1216" s="30">
        <f t="shared" ca="1" si="131"/>
        <v>0</v>
      </c>
      <c r="L1216" t="str">
        <f t="shared" ca="1" si="128"/>
        <v>Overstock</v>
      </c>
      <c r="M1216" s="39">
        <f>IFERROR(VLOOKUP("APAD",Controls!A:I,7,0),6)</f>
        <v>4</v>
      </c>
      <c r="N1216" s="39">
        <f>IFERROR(VLOOKUP("APAD",Controls!A:I,8,0),3)</f>
        <v>3</v>
      </c>
      <c r="O1216" s="39">
        <f>IFERROR(VLOOKUP("APAD",Controls!A:I,9,0),18)</f>
        <v>12</v>
      </c>
      <c r="P1216" s="40">
        <f>IFERROR(VLOOKUP("APAD",Controls!A:J,5,0),0)</f>
        <v>165</v>
      </c>
      <c r="Q1216" s="39">
        <f>IFERROR(VLOOKUP("APAD",Controls!A:J,6,0),3)</f>
        <v>4</v>
      </c>
      <c r="R1216" s="21" t="str">
        <f>IFERROR(VLOOKUP("APAD",Controls!A:K,10,0),"")</f>
        <v>ST Pharm</v>
      </c>
      <c r="S1216" s="41">
        <f t="shared" si="129"/>
        <v>50131</v>
      </c>
      <c r="T1216" s="30">
        <f t="shared" si="130"/>
        <v>0</v>
      </c>
      <c r="AB1216">
        <f t="shared" si="132"/>
        <v>411.04000000000008</v>
      </c>
    </row>
    <row r="1217" spans="1:28" ht="13" customHeight="1" x14ac:dyDescent="0.35">
      <c r="A1217" s="153">
        <v>50284</v>
      </c>
      <c r="B1217" s="36" t="s">
        <v>54</v>
      </c>
      <c r="C1217" s="15" t="s">
        <v>52</v>
      </c>
      <c r="D1217" s="15" t="s">
        <v>48</v>
      </c>
      <c r="E1217" s="30">
        <f>H1216</f>
        <v>128.80000000000004</v>
      </c>
      <c r="F1217" s="37">
        <f>IFERROR('Production Inputs'!$EU$37*Dependencies!$D$13,0)</f>
        <v>0</v>
      </c>
      <c r="G1217" s="37">
        <f t="array" ref="G1217">IFERROR(SUMPRODUCT(('Production Inputs'!$A:$A="APAD")*('Production Inputs'!$B:$B="TOTAL ACTIVE")*'Production Inputs'!$EU:$EU),0)</f>
        <v>0</v>
      </c>
      <c r="H1217" s="30">
        <f t="shared" si="126"/>
        <v>128.80000000000004</v>
      </c>
      <c r="I1217" s="30">
        <f ca="1">IFERROR(AVERAGEIF(OFFSET(F1217,0,0,MIN(Controls!$B$8,COUNTIF(B1217:B$1973,B1217)),1),"&gt;"&amp;0),0)</f>
        <v>0</v>
      </c>
      <c r="J1217" s="38">
        <f t="shared" ca="1" si="127"/>
        <v>999</v>
      </c>
      <c r="K1217" s="30">
        <f t="shared" ca="1" si="131"/>
        <v>0</v>
      </c>
      <c r="L1217" t="str">
        <f t="shared" ca="1" si="128"/>
        <v>Overstock</v>
      </c>
      <c r="M1217" s="39">
        <f>IFERROR(VLOOKUP("APAD",Controls!A:I,7,0),6)</f>
        <v>4</v>
      </c>
      <c r="N1217" s="39">
        <f>IFERROR(VLOOKUP("APAD",Controls!A:I,8,0),3)</f>
        <v>3</v>
      </c>
      <c r="O1217" s="39">
        <f>IFERROR(VLOOKUP("APAD",Controls!A:I,9,0),18)</f>
        <v>12</v>
      </c>
      <c r="P1217" s="40">
        <f>IFERROR(VLOOKUP("APAD",Controls!A:J,5,0),0)</f>
        <v>165</v>
      </c>
      <c r="Q1217" s="39">
        <f>IFERROR(VLOOKUP("APAD",Controls!A:J,6,0),3)</f>
        <v>4</v>
      </c>
      <c r="R1217" s="21" t="str">
        <f>IFERROR(VLOOKUP("APAD",Controls!A:K,10,0),"")</f>
        <v>ST Pharm</v>
      </c>
      <c r="S1217" s="41">
        <f t="shared" si="129"/>
        <v>50161</v>
      </c>
      <c r="T1217" s="30">
        <f t="shared" si="130"/>
        <v>0</v>
      </c>
      <c r="AB1217">
        <f t="shared" si="132"/>
        <v>411.04000000000008</v>
      </c>
    </row>
    <row r="1218" spans="1:28" ht="13" customHeight="1" x14ac:dyDescent="0.35">
      <c r="A1218" s="153">
        <v>50314</v>
      </c>
      <c r="B1218" s="36" t="s">
        <v>54</v>
      </c>
      <c r="C1218" s="15" t="s">
        <v>52</v>
      </c>
      <c r="D1218" s="15" t="s">
        <v>48</v>
      </c>
      <c r="E1218" s="30">
        <f>H1217</f>
        <v>128.80000000000004</v>
      </c>
      <c r="F1218" s="37">
        <f>IFERROR('Production Inputs'!$EV$37*Dependencies!$D$13,0)</f>
        <v>0</v>
      </c>
      <c r="G1218" s="37">
        <f t="array" ref="G1218">IFERROR(SUMPRODUCT(('Production Inputs'!$A:$A="APAD")*('Production Inputs'!$B:$B="TOTAL ACTIVE")*'Production Inputs'!$EV:$EV),0)</f>
        <v>0</v>
      </c>
      <c r="H1218" s="30">
        <f t="shared" si="126"/>
        <v>128.80000000000004</v>
      </c>
      <c r="I1218" s="30">
        <f ca="1">IFERROR(AVERAGEIF(OFFSET(F1218,0,0,MIN(Controls!$B$8,COUNTIF(B1218:B$1973,B1218)),1),"&gt;"&amp;0),0)</f>
        <v>0</v>
      </c>
      <c r="J1218" s="38">
        <f t="shared" ca="1" si="127"/>
        <v>999</v>
      </c>
      <c r="K1218" s="30">
        <f t="shared" ca="1" si="131"/>
        <v>0</v>
      </c>
      <c r="L1218" t="str">
        <f t="shared" ca="1" si="128"/>
        <v>Overstock</v>
      </c>
      <c r="M1218" s="39">
        <f>IFERROR(VLOOKUP("APAD",Controls!A:I,7,0),6)</f>
        <v>4</v>
      </c>
      <c r="N1218" s="39">
        <f>IFERROR(VLOOKUP("APAD",Controls!A:I,8,0),3)</f>
        <v>3</v>
      </c>
      <c r="O1218" s="39">
        <f>IFERROR(VLOOKUP("APAD",Controls!A:I,9,0),18)</f>
        <v>12</v>
      </c>
      <c r="P1218" s="40">
        <f>IFERROR(VLOOKUP("APAD",Controls!A:J,5,0),0)</f>
        <v>165</v>
      </c>
      <c r="Q1218" s="39">
        <f>IFERROR(VLOOKUP("APAD",Controls!A:J,6,0),3)</f>
        <v>4</v>
      </c>
      <c r="R1218" s="21" t="str">
        <f>IFERROR(VLOOKUP("APAD",Controls!A:K,10,0),"")</f>
        <v>ST Pharm</v>
      </c>
      <c r="S1218" s="41">
        <f t="shared" si="129"/>
        <v>50192</v>
      </c>
      <c r="T1218" s="30">
        <f t="shared" si="130"/>
        <v>0</v>
      </c>
      <c r="AB1218">
        <f t="shared" si="132"/>
        <v>411.04000000000008</v>
      </c>
    </row>
    <row r="1219" spans="1:28" ht="13" customHeight="1" x14ac:dyDescent="0.35">
      <c r="A1219" s="153">
        <v>50345</v>
      </c>
      <c r="B1219" s="36" t="s">
        <v>54</v>
      </c>
      <c r="C1219" s="15" t="s">
        <v>52</v>
      </c>
      <c r="D1219" s="15" t="s">
        <v>48</v>
      </c>
      <c r="E1219" s="30">
        <f>H1218</f>
        <v>128.80000000000004</v>
      </c>
      <c r="F1219" s="37">
        <f>IFERROR('Production Inputs'!$EW$37*Dependencies!$D$13,0)</f>
        <v>0</v>
      </c>
      <c r="G1219" s="37">
        <f t="array" ref="G1219">IFERROR(SUMPRODUCT(('Production Inputs'!$A:$A="APAD")*('Production Inputs'!$B:$B="TOTAL ACTIVE")*'Production Inputs'!$EW:$EW),0)</f>
        <v>0</v>
      </c>
      <c r="H1219" s="30">
        <f t="shared" si="126"/>
        <v>128.80000000000004</v>
      </c>
      <c r="I1219" s="30">
        <f ca="1">IFERROR(AVERAGEIF(OFFSET(F1219,0,0,MIN(Controls!$B$8,COUNTIF(B1219:B$1973,B1219)),1),"&gt;"&amp;0),0)</f>
        <v>0</v>
      </c>
      <c r="J1219" s="38">
        <f t="shared" ca="1" si="127"/>
        <v>999</v>
      </c>
      <c r="K1219" s="30">
        <f t="shared" ca="1" si="131"/>
        <v>0</v>
      </c>
      <c r="L1219" t="str">
        <f t="shared" ca="1" si="128"/>
        <v>Overstock</v>
      </c>
      <c r="M1219" s="39">
        <f>IFERROR(VLOOKUP("APAD",Controls!A:I,7,0),6)</f>
        <v>4</v>
      </c>
      <c r="N1219" s="39">
        <f>IFERROR(VLOOKUP("APAD",Controls!A:I,8,0),3)</f>
        <v>3</v>
      </c>
      <c r="O1219" s="39">
        <f>IFERROR(VLOOKUP("APAD",Controls!A:I,9,0),18)</f>
        <v>12</v>
      </c>
      <c r="P1219" s="40">
        <f>IFERROR(VLOOKUP("APAD",Controls!A:J,5,0),0)</f>
        <v>165</v>
      </c>
      <c r="Q1219" s="39">
        <f>IFERROR(VLOOKUP("APAD",Controls!A:J,6,0),3)</f>
        <v>4</v>
      </c>
      <c r="R1219" s="21" t="str">
        <f>IFERROR(VLOOKUP("APAD",Controls!A:K,10,0),"")</f>
        <v>ST Pharm</v>
      </c>
      <c r="S1219" s="41">
        <f t="shared" si="129"/>
        <v>50222</v>
      </c>
      <c r="T1219" s="30">
        <f t="shared" si="130"/>
        <v>0</v>
      </c>
      <c r="AB1219">
        <f t="shared" si="132"/>
        <v>411.04000000000008</v>
      </c>
    </row>
    <row r="1220" spans="1:28" ht="13" customHeight="1" x14ac:dyDescent="0.35">
      <c r="A1220" s="153">
        <v>50375</v>
      </c>
      <c r="B1220" s="36" t="s">
        <v>54</v>
      </c>
      <c r="C1220" s="15" t="s">
        <v>52</v>
      </c>
      <c r="D1220" s="15" t="s">
        <v>48</v>
      </c>
      <c r="E1220" s="30">
        <f>H1219</f>
        <v>128.80000000000004</v>
      </c>
      <c r="F1220" s="37">
        <f>IFERROR('Production Inputs'!$EX$37*Dependencies!$D$13,0)</f>
        <v>0</v>
      </c>
      <c r="G1220" s="37">
        <f t="array" ref="G1220">IFERROR(SUMPRODUCT(('Production Inputs'!$A:$A="APAD")*('Production Inputs'!$B:$B="TOTAL ACTIVE")*'Production Inputs'!$EX:$EX),0)</f>
        <v>0</v>
      </c>
      <c r="H1220" s="30">
        <f t="shared" ref="H1220:H1283" si="133">E1220+G1220-F1220</f>
        <v>128.80000000000004</v>
      </c>
      <c r="I1220" s="30">
        <f ca="1">IFERROR(AVERAGEIF(OFFSET(F1220,0,0,MIN(Controls!$B$8,COUNTIF(B1220:B$1973,B1220)),1),"&gt;"&amp;0),0)</f>
        <v>0</v>
      </c>
      <c r="J1220" s="38">
        <f t="shared" ref="J1220:J1283" ca="1" si="134">IFERROR(H1220/I1220,IF(H1220&gt;0,999,0))</f>
        <v>999</v>
      </c>
      <c r="K1220" s="30">
        <f t="shared" ca="1" si="131"/>
        <v>0</v>
      </c>
      <c r="L1220" t="str">
        <f t="shared" ref="L1220:L1283" ca="1" si="135">IF(H1220&lt;=0,"High",IF(J1220&lt;N1220,"High",IF(J1220&lt;M1220,"Medium",IF(J1220&gt;O1220,"Overstock","Low"))))</f>
        <v>Overstock</v>
      </c>
      <c r="M1220" s="39">
        <f>IFERROR(VLOOKUP("APAD",Controls!A:I,7,0),6)</f>
        <v>4</v>
      </c>
      <c r="N1220" s="39">
        <f>IFERROR(VLOOKUP("APAD",Controls!A:I,8,0),3)</f>
        <v>3</v>
      </c>
      <c r="O1220" s="39">
        <f>IFERROR(VLOOKUP("APAD",Controls!A:I,9,0),18)</f>
        <v>12</v>
      </c>
      <c r="P1220" s="40">
        <f>IFERROR(VLOOKUP("APAD",Controls!A:J,5,0),0)</f>
        <v>165</v>
      </c>
      <c r="Q1220" s="39">
        <f>IFERROR(VLOOKUP("APAD",Controls!A:J,6,0),3)</f>
        <v>4</v>
      </c>
      <c r="R1220" s="21" t="str">
        <f>IFERROR(VLOOKUP("APAD",Controls!A:K,10,0),"")</f>
        <v>ST Pharm</v>
      </c>
      <c r="S1220" s="41">
        <f t="shared" ref="S1220:S1283" si="136">IFERROR(EDATE(A1220,-Q1220),"")</f>
        <v>50253</v>
      </c>
      <c r="T1220" s="30">
        <f t="shared" ref="T1220:T1283" si="137">G1220</f>
        <v>0</v>
      </c>
      <c r="AB1220">
        <f t="shared" si="132"/>
        <v>411.04000000000008</v>
      </c>
    </row>
    <row r="1221" spans="1:28" ht="13" customHeight="1" x14ac:dyDescent="0.35">
      <c r="A1221" s="153">
        <v>50406</v>
      </c>
      <c r="B1221" s="36" t="s">
        <v>54</v>
      </c>
      <c r="C1221" s="15" t="s">
        <v>52</v>
      </c>
      <c r="D1221" s="15" t="s">
        <v>48</v>
      </c>
      <c r="E1221" s="30">
        <f>H1220</f>
        <v>128.80000000000004</v>
      </c>
      <c r="F1221" s="37">
        <f>IFERROR('Production Inputs'!$EY$37*Dependencies!$D$13,0)</f>
        <v>0</v>
      </c>
      <c r="G1221" s="37">
        <f t="array" ref="G1221">IFERROR(SUMPRODUCT(('Production Inputs'!$A:$A="APAD")*('Production Inputs'!$B:$B="TOTAL ACTIVE")*'Production Inputs'!$EY:$EY),0)</f>
        <v>0</v>
      </c>
      <c r="H1221" s="30">
        <f t="shared" si="133"/>
        <v>128.80000000000004</v>
      </c>
      <c r="I1221" s="30">
        <f ca="1">IFERROR(AVERAGEIF(OFFSET(F1221,0,0,MIN(Controls!$B$8,COUNTIF(B1221:B$1973,B1221)),1),"&gt;"&amp;0),0)</f>
        <v>0</v>
      </c>
      <c r="J1221" s="38">
        <f t="shared" ca="1" si="134"/>
        <v>999</v>
      </c>
      <c r="K1221" s="30">
        <f t="shared" ref="K1221:K1284" ca="1" si="138">IFERROR(IF(H1221&lt;(N1221*I1221), CEILING(MAX(0,ROUND((M1221*I1221-H1221)/P1221,0)*P1221),P1221), 0), 0)</f>
        <v>0</v>
      </c>
      <c r="L1221" t="str">
        <f t="shared" ca="1" si="135"/>
        <v>Overstock</v>
      </c>
      <c r="M1221" s="39">
        <f>IFERROR(VLOOKUP("APAD",Controls!A:I,7,0),6)</f>
        <v>4</v>
      </c>
      <c r="N1221" s="39">
        <f>IFERROR(VLOOKUP("APAD",Controls!A:I,8,0),3)</f>
        <v>3</v>
      </c>
      <c r="O1221" s="39">
        <f>IFERROR(VLOOKUP("APAD",Controls!A:I,9,0),18)</f>
        <v>12</v>
      </c>
      <c r="P1221" s="40">
        <f>IFERROR(VLOOKUP("APAD",Controls!A:J,5,0),0)</f>
        <v>165</v>
      </c>
      <c r="Q1221" s="39">
        <f>IFERROR(VLOOKUP("APAD",Controls!A:J,6,0),3)</f>
        <v>4</v>
      </c>
      <c r="R1221" s="21" t="str">
        <f>IFERROR(VLOOKUP("APAD",Controls!A:K,10,0),"")</f>
        <v>ST Pharm</v>
      </c>
      <c r="S1221" s="41">
        <f t="shared" si="136"/>
        <v>50284</v>
      </c>
      <c r="T1221" s="30">
        <f t="shared" si="137"/>
        <v>0</v>
      </c>
      <c r="AB1221">
        <f t="shared" ref="AB1221:AB1284" si="139">SUMIFS($F$4:$F$2331,$B$4:$B$2331,B1221,$A$4:$A$2331,"&lt;="&amp;A1221)</f>
        <v>411.04000000000008</v>
      </c>
    </row>
    <row r="1222" spans="1:28" ht="13" customHeight="1" x14ac:dyDescent="0.35">
      <c r="A1222" s="153">
        <v>50437</v>
      </c>
      <c r="B1222" s="36" t="s">
        <v>54</v>
      </c>
      <c r="C1222" s="15" t="s">
        <v>52</v>
      </c>
      <c r="D1222" s="15" t="s">
        <v>48</v>
      </c>
      <c r="E1222" s="30">
        <f>H1221</f>
        <v>128.80000000000004</v>
      </c>
      <c r="F1222" s="37">
        <f>IFERROR('Production Inputs'!$EZ$37*Dependencies!$D$13,0)</f>
        <v>0</v>
      </c>
      <c r="G1222" s="37">
        <f t="array" ref="G1222">IFERROR(SUMPRODUCT(('Production Inputs'!$A:$A="APAD")*('Production Inputs'!$B:$B="TOTAL ACTIVE")*'Production Inputs'!$EZ:$EZ),0)</f>
        <v>0</v>
      </c>
      <c r="H1222" s="30">
        <f t="shared" si="133"/>
        <v>128.80000000000004</v>
      </c>
      <c r="I1222" s="30">
        <f ca="1">IFERROR(AVERAGEIF(OFFSET(F1222,0,0,MIN(Controls!$B$8,COUNTIF(B1222:B$1973,B1222)),1),"&gt;"&amp;0),0)</f>
        <v>0</v>
      </c>
      <c r="J1222" s="38">
        <f t="shared" ca="1" si="134"/>
        <v>999</v>
      </c>
      <c r="K1222" s="30">
        <f t="shared" ca="1" si="138"/>
        <v>0</v>
      </c>
      <c r="L1222" t="str">
        <f t="shared" ca="1" si="135"/>
        <v>Overstock</v>
      </c>
      <c r="M1222" s="39">
        <f>IFERROR(VLOOKUP("APAD",Controls!A:I,7,0),6)</f>
        <v>4</v>
      </c>
      <c r="N1222" s="39">
        <f>IFERROR(VLOOKUP("APAD",Controls!A:I,8,0),3)</f>
        <v>3</v>
      </c>
      <c r="O1222" s="39">
        <f>IFERROR(VLOOKUP("APAD",Controls!A:I,9,0),18)</f>
        <v>12</v>
      </c>
      <c r="P1222" s="40">
        <f>IFERROR(VLOOKUP("APAD",Controls!A:J,5,0),0)</f>
        <v>165</v>
      </c>
      <c r="Q1222" s="39">
        <f>IFERROR(VLOOKUP("APAD",Controls!A:J,6,0),3)</f>
        <v>4</v>
      </c>
      <c r="R1222" s="21" t="str">
        <f>IFERROR(VLOOKUP("APAD",Controls!A:K,10,0),"")</f>
        <v>ST Pharm</v>
      </c>
      <c r="S1222" s="41">
        <f t="shared" si="136"/>
        <v>50314</v>
      </c>
      <c r="T1222" s="30">
        <f t="shared" si="137"/>
        <v>0</v>
      </c>
      <c r="AB1222">
        <f t="shared" si="139"/>
        <v>411.04000000000008</v>
      </c>
    </row>
    <row r="1223" spans="1:28" ht="13" customHeight="1" x14ac:dyDescent="0.35">
      <c r="A1223" s="153">
        <v>50465</v>
      </c>
      <c r="B1223" s="36" t="s">
        <v>54</v>
      </c>
      <c r="C1223" s="15" t="s">
        <v>52</v>
      </c>
      <c r="D1223" s="15" t="s">
        <v>48</v>
      </c>
      <c r="E1223" s="30">
        <f>H1222</f>
        <v>128.80000000000004</v>
      </c>
      <c r="F1223" s="37">
        <f>IFERROR('Production Inputs'!$FA$37*Dependencies!$D$13,0)</f>
        <v>0</v>
      </c>
      <c r="G1223" s="37">
        <f t="array" ref="G1223">IFERROR(SUMPRODUCT(('Production Inputs'!$A:$A="APAD")*('Production Inputs'!$B:$B="TOTAL ACTIVE")*'Production Inputs'!$FA:$FA),0)</f>
        <v>0</v>
      </c>
      <c r="H1223" s="30">
        <f t="shared" si="133"/>
        <v>128.80000000000004</v>
      </c>
      <c r="I1223" s="30">
        <f ca="1">IFERROR(AVERAGEIF(OFFSET(F1223,0,0,MIN(Controls!$B$8,COUNTIF(B1223:B$1973,B1223)),1),"&gt;"&amp;0),0)</f>
        <v>0</v>
      </c>
      <c r="J1223" s="38">
        <f t="shared" ca="1" si="134"/>
        <v>999</v>
      </c>
      <c r="K1223" s="30">
        <f t="shared" ca="1" si="138"/>
        <v>0</v>
      </c>
      <c r="L1223" t="str">
        <f t="shared" ca="1" si="135"/>
        <v>Overstock</v>
      </c>
      <c r="M1223" s="39">
        <f>IFERROR(VLOOKUP("APAD",Controls!A:I,7,0),6)</f>
        <v>4</v>
      </c>
      <c r="N1223" s="39">
        <f>IFERROR(VLOOKUP("APAD",Controls!A:I,8,0),3)</f>
        <v>3</v>
      </c>
      <c r="O1223" s="39">
        <f>IFERROR(VLOOKUP("APAD",Controls!A:I,9,0),18)</f>
        <v>12</v>
      </c>
      <c r="P1223" s="40">
        <f>IFERROR(VLOOKUP("APAD",Controls!A:J,5,0),0)</f>
        <v>165</v>
      </c>
      <c r="Q1223" s="39">
        <f>IFERROR(VLOOKUP("APAD",Controls!A:J,6,0),3)</f>
        <v>4</v>
      </c>
      <c r="R1223" s="21" t="str">
        <f>IFERROR(VLOOKUP("APAD",Controls!A:K,10,0),"")</f>
        <v>ST Pharm</v>
      </c>
      <c r="S1223" s="41">
        <f t="shared" si="136"/>
        <v>50345</v>
      </c>
      <c r="T1223" s="30">
        <f t="shared" si="137"/>
        <v>0</v>
      </c>
      <c r="AB1223">
        <f t="shared" si="139"/>
        <v>411.04000000000008</v>
      </c>
    </row>
    <row r="1224" spans="1:28" ht="13" customHeight="1" x14ac:dyDescent="0.35">
      <c r="A1224" s="153">
        <v>50496</v>
      </c>
      <c r="B1224" s="36" t="s">
        <v>54</v>
      </c>
      <c r="C1224" s="15" t="s">
        <v>52</v>
      </c>
      <c r="D1224" s="15" t="s">
        <v>48</v>
      </c>
      <c r="E1224" s="30">
        <f>H1223</f>
        <v>128.80000000000004</v>
      </c>
      <c r="F1224" s="37">
        <f>IFERROR('Production Inputs'!$FB$37*Dependencies!$D$13,0)</f>
        <v>0</v>
      </c>
      <c r="G1224" s="37">
        <f t="array" ref="G1224">IFERROR(SUMPRODUCT(('Production Inputs'!$A:$A="APAD")*('Production Inputs'!$B:$B="TOTAL ACTIVE")*'Production Inputs'!$FB:$FB),0)</f>
        <v>0</v>
      </c>
      <c r="H1224" s="30">
        <f t="shared" si="133"/>
        <v>128.80000000000004</v>
      </c>
      <c r="I1224" s="30">
        <f ca="1">IFERROR(AVERAGEIF(OFFSET(F1224,0,0,MIN(Controls!$B$8,COUNTIF(B1224:B$1973,B1224)),1),"&gt;"&amp;0),0)</f>
        <v>0</v>
      </c>
      <c r="J1224" s="38">
        <f t="shared" ca="1" si="134"/>
        <v>999</v>
      </c>
      <c r="K1224" s="30">
        <f t="shared" ca="1" si="138"/>
        <v>0</v>
      </c>
      <c r="L1224" t="str">
        <f t="shared" ca="1" si="135"/>
        <v>Overstock</v>
      </c>
      <c r="M1224" s="39">
        <f>IFERROR(VLOOKUP("APAD",Controls!A:I,7,0),6)</f>
        <v>4</v>
      </c>
      <c r="N1224" s="39">
        <f>IFERROR(VLOOKUP("APAD",Controls!A:I,8,0),3)</f>
        <v>3</v>
      </c>
      <c r="O1224" s="39">
        <f>IFERROR(VLOOKUP("APAD",Controls!A:I,9,0),18)</f>
        <v>12</v>
      </c>
      <c r="P1224" s="40">
        <f>IFERROR(VLOOKUP("APAD",Controls!A:J,5,0),0)</f>
        <v>165</v>
      </c>
      <c r="Q1224" s="39">
        <f>IFERROR(VLOOKUP("APAD",Controls!A:J,6,0),3)</f>
        <v>4</v>
      </c>
      <c r="R1224" s="21" t="str">
        <f>IFERROR(VLOOKUP("APAD",Controls!A:K,10,0),"")</f>
        <v>ST Pharm</v>
      </c>
      <c r="S1224" s="41">
        <f t="shared" si="136"/>
        <v>50375</v>
      </c>
      <c r="T1224" s="30">
        <f t="shared" si="137"/>
        <v>0</v>
      </c>
      <c r="AB1224">
        <f t="shared" si="139"/>
        <v>411.04000000000008</v>
      </c>
    </row>
    <row r="1225" spans="1:28" ht="13" customHeight="1" x14ac:dyDescent="0.35">
      <c r="A1225" s="153">
        <v>50526</v>
      </c>
      <c r="B1225" s="36" t="s">
        <v>54</v>
      </c>
      <c r="C1225" s="15" t="s">
        <v>52</v>
      </c>
      <c r="D1225" s="15" t="s">
        <v>48</v>
      </c>
      <c r="E1225" s="30">
        <f>H1224</f>
        <v>128.80000000000004</v>
      </c>
      <c r="F1225" s="37">
        <f>IFERROR('Production Inputs'!$FC$37*Dependencies!$D$13,0)</f>
        <v>0</v>
      </c>
      <c r="G1225" s="37">
        <f t="array" ref="G1225">IFERROR(SUMPRODUCT(('Production Inputs'!$A:$A="APAD")*('Production Inputs'!$B:$B="TOTAL ACTIVE")*'Production Inputs'!$FC:$FC),0)</f>
        <v>0</v>
      </c>
      <c r="H1225" s="30">
        <f t="shared" si="133"/>
        <v>128.80000000000004</v>
      </c>
      <c r="I1225" s="30">
        <f ca="1">IFERROR(AVERAGEIF(OFFSET(F1225,0,0,MIN(Controls!$B$8,COUNTIF(B1225:B$1973,B1225)),1),"&gt;"&amp;0),0)</f>
        <v>0</v>
      </c>
      <c r="J1225" s="38">
        <f t="shared" ca="1" si="134"/>
        <v>999</v>
      </c>
      <c r="K1225" s="30">
        <f t="shared" ca="1" si="138"/>
        <v>0</v>
      </c>
      <c r="L1225" t="str">
        <f t="shared" ca="1" si="135"/>
        <v>Overstock</v>
      </c>
      <c r="M1225" s="39">
        <f>IFERROR(VLOOKUP("APAD",Controls!A:I,7,0),6)</f>
        <v>4</v>
      </c>
      <c r="N1225" s="39">
        <f>IFERROR(VLOOKUP("APAD",Controls!A:I,8,0),3)</f>
        <v>3</v>
      </c>
      <c r="O1225" s="39">
        <f>IFERROR(VLOOKUP("APAD",Controls!A:I,9,0),18)</f>
        <v>12</v>
      </c>
      <c r="P1225" s="40">
        <f>IFERROR(VLOOKUP("APAD",Controls!A:J,5,0),0)</f>
        <v>165</v>
      </c>
      <c r="Q1225" s="39">
        <f>IFERROR(VLOOKUP("APAD",Controls!A:J,6,0),3)</f>
        <v>4</v>
      </c>
      <c r="R1225" s="21" t="str">
        <f>IFERROR(VLOOKUP("APAD",Controls!A:K,10,0),"")</f>
        <v>ST Pharm</v>
      </c>
      <c r="S1225" s="41">
        <f t="shared" si="136"/>
        <v>50406</v>
      </c>
      <c r="T1225" s="30">
        <f t="shared" si="137"/>
        <v>0</v>
      </c>
      <c r="AB1225">
        <f t="shared" si="139"/>
        <v>411.04000000000008</v>
      </c>
    </row>
    <row r="1226" spans="1:28" ht="13" customHeight="1" x14ac:dyDescent="0.35">
      <c r="A1226" s="153">
        <v>50557</v>
      </c>
      <c r="B1226" s="36" t="s">
        <v>54</v>
      </c>
      <c r="C1226" s="15" t="s">
        <v>52</v>
      </c>
      <c r="D1226" s="15" t="s">
        <v>48</v>
      </c>
      <c r="E1226" s="30">
        <f>H1225</f>
        <v>128.80000000000004</v>
      </c>
      <c r="F1226" s="37">
        <f>IFERROR('Production Inputs'!$FD$37*Dependencies!$D$13,0)</f>
        <v>0</v>
      </c>
      <c r="G1226" s="37">
        <f t="array" ref="G1226">IFERROR(SUMPRODUCT(('Production Inputs'!$A:$A="APAD")*('Production Inputs'!$B:$B="TOTAL ACTIVE")*'Production Inputs'!$FD:$FD),0)</f>
        <v>0</v>
      </c>
      <c r="H1226" s="30">
        <f t="shared" si="133"/>
        <v>128.80000000000004</v>
      </c>
      <c r="I1226" s="30">
        <f ca="1">IFERROR(AVERAGEIF(OFFSET(F1226,0,0,MIN(Controls!$B$8,COUNTIF(B1226:B$1973,B1226)),1),"&gt;"&amp;0),0)</f>
        <v>0</v>
      </c>
      <c r="J1226" s="38">
        <f t="shared" ca="1" si="134"/>
        <v>999</v>
      </c>
      <c r="K1226" s="30">
        <f t="shared" ca="1" si="138"/>
        <v>0</v>
      </c>
      <c r="L1226" t="str">
        <f t="shared" ca="1" si="135"/>
        <v>Overstock</v>
      </c>
      <c r="M1226" s="39">
        <f>IFERROR(VLOOKUP("APAD",Controls!A:I,7,0),6)</f>
        <v>4</v>
      </c>
      <c r="N1226" s="39">
        <f>IFERROR(VLOOKUP("APAD",Controls!A:I,8,0),3)</f>
        <v>3</v>
      </c>
      <c r="O1226" s="39">
        <f>IFERROR(VLOOKUP("APAD",Controls!A:I,9,0),18)</f>
        <v>12</v>
      </c>
      <c r="P1226" s="40">
        <f>IFERROR(VLOOKUP("APAD",Controls!A:J,5,0),0)</f>
        <v>165</v>
      </c>
      <c r="Q1226" s="39">
        <f>IFERROR(VLOOKUP("APAD",Controls!A:J,6,0),3)</f>
        <v>4</v>
      </c>
      <c r="R1226" s="21" t="str">
        <f>IFERROR(VLOOKUP("APAD",Controls!A:K,10,0),"")</f>
        <v>ST Pharm</v>
      </c>
      <c r="S1226" s="41">
        <f t="shared" si="136"/>
        <v>50437</v>
      </c>
      <c r="T1226" s="30">
        <f t="shared" si="137"/>
        <v>0</v>
      </c>
      <c r="AB1226">
        <f t="shared" si="139"/>
        <v>411.04000000000008</v>
      </c>
    </row>
    <row r="1227" spans="1:28" ht="13" customHeight="1" x14ac:dyDescent="0.35">
      <c r="A1227" s="153">
        <v>50587</v>
      </c>
      <c r="B1227" s="36" t="s">
        <v>54</v>
      </c>
      <c r="C1227" s="15" t="s">
        <v>52</v>
      </c>
      <c r="D1227" s="15" t="s">
        <v>48</v>
      </c>
      <c r="E1227" s="30">
        <f>H1226</f>
        <v>128.80000000000004</v>
      </c>
      <c r="F1227" s="37">
        <f>IFERROR('Production Inputs'!$FE$37*Dependencies!$D$13,0)</f>
        <v>0</v>
      </c>
      <c r="G1227" s="37">
        <f t="array" ref="G1227">IFERROR(SUMPRODUCT(('Production Inputs'!$A:$A="APAD")*('Production Inputs'!$B:$B="TOTAL ACTIVE")*'Production Inputs'!$FE:$FE),0)</f>
        <v>0</v>
      </c>
      <c r="H1227" s="30">
        <f t="shared" si="133"/>
        <v>128.80000000000004</v>
      </c>
      <c r="I1227" s="30">
        <f ca="1">IFERROR(AVERAGEIF(OFFSET(F1227,0,0,MIN(Controls!$B$8,COUNTIF(B1227:B$1973,B1227)),1),"&gt;"&amp;0),0)</f>
        <v>0</v>
      </c>
      <c r="J1227" s="38">
        <f t="shared" ca="1" si="134"/>
        <v>999</v>
      </c>
      <c r="K1227" s="30">
        <f t="shared" ca="1" si="138"/>
        <v>0</v>
      </c>
      <c r="L1227" t="str">
        <f t="shared" ca="1" si="135"/>
        <v>Overstock</v>
      </c>
      <c r="M1227" s="39">
        <f>IFERROR(VLOOKUP("APAD",Controls!A:I,7,0),6)</f>
        <v>4</v>
      </c>
      <c r="N1227" s="39">
        <f>IFERROR(VLOOKUP("APAD",Controls!A:I,8,0),3)</f>
        <v>3</v>
      </c>
      <c r="O1227" s="39">
        <f>IFERROR(VLOOKUP("APAD",Controls!A:I,9,0),18)</f>
        <v>12</v>
      </c>
      <c r="P1227" s="40">
        <f>IFERROR(VLOOKUP("APAD",Controls!A:J,5,0),0)</f>
        <v>165</v>
      </c>
      <c r="Q1227" s="39">
        <f>IFERROR(VLOOKUP("APAD",Controls!A:J,6,0),3)</f>
        <v>4</v>
      </c>
      <c r="R1227" s="21" t="str">
        <f>IFERROR(VLOOKUP("APAD",Controls!A:K,10,0),"")</f>
        <v>ST Pharm</v>
      </c>
      <c r="S1227" s="41">
        <f t="shared" si="136"/>
        <v>50465</v>
      </c>
      <c r="T1227" s="30">
        <f t="shared" si="137"/>
        <v>0</v>
      </c>
      <c r="AB1227">
        <f t="shared" si="139"/>
        <v>411.04000000000008</v>
      </c>
    </row>
    <row r="1228" spans="1:28" ht="13" customHeight="1" x14ac:dyDescent="0.35">
      <c r="A1228" s="153">
        <v>50618</v>
      </c>
      <c r="B1228" s="36" t="s">
        <v>54</v>
      </c>
      <c r="C1228" s="15" t="s">
        <v>52</v>
      </c>
      <c r="D1228" s="15" t="s">
        <v>48</v>
      </c>
      <c r="E1228" s="30">
        <f>H1227</f>
        <v>128.80000000000004</v>
      </c>
      <c r="F1228" s="37">
        <f>IFERROR('Production Inputs'!$FF$37*Dependencies!$D$13,0)</f>
        <v>0</v>
      </c>
      <c r="G1228" s="37">
        <f t="array" ref="G1228">IFERROR(SUMPRODUCT(('Production Inputs'!$A:$A="APAD")*('Production Inputs'!$B:$B="TOTAL ACTIVE")*'Production Inputs'!$FF:$FF),0)</f>
        <v>0</v>
      </c>
      <c r="H1228" s="30">
        <f t="shared" si="133"/>
        <v>128.80000000000004</v>
      </c>
      <c r="I1228" s="30">
        <f ca="1">IFERROR(AVERAGEIF(OFFSET(F1228,0,0,MIN(Controls!$B$8,COUNTIF(B1228:B$1973,B1228)),1),"&gt;"&amp;0),0)</f>
        <v>0</v>
      </c>
      <c r="J1228" s="38">
        <f t="shared" ca="1" si="134"/>
        <v>999</v>
      </c>
      <c r="K1228" s="30">
        <f t="shared" ca="1" si="138"/>
        <v>0</v>
      </c>
      <c r="L1228" t="str">
        <f t="shared" ca="1" si="135"/>
        <v>Overstock</v>
      </c>
      <c r="M1228" s="39">
        <f>IFERROR(VLOOKUP("APAD",Controls!A:I,7,0),6)</f>
        <v>4</v>
      </c>
      <c r="N1228" s="39">
        <f>IFERROR(VLOOKUP("APAD",Controls!A:I,8,0),3)</f>
        <v>3</v>
      </c>
      <c r="O1228" s="39">
        <f>IFERROR(VLOOKUP("APAD",Controls!A:I,9,0),18)</f>
        <v>12</v>
      </c>
      <c r="P1228" s="40">
        <f>IFERROR(VLOOKUP("APAD",Controls!A:J,5,0),0)</f>
        <v>165</v>
      </c>
      <c r="Q1228" s="39">
        <f>IFERROR(VLOOKUP("APAD",Controls!A:J,6,0),3)</f>
        <v>4</v>
      </c>
      <c r="R1228" s="21" t="str">
        <f>IFERROR(VLOOKUP("APAD",Controls!A:K,10,0),"")</f>
        <v>ST Pharm</v>
      </c>
      <c r="S1228" s="41">
        <f t="shared" si="136"/>
        <v>50496</v>
      </c>
      <c r="T1228" s="30">
        <f t="shared" si="137"/>
        <v>0</v>
      </c>
      <c r="AB1228">
        <f t="shared" si="139"/>
        <v>411.04000000000008</v>
      </c>
    </row>
    <row r="1229" spans="1:28" ht="13" customHeight="1" x14ac:dyDescent="0.35">
      <c r="A1229" s="153">
        <v>50649</v>
      </c>
      <c r="B1229" s="36" t="s">
        <v>54</v>
      </c>
      <c r="C1229" s="15" t="s">
        <v>52</v>
      </c>
      <c r="D1229" s="15" t="s">
        <v>48</v>
      </c>
      <c r="E1229" s="30">
        <f>H1228</f>
        <v>128.80000000000004</v>
      </c>
      <c r="F1229" s="37">
        <f>IFERROR('Production Inputs'!$FG$37*Dependencies!$D$13,0)</f>
        <v>0</v>
      </c>
      <c r="G1229" s="37">
        <f t="array" ref="G1229">IFERROR(SUMPRODUCT(('Production Inputs'!$A:$A="APAD")*('Production Inputs'!$B:$B="TOTAL ACTIVE")*'Production Inputs'!$FG:$FG),0)</f>
        <v>0</v>
      </c>
      <c r="H1229" s="30">
        <f t="shared" si="133"/>
        <v>128.80000000000004</v>
      </c>
      <c r="I1229" s="30">
        <f ca="1">IFERROR(AVERAGEIF(OFFSET(F1229,0,0,MIN(Controls!$B$8,COUNTIF(B1229:B$1973,B1229)),1),"&gt;"&amp;0),0)</f>
        <v>0</v>
      </c>
      <c r="J1229" s="38">
        <f t="shared" ca="1" si="134"/>
        <v>999</v>
      </c>
      <c r="K1229" s="30">
        <f t="shared" ca="1" si="138"/>
        <v>0</v>
      </c>
      <c r="L1229" t="str">
        <f t="shared" ca="1" si="135"/>
        <v>Overstock</v>
      </c>
      <c r="M1229" s="39">
        <f>IFERROR(VLOOKUP("APAD",Controls!A:I,7,0),6)</f>
        <v>4</v>
      </c>
      <c r="N1229" s="39">
        <f>IFERROR(VLOOKUP("APAD",Controls!A:I,8,0),3)</f>
        <v>3</v>
      </c>
      <c r="O1229" s="39">
        <f>IFERROR(VLOOKUP("APAD",Controls!A:I,9,0),18)</f>
        <v>12</v>
      </c>
      <c r="P1229" s="40">
        <f>IFERROR(VLOOKUP("APAD",Controls!A:J,5,0),0)</f>
        <v>165</v>
      </c>
      <c r="Q1229" s="39">
        <f>IFERROR(VLOOKUP("APAD",Controls!A:J,6,0),3)</f>
        <v>4</v>
      </c>
      <c r="R1229" s="21" t="str">
        <f>IFERROR(VLOOKUP("APAD",Controls!A:K,10,0),"")</f>
        <v>ST Pharm</v>
      </c>
      <c r="S1229" s="41">
        <f t="shared" si="136"/>
        <v>50526</v>
      </c>
      <c r="T1229" s="30">
        <f t="shared" si="137"/>
        <v>0</v>
      </c>
      <c r="AB1229">
        <f t="shared" si="139"/>
        <v>411.04000000000008</v>
      </c>
    </row>
    <row r="1230" spans="1:28" ht="13" customHeight="1" x14ac:dyDescent="0.35">
      <c r="A1230" s="153">
        <v>50679</v>
      </c>
      <c r="B1230" s="36" t="s">
        <v>54</v>
      </c>
      <c r="C1230" s="15" t="s">
        <v>52</v>
      </c>
      <c r="D1230" s="15" t="s">
        <v>48</v>
      </c>
      <c r="E1230" s="30">
        <f>H1229</f>
        <v>128.80000000000004</v>
      </c>
      <c r="F1230" s="37">
        <f>IFERROR('Production Inputs'!$FH$37*Dependencies!$D$13,0)</f>
        <v>0</v>
      </c>
      <c r="G1230" s="37">
        <f t="array" ref="G1230">IFERROR(SUMPRODUCT(('Production Inputs'!$A:$A="APAD")*('Production Inputs'!$B:$B="TOTAL ACTIVE")*'Production Inputs'!$FH:$FH),0)</f>
        <v>0</v>
      </c>
      <c r="H1230" s="30">
        <f t="shared" si="133"/>
        <v>128.80000000000004</v>
      </c>
      <c r="I1230" s="30">
        <f ca="1">IFERROR(AVERAGEIF(OFFSET(F1230,0,0,MIN(Controls!$B$8,COUNTIF(B1230:B$1973,B1230)),1),"&gt;"&amp;0),0)</f>
        <v>0</v>
      </c>
      <c r="J1230" s="38">
        <f t="shared" ca="1" si="134"/>
        <v>999</v>
      </c>
      <c r="K1230" s="30">
        <f t="shared" ca="1" si="138"/>
        <v>0</v>
      </c>
      <c r="L1230" t="str">
        <f t="shared" ca="1" si="135"/>
        <v>Overstock</v>
      </c>
      <c r="M1230" s="39">
        <f>IFERROR(VLOOKUP("APAD",Controls!A:I,7,0),6)</f>
        <v>4</v>
      </c>
      <c r="N1230" s="39">
        <f>IFERROR(VLOOKUP("APAD",Controls!A:I,8,0),3)</f>
        <v>3</v>
      </c>
      <c r="O1230" s="39">
        <f>IFERROR(VLOOKUP("APAD",Controls!A:I,9,0),18)</f>
        <v>12</v>
      </c>
      <c r="P1230" s="40">
        <f>IFERROR(VLOOKUP("APAD",Controls!A:J,5,0),0)</f>
        <v>165</v>
      </c>
      <c r="Q1230" s="39">
        <f>IFERROR(VLOOKUP("APAD",Controls!A:J,6,0),3)</f>
        <v>4</v>
      </c>
      <c r="R1230" s="21" t="str">
        <f>IFERROR(VLOOKUP("APAD",Controls!A:K,10,0),"")</f>
        <v>ST Pharm</v>
      </c>
      <c r="S1230" s="41">
        <f t="shared" si="136"/>
        <v>50557</v>
      </c>
      <c r="T1230" s="30">
        <f t="shared" si="137"/>
        <v>0</v>
      </c>
      <c r="AB1230">
        <f t="shared" si="139"/>
        <v>411.04000000000008</v>
      </c>
    </row>
    <row r="1231" spans="1:28" ht="13" customHeight="1" x14ac:dyDescent="0.35">
      <c r="A1231" s="153">
        <v>50710</v>
      </c>
      <c r="B1231" s="36" t="s">
        <v>54</v>
      </c>
      <c r="C1231" s="15" t="s">
        <v>52</v>
      </c>
      <c r="D1231" s="15" t="s">
        <v>48</v>
      </c>
      <c r="E1231" s="30">
        <f>H1230</f>
        <v>128.80000000000004</v>
      </c>
      <c r="F1231" s="37">
        <f>IFERROR('Production Inputs'!$FI$37*Dependencies!$D$13,0)</f>
        <v>0</v>
      </c>
      <c r="G1231" s="37">
        <f t="array" ref="G1231">IFERROR(SUMPRODUCT(('Production Inputs'!$A:$A="APAD")*('Production Inputs'!$B:$B="TOTAL ACTIVE")*'Production Inputs'!$FI:$FI),0)</f>
        <v>0</v>
      </c>
      <c r="H1231" s="30">
        <f t="shared" si="133"/>
        <v>128.80000000000004</v>
      </c>
      <c r="I1231" s="30">
        <f ca="1">IFERROR(AVERAGEIF(OFFSET(F1231,0,0,MIN(Controls!$B$8,COUNTIF(B1231:B$1973,B1231)),1),"&gt;"&amp;0),0)</f>
        <v>0</v>
      </c>
      <c r="J1231" s="38">
        <f t="shared" ca="1" si="134"/>
        <v>999</v>
      </c>
      <c r="K1231" s="30">
        <f t="shared" ca="1" si="138"/>
        <v>0</v>
      </c>
      <c r="L1231" t="str">
        <f t="shared" ca="1" si="135"/>
        <v>Overstock</v>
      </c>
      <c r="M1231" s="39">
        <f>IFERROR(VLOOKUP("APAD",Controls!A:I,7,0),6)</f>
        <v>4</v>
      </c>
      <c r="N1231" s="39">
        <f>IFERROR(VLOOKUP("APAD",Controls!A:I,8,0),3)</f>
        <v>3</v>
      </c>
      <c r="O1231" s="39">
        <f>IFERROR(VLOOKUP("APAD",Controls!A:I,9,0),18)</f>
        <v>12</v>
      </c>
      <c r="P1231" s="40">
        <f>IFERROR(VLOOKUP("APAD",Controls!A:J,5,0),0)</f>
        <v>165</v>
      </c>
      <c r="Q1231" s="39">
        <f>IFERROR(VLOOKUP("APAD",Controls!A:J,6,0),3)</f>
        <v>4</v>
      </c>
      <c r="R1231" s="21" t="str">
        <f>IFERROR(VLOOKUP("APAD",Controls!A:K,10,0),"")</f>
        <v>ST Pharm</v>
      </c>
      <c r="S1231" s="41">
        <f t="shared" si="136"/>
        <v>50587</v>
      </c>
      <c r="T1231" s="30">
        <f t="shared" si="137"/>
        <v>0</v>
      </c>
      <c r="AB1231">
        <f t="shared" si="139"/>
        <v>411.04000000000008</v>
      </c>
    </row>
    <row r="1232" spans="1:28" ht="13" customHeight="1" x14ac:dyDescent="0.35">
      <c r="A1232" s="153">
        <v>50740</v>
      </c>
      <c r="B1232" s="36" t="s">
        <v>54</v>
      </c>
      <c r="C1232" s="15" t="s">
        <v>52</v>
      </c>
      <c r="D1232" s="15" t="s">
        <v>48</v>
      </c>
      <c r="E1232" s="30">
        <f>H1231</f>
        <v>128.80000000000004</v>
      </c>
      <c r="F1232" s="37">
        <f>IFERROR('Production Inputs'!$FJ$37*Dependencies!$D$13,0)</f>
        <v>0</v>
      </c>
      <c r="G1232" s="37">
        <f t="array" ref="G1232">IFERROR(SUMPRODUCT(('Production Inputs'!$A:$A="APAD")*('Production Inputs'!$B:$B="TOTAL ACTIVE")*'Production Inputs'!$FJ:$FJ),0)</f>
        <v>0</v>
      </c>
      <c r="H1232" s="30">
        <f t="shared" si="133"/>
        <v>128.80000000000004</v>
      </c>
      <c r="I1232" s="30">
        <f ca="1">IFERROR(AVERAGEIF(OFFSET(F1232,0,0,MIN(Controls!$B$8,COUNTIF(B1232:B$1973,B1232)),1),"&gt;"&amp;0),0)</f>
        <v>0</v>
      </c>
      <c r="J1232" s="38">
        <f t="shared" ca="1" si="134"/>
        <v>999</v>
      </c>
      <c r="K1232" s="30">
        <f t="shared" ca="1" si="138"/>
        <v>0</v>
      </c>
      <c r="L1232" t="str">
        <f t="shared" ca="1" si="135"/>
        <v>Overstock</v>
      </c>
      <c r="M1232" s="39">
        <f>IFERROR(VLOOKUP("APAD",Controls!A:I,7,0),6)</f>
        <v>4</v>
      </c>
      <c r="N1232" s="39">
        <f>IFERROR(VLOOKUP("APAD",Controls!A:I,8,0),3)</f>
        <v>3</v>
      </c>
      <c r="O1232" s="39">
        <f>IFERROR(VLOOKUP("APAD",Controls!A:I,9,0),18)</f>
        <v>12</v>
      </c>
      <c r="P1232" s="40">
        <f>IFERROR(VLOOKUP("APAD",Controls!A:J,5,0),0)</f>
        <v>165</v>
      </c>
      <c r="Q1232" s="39">
        <f>IFERROR(VLOOKUP("APAD",Controls!A:J,6,0),3)</f>
        <v>4</v>
      </c>
      <c r="R1232" s="21" t="str">
        <f>IFERROR(VLOOKUP("APAD",Controls!A:K,10,0),"")</f>
        <v>ST Pharm</v>
      </c>
      <c r="S1232" s="41">
        <f t="shared" si="136"/>
        <v>50618</v>
      </c>
      <c r="T1232" s="30">
        <f t="shared" si="137"/>
        <v>0</v>
      </c>
      <c r="AB1232">
        <f t="shared" si="139"/>
        <v>411.04000000000008</v>
      </c>
    </row>
    <row r="1233" spans="1:28" ht="13" customHeight="1" x14ac:dyDescent="0.35">
      <c r="A1233" s="153">
        <v>50771</v>
      </c>
      <c r="B1233" s="36" t="s">
        <v>54</v>
      </c>
      <c r="C1233" s="15" t="s">
        <v>52</v>
      </c>
      <c r="D1233" s="15" t="s">
        <v>48</v>
      </c>
      <c r="E1233" s="30">
        <f>H1232</f>
        <v>128.80000000000004</v>
      </c>
      <c r="F1233" s="37">
        <f>IFERROR('Production Inputs'!$FK$37*Dependencies!$D$13,0)</f>
        <v>0</v>
      </c>
      <c r="G1233" s="37">
        <f t="array" ref="G1233">IFERROR(SUMPRODUCT(('Production Inputs'!$A:$A="APAD")*('Production Inputs'!$B:$B="TOTAL ACTIVE")*'Production Inputs'!$FK:$FK),0)</f>
        <v>0</v>
      </c>
      <c r="H1233" s="30">
        <f t="shared" si="133"/>
        <v>128.80000000000004</v>
      </c>
      <c r="I1233" s="30">
        <f ca="1">IFERROR(AVERAGEIF(OFFSET(F1233,0,0,MIN(Controls!$B$8,COUNTIF(B1233:B$1973,B1233)),1),"&gt;"&amp;0),0)</f>
        <v>0</v>
      </c>
      <c r="J1233" s="38">
        <f t="shared" ca="1" si="134"/>
        <v>999</v>
      </c>
      <c r="K1233" s="30">
        <f t="shared" ca="1" si="138"/>
        <v>0</v>
      </c>
      <c r="L1233" t="str">
        <f t="shared" ca="1" si="135"/>
        <v>Overstock</v>
      </c>
      <c r="M1233" s="39">
        <f>IFERROR(VLOOKUP("APAD",Controls!A:I,7,0),6)</f>
        <v>4</v>
      </c>
      <c r="N1233" s="39">
        <f>IFERROR(VLOOKUP("APAD",Controls!A:I,8,0),3)</f>
        <v>3</v>
      </c>
      <c r="O1233" s="39">
        <f>IFERROR(VLOOKUP("APAD",Controls!A:I,9,0),18)</f>
        <v>12</v>
      </c>
      <c r="P1233" s="40">
        <f>IFERROR(VLOOKUP("APAD",Controls!A:J,5,0),0)</f>
        <v>165</v>
      </c>
      <c r="Q1233" s="39">
        <f>IFERROR(VLOOKUP("APAD",Controls!A:J,6,0),3)</f>
        <v>4</v>
      </c>
      <c r="R1233" s="21" t="str">
        <f>IFERROR(VLOOKUP("APAD",Controls!A:K,10,0),"")</f>
        <v>ST Pharm</v>
      </c>
      <c r="S1233" s="41">
        <f t="shared" si="136"/>
        <v>50649</v>
      </c>
      <c r="T1233" s="30">
        <f t="shared" si="137"/>
        <v>0</v>
      </c>
      <c r="AB1233">
        <f t="shared" si="139"/>
        <v>411.04000000000008</v>
      </c>
    </row>
    <row r="1234" spans="1:28" ht="13" customHeight="1" x14ac:dyDescent="0.35">
      <c r="A1234" s="153">
        <v>50802</v>
      </c>
      <c r="B1234" s="36" t="s">
        <v>54</v>
      </c>
      <c r="C1234" s="15" t="s">
        <v>52</v>
      </c>
      <c r="D1234" s="15" t="s">
        <v>48</v>
      </c>
      <c r="E1234" s="30">
        <f>H1233</f>
        <v>128.80000000000004</v>
      </c>
      <c r="F1234" s="37">
        <f>IFERROR('Production Inputs'!$FL$37*Dependencies!$D$13,0)</f>
        <v>0</v>
      </c>
      <c r="G1234" s="37">
        <f t="array" ref="G1234">IFERROR(SUMPRODUCT(('Production Inputs'!$A:$A="APAD")*('Production Inputs'!$B:$B="TOTAL ACTIVE")*'Production Inputs'!$FL:$FL),0)</f>
        <v>0</v>
      </c>
      <c r="H1234" s="30">
        <f t="shared" si="133"/>
        <v>128.80000000000004</v>
      </c>
      <c r="I1234" s="30">
        <f ca="1">IFERROR(AVERAGEIF(OFFSET(F1234,0,0,MIN(Controls!$B$8,COUNTIF(B1234:B$1973,B1234)),1),"&gt;"&amp;0),0)</f>
        <v>0</v>
      </c>
      <c r="J1234" s="38">
        <f t="shared" ca="1" si="134"/>
        <v>999</v>
      </c>
      <c r="K1234" s="30">
        <f t="shared" ca="1" si="138"/>
        <v>0</v>
      </c>
      <c r="L1234" t="str">
        <f t="shared" ca="1" si="135"/>
        <v>Overstock</v>
      </c>
      <c r="M1234" s="39">
        <f>IFERROR(VLOOKUP("APAD",Controls!A:I,7,0),6)</f>
        <v>4</v>
      </c>
      <c r="N1234" s="39">
        <f>IFERROR(VLOOKUP("APAD",Controls!A:I,8,0),3)</f>
        <v>3</v>
      </c>
      <c r="O1234" s="39">
        <f>IFERROR(VLOOKUP("APAD",Controls!A:I,9,0),18)</f>
        <v>12</v>
      </c>
      <c r="P1234" s="40">
        <f>IFERROR(VLOOKUP("APAD",Controls!A:J,5,0),0)</f>
        <v>165</v>
      </c>
      <c r="Q1234" s="39">
        <f>IFERROR(VLOOKUP("APAD",Controls!A:J,6,0),3)</f>
        <v>4</v>
      </c>
      <c r="R1234" s="21" t="str">
        <f>IFERROR(VLOOKUP("APAD",Controls!A:K,10,0),"")</f>
        <v>ST Pharm</v>
      </c>
      <c r="S1234" s="41">
        <f t="shared" si="136"/>
        <v>50679</v>
      </c>
      <c r="T1234" s="30">
        <f t="shared" si="137"/>
        <v>0</v>
      </c>
      <c r="AB1234">
        <f t="shared" si="139"/>
        <v>411.04000000000008</v>
      </c>
    </row>
    <row r="1235" spans="1:28" ht="13" customHeight="1" x14ac:dyDescent="0.35">
      <c r="A1235" s="153">
        <v>50830</v>
      </c>
      <c r="B1235" s="36" t="s">
        <v>54</v>
      </c>
      <c r="C1235" s="15" t="s">
        <v>52</v>
      </c>
      <c r="D1235" s="15" t="s">
        <v>48</v>
      </c>
      <c r="E1235" s="30">
        <f>H1234</f>
        <v>128.80000000000004</v>
      </c>
      <c r="F1235" s="37">
        <f>IFERROR('Production Inputs'!$FM$37*Dependencies!$D$13,0)</f>
        <v>0</v>
      </c>
      <c r="G1235" s="37">
        <f t="array" ref="G1235">IFERROR(SUMPRODUCT(('Production Inputs'!$A:$A="APAD")*('Production Inputs'!$B:$B="TOTAL ACTIVE")*'Production Inputs'!$FM:$FM),0)</f>
        <v>0</v>
      </c>
      <c r="H1235" s="30">
        <f t="shared" si="133"/>
        <v>128.80000000000004</v>
      </c>
      <c r="I1235" s="30">
        <f ca="1">IFERROR(AVERAGEIF(OFFSET(F1235,0,0,MIN(Controls!$B$8,COUNTIF(B1235:B$1973,B1235)),1),"&gt;"&amp;0),0)</f>
        <v>0</v>
      </c>
      <c r="J1235" s="38">
        <f t="shared" ca="1" si="134"/>
        <v>999</v>
      </c>
      <c r="K1235" s="30">
        <f t="shared" ca="1" si="138"/>
        <v>0</v>
      </c>
      <c r="L1235" t="str">
        <f t="shared" ca="1" si="135"/>
        <v>Overstock</v>
      </c>
      <c r="M1235" s="39">
        <f>IFERROR(VLOOKUP("APAD",Controls!A:I,7,0),6)</f>
        <v>4</v>
      </c>
      <c r="N1235" s="39">
        <f>IFERROR(VLOOKUP("APAD",Controls!A:I,8,0),3)</f>
        <v>3</v>
      </c>
      <c r="O1235" s="39">
        <f>IFERROR(VLOOKUP("APAD",Controls!A:I,9,0),18)</f>
        <v>12</v>
      </c>
      <c r="P1235" s="40">
        <f>IFERROR(VLOOKUP("APAD",Controls!A:J,5,0),0)</f>
        <v>165</v>
      </c>
      <c r="Q1235" s="39">
        <f>IFERROR(VLOOKUP("APAD",Controls!A:J,6,0),3)</f>
        <v>4</v>
      </c>
      <c r="R1235" s="21" t="str">
        <f>IFERROR(VLOOKUP("APAD",Controls!A:K,10,0),"")</f>
        <v>ST Pharm</v>
      </c>
      <c r="S1235" s="41">
        <f t="shared" si="136"/>
        <v>50710</v>
      </c>
      <c r="T1235" s="30">
        <f t="shared" si="137"/>
        <v>0</v>
      </c>
      <c r="AB1235">
        <f t="shared" si="139"/>
        <v>411.04000000000008</v>
      </c>
    </row>
    <row r="1236" spans="1:28" ht="13" customHeight="1" x14ac:dyDescent="0.35">
      <c r="A1236" s="153">
        <v>50861</v>
      </c>
      <c r="B1236" s="36" t="s">
        <v>54</v>
      </c>
      <c r="C1236" s="15" t="s">
        <v>52</v>
      </c>
      <c r="D1236" s="15" t="s">
        <v>48</v>
      </c>
      <c r="E1236" s="30">
        <f>H1235</f>
        <v>128.80000000000004</v>
      </c>
      <c r="F1236" s="37">
        <f>IFERROR('Production Inputs'!$FN$37*Dependencies!$D$13,0)</f>
        <v>0</v>
      </c>
      <c r="G1236" s="37">
        <f t="array" ref="G1236">IFERROR(SUMPRODUCT(('Production Inputs'!$A:$A="APAD")*('Production Inputs'!$B:$B="TOTAL ACTIVE")*'Production Inputs'!$FN:$FN),0)</f>
        <v>0</v>
      </c>
      <c r="H1236" s="30">
        <f t="shared" si="133"/>
        <v>128.80000000000004</v>
      </c>
      <c r="I1236" s="30">
        <f ca="1">IFERROR(AVERAGEIF(OFFSET(F1236,0,0,MIN(Controls!$B$8,COUNTIF(B1236:B$1973,B1236)),1),"&gt;"&amp;0),0)</f>
        <v>0</v>
      </c>
      <c r="J1236" s="38">
        <f t="shared" ca="1" si="134"/>
        <v>999</v>
      </c>
      <c r="K1236" s="30">
        <f t="shared" ca="1" si="138"/>
        <v>0</v>
      </c>
      <c r="L1236" t="str">
        <f t="shared" ca="1" si="135"/>
        <v>Overstock</v>
      </c>
      <c r="M1236" s="39">
        <f>IFERROR(VLOOKUP("APAD",Controls!A:I,7,0),6)</f>
        <v>4</v>
      </c>
      <c r="N1236" s="39">
        <f>IFERROR(VLOOKUP("APAD",Controls!A:I,8,0),3)</f>
        <v>3</v>
      </c>
      <c r="O1236" s="39">
        <f>IFERROR(VLOOKUP("APAD",Controls!A:I,9,0),18)</f>
        <v>12</v>
      </c>
      <c r="P1236" s="40">
        <f>IFERROR(VLOOKUP("APAD",Controls!A:J,5,0),0)</f>
        <v>165</v>
      </c>
      <c r="Q1236" s="39">
        <f>IFERROR(VLOOKUP("APAD",Controls!A:J,6,0),3)</f>
        <v>4</v>
      </c>
      <c r="R1236" s="21" t="str">
        <f>IFERROR(VLOOKUP("APAD",Controls!A:K,10,0),"")</f>
        <v>ST Pharm</v>
      </c>
      <c r="S1236" s="41">
        <f t="shared" si="136"/>
        <v>50740</v>
      </c>
      <c r="T1236" s="30">
        <f t="shared" si="137"/>
        <v>0</v>
      </c>
      <c r="AB1236">
        <f t="shared" si="139"/>
        <v>411.04000000000008</v>
      </c>
    </row>
    <row r="1237" spans="1:28" ht="13" customHeight="1" x14ac:dyDescent="0.35">
      <c r="A1237" s="153">
        <v>50891</v>
      </c>
      <c r="B1237" s="36" t="s">
        <v>54</v>
      </c>
      <c r="C1237" s="15" t="s">
        <v>52</v>
      </c>
      <c r="D1237" s="15" t="s">
        <v>48</v>
      </c>
      <c r="E1237" s="30">
        <f>H1236</f>
        <v>128.80000000000004</v>
      </c>
      <c r="F1237" s="37">
        <f>IFERROR('Production Inputs'!$FO$37*Dependencies!$D$13,0)</f>
        <v>0</v>
      </c>
      <c r="G1237" s="37">
        <f t="array" ref="G1237">IFERROR(SUMPRODUCT(('Production Inputs'!$A:$A="APAD")*('Production Inputs'!$B:$B="TOTAL ACTIVE")*'Production Inputs'!$FO:$FO),0)</f>
        <v>0</v>
      </c>
      <c r="H1237" s="30">
        <f t="shared" si="133"/>
        <v>128.80000000000004</v>
      </c>
      <c r="I1237" s="30">
        <f ca="1">IFERROR(AVERAGEIF(OFFSET(F1237,0,0,MIN(Controls!$B$8,COUNTIF(B1237:B$1973,B1237)),1),"&gt;"&amp;0),0)</f>
        <v>0</v>
      </c>
      <c r="J1237" s="38">
        <f t="shared" ca="1" si="134"/>
        <v>999</v>
      </c>
      <c r="K1237" s="30">
        <f t="shared" ca="1" si="138"/>
        <v>0</v>
      </c>
      <c r="L1237" t="str">
        <f t="shared" ca="1" si="135"/>
        <v>Overstock</v>
      </c>
      <c r="M1237" s="39">
        <f>IFERROR(VLOOKUP("APAD",Controls!A:I,7,0),6)</f>
        <v>4</v>
      </c>
      <c r="N1237" s="39">
        <f>IFERROR(VLOOKUP("APAD",Controls!A:I,8,0),3)</f>
        <v>3</v>
      </c>
      <c r="O1237" s="39">
        <f>IFERROR(VLOOKUP("APAD",Controls!A:I,9,0),18)</f>
        <v>12</v>
      </c>
      <c r="P1237" s="40">
        <f>IFERROR(VLOOKUP("APAD",Controls!A:J,5,0),0)</f>
        <v>165</v>
      </c>
      <c r="Q1237" s="39">
        <f>IFERROR(VLOOKUP("APAD",Controls!A:J,6,0),3)</f>
        <v>4</v>
      </c>
      <c r="R1237" s="21" t="str">
        <f>IFERROR(VLOOKUP("APAD",Controls!A:K,10,0),"")</f>
        <v>ST Pharm</v>
      </c>
      <c r="S1237" s="41">
        <f t="shared" si="136"/>
        <v>50771</v>
      </c>
      <c r="T1237" s="30">
        <f t="shared" si="137"/>
        <v>0</v>
      </c>
      <c r="AB1237">
        <f t="shared" si="139"/>
        <v>411.04000000000008</v>
      </c>
    </row>
    <row r="1238" spans="1:28" ht="13" customHeight="1" x14ac:dyDescent="0.35">
      <c r="A1238" s="153">
        <v>50922</v>
      </c>
      <c r="B1238" s="36" t="s">
        <v>54</v>
      </c>
      <c r="C1238" s="15" t="s">
        <v>52</v>
      </c>
      <c r="D1238" s="15" t="s">
        <v>48</v>
      </c>
      <c r="E1238" s="30">
        <f>H1237</f>
        <v>128.80000000000004</v>
      </c>
      <c r="F1238" s="37">
        <f>IFERROR('Production Inputs'!$FP$37*Dependencies!$D$13,0)</f>
        <v>0</v>
      </c>
      <c r="G1238" s="37">
        <f t="array" ref="G1238">IFERROR(SUMPRODUCT(('Production Inputs'!$A:$A="APAD")*('Production Inputs'!$B:$B="TOTAL ACTIVE")*'Production Inputs'!$FP:$FP),0)</f>
        <v>0</v>
      </c>
      <c r="H1238" s="30">
        <f t="shared" si="133"/>
        <v>128.80000000000004</v>
      </c>
      <c r="I1238" s="30">
        <f ca="1">IFERROR(AVERAGEIF(OFFSET(F1238,0,0,MIN(Controls!$B$8,COUNTIF(B1238:B$1973,B1238)),1),"&gt;"&amp;0),0)</f>
        <v>0</v>
      </c>
      <c r="J1238" s="38">
        <f t="shared" ca="1" si="134"/>
        <v>999</v>
      </c>
      <c r="K1238" s="30">
        <f t="shared" ca="1" si="138"/>
        <v>0</v>
      </c>
      <c r="L1238" t="str">
        <f t="shared" ca="1" si="135"/>
        <v>Overstock</v>
      </c>
      <c r="M1238" s="39">
        <f>IFERROR(VLOOKUP("APAD",Controls!A:I,7,0),6)</f>
        <v>4</v>
      </c>
      <c r="N1238" s="39">
        <f>IFERROR(VLOOKUP("APAD",Controls!A:I,8,0),3)</f>
        <v>3</v>
      </c>
      <c r="O1238" s="39">
        <f>IFERROR(VLOOKUP("APAD",Controls!A:I,9,0),18)</f>
        <v>12</v>
      </c>
      <c r="P1238" s="40">
        <f>IFERROR(VLOOKUP("APAD",Controls!A:J,5,0),0)</f>
        <v>165</v>
      </c>
      <c r="Q1238" s="39">
        <f>IFERROR(VLOOKUP("APAD",Controls!A:J,6,0),3)</f>
        <v>4</v>
      </c>
      <c r="R1238" s="21" t="str">
        <f>IFERROR(VLOOKUP("APAD",Controls!A:K,10,0),"")</f>
        <v>ST Pharm</v>
      </c>
      <c r="S1238" s="41">
        <f t="shared" si="136"/>
        <v>50802</v>
      </c>
      <c r="T1238" s="30">
        <f t="shared" si="137"/>
        <v>0</v>
      </c>
      <c r="AB1238">
        <f t="shared" si="139"/>
        <v>411.04000000000008</v>
      </c>
    </row>
    <row r="1239" spans="1:28" ht="13" customHeight="1" x14ac:dyDescent="0.35">
      <c r="A1239" s="153">
        <v>50952</v>
      </c>
      <c r="B1239" s="36" t="s">
        <v>54</v>
      </c>
      <c r="C1239" s="15" t="s">
        <v>52</v>
      </c>
      <c r="D1239" s="15" t="s">
        <v>48</v>
      </c>
      <c r="E1239" s="30">
        <f>H1238</f>
        <v>128.80000000000004</v>
      </c>
      <c r="F1239" s="37">
        <f>IFERROR('Production Inputs'!$FQ$37*Dependencies!$D$13,0)</f>
        <v>0</v>
      </c>
      <c r="G1239" s="37">
        <f t="array" ref="G1239">IFERROR(SUMPRODUCT(('Production Inputs'!$A:$A="APAD")*('Production Inputs'!$B:$B="TOTAL ACTIVE")*'Production Inputs'!$FQ:$FQ),0)</f>
        <v>0</v>
      </c>
      <c r="H1239" s="30">
        <f t="shared" si="133"/>
        <v>128.80000000000004</v>
      </c>
      <c r="I1239" s="30">
        <f ca="1">IFERROR(AVERAGEIF(OFFSET(F1239,0,0,MIN(Controls!$B$8,COUNTIF(B1239:B$1973,B1239)),1),"&gt;"&amp;0),0)</f>
        <v>0</v>
      </c>
      <c r="J1239" s="38">
        <f t="shared" ca="1" si="134"/>
        <v>999</v>
      </c>
      <c r="K1239" s="30">
        <f t="shared" ca="1" si="138"/>
        <v>0</v>
      </c>
      <c r="L1239" t="str">
        <f t="shared" ca="1" si="135"/>
        <v>Overstock</v>
      </c>
      <c r="M1239" s="39">
        <f>IFERROR(VLOOKUP("APAD",Controls!A:I,7,0),6)</f>
        <v>4</v>
      </c>
      <c r="N1239" s="39">
        <f>IFERROR(VLOOKUP("APAD",Controls!A:I,8,0),3)</f>
        <v>3</v>
      </c>
      <c r="O1239" s="39">
        <f>IFERROR(VLOOKUP("APAD",Controls!A:I,9,0),18)</f>
        <v>12</v>
      </c>
      <c r="P1239" s="40">
        <f>IFERROR(VLOOKUP("APAD",Controls!A:J,5,0),0)</f>
        <v>165</v>
      </c>
      <c r="Q1239" s="39">
        <f>IFERROR(VLOOKUP("APAD",Controls!A:J,6,0),3)</f>
        <v>4</v>
      </c>
      <c r="R1239" s="21" t="str">
        <f>IFERROR(VLOOKUP("APAD",Controls!A:K,10,0),"")</f>
        <v>ST Pharm</v>
      </c>
      <c r="S1239" s="41">
        <f t="shared" si="136"/>
        <v>50830</v>
      </c>
      <c r="T1239" s="30">
        <f t="shared" si="137"/>
        <v>0</v>
      </c>
      <c r="AB1239">
        <f t="shared" si="139"/>
        <v>411.04000000000008</v>
      </c>
    </row>
    <row r="1240" spans="1:28" ht="13" customHeight="1" x14ac:dyDescent="0.35">
      <c r="A1240" s="153">
        <v>50983</v>
      </c>
      <c r="B1240" s="36" t="s">
        <v>54</v>
      </c>
      <c r="C1240" s="15" t="s">
        <v>52</v>
      </c>
      <c r="D1240" s="15" t="s">
        <v>48</v>
      </c>
      <c r="E1240" s="30">
        <f>H1239</f>
        <v>128.80000000000004</v>
      </c>
      <c r="F1240" s="37">
        <f>IFERROR('Production Inputs'!$FR$37*Dependencies!$D$13,0)</f>
        <v>0</v>
      </c>
      <c r="G1240" s="37">
        <f t="array" ref="G1240">IFERROR(SUMPRODUCT(('Production Inputs'!$A:$A="APAD")*('Production Inputs'!$B:$B="TOTAL ACTIVE")*'Production Inputs'!$FR:$FR),0)</f>
        <v>0</v>
      </c>
      <c r="H1240" s="30">
        <f t="shared" si="133"/>
        <v>128.80000000000004</v>
      </c>
      <c r="I1240" s="30">
        <f ca="1">IFERROR(AVERAGEIF(OFFSET(F1240,0,0,MIN(Controls!$B$8,COUNTIF(B1240:B$1973,B1240)),1),"&gt;"&amp;0),0)</f>
        <v>0</v>
      </c>
      <c r="J1240" s="38">
        <f t="shared" ca="1" si="134"/>
        <v>999</v>
      </c>
      <c r="K1240" s="30">
        <f t="shared" ca="1" si="138"/>
        <v>0</v>
      </c>
      <c r="L1240" t="str">
        <f t="shared" ca="1" si="135"/>
        <v>Overstock</v>
      </c>
      <c r="M1240" s="39">
        <f>IFERROR(VLOOKUP("APAD",Controls!A:I,7,0),6)</f>
        <v>4</v>
      </c>
      <c r="N1240" s="39">
        <f>IFERROR(VLOOKUP("APAD",Controls!A:I,8,0),3)</f>
        <v>3</v>
      </c>
      <c r="O1240" s="39">
        <f>IFERROR(VLOOKUP("APAD",Controls!A:I,9,0),18)</f>
        <v>12</v>
      </c>
      <c r="P1240" s="40">
        <f>IFERROR(VLOOKUP("APAD",Controls!A:J,5,0),0)</f>
        <v>165</v>
      </c>
      <c r="Q1240" s="39">
        <f>IFERROR(VLOOKUP("APAD",Controls!A:J,6,0),3)</f>
        <v>4</v>
      </c>
      <c r="R1240" s="21" t="str">
        <f>IFERROR(VLOOKUP("APAD",Controls!A:K,10,0),"")</f>
        <v>ST Pharm</v>
      </c>
      <c r="S1240" s="41">
        <f t="shared" si="136"/>
        <v>50861</v>
      </c>
      <c r="T1240" s="30">
        <f t="shared" si="137"/>
        <v>0</v>
      </c>
      <c r="AB1240">
        <f t="shared" si="139"/>
        <v>411.04000000000008</v>
      </c>
    </row>
    <row r="1241" spans="1:28" ht="13" customHeight="1" x14ac:dyDescent="0.35">
      <c r="A1241" s="153">
        <v>51014</v>
      </c>
      <c r="B1241" s="36" t="s">
        <v>54</v>
      </c>
      <c r="C1241" s="15" t="s">
        <v>52</v>
      </c>
      <c r="D1241" s="15" t="s">
        <v>48</v>
      </c>
      <c r="E1241" s="30">
        <f>H1240</f>
        <v>128.80000000000004</v>
      </c>
      <c r="F1241" s="37">
        <f>IFERROR('Production Inputs'!$FS$37*Dependencies!$D$13,0)</f>
        <v>0</v>
      </c>
      <c r="G1241" s="37">
        <f t="array" ref="G1241">IFERROR(SUMPRODUCT(('Production Inputs'!$A:$A="APAD")*('Production Inputs'!$B:$B="TOTAL ACTIVE")*'Production Inputs'!$FS:$FS),0)</f>
        <v>0</v>
      </c>
      <c r="H1241" s="30">
        <f t="shared" si="133"/>
        <v>128.80000000000004</v>
      </c>
      <c r="I1241" s="30">
        <f ca="1">IFERROR(AVERAGEIF(OFFSET(F1241,0,0,MIN(Controls!$B$8,COUNTIF(B1241:B$1973,B1241)),1),"&gt;"&amp;0),0)</f>
        <v>0</v>
      </c>
      <c r="J1241" s="38">
        <f t="shared" ca="1" si="134"/>
        <v>999</v>
      </c>
      <c r="K1241" s="30">
        <f t="shared" ca="1" si="138"/>
        <v>0</v>
      </c>
      <c r="L1241" t="str">
        <f t="shared" ca="1" si="135"/>
        <v>Overstock</v>
      </c>
      <c r="M1241" s="39">
        <f>IFERROR(VLOOKUP("APAD",Controls!A:I,7,0),6)</f>
        <v>4</v>
      </c>
      <c r="N1241" s="39">
        <f>IFERROR(VLOOKUP("APAD",Controls!A:I,8,0),3)</f>
        <v>3</v>
      </c>
      <c r="O1241" s="39">
        <f>IFERROR(VLOOKUP("APAD",Controls!A:I,9,0),18)</f>
        <v>12</v>
      </c>
      <c r="P1241" s="40">
        <f>IFERROR(VLOOKUP("APAD",Controls!A:J,5,0),0)</f>
        <v>165</v>
      </c>
      <c r="Q1241" s="39">
        <f>IFERROR(VLOOKUP("APAD",Controls!A:J,6,0),3)</f>
        <v>4</v>
      </c>
      <c r="R1241" s="21" t="str">
        <f>IFERROR(VLOOKUP("APAD",Controls!A:K,10,0),"")</f>
        <v>ST Pharm</v>
      </c>
      <c r="S1241" s="41">
        <f t="shared" si="136"/>
        <v>50891</v>
      </c>
      <c r="T1241" s="30">
        <f t="shared" si="137"/>
        <v>0</v>
      </c>
      <c r="AB1241">
        <f t="shared" si="139"/>
        <v>411.04000000000008</v>
      </c>
    </row>
    <row r="1242" spans="1:28" ht="13" customHeight="1" x14ac:dyDescent="0.35">
      <c r="A1242" s="153">
        <v>51044</v>
      </c>
      <c r="B1242" s="36" t="s">
        <v>54</v>
      </c>
      <c r="C1242" s="15" t="s">
        <v>52</v>
      </c>
      <c r="D1242" s="15" t="s">
        <v>48</v>
      </c>
      <c r="E1242" s="30">
        <f>H1241</f>
        <v>128.80000000000004</v>
      </c>
      <c r="F1242" s="37">
        <f>IFERROR('Production Inputs'!$FT$37*Dependencies!$D$13,0)</f>
        <v>0</v>
      </c>
      <c r="G1242" s="37">
        <f t="array" ref="G1242">IFERROR(SUMPRODUCT(('Production Inputs'!$A:$A="APAD")*('Production Inputs'!$B:$B="TOTAL ACTIVE")*'Production Inputs'!$FT:$FT),0)</f>
        <v>0</v>
      </c>
      <c r="H1242" s="30">
        <f t="shared" si="133"/>
        <v>128.80000000000004</v>
      </c>
      <c r="I1242" s="30">
        <f ca="1">IFERROR(AVERAGEIF(OFFSET(F1242,0,0,MIN(Controls!$B$8,COUNTIF(B1242:B$1973,B1242)),1),"&gt;"&amp;0),0)</f>
        <v>0</v>
      </c>
      <c r="J1242" s="38">
        <f t="shared" ca="1" si="134"/>
        <v>999</v>
      </c>
      <c r="K1242" s="30">
        <f t="shared" ca="1" si="138"/>
        <v>0</v>
      </c>
      <c r="L1242" t="str">
        <f t="shared" ca="1" si="135"/>
        <v>Overstock</v>
      </c>
      <c r="M1242" s="39">
        <f>IFERROR(VLOOKUP("APAD",Controls!A:I,7,0),6)</f>
        <v>4</v>
      </c>
      <c r="N1242" s="39">
        <f>IFERROR(VLOOKUP("APAD",Controls!A:I,8,0),3)</f>
        <v>3</v>
      </c>
      <c r="O1242" s="39">
        <f>IFERROR(VLOOKUP("APAD",Controls!A:I,9,0),18)</f>
        <v>12</v>
      </c>
      <c r="P1242" s="40">
        <f>IFERROR(VLOOKUP("APAD",Controls!A:J,5,0),0)</f>
        <v>165</v>
      </c>
      <c r="Q1242" s="39">
        <f>IFERROR(VLOOKUP("APAD",Controls!A:J,6,0),3)</f>
        <v>4</v>
      </c>
      <c r="R1242" s="21" t="str">
        <f>IFERROR(VLOOKUP("APAD",Controls!A:K,10,0),"")</f>
        <v>ST Pharm</v>
      </c>
      <c r="S1242" s="41">
        <f t="shared" si="136"/>
        <v>50922</v>
      </c>
      <c r="T1242" s="30">
        <f t="shared" si="137"/>
        <v>0</v>
      </c>
      <c r="AB1242">
        <f t="shared" si="139"/>
        <v>411.04000000000008</v>
      </c>
    </row>
    <row r="1243" spans="1:28" ht="13" customHeight="1" x14ac:dyDescent="0.35">
      <c r="A1243" s="153">
        <v>51075</v>
      </c>
      <c r="B1243" s="36" t="s">
        <v>54</v>
      </c>
      <c r="C1243" s="15" t="s">
        <v>52</v>
      </c>
      <c r="D1243" s="15" t="s">
        <v>48</v>
      </c>
      <c r="E1243" s="30">
        <f>H1242</f>
        <v>128.80000000000004</v>
      </c>
      <c r="F1243" s="37">
        <f>IFERROR('Production Inputs'!$FU$37*Dependencies!$D$13,0)</f>
        <v>0</v>
      </c>
      <c r="G1243" s="37">
        <f t="array" ref="G1243">IFERROR(SUMPRODUCT(('Production Inputs'!$A:$A="APAD")*('Production Inputs'!$B:$B="TOTAL ACTIVE")*'Production Inputs'!$FU:$FU),0)</f>
        <v>0</v>
      </c>
      <c r="H1243" s="30">
        <f t="shared" si="133"/>
        <v>128.80000000000004</v>
      </c>
      <c r="I1243" s="30">
        <f ca="1">IFERROR(AVERAGEIF(OFFSET(F1243,0,0,MIN(Controls!$B$8,COUNTIF(B1243:B$1973,B1243)),1),"&gt;"&amp;0),0)</f>
        <v>0</v>
      </c>
      <c r="J1243" s="38">
        <f t="shared" ca="1" si="134"/>
        <v>999</v>
      </c>
      <c r="K1243" s="30">
        <f t="shared" ca="1" si="138"/>
        <v>0</v>
      </c>
      <c r="L1243" t="str">
        <f t="shared" ca="1" si="135"/>
        <v>Overstock</v>
      </c>
      <c r="M1243" s="39">
        <f>IFERROR(VLOOKUP("APAD",Controls!A:I,7,0),6)</f>
        <v>4</v>
      </c>
      <c r="N1243" s="39">
        <f>IFERROR(VLOOKUP("APAD",Controls!A:I,8,0),3)</f>
        <v>3</v>
      </c>
      <c r="O1243" s="39">
        <f>IFERROR(VLOOKUP("APAD",Controls!A:I,9,0),18)</f>
        <v>12</v>
      </c>
      <c r="P1243" s="40">
        <f>IFERROR(VLOOKUP("APAD",Controls!A:J,5,0),0)</f>
        <v>165</v>
      </c>
      <c r="Q1243" s="39">
        <f>IFERROR(VLOOKUP("APAD",Controls!A:J,6,0),3)</f>
        <v>4</v>
      </c>
      <c r="R1243" s="21" t="str">
        <f>IFERROR(VLOOKUP("APAD",Controls!A:K,10,0),"")</f>
        <v>ST Pharm</v>
      </c>
      <c r="S1243" s="41">
        <f t="shared" si="136"/>
        <v>50952</v>
      </c>
      <c r="T1243" s="30">
        <f t="shared" si="137"/>
        <v>0</v>
      </c>
      <c r="AB1243">
        <f t="shared" si="139"/>
        <v>411.04000000000008</v>
      </c>
    </row>
    <row r="1244" spans="1:28" ht="13" customHeight="1" x14ac:dyDescent="0.35">
      <c r="A1244" s="153">
        <v>51105</v>
      </c>
      <c r="B1244" s="36" t="s">
        <v>54</v>
      </c>
      <c r="C1244" s="15" t="s">
        <v>52</v>
      </c>
      <c r="D1244" s="15" t="s">
        <v>48</v>
      </c>
      <c r="E1244" s="30">
        <f>H1243</f>
        <v>128.80000000000004</v>
      </c>
      <c r="F1244" s="37">
        <f>IFERROR('Production Inputs'!$FV$37*Dependencies!$D$13,0)</f>
        <v>0</v>
      </c>
      <c r="G1244" s="37">
        <f t="array" ref="G1244">IFERROR(SUMPRODUCT(('Production Inputs'!$A:$A="APAD")*('Production Inputs'!$B:$B="TOTAL ACTIVE")*'Production Inputs'!$FV:$FV),0)</f>
        <v>0</v>
      </c>
      <c r="H1244" s="30">
        <f t="shared" si="133"/>
        <v>128.80000000000004</v>
      </c>
      <c r="I1244" s="30">
        <f ca="1">IFERROR(AVERAGEIF(OFFSET(F1244,0,0,MIN(Controls!$B$8,COUNTIF(B1244:B$1973,B1244)),1),"&gt;"&amp;0),0)</f>
        <v>0</v>
      </c>
      <c r="J1244" s="38">
        <f t="shared" ca="1" si="134"/>
        <v>999</v>
      </c>
      <c r="K1244" s="30">
        <f t="shared" ca="1" si="138"/>
        <v>0</v>
      </c>
      <c r="L1244" t="str">
        <f t="shared" ca="1" si="135"/>
        <v>Overstock</v>
      </c>
      <c r="M1244" s="39">
        <f>IFERROR(VLOOKUP("APAD",Controls!A:I,7,0),6)</f>
        <v>4</v>
      </c>
      <c r="N1244" s="39">
        <f>IFERROR(VLOOKUP("APAD",Controls!A:I,8,0),3)</f>
        <v>3</v>
      </c>
      <c r="O1244" s="39">
        <f>IFERROR(VLOOKUP("APAD",Controls!A:I,9,0),18)</f>
        <v>12</v>
      </c>
      <c r="P1244" s="40">
        <f>IFERROR(VLOOKUP("APAD",Controls!A:J,5,0),0)</f>
        <v>165</v>
      </c>
      <c r="Q1244" s="39">
        <f>IFERROR(VLOOKUP("APAD",Controls!A:J,6,0),3)</f>
        <v>4</v>
      </c>
      <c r="R1244" s="21" t="str">
        <f>IFERROR(VLOOKUP("APAD",Controls!A:K,10,0),"")</f>
        <v>ST Pharm</v>
      </c>
      <c r="S1244" s="41">
        <f t="shared" si="136"/>
        <v>50983</v>
      </c>
      <c r="T1244" s="30">
        <f t="shared" si="137"/>
        <v>0</v>
      </c>
      <c r="AB1244">
        <f t="shared" si="139"/>
        <v>411.04000000000008</v>
      </c>
    </row>
    <row r="1245" spans="1:28" ht="13" customHeight="1" x14ac:dyDescent="0.35">
      <c r="A1245" s="153">
        <v>51136</v>
      </c>
      <c r="B1245" s="36" t="s">
        <v>54</v>
      </c>
      <c r="C1245" s="15" t="s">
        <v>52</v>
      </c>
      <c r="D1245" s="15" t="s">
        <v>48</v>
      </c>
      <c r="E1245" s="30">
        <f>H1244</f>
        <v>128.80000000000004</v>
      </c>
      <c r="F1245" s="37">
        <f>IFERROR('Production Inputs'!$FW$37*Dependencies!$D$13,0)</f>
        <v>0</v>
      </c>
      <c r="G1245" s="37">
        <f t="array" ref="G1245">IFERROR(SUMPRODUCT(('Production Inputs'!$A:$A="APAD")*('Production Inputs'!$B:$B="TOTAL ACTIVE")*'Production Inputs'!$FW:$FW),0)</f>
        <v>0</v>
      </c>
      <c r="H1245" s="30">
        <f t="shared" si="133"/>
        <v>128.80000000000004</v>
      </c>
      <c r="I1245" s="30">
        <f ca="1">IFERROR(AVERAGEIF(OFFSET(F1245,0,0,MIN(Controls!$B$8,COUNTIF(B1245:B$1973,B1245)),1),"&gt;"&amp;0),0)</f>
        <v>0</v>
      </c>
      <c r="J1245" s="38">
        <f t="shared" ca="1" si="134"/>
        <v>999</v>
      </c>
      <c r="K1245" s="30">
        <f t="shared" ca="1" si="138"/>
        <v>0</v>
      </c>
      <c r="L1245" t="str">
        <f t="shared" ca="1" si="135"/>
        <v>Overstock</v>
      </c>
      <c r="M1245" s="39">
        <f>IFERROR(VLOOKUP("APAD",Controls!A:I,7,0),6)</f>
        <v>4</v>
      </c>
      <c r="N1245" s="39">
        <f>IFERROR(VLOOKUP("APAD",Controls!A:I,8,0),3)</f>
        <v>3</v>
      </c>
      <c r="O1245" s="39">
        <f>IFERROR(VLOOKUP("APAD",Controls!A:I,9,0),18)</f>
        <v>12</v>
      </c>
      <c r="P1245" s="40">
        <f>IFERROR(VLOOKUP("APAD",Controls!A:J,5,0),0)</f>
        <v>165</v>
      </c>
      <c r="Q1245" s="39">
        <f>IFERROR(VLOOKUP("APAD",Controls!A:J,6,0),3)</f>
        <v>4</v>
      </c>
      <c r="R1245" s="21" t="str">
        <f>IFERROR(VLOOKUP("APAD",Controls!A:K,10,0),"")</f>
        <v>ST Pharm</v>
      </c>
      <c r="S1245" s="41">
        <f t="shared" si="136"/>
        <v>51014</v>
      </c>
      <c r="T1245" s="30">
        <f t="shared" si="137"/>
        <v>0</v>
      </c>
      <c r="AB1245">
        <f t="shared" si="139"/>
        <v>411.04000000000008</v>
      </c>
    </row>
    <row r="1246" spans="1:28" ht="13" customHeight="1" x14ac:dyDescent="0.35">
      <c r="A1246" s="153">
        <v>51167</v>
      </c>
      <c r="B1246" s="36" t="s">
        <v>54</v>
      </c>
      <c r="C1246" s="15" t="s">
        <v>52</v>
      </c>
      <c r="D1246" s="15" t="s">
        <v>48</v>
      </c>
      <c r="E1246" s="30">
        <f>H1245</f>
        <v>128.80000000000004</v>
      </c>
      <c r="F1246" s="37">
        <f>IFERROR('Production Inputs'!$FX$37*Dependencies!$D$13,0)</f>
        <v>0</v>
      </c>
      <c r="G1246" s="37">
        <f t="array" ref="G1246">IFERROR(SUMPRODUCT(('Production Inputs'!$A:$A="APAD")*('Production Inputs'!$B:$B="TOTAL ACTIVE")*'Production Inputs'!$FX:$FX),0)</f>
        <v>0</v>
      </c>
      <c r="H1246" s="30">
        <f t="shared" si="133"/>
        <v>128.80000000000004</v>
      </c>
      <c r="I1246" s="30">
        <f ca="1">IFERROR(AVERAGEIF(OFFSET(F1246,0,0,MIN(Controls!$B$8,COUNTIF(B1246:B$1973,B1246)),1),"&gt;"&amp;0),0)</f>
        <v>0</v>
      </c>
      <c r="J1246" s="38">
        <f t="shared" ca="1" si="134"/>
        <v>999</v>
      </c>
      <c r="K1246" s="30">
        <f t="shared" ca="1" si="138"/>
        <v>0</v>
      </c>
      <c r="L1246" t="str">
        <f t="shared" ca="1" si="135"/>
        <v>Overstock</v>
      </c>
      <c r="M1246" s="39">
        <f>IFERROR(VLOOKUP("APAD",Controls!A:I,7,0),6)</f>
        <v>4</v>
      </c>
      <c r="N1246" s="39">
        <f>IFERROR(VLOOKUP("APAD",Controls!A:I,8,0),3)</f>
        <v>3</v>
      </c>
      <c r="O1246" s="39">
        <f>IFERROR(VLOOKUP("APAD",Controls!A:I,9,0),18)</f>
        <v>12</v>
      </c>
      <c r="P1246" s="40">
        <f>IFERROR(VLOOKUP("APAD",Controls!A:J,5,0),0)</f>
        <v>165</v>
      </c>
      <c r="Q1246" s="39">
        <f>IFERROR(VLOOKUP("APAD",Controls!A:J,6,0),3)</f>
        <v>4</v>
      </c>
      <c r="R1246" s="21" t="str">
        <f>IFERROR(VLOOKUP("APAD",Controls!A:K,10,0),"")</f>
        <v>ST Pharm</v>
      </c>
      <c r="S1246" s="41">
        <f t="shared" si="136"/>
        <v>51044</v>
      </c>
      <c r="T1246" s="30">
        <f t="shared" si="137"/>
        <v>0</v>
      </c>
      <c r="AB1246">
        <f t="shared" si="139"/>
        <v>411.04000000000008</v>
      </c>
    </row>
    <row r="1247" spans="1:28" ht="13" customHeight="1" x14ac:dyDescent="0.35">
      <c r="A1247" s="153">
        <v>51196</v>
      </c>
      <c r="B1247" s="36" t="s">
        <v>54</v>
      </c>
      <c r="C1247" s="15" t="s">
        <v>52</v>
      </c>
      <c r="D1247" s="15" t="s">
        <v>48</v>
      </c>
      <c r="E1247" s="30">
        <f>H1246</f>
        <v>128.80000000000004</v>
      </c>
      <c r="F1247" s="37">
        <f>IFERROR('Production Inputs'!$FY$37*Dependencies!$D$13,0)</f>
        <v>0</v>
      </c>
      <c r="G1247" s="37">
        <f t="array" ref="G1247">IFERROR(SUMPRODUCT(('Production Inputs'!$A:$A="APAD")*('Production Inputs'!$B:$B="TOTAL ACTIVE")*'Production Inputs'!$FY:$FY),0)</f>
        <v>0</v>
      </c>
      <c r="H1247" s="30">
        <f t="shared" si="133"/>
        <v>128.80000000000004</v>
      </c>
      <c r="I1247" s="30">
        <f ca="1">IFERROR(AVERAGEIF(OFFSET(F1247,0,0,MIN(Controls!$B$8,COUNTIF(B1247:B$1973,B1247)),1),"&gt;"&amp;0),0)</f>
        <v>0</v>
      </c>
      <c r="J1247" s="38">
        <f t="shared" ca="1" si="134"/>
        <v>999</v>
      </c>
      <c r="K1247" s="30">
        <f t="shared" ca="1" si="138"/>
        <v>0</v>
      </c>
      <c r="L1247" t="str">
        <f t="shared" ca="1" si="135"/>
        <v>Overstock</v>
      </c>
      <c r="M1247" s="39">
        <f>IFERROR(VLOOKUP("APAD",Controls!A:I,7,0),6)</f>
        <v>4</v>
      </c>
      <c r="N1247" s="39">
        <f>IFERROR(VLOOKUP("APAD",Controls!A:I,8,0),3)</f>
        <v>3</v>
      </c>
      <c r="O1247" s="39">
        <f>IFERROR(VLOOKUP("APAD",Controls!A:I,9,0),18)</f>
        <v>12</v>
      </c>
      <c r="P1247" s="40">
        <f>IFERROR(VLOOKUP("APAD",Controls!A:J,5,0),0)</f>
        <v>165</v>
      </c>
      <c r="Q1247" s="39">
        <f>IFERROR(VLOOKUP("APAD",Controls!A:J,6,0),3)</f>
        <v>4</v>
      </c>
      <c r="R1247" s="21" t="str">
        <f>IFERROR(VLOOKUP("APAD",Controls!A:K,10,0),"")</f>
        <v>ST Pharm</v>
      </c>
      <c r="S1247" s="41">
        <f t="shared" si="136"/>
        <v>51075</v>
      </c>
      <c r="T1247" s="30">
        <f t="shared" si="137"/>
        <v>0</v>
      </c>
      <c r="AB1247">
        <f t="shared" si="139"/>
        <v>411.04000000000008</v>
      </c>
    </row>
    <row r="1248" spans="1:28" ht="13" customHeight="1" x14ac:dyDescent="0.35">
      <c r="A1248" s="153">
        <v>51227</v>
      </c>
      <c r="B1248" s="36" t="s">
        <v>54</v>
      </c>
      <c r="C1248" s="15" t="s">
        <v>52</v>
      </c>
      <c r="D1248" s="15" t="s">
        <v>48</v>
      </c>
      <c r="E1248" s="30">
        <f>H1247</f>
        <v>128.80000000000004</v>
      </c>
      <c r="F1248" s="37">
        <f>IFERROR('Production Inputs'!$FZ$37*Dependencies!$D$13,0)</f>
        <v>0</v>
      </c>
      <c r="G1248" s="37">
        <f t="array" ref="G1248">IFERROR(SUMPRODUCT(('Production Inputs'!$A:$A="APAD")*('Production Inputs'!$B:$B="TOTAL ACTIVE")*'Production Inputs'!$FZ:$FZ),0)</f>
        <v>0</v>
      </c>
      <c r="H1248" s="30">
        <f t="shared" si="133"/>
        <v>128.80000000000004</v>
      </c>
      <c r="I1248" s="30">
        <f ca="1">IFERROR(AVERAGEIF(OFFSET(F1248,0,0,MIN(Controls!$B$8,COUNTIF(B1248:B$1973,B1248)),1),"&gt;"&amp;0),0)</f>
        <v>0</v>
      </c>
      <c r="J1248" s="38">
        <f t="shared" ca="1" si="134"/>
        <v>999</v>
      </c>
      <c r="K1248" s="30">
        <f t="shared" ca="1" si="138"/>
        <v>0</v>
      </c>
      <c r="L1248" t="str">
        <f t="shared" ca="1" si="135"/>
        <v>Overstock</v>
      </c>
      <c r="M1248" s="39">
        <f>IFERROR(VLOOKUP("APAD",Controls!A:I,7,0),6)</f>
        <v>4</v>
      </c>
      <c r="N1248" s="39">
        <f>IFERROR(VLOOKUP("APAD",Controls!A:I,8,0),3)</f>
        <v>3</v>
      </c>
      <c r="O1248" s="39">
        <f>IFERROR(VLOOKUP("APAD",Controls!A:I,9,0),18)</f>
        <v>12</v>
      </c>
      <c r="P1248" s="40">
        <f>IFERROR(VLOOKUP("APAD",Controls!A:J,5,0),0)</f>
        <v>165</v>
      </c>
      <c r="Q1248" s="39">
        <f>IFERROR(VLOOKUP("APAD",Controls!A:J,6,0),3)</f>
        <v>4</v>
      </c>
      <c r="R1248" s="21" t="str">
        <f>IFERROR(VLOOKUP("APAD",Controls!A:K,10,0),"")</f>
        <v>ST Pharm</v>
      </c>
      <c r="S1248" s="41">
        <f t="shared" si="136"/>
        <v>51105</v>
      </c>
      <c r="T1248" s="30">
        <f t="shared" si="137"/>
        <v>0</v>
      </c>
      <c r="AB1248">
        <f t="shared" si="139"/>
        <v>411.04000000000008</v>
      </c>
    </row>
    <row r="1249" spans="1:28" ht="13" customHeight="1" x14ac:dyDescent="0.35">
      <c r="A1249" s="153">
        <v>51257</v>
      </c>
      <c r="B1249" s="36" t="s">
        <v>54</v>
      </c>
      <c r="C1249" s="15" t="s">
        <v>52</v>
      </c>
      <c r="D1249" s="15" t="s">
        <v>48</v>
      </c>
      <c r="E1249" s="30">
        <f>H1248</f>
        <v>128.80000000000004</v>
      </c>
      <c r="F1249" s="37">
        <f>IFERROR('Production Inputs'!$GA$37*Dependencies!$D$13,0)</f>
        <v>0</v>
      </c>
      <c r="G1249" s="37">
        <f t="array" ref="G1249">IFERROR(SUMPRODUCT(('Production Inputs'!$A:$A="APAD")*('Production Inputs'!$B:$B="TOTAL ACTIVE")*'Production Inputs'!$GA:$GA),0)</f>
        <v>0</v>
      </c>
      <c r="H1249" s="30">
        <f t="shared" si="133"/>
        <v>128.80000000000004</v>
      </c>
      <c r="I1249" s="30">
        <f ca="1">IFERROR(AVERAGEIF(OFFSET(F1249,0,0,MIN(Controls!$B$8,COUNTIF(B1249:B$1973,B1249)),1),"&gt;"&amp;0),0)</f>
        <v>0</v>
      </c>
      <c r="J1249" s="38">
        <f t="shared" ca="1" si="134"/>
        <v>999</v>
      </c>
      <c r="K1249" s="30">
        <f t="shared" ca="1" si="138"/>
        <v>0</v>
      </c>
      <c r="L1249" t="str">
        <f t="shared" ca="1" si="135"/>
        <v>Overstock</v>
      </c>
      <c r="M1249" s="39">
        <f>IFERROR(VLOOKUP("APAD",Controls!A:I,7,0),6)</f>
        <v>4</v>
      </c>
      <c r="N1249" s="39">
        <f>IFERROR(VLOOKUP("APAD",Controls!A:I,8,0),3)</f>
        <v>3</v>
      </c>
      <c r="O1249" s="39">
        <f>IFERROR(VLOOKUP("APAD",Controls!A:I,9,0),18)</f>
        <v>12</v>
      </c>
      <c r="P1249" s="40">
        <f>IFERROR(VLOOKUP("APAD",Controls!A:J,5,0),0)</f>
        <v>165</v>
      </c>
      <c r="Q1249" s="39">
        <f>IFERROR(VLOOKUP("APAD",Controls!A:J,6,0),3)</f>
        <v>4</v>
      </c>
      <c r="R1249" s="21" t="str">
        <f>IFERROR(VLOOKUP("APAD",Controls!A:K,10,0),"")</f>
        <v>ST Pharm</v>
      </c>
      <c r="S1249" s="41">
        <f t="shared" si="136"/>
        <v>51136</v>
      </c>
      <c r="T1249" s="30">
        <f t="shared" si="137"/>
        <v>0</v>
      </c>
      <c r="AB1249">
        <f t="shared" si="139"/>
        <v>411.04000000000008</v>
      </c>
    </row>
    <row r="1250" spans="1:28" ht="13" customHeight="1" x14ac:dyDescent="0.35">
      <c r="A1250" s="153">
        <v>51288</v>
      </c>
      <c r="B1250" s="36" t="s">
        <v>54</v>
      </c>
      <c r="C1250" s="15" t="s">
        <v>52</v>
      </c>
      <c r="D1250" s="15" t="s">
        <v>48</v>
      </c>
      <c r="E1250" s="30">
        <f>H1249</f>
        <v>128.80000000000004</v>
      </c>
      <c r="F1250" s="37">
        <f>IFERROR('Production Inputs'!$GB$37*Dependencies!$D$13,0)</f>
        <v>0</v>
      </c>
      <c r="G1250" s="37">
        <f t="array" ref="G1250">IFERROR(SUMPRODUCT(('Production Inputs'!$A:$A="APAD")*('Production Inputs'!$B:$B="TOTAL ACTIVE")*'Production Inputs'!$GB:$GB),0)</f>
        <v>0</v>
      </c>
      <c r="H1250" s="30">
        <f t="shared" si="133"/>
        <v>128.80000000000004</v>
      </c>
      <c r="I1250" s="30">
        <f ca="1">IFERROR(AVERAGEIF(OFFSET(F1250,0,0,MIN(Controls!$B$8,COUNTIF(B1250:B$1973,B1250)),1),"&gt;"&amp;0),0)</f>
        <v>0</v>
      </c>
      <c r="J1250" s="38">
        <f t="shared" ca="1" si="134"/>
        <v>999</v>
      </c>
      <c r="K1250" s="30">
        <f t="shared" ca="1" si="138"/>
        <v>0</v>
      </c>
      <c r="L1250" t="str">
        <f t="shared" ca="1" si="135"/>
        <v>Overstock</v>
      </c>
      <c r="M1250" s="39">
        <f>IFERROR(VLOOKUP("APAD",Controls!A:I,7,0),6)</f>
        <v>4</v>
      </c>
      <c r="N1250" s="39">
        <f>IFERROR(VLOOKUP("APAD",Controls!A:I,8,0),3)</f>
        <v>3</v>
      </c>
      <c r="O1250" s="39">
        <f>IFERROR(VLOOKUP("APAD",Controls!A:I,9,0),18)</f>
        <v>12</v>
      </c>
      <c r="P1250" s="40">
        <f>IFERROR(VLOOKUP("APAD",Controls!A:J,5,0),0)</f>
        <v>165</v>
      </c>
      <c r="Q1250" s="39">
        <f>IFERROR(VLOOKUP("APAD",Controls!A:J,6,0),3)</f>
        <v>4</v>
      </c>
      <c r="R1250" s="21" t="str">
        <f>IFERROR(VLOOKUP("APAD",Controls!A:K,10,0),"")</f>
        <v>ST Pharm</v>
      </c>
      <c r="S1250" s="41">
        <f t="shared" si="136"/>
        <v>51167</v>
      </c>
      <c r="T1250" s="30">
        <f t="shared" si="137"/>
        <v>0</v>
      </c>
      <c r="AB1250">
        <f t="shared" si="139"/>
        <v>411.04000000000008</v>
      </c>
    </row>
    <row r="1251" spans="1:28" ht="13" customHeight="1" x14ac:dyDescent="0.35">
      <c r="A1251" s="153">
        <v>51318</v>
      </c>
      <c r="B1251" s="36" t="s">
        <v>54</v>
      </c>
      <c r="C1251" s="15" t="s">
        <v>52</v>
      </c>
      <c r="D1251" s="15" t="s">
        <v>48</v>
      </c>
      <c r="E1251" s="30">
        <f>H1250</f>
        <v>128.80000000000004</v>
      </c>
      <c r="F1251" s="37">
        <f>IFERROR('Production Inputs'!$GC$37*Dependencies!$D$13,0)</f>
        <v>0</v>
      </c>
      <c r="G1251" s="37">
        <f t="array" ref="G1251">IFERROR(SUMPRODUCT(('Production Inputs'!$A:$A="APAD")*('Production Inputs'!$B:$B="TOTAL ACTIVE")*'Production Inputs'!$GC:$GC),0)</f>
        <v>0</v>
      </c>
      <c r="H1251" s="30">
        <f t="shared" si="133"/>
        <v>128.80000000000004</v>
      </c>
      <c r="I1251" s="30">
        <f ca="1">IFERROR(AVERAGEIF(OFFSET(F1251,0,0,MIN(Controls!$B$8,COUNTIF(B1251:B$1973,B1251)),1),"&gt;"&amp;0),0)</f>
        <v>0</v>
      </c>
      <c r="J1251" s="38">
        <f t="shared" ca="1" si="134"/>
        <v>999</v>
      </c>
      <c r="K1251" s="30">
        <f t="shared" ca="1" si="138"/>
        <v>0</v>
      </c>
      <c r="L1251" t="str">
        <f t="shared" ca="1" si="135"/>
        <v>Overstock</v>
      </c>
      <c r="M1251" s="39">
        <f>IFERROR(VLOOKUP("APAD",Controls!A:I,7,0),6)</f>
        <v>4</v>
      </c>
      <c r="N1251" s="39">
        <f>IFERROR(VLOOKUP("APAD",Controls!A:I,8,0),3)</f>
        <v>3</v>
      </c>
      <c r="O1251" s="39">
        <f>IFERROR(VLOOKUP("APAD",Controls!A:I,9,0),18)</f>
        <v>12</v>
      </c>
      <c r="P1251" s="40">
        <f>IFERROR(VLOOKUP("APAD",Controls!A:J,5,0),0)</f>
        <v>165</v>
      </c>
      <c r="Q1251" s="39">
        <f>IFERROR(VLOOKUP("APAD",Controls!A:J,6,0),3)</f>
        <v>4</v>
      </c>
      <c r="R1251" s="21" t="str">
        <f>IFERROR(VLOOKUP("APAD",Controls!A:K,10,0),"")</f>
        <v>ST Pharm</v>
      </c>
      <c r="S1251" s="41">
        <f t="shared" si="136"/>
        <v>51196</v>
      </c>
      <c r="T1251" s="30">
        <f t="shared" si="137"/>
        <v>0</v>
      </c>
      <c r="AB1251">
        <f t="shared" si="139"/>
        <v>411.04000000000008</v>
      </c>
    </row>
    <row r="1252" spans="1:28" ht="13" customHeight="1" x14ac:dyDescent="0.35">
      <c r="A1252" s="153">
        <v>51349</v>
      </c>
      <c r="B1252" s="36" t="s">
        <v>54</v>
      </c>
      <c r="C1252" s="15" t="s">
        <v>52</v>
      </c>
      <c r="D1252" s="15" t="s">
        <v>48</v>
      </c>
      <c r="E1252" s="30">
        <f>H1251</f>
        <v>128.80000000000004</v>
      </c>
      <c r="F1252" s="37">
        <f>IFERROR('Production Inputs'!$GD$37*Dependencies!$D$13,0)</f>
        <v>0</v>
      </c>
      <c r="G1252" s="37">
        <f t="array" ref="G1252">IFERROR(SUMPRODUCT(('Production Inputs'!$A:$A="APAD")*('Production Inputs'!$B:$B="TOTAL ACTIVE")*'Production Inputs'!$GD:$GD),0)</f>
        <v>0</v>
      </c>
      <c r="H1252" s="30">
        <f t="shared" si="133"/>
        <v>128.80000000000004</v>
      </c>
      <c r="I1252" s="30">
        <f ca="1">IFERROR(AVERAGEIF(OFFSET(F1252,0,0,MIN(Controls!$B$8,COUNTIF(B1252:B$1973,B1252)),1),"&gt;"&amp;0),0)</f>
        <v>0</v>
      </c>
      <c r="J1252" s="38">
        <f t="shared" ca="1" si="134"/>
        <v>999</v>
      </c>
      <c r="K1252" s="30">
        <f t="shared" ca="1" si="138"/>
        <v>0</v>
      </c>
      <c r="L1252" t="str">
        <f t="shared" ca="1" si="135"/>
        <v>Overstock</v>
      </c>
      <c r="M1252" s="39">
        <f>IFERROR(VLOOKUP("APAD",Controls!A:I,7,0),6)</f>
        <v>4</v>
      </c>
      <c r="N1252" s="39">
        <f>IFERROR(VLOOKUP("APAD",Controls!A:I,8,0),3)</f>
        <v>3</v>
      </c>
      <c r="O1252" s="39">
        <f>IFERROR(VLOOKUP("APAD",Controls!A:I,9,0),18)</f>
        <v>12</v>
      </c>
      <c r="P1252" s="40">
        <f>IFERROR(VLOOKUP("APAD",Controls!A:J,5,0),0)</f>
        <v>165</v>
      </c>
      <c r="Q1252" s="39">
        <f>IFERROR(VLOOKUP("APAD",Controls!A:J,6,0),3)</f>
        <v>4</v>
      </c>
      <c r="R1252" s="21" t="str">
        <f>IFERROR(VLOOKUP("APAD",Controls!A:K,10,0),"")</f>
        <v>ST Pharm</v>
      </c>
      <c r="S1252" s="41">
        <f t="shared" si="136"/>
        <v>51227</v>
      </c>
      <c r="T1252" s="30">
        <f t="shared" si="137"/>
        <v>0</v>
      </c>
      <c r="AB1252">
        <f t="shared" si="139"/>
        <v>411.04000000000008</v>
      </c>
    </row>
    <row r="1253" spans="1:28" ht="13" customHeight="1" x14ac:dyDescent="0.35">
      <c r="A1253" s="153">
        <v>51380</v>
      </c>
      <c r="B1253" s="36" t="s">
        <v>54</v>
      </c>
      <c r="C1253" s="15" t="s">
        <v>52</v>
      </c>
      <c r="D1253" s="15" t="s">
        <v>48</v>
      </c>
      <c r="E1253" s="30">
        <f>H1252</f>
        <v>128.80000000000004</v>
      </c>
      <c r="F1253" s="37">
        <f>IFERROR('Production Inputs'!$GE$37*Dependencies!$D$13,0)</f>
        <v>0</v>
      </c>
      <c r="G1253" s="37">
        <f t="array" ref="G1253">IFERROR(SUMPRODUCT(('Production Inputs'!$A:$A="APAD")*('Production Inputs'!$B:$B="TOTAL ACTIVE")*'Production Inputs'!$GE:$GE),0)</f>
        <v>0</v>
      </c>
      <c r="H1253" s="30">
        <f t="shared" si="133"/>
        <v>128.80000000000004</v>
      </c>
      <c r="I1253" s="30">
        <f ca="1">IFERROR(AVERAGEIF(OFFSET(F1253,0,0,MIN(Controls!$B$8,COUNTIF(B1253:B$1973,B1253)),1),"&gt;"&amp;0),0)</f>
        <v>0</v>
      </c>
      <c r="J1253" s="38">
        <f t="shared" ca="1" si="134"/>
        <v>999</v>
      </c>
      <c r="K1253" s="30">
        <f t="shared" ca="1" si="138"/>
        <v>0</v>
      </c>
      <c r="L1253" t="str">
        <f t="shared" ca="1" si="135"/>
        <v>Overstock</v>
      </c>
      <c r="M1253" s="39">
        <f>IFERROR(VLOOKUP("APAD",Controls!A:I,7,0),6)</f>
        <v>4</v>
      </c>
      <c r="N1253" s="39">
        <f>IFERROR(VLOOKUP("APAD",Controls!A:I,8,0),3)</f>
        <v>3</v>
      </c>
      <c r="O1253" s="39">
        <f>IFERROR(VLOOKUP("APAD",Controls!A:I,9,0),18)</f>
        <v>12</v>
      </c>
      <c r="P1253" s="40">
        <f>IFERROR(VLOOKUP("APAD",Controls!A:J,5,0),0)</f>
        <v>165</v>
      </c>
      <c r="Q1253" s="39">
        <f>IFERROR(VLOOKUP("APAD",Controls!A:J,6,0),3)</f>
        <v>4</v>
      </c>
      <c r="R1253" s="21" t="str">
        <f>IFERROR(VLOOKUP("APAD",Controls!A:K,10,0),"")</f>
        <v>ST Pharm</v>
      </c>
      <c r="S1253" s="41">
        <f t="shared" si="136"/>
        <v>51257</v>
      </c>
      <c r="T1253" s="30">
        <f t="shared" si="137"/>
        <v>0</v>
      </c>
      <c r="AB1253">
        <f t="shared" si="139"/>
        <v>411.04000000000008</v>
      </c>
    </row>
    <row r="1254" spans="1:28" ht="13" customHeight="1" x14ac:dyDescent="0.35">
      <c r="A1254" s="153">
        <v>51410</v>
      </c>
      <c r="B1254" s="36" t="s">
        <v>54</v>
      </c>
      <c r="C1254" s="15" t="s">
        <v>52</v>
      </c>
      <c r="D1254" s="15" t="s">
        <v>48</v>
      </c>
      <c r="E1254" s="30">
        <f>H1253</f>
        <v>128.80000000000004</v>
      </c>
      <c r="F1254" s="37">
        <f>IFERROR('Production Inputs'!$GF$37*Dependencies!$D$13,0)</f>
        <v>0</v>
      </c>
      <c r="G1254" s="37">
        <f t="array" ref="G1254">IFERROR(SUMPRODUCT(('Production Inputs'!$A:$A="APAD")*('Production Inputs'!$B:$B="TOTAL ACTIVE")*'Production Inputs'!$GF:$GF),0)</f>
        <v>0</v>
      </c>
      <c r="H1254" s="30">
        <f t="shared" si="133"/>
        <v>128.80000000000004</v>
      </c>
      <c r="I1254" s="30">
        <f ca="1">IFERROR(AVERAGEIF(OFFSET(F1254,0,0,MIN(Controls!$B$8,COUNTIF(B1254:B$1973,B1254)),1),"&gt;"&amp;0),0)</f>
        <v>0</v>
      </c>
      <c r="J1254" s="38">
        <f t="shared" ca="1" si="134"/>
        <v>999</v>
      </c>
      <c r="K1254" s="30">
        <f t="shared" ca="1" si="138"/>
        <v>0</v>
      </c>
      <c r="L1254" t="str">
        <f t="shared" ca="1" si="135"/>
        <v>Overstock</v>
      </c>
      <c r="M1254" s="39">
        <f>IFERROR(VLOOKUP("APAD",Controls!A:I,7,0),6)</f>
        <v>4</v>
      </c>
      <c r="N1254" s="39">
        <f>IFERROR(VLOOKUP("APAD",Controls!A:I,8,0),3)</f>
        <v>3</v>
      </c>
      <c r="O1254" s="39">
        <f>IFERROR(VLOOKUP("APAD",Controls!A:I,9,0),18)</f>
        <v>12</v>
      </c>
      <c r="P1254" s="40">
        <f>IFERROR(VLOOKUP("APAD",Controls!A:J,5,0),0)</f>
        <v>165</v>
      </c>
      <c r="Q1254" s="39">
        <f>IFERROR(VLOOKUP("APAD",Controls!A:J,6,0),3)</f>
        <v>4</v>
      </c>
      <c r="R1254" s="21" t="str">
        <f>IFERROR(VLOOKUP("APAD",Controls!A:K,10,0),"")</f>
        <v>ST Pharm</v>
      </c>
      <c r="S1254" s="41">
        <f t="shared" si="136"/>
        <v>51288</v>
      </c>
      <c r="T1254" s="30">
        <f t="shared" si="137"/>
        <v>0</v>
      </c>
      <c r="AB1254">
        <f t="shared" si="139"/>
        <v>411.04000000000008</v>
      </c>
    </row>
    <row r="1255" spans="1:28" ht="13" customHeight="1" x14ac:dyDescent="0.35">
      <c r="A1255" s="153">
        <v>51441</v>
      </c>
      <c r="B1255" s="36" t="s">
        <v>54</v>
      </c>
      <c r="C1255" s="15" t="s">
        <v>52</v>
      </c>
      <c r="D1255" s="15" t="s">
        <v>48</v>
      </c>
      <c r="E1255" s="30">
        <f>H1254</f>
        <v>128.80000000000004</v>
      </c>
      <c r="F1255" s="37">
        <f>IFERROR('Production Inputs'!$GG$37*Dependencies!$D$13,0)</f>
        <v>0</v>
      </c>
      <c r="G1255" s="37">
        <f t="array" ref="G1255">IFERROR(SUMPRODUCT(('Production Inputs'!$A:$A="APAD")*('Production Inputs'!$B:$B="TOTAL ACTIVE")*'Production Inputs'!$GG:$GG),0)</f>
        <v>0</v>
      </c>
      <c r="H1255" s="30">
        <f t="shared" si="133"/>
        <v>128.80000000000004</v>
      </c>
      <c r="I1255" s="30">
        <f ca="1">IFERROR(AVERAGEIF(OFFSET(F1255,0,0,MIN(Controls!$B$8,COUNTIF(B1255:B$1973,B1255)),1),"&gt;"&amp;0),0)</f>
        <v>0</v>
      </c>
      <c r="J1255" s="38">
        <f t="shared" ca="1" si="134"/>
        <v>999</v>
      </c>
      <c r="K1255" s="30">
        <f t="shared" ca="1" si="138"/>
        <v>0</v>
      </c>
      <c r="L1255" t="str">
        <f t="shared" ca="1" si="135"/>
        <v>Overstock</v>
      </c>
      <c r="M1255" s="39">
        <f>IFERROR(VLOOKUP("APAD",Controls!A:I,7,0),6)</f>
        <v>4</v>
      </c>
      <c r="N1255" s="39">
        <f>IFERROR(VLOOKUP("APAD",Controls!A:I,8,0),3)</f>
        <v>3</v>
      </c>
      <c r="O1255" s="39">
        <f>IFERROR(VLOOKUP("APAD",Controls!A:I,9,0),18)</f>
        <v>12</v>
      </c>
      <c r="P1255" s="40">
        <f>IFERROR(VLOOKUP("APAD",Controls!A:J,5,0),0)</f>
        <v>165</v>
      </c>
      <c r="Q1255" s="39">
        <f>IFERROR(VLOOKUP("APAD",Controls!A:J,6,0),3)</f>
        <v>4</v>
      </c>
      <c r="R1255" s="21" t="str">
        <f>IFERROR(VLOOKUP("APAD",Controls!A:K,10,0),"")</f>
        <v>ST Pharm</v>
      </c>
      <c r="S1255" s="41">
        <f t="shared" si="136"/>
        <v>51318</v>
      </c>
      <c r="T1255" s="30">
        <f t="shared" si="137"/>
        <v>0</v>
      </c>
      <c r="AB1255">
        <f t="shared" si="139"/>
        <v>411.04000000000008</v>
      </c>
    </row>
    <row r="1256" spans="1:28" ht="13" customHeight="1" x14ac:dyDescent="0.35">
      <c r="A1256" s="153">
        <v>51471</v>
      </c>
      <c r="B1256" s="36" t="s">
        <v>54</v>
      </c>
      <c r="C1256" s="15" t="s">
        <v>52</v>
      </c>
      <c r="D1256" s="15" t="s">
        <v>48</v>
      </c>
      <c r="E1256" s="30">
        <f>H1255</f>
        <v>128.80000000000004</v>
      </c>
      <c r="F1256" s="37">
        <f>IFERROR('Production Inputs'!$GH$37*Dependencies!$D$13,0)</f>
        <v>0</v>
      </c>
      <c r="G1256" s="37">
        <f t="array" ref="G1256">IFERROR(SUMPRODUCT(('Production Inputs'!$A:$A="APAD")*('Production Inputs'!$B:$B="TOTAL ACTIVE")*'Production Inputs'!$GH:$GH),0)</f>
        <v>0</v>
      </c>
      <c r="H1256" s="30">
        <f t="shared" si="133"/>
        <v>128.80000000000004</v>
      </c>
      <c r="I1256" s="30">
        <f ca="1">IFERROR(AVERAGEIF(OFFSET(F1256,0,0,MIN(Controls!$B$8,COUNTIF(B1256:B$1973,B1256)),1),"&gt;"&amp;0),0)</f>
        <v>0</v>
      </c>
      <c r="J1256" s="38">
        <f t="shared" ca="1" si="134"/>
        <v>999</v>
      </c>
      <c r="K1256" s="30">
        <f t="shared" ca="1" si="138"/>
        <v>0</v>
      </c>
      <c r="L1256" t="str">
        <f t="shared" ca="1" si="135"/>
        <v>Overstock</v>
      </c>
      <c r="M1256" s="39">
        <f>IFERROR(VLOOKUP("APAD",Controls!A:I,7,0),6)</f>
        <v>4</v>
      </c>
      <c r="N1256" s="39">
        <f>IFERROR(VLOOKUP("APAD",Controls!A:I,8,0),3)</f>
        <v>3</v>
      </c>
      <c r="O1256" s="39">
        <f>IFERROR(VLOOKUP("APAD",Controls!A:I,9,0),18)</f>
        <v>12</v>
      </c>
      <c r="P1256" s="40">
        <f>IFERROR(VLOOKUP("APAD",Controls!A:J,5,0),0)</f>
        <v>165</v>
      </c>
      <c r="Q1256" s="39">
        <f>IFERROR(VLOOKUP("APAD",Controls!A:J,6,0),3)</f>
        <v>4</v>
      </c>
      <c r="R1256" s="21" t="str">
        <f>IFERROR(VLOOKUP("APAD",Controls!A:K,10,0),"")</f>
        <v>ST Pharm</v>
      </c>
      <c r="S1256" s="41">
        <f t="shared" si="136"/>
        <v>51349</v>
      </c>
      <c r="T1256" s="30">
        <f t="shared" si="137"/>
        <v>0</v>
      </c>
      <c r="AB1256">
        <f t="shared" si="139"/>
        <v>411.04000000000008</v>
      </c>
    </row>
    <row r="1257" spans="1:28" ht="13" customHeight="1" x14ac:dyDescent="0.35">
      <c r="A1257" s="153">
        <v>46054</v>
      </c>
      <c r="B1257" s="36" t="s">
        <v>56</v>
      </c>
      <c r="C1257" s="15" t="s">
        <v>52</v>
      </c>
      <c r="D1257" s="15" t="s">
        <v>48</v>
      </c>
      <c r="E1257" s="199">
        <f>IFERROR(VLOOKUP("APC",Controls!A:D,4,0),0)</f>
        <v>78.92</v>
      </c>
      <c r="F1257" s="199">
        <f>IFERROR('Production Inputs'!$L$37*Dependencies!$D$15,0)</f>
        <v>0</v>
      </c>
      <c r="G1257" s="199">
        <f t="array" ref="G1257">IFERROR(SUMPRODUCT(('Production Inputs'!$A:$A="APC")*('Production Inputs'!$B:$B="TOTAL ACTIVE")*'Production Inputs'!$L:$L),0)</f>
        <v>0</v>
      </c>
      <c r="H1257" s="199">
        <f t="shared" si="133"/>
        <v>78.92</v>
      </c>
      <c r="I1257" s="30">
        <f ca="1">IFERROR(AVERAGEIF(OFFSET(F1257,0,0,MIN(Controls!$B$8,COUNTIF(B1257:B$1973,B1257)),1),"&gt;"&amp;0),0)</f>
        <v>12.320000000000002</v>
      </c>
      <c r="J1257" s="38">
        <f t="shared" ca="1" si="134"/>
        <v>6.4058441558441546</v>
      </c>
      <c r="K1257" s="30">
        <f t="shared" ca="1" si="138"/>
        <v>0</v>
      </c>
      <c r="L1257" t="str">
        <f t="shared" ca="1" si="135"/>
        <v>Low</v>
      </c>
      <c r="M1257" s="39">
        <f>IFERROR(VLOOKUP("APC",Controls!A:I,7,0),6)</f>
        <v>4</v>
      </c>
      <c r="N1257" s="39">
        <f>IFERROR(VLOOKUP("APC",Controls!A:I,8,0),3)</f>
        <v>3</v>
      </c>
      <c r="O1257" s="39">
        <f>IFERROR(VLOOKUP("APC",Controls!A:I,9,0),18)</f>
        <v>12</v>
      </c>
      <c r="P1257" s="40">
        <f>IFERROR(VLOOKUP("APC",Controls!A:J,5,0),0)</f>
        <v>40</v>
      </c>
      <c r="Q1257" s="39">
        <f>IFERROR(VLOOKUP("APC",Controls!A:J,6,0),3)</f>
        <v>4</v>
      </c>
      <c r="R1257" s="21" t="str">
        <f>IFERROR(VLOOKUP("APC",Controls!A:K,10,0),"")</f>
        <v>ST Pharm</v>
      </c>
      <c r="S1257" s="41">
        <f t="shared" si="136"/>
        <v>45931</v>
      </c>
      <c r="T1257" s="30">
        <f t="shared" si="137"/>
        <v>0</v>
      </c>
      <c r="W1257" s="205" cm="1">
        <f t="array" ref="W1257">IF(0&lt;Controls!$B$7,INDEX(A1257:A1435,MATCH(Controls!$B$5,A1257:A1435,1)+0),"")</f>
        <v>46113</v>
      </c>
      <c r="X1257" cm="1">
        <f t="array" ref="X1257">IF(0&lt;Controls!$B$7,INDEX(F1257:F1435,MATCH(Controls!$B$5,A1257:A1435,1)+0),"")</f>
        <v>0</v>
      </c>
      <c r="Y1257" cm="1">
        <f t="array" ref="Y1257">IF(0&lt;Controls!$B$7,INDEX(G1257:G1435,MATCH(Controls!$B$5,A1257:A1435,1)+0),"")</f>
        <v>0</v>
      </c>
      <c r="Z1257" cm="1">
        <f t="array" ref="Z1257">IF(0&lt;Controls!$B$7,INDEX(H1257:H1435,MATCH(Controls!$B$5,A1257:A1435,1)+0),"")</f>
        <v>78.92</v>
      </c>
      <c r="AA1257" cm="1">
        <f t="array" aca="1" ref="AA1257" ca="1">IF(0&lt;Controls!$B$7,INDEX(M1257:M1435,MATCH(Controls!$B$5,A1257:A1435,1)+0)*INDEX(I1257:I1435,MATCH(Controls!$B$5,A1257:A1435,1)+0),"")</f>
        <v>49.280000000000008</v>
      </c>
      <c r="AB1257">
        <f t="shared" si="139"/>
        <v>0</v>
      </c>
    </row>
    <row r="1258" spans="1:28" ht="13" customHeight="1" x14ac:dyDescent="0.35">
      <c r="A1258" s="153">
        <v>46082</v>
      </c>
      <c r="B1258" s="36" t="s">
        <v>56</v>
      </c>
      <c r="C1258" s="15" t="s">
        <v>52</v>
      </c>
      <c r="D1258" s="15" t="s">
        <v>48</v>
      </c>
      <c r="E1258" s="199">
        <f>H1257</f>
        <v>78.92</v>
      </c>
      <c r="F1258" s="199">
        <f>IFERROR('Production Inputs'!$M$37*Dependencies!$D$15,0)</f>
        <v>0</v>
      </c>
      <c r="G1258" s="199">
        <f t="array" ref="G1258">IFERROR(SUMPRODUCT(('Production Inputs'!$A:$A="APC")*('Production Inputs'!$B:$B="TOTAL ACTIVE")*'Production Inputs'!$M:$M),0)</f>
        <v>0</v>
      </c>
      <c r="H1258" s="199">
        <v>78.92</v>
      </c>
      <c r="I1258" s="30">
        <f ca="1">IFERROR(AVERAGEIF(OFFSET(F1258,0,0,MIN(Controls!$B$8,COUNTIF(B1258:B$1973,B1258)),1),"&gt;"&amp;0),0)</f>
        <v>12.320000000000002</v>
      </c>
      <c r="J1258" s="38">
        <f t="shared" ca="1" si="134"/>
        <v>6.4058441558441546</v>
      </c>
      <c r="K1258" s="30">
        <f t="shared" ca="1" si="138"/>
        <v>0</v>
      </c>
      <c r="L1258" t="str">
        <f t="shared" ca="1" si="135"/>
        <v>Low</v>
      </c>
      <c r="M1258" s="39">
        <f>IFERROR(VLOOKUP("APC",Controls!A:I,7,0),6)</f>
        <v>4</v>
      </c>
      <c r="N1258" s="39">
        <f>IFERROR(VLOOKUP("APC",Controls!A:I,8,0),3)</f>
        <v>3</v>
      </c>
      <c r="O1258" s="39">
        <f>IFERROR(VLOOKUP("APC",Controls!A:I,9,0),18)</f>
        <v>12</v>
      </c>
      <c r="P1258" s="40">
        <f>IFERROR(VLOOKUP("APC",Controls!A:J,5,0),0)</f>
        <v>40</v>
      </c>
      <c r="Q1258" s="39">
        <f>IFERROR(VLOOKUP("APC",Controls!A:J,6,0),3)</f>
        <v>4</v>
      </c>
      <c r="R1258" s="21" t="str">
        <f>IFERROR(VLOOKUP("APC",Controls!A:K,10,0),"")</f>
        <v>ST Pharm</v>
      </c>
      <c r="S1258" s="41">
        <f t="shared" si="136"/>
        <v>45962</v>
      </c>
      <c r="T1258" s="30">
        <f t="shared" si="137"/>
        <v>0</v>
      </c>
      <c r="W1258" s="205" cm="1">
        <f t="array" ref="W1258">IF(1&lt;Controls!$B$7,INDEX(A1257:A1435,MATCH(Controls!$B$5,A1257:A1435,1)+1),"")</f>
        <v>46143</v>
      </c>
      <c r="X1258" cm="1">
        <f t="array" ref="X1258">IF(1&lt;Controls!$B$7,INDEX(F1257:F1435,MATCH(Controls!$B$5,A1257:A1435,1)+1),"")</f>
        <v>12.32</v>
      </c>
      <c r="Y1258" cm="1">
        <f t="array" ref="Y1258">IF(1&lt;Controls!$B$7,INDEX(G1257:G1435,MATCH(Controls!$B$5,A1257:A1435,1)+1),"")</f>
        <v>0</v>
      </c>
      <c r="Z1258" cm="1">
        <f t="array" ref="Z1258">IF(1&lt;Controls!$B$7,INDEX(H1257:H1435,MATCH(Controls!$B$5,A1257:A1435,1)+1),"")</f>
        <v>66.599999999999994</v>
      </c>
      <c r="AA1258" cm="1">
        <f t="array" aca="1" ref="AA1258" ca="1">IF(1&lt;Controls!$B$7,INDEX(M1257:M1435,MATCH(Controls!$B$5,A1257:A1435,1)+1)*INDEX(I1257:I1435,MATCH(Controls!$B$5,A1257:A1435,1)+1),"")</f>
        <v>49.280000000000008</v>
      </c>
      <c r="AB1258">
        <f t="shared" si="139"/>
        <v>0</v>
      </c>
    </row>
    <row r="1259" spans="1:28" ht="13" customHeight="1" x14ac:dyDescent="0.35">
      <c r="A1259" s="153">
        <v>46113</v>
      </c>
      <c r="B1259" s="36" t="s">
        <v>56</v>
      </c>
      <c r="C1259" s="15" t="s">
        <v>52</v>
      </c>
      <c r="D1259" s="15" t="s">
        <v>48</v>
      </c>
      <c r="E1259" s="30">
        <f>H1258</f>
        <v>78.92</v>
      </c>
      <c r="F1259" s="37">
        <f>IFERROR('Production Inputs'!$N$37*Dependencies!$D$15,0)</f>
        <v>0</v>
      </c>
      <c r="G1259" s="37">
        <f t="array" ref="G1259">IFERROR(SUMPRODUCT(('Production Inputs'!$A:$A="APC")*('Production Inputs'!$B:$B="TOTAL ACTIVE")*'Production Inputs'!$N:$N),0)</f>
        <v>0</v>
      </c>
      <c r="H1259" s="30">
        <f t="shared" si="133"/>
        <v>78.92</v>
      </c>
      <c r="I1259" s="30">
        <f ca="1">IFERROR(AVERAGEIF(OFFSET(F1259,0,0,MIN(Controls!$B$8,COUNTIF(B1259:B$1973,B1259)),1),"&gt;"&amp;0),0)</f>
        <v>12.320000000000002</v>
      </c>
      <c r="J1259" s="38">
        <f t="shared" ca="1" si="134"/>
        <v>6.4058441558441546</v>
      </c>
      <c r="K1259" s="30">
        <f t="shared" ca="1" si="138"/>
        <v>0</v>
      </c>
      <c r="L1259" t="str">
        <f t="shared" ca="1" si="135"/>
        <v>Low</v>
      </c>
      <c r="M1259" s="39">
        <f>IFERROR(VLOOKUP("APC",Controls!A:I,7,0),6)</f>
        <v>4</v>
      </c>
      <c r="N1259" s="39">
        <f>IFERROR(VLOOKUP("APC",Controls!A:I,8,0),3)</f>
        <v>3</v>
      </c>
      <c r="O1259" s="39">
        <f>IFERROR(VLOOKUP("APC",Controls!A:I,9,0),18)</f>
        <v>12</v>
      </c>
      <c r="P1259" s="40">
        <f>IFERROR(VLOOKUP("APC",Controls!A:J,5,0),0)</f>
        <v>40</v>
      </c>
      <c r="Q1259" s="39">
        <f>IFERROR(VLOOKUP("APC",Controls!A:J,6,0),3)</f>
        <v>4</v>
      </c>
      <c r="R1259" s="21" t="str">
        <f>IFERROR(VLOOKUP("APC",Controls!A:K,10,0),"")</f>
        <v>ST Pharm</v>
      </c>
      <c r="S1259" s="41">
        <f t="shared" si="136"/>
        <v>45992</v>
      </c>
      <c r="T1259" s="30">
        <f t="shared" si="137"/>
        <v>0</v>
      </c>
      <c r="W1259" s="205" cm="1">
        <f t="array" ref="W1259">IF(2&lt;Controls!$B$7,INDEX(A1257:A1435,MATCH(Controls!$B$5,A1257:A1435,1)+2),"")</f>
        <v>46174</v>
      </c>
      <c r="X1259" cm="1">
        <f t="array" ref="X1259">IF(2&lt;Controls!$B$7,INDEX(F1257:F1435,MATCH(Controls!$B$5,A1257:A1435,1)+2),"")</f>
        <v>18.480000000000004</v>
      </c>
      <c r="Y1259" cm="1">
        <f t="array" ref="Y1259">IF(2&lt;Controls!$B$7,INDEX(G1257:G1435,MATCH(Controls!$B$5,A1257:A1435,1)+2),"")</f>
        <v>0</v>
      </c>
      <c r="Z1259" cm="1">
        <f t="array" ref="Z1259">IF(2&lt;Controls!$B$7,INDEX(H1257:H1435,MATCH(Controls!$B$5,A1257:A1435,1)+2),"")</f>
        <v>48.11999999999999</v>
      </c>
      <c r="AA1259" cm="1">
        <f t="array" aca="1" ref="AA1259" ca="1">IF(2&lt;Controls!$B$7,INDEX(M1257:M1435,MATCH(Controls!$B$5,A1257:A1435,1)+2)*INDEX(I1257:I1435,MATCH(Controls!$B$5,A1257:A1435,1)+2),"")</f>
        <v>49.280000000000008</v>
      </c>
      <c r="AB1259">
        <f t="shared" si="139"/>
        <v>0</v>
      </c>
    </row>
    <row r="1260" spans="1:28" ht="13" customHeight="1" x14ac:dyDescent="0.35">
      <c r="A1260" s="153">
        <v>46143</v>
      </c>
      <c r="B1260" s="36" t="s">
        <v>56</v>
      </c>
      <c r="C1260" s="15" t="s">
        <v>52</v>
      </c>
      <c r="D1260" s="15" t="s">
        <v>48</v>
      </c>
      <c r="E1260" s="30">
        <f>H1259</f>
        <v>78.92</v>
      </c>
      <c r="F1260" s="37">
        <f>IFERROR('Production Inputs'!$O$37*Dependencies!$D$15,0)</f>
        <v>12.32</v>
      </c>
      <c r="G1260" s="37">
        <f t="array" ref="G1260">IFERROR(SUMPRODUCT(('Production Inputs'!$A:$A="APC")*('Production Inputs'!$B:$B="TOTAL ACTIVE")*'Production Inputs'!$O:$O),0)</f>
        <v>0</v>
      </c>
      <c r="H1260" s="30">
        <f t="shared" si="133"/>
        <v>66.599999999999994</v>
      </c>
      <c r="I1260" s="30">
        <f ca="1">IFERROR(AVERAGEIF(OFFSET(F1260,0,0,MIN(Controls!$B$8,COUNTIF(B1260:B$1973,B1260)),1),"&gt;"&amp;0),0)</f>
        <v>12.320000000000002</v>
      </c>
      <c r="J1260" s="38">
        <f t="shared" ca="1" si="134"/>
        <v>5.4058441558441546</v>
      </c>
      <c r="K1260" s="30">
        <f t="shared" ca="1" si="138"/>
        <v>0</v>
      </c>
      <c r="L1260" t="str">
        <f t="shared" ca="1" si="135"/>
        <v>Low</v>
      </c>
      <c r="M1260" s="39">
        <f>IFERROR(VLOOKUP("APC",Controls!A:I,7,0),6)</f>
        <v>4</v>
      </c>
      <c r="N1260" s="39">
        <f>IFERROR(VLOOKUP("APC",Controls!A:I,8,0),3)</f>
        <v>3</v>
      </c>
      <c r="O1260" s="39">
        <f>IFERROR(VLOOKUP("APC",Controls!A:I,9,0),18)</f>
        <v>12</v>
      </c>
      <c r="P1260" s="40">
        <f>IFERROR(VLOOKUP("APC",Controls!A:J,5,0),0)</f>
        <v>40</v>
      </c>
      <c r="Q1260" s="39">
        <f>IFERROR(VLOOKUP("APC",Controls!A:J,6,0),3)</f>
        <v>4</v>
      </c>
      <c r="R1260" s="21" t="str">
        <f>IFERROR(VLOOKUP("APC",Controls!A:K,10,0),"")</f>
        <v>ST Pharm</v>
      </c>
      <c r="S1260" s="41">
        <f t="shared" si="136"/>
        <v>46023</v>
      </c>
      <c r="T1260" s="30">
        <f t="shared" si="137"/>
        <v>0</v>
      </c>
      <c r="W1260" s="205" cm="1">
        <f t="array" ref="W1260">IF(3&lt;Controls!$B$7,INDEX(A1257:A1435,MATCH(Controls!$B$5,A1257:A1435,1)+3),"")</f>
        <v>46204</v>
      </c>
      <c r="X1260" cm="1">
        <f t="array" ref="X1260">IF(3&lt;Controls!$B$7,INDEX(F1257:F1435,MATCH(Controls!$B$5,A1257:A1435,1)+3),"")</f>
        <v>6.16</v>
      </c>
      <c r="Y1260" cm="1">
        <f t="array" ref="Y1260">IF(3&lt;Controls!$B$7,INDEX(G1257:G1435,MATCH(Controls!$B$5,A1257:A1435,1)+3),"")</f>
        <v>0</v>
      </c>
      <c r="Z1260" cm="1">
        <f t="array" ref="Z1260">IF(3&lt;Controls!$B$7,INDEX(H1257:H1435,MATCH(Controls!$B$5,A1257:A1435,1)+3),"")</f>
        <v>41.959999999999994</v>
      </c>
      <c r="AA1260" cm="1">
        <f t="array" aca="1" ref="AA1260" ca="1">IF(3&lt;Controls!$B$7,INDEX(M1257:M1435,MATCH(Controls!$B$5,A1257:A1435,1)+3)*INDEX(I1257:I1435,MATCH(Controls!$B$5,A1257:A1435,1)+3),"")</f>
        <v>24.64</v>
      </c>
      <c r="AB1260">
        <f t="shared" si="139"/>
        <v>12.32</v>
      </c>
    </row>
    <row r="1261" spans="1:28" ht="13" customHeight="1" x14ac:dyDescent="0.35">
      <c r="A1261" s="153">
        <v>46174</v>
      </c>
      <c r="B1261" s="36" t="s">
        <v>56</v>
      </c>
      <c r="C1261" s="15" t="s">
        <v>52</v>
      </c>
      <c r="D1261" s="15" t="s">
        <v>48</v>
      </c>
      <c r="E1261" s="30">
        <f>H1260</f>
        <v>66.599999999999994</v>
      </c>
      <c r="F1261" s="37">
        <f>IFERROR('Production Inputs'!$P$37*Dependencies!$D$15,0)</f>
        <v>18.480000000000004</v>
      </c>
      <c r="G1261" s="37">
        <f t="array" ref="G1261">IFERROR(SUMPRODUCT(('Production Inputs'!$A:$A="APC")*('Production Inputs'!$B:$B="TOTAL ACTIVE")*'Production Inputs'!$P:$P),0)</f>
        <v>0</v>
      </c>
      <c r="H1261" s="30">
        <f t="shared" si="133"/>
        <v>48.11999999999999</v>
      </c>
      <c r="I1261" s="30">
        <f ca="1">IFERROR(AVERAGEIF(OFFSET(F1261,0,0,MIN(Controls!$B$8,COUNTIF(B1261:B$1973,B1261)),1),"&gt;"&amp;0),0)</f>
        <v>12.320000000000002</v>
      </c>
      <c r="J1261" s="38">
        <f t="shared" ca="1" si="134"/>
        <v>3.9058441558441546</v>
      </c>
      <c r="K1261" s="30">
        <f t="shared" ca="1" si="138"/>
        <v>0</v>
      </c>
      <c r="L1261" t="str">
        <f t="shared" ca="1" si="135"/>
        <v>Medium</v>
      </c>
      <c r="M1261" s="39">
        <f>IFERROR(VLOOKUP("APC",Controls!A:I,7,0),6)</f>
        <v>4</v>
      </c>
      <c r="N1261" s="39">
        <f>IFERROR(VLOOKUP("APC",Controls!A:I,8,0),3)</f>
        <v>3</v>
      </c>
      <c r="O1261" s="39">
        <f>IFERROR(VLOOKUP("APC",Controls!A:I,9,0),18)</f>
        <v>12</v>
      </c>
      <c r="P1261" s="40">
        <f>IFERROR(VLOOKUP("APC",Controls!A:J,5,0),0)</f>
        <v>40</v>
      </c>
      <c r="Q1261" s="39">
        <f>IFERROR(VLOOKUP("APC",Controls!A:J,6,0),3)</f>
        <v>4</v>
      </c>
      <c r="R1261" s="21" t="str">
        <f>IFERROR(VLOOKUP("APC",Controls!A:K,10,0),"")</f>
        <v>ST Pharm</v>
      </c>
      <c r="S1261" s="41">
        <f t="shared" si="136"/>
        <v>46054</v>
      </c>
      <c r="T1261" s="30">
        <f t="shared" si="137"/>
        <v>0</v>
      </c>
      <c r="W1261" s="205" cm="1">
        <f t="array" ref="W1261">IF(4&lt;Controls!$B$7,INDEX(A1257:A1435,MATCH(Controls!$B$5,A1257:A1435,1)+4),"")</f>
        <v>46235</v>
      </c>
      <c r="X1261" cm="1">
        <f t="array" ref="X1261">IF(4&lt;Controls!$B$7,INDEX(F1257:F1435,MATCH(Controls!$B$5,A1257:A1435,1)+4),"")</f>
        <v>0</v>
      </c>
      <c r="Y1261" cm="1">
        <f t="array" ref="Y1261">IF(4&lt;Controls!$B$7,INDEX(G1257:G1435,MATCH(Controls!$B$5,A1257:A1435,1)+4),"")</f>
        <v>0</v>
      </c>
      <c r="Z1261" cm="1">
        <f t="array" ref="Z1261">IF(4&lt;Controls!$B$7,INDEX(H1257:H1435,MATCH(Controls!$B$5,A1257:A1435,1)+4),"")</f>
        <v>41.959999999999994</v>
      </c>
      <c r="AA1261" cm="1">
        <f t="array" aca="1" ref="AA1261" ca="1">IF(4&lt;Controls!$B$7,INDEX(M1257:M1435,MATCH(Controls!$B$5,A1257:A1435,1)+4)*INDEX(I1257:I1435,MATCH(Controls!$B$5,A1257:A1435,1)+4),"")</f>
        <v>49.28</v>
      </c>
      <c r="AB1261">
        <f t="shared" si="139"/>
        <v>30.800000000000004</v>
      </c>
    </row>
    <row r="1262" spans="1:28" ht="13" customHeight="1" x14ac:dyDescent="0.35">
      <c r="A1262" s="153">
        <v>46204</v>
      </c>
      <c r="B1262" s="36" t="s">
        <v>56</v>
      </c>
      <c r="C1262" s="15" t="s">
        <v>52</v>
      </c>
      <c r="D1262" s="15" t="s">
        <v>48</v>
      </c>
      <c r="E1262" s="30">
        <f>H1261</f>
        <v>48.11999999999999</v>
      </c>
      <c r="F1262" s="37">
        <f>IFERROR('Production Inputs'!$Q$37*Dependencies!$D$15,0)</f>
        <v>6.16</v>
      </c>
      <c r="G1262" s="37">
        <f t="array" ref="G1262">IFERROR(SUMPRODUCT(('Production Inputs'!$A:$A="APC")*('Production Inputs'!$B:$B="TOTAL ACTIVE")*'Production Inputs'!$Q:$Q),0)</f>
        <v>0</v>
      </c>
      <c r="H1262" s="30">
        <f t="shared" si="133"/>
        <v>41.959999999999994</v>
      </c>
      <c r="I1262" s="30">
        <f ca="1">IFERROR(AVERAGEIF(OFFSET(F1262,0,0,MIN(Controls!$B$8,COUNTIF(B1262:B$1973,B1262)),1),"&gt;"&amp;0),0)</f>
        <v>6.16</v>
      </c>
      <c r="J1262" s="38">
        <f t="shared" ca="1" si="134"/>
        <v>6.8116883116883109</v>
      </c>
      <c r="K1262" s="30">
        <f t="shared" ca="1" si="138"/>
        <v>0</v>
      </c>
      <c r="L1262" t="str">
        <f t="shared" ca="1" si="135"/>
        <v>Low</v>
      </c>
      <c r="M1262" s="39">
        <f>IFERROR(VLOOKUP("APC",Controls!A:I,7,0),6)</f>
        <v>4</v>
      </c>
      <c r="N1262" s="39">
        <f>IFERROR(VLOOKUP("APC",Controls!A:I,8,0),3)</f>
        <v>3</v>
      </c>
      <c r="O1262" s="39">
        <f>IFERROR(VLOOKUP("APC",Controls!A:I,9,0),18)</f>
        <v>12</v>
      </c>
      <c r="P1262" s="40">
        <f>IFERROR(VLOOKUP("APC",Controls!A:J,5,0),0)</f>
        <v>40</v>
      </c>
      <c r="Q1262" s="39">
        <f>IFERROR(VLOOKUP("APC",Controls!A:J,6,0),3)</f>
        <v>4</v>
      </c>
      <c r="R1262" s="21" t="str">
        <f>IFERROR(VLOOKUP("APC",Controls!A:K,10,0),"")</f>
        <v>ST Pharm</v>
      </c>
      <c r="S1262" s="41">
        <f t="shared" si="136"/>
        <v>46082</v>
      </c>
      <c r="T1262" s="30">
        <f t="shared" si="137"/>
        <v>0</v>
      </c>
      <c r="W1262" s="205" cm="1">
        <f t="array" ref="W1262">IF(5&lt;Controls!$B$7,INDEX(A1257:A1435,MATCH(Controls!$B$5,A1257:A1435,1)+5),"")</f>
        <v>46266</v>
      </c>
      <c r="X1262" cm="1">
        <f t="array" ref="X1262">IF(5&lt;Controls!$B$7,INDEX(F1257:F1435,MATCH(Controls!$B$5,A1257:A1435,1)+5),"")</f>
        <v>0</v>
      </c>
      <c r="Y1262" cm="1">
        <f t="array" ref="Y1262">IF(5&lt;Controls!$B$7,INDEX(G1257:G1435,MATCH(Controls!$B$5,A1257:A1435,1)+5),"")</f>
        <v>0</v>
      </c>
      <c r="Z1262" cm="1">
        <f t="array" ref="Z1262">IF(5&lt;Controls!$B$7,INDEX(H1257:H1435,MATCH(Controls!$B$5,A1257:A1435,1)+5),"")</f>
        <v>41.959999999999994</v>
      </c>
      <c r="AA1262" cm="1">
        <f t="array" aca="1" ref="AA1262" ca="1">IF(5&lt;Controls!$B$7,INDEX(M1257:M1435,MATCH(Controls!$B$5,A1257:A1435,1)+5)*INDEX(I1257:I1435,MATCH(Controls!$B$5,A1257:A1435,1)+5),"")</f>
        <v>49.28</v>
      </c>
      <c r="AB1262">
        <f t="shared" si="139"/>
        <v>36.960000000000008</v>
      </c>
    </row>
    <row r="1263" spans="1:28" ht="13" customHeight="1" x14ac:dyDescent="0.35">
      <c r="A1263" s="153">
        <v>46235</v>
      </c>
      <c r="B1263" s="36" t="s">
        <v>56</v>
      </c>
      <c r="C1263" s="15" t="s">
        <v>52</v>
      </c>
      <c r="D1263" s="15" t="s">
        <v>48</v>
      </c>
      <c r="E1263" s="30">
        <f>H1262</f>
        <v>41.959999999999994</v>
      </c>
      <c r="F1263" s="37">
        <f>IFERROR('Production Inputs'!$R$37*Dependencies!$D$15,0)</f>
        <v>0</v>
      </c>
      <c r="G1263" s="37">
        <f t="array" ref="G1263">IFERROR(SUMPRODUCT(('Production Inputs'!$A:$A="APC")*('Production Inputs'!$B:$B="TOTAL ACTIVE")*'Production Inputs'!$R:$R),0)</f>
        <v>0</v>
      </c>
      <c r="H1263" s="30">
        <f t="shared" si="133"/>
        <v>41.959999999999994</v>
      </c>
      <c r="I1263" s="30">
        <f ca="1">IFERROR(AVERAGEIF(OFFSET(F1263,0,0,MIN(Controls!$B$8,COUNTIF(B1263:B$1973,B1263)),1),"&gt;"&amp;0),0)</f>
        <v>12.32</v>
      </c>
      <c r="J1263" s="38">
        <f t="shared" ca="1" si="134"/>
        <v>3.4058441558441555</v>
      </c>
      <c r="K1263" s="30">
        <f t="shared" ca="1" si="138"/>
        <v>0</v>
      </c>
      <c r="L1263" t="str">
        <f t="shared" ca="1" si="135"/>
        <v>Medium</v>
      </c>
      <c r="M1263" s="39">
        <f>IFERROR(VLOOKUP("APC",Controls!A:I,7,0),6)</f>
        <v>4</v>
      </c>
      <c r="N1263" s="39">
        <f>IFERROR(VLOOKUP("APC",Controls!A:I,8,0),3)</f>
        <v>3</v>
      </c>
      <c r="O1263" s="39">
        <f>IFERROR(VLOOKUP("APC",Controls!A:I,9,0),18)</f>
        <v>12</v>
      </c>
      <c r="P1263" s="40">
        <f>IFERROR(VLOOKUP("APC",Controls!A:J,5,0),0)</f>
        <v>40</v>
      </c>
      <c r="Q1263" s="39">
        <f>IFERROR(VLOOKUP("APC",Controls!A:J,6,0),3)</f>
        <v>4</v>
      </c>
      <c r="R1263" s="21" t="str">
        <f>IFERROR(VLOOKUP("APC",Controls!A:K,10,0),"")</f>
        <v>ST Pharm</v>
      </c>
      <c r="S1263" s="41">
        <f t="shared" si="136"/>
        <v>46113</v>
      </c>
      <c r="T1263" s="30">
        <f t="shared" si="137"/>
        <v>0</v>
      </c>
      <c r="W1263" s="205" cm="1">
        <f t="array" ref="W1263">IF(6&lt;Controls!$B$7,INDEX(A1257:A1435,MATCH(Controls!$B$5,A1257:A1435,1)+6),"")</f>
        <v>46296</v>
      </c>
      <c r="X1263" cm="1">
        <f t="array" ref="X1263">IF(6&lt;Controls!$B$7,INDEX(F1257:F1435,MATCH(Controls!$B$5,A1257:A1435,1)+6),"")</f>
        <v>0</v>
      </c>
      <c r="Y1263" cm="1">
        <f t="array" ref="Y1263">IF(6&lt;Controls!$B$7,INDEX(G1257:G1435,MATCH(Controls!$B$5,A1257:A1435,1)+6),"")</f>
        <v>0</v>
      </c>
      <c r="Z1263" cm="1">
        <f t="array" ref="Z1263">IF(6&lt;Controls!$B$7,INDEX(H1257:H1435,MATCH(Controls!$B$5,A1257:A1435,1)+6),"")</f>
        <v>41.959999999999994</v>
      </c>
      <c r="AA1263" cm="1">
        <f t="array" aca="1" ref="AA1263" ca="1">IF(6&lt;Controls!$B$7,INDEX(M1257:M1435,MATCH(Controls!$B$5,A1257:A1435,1)+6)*INDEX(I1257:I1435,MATCH(Controls!$B$5,A1257:A1435,1)+6),"")</f>
        <v>49.28</v>
      </c>
      <c r="AB1263">
        <f t="shared" si="139"/>
        <v>36.960000000000008</v>
      </c>
    </row>
    <row r="1264" spans="1:28" ht="13" customHeight="1" x14ac:dyDescent="0.35">
      <c r="A1264" s="153">
        <v>46266</v>
      </c>
      <c r="B1264" s="36" t="s">
        <v>56</v>
      </c>
      <c r="C1264" s="15" t="s">
        <v>52</v>
      </c>
      <c r="D1264" s="15" t="s">
        <v>48</v>
      </c>
      <c r="E1264" s="30">
        <f>H1263</f>
        <v>41.959999999999994</v>
      </c>
      <c r="F1264" s="37">
        <f>IFERROR('Production Inputs'!$S$37*Dependencies!$D$15,0)</f>
        <v>0</v>
      </c>
      <c r="G1264" s="37">
        <f t="array" ref="G1264">IFERROR(SUMPRODUCT(('Production Inputs'!$A:$A="APC")*('Production Inputs'!$B:$B="TOTAL ACTIVE")*'Production Inputs'!$S:$S),0)</f>
        <v>0</v>
      </c>
      <c r="H1264" s="30">
        <f t="shared" si="133"/>
        <v>41.959999999999994</v>
      </c>
      <c r="I1264" s="30">
        <f ca="1">IFERROR(AVERAGEIF(OFFSET(F1264,0,0,MIN(Controls!$B$8,COUNTIF(B1264:B$1973,B1264)),1),"&gt;"&amp;0),0)</f>
        <v>12.32</v>
      </c>
      <c r="J1264" s="38">
        <f t="shared" ca="1" si="134"/>
        <v>3.4058441558441555</v>
      </c>
      <c r="K1264" s="30">
        <f t="shared" ca="1" si="138"/>
        <v>0</v>
      </c>
      <c r="L1264" t="str">
        <f t="shared" ca="1" si="135"/>
        <v>Medium</v>
      </c>
      <c r="M1264" s="39">
        <f>IFERROR(VLOOKUP("APC",Controls!A:I,7,0),6)</f>
        <v>4</v>
      </c>
      <c r="N1264" s="39">
        <f>IFERROR(VLOOKUP("APC",Controls!A:I,8,0),3)</f>
        <v>3</v>
      </c>
      <c r="O1264" s="39">
        <f>IFERROR(VLOOKUP("APC",Controls!A:I,9,0),18)</f>
        <v>12</v>
      </c>
      <c r="P1264" s="40">
        <f>IFERROR(VLOOKUP("APC",Controls!A:J,5,0),0)</f>
        <v>40</v>
      </c>
      <c r="Q1264" s="39">
        <f>IFERROR(VLOOKUP("APC",Controls!A:J,6,0),3)</f>
        <v>4</v>
      </c>
      <c r="R1264" s="21" t="str">
        <f>IFERROR(VLOOKUP("APC",Controls!A:K,10,0),"")</f>
        <v>ST Pharm</v>
      </c>
      <c r="S1264" s="41">
        <f t="shared" si="136"/>
        <v>46143</v>
      </c>
      <c r="T1264" s="30">
        <f t="shared" si="137"/>
        <v>0</v>
      </c>
      <c r="W1264" s="205" cm="1">
        <f t="array" ref="W1264">IF(7&lt;Controls!$B$7,INDEX(A1257:A1435,MATCH(Controls!$B$5,A1257:A1435,1)+7),"")</f>
        <v>46327</v>
      </c>
      <c r="X1264" cm="1">
        <f t="array" ref="X1264">IF(7&lt;Controls!$B$7,INDEX(F1257:F1435,MATCH(Controls!$B$5,A1257:A1435,1)+7),"")</f>
        <v>0</v>
      </c>
      <c r="Y1264" cm="1">
        <f t="array" ref="Y1264">IF(7&lt;Controls!$B$7,INDEX(G1257:G1435,MATCH(Controls!$B$5,A1257:A1435,1)+7),"")</f>
        <v>0</v>
      </c>
      <c r="Z1264" cm="1">
        <f t="array" ref="Z1264">IF(7&lt;Controls!$B$7,INDEX(H1257:H1435,MATCH(Controls!$B$5,A1257:A1435,1)+7),"")</f>
        <v>41.959999999999994</v>
      </c>
      <c r="AA1264" cm="1">
        <f t="array" aca="1" ref="AA1264" ca="1">IF(7&lt;Controls!$B$7,INDEX(M1257:M1435,MATCH(Controls!$B$5,A1257:A1435,1)+7)*INDEX(I1257:I1435,MATCH(Controls!$B$5,A1257:A1435,1)+7),"")</f>
        <v>49.28</v>
      </c>
      <c r="AB1264">
        <f t="shared" si="139"/>
        <v>36.960000000000008</v>
      </c>
    </row>
    <row r="1265" spans="1:28" ht="13" customHeight="1" x14ac:dyDescent="0.35">
      <c r="A1265" s="153">
        <v>46296</v>
      </c>
      <c r="B1265" s="36" t="s">
        <v>56</v>
      </c>
      <c r="C1265" s="15" t="s">
        <v>52</v>
      </c>
      <c r="D1265" s="15" t="s">
        <v>48</v>
      </c>
      <c r="E1265" s="30">
        <f>H1264</f>
        <v>41.959999999999994</v>
      </c>
      <c r="F1265" s="37">
        <f>IFERROR('Production Inputs'!$T$37*Dependencies!$D$15,0)</f>
        <v>0</v>
      </c>
      <c r="G1265" s="37">
        <f t="array" ref="G1265">IFERROR(SUMPRODUCT(('Production Inputs'!$A:$A="APC")*('Production Inputs'!$B:$B="TOTAL ACTIVE")*'Production Inputs'!$T:$T),0)</f>
        <v>0</v>
      </c>
      <c r="H1265" s="30">
        <f t="shared" si="133"/>
        <v>41.959999999999994</v>
      </c>
      <c r="I1265" s="30">
        <f ca="1">IFERROR(AVERAGEIF(OFFSET(F1265,0,0,MIN(Controls!$B$8,COUNTIF(B1265:B$1973,B1265)),1),"&gt;"&amp;0),0)</f>
        <v>12.32</v>
      </c>
      <c r="J1265" s="38">
        <f t="shared" ca="1" si="134"/>
        <v>3.4058441558441555</v>
      </c>
      <c r="K1265" s="30">
        <f t="shared" ca="1" si="138"/>
        <v>0</v>
      </c>
      <c r="L1265" t="str">
        <f t="shared" ca="1" si="135"/>
        <v>Medium</v>
      </c>
      <c r="M1265" s="39">
        <f>IFERROR(VLOOKUP("APC",Controls!A:I,7,0),6)</f>
        <v>4</v>
      </c>
      <c r="N1265" s="39">
        <f>IFERROR(VLOOKUP("APC",Controls!A:I,8,0),3)</f>
        <v>3</v>
      </c>
      <c r="O1265" s="39">
        <f>IFERROR(VLOOKUP("APC",Controls!A:I,9,0),18)</f>
        <v>12</v>
      </c>
      <c r="P1265" s="40">
        <f>IFERROR(VLOOKUP("APC",Controls!A:J,5,0),0)</f>
        <v>40</v>
      </c>
      <c r="Q1265" s="39">
        <f>IFERROR(VLOOKUP("APC",Controls!A:J,6,0),3)</f>
        <v>4</v>
      </c>
      <c r="R1265" s="21" t="str">
        <f>IFERROR(VLOOKUP("APC",Controls!A:K,10,0),"")</f>
        <v>ST Pharm</v>
      </c>
      <c r="S1265" s="41">
        <f t="shared" si="136"/>
        <v>46174</v>
      </c>
      <c r="T1265" s="30">
        <f t="shared" si="137"/>
        <v>0</v>
      </c>
      <c r="W1265" s="205" cm="1">
        <f t="array" ref="W1265">IF(8&lt;Controls!$B$7,INDEX(A1257:A1435,MATCH(Controls!$B$5,A1257:A1435,1)+8),"")</f>
        <v>46357</v>
      </c>
      <c r="X1265" cm="1">
        <f t="array" ref="X1265">IF(8&lt;Controls!$B$7,INDEX(F1257:F1435,MATCH(Controls!$B$5,A1257:A1435,1)+8),"")</f>
        <v>0</v>
      </c>
      <c r="Y1265" cm="1">
        <f t="array" ref="Y1265">IF(8&lt;Controls!$B$7,INDEX(G1257:G1435,MATCH(Controls!$B$5,A1257:A1435,1)+8),"")</f>
        <v>0</v>
      </c>
      <c r="Z1265" cm="1">
        <f t="array" ref="Z1265">IF(8&lt;Controls!$B$7,INDEX(H1257:H1435,MATCH(Controls!$B$5,A1257:A1435,1)+8),"")</f>
        <v>41.959999999999994</v>
      </c>
      <c r="AA1265" cm="1">
        <f t="array" aca="1" ref="AA1265" ca="1">IF(8&lt;Controls!$B$7,INDEX(M1257:M1435,MATCH(Controls!$B$5,A1257:A1435,1)+8)*INDEX(I1257:I1435,MATCH(Controls!$B$5,A1257:A1435,1)+8),"")</f>
        <v>49.28</v>
      </c>
      <c r="AB1265">
        <f t="shared" si="139"/>
        <v>36.960000000000008</v>
      </c>
    </row>
    <row r="1266" spans="1:28" ht="13" customHeight="1" x14ac:dyDescent="0.35">
      <c r="A1266" s="153">
        <v>46327</v>
      </c>
      <c r="B1266" s="36" t="s">
        <v>56</v>
      </c>
      <c r="C1266" s="15" t="s">
        <v>52</v>
      </c>
      <c r="D1266" s="15" t="s">
        <v>48</v>
      </c>
      <c r="E1266" s="30">
        <f>H1265</f>
        <v>41.959999999999994</v>
      </c>
      <c r="F1266" s="37">
        <f>IFERROR('Production Inputs'!$U$37*Dependencies!$D$15,0)</f>
        <v>0</v>
      </c>
      <c r="G1266" s="37">
        <f t="array" ref="G1266">IFERROR(SUMPRODUCT(('Production Inputs'!$A:$A="APC")*('Production Inputs'!$B:$B="TOTAL ACTIVE")*'Production Inputs'!$U:$U),0)</f>
        <v>0</v>
      </c>
      <c r="H1266" s="30">
        <f t="shared" si="133"/>
        <v>41.959999999999994</v>
      </c>
      <c r="I1266" s="30">
        <f ca="1">IFERROR(AVERAGEIF(OFFSET(F1266,0,0,MIN(Controls!$B$8,COUNTIF(B1266:B$1973,B1266)),1),"&gt;"&amp;0),0)</f>
        <v>12.32</v>
      </c>
      <c r="J1266" s="38">
        <f t="shared" ca="1" si="134"/>
        <v>3.4058441558441555</v>
      </c>
      <c r="K1266" s="30">
        <f t="shared" ca="1" si="138"/>
        <v>0</v>
      </c>
      <c r="L1266" t="str">
        <f t="shared" ca="1" si="135"/>
        <v>Medium</v>
      </c>
      <c r="M1266" s="39">
        <f>IFERROR(VLOOKUP("APC",Controls!A:I,7,0),6)</f>
        <v>4</v>
      </c>
      <c r="N1266" s="39">
        <f>IFERROR(VLOOKUP("APC",Controls!A:I,8,0),3)</f>
        <v>3</v>
      </c>
      <c r="O1266" s="39">
        <f>IFERROR(VLOOKUP("APC",Controls!A:I,9,0),18)</f>
        <v>12</v>
      </c>
      <c r="P1266" s="40">
        <f>IFERROR(VLOOKUP("APC",Controls!A:J,5,0),0)</f>
        <v>40</v>
      </c>
      <c r="Q1266" s="39">
        <f>IFERROR(VLOOKUP("APC",Controls!A:J,6,0),3)</f>
        <v>4</v>
      </c>
      <c r="R1266" s="21" t="str">
        <f>IFERROR(VLOOKUP("APC",Controls!A:K,10,0),"")</f>
        <v>ST Pharm</v>
      </c>
      <c r="S1266" s="41">
        <f t="shared" si="136"/>
        <v>46204</v>
      </c>
      <c r="T1266" s="30">
        <f t="shared" si="137"/>
        <v>0</v>
      </c>
      <c r="W1266" s="205" cm="1">
        <f t="array" ref="W1266">IF(9&lt;Controls!$B$7,INDEX(A1257:A1435,MATCH(Controls!$B$5,A1257:A1435,1)+9),"")</f>
        <v>46388</v>
      </c>
      <c r="X1266" cm="1">
        <f t="array" ref="X1266">IF(9&lt;Controls!$B$7,INDEX(F1257:F1435,MATCH(Controls!$B$5,A1257:A1435,1)+9),"")</f>
        <v>0</v>
      </c>
      <c r="Y1266" cm="1">
        <f t="array" ref="Y1266">IF(9&lt;Controls!$B$7,INDEX(G1257:G1435,MATCH(Controls!$B$5,A1257:A1435,1)+9),"")</f>
        <v>40</v>
      </c>
      <c r="Z1266" cm="1">
        <f t="array" ref="Z1266">IF(9&lt;Controls!$B$7,INDEX(H1257:H1435,MATCH(Controls!$B$5,A1257:A1435,1)+9),"")</f>
        <v>81.96</v>
      </c>
      <c r="AA1266" cm="1">
        <f t="array" aca="1" ref="AA1266" ca="1">IF(9&lt;Controls!$B$7,INDEX(M1257:M1435,MATCH(Controls!$B$5,A1257:A1435,1)+9)*INDEX(I1257:I1435,MATCH(Controls!$B$5,A1257:A1435,1)+9),"")</f>
        <v>49.28</v>
      </c>
      <c r="AB1266">
        <f t="shared" si="139"/>
        <v>36.960000000000008</v>
      </c>
    </row>
    <row r="1267" spans="1:28" ht="13" customHeight="1" x14ac:dyDescent="0.35">
      <c r="A1267" s="153">
        <v>46357</v>
      </c>
      <c r="B1267" s="36" t="s">
        <v>56</v>
      </c>
      <c r="C1267" s="15" t="s">
        <v>52</v>
      </c>
      <c r="D1267" s="15" t="s">
        <v>48</v>
      </c>
      <c r="E1267" s="30">
        <f>H1266</f>
        <v>41.959999999999994</v>
      </c>
      <c r="F1267" s="37">
        <f>IFERROR('Production Inputs'!$V$37*Dependencies!$D$15,0)</f>
        <v>0</v>
      </c>
      <c r="G1267" s="37">
        <f t="array" ref="G1267">IFERROR(SUMPRODUCT(('Production Inputs'!$A:$A="APC")*('Production Inputs'!$B:$B="TOTAL ACTIVE")*'Production Inputs'!$V:$V),0)</f>
        <v>0</v>
      </c>
      <c r="H1267" s="30">
        <f t="shared" si="133"/>
        <v>41.959999999999994</v>
      </c>
      <c r="I1267" s="30">
        <f ca="1">IFERROR(AVERAGEIF(OFFSET(F1267,0,0,MIN(Controls!$B$8,COUNTIF(B1267:B$1973,B1267)),1),"&gt;"&amp;0),0)</f>
        <v>12.32</v>
      </c>
      <c r="J1267" s="38">
        <f t="shared" ca="1" si="134"/>
        <v>3.4058441558441555</v>
      </c>
      <c r="K1267" s="30">
        <f t="shared" ca="1" si="138"/>
        <v>0</v>
      </c>
      <c r="L1267" t="str">
        <f t="shared" ca="1" si="135"/>
        <v>Medium</v>
      </c>
      <c r="M1267" s="39">
        <f>IFERROR(VLOOKUP("APC",Controls!A:I,7,0),6)</f>
        <v>4</v>
      </c>
      <c r="N1267" s="39">
        <f>IFERROR(VLOOKUP("APC",Controls!A:I,8,0),3)</f>
        <v>3</v>
      </c>
      <c r="O1267" s="39">
        <f>IFERROR(VLOOKUP("APC",Controls!A:I,9,0),18)</f>
        <v>12</v>
      </c>
      <c r="P1267" s="40">
        <f>IFERROR(VLOOKUP("APC",Controls!A:J,5,0),0)</f>
        <v>40</v>
      </c>
      <c r="Q1267" s="39">
        <f>IFERROR(VLOOKUP("APC",Controls!A:J,6,0),3)</f>
        <v>4</v>
      </c>
      <c r="R1267" s="21" t="str">
        <f>IFERROR(VLOOKUP("APC",Controls!A:K,10,0),"")</f>
        <v>ST Pharm</v>
      </c>
      <c r="S1267" s="41">
        <f t="shared" si="136"/>
        <v>46235</v>
      </c>
      <c r="T1267" s="30">
        <f t="shared" si="137"/>
        <v>0</v>
      </c>
      <c r="W1267" s="205" cm="1">
        <f t="array" ref="W1267">IF(10&lt;Controls!$B$7,INDEX(A1257:A1435,MATCH(Controls!$B$5,A1257:A1435,1)+10),"")</f>
        <v>46419</v>
      </c>
      <c r="X1267" cm="1">
        <f t="array" ref="X1267">IF(10&lt;Controls!$B$7,INDEX(F1257:F1435,MATCH(Controls!$B$5,A1257:A1435,1)+10),"")</f>
        <v>0</v>
      </c>
      <c r="Y1267" cm="1">
        <f t="array" ref="Y1267">IF(10&lt;Controls!$B$7,INDEX(G1257:G1435,MATCH(Controls!$B$5,A1257:A1435,1)+10),"")</f>
        <v>0</v>
      </c>
      <c r="Z1267" cm="1">
        <f t="array" ref="Z1267">IF(10&lt;Controls!$B$7,INDEX(H1257:H1435,MATCH(Controls!$B$5,A1257:A1435,1)+10),"")</f>
        <v>81.96</v>
      </c>
      <c r="AA1267" cm="1">
        <f t="array" aca="1" ref="AA1267" ca="1">IF(10&lt;Controls!$B$7,INDEX(M1257:M1435,MATCH(Controls!$B$5,A1257:A1435,1)+10)*INDEX(I1257:I1435,MATCH(Controls!$B$5,A1257:A1435,1)+10),"")</f>
        <v>49.28</v>
      </c>
      <c r="AB1267">
        <f t="shared" si="139"/>
        <v>36.960000000000008</v>
      </c>
    </row>
    <row r="1268" spans="1:28" ht="13" customHeight="1" x14ac:dyDescent="0.35">
      <c r="A1268" s="153">
        <v>46388</v>
      </c>
      <c r="B1268" s="36" t="s">
        <v>56</v>
      </c>
      <c r="C1268" s="15" t="s">
        <v>52</v>
      </c>
      <c r="D1268" s="15" t="s">
        <v>48</v>
      </c>
      <c r="E1268" s="30">
        <f>H1267</f>
        <v>41.959999999999994</v>
      </c>
      <c r="F1268" s="37">
        <f>IFERROR('Production Inputs'!$W$37*Dependencies!$D$15,0)</f>
        <v>0</v>
      </c>
      <c r="G1268" s="37">
        <f t="array" ref="G1268">IFERROR(SUMPRODUCT(('Production Inputs'!$A:$A="APC")*('Production Inputs'!$B:$B="TOTAL ACTIVE")*'Production Inputs'!$W:$W),0)</f>
        <v>40</v>
      </c>
      <c r="H1268" s="30">
        <f t="shared" si="133"/>
        <v>81.96</v>
      </c>
      <c r="I1268" s="30">
        <f ca="1">IFERROR(AVERAGEIF(OFFSET(F1268,0,0,MIN(Controls!$B$8,COUNTIF(B1268:B$1973,B1268)),1),"&gt;"&amp;0),0)</f>
        <v>12.32</v>
      </c>
      <c r="J1268" s="38">
        <f t="shared" ca="1" si="134"/>
        <v>6.6525974025974017</v>
      </c>
      <c r="K1268" s="30">
        <f t="shared" ca="1" si="138"/>
        <v>0</v>
      </c>
      <c r="L1268" t="str">
        <f t="shared" ca="1" si="135"/>
        <v>Low</v>
      </c>
      <c r="M1268" s="39">
        <f>IFERROR(VLOOKUP("APC",Controls!A:I,7,0),6)</f>
        <v>4</v>
      </c>
      <c r="N1268" s="39">
        <f>IFERROR(VLOOKUP("APC",Controls!A:I,8,0),3)</f>
        <v>3</v>
      </c>
      <c r="O1268" s="39">
        <f>IFERROR(VLOOKUP("APC",Controls!A:I,9,0),18)</f>
        <v>12</v>
      </c>
      <c r="P1268" s="40">
        <f>IFERROR(VLOOKUP("APC",Controls!A:J,5,0),0)</f>
        <v>40</v>
      </c>
      <c r="Q1268" s="39">
        <f>IFERROR(VLOOKUP("APC",Controls!A:J,6,0),3)</f>
        <v>4</v>
      </c>
      <c r="R1268" s="21" t="str">
        <f>IFERROR(VLOOKUP("APC",Controls!A:K,10,0),"")</f>
        <v>ST Pharm</v>
      </c>
      <c r="S1268" s="41">
        <f t="shared" si="136"/>
        <v>46266</v>
      </c>
      <c r="T1268" s="30">
        <f t="shared" si="137"/>
        <v>40</v>
      </c>
      <c r="W1268" s="205" cm="1">
        <f t="array" ref="W1268">IF(11&lt;Controls!$B$7,INDEX(A1257:A1435,MATCH(Controls!$B$5,A1257:A1435,1)+11),"")</f>
        <v>46447</v>
      </c>
      <c r="X1268" cm="1">
        <f t="array" ref="X1268">IF(11&lt;Controls!$B$7,INDEX(F1257:F1435,MATCH(Controls!$B$5,A1257:A1435,1)+11),"")</f>
        <v>0</v>
      </c>
      <c r="Y1268" cm="1">
        <f t="array" ref="Y1268">IF(11&lt;Controls!$B$7,INDEX(G1257:G1435,MATCH(Controls!$B$5,A1257:A1435,1)+11),"")</f>
        <v>0</v>
      </c>
      <c r="Z1268" cm="1">
        <f t="array" ref="Z1268">IF(11&lt;Controls!$B$7,INDEX(H1257:H1435,MATCH(Controls!$B$5,A1257:A1435,1)+11),"")</f>
        <v>81.96</v>
      </c>
      <c r="AA1268" cm="1">
        <f t="array" aca="1" ref="AA1268" ca="1">IF(11&lt;Controls!$B$7,INDEX(M1257:M1435,MATCH(Controls!$B$5,A1257:A1435,1)+11)*INDEX(I1257:I1435,MATCH(Controls!$B$5,A1257:A1435,1)+11),"")</f>
        <v>49.28</v>
      </c>
      <c r="AB1268">
        <f t="shared" si="139"/>
        <v>36.960000000000008</v>
      </c>
    </row>
    <row r="1269" spans="1:28" ht="13" customHeight="1" x14ac:dyDescent="0.35">
      <c r="A1269" s="153">
        <v>46419</v>
      </c>
      <c r="B1269" s="36" t="s">
        <v>56</v>
      </c>
      <c r="C1269" s="15" t="s">
        <v>52</v>
      </c>
      <c r="D1269" s="15" t="s">
        <v>48</v>
      </c>
      <c r="E1269" s="30">
        <f>H1268</f>
        <v>81.96</v>
      </c>
      <c r="F1269" s="37">
        <f>IFERROR('Production Inputs'!$X$37*Dependencies!$D$15,0)</f>
        <v>0</v>
      </c>
      <c r="G1269" s="37">
        <f t="array" ref="G1269">IFERROR(SUMPRODUCT(('Production Inputs'!$A:$A="APC")*('Production Inputs'!$B:$B="TOTAL ACTIVE")*'Production Inputs'!$X:$X),0)</f>
        <v>0</v>
      </c>
      <c r="H1269" s="30">
        <f t="shared" si="133"/>
        <v>81.96</v>
      </c>
      <c r="I1269" s="30">
        <f ca="1">IFERROR(AVERAGEIF(OFFSET(F1269,0,0,MIN(Controls!$B$8,COUNTIF(B1269:B$1973,B1269)),1),"&gt;"&amp;0),0)</f>
        <v>12.32</v>
      </c>
      <c r="J1269" s="38">
        <f t="shared" ca="1" si="134"/>
        <v>6.6525974025974017</v>
      </c>
      <c r="K1269" s="30">
        <f t="shared" ca="1" si="138"/>
        <v>0</v>
      </c>
      <c r="L1269" t="str">
        <f t="shared" ca="1" si="135"/>
        <v>Low</v>
      </c>
      <c r="M1269" s="39">
        <f>IFERROR(VLOOKUP("APC",Controls!A:I,7,0),6)</f>
        <v>4</v>
      </c>
      <c r="N1269" s="39">
        <f>IFERROR(VLOOKUP("APC",Controls!A:I,8,0),3)</f>
        <v>3</v>
      </c>
      <c r="O1269" s="39">
        <f>IFERROR(VLOOKUP("APC",Controls!A:I,9,0),18)</f>
        <v>12</v>
      </c>
      <c r="P1269" s="40">
        <f>IFERROR(VLOOKUP("APC",Controls!A:J,5,0),0)</f>
        <v>40</v>
      </c>
      <c r="Q1269" s="39">
        <f>IFERROR(VLOOKUP("APC",Controls!A:J,6,0),3)</f>
        <v>4</v>
      </c>
      <c r="R1269" s="21" t="str">
        <f>IFERROR(VLOOKUP("APC",Controls!A:K,10,0),"")</f>
        <v>ST Pharm</v>
      </c>
      <c r="S1269" s="41">
        <f t="shared" si="136"/>
        <v>46296</v>
      </c>
      <c r="T1269" s="30">
        <f t="shared" si="137"/>
        <v>0</v>
      </c>
      <c r="W1269" s="205" cm="1">
        <f t="array" ref="W1269">IF(12&lt;Controls!$B$7,INDEX(A1257:A1435,MATCH(Controls!$B$5,A1257:A1435,1)+12),"")</f>
        <v>46478</v>
      </c>
      <c r="X1269" cm="1">
        <f t="array" ref="X1269">IF(12&lt;Controls!$B$7,INDEX(F1257:F1435,MATCH(Controls!$B$5,A1257:A1435,1)+12),"")</f>
        <v>12.32</v>
      </c>
      <c r="Y1269" cm="1">
        <f t="array" ref="Y1269">IF(12&lt;Controls!$B$7,INDEX(G1257:G1435,MATCH(Controls!$B$5,A1257:A1435,1)+12),"")</f>
        <v>0</v>
      </c>
      <c r="Z1269" cm="1">
        <f t="array" ref="Z1269">IF(12&lt;Controls!$B$7,INDEX(H1257:H1435,MATCH(Controls!$B$5,A1257:A1435,1)+12),"")</f>
        <v>69.639999999999986</v>
      </c>
      <c r="AA1269" cm="1">
        <f t="array" aca="1" ref="AA1269" ca="1">IF(12&lt;Controls!$B$7,INDEX(M1257:M1435,MATCH(Controls!$B$5,A1257:A1435,1)+12)*INDEX(I1257:I1435,MATCH(Controls!$B$5,A1257:A1435,1)+12),"")</f>
        <v>49.28</v>
      </c>
      <c r="AB1269">
        <f t="shared" si="139"/>
        <v>36.960000000000008</v>
      </c>
    </row>
    <row r="1270" spans="1:28" ht="13" customHeight="1" x14ac:dyDescent="0.35">
      <c r="A1270" s="153">
        <v>46447</v>
      </c>
      <c r="B1270" s="36" t="s">
        <v>56</v>
      </c>
      <c r="C1270" s="15" t="s">
        <v>52</v>
      </c>
      <c r="D1270" s="15" t="s">
        <v>48</v>
      </c>
      <c r="E1270" s="30">
        <f>H1269</f>
        <v>81.96</v>
      </c>
      <c r="F1270" s="37">
        <f>IFERROR('Production Inputs'!$Y$37*Dependencies!$D$15,0)</f>
        <v>0</v>
      </c>
      <c r="G1270" s="37">
        <f t="array" ref="G1270">IFERROR(SUMPRODUCT(('Production Inputs'!$A:$A="APC")*('Production Inputs'!$B:$B="TOTAL ACTIVE")*'Production Inputs'!$Y:$Y),0)</f>
        <v>0</v>
      </c>
      <c r="H1270" s="30">
        <f t="shared" si="133"/>
        <v>81.96</v>
      </c>
      <c r="I1270" s="30">
        <f ca="1">IFERROR(AVERAGEIF(OFFSET(F1270,0,0,MIN(Controls!$B$8,COUNTIF(B1270:B$1973,B1270)),1),"&gt;"&amp;0),0)</f>
        <v>12.32</v>
      </c>
      <c r="J1270" s="38">
        <f t="shared" ca="1" si="134"/>
        <v>6.6525974025974017</v>
      </c>
      <c r="K1270" s="30">
        <f t="shared" ca="1" si="138"/>
        <v>0</v>
      </c>
      <c r="L1270" t="str">
        <f t="shared" ca="1" si="135"/>
        <v>Low</v>
      </c>
      <c r="M1270" s="39">
        <f>IFERROR(VLOOKUP("APC",Controls!A:I,7,0),6)</f>
        <v>4</v>
      </c>
      <c r="N1270" s="39">
        <f>IFERROR(VLOOKUP("APC",Controls!A:I,8,0),3)</f>
        <v>3</v>
      </c>
      <c r="O1270" s="39">
        <f>IFERROR(VLOOKUP("APC",Controls!A:I,9,0),18)</f>
        <v>12</v>
      </c>
      <c r="P1270" s="40">
        <f>IFERROR(VLOOKUP("APC",Controls!A:J,5,0),0)</f>
        <v>40</v>
      </c>
      <c r="Q1270" s="39">
        <f>IFERROR(VLOOKUP("APC",Controls!A:J,6,0),3)</f>
        <v>4</v>
      </c>
      <c r="R1270" s="21" t="str">
        <f>IFERROR(VLOOKUP("APC",Controls!A:K,10,0),"")</f>
        <v>ST Pharm</v>
      </c>
      <c r="S1270" s="41">
        <f t="shared" si="136"/>
        <v>46327</v>
      </c>
      <c r="T1270" s="30">
        <f t="shared" si="137"/>
        <v>0</v>
      </c>
      <c r="W1270" s="205" cm="1">
        <f t="array" ref="W1270">IF(13&lt;Controls!$B$7,INDEX(A1257:A1435,MATCH(Controls!$B$5,A1257:A1435,1)+13),"")</f>
        <v>46508</v>
      </c>
      <c r="X1270" cm="1">
        <f t="array" ref="X1270">IF(13&lt;Controls!$B$7,INDEX(F1257:F1435,MATCH(Controls!$B$5,A1257:A1435,1)+13),"")</f>
        <v>12.32</v>
      </c>
      <c r="Y1270" cm="1">
        <f t="array" ref="Y1270">IF(13&lt;Controls!$B$7,INDEX(G1257:G1435,MATCH(Controls!$B$5,A1257:A1435,1)+13),"")</f>
        <v>0</v>
      </c>
      <c r="Z1270" cm="1">
        <f t="array" ref="Z1270">IF(13&lt;Controls!$B$7,INDEX(H1257:H1435,MATCH(Controls!$B$5,A1257:A1435,1)+13),"")</f>
        <v>57.319999999999986</v>
      </c>
      <c r="AA1270" cm="1">
        <f t="array" aca="1" ref="AA1270" ca="1">IF(13&lt;Controls!$B$7,INDEX(M1257:M1435,MATCH(Controls!$B$5,A1257:A1435,1)+13)*INDEX(I1257:I1435,MATCH(Controls!$B$5,A1257:A1435,1)+13),"")</f>
        <v>49.28</v>
      </c>
      <c r="AB1270">
        <f t="shared" si="139"/>
        <v>36.960000000000008</v>
      </c>
    </row>
    <row r="1271" spans="1:28" ht="13" customHeight="1" x14ac:dyDescent="0.35">
      <c r="A1271" s="153">
        <v>46478</v>
      </c>
      <c r="B1271" s="36" t="s">
        <v>56</v>
      </c>
      <c r="C1271" s="15" t="s">
        <v>52</v>
      </c>
      <c r="D1271" s="15" t="s">
        <v>48</v>
      </c>
      <c r="E1271" s="30">
        <f>H1270</f>
        <v>81.96</v>
      </c>
      <c r="F1271" s="37">
        <f>IFERROR('Production Inputs'!$Z$37*Dependencies!$D$15,0)</f>
        <v>12.32</v>
      </c>
      <c r="G1271" s="37">
        <f t="array" ref="G1271">IFERROR(SUMPRODUCT(('Production Inputs'!$A:$A="APC")*('Production Inputs'!$B:$B="TOTAL ACTIVE")*'Production Inputs'!$Z:$Z),0)</f>
        <v>0</v>
      </c>
      <c r="H1271" s="30">
        <f t="shared" si="133"/>
        <v>69.639999999999986</v>
      </c>
      <c r="I1271" s="30">
        <f ca="1">IFERROR(AVERAGEIF(OFFSET(F1271,0,0,MIN(Controls!$B$8,COUNTIF(B1271:B$1973,B1271)),1),"&gt;"&amp;0),0)</f>
        <v>12.32</v>
      </c>
      <c r="J1271" s="38">
        <f t="shared" ca="1" si="134"/>
        <v>5.6525974025974017</v>
      </c>
      <c r="K1271" s="30">
        <f t="shared" ca="1" si="138"/>
        <v>0</v>
      </c>
      <c r="L1271" t="str">
        <f t="shared" ca="1" si="135"/>
        <v>Low</v>
      </c>
      <c r="M1271" s="39">
        <f>IFERROR(VLOOKUP("APC",Controls!A:I,7,0),6)</f>
        <v>4</v>
      </c>
      <c r="N1271" s="39">
        <f>IFERROR(VLOOKUP("APC",Controls!A:I,8,0),3)</f>
        <v>3</v>
      </c>
      <c r="O1271" s="39">
        <f>IFERROR(VLOOKUP("APC",Controls!A:I,9,0),18)</f>
        <v>12</v>
      </c>
      <c r="P1271" s="40">
        <f>IFERROR(VLOOKUP("APC",Controls!A:J,5,0),0)</f>
        <v>40</v>
      </c>
      <c r="Q1271" s="39">
        <f>IFERROR(VLOOKUP("APC",Controls!A:J,6,0),3)</f>
        <v>4</v>
      </c>
      <c r="R1271" s="21" t="str">
        <f>IFERROR(VLOOKUP("APC",Controls!A:K,10,0),"")</f>
        <v>ST Pharm</v>
      </c>
      <c r="S1271" s="41">
        <f t="shared" si="136"/>
        <v>46357</v>
      </c>
      <c r="T1271" s="30">
        <f t="shared" si="137"/>
        <v>0</v>
      </c>
      <c r="W1271" s="205" cm="1">
        <f t="array" ref="W1271">IF(14&lt;Controls!$B$7,INDEX(A1257:A1435,MATCH(Controls!$B$5,A1257:A1435,1)+14),"")</f>
        <v>46539</v>
      </c>
      <c r="X1271" cm="1">
        <f t="array" ref="X1271">IF(14&lt;Controls!$B$7,INDEX(F1257:F1435,MATCH(Controls!$B$5,A1257:A1435,1)+14),"")</f>
        <v>12.32</v>
      </c>
      <c r="Y1271" cm="1">
        <f t="array" ref="Y1271">IF(14&lt;Controls!$B$7,INDEX(G1257:G1435,MATCH(Controls!$B$5,A1257:A1435,1)+14),"")</f>
        <v>0</v>
      </c>
      <c r="Z1271" cm="1">
        <f t="array" ref="Z1271">IF(14&lt;Controls!$B$7,INDEX(H1257:H1435,MATCH(Controls!$B$5,A1257:A1435,1)+14),"")</f>
        <v>44.999999999999986</v>
      </c>
      <c r="AA1271" cm="1">
        <f t="array" aca="1" ref="AA1271" ca="1">IF(14&lt;Controls!$B$7,INDEX(M1257:M1435,MATCH(Controls!$B$5,A1257:A1435,1)+14)*INDEX(I1257:I1435,MATCH(Controls!$B$5,A1257:A1435,1)+14),"")</f>
        <v>49.28</v>
      </c>
      <c r="AB1271">
        <f t="shared" si="139"/>
        <v>49.280000000000008</v>
      </c>
    </row>
    <row r="1272" spans="1:28" ht="13" customHeight="1" x14ac:dyDescent="0.35">
      <c r="A1272" s="153">
        <v>46508</v>
      </c>
      <c r="B1272" s="36" t="s">
        <v>56</v>
      </c>
      <c r="C1272" s="15" t="s">
        <v>52</v>
      </c>
      <c r="D1272" s="15" t="s">
        <v>48</v>
      </c>
      <c r="E1272" s="30">
        <f>H1271</f>
        <v>69.639999999999986</v>
      </c>
      <c r="F1272" s="37">
        <f>IFERROR('Production Inputs'!$AA$37*Dependencies!$D$15,0)</f>
        <v>12.32</v>
      </c>
      <c r="G1272" s="37">
        <f t="array" ref="G1272">IFERROR(SUMPRODUCT(('Production Inputs'!$A:$A="APC")*('Production Inputs'!$B:$B="TOTAL ACTIVE")*'Production Inputs'!$AA:$AA),0)</f>
        <v>0</v>
      </c>
      <c r="H1272" s="30">
        <f t="shared" si="133"/>
        <v>57.319999999999986</v>
      </c>
      <c r="I1272" s="30">
        <f ca="1">IFERROR(AVERAGEIF(OFFSET(F1272,0,0,MIN(Controls!$B$8,COUNTIF(B1272:B$1973,B1272)),1),"&gt;"&amp;0),0)</f>
        <v>12.32</v>
      </c>
      <c r="J1272" s="38">
        <f t="shared" ca="1" si="134"/>
        <v>4.6525974025974017</v>
      </c>
      <c r="K1272" s="30">
        <f t="shared" ca="1" si="138"/>
        <v>0</v>
      </c>
      <c r="L1272" t="str">
        <f t="shared" ca="1" si="135"/>
        <v>Low</v>
      </c>
      <c r="M1272" s="39">
        <f>IFERROR(VLOOKUP("APC",Controls!A:I,7,0),6)</f>
        <v>4</v>
      </c>
      <c r="N1272" s="39">
        <f>IFERROR(VLOOKUP("APC",Controls!A:I,8,0),3)</f>
        <v>3</v>
      </c>
      <c r="O1272" s="39">
        <f>IFERROR(VLOOKUP("APC",Controls!A:I,9,0),18)</f>
        <v>12</v>
      </c>
      <c r="P1272" s="40">
        <f>IFERROR(VLOOKUP("APC",Controls!A:J,5,0),0)</f>
        <v>40</v>
      </c>
      <c r="Q1272" s="39">
        <f>IFERROR(VLOOKUP("APC",Controls!A:J,6,0),3)</f>
        <v>4</v>
      </c>
      <c r="R1272" s="21" t="str">
        <f>IFERROR(VLOOKUP("APC",Controls!A:K,10,0),"")</f>
        <v>ST Pharm</v>
      </c>
      <c r="S1272" s="41">
        <f t="shared" si="136"/>
        <v>46388</v>
      </c>
      <c r="T1272" s="30">
        <f t="shared" si="137"/>
        <v>0</v>
      </c>
      <c r="W1272" s="205" cm="1">
        <f t="array" ref="W1272">IF(15&lt;Controls!$B$7,INDEX(A1257:A1435,MATCH(Controls!$B$5,A1257:A1435,1)+15),"")</f>
        <v>46569</v>
      </c>
      <c r="X1272" cm="1">
        <f t="array" ref="X1272">IF(15&lt;Controls!$B$7,INDEX(F1257:F1435,MATCH(Controls!$B$5,A1257:A1435,1)+15),"")</f>
        <v>12.32</v>
      </c>
      <c r="Y1272" cm="1">
        <f t="array" ref="Y1272">IF(15&lt;Controls!$B$7,INDEX(G1257:G1435,MATCH(Controls!$B$5,A1257:A1435,1)+15),"")</f>
        <v>0</v>
      </c>
      <c r="Z1272" cm="1">
        <f t="array" ref="Z1272">IF(15&lt;Controls!$B$7,INDEX(H1257:H1435,MATCH(Controls!$B$5,A1257:A1435,1)+15),"")</f>
        <v>32.679999999999986</v>
      </c>
      <c r="AA1272" cm="1">
        <f t="array" aca="1" ref="AA1272" ca="1">IF(15&lt;Controls!$B$7,INDEX(M1257:M1435,MATCH(Controls!$B$5,A1257:A1435,1)+15)*INDEX(I1257:I1435,MATCH(Controls!$B$5,A1257:A1435,1)+15),"")</f>
        <v>49.28</v>
      </c>
      <c r="AB1272">
        <f t="shared" si="139"/>
        <v>61.600000000000009</v>
      </c>
    </row>
    <row r="1273" spans="1:28" ht="13" customHeight="1" x14ac:dyDescent="0.35">
      <c r="A1273" s="153">
        <v>46539</v>
      </c>
      <c r="B1273" s="36" t="s">
        <v>56</v>
      </c>
      <c r="C1273" s="15" t="s">
        <v>52</v>
      </c>
      <c r="D1273" s="15" t="s">
        <v>48</v>
      </c>
      <c r="E1273" s="30">
        <f>H1272</f>
        <v>57.319999999999986</v>
      </c>
      <c r="F1273" s="37">
        <f>IFERROR('Production Inputs'!$AB$37*Dependencies!$D$15,0)</f>
        <v>12.32</v>
      </c>
      <c r="G1273" s="37">
        <f t="array" ref="G1273">IFERROR(SUMPRODUCT(('Production Inputs'!$A:$A="APC")*('Production Inputs'!$B:$B="TOTAL ACTIVE")*'Production Inputs'!$AB:$AB),0)</f>
        <v>0</v>
      </c>
      <c r="H1273" s="30">
        <f t="shared" si="133"/>
        <v>44.999999999999986</v>
      </c>
      <c r="I1273" s="30">
        <f ca="1">IFERROR(AVERAGEIF(OFFSET(F1273,0,0,MIN(Controls!$B$8,COUNTIF(B1273:B$1973,B1273)),1),"&gt;"&amp;0),0)</f>
        <v>12.32</v>
      </c>
      <c r="J1273" s="38">
        <f t="shared" ca="1" si="134"/>
        <v>3.6525974025974013</v>
      </c>
      <c r="K1273" s="30">
        <f t="shared" ca="1" si="138"/>
        <v>0</v>
      </c>
      <c r="L1273" t="str">
        <f t="shared" ca="1" si="135"/>
        <v>Medium</v>
      </c>
      <c r="M1273" s="39">
        <f>IFERROR(VLOOKUP("APC",Controls!A:I,7,0),6)</f>
        <v>4</v>
      </c>
      <c r="N1273" s="39">
        <f>IFERROR(VLOOKUP("APC",Controls!A:I,8,0),3)</f>
        <v>3</v>
      </c>
      <c r="O1273" s="39">
        <f>IFERROR(VLOOKUP("APC",Controls!A:I,9,0),18)</f>
        <v>12</v>
      </c>
      <c r="P1273" s="40">
        <f>IFERROR(VLOOKUP("APC",Controls!A:J,5,0),0)</f>
        <v>40</v>
      </c>
      <c r="Q1273" s="39">
        <f>IFERROR(VLOOKUP("APC",Controls!A:J,6,0),3)</f>
        <v>4</v>
      </c>
      <c r="R1273" s="21" t="str">
        <f>IFERROR(VLOOKUP("APC",Controls!A:K,10,0),"")</f>
        <v>ST Pharm</v>
      </c>
      <c r="S1273" s="41">
        <f t="shared" si="136"/>
        <v>46419</v>
      </c>
      <c r="T1273" s="30">
        <f t="shared" si="137"/>
        <v>0</v>
      </c>
      <c r="W1273" s="205" cm="1">
        <f t="array" ref="W1273">IF(16&lt;Controls!$B$7,INDEX(A1257:A1435,MATCH(Controls!$B$5,A1257:A1435,1)+16),"")</f>
        <v>46600</v>
      </c>
      <c r="X1273" cm="1">
        <f t="array" ref="X1273">IF(16&lt;Controls!$B$7,INDEX(F1257:F1435,MATCH(Controls!$B$5,A1257:A1435,1)+16),"")</f>
        <v>0</v>
      </c>
      <c r="Y1273" cm="1">
        <f t="array" ref="Y1273">IF(16&lt;Controls!$B$7,INDEX(G1257:G1435,MATCH(Controls!$B$5,A1257:A1435,1)+16),"")</f>
        <v>0</v>
      </c>
      <c r="Z1273" cm="1">
        <f t="array" ref="Z1273">IF(16&lt;Controls!$B$7,INDEX(H1257:H1435,MATCH(Controls!$B$5,A1257:A1435,1)+16),"")</f>
        <v>32.679999999999986</v>
      </c>
      <c r="AA1273" cm="1">
        <f t="array" aca="1" ref="AA1273" ca="1">IF(16&lt;Controls!$B$7,INDEX(M1257:M1435,MATCH(Controls!$B$5,A1257:A1435,1)+16)*INDEX(I1257:I1435,MATCH(Controls!$B$5,A1257:A1435,1)+16),"")</f>
        <v>0</v>
      </c>
      <c r="AB1273">
        <f t="shared" si="139"/>
        <v>73.920000000000016</v>
      </c>
    </row>
    <row r="1274" spans="1:28" ht="13" customHeight="1" x14ac:dyDescent="0.35">
      <c r="A1274" s="153">
        <v>46569</v>
      </c>
      <c r="B1274" s="36" t="s">
        <v>56</v>
      </c>
      <c r="C1274" s="15" t="s">
        <v>52</v>
      </c>
      <c r="D1274" s="15" t="s">
        <v>48</v>
      </c>
      <c r="E1274" s="30">
        <f>H1273</f>
        <v>44.999999999999986</v>
      </c>
      <c r="F1274" s="37">
        <f>IFERROR('Production Inputs'!$AC$37*Dependencies!$D$15,0)</f>
        <v>12.32</v>
      </c>
      <c r="G1274" s="37">
        <f t="array" ref="G1274">IFERROR(SUMPRODUCT(('Production Inputs'!$A:$A="APC")*('Production Inputs'!$B:$B="TOTAL ACTIVE")*'Production Inputs'!$AC:$AC),0)</f>
        <v>0</v>
      </c>
      <c r="H1274" s="30">
        <f t="shared" si="133"/>
        <v>32.679999999999986</v>
      </c>
      <c r="I1274" s="30">
        <f ca="1">IFERROR(AVERAGEIF(OFFSET(F1274,0,0,MIN(Controls!$B$8,COUNTIF(B1274:B$1973,B1274)),1),"&gt;"&amp;0),0)</f>
        <v>12.32</v>
      </c>
      <c r="J1274" s="38">
        <f t="shared" ca="1" si="134"/>
        <v>2.6525974025974013</v>
      </c>
      <c r="K1274" s="30">
        <f t="shared" ca="1" si="138"/>
        <v>0</v>
      </c>
      <c r="L1274" t="str">
        <f t="shared" ca="1" si="135"/>
        <v>High</v>
      </c>
      <c r="M1274" s="39">
        <f>IFERROR(VLOOKUP("APC",Controls!A:I,7,0),6)</f>
        <v>4</v>
      </c>
      <c r="N1274" s="39">
        <f>IFERROR(VLOOKUP("APC",Controls!A:I,8,0),3)</f>
        <v>3</v>
      </c>
      <c r="O1274" s="39">
        <f>IFERROR(VLOOKUP("APC",Controls!A:I,9,0),18)</f>
        <v>12</v>
      </c>
      <c r="P1274" s="40">
        <f>IFERROR(VLOOKUP("APC",Controls!A:J,5,0),0)</f>
        <v>40</v>
      </c>
      <c r="Q1274" s="39">
        <f>IFERROR(VLOOKUP("APC",Controls!A:J,6,0),3)</f>
        <v>4</v>
      </c>
      <c r="R1274" s="21" t="str">
        <f>IFERROR(VLOOKUP("APC",Controls!A:K,10,0),"")</f>
        <v>ST Pharm</v>
      </c>
      <c r="S1274" s="41">
        <f t="shared" si="136"/>
        <v>46447</v>
      </c>
      <c r="T1274" s="30">
        <f t="shared" si="137"/>
        <v>0</v>
      </c>
      <c r="W1274" s="205" cm="1">
        <f t="array" ref="W1274">IF(17&lt;Controls!$B$7,INDEX(A1257:A1435,MATCH(Controls!$B$5,A1257:A1435,1)+17),"")</f>
        <v>46631</v>
      </c>
      <c r="X1274" cm="1">
        <f t="array" ref="X1274">IF(17&lt;Controls!$B$7,INDEX(F1257:F1435,MATCH(Controls!$B$5,A1257:A1435,1)+17),"")</f>
        <v>0</v>
      </c>
      <c r="Y1274" cm="1">
        <f t="array" ref="Y1274">IF(17&lt;Controls!$B$7,INDEX(G1257:G1435,MATCH(Controls!$B$5,A1257:A1435,1)+17),"")</f>
        <v>0</v>
      </c>
      <c r="Z1274" cm="1">
        <f t="array" ref="Z1274">IF(17&lt;Controls!$B$7,INDEX(H1257:H1435,MATCH(Controls!$B$5,A1257:A1435,1)+17),"")</f>
        <v>32.679999999999986</v>
      </c>
      <c r="AA1274" cm="1">
        <f t="array" aca="1" ref="AA1274" ca="1">IF(17&lt;Controls!$B$7,INDEX(M1257:M1435,MATCH(Controls!$B$5,A1257:A1435,1)+17)*INDEX(I1257:I1435,MATCH(Controls!$B$5,A1257:A1435,1)+17),"")</f>
        <v>0</v>
      </c>
      <c r="AB1274">
        <f t="shared" si="139"/>
        <v>86.240000000000009</v>
      </c>
    </row>
    <row r="1275" spans="1:28" ht="13" customHeight="1" x14ac:dyDescent="0.35">
      <c r="A1275" s="153">
        <v>46600</v>
      </c>
      <c r="B1275" s="36" t="s">
        <v>56</v>
      </c>
      <c r="C1275" s="15" t="s">
        <v>52</v>
      </c>
      <c r="D1275" s="15" t="s">
        <v>48</v>
      </c>
      <c r="E1275" s="30">
        <f>H1274</f>
        <v>32.679999999999986</v>
      </c>
      <c r="F1275" s="37">
        <f>IFERROR('Production Inputs'!$AD$37*Dependencies!$D$15,0)</f>
        <v>0</v>
      </c>
      <c r="G1275" s="37">
        <f t="array" ref="G1275">IFERROR(SUMPRODUCT(('Production Inputs'!$A:$A="APC")*('Production Inputs'!$B:$B="TOTAL ACTIVE")*'Production Inputs'!$AD:$AD),0)</f>
        <v>0</v>
      </c>
      <c r="H1275" s="30">
        <f t="shared" si="133"/>
        <v>32.679999999999986</v>
      </c>
      <c r="I1275" s="30">
        <f ca="1">IFERROR(AVERAGEIF(OFFSET(F1275,0,0,MIN(Controls!$B$8,COUNTIF(B1275:B$1973,B1275)),1),"&gt;"&amp;0),0)</f>
        <v>0</v>
      </c>
      <c r="J1275" s="38">
        <f t="shared" ca="1" si="134"/>
        <v>999</v>
      </c>
      <c r="K1275" s="30">
        <f t="shared" ca="1" si="138"/>
        <v>0</v>
      </c>
      <c r="L1275" t="str">
        <f t="shared" ca="1" si="135"/>
        <v>Overstock</v>
      </c>
      <c r="M1275" s="39">
        <f>IFERROR(VLOOKUP("APC",Controls!A:I,7,0),6)</f>
        <v>4</v>
      </c>
      <c r="N1275" s="39">
        <f>IFERROR(VLOOKUP("APC",Controls!A:I,8,0),3)</f>
        <v>3</v>
      </c>
      <c r="O1275" s="39">
        <f>IFERROR(VLOOKUP("APC",Controls!A:I,9,0),18)</f>
        <v>12</v>
      </c>
      <c r="P1275" s="40">
        <f>IFERROR(VLOOKUP("APC",Controls!A:J,5,0),0)</f>
        <v>40</v>
      </c>
      <c r="Q1275" s="39">
        <f>IFERROR(VLOOKUP("APC",Controls!A:J,6,0),3)</f>
        <v>4</v>
      </c>
      <c r="R1275" s="21" t="str">
        <f>IFERROR(VLOOKUP("APC",Controls!A:K,10,0),"")</f>
        <v>ST Pharm</v>
      </c>
      <c r="S1275" s="41">
        <f t="shared" si="136"/>
        <v>46478</v>
      </c>
      <c r="T1275" s="30">
        <f t="shared" si="137"/>
        <v>0</v>
      </c>
      <c r="W1275" s="205" t="str" cm="1">
        <f t="array" ref="W1275">IF(18&lt;Controls!$B$7,INDEX(A1257:A1435,MATCH(Controls!$B$5,A1257:A1435,1)+18),"")</f>
        <v/>
      </c>
      <c r="X1275" t="str" cm="1">
        <f t="array" ref="X1275">IF(18&lt;Controls!$B$7,INDEX(F1257:F1435,MATCH(Controls!$B$5,A1257:A1435,1)+18),"")</f>
        <v/>
      </c>
      <c r="Y1275" t="str" cm="1">
        <f t="array" ref="Y1275">IF(18&lt;Controls!$B$7,INDEX(G1257:G1435,MATCH(Controls!$B$5,A1257:A1435,1)+18),"")</f>
        <v/>
      </c>
      <c r="Z1275" t="str" cm="1">
        <f t="array" ref="Z1275">IF(18&lt;Controls!$B$7,INDEX(H1257:H1435,MATCH(Controls!$B$5,A1257:A1435,1)+18),"")</f>
        <v/>
      </c>
      <c r="AA1275" t="str" cm="1">
        <f t="array" ref="AA1275">IF(18&lt;Controls!$B$7,INDEX(M1257:M1435,MATCH(Controls!$B$5,A1257:A1435,1)+18)*INDEX(I1257:I1435,MATCH(Controls!$B$5,A1257:A1435,1)+18),"")</f>
        <v/>
      </c>
      <c r="AB1275">
        <f t="shared" si="139"/>
        <v>86.240000000000009</v>
      </c>
    </row>
    <row r="1276" spans="1:28" ht="13" customHeight="1" x14ac:dyDescent="0.35">
      <c r="A1276" s="153">
        <v>46631</v>
      </c>
      <c r="B1276" s="36" t="s">
        <v>56</v>
      </c>
      <c r="C1276" s="15" t="s">
        <v>52</v>
      </c>
      <c r="D1276" s="15" t="s">
        <v>48</v>
      </c>
      <c r="E1276" s="30">
        <f>H1275</f>
        <v>32.679999999999986</v>
      </c>
      <c r="F1276" s="37">
        <f>IFERROR('Production Inputs'!$AE$37*Dependencies!$D$15,0)</f>
        <v>0</v>
      </c>
      <c r="G1276" s="37">
        <f t="array" ref="G1276">IFERROR(SUMPRODUCT(('Production Inputs'!$A:$A="APC")*('Production Inputs'!$B:$B="TOTAL ACTIVE")*'Production Inputs'!$AE:$AE),0)</f>
        <v>0</v>
      </c>
      <c r="H1276" s="30">
        <f t="shared" si="133"/>
        <v>32.679999999999986</v>
      </c>
      <c r="I1276" s="30">
        <f ca="1">IFERROR(AVERAGEIF(OFFSET(F1276,0,0,MIN(Controls!$B$8,COUNTIF(B1276:B$1973,B1276)),1),"&gt;"&amp;0),0)</f>
        <v>0</v>
      </c>
      <c r="J1276" s="38">
        <f t="shared" ca="1" si="134"/>
        <v>999</v>
      </c>
      <c r="K1276" s="30">
        <f t="shared" ca="1" si="138"/>
        <v>0</v>
      </c>
      <c r="L1276" t="str">
        <f t="shared" ca="1" si="135"/>
        <v>Overstock</v>
      </c>
      <c r="M1276" s="39">
        <f>IFERROR(VLOOKUP("APC",Controls!A:I,7,0),6)</f>
        <v>4</v>
      </c>
      <c r="N1276" s="39">
        <f>IFERROR(VLOOKUP("APC",Controls!A:I,8,0),3)</f>
        <v>3</v>
      </c>
      <c r="O1276" s="39">
        <f>IFERROR(VLOOKUP("APC",Controls!A:I,9,0),18)</f>
        <v>12</v>
      </c>
      <c r="P1276" s="40">
        <f>IFERROR(VLOOKUP("APC",Controls!A:J,5,0),0)</f>
        <v>40</v>
      </c>
      <c r="Q1276" s="39">
        <f>IFERROR(VLOOKUP("APC",Controls!A:J,6,0),3)</f>
        <v>4</v>
      </c>
      <c r="R1276" s="21" t="str">
        <f>IFERROR(VLOOKUP("APC",Controls!A:K,10,0),"")</f>
        <v>ST Pharm</v>
      </c>
      <c r="S1276" s="41">
        <f t="shared" si="136"/>
        <v>46508</v>
      </c>
      <c r="T1276" s="30">
        <f t="shared" si="137"/>
        <v>0</v>
      </c>
      <c r="W1276" s="205" t="str" cm="1">
        <f t="array" ref="W1276">IF(19&lt;Controls!$B$7,INDEX(A1257:A1435,MATCH(Controls!$B$5,A1257:A1435,1)+19),"")</f>
        <v/>
      </c>
      <c r="X1276" t="str" cm="1">
        <f t="array" ref="X1276">IF(19&lt;Controls!$B$7,INDEX(F1257:F1435,MATCH(Controls!$B$5,A1257:A1435,1)+19),"")</f>
        <v/>
      </c>
      <c r="Y1276" t="str" cm="1">
        <f t="array" ref="Y1276">IF(19&lt;Controls!$B$7,INDEX(G1257:G1435,MATCH(Controls!$B$5,A1257:A1435,1)+19),"")</f>
        <v/>
      </c>
      <c r="Z1276" t="str" cm="1">
        <f t="array" ref="Z1276">IF(19&lt;Controls!$B$7,INDEX(H1257:H1435,MATCH(Controls!$B$5,A1257:A1435,1)+19),"")</f>
        <v/>
      </c>
      <c r="AA1276" t="str" cm="1">
        <f t="array" ref="AA1276">IF(19&lt;Controls!$B$7,INDEX(M1257:M1435,MATCH(Controls!$B$5,A1257:A1435,1)+19)*INDEX(I1257:I1435,MATCH(Controls!$B$5,A1257:A1435,1)+19),"")</f>
        <v/>
      </c>
      <c r="AB1276">
        <f t="shared" si="139"/>
        <v>86.240000000000009</v>
      </c>
    </row>
    <row r="1277" spans="1:28" ht="13" customHeight="1" x14ac:dyDescent="0.35">
      <c r="A1277" s="153">
        <v>46661</v>
      </c>
      <c r="B1277" s="36" t="s">
        <v>56</v>
      </c>
      <c r="C1277" s="15" t="s">
        <v>52</v>
      </c>
      <c r="D1277" s="15" t="s">
        <v>48</v>
      </c>
      <c r="E1277" s="30">
        <f>H1276</f>
        <v>32.679999999999986</v>
      </c>
      <c r="F1277" s="37">
        <f>IFERROR('Production Inputs'!$AF$37*Dependencies!$D$15,0)</f>
        <v>0</v>
      </c>
      <c r="G1277" s="37">
        <f t="array" ref="G1277">IFERROR(SUMPRODUCT(('Production Inputs'!$A:$A="APC")*('Production Inputs'!$B:$B="TOTAL ACTIVE")*'Production Inputs'!$AF:$AF),0)</f>
        <v>0</v>
      </c>
      <c r="H1277" s="30">
        <f t="shared" si="133"/>
        <v>32.679999999999986</v>
      </c>
      <c r="I1277" s="30">
        <f ca="1">IFERROR(AVERAGEIF(OFFSET(F1277,0,0,MIN(Controls!$B$8,COUNTIF(B1277:B$1973,B1277)),1),"&gt;"&amp;0),0)</f>
        <v>0</v>
      </c>
      <c r="J1277" s="38">
        <f t="shared" ca="1" si="134"/>
        <v>999</v>
      </c>
      <c r="K1277" s="30">
        <f t="shared" ca="1" si="138"/>
        <v>0</v>
      </c>
      <c r="L1277" t="str">
        <f t="shared" ca="1" si="135"/>
        <v>Overstock</v>
      </c>
      <c r="M1277" s="39">
        <f>IFERROR(VLOOKUP("APC",Controls!A:I,7,0),6)</f>
        <v>4</v>
      </c>
      <c r="N1277" s="39">
        <f>IFERROR(VLOOKUP("APC",Controls!A:I,8,0),3)</f>
        <v>3</v>
      </c>
      <c r="O1277" s="39">
        <f>IFERROR(VLOOKUP("APC",Controls!A:I,9,0),18)</f>
        <v>12</v>
      </c>
      <c r="P1277" s="40">
        <f>IFERROR(VLOOKUP("APC",Controls!A:J,5,0),0)</f>
        <v>40</v>
      </c>
      <c r="Q1277" s="39">
        <f>IFERROR(VLOOKUP("APC",Controls!A:J,6,0),3)</f>
        <v>4</v>
      </c>
      <c r="R1277" s="21" t="str">
        <f>IFERROR(VLOOKUP("APC",Controls!A:K,10,0),"")</f>
        <v>ST Pharm</v>
      </c>
      <c r="S1277" s="41">
        <f t="shared" si="136"/>
        <v>46539</v>
      </c>
      <c r="T1277" s="30">
        <f t="shared" si="137"/>
        <v>0</v>
      </c>
      <c r="W1277" s="205" t="str" cm="1">
        <f t="array" ref="W1277">IF(20&lt;Controls!$B$7,INDEX(A1257:A1435,MATCH(Controls!$B$5,A1257:A1435,1)+20),"")</f>
        <v/>
      </c>
      <c r="X1277" t="str" cm="1">
        <f t="array" ref="X1277">IF(20&lt;Controls!$B$7,INDEX(F1257:F1435,MATCH(Controls!$B$5,A1257:A1435,1)+20),"")</f>
        <v/>
      </c>
      <c r="Y1277" t="str" cm="1">
        <f t="array" ref="Y1277">IF(20&lt;Controls!$B$7,INDEX(G1257:G1435,MATCH(Controls!$B$5,A1257:A1435,1)+20),"")</f>
        <v/>
      </c>
      <c r="Z1277" t="str" cm="1">
        <f t="array" ref="Z1277">IF(20&lt;Controls!$B$7,INDEX(H1257:H1435,MATCH(Controls!$B$5,A1257:A1435,1)+20),"")</f>
        <v/>
      </c>
      <c r="AA1277" t="str" cm="1">
        <f t="array" ref="AA1277">IF(20&lt;Controls!$B$7,INDEX(M1257:M1435,MATCH(Controls!$B$5,A1257:A1435,1)+20)*INDEX(I1257:I1435,MATCH(Controls!$B$5,A1257:A1435,1)+20),"")</f>
        <v/>
      </c>
      <c r="AB1277">
        <f t="shared" si="139"/>
        <v>86.240000000000009</v>
      </c>
    </row>
    <row r="1278" spans="1:28" ht="13" customHeight="1" x14ac:dyDescent="0.35">
      <c r="A1278" s="153">
        <v>46692</v>
      </c>
      <c r="B1278" s="36" t="s">
        <v>56</v>
      </c>
      <c r="C1278" s="15" t="s">
        <v>52</v>
      </c>
      <c r="D1278" s="15" t="s">
        <v>48</v>
      </c>
      <c r="E1278" s="30">
        <f>H1277</f>
        <v>32.679999999999986</v>
      </c>
      <c r="F1278" s="37">
        <f>IFERROR('Production Inputs'!$AG$37*Dependencies!$D$15,0)</f>
        <v>0</v>
      </c>
      <c r="G1278" s="37">
        <f t="array" ref="G1278">IFERROR(SUMPRODUCT(('Production Inputs'!$A:$A="APC")*('Production Inputs'!$B:$B="TOTAL ACTIVE")*'Production Inputs'!$AG:$AG),0)</f>
        <v>0</v>
      </c>
      <c r="H1278" s="30">
        <f t="shared" si="133"/>
        <v>32.679999999999986</v>
      </c>
      <c r="I1278" s="30">
        <f ca="1">IFERROR(AVERAGEIF(OFFSET(F1278,0,0,MIN(Controls!$B$8,COUNTIF(B1278:B$1973,B1278)),1),"&gt;"&amp;0),0)</f>
        <v>0</v>
      </c>
      <c r="J1278" s="38">
        <f t="shared" ca="1" si="134"/>
        <v>999</v>
      </c>
      <c r="K1278" s="30">
        <f t="shared" ca="1" si="138"/>
        <v>0</v>
      </c>
      <c r="L1278" t="str">
        <f t="shared" ca="1" si="135"/>
        <v>Overstock</v>
      </c>
      <c r="M1278" s="39">
        <f>IFERROR(VLOOKUP("APC",Controls!A:I,7,0),6)</f>
        <v>4</v>
      </c>
      <c r="N1278" s="39">
        <f>IFERROR(VLOOKUP("APC",Controls!A:I,8,0),3)</f>
        <v>3</v>
      </c>
      <c r="O1278" s="39">
        <f>IFERROR(VLOOKUP("APC",Controls!A:I,9,0),18)</f>
        <v>12</v>
      </c>
      <c r="P1278" s="40">
        <f>IFERROR(VLOOKUP("APC",Controls!A:J,5,0),0)</f>
        <v>40</v>
      </c>
      <c r="Q1278" s="39">
        <f>IFERROR(VLOOKUP("APC",Controls!A:J,6,0),3)</f>
        <v>4</v>
      </c>
      <c r="R1278" s="21" t="str">
        <f>IFERROR(VLOOKUP("APC",Controls!A:K,10,0),"")</f>
        <v>ST Pharm</v>
      </c>
      <c r="S1278" s="41">
        <f t="shared" si="136"/>
        <v>46569</v>
      </c>
      <c r="T1278" s="30">
        <f t="shared" si="137"/>
        <v>0</v>
      </c>
      <c r="W1278" s="205" t="str" cm="1">
        <f t="array" ref="W1278">IF(21&lt;Controls!$B$7,INDEX(A1257:A1435,MATCH(Controls!$B$5,A1257:A1435,1)+21),"")</f>
        <v/>
      </c>
      <c r="X1278" t="str" cm="1">
        <f t="array" ref="X1278">IF(21&lt;Controls!$B$7,INDEX(F1257:F1435,MATCH(Controls!$B$5,A1257:A1435,1)+21),"")</f>
        <v/>
      </c>
      <c r="Y1278" t="str" cm="1">
        <f t="array" ref="Y1278">IF(21&lt;Controls!$B$7,INDEX(G1257:G1435,MATCH(Controls!$B$5,A1257:A1435,1)+21),"")</f>
        <v/>
      </c>
      <c r="Z1278" t="str" cm="1">
        <f t="array" ref="Z1278">IF(21&lt;Controls!$B$7,INDEX(H1257:H1435,MATCH(Controls!$B$5,A1257:A1435,1)+21),"")</f>
        <v/>
      </c>
      <c r="AA1278" t="str" cm="1">
        <f t="array" ref="AA1278">IF(21&lt;Controls!$B$7,INDEX(M1257:M1435,MATCH(Controls!$B$5,A1257:A1435,1)+21)*INDEX(I1257:I1435,MATCH(Controls!$B$5,A1257:A1435,1)+21),"")</f>
        <v/>
      </c>
      <c r="AB1278">
        <f t="shared" si="139"/>
        <v>86.240000000000009</v>
      </c>
    </row>
    <row r="1279" spans="1:28" ht="13" customHeight="1" x14ac:dyDescent="0.35">
      <c r="A1279" s="153">
        <v>46722</v>
      </c>
      <c r="B1279" s="36" t="s">
        <v>56</v>
      </c>
      <c r="C1279" s="15" t="s">
        <v>52</v>
      </c>
      <c r="D1279" s="15" t="s">
        <v>48</v>
      </c>
      <c r="E1279" s="30">
        <f>H1278</f>
        <v>32.679999999999986</v>
      </c>
      <c r="F1279" s="37">
        <f>IFERROR('Production Inputs'!$AH$37*Dependencies!$D$15,0)</f>
        <v>0</v>
      </c>
      <c r="G1279" s="37">
        <f t="array" ref="G1279">IFERROR(SUMPRODUCT(('Production Inputs'!$A:$A="APC")*('Production Inputs'!$B:$B="TOTAL ACTIVE")*'Production Inputs'!$AH:$AH),0)</f>
        <v>0</v>
      </c>
      <c r="H1279" s="30">
        <f t="shared" si="133"/>
        <v>32.679999999999986</v>
      </c>
      <c r="I1279" s="30">
        <f ca="1">IFERROR(AVERAGEIF(OFFSET(F1279,0,0,MIN(Controls!$B$8,COUNTIF(B1279:B$1973,B1279)),1),"&gt;"&amp;0),0)</f>
        <v>0</v>
      </c>
      <c r="J1279" s="38">
        <f t="shared" ca="1" si="134"/>
        <v>999</v>
      </c>
      <c r="K1279" s="30">
        <f t="shared" ca="1" si="138"/>
        <v>0</v>
      </c>
      <c r="L1279" t="str">
        <f t="shared" ca="1" si="135"/>
        <v>Overstock</v>
      </c>
      <c r="M1279" s="39">
        <f>IFERROR(VLOOKUP("APC",Controls!A:I,7,0),6)</f>
        <v>4</v>
      </c>
      <c r="N1279" s="39">
        <f>IFERROR(VLOOKUP("APC",Controls!A:I,8,0),3)</f>
        <v>3</v>
      </c>
      <c r="O1279" s="39">
        <f>IFERROR(VLOOKUP("APC",Controls!A:I,9,0),18)</f>
        <v>12</v>
      </c>
      <c r="P1279" s="40">
        <f>IFERROR(VLOOKUP("APC",Controls!A:J,5,0),0)</f>
        <v>40</v>
      </c>
      <c r="Q1279" s="39">
        <f>IFERROR(VLOOKUP("APC",Controls!A:J,6,0),3)</f>
        <v>4</v>
      </c>
      <c r="R1279" s="21" t="str">
        <f>IFERROR(VLOOKUP("APC",Controls!A:K,10,0),"")</f>
        <v>ST Pharm</v>
      </c>
      <c r="S1279" s="41">
        <f t="shared" si="136"/>
        <v>46600</v>
      </c>
      <c r="T1279" s="30">
        <f t="shared" si="137"/>
        <v>0</v>
      </c>
      <c r="W1279" s="205" t="str" cm="1">
        <f t="array" ref="W1279">IF(22&lt;Controls!$B$7,INDEX(A1257:A1435,MATCH(Controls!$B$5,A1257:A1435,1)+22),"")</f>
        <v/>
      </c>
      <c r="X1279" t="str" cm="1">
        <f t="array" ref="X1279">IF(22&lt;Controls!$B$7,INDEX(F1257:F1435,MATCH(Controls!$B$5,A1257:A1435,1)+22),"")</f>
        <v/>
      </c>
      <c r="Y1279" t="str" cm="1">
        <f t="array" ref="Y1279">IF(22&lt;Controls!$B$7,INDEX(G1257:G1435,MATCH(Controls!$B$5,A1257:A1435,1)+22),"")</f>
        <v/>
      </c>
      <c r="Z1279" t="str" cm="1">
        <f t="array" ref="Z1279">IF(22&lt;Controls!$B$7,INDEX(H1257:H1435,MATCH(Controls!$B$5,A1257:A1435,1)+22),"")</f>
        <v/>
      </c>
      <c r="AA1279" t="str" cm="1">
        <f t="array" ref="AA1279">IF(22&lt;Controls!$B$7,INDEX(M1257:M1435,MATCH(Controls!$B$5,A1257:A1435,1)+22)*INDEX(I1257:I1435,MATCH(Controls!$B$5,A1257:A1435,1)+22),"")</f>
        <v/>
      </c>
      <c r="AB1279">
        <f t="shared" si="139"/>
        <v>86.240000000000009</v>
      </c>
    </row>
    <row r="1280" spans="1:28" ht="13" customHeight="1" x14ac:dyDescent="0.35">
      <c r="A1280" s="153">
        <v>46753</v>
      </c>
      <c r="B1280" s="36" t="s">
        <v>56</v>
      </c>
      <c r="C1280" s="15" t="s">
        <v>52</v>
      </c>
      <c r="D1280" s="15" t="s">
        <v>48</v>
      </c>
      <c r="E1280" s="30">
        <f>H1279</f>
        <v>32.679999999999986</v>
      </c>
      <c r="F1280" s="37">
        <f>IFERROR('Production Inputs'!$AI$37*Dependencies!$D$15,0)</f>
        <v>0</v>
      </c>
      <c r="G1280" s="37">
        <f t="array" ref="G1280">IFERROR(SUMPRODUCT(('Production Inputs'!$A:$A="APC")*('Production Inputs'!$B:$B="TOTAL ACTIVE")*'Production Inputs'!$AI:$AI),0)</f>
        <v>0</v>
      </c>
      <c r="H1280" s="30">
        <f t="shared" si="133"/>
        <v>32.679999999999986</v>
      </c>
      <c r="I1280" s="30">
        <f ca="1">IFERROR(AVERAGEIF(OFFSET(F1280,0,0,MIN(Controls!$B$8,COUNTIF(B1280:B$1973,B1280)),1),"&gt;"&amp;0),0)</f>
        <v>0</v>
      </c>
      <c r="J1280" s="38">
        <f t="shared" ca="1" si="134"/>
        <v>999</v>
      </c>
      <c r="K1280" s="30">
        <f t="shared" ca="1" si="138"/>
        <v>0</v>
      </c>
      <c r="L1280" t="str">
        <f t="shared" ca="1" si="135"/>
        <v>Overstock</v>
      </c>
      <c r="M1280" s="39">
        <f>IFERROR(VLOOKUP("APC",Controls!A:I,7,0),6)</f>
        <v>4</v>
      </c>
      <c r="N1280" s="39">
        <f>IFERROR(VLOOKUP("APC",Controls!A:I,8,0),3)</f>
        <v>3</v>
      </c>
      <c r="O1280" s="39">
        <f>IFERROR(VLOOKUP("APC",Controls!A:I,9,0),18)</f>
        <v>12</v>
      </c>
      <c r="P1280" s="40">
        <f>IFERROR(VLOOKUP("APC",Controls!A:J,5,0),0)</f>
        <v>40</v>
      </c>
      <c r="Q1280" s="39">
        <f>IFERROR(VLOOKUP("APC",Controls!A:J,6,0),3)</f>
        <v>4</v>
      </c>
      <c r="R1280" s="21" t="str">
        <f>IFERROR(VLOOKUP("APC",Controls!A:K,10,0),"")</f>
        <v>ST Pharm</v>
      </c>
      <c r="S1280" s="41">
        <f t="shared" si="136"/>
        <v>46631</v>
      </c>
      <c r="T1280" s="30">
        <f t="shared" si="137"/>
        <v>0</v>
      </c>
      <c r="W1280" s="205" t="str" cm="1">
        <f t="array" ref="W1280">IF(23&lt;Controls!$B$7,INDEX(A1257:A1435,MATCH(Controls!$B$5,A1257:A1435,1)+23),"")</f>
        <v/>
      </c>
      <c r="X1280" t="str" cm="1">
        <f t="array" ref="X1280">IF(23&lt;Controls!$B$7,INDEX(F1257:F1435,MATCH(Controls!$B$5,A1257:A1435,1)+23),"")</f>
        <v/>
      </c>
      <c r="Y1280" t="str" cm="1">
        <f t="array" ref="Y1280">IF(23&lt;Controls!$B$7,INDEX(G1257:G1435,MATCH(Controls!$B$5,A1257:A1435,1)+23),"")</f>
        <v/>
      </c>
      <c r="Z1280" t="str" cm="1">
        <f t="array" ref="Z1280">IF(23&lt;Controls!$B$7,INDEX(H1257:H1435,MATCH(Controls!$B$5,A1257:A1435,1)+23),"")</f>
        <v/>
      </c>
      <c r="AA1280" t="str" cm="1">
        <f t="array" ref="AA1280">IF(23&lt;Controls!$B$7,INDEX(M1257:M1435,MATCH(Controls!$B$5,A1257:A1435,1)+23)*INDEX(I1257:I1435,MATCH(Controls!$B$5,A1257:A1435,1)+23),"")</f>
        <v/>
      </c>
      <c r="AB1280">
        <f t="shared" si="139"/>
        <v>86.240000000000009</v>
      </c>
    </row>
    <row r="1281" spans="1:28" ht="13" customHeight="1" x14ac:dyDescent="0.35">
      <c r="A1281" s="153">
        <v>46784</v>
      </c>
      <c r="B1281" s="36" t="s">
        <v>56</v>
      </c>
      <c r="C1281" s="15" t="s">
        <v>52</v>
      </c>
      <c r="D1281" s="15" t="s">
        <v>48</v>
      </c>
      <c r="E1281" s="30">
        <f>H1280</f>
        <v>32.679999999999986</v>
      </c>
      <c r="F1281" s="37">
        <f>IFERROR('Production Inputs'!$AJ$37*Dependencies!$D$15,0)</f>
        <v>0</v>
      </c>
      <c r="G1281" s="37">
        <f t="array" ref="G1281">IFERROR(SUMPRODUCT(('Production Inputs'!$A:$A="APC")*('Production Inputs'!$B:$B="TOTAL ACTIVE")*'Production Inputs'!$AJ:$AJ),0)</f>
        <v>0</v>
      </c>
      <c r="H1281" s="30">
        <f t="shared" si="133"/>
        <v>32.679999999999986</v>
      </c>
      <c r="I1281" s="30">
        <f ca="1">IFERROR(AVERAGEIF(OFFSET(F1281,0,0,MIN(Controls!$B$8,COUNTIF(B1281:B$1973,B1281)),1),"&gt;"&amp;0),0)</f>
        <v>0</v>
      </c>
      <c r="J1281" s="38">
        <f t="shared" ca="1" si="134"/>
        <v>999</v>
      </c>
      <c r="K1281" s="30">
        <f t="shared" ca="1" si="138"/>
        <v>0</v>
      </c>
      <c r="L1281" t="str">
        <f t="shared" ca="1" si="135"/>
        <v>Overstock</v>
      </c>
      <c r="M1281" s="39">
        <f>IFERROR(VLOOKUP("APC",Controls!A:I,7,0),6)</f>
        <v>4</v>
      </c>
      <c r="N1281" s="39">
        <f>IFERROR(VLOOKUP("APC",Controls!A:I,8,0),3)</f>
        <v>3</v>
      </c>
      <c r="O1281" s="39">
        <f>IFERROR(VLOOKUP("APC",Controls!A:I,9,0),18)</f>
        <v>12</v>
      </c>
      <c r="P1281" s="40">
        <f>IFERROR(VLOOKUP("APC",Controls!A:J,5,0),0)</f>
        <v>40</v>
      </c>
      <c r="Q1281" s="39">
        <f>IFERROR(VLOOKUP("APC",Controls!A:J,6,0),3)</f>
        <v>4</v>
      </c>
      <c r="R1281" s="21" t="str">
        <f>IFERROR(VLOOKUP("APC",Controls!A:K,10,0),"")</f>
        <v>ST Pharm</v>
      </c>
      <c r="S1281" s="41">
        <f t="shared" si="136"/>
        <v>46661</v>
      </c>
      <c r="T1281" s="30">
        <f t="shared" si="137"/>
        <v>0</v>
      </c>
      <c r="W1281" s="205" t="str" cm="1">
        <f t="array" ref="W1281">IF(24&lt;Controls!$B$7,INDEX(A1257:A1435,MATCH(Controls!$B$5,A1257:A1435,1)+24),"")</f>
        <v/>
      </c>
      <c r="X1281" t="str" cm="1">
        <f t="array" ref="X1281">IF(24&lt;Controls!$B$7,INDEX(F1257:F1435,MATCH(Controls!$B$5,A1257:A1435,1)+24),"")</f>
        <v/>
      </c>
      <c r="Y1281" t="str" cm="1">
        <f t="array" ref="Y1281">IF(24&lt;Controls!$B$7,INDEX(G1257:G1435,MATCH(Controls!$B$5,A1257:A1435,1)+24),"")</f>
        <v/>
      </c>
      <c r="Z1281" t="str" cm="1">
        <f t="array" ref="Z1281">IF(24&lt;Controls!$B$7,INDEX(H1257:H1435,MATCH(Controls!$B$5,A1257:A1435,1)+24),"")</f>
        <v/>
      </c>
      <c r="AA1281" t="str" cm="1">
        <f t="array" ref="AA1281">IF(24&lt;Controls!$B$7,INDEX(M1257:M1435,MATCH(Controls!$B$5,A1257:A1435,1)+24)*INDEX(I1257:I1435,MATCH(Controls!$B$5,A1257:A1435,1)+24),"")</f>
        <v/>
      </c>
      <c r="AB1281">
        <f t="shared" si="139"/>
        <v>86.240000000000009</v>
      </c>
    </row>
    <row r="1282" spans="1:28" ht="13" customHeight="1" x14ac:dyDescent="0.35">
      <c r="A1282" s="153">
        <v>46813</v>
      </c>
      <c r="B1282" s="36" t="s">
        <v>56</v>
      </c>
      <c r="C1282" s="15" t="s">
        <v>52</v>
      </c>
      <c r="D1282" s="15" t="s">
        <v>48</v>
      </c>
      <c r="E1282" s="30">
        <f>H1281</f>
        <v>32.679999999999986</v>
      </c>
      <c r="F1282" s="37">
        <f>IFERROR('Production Inputs'!$AK$37*Dependencies!$D$15,0)</f>
        <v>0</v>
      </c>
      <c r="G1282" s="37">
        <f t="array" ref="G1282">IFERROR(SUMPRODUCT(('Production Inputs'!$A:$A="APC")*('Production Inputs'!$B:$B="TOTAL ACTIVE")*'Production Inputs'!$AK:$AK),0)</f>
        <v>0</v>
      </c>
      <c r="H1282" s="30">
        <f t="shared" si="133"/>
        <v>32.679999999999986</v>
      </c>
      <c r="I1282" s="30">
        <f ca="1">IFERROR(AVERAGEIF(OFFSET(F1282,0,0,MIN(Controls!$B$8,COUNTIF(B1282:B$1973,B1282)),1),"&gt;"&amp;0),0)</f>
        <v>0</v>
      </c>
      <c r="J1282" s="38">
        <f t="shared" ca="1" si="134"/>
        <v>999</v>
      </c>
      <c r="K1282" s="30">
        <f t="shared" ca="1" si="138"/>
        <v>0</v>
      </c>
      <c r="L1282" t="str">
        <f t="shared" ca="1" si="135"/>
        <v>Overstock</v>
      </c>
      <c r="M1282" s="39">
        <f>IFERROR(VLOOKUP("APC",Controls!A:I,7,0),6)</f>
        <v>4</v>
      </c>
      <c r="N1282" s="39">
        <f>IFERROR(VLOOKUP("APC",Controls!A:I,8,0),3)</f>
        <v>3</v>
      </c>
      <c r="O1282" s="39">
        <f>IFERROR(VLOOKUP("APC",Controls!A:I,9,0),18)</f>
        <v>12</v>
      </c>
      <c r="P1282" s="40">
        <f>IFERROR(VLOOKUP("APC",Controls!A:J,5,0),0)</f>
        <v>40</v>
      </c>
      <c r="Q1282" s="39">
        <f>IFERROR(VLOOKUP("APC",Controls!A:J,6,0),3)</f>
        <v>4</v>
      </c>
      <c r="R1282" s="21" t="str">
        <f>IFERROR(VLOOKUP("APC",Controls!A:K,10,0),"")</f>
        <v>ST Pharm</v>
      </c>
      <c r="S1282" s="41">
        <f t="shared" si="136"/>
        <v>46692</v>
      </c>
      <c r="T1282" s="30">
        <f t="shared" si="137"/>
        <v>0</v>
      </c>
      <c r="W1282" s="205" t="str" cm="1">
        <f t="array" ref="W1282">IF(25&lt;Controls!$B$7,INDEX(A1257:A1435,MATCH(Controls!$B$5,A1257:A1435,1)+25),"")</f>
        <v/>
      </c>
      <c r="X1282" t="str" cm="1">
        <f t="array" ref="X1282">IF(25&lt;Controls!$B$7,INDEX(F1257:F1435,MATCH(Controls!$B$5,A1257:A1435,1)+25),"")</f>
        <v/>
      </c>
      <c r="Y1282" t="str" cm="1">
        <f t="array" ref="Y1282">IF(25&lt;Controls!$B$7,INDEX(G1257:G1435,MATCH(Controls!$B$5,A1257:A1435,1)+25),"")</f>
        <v/>
      </c>
      <c r="Z1282" t="str" cm="1">
        <f t="array" ref="Z1282">IF(25&lt;Controls!$B$7,INDEX(H1257:H1435,MATCH(Controls!$B$5,A1257:A1435,1)+25),"")</f>
        <v/>
      </c>
      <c r="AA1282" t="str" cm="1">
        <f t="array" ref="AA1282">IF(25&lt;Controls!$B$7,INDEX(M1257:M1435,MATCH(Controls!$B$5,A1257:A1435,1)+25)*INDEX(I1257:I1435,MATCH(Controls!$B$5,A1257:A1435,1)+25),"")</f>
        <v/>
      </c>
      <c r="AB1282">
        <f t="shared" si="139"/>
        <v>86.240000000000009</v>
      </c>
    </row>
    <row r="1283" spans="1:28" ht="13" customHeight="1" x14ac:dyDescent="0.35">
      <c r="A1283" s="153">
        <v>46844</v>
      </c>
      <c r="B1283" s="36" t="s">
        <v>56</v>
      </c>
      <c r="C1283" s="15" t="s">
        <v>52</v>
      </c>
      <c r="D1283" s="15" t="s">
        <v>48</v>
      </c>
      <c r="E1283" s="30">
        <f>H1282</f>
        <v>32.679999999999986</v>
      </c>
      <c r="F1283" s="37">
        <f>IFERROR('Production Inputs'!$AL$37*Dependencies!$D$15,0)</f>
        <v>0</v>
      </c>
      <c r="G1283" s="37">
        <f t="array" ref="G1283">IFERROR(SUMPRODUCT(('Production Inputs'!$A:$A="APC")*('Production Inputs'!$B:$B="TOTAL ACTIVE")*'Production Inputs'!$AL:$AL),0)</f>
        <v>0</v>
      </c>
      <c r="H1283" s="30">
        <f t="shared" si="133"/>
        <v>32.679999999999986</v>
      </c>
      <c r="I1283" s="30">
        <f ca="1">IFERROR(AVERAGEIF(OFFSET(F1283,0,0,MIN(Controls!$B$8,COUNTIF(B1283:B$1973,B1283)),1),"&gt;"&amp;0),0)</f>
        <v>0</v>
      </c>
      <c r="J1283" s="38">
        <f t="shared" ca="1" si="134"/>
        <v>999</v>
      </c>
      <c r="K1283" s="30">
        <f t="shared" ca="1" si="138"/>
        <v>0</v>
      </c>
      <c r="L1283" t="str">
        <f t="shared" ca="1" si="135"/>
        <v>Overstock</v>
      </c>
      <c r="M1283" s="39">
        <f>IFERROR(VLOOKUP("APC",Controls!A:I,7,0),6)</f>
        <v>4</v>
      </c>
      <c r="N1283" s="39">
        <f>IFERROR(VLOOKUP("APC",Controls!A:I,8,0),3)</f>
        <v>3</v>
      </c>
      <c r="O1283" s="39">
        <f>IFERROR(VLOOKUP("APC",Controls!A:I,9,0),18)</f>
        <v>12</v>
      </c>
      <c r="P1283" s="40">
        <f>IFERROR(VLOOKUP("APC",Controls!A:J,5,0),0)</f>
        <v>40</v>
      </c>
      <c r="Q1283" s="39">
        <f>IFERROR(VLOOKUP("APC",Controls!A:J,6,0),3)</f>
        <v>4</v>
      </c>
      <c r="R1283" s="21" t="str">
        <f>IFERROR(VLOOKUP("APC",Controls!A:K,10,0),"")</f>
        <v>ST Pharm</v>
      </c>
      <c r="S1283" s="41">
        <f t="shared" si="136"/>
        <v>46722</v>
      </c>
      <c r="T1283" s="30">
        <f t="shared" si="137"/>
        <v>0</v>
      </c>
      <c r="W1283" s="205" t="str" cm="1">
        <f t="array" ref="W1283">IF(26&lt;Controls!$B$7,INDEX(A1257:A1435,MATCH(Controls!$B$5,A1257:A1435,1)+26),"")</f>
        <v/>
      </c>
      <c r="X1283" t="str" cm="1">
        <f t="array" ref="X1283">IF(26&lt;Controls!$B$7,INDEX(F1257:F1435,MATCH(Controls!$B$5,A1257:A1435,1)+26),"")</f>
        <v/>
      </c>
      <c r="Y1283" t="str" cm="1">
        <f t="array" ref="Y1283">IF(26&lt;Controls!$B$7,INDEX(G1257:G1435,MATCH(Controls!$B$5,A1257:A1435,1)+26),"")</f>
        <v/>
      </c>
      <c r="Z1283" t="str" cm="1">
        <f t="array" ref="Z1283">IF(26&lt;Controls!$B$7,INDEX(H1257:H1435,MATCH(Controls!$B$5,A1257:A1435,1)+26),"")</f>
        <v/>
      </c>
      <c r="AA1283" t="str" cm="1">
        <f t="array" ref="AA1283">IF(26&lt;Controls!$B$7,INDEX(M1257:M1435,MATCH(Controls!$B$5,A1257:A1435,1)+26)*INDEX(I1257:I1435,MATCH(Controls!$B$5,A1257:A1435,1)+26),"")</f>
        <v/>
      </c>
      <c r="AB1283">
        <f t="shared" si="139"/>
        <v>86.240000000000009</v>
      </c>
    </row>
    <row r="1284" spans="1:28" ht="13" customHeight="1" x14ac:dyDescent="0.35">
      <c r="A1284" s="153">
        <v>46874</v>
      </c>
      <c r="B1284" s="36" t="s">
        <v>56</v>
      </c>
      <c r="C1284" s="15" t="s">
        <v>52</v>
      </c>
      <c r="D1284" s="15" t="s">
        <v>48</v>
      </c>
      <c r="E1284" s="30">
        <f>H1283</f>
        <v>32.679999999999986</v>
      </c>
      <c r="F1284" s="37">
        <f>IFERROR('Production Inputs'!$AM$37*Dependencies!$D$15,0)</f>
        <v>0</v>
      </c>
      <c r="G1284" s="37">
        <f t="array" ref="G1284">IFERROR(SUMPRODUCT(('Production Inputs'!$A:$A="APC")*('Production Inputs'!$B:$B="TOTAL ACTIVE")*'Production Inputs'!$AM:$AM),0)</f>
        <v>0</v>
      </c>
      <c r="H1284" s="30">
        <f t="shared" ref="H1284:H1347" si="140">E1284+G1284-F1284</f>
        <v>32.679999999999986</v>
      </c>
      <c r="I1284" s="30">
        <f ca="1">IFERROR(AVERAGEIF(OFFSET(F1284,0,0,MIN(Controls!$B$8,COUNTIF(B1284:B$1973,B1284)),1),"&gt;"&amp;0),0)</f>
        <v>0</v>
      </c>
      <c r="J1284" s="38">
        <f t="shared" ref="J1284:J1347" ca="1" si="141">IFERROR(H1284/I1284,IF(H1284&gt;0,999,0))</f>
        <v>999</v>
      </c>
      <c r="K1284" s="30">
        <f t="shared" ca="1" si="138"/>
        <v>0</v>
      </c>
      <c r="L1284" t="str">
        <f t="shared" ref="L1284:L1347" ca="1" si="142">IF(H1284&lt;=0,"High",IF(J1284&lt;N1284,"High",IF(J1284&lt;M1284,"Medium",IF(J1284&gt;O1284,"Overstock","Low"))))</f>
        <v>Overstock</v>
      </c>
      <c r="M1284" s="39">
        <f>IFERROR(VLOOKUP("APC",Controls!A:I,7,0),6)</f>
        <v>4</v>
      </c>
      <c r="N1284" s="39">
        <f>IFERROR(VLOOKUP("APC",Controls!A:I,8,0),3)</f>
        <v>3</v>
      </c>
      <c r="O1284" s="39">
        <f>IFERROR(VLOOKUP("APC",Controls!A:I,9,0),18)</f>
        <v>12</v>
      </c>
      <c r="P1284" s="40">
        <f>IFERROR(VLOOKUP("APC",Controls!A:J,5,0),0)</f>
        <v>40</v>
      </c>
      <c r="Q1284" s="39">
        <f>IFERROR(VLOOKUP("APC",Controls!A:J,6,0),3)</f>
        <v>4</v>
      </c>
      <c r="R1284" s="21" t="str">
        <f>IFERROR(VLOOKUP("APC",Controls!A:K,10,0),"")</f>
        <v>ST Pharm</v>
      </c>
      <c r="S1284" s="41">
        <f t="shared" ref="S1284:S1347" si="143">IFERROR(EDATE(A1284,-Q1284),"")</f>
        <v>46753</v>
      </c>
      <c r="T1284" s="30">
        <f t="shared" ref="T1284:T1347" si="144">G1284</f>
        <v>0</v>
      </c>
      <c r="W1284" s="205" t="str" cm="1">
        <f t="array" ref="W1284">IF(27&lt;Controls!$B$7,INDEX(A1257:A1435,MATCH(Controls!$B$5,A1257:A1435,1)+27),"")</f>
        <v/>
      </c>
      <c r="X1284" t="str" cm="1">
        <f t="array" ref="X1284">IF(27&lt;Controls!$B$7,INDEX(F1257:F1435,MATCH(Controls!$B$5,A1257:A1435,1)+27),"")</f>
        <v/>
      </c>
      <c r="Y1284" t="str" cm="1">
        <f t="array" ref="Y1284">IF(27&lt;Controls!$B$7,INDEX(G1257:G1435,MATCH(Controls!$B$5,A1257:A1435,1)+27),"")</f>
        <v/>
      </c>
      <c r="Z1284" t="str" cm="1">
        <f t="array" ref="Z1284">IF(27&lt;Controls!$B$7,INDEX(H1257:H1435,MATCH(Controls!$B$5,A1257:A1435,1)+27),"")</f>
        <v/>
      </c>
      <c r="AA1284" t="str" cm="1">
        <f t="array" ref="AA1284">IF(27&lt;Controls!$B$7,INDEX(M1257:M1435,MATCH(Controls!$B$5,A1257:A1435,1)+27)*INDEX(I1257:I1435,MATCH(Controls!$B$5,A1257:A1435,1)+27),"")</f>
        <v/>
      </c>
      <c r="AB1284">
        <f t="shared" si="139"/>
        <v>86.240000000000009</v>
      </c>
    </row>
    <row r="1285" spans="1:28" ht="13" customHeight="1" x14ac:dyDescent="0.35">
      <c r="A1285" s="153">
        <v>46905</v>
      </c>
      <c r="B1285" s="36" t="s">
        <v>56</v>
      </c>
      <c r="C1285" s="15" t="s">
        <v>52</v>
      </c>
      <c r="D1285" s="15" t="s">
        <v>48</v>
      </c>
      <c r="E1285" s="30">
        <f>H1284</f>
        <v>32.679999999999986</v>
      </c>
      <c r="F1285" s="37">
        <f>IFERROR('Production Inputs'!$AN$37*Dependencies!$D$15,0)</f>
        <v>0</v>
      </c>
      <c r="G1285" s="37">
        <f t="array" ref="G1285">IFERROR(SUMPRODUCT(('Production Inputs'!$A:$A="APC")*('Production Inputs'!$B:$B="TOTAL ACTIVE")*'Production Inputs'!$AN:$AN),0)</f>
        <v>0</v>
      </c>
      <c r="H1285" s="30">
        <f t="shared" si="140"/>
        <v>32.679999999999986</v>
      </c>
      <c r="I1285" s="30">
        <f ca="1">IFERROR(AVERAGEIF(OFFSET(F1285,0,0,MIN(Controls!$B$8,COUNTIF(B1285:B$1973,B1285)),1),"&gt;"&amp;0),0)</f>
        <v>0</v>
      </c>
      <c r="J1285" s="38">
        <f t="shared" ca="1" si="141"/>
        <v>999</v>
      </c>
      <c r="K1285" s="30">
        <f t="shared" ref="K1285:K1348" ca="1" si="145">IFERROR(IF(H1285&lt;(N1285*I1285), CEILING(MAX(0,ROUND((M1285*I1285-H1285)/P1285,0)*P1285),P1285), 0), 0)</f>
        <v>0</v>
      </c>
      <c r="L1285" t="str">
        <f t="shared" ca="1" si="142"/>
        <v>Overstock</v>
      </c>
      <c r="M1285" s="39">
        <f>IFERROR(VLOOKUP("APC",Controls!A:I,7,0),6)</f>
        <v>4</v>
      </c>
      <c r="N1285" s="39">
        <f>IFERROR(VLOOKUP("APC",Controls!A:I,8,0),3)</f>
        <v>3</v>
      </c>
      <c r="O1285" s="39">
        <f>IFERROR(VLOOKUP("APC",Controls!A:I,9,0),18)</f>
        <v>12</v>
      </c>
      <c r="P1285" s="40">
        <f>IFERROR(VLOOKUP("APC",Controls!A:J,5,0),0)</f>
        <v>40</v>
      </c>
      <c r="Q1285" s="39">
        <f>IFERROR(VLOOKUP("APC",Controls!A:J,6,0),3)</f>
        <v>4</v>
      </c>
      <c r="R1285" s="21" t="str">
        <f>IFERROR(VLOOKUP("APC",Controls!A:K,10,0),"")</f>
        <v>ST Pharm</v>
      </c>
      <c r="S1285" s="41">
        <f t="shared" si="143"/>
        <v>46784</v>
      </c>
      <c r="T1285" s="30">
        <f t="shared" si="144"/>
        <v>0</v>
      </c>
      <c r="W1285" s="205" t="str" cm="1">
        <f t="array" ref="W1285">IF(28&lt;Controls!$B$7,INDEX(A1257:A1435,MATCH(Controls!$B$5,A1257:A1435,1)+28),"")</f>
        <v/>
      </c>
      <c r="X1285" t="str" cm="1">
        <f t="array" ref="X1285">IF(28&lt;Controls!$B$7,INDEX(F1257:F1435,MATCH(Controls!$B$5,A1257:A1435,1)+28),"")</f>
        <v/>
      </c>
      <c r="Y1285" t="str" cm="1">
        <f t="array" ref="Y1285">IF(28&lt;Controls!$B$7,INDEX(G1257:G1435,MATCH(Controls!$B$5,A1257:A1435,1)+28),"")</f>
        <v/>
      </c>
      <c r="Z1285" t="str" cm="1">
        <f t="array" ref="Z1285">IF(28&lt;Controls!$B$7,INDEX(H1257:H1435,MATCH(Controls!$B$5,A1257:A1435,1)+28),"")</f>
        <v/>
      </c>
      <c r="AA1285" t="str" cm="1">
        <f t="array" ref="AA1285">IF(28&lt;Controls!$B$7,INDEX(M1257:M1435,MATCH(Controls!$B$5,A1257:A1435,1)+28)*INDEX(I1257:I1435,MATCH(Controls!$B$5,A1257:A1435,1)+28),"")</f>
        <v/>
      </c>
      <c r="AB1285">
        <f t="shared" ref="AB1285:AB1348" si="146">SUMIFS($F$4:$F$2331,$B$4:$B$2331,B1285,$A$4:$A$2331,"&lt;="&amp;A1285)</f>
        <v>86.240000000000009</v>
      </c>
    </row>
    <row r="1286" spans="1:28" ht="13" customHeight="1" x14ac:dyDescent="0.35">
      <c r="A1286" s="153">
        <v>46935</v>
      </c>
      <c r="B1286" s="36" t="s">
        <v>56</v>
      </c>
      <c r="C1286" s="15" t="s">
        <v>52</v>
      </c>
      <c r="D1286" s="15" t="s">
        <v>48</v>
      </c>
      <c r="E1286" s="30">
        <f>H1285</f>
        <v>32.679999999999986</v>
      </c>
      <c r="F1286" s="37">
        <f>IFERROR('Production Inputs'!$AO$37*Dependencies!$D$15,0)</f>
        <v>0</v>
      </c>
      <c r="G1286" s="37">
        <f t="array" ref="G1286">IFERROR(SUMPRODUCT(('Production Inputs'!$A:$A="APC")*('Production Inputs'!$B:$B="TOTAL ACTIVE")*'Production Inputs'!$AO:$AO),0)</f>
        <v>0</v>
      </c>
      <c r="H1286" s="30">
        <f t="shared" si="140"/>
        <v>32.679999999999986</v>
      </c>
      <c r="I1286" s="30">
        <f ca="1">IFERROR(AVERAGEIF(OFFSET(F1286,0,0,MIN(Controls!$B$8,COUNTIF(B1286:B$1973,B1286)),1),"&gt;"&amp;0),0)</f>
        <v>0</v>
      </c>
      <c r="J1286" s="38">
        <f t="shared" ca="1" si="141"/>
        <v>999</v>
      </c>
      <c r="K1286" s="30">
        <f t="shared" ca="1" si="145"/>
        <v>0</v>
      </c>
      <c r="L1286" t="str">
        <f t="shared" ca="1" si="142"/>
        <v>Overstock</v>
      </c>
      <c r="M1286" s="39">
        <f>IFERROR(VLOOKUP("APC",Controls!A:I,7,0),6)</f>
        <v>4</v>
      </c>
      <c r="N1286" s="39">
        <f>IFERROR(VLOOKUP("APC",Controls!A:I,8,0),3)</f>
        <v>3</v>
      </c>
      <c r="O1286" s="39">
        <f>IFERROR(VLOOKUP("APC",Controls!A:I,9,0),18)</f>
        <v>12</v>
      </c>
      <c r="P1286" s="40">
        <f>IFERROR(VLOOKUP("APC",Controls!A:J,5,0),0)</f>
        <v>40</v>
      </c>
      <c r="Q1286" s="39">
        <f>IFERROR(VLOOKUP("APC",Controls!A:J,6,0),3)</f>
        <v>4</v>
      </c>
      <c r="R1286" s="21" t="str">
        <f>IFERROR(VLOOKUP("APC",Controls!A:K,10,0),"")</f>
        <v>ST Pharm</v>
      </c>
      <c r="S1286" s="41">
        <f t="shared" si="143"/>
        <v>46813</v>
      </c>
      <c r="T1286" s="30">
        <f t="shared" si="144"/>
        <v>0</v>
      </c>
      <c r="W1286" s="205" t="str" cm="1">
        <f t="array" ref="W1286">IF(29&lt;Controls!$B$7,INDEX(A1257:A1435,MATCH(Controls!$B$5,A1257:A1435,1)+29),"")</f>
        <v/>
      </c>
      <c r="X1286" t="str" cm="1">
        <f t="array" ref="X1286">IF(29&lt;Controls!$B$7,INDEX(F1257:F1435,MATCH(Controls!$B$5,A1257:A1435,1)+29),"")</f>
        <v/>
      </c>
      <c r="Y1286" t="str" cm="1">
        <f t="array" ref="Y1286">IF(29&lt;Controls!$B$7,INDEX(G1257:G1435,MATCH(Controls!$B$5,A1257:A1435,1)+29),"")</f>
        <v/>
      </c>
      <c r="Z1286" t="str" cm="1">
        <f t="array" ref="Z1286">IF(29&lt;Controls!$B$7,INDEX(H1257:H1435,MATCH(Controls!$B$5,A1257:A1435,1)+29),"")</f>
        <v/>
      </c>
      <c r="AA1286" t="str" cm="1">
        <f t="array" ref="AA1286">IF(29&lt;Controls!$B$7,INDEX(M1257:M1435,MATCH(Controls!$B$5,A1257:A1435,1)+29)*INDEX(I1257:I1435,MATCH(Controls!$B$5,A1257:A1435,1)+29),"")</f>
        <v/>
      </c>
      <c r="AB1286">
        <f t="shared" si="146"/>
        <v>86.240000000000009</v>
      </c>
    </row>
    <row r="1287" spans="1:28" ht="13" customHeight="1" x14ac:dyDescent="0.35">
      <c r="A1287" s="153">
        <v>46966</v>
      </c>
      <c r="B1287" s="36" t="s">
        <v>56</v>
      </c>
      <c r="C1287" s="15" t="s">
        <v>52</v>
      </c>
      <c r="D1287" s="15" t="s">
        <v>48</v>
      </c>
      <c r="E1287" s="30">
        <f>H1286</f>
        <v>32.679999999999986</v>
      </c>
      <c r="F1287" s="37">
        <f>IFERROR('Production Inputs'!$AP$37*Dependencies!$D$15,0)</f>
        <v>0</v>
      </c>
      <c r="G1287" s="37">
        <f t="array" ref="G1287">IFERROR(SUMPRODUCT(('Production Inputs'!$A:$A="APC")*('Production Inputs'!$B:$B="TOTAL ACTIVE")*'Production Inputs'!$AP:$AP),0)</f>
        <v>0</v>
      </c>
      <c r="H1287" s="30">
        <f t="shared" si="140"/>
        <v>32.679999999999986</v>
      </c>
      <c r="I1287" s="30">
        <f ca="1">IFERROR(AVERAGEIF(OFFSET(F1287,0,0,MIN(Controls!$B$8,COUNTIF(B1287:B$1973,B1287)),1),"&gt;"&amp;0),0)</f>
        <v>0</v>
      </c>
      <c r="J1287" s="38">
        <f t="shared" ca="1" si="141"/>
        <v>999</v>
      </c>
      <c r="K1287" s="30">
        <f t="shared" ca="1" si="145"/>
        <v>0</v>
      </c>
      <c r="L1287" t="str">
        <f t="shared" ca="1" si="142"/>
        <v>Overstock</v>
      </c>
      <c r="M1287" s="39">
        <f>IFERROR(VLOOKUP("APC",Controls!A:I,7,0),6)</f>
        <v>4</v>
      </c>
      <c r="N1287" s="39">
        <f>IFERROR(VLOOKUP("APC",Controls!A:I,8,0),3)</f>
        <v>3</v>
      </c>
      <c r="O1287" s="39">
        <f>IFERROR(VLOOKUP("APC",Controls!A:I,9,0),18)</f>
        <v>12</v>
      </c>
      <c r="P1287" s="40">
        <f>IFERROR(VLOOKUP("APC",Controls!A:J,5,0),0)</f>
        <v>40</v>
      </c>
      <c r="Q1287" s="39">
        <f>IFERROR(VLOOKUP("APC",Controls!A:J,6,0),3)</f>
        <v>4</v>
      </c>
      <c r="R1287" s="21" t="str">
        <f>IFERROR(VLOOKUP("APC",Controls!A:K,10,0),"")</f>
        <v>ST Pharm</v>
      </c>
      <c r="S1287" s="41">
        <f t="shared" si="143"/>
        <v>46844</v>
      </c>
      <c r="T1287" s="30">
        <f t="shared" si="144"/>
        <v>0</v>
      </c>
      <c r="W1287" s="205" t="str" cm="1">
        <f t="array" ref="W1287">IF(30&lt;Controls!$B$7,INDEX(A1257:A1435,MATCH(Controls!$B$5,A1257:A1435,1)+30),"")</f>
        <v/>
      </c>
      <c r="X1287" t="str" cm="1">
        <f t="array" ref="X1287">IF(30&lt;Controls!$B$7,INDEX(F1257:F1435,MATCH(Controls!$B$5,A1257:A1435,1)+30),"")</f>
        <v/>
      </c>
      <c r="Y1287" t="str" cm="1">
        <f t="array" ref="Y1287">IF(30&lt;Controls!$B$7,INDEX(G1257:G1435,MATCH(Controls!$B$5,A1257:A1435,1)+30),"")</f>
        <v/>
      </c>
      <c r="Z1287" t="str" cm="1">
        <f t="array" ref="Z1287">IF(30&lt;Controls!$B$7,INDEX(H1257:H1435,MATCH(Controls!$B$5,A1257:A1435,1)+30),"")</f>
        <v/>
      </c>
      <c r="AA1287" t="str" cm="1">
        <f t="array" ref="AA1287">IF(30&lt;Controls!$B$7,INDEX(M1257:M1435,MATCH(Controls!$B$5,A1257:A1435,1)+30)*INDEX(I1257:I1435,MATCH(Controls!$B$5,A1257:A1435,1)+30),"")</f>
        <v/>
      </c>
      <c r="AB1287">
        <f t="shared" si="146"/>
        <v>86.240000000000009</v>
      </c>
    </row>
    <row r="1288" spans="1:28" ht="13" customHeight="1" x14ac:dyDescent="0.35">
      <c r="A1288" s="153">
        <v>46997</v>
      </c>
      <c r="B1288" s="36" t="s">
        <v>56</v>
      </c>
      <c r="C1288" s="15" t="s">
        <v>52</v>
      </c>
      <c r="D1288" s="15" t="s">
        <v>48</v>
      </c>
      <c r="E1288" s="30">
        <f>H1287</f>
        <v>32.679999999999986</v>
      </c>
      <c r="F1288" s="37">
        <f>IFERROR('Production Inputs'!$AQ$37*Dependencies!$D$15,0)</f>
        <v>0</v>
      </c>
      <c r="G1288" s="37">
        <f t="array" ref="G1288">IFERROR(SUMPRODUCT(('Production Inputs'!$A:$A="APC")*('Production Inputs'!$B:$B="TOTAL ACTIVE")*'Production Inputs'!$AQ:$AQ),0)</f>
        <v>0</v>
      </c>
      <c r="H1288" s="30">
        <f t="shared" si="140"/>
        <v>32.679999999999986</v>
      </c>
      <c r="I1288" s="30">
        <f ca="1">IFERROR(AVERAGEIF(OFFSET(F1288,0,0,MIN(Controls!$B$8,COUNTIF(B1288:B$1973,B1288)),1),"&gt;"&amp;0),0)</f>
        <v>0</v>
      </c>
      <c r="J1288" s="38">
        <f t="shared" ca="1" si="141"/>
        <v>999</v>
      </c>
      <c r="K1288" s="30">
        <f t="shared" ca="1" si="145"/>
        <v>0</v>
      </c>
      <c r="L1288" t="str">
        <f t="shared" ca="1" si="142"/>
        <v>Overstock</v>
      </c>
      <c r="M1288" s="39">
        <f>IFERROR(VLOOKUP("APC",Controls!A:I,7,0),6)</f>
        <v>4</v>
      </c>
      <c r="N1288" s="39">
        <f>IFERROR(VLOOKUP("APC",Controls!A:I,8,0),3)</f>
        <v>3</v>
      </c>
      <c r="O1288" s="39">
        <f>IFERROR(VLOOKUP("APC",Controls!A:I,9,0),18)</f>
        <v>12</v>
      </c>
      <c r="P1288" s="40">
        <f>IFERROR(VLOOKUP("APC",Controls!A:J,5,0),0)</f>
        <v>40</v>
      </c>
      <c r="Q1288" s="39">
        <f>IFERROR(VLOOKUP("APC",Controls!A:J,6,0),3)</f>
        <v>4</v>
      </c>
      <c r="R1288" s="21" t="str">
        <f>IFERROR(VLOOKUP("APC",Controls!A:K,10,0),"")</f>
        <v>ST Pharm</v>
      </c>
      <c r="S1288" s="41">
        <f t="shared" si="143"/>
        <v>46874</v>
      </c>
      <c r="T1288" s="30">
        <f t="shared" si="144"/>
        <v>0</v>
      </c>
      <c r="W1288" s="205" t="str" cm="1">
        <f t="array" ref="W1288">IF(31&lt;Controls!$B$7,INDEX(A1257:A1435,MATCH(Controls!$B$5,A1257:A1435,1)+31),"")</f>
        <v/>
      </c>
      <c r="X1288" t="str" cm="1">
        <f t="array" ref="X1288">IF(31&lt;Controls!$B$7,INDEX(F1257:F1435,MATCH(Controls!$B$5,A1257:A1435,1)+31),"")</f>
        <v/>
      </c>
      <c r="Y1288" t="str" cm="1">
        <f t="array" ref="Y1288">IF(31&lt;Controls!$B$7,INDEX(G1257:G1435,MATCH(Controls!$B$5,A1257:A1435,1)+31),"")</f>
        <v/>
      </c>
      <c r="Z1288" t="str" cm="1">
        <f t="array" ref="Z1288">IF(31&lt;Controls!$B$7,INDEX(H1257:H1435,MATCH(Controls!$B$5,A1257:A1435,1)+31),"")</f>
        <v/>
      </c>
      <c r="AA1288" t="str" cm="1">
        <f t="array" ref="AA1288">IF(31&lt;Controls!$B$7,INDEX(M1257:M1435,MATCH(Controls!$B$5,A1257:A1435,1)+31)*INDEX(I1257:I1435,MATCH(Controls!$B$5,A1257:A1435,1)+31),"")</f>
        <v/>
      </c>
      <c r="AB1288">
        <f t="shared" si="146"/>
        <v>86.240000000000009</v>
      </c>
    </row>
    <row r="1289" spans="1:28" ht="13" customHeight="1" x14ac:dyDescent="0.35">
      <c r="A1289" s="153">
        <v>47027</v>
      </c>
      <c r="B1289" s="36" t="s">
        <v>56</v>
      </c>
      <c r="C1289" s="15" t="s">
        <v>52</v>
      </c>
      <c r="D1289" s="15" t="s">
        <v>48</v>
      </c>
      <c r="E1289" s="30">
        <f>H1288</f>
        <v>32.679999999999986</v>
      </c>
      <c r="F1289" s="37">
        <f>IFERROR('Production Inputs'!$AR$37*Dependencies!$D$15,0)</f>
        <v>0</v>
      </c>
      <c r="G1289" s="37">
        <f t="array" ref="G1289">IFERROR(SUMPRODUCT(('Production Inputs'!$A:$A="APC")*('Production Inputs'!$B:$B="TOTAL ACTIVE")*'Production Inputs'!$AR:$AR),0)</f>
        <v>0</v>
      </c>
      <c r="H1289" s="30">
        <f t="shared" si="140"/>
        <v>32.679999999999986</v>
      </c>
      <c r="I1289" s="30">
        <f ca="1">IFERROR(AVERAGEIF(OFFSET(F1289,0,0,MIN(Controls!$B$8,COUNTIF(B1289:B$1973,B1289)),1),"&gt;"&amp;0),0)</f>
        <v>0</v>
      </c>
      <c r="J1289" s="38">
        <f t="shared" ca="1" si="141"/>
        <v>999</v>
      </c>
      <c r="K1289" s="30">
        <f t="shared" ca="1" si="145"/>
        <v>0</v>
      </c>
      <c r="L1289" t="str">
        <f t="shared" ca="1" si="142"/>
        <v>Overstock</v>
      </c>
      <c r="M1289" s="39">
        <f>IFERROR(VLOOKUP("APC",Controls!A:I,7,0),6)</f>
        <v>4</v>
      </c>
      <c r="N1289" s="39">
        <f>IFERROR(VLOOKUP("APC",Controls!A:I,8,0),3)</f>
        <v>3</v>
      </c>
      <c r="O1289" s="39">
        <f>IFERROR(VLOOKUP("APC",Controls!A:I,9,0),18)</f>
        <v>12</v>
      </c>
      <c r="P1289" s="40">
        <f>IFERROR(VLOOKUP("APC",Controls!A:J,5,0),0)</f>
        <v>40</v>
      </c>
      <c r="Q1289" s="39">
        <f>IFERROR(VLOOKUP("APC",Controls!A:J,6,0),3)</f>
        <v>4</v>
      </c>
      <c r="R1289" s="21" t="str">
        <f>IFERROR(VLOOKUP("APC",Controls!A:K,10,0),"")</f>
        <v>ST Pharm</v>
      </c>
      <c r="S1289" s="41">
        <f t="shared" si="143"/>
        <v>46905</v>
      </c>
      <c r="T1289" s="30">
        <f t="shared" si="144"/>
        <v>0</v>
      </c>
      <c r="W1289" s="205" t="str" cm="1">
        <f t="array" ref="W1289">IF(32&lt;Controls!$B$7,INDEX(A1257:A1435,MATCH(Controls!$B$5,A1257:A1435,1)+32),"")</f>
        <v/>
      </c>
      <c r="X1289" t="str" cm="1">
        <f t="array" ref="X1289">IF(32&lt;Controls!$B$7,INDEX(F1257:F1435,MATCH(Controls!$B$5,A1257:A1435,1)+32),"")</f>
        <v/>
      </c>
      <c r="Y1289" t="str" cm="1">
        <f t="array" ref="Y1289">IF(32&lt;Controls!$B$7,INDEX(G1257:G1435,MATCH(Controls!$B$5,A1257:A1435,1)+32),"")</f>
        <v/>
      </c>
      <c r="Z1289" t="str" cm="1">
        <f t="array" ref="Z1289">IF(32&lt;Controls!$B$7,INDEX(H1257:H1435,MATCH(Controls!$B$5,A1257:A1435,1)+32),"")</f>
        <v/>
      </c>
      <c r="AA1289" t="str" cm="1">
        <f t="array" ref="AA1289">IF(32&lt;Controls!$B$7,INDEX(M1257:M1435,MATCH(Controls!$B$5,A1257:A1435,1)+32)*INDEX(I1257:I1435,MATCH(Controls!$B$5,A1257:A1435,1)+32),"")</f>
        <v/>
      </c>
      <c r="AB1289">
        <f t="shared" si="146"/>
        <v>86.240000000000009</v>
      </c>
    </row>
    <row r="1290" spans="1:28" ht="13" customHeight="1" x14ac:dyDescent="0.35">
      <c r="A1290" s="153">
        <v>47058</v>
      </c>
      <c r="B1290" s="36" t="s">
        <v>56</v>
      </c>
      <c r="C1290" s="15" t="s">
        <v>52</v>
      </c>
      <c r="D1290" s="15" t="s">
        <v>48</v>
      </c>
      <c r="E1290" s="30">
        <f>H1289</f>
        <v>32.679999999999986</v>
      </c>
      <c r="F1290" s="37">
        <f>IFERROR('Production Inputs'!$AS$37*Dependencies!$D$15,0)</f>
        <v>0</v>
      </c>
      <c r="G1290" s="37">
        <f t="array" ref="G1290">IFERROR(SUMPRODUCT(('Production Inputs'!$A:$A="APC")*('Production Inputs'!$B:$B="TOTAL ACTIVE")*'Production Inputs'!$AS:$AS),0)</f>
        <v>0</v>
      </c>
      <c r="H1290" s="30">
        <f t="shared" si="140"/>
        <v>32.679999999999986</v>
      </c>
      <c r="I1290" s="30">
        <f ca="1">IFERROR(AVERAGEIF(OFFSET(F1290,0,0,MIN(Controls!$B$8,COUNTIF(B1290:B$1973,B1290)),1),"&gt;"&amp;0),0)</f>
        <v>0</v>
      </c>
      <c r="J1290" s="38">
        <f t="shared" ca="1" si="141"/>
        <v>999</v>
      </c>
      <c r="K1290" s="30">
        <f t="shared" ca="1" si="145"/>
        <v>0</v>
      </c>
      <c r="L1290" t="str">
        <f t="shared" ca="1" si="142"/>
        <v>Overstock</v>
      </c>
      <c r="M1290" s="39">
        <f>IFERROR(VLOOKUP("APC",Controls!A:I,7,0),6)</f>
        <v>4</v>
      </c>
      <c r="N1290" s="39">
        <f>IFERROR(VLOOKUP("APC",Controls!A:I,8,0),3)</f>
        <v>3</v>
      </c>
      <c r="O1290" s="39">
        <f>IFERROR(VLOOKUP("APC",Controls!A:I,9,0),18)</f>
        <v>12</v>
      </c>
      <c r="P1290" s="40">
        <f>IFERROR(VLOOKUP("APC",Controls!A:J,5,0),0)</f>
        <v>40</v>
      </c>
      <c r="Q1290" s="39">
        <f>IFERROR(VLOOKUP("APC",Controls!A:J,6,0),3)</f>
        <v>4</v>
      </c>
      <c r="R1290" s="21" t="str">
        <f>IFERROR(VLOOKUP("APC",Controls!A:K,10,0),"")</f>
        <v>ST Pharm</v>
      </c>
      <c r="S1290" s="41">
        <f t="shared" si="143"/>
        <v>46935</v>
      </c>
      <c r="T1290" s="30">
        <f t="shared" si="144"/>
        <v>0</v>
      </c>
      <c r="W1290" s="205" t="str" cm="1">
        <f t="array" ref="W1290">IF(33&lt;Controls!$B$7,INDEX(A1257:A1435,MATCH(Controls!$B$5,A1257:A1435,1)+33),"")</f>
        <v/>
      </c>
      <c r="X1290" t="str" cm="1">
        <f t="array" ref="X1290">IF(33&lt;Controls!$B$7,INDEX(F1257:F1435,MATCH(Controls!$B$5,A1257:A1435,1)+33),"")</f>
        <v/>
      </c>
      <c r="Y1290" t="str" cm="1">
        <f t="array" ref="Y1290">IF(33&lt;Controls!$B$7,INDEX(G1257:G1435,MATCH(Controls!$B$5,A1257:A1435,1)+33),"")</f>
        <v/>
      </c>
      <c r="Z1290" t="str" cm="1">
        <f t="array" ref="Z1290">IF(33&lt;Controls!$B$7,INDEX(H1257:H1435,MATCH(Controls!$B$5,A1257:A1435,1)+33),"")</f>
        <v/>
      </c>
      <c r="AA1290" t="str" cm="1">
        <f t="array" ref="AA1290">IF(33&lt;Controls!$B$7,INDEX(M1257:M1435,MATCH(Controls!$B$5,A1257:A1435,1)+33)*INDEX(I1257:I1435,MATCH(Controls!$B$5,A1257:A1435,1)+33),"")</f>
        <v/>
      </c>
      <c r="AB1290">
        <f t="shared" si="146"/>
        <v>86.240000000000009</v>
      </c>
    </row>
    <row r="1291" spans="1:28" ht="13" customHeight="1" x14ac:dyDescent="0.35">
      <c r="A1291" s="153">
        <v>47088</v>
      </c>
      <c r="B1291" s="36" t="s">
        <v>56</v>
      </c>
      <c r="C1291" s="15" t="s">
        <v>52</v>
      </c>
      <c r="D1291" s="15" t="s">
        <v>48</v>
      </c>
      <c r="E1291" s="30">
        <f>H1290</f>
        <v>32.679999999999986</v>
      </c>
      <c r="F1291" s="37">
        <f>IFERROR('Production Inputs'!$AT$37*Dependencies!$D$15,0)</f>
        <v>0</v>
      </c>
      <c r="G1291" s="37">
        <f t="array" ref="G1291">IFERROR(SUMPRODUCT(('Production Inputs'!$A:$A="APC")*('Production Inputs'!$B:$B="TOTAL ACTIVE")*'Production Inputs'!$AT:$AT),0)</f>
        <v>0</v>
      </c>
      <c r="H1291" s="30">
        <f t="shared" si="140"/>
        <v>32.679999999999986</v>
      </c>
      <c r="I1291" s="30">
        <f ca="1">IFERROR(AVERAGEIF(OFFSET(F1291,0,0,MIN(Controls!$B$8,COUNTIF(B1291:B$1973,B1291)),1),"&gt;"&amp;0),0)</f>
        <v>0</v>
      </c>
      <c r="J1291" s="38">
        <f t="shared" ca="1" si="141"/>
        <v>999</v>
      </c>
      <c r="K1291" s="30">
        <f t="shared" ca="1" si="145"/>
        <v>0</v>
      </c>
      <c r="L1291" t="str">
        <f t="shared" ca="1" si="142"/>
        <v>Overstock</v>
      </c>
      <c r="M1291" s="39">
        <f>IFERROR(VLOOKUP("APC",Controls!A:I,7,0),6)</f>
        <v>4</v>
      </c>
      <c r="N1291" s="39">
        <f>IFERROR(VLOOKUP("APC",Controls!A:I,8,0),3)</f>
        <v>3</v>
      </c>
      <c r="O1291" s="39">
        <f>IFERROR(VLOOKUP("APC",Controls!A:I,9,0),18)</f>
        <v>12</v>
      </c>
      <c r="P1291" s="40">
        <f>IFERROR(VLOOKUP("APC",Controls!A:J,5,0),0)</f>
        <v>40</v>
      </c>
      <c r="Q1291" s="39">
        <f>IFERROR(VLOOKUP("APC",Controls!A:J,6,0),3)</f>
        <v>4</v>
      </c>
      <c r="R1291" s="21" t="str">
        <f>IFERROR(VLOOKUP("APC",Controls!A:K,10,0),"")</f>
        <v>ST Pharm</v>
      </c>
      <c r="S1291" s="41">
        <f t="shared" si="143"/>
        <v>46966</v>
      </c>
      <c r="T1291" s="30">
        <f t="shared" si="144"/>
        <v>0</v>
      </c>
      <c r="W1291" s="205" t="str" cm="1">
        <f t="array" ref="W1291">IF(34&lt;Controls!$B$7,INDEX(A1257:A1435,MATCH(Controls!$B$5,A1257:A1435,1)+34),"")</f>
        <v/>
      </c>
      <c r="X1291" t="str" cm="1">
        <f t="array" ref="X1291">IF(34&lt;Controls!$B$7,INDEX(F1257:F1435,MATCH(Controls!$B$5,A1257:A1435,1)+34),"")</f>
        <v/>
      </c>
      <c r="Y1291" t="str" cm="1">
        <f t="array" ref="Y1291">IF(34&lt;Controls!$B$7,INDEX(G1257:G1435,MATCH(Controls!$B$5,A1257:A1435,1)+34),"")</f>
        <v/>
      </c>
      <c r="Z1291" t="str" cm="1">
        <f t="array" ref="Z1291">IF(34&lt;Controls!$B$7,INDEX(H1257:H1435,MATCH(Controls!$B$5,A1257:A1435,1)+34),"")</f>
        <v/>
      </c>
      <c r="AA1291" t="str" cm="1">
        <f t="array" ref="AA1291">IF(34&lt;Controls!$B$7,INDEX(M1257:M1435,MATCH(Controls!$B$5,A1257:A1435,1)+34)*INDEX(I1257:I1435,MATCH(Controls!$B$5,A1257:A1435,1)+34),"")</f>
        <v/>
      </c>
      <c r="AB1291">
        <f t="shared" si="146"/>
        <v>86.240000000000009</v>
      </c>
    </row>
    <row r="1292" spans="1:28" ht="13" customHeight="1" x14ac:dyDescent="0.35">
      <c r="A1292" s="153">
        <v>47119</v>
      </c>
      <c r="B1292" s="36" t="s">
        <v>56</v>
      </c>
      <c r="C1292" s="15" t="s">
        <v>52</v>
      </c>
      <c r="D1292" s="15" t="s">
        <v>48</v>
      </c>
      <c r="E1292" s="30">
        <f>H1291</f>
        <v>32.679999999999986</v>
      </c>
      <c r="F1292" s="37">
        <f>IFERROR('Production Inputs'!$AU$37*Dependencies!$D$15,0)</f>
        <v>0</v>
      </c>
      <c r="G1292" s="37">
        <f t="array" ref="G1292">IFERROR(SUMPRODUCT(('Production Inputs'!$A:$A="APC")*('Production Inputs'!$B:$B="TOTAL ACTIVE")*'Production Inputs'!$AU:$AU),0)</f>
        <v>0</v>
      </c>
      <c r="H1292" s="30">
        <f t="shared" si="140"/>
        <v>32.679999999999986</v>
      </c>
      <c r="I1292" s="30">
        <f ca="1">IFERROR(AVERAGEIF(OFFSET(F1292,0,0,MIN(Controls!$B$8,COUNTIF(B1292:B$1973,B1292)),1),"&gt;"&amp;0),0)</f>
        <v>0</v>
      </c>
      <c r="J1292" s="38">
        <f t="shared" ca="1" si="141"/>
        <v>999</v>
      </c>
      <c r="K1292" s="30">
        <f t="shared" ca="1" si="145"/>
        <v>0</v>
      </c>
      <c r="L1292" t="str">
        <f t="shared" ca="1" si="142"/>
        <v>Overstock</v>
      </c>
      <c r="M1292" s="39">
        <f>IFERROR(VLOOKUP("APC",Controls!A:I,7,0),6)</f>
        <v>4</v>
      </c>
      <c r="N1292" s="39">
        <f>IFERROR(VLOOKUP("APC",Controls!A:I,8,0),3)</f>
        <v>3</v>
      </c>
      <c r="O1292" s="39">
        <f>IFERROR(VLOOKUP("APC",Controls!A:I,9,0),18)</f>
        <v>12</v>
      </c>
      <c r="P1292" s="40">
        <f>IFERROR(VLOOKUP("APC",Controls!A:J,5,0),0)</f>
        <v>40</v>
      </c>
      <c r="Q1292" s="39">
        <f>IFERROR(VLOOKUP("APC",Controls!A:J,6,0),3)</f>
        <v>4</v>
      </c>
      <c r="R1292" s="21" t="str">
        <f>IFERROR(VLOOKUP("APC",Controls!A:K,10,0),"")</f>
        <v>ST Pharm</v>
      </c>
      <c r="S1292" s="41">
        <f t="shared" si="143"/>
        <v>46997</v>
      </c>
      <c r="T1292" s="30">
        <f t="shared" si="144"/>
        <v>0</v>
      </c>
      <c r="W1292" s="205" t="str" cm="1">
        <f t="array" ref="W1292">IF(35&lt;Controls!$B$7,INDEX(A1257:A1435,MATCH(Controls!$B$5,A1257:A1435,1)+35),"")</f>
        <v/>
      </c>
      <c r="X1292" t="str" cm="1">
        <f t="array" ref="X1292">IF(35&lt;Controls!$B$7,INDEX(F1257:F1435,MATCH(Controls!$B$5,A1257:A1435,1)+35),"")</f>
        <v/>
      </c>
      <c r="Y1292" t="str" cm="1">
        <f t="array" ref="Y1292">IF(35&lt;Controls!$B$7,INDEX(G1257:G1435,MATCH(Controls!$B$5,A1257:A1435,1)+35),"")</f>
        <v/>
      </c>
      <c r="Z1292" t="str" cm="1">
        <f t="array" ref="Z1292">IF(35&lt;Controls!$B$7,INDEX(H1257:H1435,MATCH(Controls!$B$5,A1257:A1435,1)+35),"")</f>
        <v/>
      </c>
      <c r="AA1292" t="str" cm="1">
        <f t="array" ref="AA1292">IF(35&lt;Controls!$B$7,INDEX(M1257:M1435,MATCH(Controls!$B$5,A1257:A1435,1)+35)*INDEX(I1257:I1435,MATCH(Controls!$B$5,A1257:A1435,1)+35),"")</f>
        <v/>
      </c>
      <c r="AB1292">
        <f t="shared" si="146"/>
        <v>86.240000000000009</v>
      </c>
    </row>
    <row r="1293" spans="1:28" ht="13" customHeight="1" x14ac:dyDescent="0.35">
      <c r="A1293" s="153">
        <v>47150</v>
      </c>
      <c r="B1293" s="36" t="s">
        <v>56</v>
      </c>
      <c r="C1293" s="15" t="s">
        <v>52</v>
      </c>
      <c r="D1293" s="15" t="s">
        <v>48</v>
      </c>
      <c r="E1293" s="30">
        <f>H1292</f>
        <v>32.679999999999986</v>
      </c>
      <c r="F1293" s="37">
        <f>IFERROR('Production Inputs'!$AV$37*Dependencies!$D$15,0)</f>
        <v>0</v>
      </c>
      <c r="G1293" s="37">
        <f t="array" ref="G1293">IFERROR(SUMPRODUCT(('Production Inputs'!$A:$A="APC")*('Production Inputs'!$B:$B="TOTAL ACTIVE")*'Production Inputs'!$AV:$AV),0)</f>
        <v>0</v>
      </c>
      <c r="H1293" s="30">
        <f t="shared" si="140"/>
        <v>32.679999999999986</v>
      </c>
      <c r="I1293" s="30">
        <f ca="1">IFERROR(AVERAGEIF(OFFSET(F1293,0,0,MIN(Controls!$B$8,COUNTIF(B1293:B$1973,B1293)),1),"&gt;"&amp;0),0)</f>
        <v>0</v>
      </c>
      <c r="J1293" s="38">
        <f t="shared" ca="1" si="141"/>
        <v>999</v>
      </c>
      <c r="K1293" s="30">
        <f t="shared" ca="1" si="145"/>
        <v>0</v>
      </c>
      <c r="L1293" t="str">
        <f t="shared" ca="1" si="142"/>
        <v>Overstock</v>
      </c>
      <c r="M1293" s="39">
        <f>IFERROR(VLOOKUP("APC",Controls!A:I,7,0),6)</f>
        <v>4</v>
      </c>
      <c r="N1293" s="39">
        <f>IFERROR(VLOOKUP("APC",Controls!A:I,8,0),3)</f>
        <v>3</v>
      </c>
      <c r="O1293" s="39">
        <f>IFERROR(VLOOKUP("APC",Controls!A:I,9,0),18)</f>
        <v>12</v>
      </c>
      <c r="P1293" s="40">
        <f>IFERROR(VLOOKUP("APC",Controls!A:J,5,0),0)</f>
        <v>40</v>
      </c>
      <c r="Q1293" s="39">
        <f>IFERROR(VLOOKUP("APC",Controls!A:J,6,0),3)</f>
        <v>4</v>
      </c>
      <c r="R1293" s="21" t="str">
        <f>IFERROR(VLOOKUP("APC",Controls!A:K,10,0),"")</f>
        <v>ST Pharm</v>
      </c>
      <c r="S1293" s="41">
        <f t="shared" si="143"/>
        <v>47027</v>
      </c>
      <c r="T1293" s="30">
        <f t="shared" si="144"/>
        <v>0</v>
      </c>
      <c r="AB1293">
        <f t="shared" si="146"/>
        <v>86.240000000000009</v>
      </c>
    </row>
    <row r="1294" spans="1:28" ht="13" customHeight="1" x14ac:dyDescent="0.35">
      <c r="A1294" s="153">
        <v>47178</v>
      </c>
      <c r="B1294" s="36" t="s">
        <v>56</v>
      </c>
      <c r="C1294" s="15" t="s">
        <v>52</v>
      </c>
      <c r="D1294" s="15" t="s">
        <v>48</v>
      </c>
      <c r="E1294" s="30">
        <f>H1293</f>
        <v>32.679999999999986</v>
      </c>
      <c r="F1294" s="37">
        <f>IFERROR('Production Inputs'!$AW$37*Dependencies!$D$15,0)</f>
        <v>0</v>
      </c>
      <c r="G1294" s="37">
        <f t="array" ref="G1294">IFERROR(SUMPRODUCT(('Production Inputs'!$A:$A="APC")*('Production Inputs'!$B:$B="TOTAL ACTIVE")*'Production Inputs'!$AW:$AW),0)</f>
        <v>0</v>
      </c>
      <c r="H1294" s="30">
        <f t="shared" si="140"/>
        <v>32.679999999999986</v>
      </c>
      <c r="I1294" s="30">
        <f ca="1">IFERROR(AVERAGEIF(OFFSET(F1294,0,0,MIN(Controls!$B$8,COUNTIF(B1294:B$1973,B1294)),1),"&gt;"&amp;0),0)</f>
        <v>0</v>
      </c>
      <c r="J1294" s="38">
        <f t="shared" ca="1" si="141"/>
        <v>999</v>
      </c>
      <c r="K1294" s="30">
        <f t="shared" ca="1" si="145"/>
        <v>0</v>
      </c>
      <c r="L1294" t="str">
        <f t="shared" ca="1" si="142"/>
        <v>Overstock</v>
      </c>
      <c r="M1294" s="39">
        <f>IFERROR(VLOOKUP("APC",Controls!A:I,7,0),6)</f>
        <v>4</v>
      </c>
      <c r="N1294" s="39">
        <f>IFERROR(VLOOKUP("APC",Controls!A:I,8,0),3)</f>
        <v>3</v>
      </c>
      <c r="O1294" s="39">
        <f>IFERROR(VLOOKUP("APC",Controls!A:I,9,0),18)</f>
        <v>12</v>
      </c>
      <c r="P1294" s="40">
        <f>IFERROR(VLOOKUP("APC",Controls!A:J,5,0),0)</f>
        <v>40</v>
      </c>
      <c r="Q1294" s="39">
        <f>IFERROR(VLOOKUP("APC",Controls!A:J,6,0),3)</f>
        <v>4</v>
      </c>
      <c r="R1294" s="21" t="str">
        <f>IFERROR(VLOOKUP("APC",Controls!A:K,10,0),"")</f>
        <v>ST Pharm</v>
      </c>
      <c r="S1294" s="41">
        <f t="shared" si="143"/>
        <v>47058</v>
      </c>
      <c r="T1294" s="30">
        <f t="shared" si="144"/>
        <v>0</v>
      </c>
      <c r="AB1294">
        <f t="shared" si="146"/>
        <v>86.240000000000009</v>
      </c>
    </row>
    <row r="1295" spans="1:28" ht="13" customHeight="1" x14ac:dyDescent="0.35">
      <c r="A1295" s="153">
        <v>47209</v>
      </c>
      <c r="B1295" s="36" t="s">
        <v>56</v>
      </c>
      <c r="C1295" s="15" t="s">
        <v>52</v>
      </c>
      <c r="D1295" s="15" t="s">
        <v>48</v>
      </c>
      <c r="E1295" s="30">
        <f>H1294</f>
        <v>32.679999999999986</v>
      </c>
      <c r="F1295" s="37">
        <f>IFERROR('Production Inputs'!$AX$37*Dependencies!$D$15,0)</f>
        <v>0</v>
      </c>
      <c r="G1295" s="37">
        <f t="array" ref="G1295">IFERROR(SUMPRODUCT(('Production Inputs'!$A:$A="APC")*('Production Inputs'!$B:$B="TOTAL ACTIVE")*'Production Inputs'!$AX:$AX),0)</f>
        <v>0</v>
      </c>
      <c r="H1295" s="30">
        <f t="shared" si="140"/>
        <v>32.679999999999986</v>
      </c>
      <c r="I1295" s="30">
        <f ca="1">IFERROR(AVERAGEIF(OFFSET(F1295,0,0,MIN(Controls!$B$8,COUNTIF(B1295:B$1973,B1295)),1),"&gt;"&amp;0),0)</f>
        <v>0</v>
      </c>
      <c r="J1295" s="38">
        <f t="shared" ca="1" si="141"/>
        <v>999</v>
      </c>
      <c r="K1295" s="30">
        <f t="shared" ca="1" si="145"/>
        <v>0</v>
      </c>
      <c r="L1295" t="str">
        <f t="shared" ca="1" si="142"/>
        <v>Overstock</v>
      </c>
      <c r="M1295" s="39">
        <f>IFERROR(VLOOKUP("APC",Controls!A:I,7,0),6)</f>
        <v>4</v>
      </c>
      <c r="N1295" s="39">
        <f>IFERROR(VLOOKUP("APC",Controls!A:I,8,0),3)</f>
        <v>3</v>
      </c>
      <c r="O1295" s="39">
        <f>IFERROR(VLOOKUP("APC",Controls!A:I,9,0),18)</f>
        <v>12</v>
      </c>
      <c r="P1295" s="40">
        <f>IFERROR(VLOOKUP("APC",Controls!A:J,5,0),0)</f>
        <v>40</v>
      </c>
      <c r="Q1295" s="39">
        <f>IFERROR(VLOOKUP("APC",Controls!A:J,6,0),3)</f>
        <v>4</v>
      </c>
      <c r="R1295" s="21" t="str">
        <f>IFERROR(VLOOKUP("APC",Controls!A:K,10,0),"")</f>
        <v>ST Pharm</v>
      </c>
      <c r="S1295" s="41">
        <f t="shared" si="143"/>
        <v>47088</v>
      </c>
      <c r="T1295" s="30">
        <f t="shared" si="144"/>
        <v>0</v>
      </c>
      <c r="AB1295">
        <f t="shared" si="146"/>
        <v>86.240000000000009</v>
      </c>
    </row>
    <row r="1296" spans="1:28" ht="13" customHeight="1" x14ac:dyDescent="0.35">
      <c r="A1296" s="153">
        <v>47239</v>
      </c>
      <c r="B1296" s="36" t="s">
        <v>56</v>
      </c>
      <c r="C1296" s="15" t="s">
        <v>52</v>
      </c>
      <c r="D1296" s="15" t="s">
        <v>48</v>
      </c>
      <c r="E1296" s="30">
        <f>H1295</f>
        <v>32.679999999999986</v>
      </c>
      <c r="F1296" s="37">
        <f>IFERROR('Production Inputs'!$AY$37*Dependencies!$D$15,0)</f>
        <v>0</v>
      </c>
      <c r="G1296" s="37">
        <f t="array" ref="G1296">IFERROR(SUMPRODUCT(('Production Inputs'!$A:$A="APC")*('Production Inputs'!$B:$B="TOTAL ACTIVE")*'Production Inputs'!$AY:$AY),0)</f>
        <v>0</v>
      </c>
      <c r="H1296" s="30">
        <f t="shared" si="140"/>
        <v>32.679999999999986</v>
      </c>
      <c r="I1296" s="30">
        <f ca="1">IFERROR(AVERAGEIF(OFFSET(F1296,0,0,MIN(Controls!$B$8,COUNTIF(B1296:B$1973,B1296)),1),"&gt;"&amp;0),0)</f>
        <v>0</v>
      </c>
      <c r="J1296" s="38">
        <f t="shared" ca="1" si="141"/>
        <v>999</v>
      </c>
      <c r="K1296" s="30">
        <f t="shared" ca="1" si="145"/>
        <v>0</v>
      </c>
      <c r="L1296" t="str">
        <f t="shared" ca="1" si="142"/>
        <v>Overstock</v>
      </c>
      <c r="M1296" s="39">
        <f>IFERROR(VLOOKUP("APC",Controls!A:I,7,0),6)</f>
        <v>4</v>
      </c>
      <c r="N1296" s="39">
        <f>IFERROR(VLOOKUP("APC",Controls!A:I,8,0),3)</f>
        <v>3</v>
      </c>
      <c r="O1296" s="39">
        <f>IFERROR(VLOOKUP("APC",Controls!A:I,9,0),18)</f>
        <v>12</v>
      </c>
      <c r="P1296" s="40">
        <f>IFERROR(VLOOKUP("APC",Controls!A:J,5,0),0)</f>
        <v>40</v>
      </c>
      <c r="Q1296" s="39">
        <f>IFERROR(VLOOKUP("APC",Controls!A:J,6,0),3)</f>
        <v>4</v>
      </c>
      <c r="R1296" s="21" t="str">
        <f>IFERROR(VLOOKUP("APC",Controls!A:K,10,0),"")</f>
        <v>ST Pharm</v>
      </c>
      <c r="S1296" s="41">
        <f t="shared" si="143"/>
        <v>47119</v>
      </c>
      <c r="T1296" s="30">
        <f t="shared" si="144"/>
        <v>0</v>
      </c>
      <c r="AB1296">
        <f t="shared" si="146"/>
        <v>86.240000000000009</v>
      </c>
    </row>
    <row r="1297" spans="1:28" ht="13" customHeight="1" x14ac:dyDescent="0.35">
      <c r="A1297" s="153">
        <v>47270</v>
      </c>
      <c r="B1297" s="36" t="s">
        <v>56</v>
      </c>
      <c r="C1297" s="15" t="s">
        <v>52</v>
      </c>
      <c r="D1297" s="15" t="s">
        <v>48</v>
      </c>
      <c r="E1297" s="30">
        <f>H1296</f>
        <v>32.679999999999986</v>
      </c>
      <c r="F1297" s="37">
        <f>IFERROR('Production Inputs'!$AZ$37*Dependencies!$D$15,0)</f>
        <v>0</v>
      </c>
      <c r="G1297" s="37">
        <f t="array" ref="G1297">IFERROR(SUMPRODUCT(('Production Inputs'!$A:$A="APC")*('Production Inputs'!$B:$B="TOTAL ACTIVE")*'Production Inputs'!$AZ:$AZ),0)</f>
        <v>0</v>
      </c>
      <c r="H1297" s="30">
        <f t="shared" si="140"/>
        <v>32.679999999999986</v>
      </c>
      <c r="I1297" s="30">
        <f ca="1">IFERROR(AVERAGEIF(OFFSET(F1297,0,0,MIN(Controls!$B$8,COUNTIF(B1297:B$1973,B1297)),1),"&gt;"&amp;0),0)</f>
        <v>0</v>
      </c>
      <c r="J1297" s="38">
        <f t="shared" ca="1" si="141"/>
        <v>999</v>
      </c>
      <c r="K1297" s="30">
        <f t="shared" ca="1" si="145"/>
        <v>0</v>
      </c>
      <c r="L1297" t="str">
        <f t="shared" ca="1" si="142"/>
        <v>Overstock</v>
      </c>
      <c r="M1297" s="39">
        <f>IFERROR(VLOOKUP("APC",Controls!A:I,7,0),6)</f>
        <v>4</v>
      </c>
      <c r="N1297" s="39">
        <f>IFERROR(VLOOKUP("APC",Controls!A:I,8,0),3)</f>
        <v>3</v>
      </c>
      <c r="O1297" s="39">
        <f>IFERROR(VLOOKUP("APC",Controls!A:I,9,0),18)</f>
        <v>12</v>
      </c>
      <c r="P1297" s="40">
        <f>IFERROR(VLOOKUP("APC",Controls!A:J,5,0),0)</f>
        <v>40</v>
      </c>
      <c r="Q1297" s="39">
        <f>IFERROR(VLOOKUP("APC",Controls!A:J,6,0),3)</f>
        <v>4</v>
      </c>
      <c r="R1297" s="21" t="str">
        <f>IFERROR(VLOOKUP("APC",Controls!A:K,10,0),"")</f>
        <v>ST Pharm</v>
      </c>
      <c r="S1297" s="41">
        <f t="shared" si="143"/>
        <v>47150</v>
      </c>
      <c r="T1297" s="30">
        <f t="shared" si="144"/>
        <v>0</v>
      </c>
      <c r="AB1297">
        <f t="shared" si="146"/>
        <v>86.240000000000009</v>
      </c>
    </row>
    <row r="1298" spans="1:28" ht="13" customHeight="1" x14ac:dyDescent="0.35">
      <c r="A1298" s="153">
        <v>47300</v>
      </c>
      <c r="B1298" s="36" t="s">
        <v>56</v>
      </c>
      <c r="C1298" s="15" t="s">
        <v>52</v>
      </c>
      <c r="D1298" s="15" t="s">
        <v>48</v>
      </c>
      <c r="E1298" s="30">
        <f>H1297</f>
        <v>32.679999999999986</v>
      </c>
      <c r="F1298" s="37">
        <f>IFERROR('Production Inputs'!$BA$37*Dependencies!$D$15,0)</f>
        <v>0</v>
      </c>
      <c r="G1298" s="37">
        <f t="array" ref="G1298">IFERROR(SUMPRODUCT(('Production Inputs'!$A:$A="APC")*('Production Inputs'!$B:$B="TOTAL ACTIVE")*'Production Inputs'!$BA:$BA),0)</f>
        <v>0</v>
      </c>
      <c r="H1298" s="30">
        <f t="shared" si="140"/>
        <v>32.679999999999986</v>
      </c>
      <c r="I1298" s="30">
        <f ca="1">IFERROR(AVERAGEIF(OFFSET(F1298,0,0,MIN(Controls!$B$8,COUNTIF(B1298:B$1973,B1298)),1),"&gt;"&amp;0),0)</f>
        <v>0</v>
      </c>
      <c r="J1298" s="38">
        <f t="shared" ca="1" si="141"/>
        <v>999</v>
      </c>
      <c r="K1298" s="30">
        <f t="shared" ca="1" si="145"/>
        <v>0</v>
      </c>
      <c r="L1298" t="str">
        <f t="shared" ca="1" si="142"/>
        <v>Overstock</v>
      </c>
      <c r="M1298" s="39">
        <f>IFERROR(VLOOKUP("APC",Controls!A:I,7,0),6)</f>
        <v>4</v>
      </c>
      <c r="N1298" s="39">
        <f>IFERROR(VLOOKUP("APC",Controls!A:I,8,0),3)</f>
        <v>3</v>
      </c>
      <c r="O1298" s="39">
        <f>IFERROR(VLOOKUP("APC",Controls!A:I,9,0),18)</f>
        <v>12</v>
      </c>
      <c r="P1298" s="40">
        <f>IFERROR(VLOOKUP("APC",Controls!A:J,5,0),0)</f>
        <v>40</v>
      </c>
      <c r="Q1298" s="39">
        <f>IFERROR(VLOOKUP("APC",Controls!A:J,6,0),3)</f>
        <v>4</v>
      </c>
      <c r="R1298" s="21" t="str">
        <f>IFERROR(VLOOKUP("APC",Controls!A:K,10,0),"")</f>
        <v>ST Pharm</v>
      </c>
      <c r="S1298" s="41">
        <f t="shared" si="143"/>
        <v>47178</v>
      </c>
      <c r="T1298" s="30">
        <f t="shared" si="144"/>
        <v>0</v>
      </c>
      <c r="AB1298">
        <f t="shared" si="146"/>
        <v>86.240000000000009</v>
      </c>
    </row>
    <row r="1299" spans="1:28" ht="13" customHeight="1" x14ac:dyDescent="0.35">
      <c r="A1299" s="153">
        <v>47331</v>
      </c>
      <c r="B1299" s="36" t="s">
        <v>56</v>
      </c>
      <c r="C1299" s="15" t="s">
        <v>52</v>
      </c>
      <c r="D1299" s="15" t="s">
        <v>48</v>
      </c>
      <c r="E1299" s="30">
        <f>H1298</f>
        <v>32.679999999999986</v>
      </c>
      <c r="F1299" s="37">
        <f>IFERROR('Production Inputs'!$BB$37*Dependencies!$D$15,0)</f>
        <v>0</v>
      </c>
      <c r="G1299" s="37">
        <f t="array" ref="G1299">IFERROR(SUMPRODUCT(('Production Inputs'!$A:$A="APC")*('Production Inputs'!$B:$B="TOTAL ACTIVE")*'Production Inputs'!$BB:$BB),0)</f>
        <v>0</v>
      </c>
      <c r="H1299" s="30">
        <f t="shared" si="140"/>
        <v>32.679999999999986</v>
      </c>
      <c r="I1299" s="30">
        <f ca="1">IFERROR(AVERAGEIF(OFFSET(F1299,0,0,MIN(Controls!$B$8,COUNTIF(B1299:B$1973,B1299)),1),"&gt;"&amp;0),0)</f>
        <v>0</v>
      </c>
      <c r="J1299" s="38">
        <f t="shared" ca="1" si="141"/>
        <v>999</v>
      </c>
      <c r="K1299" s="30">
        <f t="shared" ca="1" si="145"/>
        <v>0</v>
      </c>
      <c r="L1299" t="str">
        <f t="shared" ca="1" si="142"/>
        <v>Overstock</v>
      </c>
      <c r="M1299" s="39">
        <f>IFERROR(VLOOKUP("APC",Controls!A:I,7,0),6)</f>
        <v>4</v>
      </c>
      <c r="N1299" s="39">
        <f>IFERROR(VLOOKUP("APC",Controls!A:I,8,0),3)</f>
        <v>3</v>
      </c>
      <c r="O1299" s="39">
        <f>IFERROR(VLOOKUP("APC",Controls!A:I,9,0),18)</f>
        <v>12</v>
      </c>
      <c r="P1299" s="40">
        <f>IFERROR(VLOOKUP("APC",Controls!A:J,5,0),0)</f>
        <v>40</v>
      </c>
      <c r="Q1299" s="39">
        <f>IFERROR(VLOOKUP("APC",Controls!A:J,6,0),3)</f>
        <v>4</v>
      </c>
      <c r="R1299" s="21" t="str">
        <f>IFERROR(VLOOKUP("APC",Controls!A:K,10,0),"")</f>
        <v>ST Pharm</v>
      </c>
      <c r="S1299" s="41">
        <f t="shared" si="143"/>
        <v>47209</v>
      </c>
      <c r="T1299" s="30">
        <f t="shared" si="144"/>
        <v>0</v>
      </c>
      <c r="AB1299">
        <f t="shared" si="146"/>
        <v>86.240000000000009</v>
      </c>
    </row>
    <row r="1300" spans="1:28" ht="13" customHeight="1" x14ac:dyDescent="0.35">
      <c r="A1300" s="153">
        <v>47362</v>
      </c>
      <c r="B1300" s="36" t="s">
        <v>56</v>
      </c>
      <c r="C1300" s="15" t="s">
        <v>52</v>
      </c>
      <c r="D1300" s="15" t="s">
        <v>48</v>
      </c>
      <c r="E1300" s="30">
        <f>H1299</f>
        <v>32.679999999999986</v>
      </c>
      <c r="F1300" s="37">
        <f>IFERROR('Production Inputs'!$BC$37*Dependencies!$D$15,0)</f>
        <v>0</v>
      </c>
      <c r="G1300" s="37">
        <f t="array" ref="G1300">IFERROR(SUMPRODUCT(('Production Inputs'!$A:$A="APC")*('Production Inputs'!$B:$B="TOTAL ACTIVE")*'Production Inputs'!$BC:$BC),0)</f>
        <v>0</v>
      </c>
      <c r="H1300" s="30">
        <f t="shared" si="140"/>
        <v>32.679999999999986</v>
      </c>
      <c r="I1300" s="30">
        <f ca="1">IFERROR(AVERAGEIF(OFFSET(F1300,0,0,MIN(Controls!$B$8,COUNTIF(B1300:B$1973,B1300)),1),"&gt;"&amp;0),0)</f>
        <v>0</v>
      </c>
      <c r="J1300" s="38">
        <f t="shared" ca="1" si="141"/>
        <v>999</v>
      </c>
      <c r="K1300" s="30">
        <f t="shared" ca="1" si="145"/>
        <v>0</v>
      </c>
      <c r="L1300" t="str">
        <f t="shared" ca="1" si="142"/>
        <v>Overstock</v>
      </c>
      <c r="M1300" s="39">
        <f>IFERROR(VLOOKUP("APC",Controls!A:I,7,0),6)</f>
        <v>4</v>
      </c>
      <c r="N1300" s="39">
        <f>IFERROR(VLOOKUP("APC",Controls!A:I,8,0),3)</f>
        <v>3</v>
      </c>
      <c r="O1300" s="39">
        <f>IFERROR(VLOOKUP("APC",Controls!A:I,9,0),18)</f>
        <v>12</v>
      </c>
      <c r="P1300" s="40">
        <f>IFERROR(VLOOKUP("APC",Controls!A:J,5,0),0)</f>
        <v>40</v>
      </c>
      <c r="Q1300" s="39">
        <f>IFERROR(VLOOKUP("APC",Controls!A:J,6,0),3)</f>
        <v>4</v>
      </c>
      <c r="R1300" s="21" t="str">
        <f>IFERROR(VLOOKUP("APC",Controls!A:K,10,0),"")</f>
        <v>ST Pharm</v>
      </c>
      <c r="S1300" s="41">
        <f t="shared" si="143"/>
        <v>47239</v>
      </c>
      <c r="T1300" s="30">
        <f t="shared" si="144"/>
        <v>0</v>
      </c>
      <c r="AB1300">
        <f t="shared" si="146"/>
        <v>86.240000000000009</v>
      </c>
    </row>
    <row r="1301" spans="1:28" ht="13" customHeight="1" x14ac:dyDescent="0.35">
      <c r="A1301" s="153">
        <v>47392</v>
      </c>
      <c r="B1301" s="36" t="s">
        <v>56</v>
      </c>
      <c r="C1301" s="15" t="s">
        <v>52</v>
      </c>
      <c r="D1301" s="15" t="s">
        <v>48</v>
      </c>
      <c r="E1301" s="30">
        <f>H1300</f>
        <v>32.679999999999986</v>
      </c>
      <c r="F1301" s="37">
        <f>IFERROR('Production Inputs'!$BD$37*Dependencies!$D$15,0)</f>
        <v>0</v>
      </c>
      <c r="G1301" s="37">
        <f t="array" ref="G1301">IFERROR(SUMPRODUCT(('Production Inputs'!$A:$A="APC")*('Production Inputs'!$B:$B="TOTAL ACTIVE")*'Production Inputs'!$BD:$BD),0)</f>
        <v>0</v>
      </c>
      <c r="H1301" s="30">
        <f t="shared" si="140"/>
        <v>32.679999999999986</v>
      </c>
      <c r="I1301" s="30">
        <f ca="1">IFERROR(AVERAGEIF(OFFSET(F1301,0,0,MIN(Controls!$B$8,COUNTIF(B1301:B$1973,B1301)),1),"&gt;"&amp;0),0)</f>
        <v>0</v>
      </c>
      <c r="J1301" s="38">
        <f t="shared" ca="1" si="141"/>
        <v>999</v>
      </c>
      <c r="K1301" s="30">
        <f t="shared" ca="1" si="145"/>
        <v>0</v>
      </c>
      <c r="L1301" t="str">
        <f t="shared" ca="1" si="142"/>
        <v>Overstock</v>
      </c>
      <c r="M1301" s="39">
        <f>IFERROR(VLOOKUP("APC",Controls!A:I,7,0),6)</f>
        <v>4</v>
      </c>
      <c r="N1301" s="39">
        <f>IFERROR(VLOOKUP("APC",Controls!A:I,8,0),3)</f>
        <v>3</v>
      </c>
      <c r="O1301" s="39">
        <f>IFERROR(VLOOKUP("APC",Controls!A:I,9,0),18)</f>
        <v>12</v>
      </c>
      <c r="P1301" s="40">
        <f>IFERROR(VLOOKUP("APC",Controls!A:J,5,0),0)</f>
        <v>40</v>
      </c>
      <c r="Q1301" s="39">
        <f>IFERROR(VLOOKUP("APC",Controls!A:J,6,0),3)</f>
        <v>4</v>
      </c>
      <c r="R1301" s="21" t="str">
        <f>IFERROR(VLOOKUP("APC",Controls!A:K,10,0),"")</f>
        <v>ST Pharm</v>
      </c>
      <c r="S1301" s="41">
        <f t="shared" si="143"/>
        <v>47270</v>
      </c>
      <c r="T1301" s="30">
        <f t="shared" si="144"/>
        <v>0</v>
      </c>
      <c r="AB1301">
        <f t="shared" si="146"/>
        <v>86.240000000000009</v>
      </c>
    </row>
    <row r="1302" spans="1:28" ht="13" customHeight="1" x14ac:dyDescent="0.35">
      <c r="A1302" s="153">
        <v>47423</v>
      </c>
      <c r="B1302" s="36" t="s">
        <v>56</v>
      </c>
      <c r="C1302" s="15" t="s">
        <v>52</v>
      </c>
      <c r="D1302" s="15" t="s">
        <v>48</v>
      </c>
      <c r="E1302" s="30">
        <f>H1301</f>
        <v>32.679999999999986</v>
      </c>
      <c r="F1302" s="37">
        <f>IFERROR('Production Inputs'!$BE$37*Dependencies!$D$15,0)</f>
        <v>0</v>
      </c>
      <c r="G1302" s="37">
        <f t="array" ref="G1302">IFERROR(SUMPRODUCT(('Production Inputs'!$A:$A="APC")*('Production Inputs'!$B:$B="TOTAL ACTIVE")*'Production Inputs'!$BE:$BE),0)</f>
        <v>0</v>
      </c>
      <c r="H1302" s="30">
        <f t="shared" si="140"/>
        <v>32.679999999999986</v>
      </c>
      <c r="I1302" s="30">
        <f ca="1">IFERROR(AVERAGEIF(OFFSET(F1302,0,0,MIN(Controls!$B$8,COUNTIF(B1302:B$1973,B1302)),1),"&gt;"&amp;0),0)</f>
        <v>0</v>
      </c>
      <c r="J1302" s="38">
        <f t="shared" ca="1" si="141"/>
        <v>999</v>
      </c>
      <c r="K1302" s="30">
        <f t="shared" ca="1" si="145"/>
        <v>0</v>
      </c>
      <c r="L1302" t="str">
        <f t="shared" ca="1" si="142"/>
        <v>Overstock</v>
      </c>
      <c r="M1302" s="39">
        <f>IFERROR(VLOOKUP("APC",Controls!A:I,7,0),6)</f>
        <v>4</v>
      </c>
      <c r="N1302" s="39">
        <f>IFERROR(VLOOKUP("APC",Controls!A:I,8,0),3)</f>
        <v>3</v>
      </c>
      <c r="O1302" s="39">
        <f>IFERROR(VLOOKUP("APC",Controls!A:I,9,0),18)</f>
        <v>12</v>
      </c>
      <c r="P1302" s="40">
        <f>IFERROR(VLOOKUP("APC",Controls!A:J,5,0),0)</f>
        <v>40</v>
      </c>
      <c r="Q1302" s="39">
        <f>IFERROR(VLOOKUP("APC",Controls!A:J,6,0),3)</f>
        <v>4</v>
      </c>
      <c r="R1302" s="21" t="str">
        <f>IFERROR(VLOOKUP("APC",Controls!A:K,10,0),"")</f>
        <v>ST Pharm</v>
      </c>
      <c r="S1302" s="41">
        <f t="shared" si="143"/>
        <v>47300</v>
      </c>
      <c r="T1302" s="30">
        <f t="shared" si="144"/>
        <v>0</v>
      </c>
      <c r="AB1302">
        <f t="shared" si="146"/>
        <v>86.240000000000009</v>
      </c>
    </row>
    <row r="1303" spans="1:28" ht="13" customHeight="1" x14ac:dyDescent="0.35">
      <c r="A1303" s="153">
        <v>47453</v>
      </c>
      <c r="B1303" s="36" t="s">
        <v>56</v>
      </c>
      <c r="C1303" s="15" t="s">
        <v>52</v>
      </c>
      <c r="D1303" s="15" t="s">
        <v>48</v>
      </c>
      <c r="E1303" s="30">
        <f>H1302</f>
        <v>32.679999999999986</v>
      </c>
      <c r="F1303" s="37">
        <f>IFERROR('Production Inputs'!$BF$37*Dependencies!$D$15,0)</f>
        <v>0</v>
      </c>
      <c r="G1303" s="37">
        <f t="array" ref="G1303">IFERROR(SUMPRODUCT(('Production Inputs'!$A:$A="APC")*('Production Inputs'!$B:$B="TOTAL ACTIVE")*'Production Inputs'!$BF:$BF),0)</f>
        <v>0</v>
      </c>
      <c r="H1303" s="30">
        <f t="shared" si="140"/>
        <v>32.679999999999986</v>
      </c>
      <c r="I1303" s="30">
        <f ca="1">IFERROR(AVERAGEIF(OFFSET(F1303,0,0,MIN(Controls!$B$8,COUNTIF(B1303:B$1973,B1303)),1),"&gt;"&amp;0),0)</f>
        <v>0</v>
      </c>
      <c r="J1303" s="38">
        <f t="shared" ca="1" si="141"/>
        <v>999</v>
      </c>
      <c r="K1303" s="30">
        <f t="shared" ca="1" si="145"/>
        <v>0</v>
      </c>
      <c r="L1303" t="str">
        <f t="shared" ca="1" si="142"/>
        <v>Overstock</v>
      </c>
      <c r="M1303" s="39">
        <f>IFERROR(VLOOKUP("APC",Controls!A:I,7,0),6)</f>
        <v>4</v>
      </c>
      <c r="N1303" s="39">
        <f>IFERROR(VLOOKUP("APC",Controls!A:I,8,0),3)</f>
        <v>3</v>
      </c>
      <c r="O1303" s="39">
        <f>IFERROR(VLOOKUP("APC",Controls!A:I,9,0),18)</f>
        <v>12</v>
      </c>
      <c r="P1303" s="40">
        <f>IFERROR(VLOOKUP("APC",Controls!A:J,5,0),0)</f>
        <v>40</v>
      </c>
      <c r="Q1303" s="39">
        <f>IFERROR(VLOOKUP("APC",Controls!A:J,6,0),3)</f>
        <v>4</v>
      </c>
      <c r="R1303" s="21" t="str">
        <f>IFERROR(VLOOKUP("APC",Controls!A:K,10,0),"")</f>
        <v>ST Pharm</v>
      </c>
      <c r="S1303" s="41">
        <f t="shared" si="143"/>
        <v>47331</v>
      </c>
      <c r="T1303" s="30">
        <f t="shared" si="144"/>
        <v>0</v>
      </c>
      <c r="AB1303">
        <f t="shared" si="146"/>
        <v>86.240000000000009</v>
      </c>
    </row>
    <row r="1304" spans="1:28" ht="13" customHeight="1" x14ac:dyDescent="0.35">
      <c r="A1304" s="153">
        <v>47484</v>
      </c>
      <c r="B1304" s="36" t="s">
        <v>56</v>
      </c>
      <c r="C1304" s="15" t="s">
        <v>52</v>
      </c>
      <c r="D1304" s="15" t="s">
        <v>48</v>
      </c>
      <c r="E1304" s="30">
        <f>H1303</f>
        <v>32.679999999999986</v>
      </c>
      <c r="F1304" s="37">
        <f>IFERROR('Production Inputs'!$BG$37*Dependencies!$D$15,0)</f>
        <v>0</v>
      </c>
      <c r="G1304" s="37">
        <f t="array" ref="G1304">IFERROR(SUMPRODUCT(('Production Inputs'!$A:$A="APC")*('Production Inputs'!$B:$B="TOTAL ACTIVE")*'Production Inputs'!$BG:$BG),0)</f>
        <v>0</v>
      </c>
      <c r="H1304" s="30">
        <f t="shared" si="140"/>
        <v>32.679999999999986</v>
      </c>
      <c r="I1304" s="30">
        <f ca="1">IFERROR(AVERAGEIF(OFFSET(F1304,0,0,MIN(Controls!$B$8,COUNTIF(B1304:B$1973,B1304)),1),"&gt;"&amp;0),0)</f>
        <v>0</v>
      </c>
      <c r="J1304" s="38">
        <f t="shared" ca="1" si="141"/>
        <v>999</v>
      </c>
      <c r="K1304" s="30">
        <f t="shared" ca="1" si="145"/>
        <v>0</v>
      </c>
      <c r="L1304" t="str">
        <f t="shared" ca="1" si="142"/>
        <v>Overstock</v>
      </c>
      <c r="M1304" s="39">
        <f>IFERROR(VLOOKUP("APC",Controls!A:I,7,0),6)</f>
        <v>4</v>
      </c>
      <c r="N1304" s="39">
        <f>IFERROR(VLOOKUP("APC",Controls!A:I,8,0),3)</f>
        <v>3</v>
      </c>
      <c r="O1304" s="39">
        <f>IFERROR(VLOOKUP("APC",Controls!A:I,9,0),18)</f>
        <v>12</v>
      </c>
      <c r="P1304" s="40">
        <f>IFERROR(VLOOKUP("APC",Controls!A:J,5,0),0)</f>
        <v>40</v>
      </c>
      <c r="Q1304" s="39">
        <f>IFERROR(VLOOKUP("APC",Controls!A:J,6,0),3)</f>
        <v>4</v>
      </c>
      <c r="R1304" s="21" t="str">
        <f>IFERROR(VLOOKUP("APC",Controls!A:K,10,0),"")</f>
        <v>ST Pharm</v>
      </c>
      <c r="S1304" s="41">
        <f t="shared" si="143"/>
        <v>47362</v>
      </c>
      <c r="T1304" s="30">
        <f t="shared" si="144"/>
        <v>0</v>
      </c>
      <c r="AB1304">
        <f t="shared" si="146"/>
        <v>86.240000000000009</v>
      </c>
    </row>
    <row r="1305" spans="1:28" ht="13" customHeight="1" x14ac:dyDescent="0.35">
      <c r="A1305" s="153">
        <v>47515</v>
      </c>
      <c r="B1305" s="36" t="s">
        <v>56</v>
      </c>
      <c r="C1305" s="15" t="s">
        <v>52</v>
      </c>
      <c r="D1305" s="15" t="s">
        <v>48</v>
      </c>
      <c r="E1305" s="30">
        <f>H1304</f>
        <v>32.679999999999986</v>
      </c>
      <c r="F1305" s="37">
        <f>IFERROR('Production Inputs'!$BH$37*Dependencies!$D$15,0)</f>
        <v>0</v>
      </c>
      <c r="G1305" s="37">
        <f t="array" ref="G1305">IFERROR(SUMPRODUCT(('Production Inputs'!$A:$A="APC")*('Production Inputs'!$B:$B="TOTAL ACTIVE")*'Production Inputs'!$BH:$BH),0)</f>
        <v>0</v>
      </c>
      <c r="H1305" s="30">
        <f t="shared" si="140"/>
        <v>32.679999999999986</v>
      </c>
      <c r="I1305" s="30">
        <f ca="1">IFERROR(AVERAGEIF(OFFSET(F1305,0,0,MIN(Controls!$B$8,COUNTIF(B1305:B$1973,B1305)),1),"&gt;"&amp;0),0)</f>
        <v>0</v>
      </c>
      <c r="J1305" s="38">
        <f t="shared" ca="1" si="141"/>
        <v>999</v>
      </c>
      <c r="K1305" s="30">
        <f t="shared" ca="1" si="145"/>
        <v>0</v>
      </c>
      <c r="L1305" t="str">
        <f t="shared" ca="1" si="142"/>
        <v>Overstock</v>
      </c>
      <c r="M1305" s="39">
        <f>IFERROR(VLOOKUP("APC",Controls!A:I,7,0),6)</f>
        <v>4</v>
      </c>
      <c r="N1305" s="39">
        <f>IFERROR(VLOOKUP("APC",Controls!A:I,8,0),3)</f>
        <v>3</v>
      </c>
      <c r="O1305" s="39">
        <f>IFERROR(VLOOKUP("APC",Controls!A:I,9,0),18)</f>
        <v>12</v>
      </c>
      <c r="P1305" s="40">
        <f>IFERROR(VLOOKUP("APC",Controls!A:J,5,0),0)</f>
        <v>40</v>
      </c>
      <c r="Q1305" s="39">
        <f>IFERROR(VLOOKUP("APC",Controls!A:J,6,0),3)</f>
        <v>4</v>
      </c>
      <c r="R1305" s="21" t="str">
        <f>IFERROR(VLOOKUP("APC",Controls!A:K,10,0),"")</f>
        <v>ST Pharm</v>
      </c>
      <c r="S1305" s="41">
        <f t="shared" si="143"/>
        <v>47392</v>
      </c>
      <c r="T1305" s="30">
        <f t="shared" si="144"/>
        <v>0</v>
      </c>
      <c r="AB1305">
        <f t="shared" si="146"/>
        <v>86.240000000000009</v>
      </c>
    </row>
    <row r="1306" spans="1:28" ht="13" customHeight="1" x14ac:dyDescent="0.35">
      <c r="A1306" s="153">
        <v>47543</v>
      </c>
      <c r="B1306" s="36" t="s">
        <v>56</v>
      </c>
      <c r="C1306" s="15" t="s">
        <v>52</v>
      </c>
      <c r="D1306" s="15" t="s">
        <v>48</v>
      </c>
      <c r="E1306" s="30">
        <f>H1305</f>
        <v>32.679999999999986</v>
      </c>
      <c r="F1306" s="37">
        <f>IFERROR('Production Inputs'!$BI$37*Dependencies!$D$15,0)</f>
        <v>0</v>
      </c>
      <c r="G1306" s="37">
        <f t="array" ref="G1306">IFERROR(SUMPRODUCT(('Production Inputs'!$A:$A="APC")*('Production Inputs'!$B:$B="TOTAL ACTIVE")*'Production Inputs'!$BI:$BI),0)</f>
        <v>0</v>
      </c>
      <c r="H1306" s="30">
        <f t="shared" si="140"/>
        <v>32.679999999999986</v>
      </c>
      <c r="I1306" s="30">
        <f ca="1">IFERROR(AVERAGEIF(OFFSET(F1306,0,0,MIN(Controls!$B$8,COUNTIF(B1306:B$1973,B1306)),1),"&gt;"&amp;0),0)</f>
        <v>0</v>
      </c>
      <c r="J1306" s="38">
        <f t="shared" ca="1" si="141"/>
        <v>999</v>
      </c>
      <c r="K1306" s="30">
        <f t="shared" ca="1" si="145"/>
        <v>0</v>
      </c>
      <c r="L1306" t="str">
        <f t="shared" ca="1" si="142"/>
        <v>Overstock</v>
      </c>
      <c r="M1306" s="39">
        <f>IFERROR(VLOOKUP("APC",Controls!A:I,7,0),6)</f>
        <v>4</v>
      </c>
      <c r="N1306" s="39">
        <f>IFERROR(VLOOKUP("APC",Controls!A:I,8,0),3)</f>
        <v>3</v>
      </c>
      <c r="O1306" s="39">
        <f>IFERROR(VLOOKUP("APC",Controls!A:I,9,0),18)</f>
        <v>12</v>
      </c>
      <c r="P1306" s="40">
        <f>IFERROR(VLOOKUP("APC",Controls!A:J,5,0),0)</f>
        <v>40</v>
      </c>
      <c r="Q1306" s="39">
        <f>IFERROR(VLOOKUP("APC",Controls!A:J,6,0),3)</f>
        <v>4</v>
      </c>
      <c r="R1306" s="21" t="str">
        <f>IFERROR(VLOOKUP("APC",Controls!A:K,10,0),"")</f>
        <v>ST Pharm</v>
      </c>
      <c r="S1306" s="41">
        <f t="shared" si="143"/>
        <v>47423</v>
      </c>
      <c r="T1306" s="30">
        <f t="shared" si="144"/>
        <v>0</v>
      </c>
      <c r="AB1306">
        <f t="shared" si="146"/>
        <v>86.240000000000009</v>
      </c>
    </row>
    <row r="1307" spans="1:28" ht="13" customHeight="1" x14ac:dyDescent="0.35">
      <c r="A1307" s="153">
        <v>47574</v>
      </c>
      <c r="B1307" s="36" t="s">
        <v>56</v>
      </c>
      <c r="C1307" s="15" t="s">
        <v>52</v>
      </c>
      <c r="D1307" s="15" t="s">
        <v>48</v>
      </c>
      <c r="E1307" s="30">
        <f>H1306</f>
        <v>32.679999999999986</v>
      </c>
      <c r="F1307" s="37">
        <f>IFERROR('Production Inputs'!$BJ$37*Dependencies!$D$15,0)</f>
        <v>0</v>
      </c>
      <c r="G1307" s="37">
        <f t="array" ref="G1307">IFERROR(SUMPRODUCT(('Production Inputs'!$A:$A="APC")*('Production Inputs'!$B:$B="TOTAL ACTIVE")*'Production Inputs'!$BJ:$BJ),0)</f>
        <v>0</v>
      </c>
      <c r="H1307" s="30">
        <f t="shared" si="140"/>
        <v>32.679999999999986</v>
      </c>
      <c r="I1307" s="30">
        <f ca="1">IFERROR(AVERAGEIF(OFFSET(F1307,0,0,MIN(Controls!$B$8,COUNTIF(B1307:B$1973,B1307)),1),"&gt;"&amp;0),0)</f>
        <v>0</v>
      </c>
      <c r="J1307" s="38">
        <f t="shared" ca="1" si="141"/>
        <v>999</v>
      </c>
      <c r="K1307" s="30">
        <f t="shared" ca="1" si="145"/>
        <v>0</v>
      </c>
      <c r="L1307" t="str">
        <f t="shared" ca="1" si="142"/>
        <v>Overstock</v>
      </c>
      <c r="M1307" s="39">
        <f>IFERROR(VLOOKUP("APC",Controls!A:I,7,0),6)</f>
        <v>4</v>
      </c>
      <c r="N1307" s="39">
        <f>IFERROR(VLOOKUP("APC",Controls!A:I,8,0),3)</f>
        <v>3</v>
      </c>
      <c r="O1307" s="39">
        <f>IFERROR(VLOOKUP("APC",Controls!A:I,9,0),18)</f>
        <v>12</v>
      </c>
      <c r="P1307" s="40">
        <f>IFERROR(VLOOKUP("APC",Controls!A:J,5,0),0)</f>
        <v>40</v>
      </c>
      <c r="Q1307" s="39">
        <f>IFERROR(VLOOKUP("APC",Controls!A:J,6,0),3)</f>
        <v>4</v>
      </c>
      <c r="R1307" s="21" t="str">
        <f>IFERROR(VLOOKUP("APC",Controls!A:K,10,0),"")</f>
        <v>ST Pharm</v>
      </c>
      <c r="S1307" s="41">
        <f t="shared" si="143"/>
        <v>47453</v>
      </c>
      <c r="T1307" s="30">
        <f t="shared" si="144"/>
        <v>0</v>
      </c>
      <c r="AB1307">
        <f t="shared" si="146"/>
        <v>86.240000000000009</v>
      </c>
    </row>
    <row r="1308" spans="1:28" ht="13" customHeight="1" x14ac:dyDescent="0.35">
      <c r="A1308" s="153">
        <v>47604</v>
      </c>
      <c r="B1308" s="36" t="s">
        <v>56</v>
      </c>
      <c r="C1308" s="15" t="s">
        <v>52</v>
      </c>
      <c r="D1308" s="15" t="s">
        <v>48</v>
      </c>
      <c r="E1308" s="30">
        <f>H1307</f>
        <v>32.679999999999986</v>
      </c>
      <c r="F1308" s="37">
        <f>IFERROR('Production Inputs'!$BK$37*Dependencies!$D$15,0)</f>
        <v>0</v>
      </c>
      <c r="G1308" s="37">
        <f t="array" ref="G1308">IFERROR(SUMPRODUCT(('Production Inputs'!$A:$A="APC")*('Production Inputs'!$B:$B="TOTAL ACTIVE")*'Production Inputs'!$BK:$BK),0)</f>
        <v>0</v>
      </c>
      <c r="H1308" s="30">
        <f t="shared" si="140"/>
        <v>32.679999999999986</v>
      </c>
      <c r="I1308" s="30">
        <f ca="1">IFERROR(AVERAGEIF(OFFSET(F1308,0,0,MIN(Controls!$B$8,COUNTIF(B1308:B$1973,B1308)),1),"&gt;"&amp;0),0)</f>
        <v>0</v>
      </c>
      <c r="J1308" s="38">
        <f t="shared" ca="1" si="141"/>
        <v>999</v>
      </c>
      <c r="K1308" s="30">
        <f t="shared" ca="1" si="145"/>
        <v>0</v>
      </c>
      <c r="L1308" t="str">
        <f t="shared" ca="1" si="142"/>
        <v>Overstock</v>
      </c>
      <c r="M1308" s="39">
        <f>IFERROR(VLOOKUP("APC",Controls!A:I,7,0),6)</f>
        <v>4</v>
      </c>
      <c r="N1308" s="39">
        <f>IFERROR(VLOOKUP("APC",Controls!A:I,8,0),3)</f>
        <v>3</v>
      </c>
      <c r="O1308" s="39">
        <f>IFERROR(VLOOKUP("APC",Controls!A:I,9,0),18)</f>
        <v>12</v>
      </c>
      <c r="P1308" s="40">
        <f>IFERROR(VLOOKUP("APC",Controls!A:J,5,0),0)</f>
        <v>40</v>
      </c>
      <c r="Q1308" s="39">
        <f>IFERROR(VLOOKUP("APC",Controls!A:J,6,0),3)</f>
        <v>4</v>
      </c>
      <c r="R1308" s="21" t="str">
        <f>IFERROR(VLOOKUP("APC",Controls!A:K,10,0),"")</f>
        <v>ST Pharm</v>
      </c>
      <c r="S1308" s="41">
        <f t="shared" si="143"/>
        <v>47484</v>
      </c>
      <c r="T1308" s="30">
        <f t="shared" si="144"/>
        <v>0</v>
      </c>
      <c r="AB1308">
        <f t="shared" si="146"/>
        <v>86.240000000000009</v>
      </c>
    </row>
    <row r="1309" spans="1:28" ht="13" customHeight="1" x14ac:dyDescent="0.35">
      <c r="A1309" s="153">
        <v>47635</v>
      </c>
      <c r="B1309" s="36" t="s">
        <v>56</v>
      </c>
      <c r="C1309" s="15" t="s">
        <v>52</v>
      </c>
      <c r="D1309" s="15" t="s">
        <v>48</v>
      </c>
      <c r="E1309" s="30">
        <f>H1308</f>
        <v>32.679999999999986</v>
      </c>
      <c r="F1309" s="37">
        <f>IFERROR('Production Inputs'!$BL$37*Dependencies!$D$15,0)</f>
        <v>0</v>
      </c>
      <c r="G1309" s="37">
        <f t="array" ref="G1309">IFERROR(SUMPRODUCT(('Production Inputs'!$A:$A="APC")*('Production Inputs'!$B:$B="TOTAL ACTIVE")*'Production Inputs'!$BL:$BL),0)</f>
        <v>0</v>
      </c>
      <c r="H1309" s="30">
        <f t="shared" si="140"/>
        <v>32.679999999999986</v>
      </c>
      <c r="I1309" s="30">
        <f ca="1">IFERROR(AVERAGEIF(OFFSET(F1309,0,0,MIN(Controls!$B$8,COUNTIF(B1309:B$1973,B1309)),1),"&gt;"&amp;0),0)</f>
        <v>0</v>
      </c>
      <c r="J1309" s="38">
        <f t="shared" ca="1" si="141"/>
        <v>999</v>
      </c>
      <c r="K1309" s="30">
        <f t="shared" ca="1" si="145"/>
        <v>0</v>
      </c>
      <c r="L1309" t="str">
        <f t="shared" ca="1" si="142"/>
        <v>Overstock</v>
      </c>
      <c r="M1309" s="39">
        <f>IFERROR(VLOOKUP("APC",Controls!A:I,7,0),6)</f>
        <v>4</v>
      </c>
      <c r="N1309" s="39">
        <f>IFERROR(VLOOKUP("APC",Controls!A:I,8,0),3)</f>
        <v>3</v>
      </c>
      <c r="O1309" s="39">
        <f>IFERROR(VLOOKUP("APC",Controls!A:I,9,0),18)</f>
        <v>12</v>
      </c>
      <c r="P1309" s="40">
        <f>IFERROR(VLOOKUP("APC",Controls!A:J,5,0),0)</f>
        <v>40</v>
      </c>
      <c r="Q1309" s="39">
        <f>IFERROR(VLOOKUP("APC",Controls!A:J,6,0),3)</f>
        <v>4</v>
      </c>
      <c r="R1309" s="21" t="str">
        <f>IFERROR(VLOOKUP("APC",Controls!A:K,10,0),"")</f>
        <v>ST Pharm</v>
      </c>
      <c r="S1309" s="41">
        <f t="shared" si="143"/>
        <v>47515</v>
      </c>
      <c r="T1309" s="30">
        <f t="shared" si="144"/>
        <v>0</v>
      </c>
      <c r="AB1309">
        <f t="shared" si="146"/>
        <v>86.240000000000009</v>
      </c>
    </row>
    <row r="1310" spans="1:28" ht="13" customHeight="1" x14ac:dyDescent="0.35">
      <c r="A1310" s="153">
        <v>47665</v>
      </c>
      <c r="B1310" s="36" t="s">
        <v>56</v>
      </c>
      <c r="C1310" s="15" t="s">
        <v>52</v>
      </c>
      <c r="D1310" s="15" t="s">
        <v>48</v>
      </c>
      <c r="E1310" s="30">
        <f>H1309</f>
        <v>32.679999999999986</v>
      </c>
      <c r="F1310" s="37">
        <f>IFERROR('Production Inputs'!$BM$37*Dependencies!$D$15,0)</f>
        <v>0</v>
      </c>
      <c r="G1310" s="37">
        <f t="array" ref="G1310">IFERROR(SUMPRODUCT(('Production Inputs'!$A:$A="APC")*('Production Inputs'!$B:$B="TOTAL ACTIVE")*'Production Inputs'!$BM:$BM),0)</f>
        <v>0</v>
      </c>
      <c r="H1310" s="30">
        <f t="shared" si="140"/>
        <v>32.679999999999986</v>
      </c>
      <c r="I1310" s="30">
        <f ca="1">IFERROR(AVERAGEIF(OFFSET(F1310,0,0,MIN(Controls!$B$8,COUNTIF(B1310:B$1973,B1310)),1),"&gt;"&amp;0),0)</f>
        <v>0</v>
      </c>
      <c r="J1310" s="38">
        <f t="shared" ca="1" si="141"/>
        <v>999</v>
      </c>
      <c r="K1310" s="30">
        <f t="shared" ca="1" si="145"/>
        <v>0</v>
      </c>
      <c r="L1310" t="str">
        <f t="shared" ca="1" si="142"/>
        <v>Overstock</v>
      </c>
      <c r="M1310" s="39">
        <f>IFERROR(VLOOKUP("APC",Controls!A:I,7,0),6)</f>
        <v>4</v>
      </c>
      <c r="N1310" s="39">
        <f>IFERROR(VLOOKUP("APC",Controls!A:I,8,0),3)</f>
        <v>3</v>
      </c>
      <c r="O1310" s="39">
        <f>IFERROR(VLOOKUP("APC",Controls!A:I,9,0),18)</f>
        <v>12</v>
      </c>
      <c r="P1310" s="40">
        <f>IFERROR(VLOOKUP("APC",Controls!A:J,5,0),0)</f>
        <v>40</v>
      </c>
      <c r="Q1310" s="39">
        <f>IFERROR(VLOOKUP("APC",Controls!A:J,6,0),3)</f>
        <v>4</v>
      </c>
      <c r="R1310" s="21" t="str">
        <f>IFERROR(VLOOKUP("APC",Controls!A:K,10,0),"")</f>
        <v>ST Pharm</v>
      </c>
      <c r="S1310" s="41">
        <f t="shared" si="143"/>
        <v>47543</v>
      </c>
      <c r="T1310" s="30">
        <f t="shared" si="144"/>
        <v>0</v>
      </c>
      <c r="AB1310">
        <f t="shared" si="146"/>
        <v>86.240000000000009</v>
      </c>
    </row>
    <row r="1311" spans="1:28" ht="13" customHeight="1" x14ac:dyDescent="0.35">
      <c r="A1311" s="153">
        <v>47696</v>
      </c>
      <c r="B1311" s="36" t="s">
        <v>56</v>
      </c>
      <c r="C1311" s="15" t="s">
        <v>52</v>
      </c>
      <c r="D1311" s="15" t="s">
        <v>48</v>
      </c>
      <c r="E1311" s="30">
        <f>H1310</f>
        <v>32.679999999999986</v>
      </c>
      <c r="F1311" s="37">
        <f>IFERROR('Production Inputs'!$BN$37*Dependencies!$D$15,0)</f>
        <v>0</v>
      </c>
      <c r="G1311" s="37">
        <f t="array" ref="G1311">IFERROR(SUMPRODUCT(('Production Inputs'!$A:$A="APC")*('Production Inputs'!$B:$B="TOTAL ACTIVE")*'Production Inputs'!$BN:$BN),0)</f>
        <v>0</v>
      </c>
      <c r="H1311" s="30">
        <f t="shared" si="140"/>
        <v>32.679999999999986</v>
      </c>
      <c r="I1311" s="30">
        <f ca="1">IFERROR(AVERAGEIF(OFFSET(F1311,0,0,MIN(Controls!$B$8,COUNTIF(B1311:B$1973,B1311)),1),"&gt;"&amp;0),0)</f>
        <v>0</v>
      </c>
      <c r="J1311" s="38">
        <f t="shared" ca="1" si="141"/>
        <v>999</v>
      </c>
      <c r="K1311" s="30">
        <f t="shared" ca="1" si="145"/>
        <v>0</v>
      </c>
      <c r="L1311" t="str">
        <f t="shared" ca="1" si="142"/>
        <v>Overstock</v>
      </c>
      <c r="M1311" s="39">
        <f>IFERROR(VLOOKUP("APC",Controls!A:I,7,0),6)</f>
        <v>4</v>
      </c>
      <c r="N1311" s="39">
        <f>IFERROR(VLOOKUP("APC",Controls!A:I,8,0),3)</f>
        <v>3</v>
      </c>
      <c r="O1311" s="39">
        <f>IFERROR(VLOOKUP("APC",Controls!A:I,9,0),18)</f>
        <v>12</v>
      </c>
      <c r="P1311" s="40">
        <f>IFERROR(VLOOKUP("APC",Controls!A:J,5,0),0)</f>
        <v>40</v>
      </c>
      <c r="Q1311" s="39">
        <f>IFERROR(VLOOKUP("APC",Controls!A:J,6,0),3)</f>
        <v>4</v>
      </c>
      <c r="R1311" s="21" t="str">
        <f>IFERROR(VLOOKUP("APC",Controls!A:K,10,0),"")</f>
        <v>ST Pharm</v>
      </c>
      <c r="S1311" s="41">
        <f t="shared" si="143"/>
        <v>47574</v>
      </c>
      <c r="T1311" s="30">
        <f t="shared" si="144"/>
        <v>0</v>
      </c>
      <c r="AB1311">
        <f t="shared" si="146"/>
        <v>86.240000000000009</v>
      </c>
    </row>
    <row r="1312" spans="1:28" ht="13" customHeight="1" x14ac:dyDescent="0.35">
      <c r="A1312" s="153">
        <v>47727</v>
      </c>
      <c r="B1312" s="36" t="s">
        <v>56</v>
      </c>
      <c r="C1312" s="15" t="s">
        <v>52</v>
      </c>
      <c r="D1312" s="15" t="s">
        <v>48</v>
      </c>
      <c r="E1312" s="30">
        <f>H1311</f>
        <v>32.679999999999986</v>
      </c>
      <c r="F1312" s="37">
        <f>IFERROR('Production Inputs'!$BO$37*Dependencies!$D$15,0)</f>
        <v>0</v>
      </c>
      <c r="G1312" s="37">
        <f t="array" ref="G1312">IFERROR(SUMPRODUCT(('Production Inputs'!$A:$A="APC")*('Production Inputs'!$B:$B="TOTAL ACTIVE")*'Production Inputs'!$BO:$BO),0)</f>
        <v>0</v>
      </c>
      <c r="H1312" s="30">
        <f t="shared" si="140"/>
        <v>32.679999999999986</v>
      </c>
      <c r="I1312" s="30">
        <f ca="1">IFERROR(AVERAGEIF(OFFSET(F1312,0,0,MIN(Controls!$B$8,COUNTIF(B1312:B$1973,B1312)),1),"&gt;"&amp;0),0)</f>
        <v>0</v>
      </c>
      <c r="J1312" s="38">
        <f t="shared" ca="1" si="141"/>
        <v>999</v>
      </c>
      <c r="K1312" s="30">
        <f t="shared" ca="1" si="145"/>
        <v>0</v>
      </c>
      <c r="L1312" t="str">
        <f t="shared" ca="1" si="142"/>
        <v>Overstock</v>
      </c>
      <c r="M1312" s="39">
        <f>IFERROR(VLOOKUP("APC",Controls!A:I,7,0),6)</f>
        <v>4</v>
      </c>
      <c r="N1312" s="39">
        <f>IFERROR(VLOOKUP("APC",Controls!A:I,8,0),3)</f>
        <v>3</v>
      </c>
      <c r="O1312" s="39">
        <f>IFERROR(VLOOKUP("APC",Controls!A:I,9,0),18)</f>
        <v>12</v>
      </c>
      <c r="P1312" s="40">
        <f>IFERROR(VLOOKUP("APC",Controls!A:J,5,0),0)</f>
        <v>40</v>
      </c>
      <c r="Q1312" s="39">
        <f>IFERROR(VLOOKUP("APC",Controls!A:J,6,0),3)</f>
        <v>4</v>
      </c>
      <c r="R1312" s="21" t="str">
        <f>IFERROR(VLOOKUP("APC",Controls!A:K,10,0),"")</f>
        <v>ST Pharm</v>
      </c>
      <c r="S1312" s="41">
        <f t="shared" si="143"/>
        <v>47604</v>
      </c>
      <c r="T1312" s="30">
        <f t="shared" si="144"/>
        <v>0</v>
      </c>
      <c r="AB1312">
        <f t="shared" si="146"/>
        <v>86.240000000000009</v>
      </c>
    </row>
    <row r="1313" spans="1:28" ht="13" customHeight="1" x14ac:dyDescent="0.35">
      <c r="A1313" s="153">
        <v>47757</v>
      </c>
      <c r="B1313" s="36" t="s">
        <v>56</v>
      </c>
      <c r="C1313" s="15" t="s">
        <v>52</v>
      </c>
      <c r="D1313" s="15" t="s">
        <v>48</v>
      </c>
      <c r="E1313" s="30">
        <f>H1312</f>
        <v>32.679999999999986</v>
      </c>
      <c r="F1313" s="37">
        <f>IFERROR('Production Inputs'!$BP$37*Dependencies!$D$15,0)</f>
        <v>0</v>
      </c>
      <c r="G1313" s="37">
        <f t="array" ref="G1313">IFERROR(SUMPRODUCT(('Production Inputs'!$A:$A="APC")*('Production Inputs'!$B:$B="TOTAL ACTIVE")*'Production Inputs'!$BP:$BP),0)</f>
        <v>0</v>
      </c>
      <c r="H1313" s="30">
        <f t="shared" si="140"/>
        <v>32.679999999999986</v>
      </c>
      <c r="I1313" s="30">
        <f ca="1">IFERROR(AVERAGEIF(OFFSET(F1313,0,0,MIN(Controls!$B$8,COUNTIF(B1313:B$1973,B1313)),1),"&gt;"&amp;0),0)</f>
        <v>0</v>
      </c>
      <c r="J1313" s="38">
        <f t="shared" ca="1" si="141"/>
        <v>999</v>
      </c>
      <c r="K1313" s="30">
        <f t="shared" ca="1" si="145"/>
        <v>0</v>
      </c>
      <c r="L1313" t="str">
        <f t="shared" ca="1" si="142"/>
        <v>Overstock</v>
      </c>
      <c r="M1313" s="39">
        <f>IFERROR(VLOOKUP("APC",Controls!A:I,7,0),6)</f>
        <v>4</v>
      </c>
      <c r="N1313" s="39">
        <f>IFERROR(VLOOKUP("APC",Controls!A:I,8,0),3)</f>
        <v>3</v>
      </c>
      <c r="O1313" s="39">
        <f>IFERROR(VLOOKUP("APC",Controls!A:I,9,0),18)</f>
        <v>12</v>
      </c>
      <c r="P1313" s="40">
        <f>IFERROR(VLOOKUP("APC",Controls!A:J,5,0),0)</f>
        <v>40</v>
      </c>
      <c r="Q1313" s="39">
        <f>IFERROR(VLOOKUP("APC",Controls!A:J,6,0),3)</f>
        <v>4</v>
      </c>
      <c r="R1313" s="21" t="str">
        <f>IFERROR(VLOOKUP("APC",Controls!A:K,10,0),"")</f>
        <v>ST Pharm</v>
      </c>
      <c r="S1313" s="41">
        <f t="shared" si="143"/>
        <v>47635</v>
      </c>
      <c r="T1313" s="30">
        <f t="shared" si="144"/>
        <v>0</v>
      </c>
      <c r="AB1313">
        <f t="shared" si="146"/>
        <v>86.240000000000009</v>
      </c>
    </row>
    <row r="1314" spans="1:28" ht="13" customHeight="1" x14ac:dyDescent="0.35">
      <c r="A1314" s="153">
        <v>47788</v>
      </c>
      <c r="B1314" s="36" t="s">
        <v>56</v>
      </c>
      <c r="C1314" s="15" t="s">
        <v>52</v>
      </c>
      <c r="D1314" s="15" t="s">
        <v>48</v>
      </c>
      <c r="E1314" s="30">
        <f>H1313</f>
        <v>32.679999999999986</v>
      </c>
      <c r="F1314" s="37">
        <f>IFERROR('Production Inputs'!$BQ$37*Dependencies!$D$15,0)</f>
        <v>0</v>
      </c>
      <c r="G1314" s="37">
        <f t="array" ref="G1314">IFERROR(SUMPRODUCT(('Production Inputs'!$A:$A="APC")*('Production Inputs'!$B:$B="TOTAL ACTIVE")*'Production Inputs'!$BQ:$BQ),0)</f>
        <v>0</v>
      </c>
      <c r="H1314" s="30">
        <f t="shared" si="140"/>
        <v>32.679999999999986</v>
      </c>
      <c r="I1314" s="30">
        <f ca="1">IFERROR(AVERAGEIF(OFFSET(F1314,0,0,MIN(Controls!$B$8,COUNTIF(B1314:B$1973,B1314)),1),"&gt;"&amp;0),0)</f>
        <v>0</v>
      </c>
      <c r="J1314" s="38">
        <f t="shared" ca="1" si="141"/>
        <v>999</v>
      </c>
      <c r="K1314" s="30">
        <f t="shared" ca="1" si="145"/>
        <v>0</v>
      </c>
      <c r="L1314" t="str">
        <f t="shared" ca="1" si="142"/>
        <v>Overstock</v>
      </c>
      <c r="M1314" s="39">
        <f>IFERROR(VLOOKUP("APC",Controls!A:I,7,0),6)</f>
        <v>4</v>
      </c>
      <c r="N1314" s="39">
        <f>IFERROR(VLOOKUP("APC",Controls!A:I,8,0),3)</f>
        <v>3</v>
      </c>
      <c r="O1314" s="39">
        <f>IFERROR(VLOOKUP("APC",Controls!A:I,9,0),18)</f>
        <v>12</v>
      </c>
      <c r="P1314" s="40">
        <f>IFERROR(VLOOKUP("APC",Controls!A:J,5,0),0)</f>
        <v>40</v>
      </c>
      <c r="Q1314" s="39">
        <f>IFERROR(VLOOKUP("APC",Controls!A:J,6,0),3)</f>
        <v>4</v>
      </c>
      <c r="R1314" s="21" t="str">
        <f>IFERROR(VLOOKUP("APC",Controls!A:K,10,0),"")</f>
        <v>ST Pharm</v>
      </c>
      <c r="S1314" s="41">
        <f t="shared" si="143"/>
        <v>47665</v>
      </c>
      <c r="T1314" s="30">
        <f t="shared" si="144"/>
        <v>0</v>
      </c>
      <c r="AB1314">
        <f t="shared" si="146"/>
        <v>86.240000000000009</v>
      </c>
    </row>
    <row r="1315" spans="1:28" ht="13" customHeight="1" x14ac:dyDescent="0.35">
      <c r="A1315" s="153">
        <v>47818</v>
      </c>
      <c r="B1315" s="36" t="s">
        <v>56</v>
      </c>
      <c r="C1315" s="15" t="s">
        <v>52</v>
      </c>
      <c r="D1315" s="15" t="s">
        <v>48</v>
      </c>
      <c r="E1315" s="30">
        <f>H1314</f>
        <v>32.679999999999986</v>
      </c>
      <c r="F1315" s="37">
        <f>IFERROR('Production Inputs'!$BR$37*Dependencies!$D$15,0)</f>
        <v>0</v>
      </c>
      <c r="G1315" s="37">
        <f t="array" ref="G1315">IFERROR(SUMPRODUCT(('Production Inputs'!$A:$A="APC")*('Production Inputs'!$B:$B="TOTAL ACTIVE")*'Production Inputs'!$BR:$BR),0)</f>
        <v>0</v>
      </c>
      <c r="H1315" s="30">
        <f t="shared" si="140"/>
        <v>32.679999999999986</v>
      </c>
      <c r="I1315" s="30">
        <f ca="1">IFERROR(AVERAGEIF(OFFSET(F1315,0,0,MIN(Controls!$B$8,COUNTIF(B1315:B$1973,B1315)),1),"&gt;"&amp;0),0)</f>
        <v>0</v>
      </c>
      <c r="J1315" s="38">
        <f t="shared" ca="1" si="141"/>
        <v>999</v>
      </c>
      <c r="K1315" s="30">
        <f t="shared" ca="1" si="145"/>
        <v>0</v>
      </c>
      <c r="L1315" t="str">
        <f t="shared" ca="1" si="142"/>
        <v>Overstock</v>
      </c>
      <c r="M1315" s="39">
        <f>IFERROR(VLOOKUP("APC",Controls!A:I,7,0),6)</f>
        <v>4</v>
      </c>
      <c r="N1315" s="39">
        <f>IFERROR(VLOOKUP("APC",Controls!A:I,8,0),3)</f>
        <v>3</v>
      </c>
      <c r="O1315" s="39">
        <f>IFERROR(VLOOKUP("APC",Controls!A:I,9,0),18)</f>
        <v>12</v>
      </c>
      <c r="P1315" s="40">
        <f>IFERROR(VLOOKUP("APC",Controls!A:J,5,0),0)</f>
        <v>40</v>
      </c>
      <c r="Q1315" s="39">
        <f>IFERROR(VLOOKUP("APC",Controls!A:J,6,0),3)</f>
        <v>4</v>
      </c>
      <c r="R1315" s="21" t="str">
        <f>IFERROR(VLOOKUP("APC",Controls!A:K,10,0),"")</f>
        <v>ST Pharm</v>
      </c>
      <c r="S1315" s="41">
        <f t="shared" si="143"/>
        <v>47696</v>
      </c>
      <c r="T1315" s="30">
        <f t="shared" si="144"/>
        <v>0</v>
      </c>
      <c r="AB1315">
        <f t="shared" si="146"/>
        <v>86.240000000000009</v>
      </c>
    </row>
    <row r="1316" spans="1:28" ht="13" customHeight="1" x14ac:dyDescent="0.35">
      <c r="A1316" s="153">
        <v>47849</v>
      </c>
      <c r="B1316" s="36" t="s">
        <v>56</v>
      </c>
      <c r="C1316" s="15" t="s">
        <v>52</v>
      </c>
      <c r="D1316" s="15" t="s">
        <v>48</v>
      </c>
      <c r="E1316" s="30">
        <f>H1315</f>
        <v>32.679999999999986</v>
      </c>
      <c r="F1316" s="37">
        <f>IFERROR('Production Inputs'!$BS$37*Dependencies!$D$15,0)</f>
        <v>0</v>
      </c>
      <c r="G1316" s="37">
        <f t="array" ref="G1316">IFERROR(SUMPRODUCT(('Production Inputs'!$A:$A="APC")*('Production Inputs'!$B:$B="TOTAL ACTIVE")*'Production Inputs'!$BS:$BS),0)</f>
        <v>0</v>
      </c>
      <c r="H1316" s="30">
        <f t="shared" si="140"/>
        <v>32.679999999999986</v>
      </c>
      <c r="I1316" s="30">
        <f ca="1">IFERROR(AVERAGEIF(OFFSET(F1316,0,0,MIN(Controls!$B$8,COUNTIF(B1316:B$1973,B1316)),1),"&gt;"&amp;0),0)</f>
        <v>0</v>
      </c>
      <c r="J1316" s="38">
        <f t="shared" ca="1" si="141"/>
        <v>999</v>
      </c>
      <c r="K1316" s="30">
        <f t="shared" ca="1" si="145"/>
        <v>0</v>
      </c>
      <c r="L1316" t="str">
        <f t="shared" ca="1" si="142"/>
        <v>Overstock</v>
      </c>
      <c r="M1316" s="39">
        <f>IFERROR(VLOOKUP("APC",Controls!A:I,7,0),6)</f>
        <v>4</v>
      </c>
      <c r="N1316" s="39">
        <f>IFERROR(VLOOKUP("APC",Controls!A:I,8,0),3)</f>
        <v>3</v>
      </c>
      <c r="O1316" s="39">
        <f>IFERROR(VLOOKUP("APC",Controls!A:I,9,0),18)</f>
        <v>12</v>
      </c>
      <c r="P1316" s="40">
        <f>IFERROR(VLOOKUP("APC",Controls!A:J,5,0),0)</f>
        <v>40</v>
      </c>
      <c r="Q1316" s="39">
        <f>IFERROR(VLOOKUP("APC",Controls!A:J,6,0),3)</f>
        <v>4</v>
      </c>
      <c r="R1316" s="21" t="str">
        <f>IFERROR(VLOOKUP("APC",Controls!A:K,10,0),"")</f>
        <v>ST Pharm</v>
      </c>
      <c r="S1316" s="41">
        <f t="shared" si="143"/>
        <v>47727</v>
      </c>
      <c r="T1316" s="30">
        <f t="shared" si="144"/>
        <v>0</v>
      </c>
      <c r="AB1316">
        <f t="shared" si="146"/>
        <v>86.240000000000009</v>
      </c>
    </row>
    <row r="1317" spans="1:28" ht="13" customHeight="1" x14ac:dyDescent="0.35">
      <c r="A1317" s="153">
        <v>47880</v>
      </c>
      <c r="B1317" s="36" t="s">
        <v>56</v>
      </c>
      <c r="C1317" s="15" t="s">
        <v>52</v>
      </c>
      <c r="D1317" s="15" t="s">
        <v>48</v>
      </c>
      <c r="E1317" s="30">
        <f>H1316</f>
        <v>32.679999999999986</v>
      </c>
      <c r="F1317" s="37">
        <f>IFERROR('Production Inputs'!$BT$37*Dependencies!$D$15,0)</f>
        <v>0</v>
      </c>
      <c r="G1317" s="37">
        <f t="array" ref="G1317">IFERROR(SUMPRODUCT(('Production Inputs'!$A:$A="APC")*('Production Inputs'!$B:$B="TOTAL ACTIVE")*'Production Inputs'!$BT:$BT),0)</f>
        <v>0</v>
      </c>
      <c r="H1317" s="30">
        <f t="shared" si="140"/>
        <v>32.679999999999986</v>
      </c>
      <c r="I1317" s="30">
        <f ca="1">IFERROR(AVERAGEIF(OFFSET(F1317,0,0,MIN(Controls!$B$8,COUNTIF(B1317:B$1973,B1317)),1),"&gt;"&amp;0),0)</f>
        <v>0</v>
      </c>
      <c r="J1317" s="38">
        <f t="shared" ca="1" si="141"/>
        <v>999</v>
      </c>
      <c r="K1317" s="30">
        <f t="shared" ca="1" si="145"/>
        <v>0</v>
      </c>
      <c r="L1317" t="str">
        <f t="shared" ca="1" si="142"/>
        <v>Overstock</v>
      </c>
      <c r="M1317" s="39">
        <f>IFERROR(VLOOKUP("APC",Controls!A:I,7,0),6)</f>
        <v>4</v>
      </c>
      <c r="N1317" s="39">
        <f>IFERROR(VLOOKUP("APC",Controls!A:I,8,0),3)</f>
        <v>3</v>
      </c>
      <c r="O1317" s="39">
        <f>IFERROR(VLOOKUP("APC",Controls!A:I,9,0),18)</f>
        <v>12</v>
      </c>
      <c r="P1317" s="40">
        <f>IFERROR(VLOOKUP("APC",Controls!A:J,5,0),0)</f>
        <v>40</v>
      </c>
      <c r="Q1317" s="39">
        <f>IFERROR(VLOOKUP("APC",Controls!A:J,6,0),3)</f>
        <v>4</v>
      </c>
      <c r="R1317" s="21" t="str">
        <f>IFERROR(VLOOKUP("APC",Controls!A:K,10,0),"")</f>
        <v>ST Pharm</v>
      </c>
      <c r="S1317" s="41">
        <f t="shared" si="143"/>
        <v>47757</v>
      </c>
      <c r="T1317" s="30">
        <f t="shared" si="144"/>
        <v>0</v>
      </c>
      <c r="AB1317">
        <f t="shared" si="146"/>
        <v>86.240000000000009</v>
      </c>
    </row>
    <row r="1318" spans="1:28" ht="13" customHeight="1" x14ac:dyDescent="0.35">
      <c r="A1318" s="153">
        <v>47908</v>
      </c>
      <c r="B1318" s="36" t="s">
        <v>56</v>
      </c>
      <c r="C1318" s="15" t="s">
        <v>52</v>
      </c>
      <c r="D1318" s="15" t="s">
        <v>48</v>
      </c>
      <c r="E1318" s="30">
        <f>H1317</f>
        <v>32.679999999999986</v>
      </c>
      <c r="F1318" s="37">
        <f>IFERROR('Production Inputs'!$BU$37*Dependencies!$D$15,0)</f>
        <v>0</v>
      </c>
      <c r="G1318" s="37">
        <f t="array" ref="G1318">IFERROR(SUMPRODUCT(('Production Inputs'!$A:$A="APC")*('Production Inputs'!$B:$B="TOTAL ACTIVE")*'Production Inputs'!$BU:$BU),0)</f>
        <v>0</v>
      </c>
      <c r="H1318" s="30">
        <f t="shared" si="140"/>
        <v>32.679999999999986</v>
      </c>
      <c r="I1318" s="30">
        <f ca="1">IFERROR(AVERAGEIF(OFFSET(F1318,0,0,MIN(Controls!$B$8,COUNTIF(B1318:B$1973,B1318)),1),"&gt;"&amp;0),0)</f>
        <v>0</v>
      </c>
      <c r="J1318" s="38">
        <f t="shared" ca="1" si="141"/>
        <v>999</v>
      </c>
      <c r="K1318" s="30">
        <f t="shared" ca="1" si="145"/>
        <v>0</v>
      </c>
      <c r="L1318" t="str">
        <f t="shared" ca="1" si="142"/>
        <v>Overstock</v>
      </c>
      <c r="M1318" s="39">
        <f>IFERROR(VLOOKUP("APC",Controls!A:I,7,0),6)</f>
        <v>4</v>
      </c>
      <c r="N1318" s="39">
        <f>IFERROR(VLOOKUP("APC",Controls!A:I,8,0),3)</f>
        <v>3</v>
      </c>
      <c r="O1318" s="39">
        <f>IFERROR(VLOOKUP("APC",Controls!A:I,9,0),18)</f>
        <v>12</v>
      </c>
      <c r="P1318" s="40">
        <f>IFERROR(VLOOKUP("APC",Controls!A:J,5,0),0)</f>
        <v>40</v>
      </c>
      <c r="Q1318" s="39">
        <f>IFERROR(VLOOKUP("APC",Controls!A:J,6,0),3)</f>
        <v>4</v>
      </c>
      <c r="R1318" s="21" t="str">
        <f>IFERROR(VLOOKUP("APC",Controls!A:K,10,0),"")</f>
        <v>ST Pharm</v>
      </c>
      <c r="S1318" s="41">
        <f t="shared" si="143"/>
        <v>47788</v>
      </c>
      <c r="T1318" s="30">
        <f t="shared" si="144"/>
        <v>0</v>
      </c>
      <c r="AB1318">
        <f t="shared" si="146"/>
        <v>86.240000000000009</v>
      </c>
    </row>
    <row r="1319" spans="1:28" ht="13" customHeight="1" x14ac:dyDescent="0.35">
      <c r="A1319" s="153">
        <v>47939</v>
      </c>
      <c r="B1319" s="36" t="s">
        <v>56</v>
      </c>
      <c r="C1319" s="15" t="s">
        <v>52</v>
      </c>
      <c r="D1319" s="15" t="s">
        <v>48</v>
      </c>
      <c r="E1319" s="30">
        <f>H1318</f>
        <v>32.679999999999986</v>
      </c>
      <c r="F1319" s="37">
        <f>IFERROR('Production Inputs'!$BV$37*Dependencies!$D$15,0)</f>
        <v>0</v>
      </c>
      <c r="G1319" s="37">
        <f t="array" ref="G1319">IFERROR(SUMPRODUCT(('Production Inputs'!$A:$A="APC")*('Production Inputs'!$B:$B="TOTAL ACTIVE")*'Production Inputs'!$BV:$BV),0)</f>
        <v>0</v>
      </c>
      <c r="H1319" s="30">
        <f t="shared" si="140"/>
        <v>32.679999999999986</v>
      </c>
      <c r="I1319" s="30">
        <f ca="1">IFERROR(AVERAGEIF(OFFSET(F1319,0,0,MIN(Controls!$B$8,COUNTIF(B1319:B$1973,B1319)),1),"&gt;"&amp;0),0)</f>
        <v>0</v>
      </c>
      <c r="J1319" s="38">
        <f t="shared" ca="1" si="141"/>
        <v>999</v>
      </c>
      <c r="K1319" s="30">
        <f t="shared" ca="1" si="145"/>
        <v>0</v>
      </c>
      <c r="L1319" t="str">
        <f t="shared" ca="1" si="142"/>
        <v>Overstock</v>
      </c>
      <c r="M1319" s="39">
        <f>IFERROR(VLOOKUP("APC",Controls!A:I,7,0),6)</f>
        <v>4</v>
      </c>
      <c r="N1319" s="39">
        <f>IFERROR(VLOOKUP("APC",Controls!A:I,8,0),3)</f>
        <v>3</v>
      </c>
      <c r="O1319" s="39">
        <f>IFERROR(VLOOKUP("APC",Controls!A:I,9,0),18)</f>
        <v>12</v>
      </c>
      <c r="P1319" s="40">
        <f>IFERROR(VLOOKUP("APC",Controls!A:J,5,0),0)</f>
        <v>40</v>
      </c>
      <c r="Q1319" s="39">
        <f>IFERROR(VLOOKUP("APC",Controls!A:J,6,0),3)</f>
        <v>4</v>
      </c>
      <c r="R1319" s="21" t="str">
        <f>IFERROR(VLOOKUP("APC",Controls!A:K,10,0),"")</f>
        <v>ST Pharm</v>
      </c>
      <c r="S1319" s="41">
        <f t="shared" si="143"/>
        <v>47818</v>
      </c>
      <c r="T1319" s="30">
        <f t="shared" si="144"/>
        <v>0</v>
      </c>
      <c r="AB1319">
        <f t="shared" si="146"/>
        <v>86.240000000000009</v>
      </c>
    </row>
    <row r="1320" spans="1:28" ht="13" customHeight="1" x14ac:dyDescent="0.35">
      <c r="A1320" s="153">
        <v>47969</v>
      </c>
      <c r="B1320" s="36" t="s">
        <v>56</v>
      </c>
      <c r="C1320" s="15" t="s">
        <v>52</v>
      </c>
      <c r="D1320" s="15" t="s">
        <v>48</v>
      </c>
      <c r="E1320" s="30">
        <f>H1319</f>
        <v>32.679999999999986</v>
      </c>
      <c r="F1320" s="37">
        <f>IFERROR('Production Inputs'!$BW$37*Dependencies!$D$15,0)</f>
        <v>0</v>
      </c>
      <c r="G1320" s="37">
        <f t="array" ref="G1320">IFERROR(SUMPRODUCT(('Production Inputs'!$A:$A="APC")*('Production Inputs'!$B:$B="TOTAL ACTIVE")*'Production Inputs'!$BW:$BW),0)</f>
        <v>0</v>
      </c>
      <c r="H1320" s="30">
        <f t="shared" si="140"/>
        <v>32.679999999999986</v>
      </c>
      <c r="I1320" s="30">
        <f ca="1">IFERROR(AVERAGEIF(OFFSET(F1320,0,0,MIN(Controls!$B$8,COUNTIF(B1320:B$1973,B1320)),1),"&gt;"&amp;0),0)</f>
        <v>0</v>
      </c>
      <c r="J1320" s="38">
        <f t="shared" ca="1" si="141"/>
        <v>999</v>
      </c>
      <c r="K1320" s="30">
        <f t="shared" ca="1" si="145"/>
        <v>0</v>
      </c>
      <c r="L1320" t="str">
        <f t="shared" ca="1" si="142"/>
        <v>Overstock</v>
      </c>
      <c r="M1320" s="39">
        <f>IFERROR(VLOOKUP("APC",Controls!A:I,7,0),6)</f>
        <v>4</v>
      </c>
      <c r="N1320" s="39">
        <f>IFERROR(VLOOKUP("APC",Controls!A:I,8,0),3)</f>
        <v>3</v>
      </c>
      <c r="O1320" s="39">
        <f>IFERROR(VLOOKUP("APC",Controls!A:I,9,0),18)</f>
        <v>12</v>
      </c>
      <c r="P1320" s="40">
        <f>IFERROR(VLOOKUP("APC",Controls!A:J,5,0),0)</f>
        <v>40</v>
      </c>
      <c r="Q1320" s="39">
        <f>IFERROR(VLOOKUP("APC",Controls!A:J,6,0),3)</f>
        <v>4</v>
      </c>
      <c r="R1320" s="21" t="str">
        <f>IFERROR(VLOOKUP("APC",Controls!A:K,10,0),"")</f>
        <v>ST Pharm</v>
      </c>
      <c r="S1320" s="41">
        <f t="shared" si="143"/>
        <v>47849</v>
      </c>
      <c r="T1320" s="30">
        <f t="shared" si="144"/>
        <v>0</v>
      </c>
      <c r="AB1320">
        <f t="shared" si="146"/>
        <v>86.240000000000009</v>
      </c>
    </row>
    <row r="1321" spans="1:28" ht="13" customHeight="1" x14ac:dyDescent="0.35">
      <c r="A1321" s="153">
        <v>48000</v>
      </c>
      <c r="B1321" s="36" t="s">
        <v>56</v>
      </c>
      <c r="C1321" s="15" t="s">
        <v>52</v>
      </c>
      <c r="D1321" s="15" t="s">
        <v>48</v>
      </c>
      <c r="E1321" s="30">
        <f>H1320</f>
        <v>32.679999999999986</v>
      </c>
      <c r="F1321" s="37">
        <f>IFERROR('Production Inputs'!$BX$37*Dependencies!$D$15,0)</f>
        <v>0</v>
      </c>
      <c r="G1321" s="37">
        <f t="array" ref="G1321">IFERROR(SUMPRODUCT(('Production Inputs'!$A:$A="APC")*('Production Inputs'!$B:$B="TOTAL ACTIVE")*'Production Inputs'!$BX:$BX),0)</f>
        <v>0</v>
      </c>
      <c r="H1321" s="30">
        <f t="shared" si="140"/>
        <v>32.679999999999986</v>
      </c>
      <c r="I1321" s="30">
        <f ca="1">IFERROR(AVERAGEIF(OFFSET(F1321,0,0,MIN(Controls!$B$8,COUNTIF(B1321:B$1973,B1321)),1),"&gt;"&amp;0),0)</f>
        <v>0</v>
      </c>
      <c r="J1321" s="38">
        <f t="shared" ca="1" si="141"/>
        <v>999</v>
      </c>
      <c r="K1321" s="30">
        <f t="shared" ca="1" si="145"/>
        <v>0</v>
      </c>
      <c r="L1321" t="str">
        <f t="shared" ca="1" si="142"/>
        <v>Overstock</v>
      </c>
      <c r="M1321" s="39">
        <f>IFERROR(VLOOKUP("APC",Controls!A:I,7,0),6)</f>
        <v>4</v>
      </c>
      <c r="N1321" s="39">
        <f>IFERROR(VLOOKUP("APC",Controls!A:I,8,0),3)</f>
        <v>3</v>
      </c>
      <c r="O1321" s="39">
        <f>IFERROR(VLOOKUP("APC",Controls!A:I,9,0),18)</f>
        <v>12</v>
      </c>
      <c r="P1321" s="40">
        <f>IFERROR(VLOOKUP("APC",Controls!A:J,5,0),0)</f>
        <v>40</v>
      </c>
      <c r="Q1321" s="39">
        <f>IFERROR(VLOOKUP("APC",Controls!A:J,6,0),3)</f>
        <v>4</v>
      </c>
      <c r="R1321" s="21" t="str">
        <f>IFERROR(VLOOKUP("APC",Controls!A:K,10,0),"")</f>
        <v>ST Pharm</v>
      </c>
      <c r="S1321" s="41">
        <f t="shared" si="143"/>
        <v>47880</v>
      </c>
      <c r="T1321" s="30">
        <f t="shared" si="144"/>
        <v>0</v>
      </c>
      <c r="AB1321">
        <f t="shared" si="146"/>
        <v>86.240000000000009</v>
      </c>
    </row>
    <row r="1322" spans="1:28" ht="13" customHeight="1" x14ac:dyDescent="0.35">
      <c r="A1322" s="153">
        <v>48030</v>
      </c>
      <c r="B1322" s="36" t="s">
        <v>56</v>
      </c>
      <c r="C1322" s="15" t="s">
        <v>52</v>
      </c>
      <c r="D1322" s="15" t="s">
        <v>48</v>
      </c>
      <c r="E1322" s="30">
        <f>H1321</f>
        <v>32.679999999999986</v>
      </c>
      <c r="F1322" s="37">
        <f>IFERROR('Production Inputs'!$BY$37*Dependencies!$D$15,0)</f>
        <v>0</v>
      </c>
      <c r="G1322" s="37">
        <f t="array" ref="G1322">IFERROR(SUMPRODUCT(('Production Inputs'!$A:$A="APC")*('Production Inputs'!$B:$B="TOTAL ACTIVE")*'Production Inputs'!$BY:$BY),0)</f>
        <v>0</v>
      </c>
      <c r="H1322" s="30">
        <f t="shared" si="140"/>
        <v>32.679999999999986</v>
      </c>
      <c r="I1322" s="30">
        <f ca="1">IFERROR(AVERAGEIF(OFFSET(F1322,0,0,MIN(Controls!$B$8,COUNTIF(B1322:B$1973,B1322)),1),"&gt;"&amp;0),0)</f>
        <v>0</v>
      </c>
      <c r="J1322" s="38">
        <f t="shared" ca="1" si="141"/>
        <v>999</v>
      </c>
      <c r="K1322" s="30">
        <f t="shared" ca="1" si="145"/>
        <v>0</v>
      </c>
      <c r="L1322" t="str">
        <f t="shared" ca="1" si="142"/>
        <v>Overstock</v>
      </c>
      <c r="M1322" s="39">
        <f>IFERROR(VLOOKUP("APC",Controls!A:I,7,0),6)</f>
        <v>4</v>
      </c>
      <c r="N1322" s="39">
        <f>IFERROR(VLOOKUP("APC",Controls!A:I,8,0),3)</f>
        <v>3</v>
      </c>
      <c r="O1322" s="39">
        <f>IFERROR(VLOOKUP("APC",Controls!A:I,9,0),18)</f>
        <v>12</v>
      </c>
      <c r="P1322" s="40">
        <f>IFERROR(VLOOKUP("APC",Controls!A:J,5,0),0)</f>
        <v>40</v>
      </c>
      <c r="Q1322" s="39">
        <f>IFERROR(VLOOKUP("APC",Controls!A:J,6,0),3)</f>
        <v>4</v>
      </c>
      <c r="R1322" s="21" t="str">
        <f>IFERROR(VLOOKUP("APC",Controls!A:K,10,0),"")</f>
        <v>ST Pharm</v>
      </c>
      <c r="S1322" s="41">
        <f t="shared" si="143"/>
        <v>47908</v>
      </c>
      <c r="T1322" s="30">
        <f t="shared" si="144"/>
        <v>0</v>
      </c>
      <c r="AB1322">
        <f t="shared" si="146"/>
        <v>86.240000000000009</v>
      </c>
    </row>
    <row r="1323" spans="1:28" ht="13" customHeight="1" x14ac:dyDescent="0.35">
      <c r="A1323" s="153">
        <v>48061</v>
      </c>
      <c r="B1323" s="36" t="s">
        <v>56</v>
      </c>
      <c r="C1323" s="15" t="s">
        <v>52</v>
      </c>
      <c r="D1323" s="15" t="s">
        <v>48</v>
      </c>
      <c r="E1323" s="30">
        <f>H1322</f>
        <v>32.679999999999986</v>
      </c>
      <c r="F1323" s="37">
        <f>IFERROR('Production Inputs'!$BZ$37*Dependencies!$D$15,0)</f>
        <v>0</v>
      </c>
      <c r="G1323" s="37">
        <f t="array" ref="G1323">IFERROR(SUMPRODUCT(('Production Inputs'!$A:$A="APC")*('Production Inputs'!$B:$B="TOTAL ACTIVE")*'Production Inputs'!$BZ:$BZ),0)</f>
        <v>0</v>
      </c>
      <c r="H1323" s="30">
        <f t="shared" si="140"/>
        <v>32.679999999999986</v>
      </c>
      <c r="I1323" s="30">
        <f ca="1">IFERROR(AVERAGEIF(OFFSET(F1323,0,0,MIN(Controls!$B$8,COUNTIF(B1323:B$1973,B1323)),1),"&gt;"&amp;0),0)</f>
        <v>0</v>
      </c>
      <c r="J1323" s="38">
        <f t="shared" ca="1" si="141"/>
        <v>999</v>
      </c>
      <c r="K1323" s="30">
        <f t="shared" ca="1" si="145"/>
        <v>0</v>
      </c>
      <c r="L1323" t="str">
        <f t="shared" ca="1" si="142"/>
        <v>Overstock</v>
      </c>
      <c r="M1323" s="39">
        <f>IFERROR(VLOOKUP("APC",Controls!A:I,7,0),6)</f>
        <v>4</v>
      </c>
      <c r="N1323" s="39">
        <f>IFERROR(VLOOKUP("APC",Controls!A:I,8,0),3)</f>
        <v>3</v>
      </c>
      <c r="O1323" s="39">
        <f>IFERROR(VLOOKUP("APC",Controls!A:I,9,0),18)</f>
        <v>12</v>
      </c>
      <c r="P1323" s="40">
        <f>IFERROR(VLOOKUP("APC",Controls!A:J,5,0),0)</f>
        <v>40</v>
      </c>
      <c r="Q1323" s="39">
        <f>IFERROR(VLOOKUP("APC",Controls!A:J,6,0),3)</f>
        <v>4</v>
      </c>
      <c r="R1323" s="21" t="str">
        <f>IFERROR(VLOOKUP("APC",Controls!A:K,10,0),"")</f>
        <v>ST Pharm</v>
      </c>
      <c r="S1323" s="41">
        <f t="shared" si="143"/>
        <v>47939</v>
      </c>
      <c r="T1323" s="30">
        <f t="shared" si="144"/>
        <v>0</v>
      </c>
      <c r="AB1323">
        <f t="shared" si="146"/>
        <v>86.240000000000009</v>
      </c>
    </row>
    <row r="1324" spans="1:28" ht="13" customHeight="1" x14ac:dyDescent="0.35">
      <c r="A1324" s="153">
        <v>48092</v>
      </c>
      <c r="B1324" s="36" t="s">
        <v>56</v>
      </c>
      <c r="C1324" s="15" t="s">
        <v>52</v>
      </c>
      <c r="D1324" s="15" t="s">
        <v>48</v>
      </c>
      <c r="E1324" s="30">
        <f>H1323</f>
        <v>32.679999999999986</v>
      </c>
      <c r="F1324" s="37">
        <f>IFERROR('Production Inputs'!$CA$37*Dependencies!$D$15,0)</f>
        <v>0</v>
      </c>
      <c r="G1324" s="37">
        <f t="array" ref="G1324">IFERROR(SUMPRODUCT(('Production Inputs'!$A:$A="APC")*('Production Inputs'!$B:$B="TOTAL ACTIVE")*'Production Inputs'!$CA:$CA),0)</f>
        <v>0</v>
      </c>
      <c r="H1324" s="30">
        <f t="shared" si="140"/>
        <v>32.679999999999986</v>
      </c>
      <c r="I1324" s="30">
        <f ca="1">IFERROR(AVERAGEIF(OFFSET(F1324,0,0,MIN(Controls!$B$8,COUNTIF(B1324:B$1973,B1324)),1),"&gt;"&amp;0),0)</f>
        <v>0</v>
      </c>
      <c r="J1324" s="38">
        <f t="shared" ca="1" si="141"/>
        <v>999</v>
      </c>
      <c r="K1324" s="30">
        <f t="shared" ca="1" si="145"/>
        <v>0</v>
      </c>
      <c r="L1324" t="str">
        <f t="shared" ca="1" si="142"/>
        <v>Overstock</v>
      </c>
      <c r="M1324" s="39">
        <f>IFERROR(VLOOKUP("APC",Controls!A:I,7,0),6)</f>
        <v>4</v>
      </c>
      <c r="N1324" s="39">
        <f>IFERROR(VLOOKUP("APC",Controls!A:I,8,0),3)</f>
        <v>3</v>
      </c>
      <c r="O1324" s="39">
        <f>IFERROR(VLOOKUP("APC",Controls!A:I,9,0),18)</f>
        <v>12</v>
      </c>
      <c r="P1324" s="40">
        <f>IFERROR(VLOOKUP("APC",Controls!A:J,5,0),0)</f>
        <v>40</v>
      </c>
      <c r="Q1324" s="39">
        <f>IFERROR(VLOOKUP("APC",Controls!A:J,6,0),3)</f>
        <v>4</v>
      </c>
      <c r="R1324" s="21" t="str">
        <f>IFERROR(VLOOKUP("APC",Controls!A:K,10,0),"")</f>
        <v>ST Pharm</v>
      </c>
      <c r="S1324" s="41">
        <f t="shared" si="143"/>
        <v>47969</v>
      </c>
      <c r="T1324" s="30">
        <f t="shared" si="144"/>
        <v>0</v>
      </c>
      <c r="AB1324">
        <f t="shared" si="146"/>
        <v>86.240000000000009</v>
      </c>
    </row>
    <row r="1325" spans="1:28" ht="13" customHeight="1" x14ac:dyDescent="0.35">
      <c r="A1325" s="153">
        <v>48122</v>
      </c>
      <c r="B1325" s="36" t="s">
        <v>56</v>
      </c>
      <c r="C1325" s="15" t="s">
        <v>52</v>
      </c>
      <c r="D1325" s="15" t="s">
        <v>48</v>
      </c>
      <c r="E1325" s="30">
        <f>H1324</f>
        <v>32.679999999999986</v>
      </c>
      <c r="F1325" s="37">
        <f>IFERROR('Production Inputs'!$CB$37*Dependencies!$D$15,0)</f>
        <v>0</v>
      </c>
      <c r="G1325" s="37">
        <f t="array" ref="G1325">IFERROR(SUMPRODUCT(('Production Inputs'!$A:$A="APC")*('Production Inputs'!$B:$B="TOTAL ACTIVE")*'Production Inputs'!$CB:$CB),0)</f>
        <v>0</v>
      </c>
      <c r="H1325" s="30">
        <f t="shared" si="140"/>
        <v>32.679999999999986</v>
      </c>
      <c r="I1325" s="30">
        <f ca="1">IFERROR(AVERAGEIF(OFFSET(F1325,0,0,MIN(Controls!$B$8,COUNTIF(B1325:B$1973,B1325)),1),"&gt;"&amp;0),0)</f>
        <v>0</v>
      </c>
      <c r="J1325" s="38">
        <f t="shared" ca="1" si="141"/>
        <v>999</v>
      </c>
      <c r="K1325" s="30">
        <f t="shared" ca="1" si="145"/>
        <v>0</v>
      </c>
      <c r="L1325" t="str">
        <f t="shared" ca="1" si="142"/>
        <v>Overstock</v>
      </c>
      <c r="M1325" s="39">
        <f>IFERROR(VLOOKUP("APC",Controls!A:I,7,0),6)</f>
        <v>4</v>
      </c>
      <c r="N1325" s="39">
        <f>IFERROR(VLOOKUP("APC",Controls!A:I,8,0),3)</f>
        <v>3</v>
      </c>
      <c r="O1325" s="39">
        <f>IFERROR(VLOOKUP("APC",Controls!A:I,9,0),18)</f>
        <v>12</v>
      </c>
      <c r="P1325" s="40">
        <f>IFERROR(VLOOKUP("APC",Controls!A:J,5,0),0)</f>
        <v>40</v>
      </c>
      <c r="Q1325" s="39">
        <f>IFERROR(VLOOKUP("APC",Controls!A:J,6,0),3)</f>
        <v>4</v>
      </c>
      <c r="R1325" s="21" t="str">
        <f>IFERROR(VLOOKUP("APC",Controls!A:K,10,0),"")</f>
        <v>ST Pharm</v>
      </c>
      <c r="S1325" s="41">
        <f t="shared" si="143"/>
        <v>48000</v>
      </c>
      <c r="T1325" s="30">
        <f t="shared" si="144"/>
        <v>0</v>
      </c>
      <c r="AB1325">
        <f t="shared" si="146"/>
        <v>86.240000000000009</v>
      </c>
    </row>
    <row r="1326" spans="1:28" ht="13" customHeight="1" x14ac:dyDescent="0.35">
      <c r="A1326" s="153">
        <v>48153</v>
      </c>
      <c r="B1326" s="36" t="s">
        <v>56</v>
      </c>
      <c r="C1326" s="15" t="s">
        <v>52</v>
      </c>
      <c r="D1326" s="15" t="s">
        <v>48</v>
      </c>
      <c r="E1326" s="30">
        <f>H1325</f>
        <v>32.679999999999986</v>
      </c>
      <c r="F1326" s="37">
        <f>IFERROR('Production Inputs'!$CC$37*Dependencies!$D$15,0)</f>
        <v>0</v>
      </c>
      <c r="G1326" s="37">
        <f t="array" ref="G1326">IFERROR(SUMPRODUCT(('Production Inputs'!$A:$A="APC")*('Production Inputs'!$B:$B="TOTAL ACTIVE")*'Production Inputs'!$CC:$CC),0)</f>
        <v>0</v>
      </c>
      <c r="H1326" s="30">
        <f t="shared" si="140"/>
        <v>32.679999999999986</v>
      </c>
      <c r="I1326" s="30">
        <f ca="1">IFERROR(AVERAGEIF(OFFSET(F1326,0,0,MIN(Controls!$B$8,COUNTIF(B1326:B$1973,B1326)),1),"&gt;"&amp;0),0)</f>
        <v>0</v>
      </c>
      <c r="J1326" s="38">
        <f t="shared" ca="1" si="141"/>
        <v>999</v>
      </c>
      <c r="K1326" s="30">
        <f t="shared" ca="1" si="145"/>
        <v>0</v>
      </c>
      <c r="L1326" t="str">
        <f t="shared" ca="1" si="142"/>
        <v>Overstock</v>
      </c>
      <c r="M1326" s="39">
        <f>IFERROR(VLOOKUP("APC",Controls!A:I,7,0),6)</f>
        <v>4</v>
      </c>
      <c r="N1326" s="39">
        <f>IFERROR(VLOOKUP("APC",Controls!A:I,8,0),3)</f>
        <v>3</v>
      </c>
      <c r="O1326" s="39">
        <f>IFERROR(VLOOKUP("APC",Controls!A:I,9,0),18)</f>
        <v>12</v>
      </c>
      <c r="P1326" s="40">
        <f>IFERROR(VLOOKUP("APC",Controls!A:J,5,0),0)</f>
        <v>40</v>
      </c>
      <c r="Q1326" s="39">
        <f>IFERROR(VLOOKUP("APC",Controls!A:J,6,0),3)</f>
        <v>4</v>
      </c>
      <c r="R1326" s="21" t="str">
        <f>IFERROR(VLOOKUP("APC",Controls!A:K,10,0),"")</f>
        <v>ST Pharm</v>
      </c>
      <c r="S1326" s="41">
        <f t="shared" si="143"/>
        <v>48030</v>
      </c>
      <c r="T1326" s="30">
        <f t="shared" si="144"/>
        <v>0</v>
      </c>
      <c r="AB1326">
        <f t="shared" si="146"/>
        <v>86.240000000000009</v>
      </c>
    </row>
    <row r="1327" spans="1:28" ht="13" customHeight="1" x14ac:dyDescent="0.35">
      <c r="A1327" s="153">
        <v>48183</v>
      </c>
      <c r="B1327" s="36" t="s">
        <v>56</v>
      </c>
      <c r="C1327" s="15" t="s">
        <v>52</v>
      </c>
      <c r="D1327" s="15" t="s">
        <v>48</v>
      </c>
      <c r="E1327" s="30">
        <f>H1326</f>
        <v>32.679999999999986</v>
      </c>
      <c r="F1327" s="37">
        <f>IFERROR('Production Inputs'!$CD$37*Dependencies!$D$15,0)</f>
        <v>0</v>
      </c>
      <c r="G1327" s="37">
        <f t="array" ref="G1327">IFERROR(SUMPRODUCT(('Production Inputs'!$A:$A="APC")*('Production Inputs'!$B:$B="TOTAL ACTIVE")*'Production Inputs'!$CD:$CD),0)</f>
        <v>0</v>
      </c>
      <c r="H1327" s="30">
        <f t="shared" si="140"/>
        <v>32.679999999999986</v>
      </c>
      <c r="I1327" s="30">
        <f ca="1">IFERROR(AVERAGEIF(OFFSET(F1327,0,0,MIN(Controls!$B$8,COUNTIF(B1327:B$1973,B1327)),1),"&gt;"&amp;0),0)</f>
        <v>0</v>
      </c>
      <c r="J1327" s="38">
        <f t="shared" ca="1" si="141"/>
        <v>999</v>
      </c>
      <c r="K1327" s="30">
        <f t="shared" ca="1" si="145"/>
        <v>0</v>
      </c>
      <c r="L1327" t="str">
        <f t="shared" ca="1" si="142"/>
        <v>Overstock</v>
      </c>
      <c r="M1327" s="39">
        <f>IFERROR(VLOOKUP("APC",Controls!A:I,7,0),6)</f>
        <v>4</v>
      </c>
      <c r="N1327" s="39">
        <f>IFERROR(VLOOKUP("APC",Controls!A:I,8,0),3)</f>
        <v>3</v>
      </c>
      <c r="O1327" s="39">
        <f>IFERROR(VLOOKUP("APC",Controls!A:I,9,0),18)</f>
        <v>12</v>
      </c>
      <c r="P1327" s="40">
        <f>IFERROR(VLOOKUP("APC",Controls!A:J,5,0),0)</f>
        <v>40</v>
      </c>
      <c r="Q1327" s="39">
        <f>IFERROR(VLOOKUP("APC",Controls!A:J,6,0),3)</f>
        <v>4</v>
      </c>
      <c r="R1327" s="21" t="str">
        <f>IFERROR(VLOOKUP("APC",Controls!A:K,10,0),"")</f>
        <v>ST Pharm</v>
      </c>
      <c r="S1327" s="41">
        <f t="shared" si="143"/>
        <v>48061</v>
      </c>
      <c r="T1327" s="30">
        <f t="shared" si="144"/>
        <v>0</v>
      </c>
      <c r="AB1327">
        <f t="shared" si="146"/>
        <v>86.240000000000009</v>
      </c>
    </row>
    <row r="1328" spans="1:28" ht="13" customHeight="1" x14ac:dyDescent="0.35">
      <c r="A1328" s="153">
        <v>48214</v>
      </c>
      <c r="B1328" s="36" t="s">
        <v>56</v>
      </c>
      <c r="C1328" s="15" t="s">
        <v>52</v>
      </c>
      <c r="D1328" s="15" t="s">
        <v>48</v>
      </c>
      <c r="E1328" s="30">
        <f>H1327</f>
        <v>32.679999999999986</v>
      </c>
      <c r="F1328" s="37">
        <f>IFERROR('Production Inputs'!$CE$37*Dependencies!$D$15,0)</f>
        <v>0</v>
      </c>
      <c r="G1328" s="37">
        <f t="array" ref="G1328">IFERROR(SUMPRODUCT(('Production Inputs'!$A:$A="APC")*('Production Inputs'!$B:$B="TOTAL ACTIVE")*'Production Inputs'!$CE:$CE),0)</f>
        <v>0</v>
      </c>
      <c r="H1328" s="30">
        <f t="shared" si="140"/>
        <v>32.679999999999986</v>
      </c>
      <c r="I1328" s="30">
        <f ca="1">IFERROR(AVERAGEIF(OFFSET(F1328,0,0,MIN(Controls!$B$8,COUNTIF(B1328:B$1973,B1328)),1),"&gt;"&amp;0),0)</f>
        <v>0</v>
      </c>
      <c r="J1328" s="38">
        <f t="shared" ca="1" si="141"/>
        <v>999</v>
      </c>
      <c r="K1328" s="30">
        <f t="shared" ca="1" si="145"/>
        <v>0</v>
      </c>
      <c r="L1328" t="str">
        <f t="shared" ca="1" si="142"/>
        <v>Overstock</v>
      </c>
      <c r="M1328" s="39">
        <f>IFERROR(VLOOKUP("APC",Controls!A:I,7,0),6)</f>
        <v>4</v>
      </c>
      <c r="N1328" s="39">
        <f>IFERROR(VLOOKUP("APC",Controls!A:I,8,0),3)</f>
        <v>3</v>
      </c>
      <c r="O1328" s="39">
        <f>IFERROR(VLOOKUP("APC",Controls!A:I,9,0),18)</f>
        <v>12</v>
      </c>
      <c r="P1328" s="40">
        <f>IFERROR(VLOOKUP("APC",Controls!A:J,5,0),0)</f>
        <v>40</v>
      </c>
      <c r="Q1328" s="39">
        <f>IFERROR(VLOOKUP("APC",Controls!A:J,6,0),3)</f>
        <v>4</v>
      </c>
      <c r="R1328" s="21" t="str">
        <f>IFERROR(VLOOKUP("APC",Controls!A:K,10,0),"")</f>
        <v>ST Pharm</v>
      </c>
      <c r="S1328" s="41">
        <f t="shared" si="143"/>
        <v>48092</v>
      </c>
      <c r="T1328" s="30">
        <f t="shared" si="144"/>
        <v>0</v>
      </c>
      <c r="AB1328">
        <f t="shared" si="146"/>
        <v>86.240000000000009</v>
      </c>
    </row>
    <row r="1329" spans="1:28" ht="13" customHeight="1" x14ac:dyDescent="0.35">
      <c r="A1329" s="153">
        <v>48245</v>
      </c>
      <c r="B1329" s="36" t="s">
        <v>56</v>
      </c>
      <c r="C1329" s="15" t="s">
        <v>52</v>
      </c>
      <c r="D1329" s="15" t="s">
        <v>48</v>
      </c>
      <c r="E1329" s="30">
        <f>H1328</f>
        <v>32.679999999999986</v>
      </c>
      <c r="F1329" s="37">
        <f>IFERROR('Production Inputs'!$CF$37*Dependencies!$D$15,0)</f>
        <v>0</v>
      </c>
      <c r="G1329" s="37">
        <f t="array" ref="G1329">IFERROR(SUMPRODUCT(('Production Inputs'!$A:$A="APC")*('Production Inputs'!$B:$B="TOTAL ACTIVE")*'Production Inputs'!$CF:$CF),0)</f>
        <v>0</v>
      </c>
      <c r="H1329" s="30">
        <f t="shared" si="140"/>
        <v>32.679999999999986</v>
      </c>
      <c r="I1329" s="30">
        <f ca="1">IFERROR(AVERAGEIF(OFFSET(F1329,0,0,MIN(Controls!$B$8,COUNTIF(B1329:B$1973,B1329)),1),"&gt;"&amp;0),0)</f>
        <v>0</v>
      </c>
      <c r="J1329" s="38">
        <f t="shared" ca="1" si="141"/>
        <v>999</v>
      </c>
      <c r="K1329" s="30">
        <f t="shared" ca="1" si="145"/>
        <v>0</v>
      </c>
      <c r="L1329" t="str">
        <f t="shared" ca="1" si="142"/>
        <v>Overstock</v>
      </c>
      <c r="M1329" s="39">
        <f>IFERROR(VLOOKUP("APC",Controls!A:I,7,0),6)</f>
        <v>4</v>
      </c>
      <c r="N1329" s="39">
        <f>IFERROR(VLOOKUP("APC",Controls!A:I,8,0),3)</f>
        <v>3</v>
      </c>
      <c r="O1329" s="39">
        <f>IFERROR(VLOOKUP("APC",Controls!A:I,9,0),18)</f>
        <v>12</v>
      </c>
      <c r="P1329" s="40">
        <f>IFERROR(VLOOKUP("APC",Controls!A:J,5,0),0)</f>
        <v>40</v>
      </c>
      <c r="Q1329" s="39">
        <f>IFERROR(VLOOKUP("APC",Controls!A:J,6,0),3)</f>
        <v>4</v>
      </c>
      <c r="R1329" s="21" t="str">
        <f>IFERROR(VLOOKUP("APC",Controls!A:K,10,0),"")</f>
        <v>ST Pharm</v>
      </c>
      <c r="S1329" s="41">
        <f t="shared" si="143"/>
        <v>48122</v>
      </c>
      <c r="T1329" s="30">
        <f t="shared" si="144"/>
        <v>0</v>
      </c>
      <c r="AB1329">
        <f t="shared" si="146"/>
        <v>86.240000000000009</v>
      </c>
    </row>
    <row r="1330" spans="1:28" ht="13" customHeight="1" x14ac:dyDescent="0.35">
      <c r="A1330" s="153">
        <v>48274</v>
      </c>
      <c r="B1330" s="36" t="s">
        <v>56</v>
      </c>
      <c r="C1330" s="15" t="s">
        <v>52</v>
      </c>
      <c r="D1330" s="15" t="s">
        <v>48</v>
      </c>
      <c r="E1330" s="30">
        <f>H1329</f>
        <v>32.679999999999986</v>
      </c>
      <c r="F1330" s="37">
        <f>IFERROR('Production Inputs'!$CG$37*Dependencies!$D$15,0)</f>
        <v>0</v>
      </c>
      <c r="G1330" s="37">
        <f t="array" ref="G1330">IFERROR(SUMPRODUCT(('Production Inputs'!$A:$A="APC")*('Production Inputs'!$B:$B="TOTAL ACTIVE")*'Production Inputs'!$CG:$CG),0)</f>
        <v>0</v>
      </c>
      <c r="H1330" s="30">
        <f t="shared" si="140"/>
        <v>32.679999999999986</v>
      </c>
      <c r="I1330" s="30">
        <f ca="1">IFERROR(AVERAGEIF(OFFSET(F1330,0,0,MIN(Controls!$B$8,COUNTIF(B1330:B$1973,B1330)),1),"&gt;"&amp;0),0)</f>
        <v>0</v>
      </c>
      <c r="J1330" s="38">
        <f t="shared" ca="1" si="141"/>
        <v>999</v>
      </c>
      <c r="K1330" s="30">
        <f t="shared" ca="1" si="145"/>
        <v>0</v>
      </c>
      <c r="L1330" t="str">
        <f t="shared" ca="1" si="142"/>
        <v>Overstock</v>
      </c>
      <c r="M1330" s="39">
        <f>IFERROR(VLOOKUP("APC",Controls!A:I,7,0),6)</f>
        <v>4</v>
      </c>
      <c r="N1330" s="39">
        <f>IFERROR(VLOOKUP("APC",Controls!A:I,8,0),3)</f>
        <v>3</v>
      </c>
      <c r="O1330" s="39">
        <f>IFERROR(VLOOKUP("APC",Controls!A:I,9,0),18)</f>
        <v>12</v>
      </c>
      <c r="P1330" s="40">
        <f>IFERROR(VLOOKUP("APC",Controls!A:J,5,0),0)</f>
        <v>40</v>
      </c>
      <c r="Q1330" s="39">
        <f>IFERROR(VLOOKUP("APC",Controls!A:J,6,0),3)</f>
        <v>4</v>
      </c>
      <c r="R1330" s="21" t="str">
        <f>IFERROR(VLOOKUP("APC",Controls!A:K,10,0),"")</f>
        <v>ST Pharm</v>
      </c>
      <c r="S1330" s="41">
        <f t="shared" si="143"/>
        <v>48153</v>
      </c>
      <c r="T1330" s="30">
        <f t="shared" si="144"/>
        <v>0</v>
      </c>
      <c r="AB1330">
        <f t="shared" si="146"/>
        <v>86.240000000000009</v>
      </c>
    </row>
    <row r="1331" spans="1:28" ht="13" customHeight="1" x14ac:dyDescent="0.35">
      <c r="A1331" s="153">
        <v>48305</v>
      </c>
      <c r="B1331" s="36" t="s">
        <v>56</v>
      </c>
      <c r="C1331" s="15" t="s">
        <v>52</v>
      </c>
      <c r="D1331" s="15" t="s">
        <v>48</v>
      </c>
      <c r="E1331" s="30">
        <f>H1330</f>
        <v>32.679999999999986</v>
      </c>
      <c r="F1331" s="37">
        <f>IFERROR('Production Inputs'!$CH$37*Dependencies!$D$15,0)</f>
        <v>0</v>
      </c>
      <c r="G1331" s="37">
        <f t="array" ref="G1331">IFERROR(SUMPRODUCT(('Production Inputs'!$A:$A="APC")*('Production Inputs'!$B:$B="TOTAL ACTIVE")*'Production Inputs'!$CH:$CH),0)</f>
        <v>0</v>
      </c>
      <c r="H1331" s="30">
        <f t="shared" si="140"/>
        <v>32.679999999999986</v>
      </c>
      <c r="I1331" s="30">
        <f ca="1">IFERROR(AVERAGEIF(OFFSET(F1331,0,0,MIN(Controls!$B$8,COUNTIF(B1331:B$1973,B1331)),1),"&gt;"&amp;0),0)</f>
        <v>0</v>
      </c>
      <c r="J1331" s="38">
        <f t="shared" ca="1" si="141"/>
        <v>999</v>
      </c>
      <c r="K1331" s="30">
        <f t="shared" ca="1" si="145"/>
        <v>0</v>
      </c>
      <c r="L1331" t="str">
        <f t="shared" ca="1" si="142"/>
        <v>Overstock</v>
      </c>
      <c r="M1331" s="39">
        <f>IFERROR(VLOOKUP("APC",Controls!A:I,7,0),6)</f>
        <v>4</v>
      </c>
      <c r="N1331" s="39">
        <f>IFERROR(VLOOKUP("APC",Controls!A:I,8,0),3)</f>
        <v>3</v>
      </c>
      <c r="O1331" s="39">
        <f>IFERROR(VLOOKUP("APC",Controls!A:I,9,0),18)</f>
        <v>12</v>
      </c>
      <c r="P1331" s="40">
        <f>IFERROR(VLOOKUP("APC",Controls!A:J,5,0),0)</f>
        <v>40</v>
      </c>
      <c r="Q1331" s="39">
        <f>IFERROR(VLOOKUP("APC",Controls!A:J,6,0),3)</f>
        <v>4</v>
      </c>
      <c r="R1331" s="21" t="str">
        <f>IFERROR(VLOOKUP("APC",Controls!A:K,10,0),"")</f>
        <v>ST Pharm</v>
      </c>
      <c r="S1331" s="41">
        <f t="shared" si="143"/>
        <v>48183</v>
      </c>
      <c r="T1331" s="30">
        <f t="shared" si="144"/>
        <v>0</v>
      </c>
      <c r="AB1331">
        <f t="shared" si="146"/>
        <v>86.240000000000009</v>
      </c>
    </row>
    <row r="1332" spans="1:28" ht="13" customHeight="1" x14ac:dyDescent="0.35">
      <c r="A1332" s="153">
        <v>48335</v>
      </c>
      <c r="B1332" s="36" t="s">
        <v>56</v>
      </c>
      <c r="C1332" s="15" t="s">
        <v>52</v>
      </c>
      <c r="D1332" s="15" t="s">
        <v>48</v>
      </c>
      <c r="E1332" s="30">
        <f>H1331</f>
        <v>32.679999999999986</v>
      </c>
      <c r="F1332" s="37">
        <f>IFERROR('Production Inputs'!$CI$37*Dependencies!$D$15,0)</f>
        <v>0</v>
      </c>
      <c r="G1332" s="37">
        <f t="array" ref="G1332">IFERROR(SUMPRODUCT(('Production Inputs'!$A:$A="APC")*('Production Inputs'!$B:$B="TOTAL ACTIVE")*'Production Inputs'!$CI:$CI),0)</f>
        <v>0</v>
      </c>
      <c r="H1332" s="30">
        <f t="shared" si="140"/>
        <v>32.679999999999986</v>
      </c>
      <c r="I1332" s="30">
        <f ca="1">IFERROR(AVERAGEIF(OFFSET(F1332,0,0,MIN(Controls!$B$8,COUNTIF(B1332:B$1973,B1332)),1),"&gt;"&amp;0),0)</f>
        <v>0</v>
      </c>
      <c r="J1332" s="38">
        <f t="shared" ca="1" si="141"/>
        <v>999</v>
      </c>
      <c r="K1332" s="30">
        <f t="shared" ca="1" si="145"/>
        <v>0</v>
      </c>
      <c r="L1332" t="str">
        <f t="shared" ca="1" si="142"/>
        <v>Overstock</v>
      </c>
      <c r="M1332" s="39">
        <f>IFERROR(VLOOKUP("APC",Controls!A:I,7,0),6)</f>
        <v>4</v>
      </c>
      <c r="N1332" s="39">
        <f>IFERROR(VLOOKUP("APC",Controls!A:I,8,0),3)</f>
        <v>3</v>
      </c>
      <c r="O1332" s="39">
        <f>IFERROR(VLOOKUP("APC",Controls!A:I,9,0),18)</f>
        <v>12</v>
      </c>
      <c r="P1332" s="40">
        <f>IFERROR(VLOOKUP("APC",Controls!A:J,5,0),0)</f>
        <v>40</v>
      </c>
      <c r="Q1332" s="39">
        <f>IFERROR(VLOOKUP("APC",Controls!A:J,6,0),3)</f>
        <v>4</v>
      </c>
      <c r="R1332" s="21" t="str">
        <f>IFERROR(VLOOKUP("APC",Controls!A:K,10,0),"")</f>
        <v>ST Pharm</v>
      </c>
      <c r="S1332" s="41">
        <f t="shared" si="143"/>
        <v>48214</v>
      </c>
      <c r="T1332" s="30">
        <f t="shared" si="144"/>
        <v>0</v>
      </c>
      <c r="AB1332">
        <f t="shared" si="146"/>
        <v>86.240000000000009</v>
      </c>
    </row>
    <row r="1333" spans="1:28" ht="13" customHeight="1" x14ac:dyDescent="0.35">
      <c r="A1333" s="153">
        <v>48366</v>
      </c>
      <c r="B1333" s="36" t="s">
        <v>56</v>
      </c>
      <c r="C1333" s="15" t="s">
        <v>52</v>
      </c>
      <c r="D1333" s="15" t="s">
        <v>48</v>
      </c>
      <c r="E1333" s="30">
        <f>H1332</f>
        <v>32.679999999999986</v>
      </c>
      <c r="F1333" s="37">
        <f>IFERROR('Production Inputs'!$CJ$37*Dependencies!$D$15,0)</f>
        <v>0</v>
      </c>
      <c r="G1333" s="37">
        <f t="array" ref="G1333">IFERROR(SUMPRODUCT(('Production Inputs'!$A:$A="APC")*('Production Inputs'!$B:$B="TOTAL ACTIVE")*'Production Inputs'!$CJ:$CJ),0)</f>
        <v>0</v>
      </c>
      <c r="H1333" s="30">
        <f t="shared" si="140"/>
        <v>32.679999999999986</v>
      </c>
      <c r="I1333" s="30">
        <f ca="1">IFERROR(AVERAGEIF(OFFSET(F1333,0,0,MIN(Controls!$B$8,COUNTIF(B1333:B$1973,B1333)),1),"&gt;"&amp;0),0)</f>
        <v>0</v>
      </c>
      <c r="J1333" s="38">
        <f t="shared" ca="1" si="141"/>
        <v>999</v>
      </c>
      <c r="K1333" s="30">
        <f t="shared" ca="1" si="145"/>
        <v>0</v>
      </c>
      <c r="L1333" t="str">
        <f t="shared" ca="1" si="142"/>
        <v>Overstock</v>
      </c>
      <c r="M1333" s="39">
        <f>IFERROR(VLOOKUP("APC",Controls!A:I,7,0),6)</f>
        <v>4</v>
      </c>
      <c r="N1333" s="39">
        <f>IFERROR(VLOOKUP("APC",Controls!A:I,8,0),3)</f>
        <v>3</v>
      </c>
      <c r="O1333" s="39">
        <f>IFERROR(VLOOKUP("APC",Controls!A:I,9,0),18)</f>
        <v>12</v>
      </c>
      <c r="P1333" s="40">
        <f>IFERROR(VLOOKUP("APC",Controls!A:J,5,0),0)</f>
        <v>40</v>
      </c>
      <c r="Q1333" s="39">
        <f>IFERROR(VLOOKUP("APC",Controls!A:J,6,0),3)</f>
        <v>4</v>
      </c>
      <c r="R1333" s="21" t="str">
        <f>IFERROR(VLOOKUP("APC",Controls!A:K,10,0),"")</f>
        <v>ST Pharm</v>
      </c>
      <c r="S1333" s="41">
        <f t="shared" si="143"/>
        <v>48245</v>
      </c>
      <c r="T1333" s="30">
        <f t="shared" si="144"/>
        <v>0</v>
      </c>
      <c r="AB1333">
        <f t="shared" si="146"/>
        <v>86.240000000000009</v>
      </c>
    </row>
    <row r="1334" spans="1:28" ht="13" customHeight="1" x14ac:dyDescent="0.35">
      <c r="A1334" s="153">
        <v>48396</v>
      </c>
      <c r="B1334" s="36" t="s">
        <v>56</v>
      </c>
      <c r="C1334" s="15" t="s">
        <v>52</v>
      </c>
      <c r="D1334" s="15" t="s">
        <v>48</v>
      </c>
      <c r="E1334" s="30">
        <f>H1333</f>
        <v>32.679999999999986</v>
      </c>
      <c r="F1334" s="37">
        <f>IFERROR('Production Inputs'!$CK$37*Dependencies!$D$15,0)</f>
        <v>0</v>
      </c>
      <c r="G1334" s="37">
        <f t="array" ref="G1334">IFERROR(SUMPRODUCT(('Production Inputs'!$A:$A="APC")*('Production Inputs'!$B:$B="TOTAL ACTIVE")*'Production Inputs'!$CK:$CK),0)</f>
        <v>0</v>
      </c>
      <c r="H1334" s="30">
        <f t="shared" si="140"/>
        <v>32.679999999999986</v>
      </c>
      <c r="I1334" s="30">
        <f ca="1">IFERROR(AVERAGEIF(OFFSET(F1334,0,0,MIN(Controls!$B$8,COUNTIF(B1334:B$1973,B1334)),1),"&gt;"&amp;0),0)</f>
        <v>0</v>
      </c>
      <c r="J1334" s="38">
        <f t="shared" ca="1" si="141"/>
        <v>999</v>
      </c>
      <c r="K1334" s="30">
        <f t="shared" ca="1" si="145"/>
        <v>0</v>
      </c>
      <c r="L1334" t="str">
        <f t="shared" ca="1" si="142"/>
        <v>Overstock</v>
      </c>
      <c r="M1334" s="39">
        <f>IFERROR(VLOOKUP("APC",Controls!A:I,7,0),6)</f>
        <v>4</v>
      </c>
      <c r="N1334" s="39">
        <f>IFERROR(VLOOKUP("APC",Controls!A:I,8,0),3)</f>
        <v>3</v>
      </c>
      <c r="O1334" s="39">
        <f>IFERROR(VLOOKUP("APC",Controls!A:I,9,0),18)</f>
        <v>12</v>
      </c>
      <c r="P1334" s="40">
        <f>IFERROR(VLOOKUP("APC",Controls!A:J,5,0),0)</f>
        <v>40</v>
      </c>
      <c r="Q1334" s="39">
        <f>IFERROR(VLOOKUP("APC",Controls!A:J,6,0),3)</f>
        <v>4</v>
      </c>
      <c r="R1334" s="21" t="str">
        <f>IFERROR(VLOOKUP("APC",Controls!A:K,10,0),"")</f>
        <v>ST Pharm</v>
      </c>
      <c r="S1334" s="41">
        <f t="shared" si="143"/>
        <v>48274</v>
      </c>
      <c r="T1334" s="30">
        <f t="shared" si="144"/>
        <v>0</v>
      </c>
      <c r="AB1334">
        <f t="shared" si="146"/>
        <v>86.240000000000009</v>
      </c>
    </row>
    <row r="1335" spans="1:28" ht="13" customHeight="1" x14ac:dyDescent="0.35">
      <c r="A1335" s="153">
        <v>48427</v>
      </c>
      <c r="B1335" s="36" t="s">
        <v>56</v>
      </c>
      <c r="C1335" s="15" t="s">
        <v>52</v>
      </c>
      <c r="D1335" s="15" t="s">
        <v>48</v>
      </c>
      <c r="E1335" s="30">
        <f>H1334</f>
        <v>32.679999999999986</v>
      </c>
      <c r="F1335" s="37">
        <f>IFERROR('Production Inputs'!$CL$37*Dependencies!$D$15,0)</f>
        <v>0</v>
      </c>
      <c r="G1335" s="37">
        <f t="array" ref="G1335">IFERROR(SUMPRODUCT(('Production Inputs'!$A:$A="APC")*('Production Inputs'!$B:$B="TOTAL ACTIVE")*'Production Inputs'!$CL:$CL),0)</f>
        <v>0</v>
      </c>
      <c r="H1335" s="30">
        <f t="shared" si="140"/>
        <v>32.679999999999986</v>
      </c>
      <c r="I1335" s="30">
        <f ca="1">IFERROR(AVERAGEIF(OFFSET(F1335,0,0,MIN(Controls!$B$8,COUNTIF(B1335:B$1973,B1335)),1),"&gt;"&amp;0),0)</f>
        <v>0</v>
      </c>
      <c r="J1335" s="38">
        <f t="shared" ca="1" si="141"/>
        <v>999</v>
      </c>
      <c r="K1335" s="30">
        <f t="shared" ca="1" si="145"/>
        <v>0</v>
      </c>
      <c r="L1335" t="str">
        <f t="shared" ca="1" si="142"/>
        <v>Overstock</v>
      </c>
      <c r="M1335" s="39">
        <f>IFERROR(VLOOKUP("APC",Controls!A:I,7,0),6)</f>
        <v>4</v>
      </c>
      <c r="N1335" s="39">
        <f>IFERROR(VLOOKUP("APC",Controls!A:I,8,0),3)</f>
        <v>3</v>
      </c>
      <c r="O1335" s="39">
        <f>IFERROR(VLOOKUP("APC",Controls!A:I,9,0),18)</f>
        <v>12</v>
      </c>
      <c r="P1335" s="40">
        <f>IFERROR(VLOOKUP("APC",Controls!A:J,5,0),0)</f>
        <v>40</v>
      </c>
      <c r="Q1335" s="39">
        <f>IFERROR(VLOOKUP("APC",Controls!A:J,6,0),3)</f>
        <v>4</v>
      </c>
      <c r="R1335" s="21" t="str">
        <f>IFERROR(VLOOKUP("APC",Controls!A:K,10,0),"")</f>
        <v>ST Pharm</v>
      </c>
      <c r="S1335" s="41">
        <f t="shared" si="143"/>
        <v>48305</v>
      </c>
      <c r="T1335" s="30">
        <f t="shared" si="144"/>
        <v>0</v>
      </c>
      <c r="AB1335">
        <f t="shared" si="146"/>
        <v>86.240000000000009</v>
      </c>
    </row>
    <row r="1336" spans="1:28" ht="13" customHeight="1" x14ac:dyDescent="0.35">
      <c r="A1336" s="153">
        <v>48458</v>
      </c>
      <c r="B1336" s="36" t="s">
        <v>56</v>
      </c>
      <c r="C1336" s="15" t="s">
        <v>52</v>
      </c>
      <c r="D1336" s="15" t="s">
        <v>48</v>
      </c>
      <c r="E1336" s="30">
        <f>H1335</f>
        <v>32.679999999999986</v>
      </c>
      <c r="F1336" s="37">
        <f>IFERROR('Production Inputs'!$CM$37*Dependencies!$D$15,0)</f>
        <v>0</v>
      </c>
      <c r="G1336" s="37">
        <f t="array" ref="G1336">IFERROR(SUMPRODUCT(('Production Inputs'!$A:$A="APC")*('Production Inputs'!$B:$B="TOTAL ACTIVE")*'Production Inputs'!$CM:$CM),0)</f>
        <v>0</v>
      </c>
      <c r="H1336" s="30">
        <f t="shared" si="140"/>
        <v>32.679999999999986</v>
      </c>
      <c r="I1336" s="30">
        <f ca="1">IFERROR(AVERAGEIF(OFFSET(F1336,0,0,MIN(Controls!$B$8,COUNTIF(B1336:B$1973,B1336)),1),"&gt;"&amp;0),0)</f>
        <v>0</v>
      </c>
      <c r="J1336" s="38">
        <f t="shared" ca="1" si="141"/>
        <v>999</v>
      </c>
      <c r="K1336" s="30">
        <f t="shared" ca="1" si="145"/>
        <v>0</v>
      </c>
      <c r="L1336" t="str">
        <f t="shared" ca="1" si="142"/>
        <v>Overstock</v>
      </c>
      <c r="M1336" s="39">
        <f>IFERROR(VLOOKUP("APC",Controls!A:I,7,0),6)</f>
        <v>4</v>
      </c>
      <c r="N1336" s="39">
        <f>IFERROR(VLOOKUP("APC",Controls!A:I,8,0),3)</f>
        <v>3</v>
      </c>
      <c r="O1336" s="39">
        <f>IFERROR(VLOOKUP("APC",Controls!A:I,9,0),18)</f>
        <v>12</v>
      </c>
      <c r="P1336" s="40">
        <f>IFERROR(VLOOKUP("APC",Controls!A:J,5,0),0)</f>
        <v>40</v>
      </c>
      <c r="Q1336" s="39">
        <f>IFERROR(VLOOKUP("APC",Controls!A:J,6,0),3)</f>
        <v>4</v>
      </c>
      <c r="R1336" s="21" t="str">
        <f>IFERROR(VLOOKUP("APC",Controls!A:K,10,0),"")</f>
        <v>ST Pharm</v>
      </c>
      <c r="S1336" s="41">
        <f t="shared" si="143"/>
        <v>48335</v>
      </c>
      <c r="T1336" s="30">
        <f t="shared" si="144"/>
        <v>0</v>
      </c>
      <c r="AB1336">
        <f t="shared" si="146"/>
        <v>86.240000000000009</v>
      </c>
    </row>
    <row r="1337" spans="1:28" ht="13" customHeight="1" x14ac:dyDescent="0.35">
      <c r="A1337" s="153">
        <v>48488</v>
      </c>
      <c r="B1337" s="36" t="s">
        <v>56</v>
      </c>
      <c r="C1337" s="15" t="s">
        <v>52</v>
      </c>
      <c r="D1337" s="15" t="s">
        <v>48</v>
      </c>
      <c r="E1337" s="30">
        <f>H1336</f>
        <v>32.679999999999986</v>
      </c>
      <c r="F1337" s="37">
        <f>IFERROR('Production Inputs'!$CN$37*Dependencies!$D$15,0)</f>
        <v>0</v>
      </c>
      <c r="G1337" s="37">
        <f t="array" ref="G1337">IFERROR(SUMPRODUCT(('Production Inputs'!$A:$A="APC")*('Production Inputs'!$B:$B="TOTAL ACTIVE")*'Production Inputs'!$CN:$CN),0)</f>
        <v>0</v>
      </c>
      <c r="H1337" s="30">
        <f t="shared" si="140"/>
        <v>32.679999999999986</v>
      </c>
      <c r="I1337" s="30">
        <f ca="1">IFERROR(AVERAGEIF(OFFSET(F1337,0,0,MIN(Controls!$B$8,COUNTIF(B1337:B$1973,B1337)),1),"&gt;"&amp;0),0)</f>
        <v>0</v>
      </c>
      <c r="J1337" s="38">
        <f t="shared" ca="1" si="141"/>
        <v>999</v>
      </c>
      <c r="K1337" s="30">
        <f t="shared" ca="1" si="145"/>
        <v>0</v>
      </c>
      <c r="L1337" t="str">
        <f t="shared" ca="1" si="142"/>
        <v>Overstock</v>
      </c>
      <c r="M1337" s="39">
        <f>IFERROR(VLOOKUP("APC",Controls!A:I,7,0),6)</f>
        <v>4</v>
      </c>
      <c r="N1337" s="39">
        <f>IFERROR(VLOOKUP("APC",Controls!A:I,8,0),3)</f>
        <v>3</v>
      </c>
      <c r="O1337" s="39">
        <f>IFERROR(VLOOKUP("APC",Controls!A:I,9,0),18)</f>
        <v>12</v>
      </c>
      <c r="P1337" s="40">
        <f>IFERROR(VLOOKUP("APC",Controls!A:J,5,0),0)</f>
        <v>40</v>
      </c>
      <c r="Q1337" s="39">
        <f>IFERROR(VLOOKUP("APC",Controls!A:J,6,0),3)</f>
        <v>4</v>
      </c>
      <c r="R1337" s="21" t="str">
        <f>IFERROR(VLOOKUP("APC",Controls!A:K,10,0),"")</f>
        <v>ST Pharm</v>
      </c>
      <c r="S1337" s="41">
        <f t="shared" si="143"/>
        <v>48366</v>
      </c>
      <c r="T1337" s="30">
        <f t="shared" si="144"/>
        <v>0</v>
      </c>
      <c r="AB1337">
        <f t="shared" si="146"/>
        <v>86.240000000000009</v>
      </c>
    </row>
    <row r="1338" spans="1:28" ht="13" customHeight="1" x14ac:dyDescent="0.35">
      <c r="A1338" s="153">
        <v>48519</v>
      </c>
      <c r="B1338" s="36" t="s">
        <v>56</v>
      </c>
      <c r="C1338" s="15" t="s">
        <v>52</v>
      </c>
      <c r="D1338" s="15" t="s">
        <v>48</v>
      </c>
      <c r="E1338" s="30">
        <f>H1337</f>
        <v>32.679999999999986</v>
      </c>
      <c r="F1338" s="37">
        <f>IFERROR('Production Inputs'!$CO$37*Dependencies!$D$15,0)</f>
        <v>0</v>
      </c>
      <c r="G1338" s="37">
        <f t="array" ref="G1338">IFERROR(SUMPRODUCT(('Production Inputs'!$A:$A="APC")*('Production Inputs'!$B:$B="TOTAL ACTIVE")*'Production Inputs'!$CO:$CO),0)</f>
        <v>0</v>
      </c>
      <c r="H1338" s="30">
        <f t="shared" si="140"/>
        <v>32.679999999999986</v>
      </c>
      <c r="I1338" s="30">
        <f ca="1">IFERROR(AVERAGEIF(OFFSET(F1338,0,0,MIN(Controls!$B$8,COUNTIF(B1338:B$1973,B1338)),1),"&gt;"&amp;0),0)</f>
        <v>0</v>
      </c>
      <c r="J1338" s="38">
        <f t="shared" ca="1" si="141"/>
        <v>999</v>
      </c>
      <c r="K1338" s="30">
        <f t="shared" ca="1" si="145"/>
        <v>0</v>
      </c>
      <c r="L1338" t="str">
        <f t="shared" ca="1" si="142"/>
        <v>Overstock</v>
      </c>
      <c r="M1338" s="39">
        <f>IFERROR(VLOOKUP("APC",Controls!A:I,7,0),6)</f>
        <v>4</v>
      </c>
      <c r="N1338" s="39">
        <f>IFERROR(VLOOKUP("APC",Controls!A:I,8,0),3)</f>
        <v>3</v>
      </c>
      <c r="O1338" s="39">
        <f>IFERROR(VLOOKUP("APC",Controls!A:I,9,0),18)</f>
        <v>12</v>
      </c>
      <c r="P1338" s="40">
        <f>IFERROR(VLOOKUP("APC",Controls!A:J,5,0),0)</f>
        <v>40</v>
      </c>
      <c r="Q1338" s="39">
        <f>IFERROR(VLOOKUP("APC",Controls!A:J,6,0),3)</f>
        <v>4</v>
      </c>
      <c r="R1338" s="21" t="str">
        <f>IFERROR(VLOOKUP("APC",Controls!A:K,10,0),"")</f>
        <v>ST Pharm</v>
      </c>
      <c r="S1338" s="41">
        <f t="shared" si="143"/>
        <v>48396</v>
      </c>
      <c r="T1338" s="30">
        <f t="shared" si="144"/>
        <v>0</v>
      </c>
      <c r="AB1338">
        <f t="shared" si="146"/>
        <v>86.240000000000009</v>
      </c>
    </row>
    <row r="1339" spans="1:28" ht="13" customHeight="1" x14ac:dyDescent="0.35">
      <c r="A1339" s="153">
        <v>48549</v>
      </c>
      <c r="B1339" s="36" t="s">
        <v>56</v>
      </c>
      <c r="C1339" s="15" t="s">
        <v>52</v>
      </c>
      <c r="D1339" s="15" t="s">
        <v>48</v>
      </c>
      <c r="E1339" s="30">
        <f>H1338</f>
        <v>32.679999999999986</v>
      </c>
      <c r="F1339" s="37">
        <f>IFERROR('Production Inputs'!$CP$37*Dependencies!$D$15,0)</f>
        <v>0</v>
      </c>
      <c r="G1339" s="37">
        <f t="array" ref="G1339">IFERROR(SUMPRODUCT(('Production Inputs'!$A:$A="APC")*('Production Inputs'!$B:$B="TOTAL ACTIVE")*'Production Inputs'!$CP:$CP),0)</f>
        <v>0</v>
      </c>
      <c r="H1339" s="30">
        <f t="shared" si="140"/>
        <v>32.679999999999986</v>
      </c>
      <c r="I1339" s="30">
        <f ca="1">IFERROR(AVERAGEIF(OFFSET(F1339,0,0,MIN(Controls!$B$8,COUNTIF(B1339:B$1973,B1339)),1),"&gt;"&amp;0),0)</f>
        <v>0</v>
      </c>
      <c r="J1339" s="38">
        <f t="shared" ca="1" si="141"/>
        <v>999</v>
      </c>
      <c r="K1339" s="30">
        <f t="shared" ca="1" si="145"/>
        <v>0</v>
      </c>
      <c r="L1339" t="str">
        <f t="shared" ca="1" si="142"/>
        <v>Overstock</v>
      </c>
      <c r="M1339" s="39">
        <f>IFERROR(VLOOKUP("APC",Controls!A:I,7,0),6)</f>
        <v>4</v>
      </c>
      <c r="N1339" s="39">
        <f>IFERROR(VLOOKUP("APC",Controls!A:I,8,0),3)</f>
        <v>3</v>
      </c>
      <c r="O1339" s="39">
        <f>IFERROR(VLOOKUP("APC",Controls!A:I,9,0),18)</f>
        <v>12</v>
      </c>
      <c r="P1339" s="40">
        <f>IFERROR(VLOOKUP("APC",Controls!A:J,5,0),0)</f>
        <v>40</v>
      </c>
      <c r="Q1339" s="39">
        <f>IFERROR(VLOOKUP("APC",Controls!A:J,6,0),3)</f>
        <v>4</v>
      </c>
      <c r="R1339" s="21" t="str">
        <f>IFERROR(VLOOKUP("APC",Controls!A:K,10,0),"")</f>
        <v>ST Pharm</v>
      </c>
      <c r="S1339" s="41">
        <f t="shared" si="143"/>
        <v>48427</v>
      </c>
      <c r="T1339" s="30">
        <f t="shared" si="144"/>
        <v>0</v>
      </c>
      <c r="AB1339">
        <f t="shared" si="146"/>
        <v>86.240000000000009</v>
      </c>
    </row>
    <row r="1340" spans="1:28" ht="13" customHeight="1" x14ac:dyDescent="0.35">
      <c r="A1340" s="153">
        <v>48580</v>
      </c>
      <c r="B1340" s="36" t="s">
        <v>56</v>
      </c>
      <c r="C1340" s="15" t="s">
        <v>52</v>
      </c>
      <c r="D1340" s="15" t="s">
        <v>48</v>
      </c>
      <c r="E1340" s="30">
        <f>H1339</f>
        <v>32.679999999999986</v>
      </c>
      <c r="F1340" s="37">
        <f>IFERROR('Production Inputs'!$CQ$37*Dependencies!$D$15,0)</f>
        <v>0</v>
      </c>
      <c r="G1340" s="37">
        <f t="array" ref="G1340">IFERROR(SUMPRODUCT(('Production Inputs'!$A:$A="APC")*('Production Inputs'!$B:$B="TOTAL ACTIVE")*'Production Inputs'!$CQ:$CQ),0)</f>
        <v>0</v>
      </c>
      <c r="H1340" s="30">
        <f t="shared" si="140"/>
        <v>32.679999999999986</v>
      </c>
      <c r="I1340" s="30">
        <f ca="1">IFERROR(AVERAGEIF(OFFSET(F1340,0,0,MIN(Controls!$B$8,COUNTIF(B1340:B$1973,B1340)),1),"&gt;"&amp;0),0)</f>
        <v>0</v>
      </c>
      <c r="J1340" s="38">
        <f t="shared" ca="1" si="141"/>
        <v>999</v>
      </c>
      <c r="K1340" s="30">
        <f t="shared" ca="1" si="145"/>
        <v>0</v>
      </c>
      <c r="L1340" t="str">
        <f t="shared" ca="1" si="142"/>
        <v>Overstock</v>
      </c>
      <c r="M1340" s="39">
        <f>IFERROR(VLOOKUP("APC",Controls!A:I,7,0),6)</f>
        <v>4</v>
      </c>
      <c r="N1340" s="39">
        <f>IFERROR(VLOOKUP("APC",Controls!A:I,8,0),3)</f>
        <v>3</v>
      </c>
      <c r="O1340" s="39">
        <f>IFERROR(VLOOKUP("APC",Controls!A:I,9,0),18)</f>
        <v>12</v>
      </c>
      <c r="P1340" s="40">
        <f>IFERROR(VLOOKUP("APC",Controls!A:J,5,0),0)</f>
        <v>40</v>
      </c>
      <c r="Q1340" s="39">
        <f>IFERROR(VLOOKUP("APC",Controls!A:J,6,0),3)</f>
        <v>4</v>
      </c>
      <c r="R1340" s="21" t="str">
        <f>IFERROR(VLOOKUP("APC",Controls!A:K,10,0),"")</f>
        <v>ST Pharm</v>
      </c>
      <c r="S1340" s="41">
        <f t="shared" si="143"/>
        <v>48458</v>
      </c>
      <c r="T1340" s="30">
        <f t="shared" si="144"/>
        <v>0</v>
      </c>
      <c r="AB1340">
        <f t="shared" si="146"/>
        <v>86.240000000000009</v>
      </c>
    </row>
    <row r="1341" spans="1:28" ht="13" customHeight="1" x14ac:dyDescent="0.35">
      <c r="A1341" s="153">
        <v>48611</v>
      </c>
      <c r="B1341" s="36" t="s">
        <v>56</v>
      </c>
      <c r="C1341" s="15" t="s">
        <v>52</v>
      </c>
      <c r="D1341" s="15" t="s">
        <v>48</v>
      </c>
      <c r="E1341" s="30">
        <f>H1340</f>
        <v>32.679999999999986</v>
      </c>
      <c r="F1341" s="37">
        <f>IFERROR('Production Inputs'!$CR$37*Dependencies!$D$15,0)</f>
        <v>0</v>
      </c>
      <c r="G1341" s="37">
        <f t="array" ref="G1341">IFERROR(SUMPRODUCT(('Production Inputs'!$A:$A="APC")*('Production Inputs'!$B:$B="TOTAL ACTIVE")*'Production Inputs'!$CR:$CR),0)</f>
        <v>0</v>
      </c>
      <c r="H1341" s="30">
        <f t="shared" si="140"/>
        <v>32.679999999999986</v>
      </c>
      <c r="I1341" s="30">
        <f ca="1">IFERROR(AVERAGEIF(OFFSET(F1341,0,0,MIN(Controls!$B$8,COUNTIF(B1341:B$1973,B1341)),1),"&gt;"&amp;0),0)</f>
        <v>0</v>
      </c>
      <c r="J1341" s="38">
        <f t="shared" ca="1" si="141"/>
        <v>999</v>
      </c>
      <c r="K1341" s="30">
        <f t="shared" ca="1" si="145"/>
        <v>0</v>
      </c>
      <c r="L1341" t="str">
        <f t="shared" ca="1" si="142"/>
        <v>Overstock</v>
      </c>
      <c r="M1341" s="39">
        <f>IFERROR(VLOOKUP("APC",Controls!A:I,7,0),6)</f>
        <v>4</v>
      </c>
      <c r="N1341" s="39">
        <f>IFERROR(VLOOKUP("APC",Controls!A:I,8,0),3)</f>
        <v>3</v>
      </c>
      <c r="O1341" s="39">
        <f>IFERROR(VLOOKUP("APC",Controls!A:I,9,0),18)</f>
        <v>12</v>
      </c>
      <c r="P1341" s="40">
        <f>IFERROR(VLOOKUP("APC",Controls!A:J,5,0),0)</f>
        <v>40</v>
      </c>
      <c r="Q1341" s="39">
        <f>IFERROR(VLOOKUP("APC",Controls!A:J,6,0),3)</f>
        <v>4</v>
      </c>
      <c r="R1341" s="21" t="str">
        <f>IFERROR(VLOOKUP("APC",Controls!A:K,10,0),"")</f>
        <v>ST Pharm</v>
      </c>
      <c r="S1341" s="41">
        <f t="shared" si="143"/>
        <v>48488</v>
      </c>
      <c r="T1341" s="30">
        <f t="shared" si="144"/>
        <v>0</v>
      </c>
      <c r="AB1341">
        <f t="shared" si="146"/>
        <v>86.240000000000009</v>
      </c>
    </row>
    <row r="1342" spans="1:28" ht="13" customHeight="1" x14ac:dyDescent="0.35">
      <c r="A1342" s="153">
        <v>48639</v>
      </c>
      <c r="B1342" s="36" t="s">
        <v>56</v>
      </c>
      <c r="C1342" s="15" t="s">
        <v>52</v>
      </c>
      <c r="D1342" s="15" t="s">
        <v>48</v>
      </c>
      <c r="E1342" s="30">
        <f>H1341</f>
        <v>32.679999999999986</v>
      </c>
      <c r="F1342" s="37">
        <f>IFERROR('Production Inputs'!$CS$37*Dependencies!$D$15,0)</f>
        <v>0</v>
      </c>
      <c r="G1342" s="37">
        <f t="array" ref="G1342">IFERROR(SUMPRODUCT(('Production Inputs'!$A:$A="APC")*('Production Inputs'!$B:$B="TOTAL ACTIVE")*'Production Inputs'!$CS:$CS),0)</f>
        <v>0</v>
      </c>
      <c r="H1342" s="30">
        <f t="shared" si="140"/>
        <v>32.679999999999986</v>
      </c>
      <c r="I1342" s="30">
        <f ca="1">IFERROR(AVERAGEIF(OFFSET(F1342,0,0,MIN(Controls!$B$8,COUNTIF(B1342:B$1973,B1342)),1),"&gt;"&amp;0),0)</f>
        <v>0</v>
      </c>
      <c r="J1342" s="38">
        <f t="shared" ca="1" si="141"/>
        <v>999</v>
      </c>
      <c r="K1342" s="30">
        <f t="shared" ca="1" si="145"/>
        <v>0</v>
      </c>
      <c r="L1342" t="str">
        <f t="shared" ca="1" si="142"/>
        <v>Overstock</v>
      </c>
      <c r="M1342" s="39">
        <f>IFERROR(VLOOKUP("APC",Controls!A:I,7,0),6)</f>
        <v>4</v>
      </c>
      <c r="N1342" s="39">
        <f>IFERROR(VLOOKUP("APC",Controls!A:I,8,0),3)</f>
        <v>3</v>
      </c>
      <c r="O1342" s="39">
        <f>IFERROR(VLOOKUP("APC",Controls!A:I,9,0),18)</f>
        <v>12</v>
      </c>
      <c r="P1342" s="40">
        <f>IFERROR(VLOOKUP("APC",Controls!A:J,5,0),0)</f>
        <v>40</v>
      </c>
      <c r="Q1342" s="39">
        <f>IFERROR(VLOOKUP("APC",Controls!A:J,6,0),3)</f>
        <v>4</v>
      </c>
      <c r="R1342" s="21" t="str">
        <f>IFERROR(VLOOKUP("APC",Controls!A:K,10,0),"")</f>
        <v>ST Pharm</v>
      </c>
      <c r="S1342" s="41">
        <f t="shared" si="143"/>
        <v>48519</v>
      </c>
      <c r="T1342" s="30">
        <f t="shared" si="144"/>
        <v>0</v>
      </c>
      <c r="AB1342">
        <f t="shared" si="146"/>
        <v>86.240000000000009</v>
      </c>
    </row>
    <row r="1343" spans="1:28" ht="13" customHeight="1" x14ac:dyDescent="0.35">
      <c r="A1343" s="153">
        <v>48670</v>
      </c>
      <c r="B1343" s="36" t="s">
        <v>56</v>
      </c>
      <c r="C1343" s="15" t="s">
        <v>52</v>
      </c>
      <c r="D1343" s="15" t="s">
        <v>48</v>
      </c>
      <c r="E1343" s="30">
        <f>H1342</f>
        <v>32.679999999999986</v>
      </c>
      <c r="F1343" s="37">
        <f>IFERROR('Production Inputs'!$CT$37*Dependencies!$D$15,0)</f>
        <v>0</v>
      </c>
      <c r="G1343" s="37">
        <f t="array" ref="G1343">IFERROR(SUMPRODUCT(('Production Inputs'!$A:$A="APC")*('Production Inputs'!$B:$B="TOTAL ACTIVE")*'Production Inputs'!$CT:$CT),0)</f>
        <v>0</v>
      </c>
      <c r="H1343" s="30">
        <f t="shared" si="140"/>
        <v>32.679999999999986</v>
      </c>
      <c r="I1343" s="30">
        <f ca="1">IFERROR(AVERAGEIF(OFFSET(F1343,0,0,MIN(Controls!$B$8,COUNTIF(B1343:B$1973,B1343)),1),"&gt;"&amp;0),0)</f>
        <v>0</v>
      </c>
      <c r="J1343" s="38">
        <f t="shared" ca="1" si="141"/>
        <v>999</v>
      </c>
      <c r="K1343" s="30">
        <f t="shared" ca="1" si="145"/>
        <v>0</v>
      </c>
      <c r="L1343" t="str">
        <f t="shared" ca="1" si="142"/>
        <v>Overstock</v>
      </c>
      <c r="M1343" s="39">
        <f>IFERROR(VLOOKUP("APC",Controls!A:I,7,0),6)</f>
        <v>4</v>
      </c>
      <c r="N1343" s="39">
        <f>IFERROR(VLOOKUP("APC",Controls!A:I,8,0),3)</f>
        <v>3</v>
      </c>
      <c r="O1343" s="39">
        <f>IFERROR(VLOOKUP("APC",Controls!A:I,9,0),18)</f>
        <v>12</v>
      </c>
      <c r="P1343" s="40">
        <f>IFERROR(VLOOKUP("APC",Controls!A:J,5,0),0)</f>
        <v>40</v>
      </c>
      <c r="Q1343" s="39">
        <f>IFERROR(VLOOKUP("APC",Controls!A:J,6,0),3)</f>
        <v>4</v>
      </c>
      <c r="R1343" s="21" t="str">
        <f>IFERROR(VLOOKUP("APC",Controls!A:K,10,0),"")</f>
        <v>ST Pharm</v>
      </c>
      <c r="S1343" s="41">
        <f t="shared" si="143"/>
        <v>48549</v>
      </c>
      <c r="T1343" s="30">
        <f t="shared" si="144"/>
        <v>0</v>
      </c>
      <c r="AB1343">
        <f t="shared" si="146"/>
        <v>86.240000000000009</v>
      </c>
    </row>
    <row r="1344" spans="1:28" ht="13" customHeight="1" x14ac:dyDescent="0.35">
      <c r="A1344" s="153">
        <v>48700</v>
      </c>
      <c r="B1344" s="36" t="s">
        <v>56</v>
      </c>
      <c r="C1344" s="15" t="s">
        <v>52</v>
      </c>
      <c r="D1344" s="15" t="s">
        <v>48</v>
      </c>
      <c r="E1344" s="30">
        <f>H1343</f>
        <v>32.679999999999986</v>
      </c>
      <c r="F1344" s="37">
        <f>IFERROR('Production Inputs'!$CU$37*Dependencies!$D$15,0)</f>
        <v>0</v>
      </c>
      <c r="G1344" s="37">
        <f t="array" ref="G1344">IFERROR(SUMPRODUCT(('Production Inputs'!$A:$A="APC")*('Production Inputs'!$B:$B="TOTAL ACTIVE")*'Production Inputs'!$CU:$CU),0)</f>
        <v>0</v>
      </c>
      <c r="H1344" s="30">
        <f t="shared" si="140"/>
        <v>32.679999999999986</v>
      </c>
      <c r="I1344" s="30">
        <f ca="1">IFERROR(AVERAGEIF(OFFSET(F1344,0,0,MIN(Controls!$B$8,COUNTIF(B1344:B$1973,B1344)),1),"&gt;"&amp;0),0)</f>
        <v>0</v>
      </c>
      <c r="J1344" s="38">
        <f t="shared" ca="1" si="141"/>
        <v>999</v>
      </c>
      <c r="K1344" s="30">
        <f t="shared" ca="1" si="145"/>
        <v>0</v>
      </c>
      <c r="L1344" t="str">
        <f t="shared" ca="1" si="142"/>
        <v>Overstock</v>
      </c>
      <c r="M1344" s="39">
        <f>IFERROR(VLOOKUP("APC",Controls!A:I,7,0),6)</f>
        <v>4</v>
      </c>
      <c r="N1344" s="39">
        <f>IFERROR(VLOOKUP("APC",Controls!A:I,8,0),3)</f>
        <v>3</v>
      </c>
      <c r="O1344" s="39">
        <f>IFERROR(VLOOKUP("APC",Controls!A:I,9,0),18)</f>
        <v>12</v>
      </c>
      <c r="P1344" s="40">
        <f>IFERROR(VLOOKUP("APC",Controls!A:J,5,0),0)</f>
        <v>40</v>
      </c>
      <c r="Q1344" s="39">
        <f>IFERROR(VLOOKUP("APC",Controls!A:J,6,0),3)</f>
        <v>4</v>
      </c>
      <c r="R1344" s="21" t="str">
        <f>IFERROR(VLOOKUP("APC",Controls!A:K,10,0),"")</f>
        <v>ST Pharm</v>
      </c>
      <c r="S1344" s="41">
        <f t="shared" si="143"/>
        <v>48580</v>
      </c>
      <c r="T1344" s="30">
        <f t="shared" si="144"/>
        <v>0</v>
      </c>
      <c r="AB1344">
        <f t="shared" si="146"/>
        <v>86.240000000000009</v>
      </c>
    </row>
    <row r="1345" spans="1:28" ht="13" customHeight="1" x14ac:dyDescent="0.35">
      <c r="A1345" s="153">
        <v>48731</v>
      </c>
      <c r="B1345" s="36" t="s">
        <v>56</v>
      </c>
      <c r="C1345" s="15" t="s">
        <v>52</v>
      </c>
      <c r="D1345" s="15" t="s">
        <v>48</v>
      </c>
      <c r="E1345" s="30">
        <f>H1344</f>
        <v>32.679999999999986</v>
      </c>
      <c r="F1345" s="37">
        <f>IFERROR('Production Inputs'!$CV$37*Dependencies!$D$15,0)</f>
        <v>0</v>
      </c>
      <c r="G1345" s="37">
        <f t="array" ref="G1345">IFERROR(SUMPRODUCT(('Production Inputs'!$A:$A="APC")*('Production Inputs'!$B:$B="TOTAL ACTIVE")*'Production Inputs'!$CV:$CV),0)</f>
        <v>0</v>
      </c>
      <c r="H1345" s="30">
        <f t="shared" si="140"/>
        <v>32.679999999999986</v>
      </c>
      <c r="I1345" s="30">
        <f ca="1">IFERROR(AVERAGEIF(OFFSET(F1345,0,0,MIN(Controls!$B$8,COUNTIF(B1345:B$1973,B1345)),1),"&gt;"&amp;0),0)</f>
        <v>0</v>
      </c>
      <c r="J1345" s="38">
        <f t="shared" ca="1" si="141"/>
        <v>999</v>
      </c>
      <c r="K1345" s="30">
        <f t="shared" ca="1" si="145"/>
        <v>0</v>
      </c>
      <c r="L1345" t="str">
        <f t="shared" ca="1" si="142"/>
        <v>Overstock</v>
      </c>
      <c r="M1345" s="39">
        <f>IFERROR(VLOOKUP("APC",Controls!A:I,7,0),6)</f>
        <v>4</v>
      </c>
      <c r="N1345" s="39">
        <f>IFERROR(VLOOKUP("APC",Controls!A:I,8,0),3)</f>
        <v>3</v>
      </c>
      <c r="O1345" s="39">
        <f>IFERROR(VLOOKUP("APC",Controls!A:I,9,0),18)</f>
        <v>12</v>
      </c>
      <c r="P1345" s="40">
        <f>IFERROR(VLOOKUP("APC",Controls!A:J,5,0),0)</f>
        <v>40</v>
      </c>
      <c r="Q1345" s="39">
        <f>IFERROR(VLOOKUP("APC",Controls!A:J,6,0),3)</f>
        <v>4</v>
      </c>
      <c r="R1345" s="21" t="str">
        <f>IFERROR(VLOOKUP("APC",Controls!A:K,10,0),"")</f>
        <v>ST Pharm</v>
      </c>
      <c r="S1345" s="41">
        <f t="shared" si="143"/>
        <v>48611</v>
      </c>
      <c r="T1345" s="30">
        <f t="shared" si="144"/>
        <v>0</v>
      </c>
      <c r="AB1345">
        <f t="shared" si="146"/>
        <v>86.240000000000009</v>
      </c>
    </row>
    <row r="1346" spans="1:28" ht="13" customHeight="1" x14ac:dyDescent="0.35">
      <c r="A1346" s="153">
        <v>48761</v>
      </c>
      <c r="B1346" s="36" t="s">
        <v>56</v>
      </c>
      <c r="C1346" s="15" t="s">
        <v>52</v>
      </c>
      <c r="D1346" s="15" t="s">
        <v>48</v>
      </c>
      <c r="E1346" s="30">
        <f>H1345</f>
        <v>32.679999999999986</v>
      </c>
      <c r="F1346" s="37">
        <f>IFERROR('Production Inputs'!$CW$37*Dependencies!$D$15,0)</f>
        <v>0</v>
      </c>
      <c r="G1346" s="37">
        <f t="array" ref="G1346">IFERROR(SUMPRODUCT(('Production Inputs'!$A:$A="APC")*('Production Inputs'!$B:$B="TOTAL ACTIVE")*'Production Inputs'!$CW:$CW),0)</f>
        <v>0</v>
      </c>
      <c r="H1346" s="30">
        <f t="shared" si="140"/>
        <v>32.679999999999986</v>
      </c>
      <c r="I1346" s="30">
        <f ca="1">IFERROR(AVERAGEIF(OFFSET(F1346,0,0,MIN(Controls!$B$8,COUNTIF(B1346:B$1973,B1346)),1),"&gt;"&amp;0),0)</f>
        <v>0</v>
      </c>
      <c r="J1346" s="38">
        <f t="shared" ca="1" si="141"/>
        <v>999</v>
      </c>
      <c r="K1346" s="30">
        <f t="shared" ca="1" si="145"/>
        <v>0</v>
      </c>
      <c r="L1346" t="str">
        <f t="shared" ca="1" si="142"/>
        <v>Overstock</v>
      </c>
      <c r="M1346" s="39">
        <f>IFERROR(VLOOKUP("APC",Controls!A:I,7,0),6)</f>
        <v>4</v>
      </c>
      <c r="N1346" s="39">
        <f>IFERROR(VLOOKUP("APC",Controls!A:I,8,0),3)</f>
        <v>3</v>
      </c>
      <c r="O1346" s="39">
        <f>IFERROR(VLOOKUP("APC",Controls!A:I,9,0),18)</f>
        <v>12</v>
      </c>
      <c r="P1346" s="40">
        <f>IFERROR(VLOOKUP("APC",Controls!A:J,5,0),0)</f>
        <v>40</v>
      </c>
      <c r="Q1346" s="39">
        <f>IFERROR(VLOOKUP("APC",Controls!A:J,6,0),3)</f>
        <v>4</v>
      </c>
      <c r="R1346" s="21" t="str">
        <f>IFERROR(VLOOKUP("APC",Controls!A:K,10,0),"")</f>
        <v>ST Pharm</v>
      </c>
      <c r="S1346" s="41">
        <f t="shared" si="143"/>
        <v>48639</v>
      </c>
      <c r="T1346" s="30">
        <f t="shared" si="144"/>
        <v>0</v>
      </c>
      <c r="AB1346">
        <f t="shared" si="146"/>
        <v>86.240000000000009</v>
      </c>
    </row>
    <row r="1347" spans="1:28" ht="13" customHeight="1" x14ac:dyDescent="0.35">
      <c r="A1347" s="153">
        <v>48792</v>
      </c>
      <c r="B1347" s="36" t="s">
        <v>56</v>
      </c>
      <c r="C1347" s="15" t="s">
        <v>52</v>
      </c>
      <c r="D1347" s="15" t="s">
        <v>48</v>
      </c>
      <c r="E1347" s="30">
        <f>H1346</f>
        <v>32.679999999999986</v>
      </c>
      <c r="F1347" s="37">
        <f>IFERROR('Production Inputs'!$CX$37*Dependencies!$D$15,0)</f>
        <v>0</v>
      </c>
      <c r="G1347" s="37">
        <f t="array" ref="G1347">IFERROR(SUMPRODUCT(('Production Inputs'!$A:$A="APC")*('Production Inputs'!$B:$B="TOTAL ACTIVE")*'Production Inputs'!$CX:$CX),0)</f>
        <v>0</v>
      </c>
      <c r="H1347" s="30">
        <f t="shared" si="140"/>
        <v>32.679999999999986</v>
      </c>
      <c r="I1347" s="30">
        <f ca="1">IFERROR(AVERAGEIF(OFFSET(F1347,0,0,MIN(Controls!$B$8,COUNTIF(B1347:B$1973,B1347)),1),"&gt;"&amp;0),0)</f>
        <v>0</v>
      </c>
      <c r="J1347" s="38">
        <f t="shared" ca="1" si="141"/>
        <v>999</v>
      </c>
      <c r="K1347" s="30">
        <f t="shared" ca="1" si="145"/>
        <v>0</v>
      </c>
      <c r="L1347" t="str">
        <f t="shared" ca="1" si="142"/>
        <v>Overstock</v>
      </c>
      <c r="M1347" s="39">
        <f>IFERROR(VLOOKUP("APC",Controls!A:I,7,0),6)</f>
        <v>4</v>
      </c>
      <c r="N1347" s="39">
        <f>IFERROR(VLOOKUP("APC",Controls!A:I,8,0),3)</f>
        <v>3</v>
      </c>
      <c r="O1347" s="39">
        <f>IFERROR(VLOOKUP("APC",Controls!A:I,9,0),18)</f>
        <v>12</v>
      </c>
      <c r="P1347" s="40">
        <f>IFERROR(VLOOKUP("APC",Controls!A:J,5,0),0)</f>
        <v>40</v>
      </c>
      <c r="Q1347" s="39">
        <f>IFERROR(VLOOKUP("APC",Controls!A:J,6,0),3)</f>
        <v>4</v>
      </c>
      <c r="R1347" s="21" t="str">
        <f>IFERROR(VLOOKUP("APC",Controls!A:K,10,0),"")</f>
        <v>ST Pharm</v>
      </c>
      <c r="S1347" s="41">
        <f t="shared" si="143"/>
        <v>48670</v>
      </c>
      <c r="T1347" s="30">
        <f t="shared" si="144"/>
        <v>0</v>
      </c>
      <c r="AB1347">
        <f t="shared" si="146"/>
        <v>86.240000000000009</v>
      </c>
    </row>
    <row r="1348" spans="1:28" ht="13" customHeight="1" x14ac:dyDescent="0.35">
      <c r="A1348" s="153">
        <v>48823</v>
      </c>
      <c r="B1348" s="36" t="s">
        <v>56</v>
      </c>
      <c r="C1348" s="15" t="s">
        <v>52</v>
      </c>
      <c r="D1348" s="15" t="s">
        <v>48</v>
      </c>
      <c r="E1348" s="30">
        <f>H1347</f>
        <v>32.679999999999986</v>
      </c>
      <c r="F1348" s="37">
        <f>IFERROR('Production Inputs'!$CY$37*Dependencies!$D$15,0)</f>
        <v>0</v>
      </c>
      <c r="G1348" s="37">
        <f t="array" ref="G1348">IFERROR(SUMPRODUCT(('Production Inputs'!$A:$A="APC")*('Production Inputs'!$B:$B="TOTAL ACTIVE")*'Production Inputs'!$CY:$CY),0)</f>
        <v>0</v>
      </c>
      <c r="H1348" s="30">
        <f t="shared" ref="H1348:H1411" si="147">E1348+G1348-F1348</f>
        <v>32.679999999999986</v>
      </c>
      <c r="I1348" s="30">
        <f ca="1">IFERROR(AVERAGEIF(OFFSET(F1348,0,0,MIN(Controls!$B$8,COUNTIF(B1348:B$1973,B1348)),1),"&gt;"&amp;0),0)</f>
        <v>0</v>
      </c>
      <c r="J1348" s="38">
        <f t="shared" ref="J1348:J1411" ca="1" si="148">IFERROR(H1348/I1348,IF(H1348&gt;0,999,0))</f>
        <v>999</v>
      </c>
      <c r="K1348" s="30">
        <f t="shared" ca="1" si="145"/>
        <v>0</v>
      </c>
      <c r="L1348" t="str">
        <f t="shared" ref="L1348:L1411" ca="1" si="149">IF(H1348&lt;=0,"High",IF(J1348&lt;N1348,"High",IF(J1348&lt;M1348,"Medium",IF(J1348&gt;O1348,"Overstock","Low"))))</f>
        <v>Overstock</v>
      </c>
      <c r="M1348" s="39">
        <f>IFERROR(VLOOKUP("APC",Controls!A:I,7,0),6)</f>
        <v>4</v>
      </c>
      <c r="N1348" s="39">
        <f>IFERROR(VLOOKUP("APC",Controls!A:I,8,0),3)</f>
        <v>3</v>
      </c>
      <c r="O1348" s="39">
        <f>IFERROR(VLOOKUP("APC",Controls!A:I,9,0),18)</f>
        <v>12</v>
      </c>
      <c r="P1348" s="40">
        <f>IFERROR(VLOOKUP("APC",Controls!A:J,5,0),0)</f>
        <v>40</v>
      </c>
      <c r="Q1348" s="39">
        <f>IFERROR(VLOOKUP("APC",Controls!A:J,6,0),3)</f>
        <v>4</v>
      </c>
      <c r="R1348" s="21" t="str">
        <f>IFERROR(VLOOKUP("APC",Controls!A:K,10,0),"")</f>
        <v>ST Pharm</v>
      </c>
      <c r="S1348" s="41">
        <f t="shared" ref="S1348:S1411" si="150">IFERROR(EDATE(A1348,-Q1348),"")</f>
        <v>48700</v>
      </c>
      <c r="T1348" s="30">
        <f t="shared" ref="T1348:T1411" si="151">G1348</f>
        <v>0</v>
      </c>
      <c r="AB1348">
        <f t="shared" si="146"/>
        <v>86.240000000000009</v>
      </c>
    </row>
    <row r="1349" spans="1:28" ht="13" customHeight="1" x14ac:dyDescent="0.35">
      <c r="A1349" s="153">
        <v>48853</v>
      </c>
      <c r="B1349" s="36" t="s">
        <v>56</v>
      </c>
      <c r="C1349" s="15" t="s">
        <v>52</v>
      </c>
      <c r="D1349" s="15" t="s">
        <v>48</v>
      </c>
      <c r="E1349" s="30">
        <f>H1348</f>
        <v>32.679999999999986</v>
      </c>
      <c r="F1349" s="37">
        <f>IFERROR('Production Inputs'!$CZ$37*Dependencies!$D$15,0)</f>
        <v>0</v>
      </c>
      <c r="G1349" s="37">
        <f t="array" ref="G1349">IFERROR(SUMPRODUCT(('Production Inputs'!$A:$A="APC")*('Production Inputs'!$B:$B="TOTAL ACTIVE")*'Production Inputs'!$CZ:$CZ),0)</f>
        <v>0</v>
      </c>
      <c r="H1349" s="30">
        <f t="shared" si="147"/>
        <v>32.679999999999986</v>
      </c>
      <c r="I1349" s="30">
        <f ca="1">IFERROR(AVERAGEIF(OFFSET(F1349,0,0,MIN(Controls!$B$8,COUNTIF(B1349:B$1973,B1349)),1),"&gt;"&amp;0),0)</f>
        <v>0</v>
      </c>
      <c r="J1349" s="38">
        <f t="shared" ca="1" si="148"/>
        <v>999</v>
      </c>
      <c r="K1349" s="30">
        <f t="shared" ref="K1349:K1412" ca="1" si="152">IFERROR(IF(H1349&lt;(N1349*I1349), CEILING(MAX(0,ROUND((M1349*I1349-H1349)/P1349,0)*P1349),P1349), 0), 0)</f>
        <v>0</v>
      </c>
      <c r="L1349" t="str">
        <f t="shared" ca="1" si="149"/>
        <v>Overstock</v>
      </c>
      <c r="M1349" s="39">
        <f>IFERROR(VLOOKUP("APC",Controls!A:I,7,0),6)</f>
        <v>4</v>
      </c>
      <c r="N1349" s="39">
        <f>IFERROR(VLOOKUP("APC",Controls!A:I,8,0),3)</f>
        <v>3</v>
      </c>
      <c r="O1349" s="39">
        <f>IFERROR(VLOOKUP("APC",Controls!A:I,9,0),18)</f>
        <v>12</v>
      </c>
      <c r="P1349" s="40">
        <f>IFERROR(VLOOKUP("APC",Controls!A:J,5,0),0)</f>
        <v>40</v>
      </c>
      <c r="Q1349" s="39">
        <f>IFERROR(VLOOKUP("APC",Controls!A:J,6,0),3)</f>
        <v>4</v>
      </c>
      <c r="R1349" s="21" t="str">
        <f>IFERROR(VLOOKUP("APC",Controls!A:K,10,0),"")</f>
        <v>ST Pharm</v>
      </c>
      <c r="S1349" s="41">
        <f t="shared" si="150"/>
        <v>48731</v>
      </c>
      <c r="T1349" s="30">
        <f t="shared" si="151"/>
        <v>0</v>
      </c>
      <c r="AB1349">
        <f t="shared" ref="AB1349:AB1412" si="153">SUMIFS($F$4:$F$2331,$B$4:$B$2331,B1349,$A$4:$A$2331,"&lt;="&amp;A1349)</f>
        <v>86.240000000000009</v>
      </c>
    </row>
    <row r="1350" spans="1:28" ht="13" customHeight="1" x14ac:dyDescent="0.35">
      <c r="A1350" s="153">
        <v>48884</v>
      </c>
      <c r="B1350" s="36" t="s">
        <v>56</v>
      </c>
      <c r="C1350" s="15" t="s">
        <v>52</v>
      </c>
      <c r="D1350" s="15" t="s">
        <v>48</v>
      </c>
      <c r="E1350" s="30">
        <f>H1349</f>
        <v>32.679999999999986</v>
      </c>
      <c r="F1350" s="37">
        <f>IFERROR('Production Inputs'!$DA$37*Dependencies!$D$15,0)</f>
        <v>0</v>
      </c>
      <c r="G1350" s="37">
        <f t="array" ref="G1350">IFERROR(SUMPRODUCT(('Production Inputs'!$A:$A="APC")*('Production Inputs'!$B:$B="TOTAL ACTIVE")*'Production Inputs'!$DA:$DA),0)</f>
        <v>0</v>
      </c>
      <c r="H1350" s="30">
        <f t="shared" si="147"/>
        <v>32.679999999999986</v>
      </c>
      <c r="I1350" s="30">
        <f ca="1">IFERROR(AVERAGEIF(OFFSET(F1350,0,0,MIN(Controls!$B$8,COUNTIF(B1350:B$1973,B1350)),1),"&gt;"&amp;0),0)</f>
        <v>0</v>
      </c>
      <c r="J1350" s="38">
        <f t="shared" ca="1" si="148"/>
        <v>999</v>
      </c>
      <c r="K1350" s="30">
        <f t="shared" ca="1" si="152"/>
        <v>0</v>
      </c>
      <c r="L1350" t="str">
        <f t="shared" ca="1" si="149"/>
        <v>Overstock</v>
      </c>
      <c r="M1350" s="39">
        <f>IFERROR(VLOOKUP("APC",Controls!A:I,7,0),6)</f>
        <v>4</v>
      </c>
      <c r="N1350" s="39">
        <f>IFERROR(VLOOKUP("APC",Controls!A:I,8,0),3)</f>
        <v>3</v>
      </c>
      <c r="O1350" s="39">
        <f>IFERROR(VLOOKUP("APC",Controls!A:I,9,0),18)</f>
        <v>12</v>
      </c>
      <c r="P1350" s="40">
        <f>IFERROR(VLOOKUP("APC",Controls!A:J,5,0),0)</f>
        <v>40</v>
      </c>
      <c r="Q1350" s="39">
        <f>IFERROR(VLOOKUP("APC",Controls!A:J,6,0),3)</f>
        <v>4</v>
      </c>
      <c r="R1350" s="21" t="str">
        <f>IFERROR(VLOOKUP("APC",Controls!A:K,10,0),"")</f>
        <v>ST Pharm</v>
      </c>
      <c r="S1350" s="41">
        <f t="shared" si="150"/>
        <v>48761</v>
      </c>
      <c r="T1350" s="30">
        <f t="shared" si="151"/>
        <v>0</v>
      </c>
      <c r="AB1350">
        <f t="shared" si="153"/>
        <v>86.240000000000009</v>
      </c>
    </row>
    <row r="1351" spans="1:28" ht="13" customHeight="1" x14ac:dyDescent="0.35">
      <c r="A1351" s="153">
        <v>48914</v>
      </c>
      <c r="B1351" s="36" t="s">
        <v>56</v>
      </c>
      <c r="C1351" s="15" t="s">
        <v>52</v>
      </c>
      <c r="D1351" s="15" t="s">
        <v>48</v>
      </c>
      <c r="E1351" s="30">
        <f>H1350</f>
        <v>32.679999999999986</v>
      </c>
      <c r="F1351" s="37">
        <f>IFERROR('Production Inputs'!$DB$37*Dependencies!$D$15,0)</f>
        <v>0</v>
      </c>
      <c r="G1351" s="37">
        <f t="array" ref="G1351">IFERROR(SUMPRODUCT(('Production Inputs'!$A:$A="APC")*('Production Inputs'!$B:$B="TOTAL ACTIVE")*'Production Inputs'!$DB:$DB),0)</f>
        <v>0</v>
      </c>
      <c r="H1351" s="30">
        <f t="shared" si="147"/>
        <v>32.679999999999986</v>
      </c>
      <c r="I1351" s="30">
        <f ca="1">IFERROR(AVERAGEIF(OFFSET(F1351,0,0,MIN(Controls!$B$8,COUNTIF(B1351:B$1973,B1351)),1),"&gt;"&amp;0),0)</f>
        <v>0</v>
      </c>
      <c r="J1351" s="38">
        <f t="shared" ca="1" si="148"/>
        <v>999</v>
      </c>
      <c r="K1351" s="30">
        <f t="shared" ca="1" si="152"/>
        <v>0</v>
      </c>
      <c r="L1351" t="str">
        <f t="shared" ca="1" si="149"/>
        <v>Overstock</v>
      </c>
      <c r="M1351" s="39">
        <f>IFERROR(VLOOKUP("APC",Controls!A:I,7,0),6)</f>
        <v>4</v>
      </c>
      <c r="N1351" s="39">
        <f>IFERROR(VLOOKUP("APC",Controls!A:I,8,0),3)</f>
        <v>3</v>
      </c>
      <c r="O1351" s="39">
        <f>IFERROR(VLOOKUP("APC",Controls!A:I,9,0),18)</f>
        <v>12</v>
      </c>
      <c r="P1351" s="40">
        <f>IFERROR(VLOOKUP("APC",Controls!A:J,5,0),0)</f>
        <v>40</v>
      </c>
      <c r="Q1351" s="39">
        <f>IFERROR(VLOOKUP("APC",Controls!A:J,6,0),3)</f>
        <v>4</v>
      </c>
      <c r="R1351" s="21" t="str">
        <f>IFERROR(VLOOKUP("APC",Controls!A:K,10,0),"")</f>
        <v>ST Pharm</v>
      </c>
      <c r="S1351" s="41">
        <f t="shared" si="150"/>
        <v>48792</v>
      </c>
      <c r="T1351" s="30">
        <f t="shared" si="151"/>
        <v>0</v>
      </c>
      <c r="AB1351">
        <f t="shared" si="153"/>
        <v>86.240000000000009</v>
      </c>
    </row>
    <row r="1352" spans="1:28" ht="13" customHeight="1" x14ac:dyDescent="0.35">
      <c r="A1352" s="153">
        <v>48945</v>
      </c>
      <c r="B1352" s="36" t="s">
        <v>56</v>
      </c>
      <c r="C1352" s="15" t="s">
        <v>52</v>
      </c>
      <c r="D1352" s="15" t="s">
        <v>48</v>
      </c>
      <c r="E1352" s="30">
        <f>H1351</f>
        <v>32.679999999999986</v>
      </c>
      <c r="F1352" s="37">
        <f>IFERROR('Production Inputs'!$DC$37*Dependencies!$D$15,0)</f>
        <v>0</v>
      </c>
      <c r="G1352" s="37">
        <f t="array" ref="G1352">IFERROR(SUMPRODUCT(('Production Inputs'!$A:$A="APC")*('Production Inputs'!$B:$B="TOTAL ACTIVE")*'Production Inputs'!$DC:$DC),0)</f>
        <v>0</v>
      </c>
      <c r="H1352" s="30">
        <f t="shared" si="147"/>
        <v>32.679999999999986</v>
      </c>
      <c r="I1352" s="30">
        <f ca="1">IFERROR(AVERAGEIF(OFFSET(F1352,0,0,MIN(Controls!$B$8,COUNTIF(B1352:B$1973,B1352)),1),"&gt;"&amp;0),0)</f>
        <v>0</v>
      </c>
      <c r="J1352" s="38">
        <f t="shared" ca="1" si="148"/>
        <v>999</v>
      </c>
      <c r="K1352" s="30">
        <f t="shared" ca="1" si="152"/>
        <v>0</v>
      </c>
      <c r="L1352" t="str">
        <f t="shared" ca="1" si="149"/>
        <v>Overstock</v>
      </c>
      <c r="M1352" s="39">
        <f>IFERROR(VLOOKUP("APC",Controls!A:I,7,0),6)</f>
        <v>4</v>
      </c>
      <c r="N1352" s="39">
        <f>IFERROR(VLOOKUP("APC",Controls!A:I,8,0),3)</f>
        <v>3</v>
      </c>
      <c r="O1352" s="39">
        <f>IFERROR(VLOOKUP("APC",Controls!A:I,9,0),18)</f>
        <v>12</v>
      </c>
      <c r="P1352" s="40">
        <f>IFERROR(VLOOKUP("APC",Controls!A:J,5,0),0)</f>
        <v>40</v>
      </c>
      <c r="Q1352" s="39">
        <f>IFERROR(VLOOKUP("APC",Controls!A:J,6,0),3)</f>
        <v>4</v>
      </c>
      <c r="R1352" s="21" t="str">
        <f>IFERROR(VLOOKUP("APC",Controls!A:K,10,0),"")</f>
        <v>ST Pharm</v>
      </c>
      <c r="S1352" s="41">
        <f t="shared" si="150"/>
        <v>48823</v>
      </c>
      <c r="T1352" s="30">
        <f t="shared" si="151"/>
        <v>0</v>
      </c>
      <c r="AB1352">
        <f t="shared" si="153"/>
        <v>86.240000000000009</v>
      </c>
    </row>
    <row r="1353" spans="1:28" ht="13" customHeight="1" x14ac:dyDescent="0.35">
      <c r="A1353" s="153">
        <v>48976</v>
      </c>
      <c r="B1353" s="36" t="s">
        <v>56</v>
      </c>
      <c r="C1353" s="15" t="s">
        <v>52</v>
      </c>
      <c r="D1353" s="15" t="s">
        <v>48</v>
      </c>
      <c r="E1353" s="30">
        <f>H1352</f>
        <v>32.679999999999986</v>
      </c>
      <c r="F1353" s="37">
        <f>IFERROR('Production Inputs'!$DD$37*Dependencies!$D$15,0)</f>
        <v>0</v>
      </c>
      <c r="G1353" s="37">
        <f t="array" ref="G1353">IFERROR(SUMPRODUCT(('Production Inputs'!$A:$A="APC")*('Production Inputs'!$B:$B="TOTAL ACTIVE")*'Production Inputs'!$DD:$DD),0)</f>
        <v>0</v>
      </c>
      <c r="H1353" s="30">
        <f t="shared" si="147"/>
        <v>32.679999999999986</v>
      </c>
      <c r="I1353" s="30">
        <f ca="1">IFERROR(AVERAGEIF(OFFSET(F1353,0,0,MIN(Controls!$B$8,COUNTIF(B1353:B$1973,B1353)),1),"&gt;"&amp;0),0)</f>
        <v>0</v>
      </c>
      <c r="J1353" s="38">
        <f t="shared" ca="1" si="148"/>
        <v>999</v>
      </c>
      <c r="K1353" s="30">
        <f t="shared" ca="1" si="152"/>
        <v>0</v>
      </c>
      <c r="L1353" t="str">
        <f t="shared" ca="1" si="149"/>
        <v>Overstock</v>
      </c>
      <c r="M1353" s="39">
        <f>IFERROR(VLOOKUP("APC",Controls!A:I,7,0),6)</f>
        <v>4</v>
      </c>
      <c r="N1353" s="39">
        <f>IFERROR(VLOOKUP("APC",Controls!A:I,8,0),3)</f>
        <v>3</v>
      </c>
      <c r="O1353" s="39">
        <f>IFERROR(VLOOKUP("APC",Controls!A:I,9,0),18)</f>
        <v>12</v>
      </c>
      <c r="P1353" s="40">
        <f>IFERROR(VLOOKUP("APC",Controls!A:J,5,0),0)</f>
        <v>40</v>
      </c>
      <c r="Q1353" s="39">
        <f>IFERROR(VLOOKUP("APC",Controls!A:J,6,0),3)</f>
        <v>4</v>
      </c>
      <c r="R1353" s="21" t="str">
        <f>IFERROR(VLOOKUP("APC",Controls!A:K,10,0),"")</f>
        <v>ST Pharm</v>
      </c>
      <c r="S1353" s="41">
        <f t="shared" si="150"/>
        <v>48853</v>
      </c>
      <c r="T1353" s="30">
        <f t="shared" si="151"/>
        <v>0</v>
      </c>
      <c r="AB1353">
        <f t="shared" si="153"/>
        <v>86.240000000000009</v>
      </c>
    </row>
    <row r="1354" spans="1:28" ht="13" customHeight="1" x14ac:dyDescent="0.35">
      <c r="A1354" s="153">
        <v>49004</v>
      </c>
      <c r="B1354" s="36" t="s">
        <v>56</v>
      </c>
      <c r="C1354" s="15" t="s">
        <v>52</v>
      </c>
      <c r="D1354" s="15" t="s">
        <v>48</v>
      </c>
      <c r="E1354" s="30">
        <f>H1353</f>
        <v>32.679999999999986</v>
      </c>
      <c r="F1354" s="37">
        <f>IFERROR('Production Inputs'!$DE$37*Dependencies!$D$15,0)</f>
        <v>0</v>
      </c>
      <c r="G1354" s="37">
        <f t="array" ref="G1354">IFERROR(SUMPRODUCT(('Production Inputs'!$A:$A="APC")*('Production Inputs'!$B:$B="TOTAL ACTIVE")*'Production Inputs'!$DE:$DE),0)</f>
        <v>0</v>
      </c>
      <c r="H1354" s="30">
        <f t="shared" si="147"/>
        <v>32.679999999999986</v>
      </c>
      <c r="I1354" s="30">
        <f ca="1">IFERROR(AVERAGEIF(OFFSET(F1354,0,0,MIN(Controls!$B$8,COUNTIF(B1354:B$1973,B1354)),1),"&gt;"&amp;0),0)</f>
        <v>0</v>
      </c>
      <c r="J1354" s="38">
        <f t="shared" ca="1" si="148"/>
        <v>999</v>
      </c>
      <c r="K1354" s="30">
        <f t="shared" ca="1" si="152"/>
        <v>0</v>
      </c>
      <c r="L1354" t="str">
        <f t="shared" ca="1" si="149"/>
        <v>Overstock</v>
      </c>
      <c r="M1354" s="39">
        <f>IFERROR(VLOOKUP("APC",Controls!A:I,7,0),6)</f>
        <v>4</v>
      </c>
      <c r="N1354" s="39">
        <f>IFERROR(VLOOKUP("APC",Controls!A:I,8,0),3)</f>
        <v>3</v>
      </c>
      <c r="O1354" s="39">
        <f>IFERROR(VLOOKUP("APC",Controls!A:I,9,0),18)</f>
        <v>12</v>
      </c>
      <c r="P1354" s="40">
        <f>IFERROR(VLOOKUP("APC",Controls!A:J,5,0),0)</f>
        <v>40</v>
      </c>
      <c r="Q1354" s="39">
        <f>IFERROR(VLOOKUP("APC",Controls!A:J,6,0),3)</f>
        <v>4</v>
      </c>
      <c r="R1354" s="21" t="str">
        <f>IFERROR(VLOOKUP("APC",Controls!A:K,10,0),"")</f>
        <v>ST Pharm</v>
      </c>
      <c r="S1354" s="41">
        <f t="shared" si="150"/>
        <v>48884</v>
      </c>
      <c r="T1354" s="30">
        <f t="shared" si="151"/>
        <v>0</v>
      </c>
      <c r="AB1354">
        <f t="shared" si="153"/>
        <v>86.240000000000009</v>
      </c>
    </row>
    <row r="1355" spans="1:28" ht="13" customHeight="1" x14ac:dyDescent="0.35">
      <c r="A1355" s="153">
        <v>49035</v>
      </c>
      <c r="B1355" s="36" t="s">
        <v>56</v>
      </c>
      <c r="C1355" s="15" t="s">
        <v>52</v>
      </c>
      <c r="D1355" s="15" t="s">
        <v>48</v>
      </c>
      <c r="E1355" s="30">
        <f>H1354</f>
        <v>32.679999999999986</v>
      </c>
      <c r="F1355" s="37">
        <f>IFERROR('Production Inputs'!$DF$37*Dependencies!$D$15,0)</f>
        <v>0</v>
      </c>
      <c r="G1355" s="37">
        <f t="array" ref="G1355">IFERROR(SUMPRODUCT(('Production Inputs'!$A:$A="APC")*('Production Inputs'!$B:$B="TOTAL ACTIVE")*'Production Inputs'!$DF:$DF),0)</f>
        <v>0</v>
      </c>
      <c r="H1355" s="30">
        <f t="shared" si="147"/>
        <v>32.679999999999986</v>
      </c>
      <c r="I1355" s="30">
        <f ca="1">IFERROR(AVERAGEIF(OFFSET(F1355,0,0,MIN(Controls!$B$8,COUNTIF(B1355:B$1973,B1355)),1),"&gt;"&amp;0),0)</f>
        <v>0</v>
      </c>
      <c r="J1355" s="38">
        <f t="shared" ca="1" si="148"/>
        <v>999</v>
      </c>
      <c r="K1355" s="30">
        <f t="shared" ca="1" si="152"/>
        <v>0</v>
      </c>
      <c r="L1355" t="str">
        <f t="shared" ca="1" si="149"/>
        <v>Overstock</v>
      </c>
      <c r="M1355" s="39">
        <f>IFERROR(VLOOKUP("APC",Controls!A:I,7,0),6)</f>
        <v>4</v>
      </c>
      <c r="N1355" s="39">
        <f>IFERROR(VLOOKUP("APC",Controls!A:I,8,0),3)</f>
        <v>3</v>
      </c>
      <c r="O1355" s="39">
        <f>IFERROR(VLOOKUP("APC",Controls!A:I,9,0),18)</f>
        <v>12</v>
      </c>
      <c r="P1355" s="40">
        <f>IFERROR(VLOOKUP("APC",Controls!A:J,5,0),0)</f>
        <v>40</v>
      </c>
      <c r="Q1355" s="39">
        <f>IFERROR(VLOOKUP("APC",Controls!A:J,6,0),3)</f>
        <v>4</v>
      </c>
      <c r="R1355" s="21" t="str">
        <f>IFERROR(VLOOKUP("APC",Controls!A:K,10,0),"")</f>
        <v>ST Pharm</v>
      </c>
      <c r="S1355" s="41">
        <f t="shared" si="150"/>
        <v>48914</v>
      </c>
      <c r="T1355" s="30">
        <f t="shared" si="151"/>
        <v>0</v>
      </c>
      <c r="AB1355">
        <f t="shared" si="153"/>
        <v>86.240000000000009</v>
      </c>
    </row>
    <row r="1356" spans="1:28" ht="13" customHeight="1" x14ac:dyDescent="0.35">
      <c r="A1356" s="153">
        <v>49065</v>
      </c>
      <c r="B1356" s="36" t="s">
        <v>56</v>
      </c>
      <c r="C1356" s="15" t="s">
        <v>52</v>
      </c>
      <c r="D1356" s="15" t="s">
        <v>48</v>
      </c>
      <c r="E1356" s="30">
        <f>H1355</f>
        <v>32.679999999999986</v>
      </c>
      <c r="F1356" s="37">
        <f>IFERROR('Production Inputs'!$DG$37*Dependencies!$D$15,0)</f>
        <v>0</v>
      </c>
      <c r="G1356" s="37">
        <f t="array" ref="G1356">IFERROR(SUMPRODUCT(('Production Inputs'!$A:$A="APC")*('Production Inputs'!$B:$B="TOTAL ACTIVE")*'Production Inputs'!$DG:$DG),0)</f>
        <v>0</v>
      </c>
      <c r="H1356" s="30">
        <f t="shared" si="147"/>
        <v>32.679999999999986</v>
      </c>
      <c r="I1356" s="30">
        <f ca="1">IFERROR(AVERAGEIF(OFFSET(F1356,0,0,MIN(Controls!$B$8,COUNTIF(B1356:B$1973,B1356)),1),"&gt;"&amp;0),0)</f>
        <v>0</v>
      </c>
      <c r="J1356" s="38">
        <f t="shared" ca="1" si="148"/>
        <v>999</v>
      </c>
      <c r="K1356" s="30">
        <f t="shared" ca="1" si="152"/>
        <v>0</v>
      </c>
      <c r="L1356" t="str">
        <f t="shared" ca="1" si="149"/>
        <v>Overstock</v>
      </c>
      <c r="M1356" s="39">
        <f>IFERROR(VLOOKUP("APC",Controls!A:I,7,0),6)</f>
        <v>4</v>
      </c>
      <c r="N1356" s="39">
        <f>IFERROR(VLOOKUP("APC",Controls!A:I,8,0),3)</f>
        <v>3</v>
      </c>
      <c r="O1356" s="39">
        <f>IFERROR(VLOOKUP("APC",Controls!A:I,9,0),18)</f>
        <v>12</v>
      </c>
      <c r="P1356" s="40">
        <f>IFERROR(VLOOKUP("APC",Controls!A:J,5,0),0)</f>
        <v>40</v>
      </c>
      <c r="Q1356" s="39">
        <f>IFERROR(VLOOKUP("APC",Controls!A:J,6,0),3)</f>
        <v>4</v>
      </c>
      <c r="R1356" s="21" t="str">
        <f>IFERROR(VLOOKUP("APC",Controls!A:K,10,0),"")</f>
        <v>ST Pharm</v>
      </c>
      <c r="S1356" s="41">
        <f t="shared" si="150"/>
        <v>48945</v>
      </c>
      <c r="T1356" s="30">
        <f t="shared" si="151"/>
        <v>0</v>
      </c>
      <c r="AB1356">
        <f t="shared" si="153"/>
        <v>86.240000000000009</v>
      </c>
    </row>
    <row r="1357" spans="1:28" ht="13" customHeight="1" x14ac:dyDescent="0.35">
      <c r="A1357" s="153">
        <v>49096</v>
      </c>
      <c r="B1357" s="36" t="s">
        <v>56</v>
      </c>
      <c r="C1357" s="15" t="s">
        <v>52</v>
      </c>
      <c r="D1357" s="15" t="s">
        <v>48</v>
      </c>
      <c r="E1357" s="30">
        <f>H1356</f>
        <v>32.679999999999986</v>
      </c>
      <c r="F1357" s="37">
        <f>IFERROR('Production Inputs'!$DH$37*Dependencies!$D$15,0)</f>
        <v>0</v>
      </c>
      <c r="G1357" s="37">
        <f t="array" ref="G1357">IFERROR(SUMPRODUCT(('Production Inputs'!$A:$A="APC")*('Production Inputs'!$B:$B="TOTAL ACTIVE")*'Production Inputs'!$DH:$DH),0)</f>
        <v>0</v>
      </c>
      <c r="H1357" s="30">
        <f t="shared" si="147"/>
        <v>32.679999999999986</v>
      </c>
      <c r="I1357" s="30">
        <f ca="1">IFERROR(AVERAGEIF(OFFSET(F1357,0,0,MIN(Controls!$B$8,COUNTIF(B1357:B$1973,B1357)),1),"&gt;"&amp;0),0)</f>
        <v>0</v>
      </c>
      <c r="J1357" s="38">
        <f t="shared" ca="1" si="148"/>
        <v>999</v>
      </c>
      <c r="K1357" s="30">
        <f t="shared" ca="1" si="152"/>
        <v>0</v>
      </c>
      <c r="L1357" t="str">
        <f t="shared" ca="1" si="149"/>
        <v>Overstock</v>
      </c>
      <c r="M1357" s="39">
        <f>IFERROR(VLOOKUP("APC",Controls!A:I,7,0),6)</f>
        <v>4</v>
      </c>
      <c r="N1357" s="39">
        <f>IFERROR(VLOOKUP("APC",Controls!A:I,8,0),3)</f>
        <v>3</v>
      </c>
      <c r="O1357" s="39">
        <f>IFERROR(VLOOKUP("APC",Controls!A:I,9,0),18)</f>
        <v>12</v>
      </c>
      <c r="P1357" s="40">
        <f>IFERROR(VLOOKUP("APC",Controls!A:J,5,0),0)</f>
        <v>40</v>
      </c>
      <c r="Q1357" s="39">
        <f>IFERROR(VLOOKUP("APC",Controls!A:J,6,0),3)</f>
        <v>4</v>
      </c>
      <c r="R1357" s="21" t="str">
        <f>IFERROR(VLOOKUP("APC",Controls!A:K,10,0),"")</f>
        <v>ST Pharm</v>
      </c>
      <c r="S1357" s="41">
        <f t="shared" si="150"/>
        <v>48976</v>
      </c>
      <c r="T1357" s="30">
        <f t="shared" si="151"/>
        <v>0</v>
      </c>
      <c r="AB1357">
        <f t="shared" si="153"/>
        <v>86.240000000000009</v>
      </c>
    </row>
    <row r="1358" spans="1:28" ht="13" customHeight="1" x14ac:dyDescent="0.35">
      <c r="A1358" s="153">
        <v>49126</v>
      </c>
      <c r="B1358" s="36" t="s">
        <v>56</v>
      </c>
      <c r="C1358" s="15" t="s">
        <v>52</v>
      </c>
      <c r="D1358" s="15" t="s">
        <v>48</v>
      </c>
      <c r="E1358" s="30">
        <f>H1357</f>
        <v>32.679999999999986</v>
      </c>
      <c r="F1358" s="37">
        <f>IFERROR('Production Inputs'!$DI$37*Dependencies!$D$15,0)</f>
        <v>0</v>
      </c>
      <c r="G1358" s="37">
        <f t="array" ref="G1358">IFERROR(SUMPRODUCT(('Production Inputs'!$A:$A="APC")*('Production Inputs'!$B:$B="TOTAL ACTIVE")*'Production Inputs'!$DI:$DI),0)</f>
        <v>0</v>
      </c>
      <c r="H1358" s="30">
        <f t="shared" si="147"/>
        <v>32.679999999999986</v>
      </c>
      <c r="I1358" s="30">
        <f ca="1">IFERROR(AVERAGEIF(OFFSET(F1358,0,0,MIN(Controls!$B$8,COUNTIF(B1358:B$1973,B1358)),1),"&gt;"&amp;0),0)</f>
        <v>0</v>
      </c>
      <c r="J1358" s="38">
        <f t="shared" ca="1" si="148"/>
        <v>999</v>
      </c>
      <c r="K1358" s="30">
        <f t="shared" ca="1" si="152"/>
        <v>0</v>
      </c>
      <c r="L1358" t="str">
        <f t="shared" ca="1" si="149"/>
        <v>Overstock</v>
      </c>
      <c r="M1358" s="39">
        <f>IFERROR(VLOOKUP("APC",Controls!A:I,7,0),6)</f>
        <v>4</v>
      </c>
      <c r="N1358" s="39">
        <f>IFERROR(VLOOKUP("APC",Controls!A:I,8,0),3)</f>
        <v>3</v>
      </c>
      <c r="O1358" s="39">
        <f>IFERROR(VLOOKUP("APC",Controls!A:I,9,0),18)</f>
        <v>12</v>
      </c>
      <c r="P1358" s="40">
        <f>IFERROR(VLOOKUP("APC",Controls!A:J,5,0),0)</f>
        <v>40</v>
      </c>
      <c r="Q1358" s="39">
        <f>IFERROR(VLOOKUP("APC",Controls!A:J,6,0),3)</f>
        <v>4</v>
      </c>
      <c r="R1358" s="21" t="str">
        <f>IFERROR(VLOOKUP("APC",Controls!A:K,10,0),"")</f>
        <v>ST Pharm</v>
      </c>
      <c r="S1358" s="41">
        <f t="shared" si="150"/>
        <v>49004</v>
      </c>
      <c r="T1358" s="30">
        <f t="shared" si="151"/>
        <v>0</v>
      </c>
      <c r="AB1358">
        <f t="shared" si="153"/>
        <v>86.240000000000009</v>
      </c>
    </row>
    <row r="1359" spans="1:28" ht="13" customHeight="1" x14ac:dyDescent="0.35">
      <c r="A1359" s="153">
        <v>49157</v>
      </c>
      <c r="B1359" s="36" t="s">
        <v>56</v>
      </c>
      <c r="C1359" s="15" t="s">
        <v>52</v>
      </c>
      <c r="D1359" s="15" t="s">
        <v>48</v>
      </c>
      <c r="E1359" s="30">
        <f>H1358</f>
        <v>32.679999999999986</v>
      </c>
      <c r="F1359" s="37">
        <f>IFERROR('Production Inputs'!$DJ$37*Dependencies!$D$15,0)</f>
        <v>0</v>
      </c>
      <c r="G1359" s="37">
        <f t="array" ref="G1359">IFERROR(SUMPRODUCT(('Production Inputs'!$A:$A="APC")*('Production Inputs'!$B:$B="TOTAL ACTIVE")*'Production Inputs'!$DJ:$DJ),0)</f>
        <v>0</v>
      </c>
      <c r="H1359" s="30">
        <f t="shared" si="147"/>
        <v>32.679999999999986</v>
      </c>
      <c r="I1359" s="30">
        <f ca="1">IFERROR(AVERAGEIF(OFFSET(F1359,0,0,MIN(Controls!$B$8,COUNTIF(B1359:B$1973,B1359)),1),"&gt;"&amp;0),0)</f>
        <v>0</v>
      </c>
      <c r="J1359" s="38">
        <f t="shared" ca="1" si="148"/>
        <v>999</v>
      </c>
      <c r="K1359" s="30">
        <f t="shared" ca="1" si="152"/>
        <v>0</v>
      </c>
      <c r="L1359" t="str">
        <f t="shared" ca="1" si="149"/>
        <v>Overstock</v>
      </c>
      <c r="M1359" s="39">
        <f>IFERROR(VLOOKUP("APC",Controls!A:I,7,0),6)</f>
        <v>4</v>
      </c>
      <c r="N1359" s="39">
        <f>IFERROR(VLOOKUP("APC",Controls!A:I,8,0),3)</f>
        <v>3</v>
      </c>
      <c r="O1359" s="39">
        <f>IFERROR(VLOOKUP("APC",Controls!A:I,9,0),18)</f>
        <v>12</v>
      </c>
      <c r="P1359" s="40">
        <f>IFERROR(VLOOKUP("APC",Controls!A:J,5,0),0)</f>
        <v>40</v>
      </c>
      <c r="Q1359" s="39">
        <f>IFERROR(VLOOKUP("APC",Controls!A:J,6,0),3)</f>
        <v>4</v>
      </c>
      <c r="R1359" s="21" t="str">
        <f>IFERROR(VLOOKUP("APC",Controls!A:K,10,0),"")</f>
        <v>ST Pharm</v>
      </c>
      <c r="S1359" s="41">
        <f t="shared" si="150"/>
        <v>49035</v>
      </c>
      <c r="T1359" s="30">
        <f t="shared" si="151"/>
        <v>0</v>
      </c>
      <c r="AB1359">
        <f t="shared" si="153"/>
        <v>86.240000000000009</v>
      </c>
    </row>
    <row r="1360" spans="1:28" ht="13" customHeight="1" x14ac:dyDescent="0.35">
      <c r="A1360" s="153">
        <v>49188</v>
      </c>
      <c r="B1360" s="36" t="s">
        <v>56</v>
      </c>
      <c r="C1360" s="15" t="s">
        <v>52</v>
      </c>
      <c r="D1360" s="15" t="s">
        <v>48</v>
      </c>
      <c r="E1360" s="30">
        <f>H1359</f>
        <v>32.679999999999986</v>
      </c>
      <c r="F1360" s="37">
        <f>IFERROR('Production Inputs'!$DK$37*Dependencies!$D$15,0)</f>
        <v>0</v>
      </c>
      <c r="G1360" s="37">
        <f t="array" ref="G1360">IFERROR(SUMPRODUCT(('Production Inputs'!$A:$A="APC")*('Production Inputs'!$B:$B="TOTAL ACTIVE")*'Production Inputs'!$DK:$DK),0)</f>
        <v>0</v>
      </c>
      <c r="H1360" s="30">
        <f t="shared" si="147"/>
        <v>32.679999999999986</v>
      </c>
      <c r="I1360" s="30">
        <f ca="1">IFERROR(AVERAGEIF(OFFSET(F1360,0,0,MIN(Controls!$B$8,COUNTIF(B1360:B$1973,B1360)),1),"&gt;"&amp;0),0)</f>
        <v>0</v>
      </c>
      <c r="J1360" s="38">
        <f t="shared" ca="1" si="148"/>
        <v>999</v>
      </c>
      <c r="K1360" s="30">
        <f t="shared" ca="1" si="152"/>
        <v>0</v>
      </c>
      <c r="L1360" t="str">
        <f t="shared" ca="1" si="149"/>
        <v>Overstock</v>
      </c>
      <c r="M1360" s="39">
        <f>IFERROR(VLOOKUP("APC",Controls!A:I,7,0),6)</f>
        <v>4</v>
      </c>
      <c r="N1360" s="39">
        <f>IFERROR(VLOOKUP("APC",Controls!A:I,8,0),3)</f>
        <v>3</v>
      </c>
      <c r="O1360" s="39">
        <f>IFERROR(VLOOKUP("APC",Controls!A:I,9,0),18)</f>
        <v>12</v>
      </c>
      <c r="P1360" s="40">
        <f>IFERROR(VLOOKUP("APC",Controls!A:J,5,0),0)</f>
        <v>40</v>
      </c>
      <c r="Q1360" s="39">
        <f>IFERROR(VLOOKUP("APC",Controls!A:J,6,0),3)</f>
        <v>4</v>
      </c>
      <c r="R1360" s="21" t="str">
        <f>IFERROR(VLOOKUP("APC",Controls!A:K,10,0),"")</f>
        <v>ST Pharm</v>
      </c>
      <c r="S1360" s="41">
        <f t="shared" si="150"/>
        <v>49065</v>
      </c>
      <c r="T1360" s="30">
        <f t="shared" si="151"/>
        <v>0</v>
      </c>
      <c r="AB1360">
        <f t="shared" si="153"/>
        <v>86.240000000000009</v>
      </c>
    </row>
    <row r="1361" spans="1:28" ht="13" customHeight="1" x14ac:dyDescent="0.35">
      <c r="A1361" s="153">
        <v>49218</v>
      </c>
      <c r="B1361" s="36" t="s">
        <v>56</v>
      </c>
      <c r="C1361" s="15" t="s">
        <v>52</v>
      </c>
      <c r="D1361" s="15" t="s">
        <v>48</v>
      </c>
      <c r="E1361" s="30">
        <f>H1360</f>
        <v>32.679999999999986</v>
      </c>
      <c r="F1361" s="37">
        <f>IFERROR('Production Inputs'!$DL$37*Dependencies!$D$15,0)</f>
        <v>0</v>
      </c>
      <c r="G1361" s="37">
        <f t="array" ref="G1361">IFERROR(SUMPRODUCT(('Production Inputs'!$A:$A="APC")*('Production Inputs'!$B:$B="TOTAL ACTIVE")*'Production Inputs'!$DL:$DL),0)</f>
        <v>0</v>
      </c>
      <c r="H1361" s="30">
        <f t="shared" si="147"/>
        <v>32.679999999999986</v>
      </c>
      <c r="I1361" s="30">
        <f ca="1">IFERROR(AVERAGEIF(OFFSET(F1361,0,0,MIN(Controls!$B$8,COUNTIF(B1361:B$1973,B1361)),1),"&gt;"&amp;0),0)</f>
        <v>0</v>
      </c>
      <c r="J1361" s="38">
        <f t="shared" ca="1" si="148"/>
        <v>999</v>
      </c>
      <c r="K1361" s="30">
        <f t="shared" ca="1" si="152"/>
        <v>0</v>
      </c>
      <c r="L1361" t="str">
        <f t="shared" ca="1" si="149"/>
        <v>Overstock</v>
      </c>
      <c r="M1361" s="39">
        <f>IFERROR(VLOOKUP("APC",Controls!A:I,7,0),6)</f>
        <v>4</v>
      </c>
      <c r="N1361" s="39">
        <f>IFERROR(VLOOKUP("APC",Controls!A:I,8,0),3)</f>
        <v>3</v>
      </c>
      <c r="O1361" s="39">
        <f>IFERROR(VLOOKUP("APC",Controls!A:I,9,0),18)</f>
        <v>12</v>
      </c>
      <c r="P1361" s="40">
        <f>IFERROR(VLOOKUP("APC",Controls!A:J,5,0),0)</f>
        <v>40</v>
      </c>
      <c r="Q1361" s="39">
        <f>IFERROR(VLOOKUP("APC",Controls!A:J,6,0),3)</f>
        <v>4</v>
      </c>
      <c r="R1361" s="21" t="str">
        <f>IFERROR(VLOOKUP("APC",Controls!A:K,10,0),"")</f>
        <v>ST Pharm</v>
      </c>
      <c r="S1361" s="41">
        <f t="shared" si="150"/>
        <v>49096</v>
      </c>
      <c r="T1361" s="30">
        <f t="shared" si="151"/>
        <v>0</v>
      </c>
      <c r="AB1361">
        <f t="shared" si="153"/>
        <v>86.240000000000009</v>
      </c>
    </row>
    <row r="1362" spans="1:28" ht="13" customHeight="1" x14ac:dyDescent="0.35">
      <c r="A1362" s="153">
        <v>49249</v>
      </c>
      <c r="B1362" s="36" t="s">
        <v>56</v>
      </c>
      <c r="C1362" s="15" t="s">
        <v>52</v>
      </c>
      <c r="D1362" s="15" t="s">
        <v>48</v>
      </c>
      <c r="E1362" s="30">
        <f>H1361</f>
        <v>32.679999999999986</v>
      </c>
      <c r="F1362" s="37">
        <f>IFERROR('Production Inputs'!$DM$37*Dependencies!$D$15,0)</f>
        <v>0</v>
      </c>
      <c r="G1362" s="37">
        <f t="array" ref="G1362">IFERROR(SUMPRODUCT(('Production Inputs'!$A:$A="APC")*('Production Inputs'!$B:$B="TOTAL ACTIVE")*'Production Inputs'!$DM:$DM),0)</f>
        <v>0</v>
      </c>
      <c r="H1362" s="30">
        <f t="shared" si="147"/>
        <v>32.679999999999986</v>
      </c>
      <c r="I1362" s="30">
        <f ca="1">IFERROR(AVERAGEIF(OFFSET(F1362,0,0,MIN(Controls!$B$8,COUNTIF(B1362:B$1973,B1362)),1),"&gt;"&amp;0),0)</f>
        <v>0</v>
      </c>
      <c r="J1362" s="38">
        <f t="shared" ca="1" si="148"/>
        <v>999</v>
      </c>
      <c r="K1362" s="30">
        <f t="shared" ca="1" si="152"/>
        <v>0</v>
      </c>
      <c r="L1362" t="str">
        <f t="shared" ca="1" si="149"/>
        <v>Overstock</v>
      </c>
      <c r="M1362" s="39">
        <f>IFERROR(VLOOKUP("APC",Controls!A:I,7,0),6)</f>
        <v>4</v>
      </c>
      <c r="N1362" s="39">
        <f>IFERROR(VLOOKUP("APC",Controls!A:I,8,0),3)</f>
        <v>3</v>
      </c>
      <c r="O1362" s="39">
        <f>IFERROR(VLOOKUP("APC",Controls!A:I,9,0),18)</f>
        <v>12</v>
      </c>
      <c r="P1362" s="40">
        <f>IFERROR(VLOOKUP("APC",Controls!A:J,5,0),0)</f>
        <v>40</v>
      </c>
      <c r="Q1362" s="39">
        <f>IFERROR(VLOOKUP("APC",Controls!A:J,6,0),3)</f>
        <v>4</v>
      </c>
      <c r="R1362" s="21" t="str">
        <f>IFERROR(VLOOKUP("APC",Controls!A:K,10,0),"")</f>
        <v>ST Pharm</v>
      </c>
      <c r="S1362" s="41">
        <f t="shared" si="150"/>
        <v>49126</v>
      </c>
      <c r="T1362" s="30">
        <f t="shared" si="151"/>
        <v>0</v>
      </c>
      <c r="AB1362">
        <f t="shared" si="153"/>
        <v>86.240000000000009</v>
      </c>
    </row>
    <row r="1363" spans="1:28" ht="13" customHeight="1" x14ac:dyDescent="0.35">
      <c r="A1363" s="153">
        <v>49279</v>
      </c>
      <c r="B1363" s="36" t="s">
        <v>56</v>
      </c>
      <c r="C1363" s="15" t="s">
        <v>52</v>
      </c>
      <c r="D1363" s="15" t="s">
        <v>48</v>
      </c>
      <c r="E1363" s="30">
        <f>H1362</f>
        <v>32.679999999999986</v>
      </c>
      <c r="F1363" s="37">
        <f>IFERROR('Production Inputs'!$DN$37*Dependencies!$D$15,0)</f>
        <v>0</v>
      </c>
      <c r="G1363" s="37">
        <f t="array" ref="G1363">IFERROR(SUMPRODUCT(('Production Inputs'!$A:$A="APC")*('Production Inputs'!$B:$B="TOTAL ACTIVE")*'Production Inputs'!$DN:$DN),0)</f>
        <v>0</v>
      </c>
      <c r="H1363" s="30">
        <f t="shared" si="147"/>
        <v>32.679999999999986</v>
      </c>
      <c r="I1363" s="30">
        <f ca="1">IFERROR(AVERAGEIF(OFFSET(F1363,0,0,MIN(Controls!$B$8,COUNTIF(B1363:B$1973,B1363)),1),"&gt;"&amp;0),0)</f>
        <v>0</v>
      </c>
      <c r="J1363" s="38">
        <f t="shared" ca="1" si="148"/>
        <v>999</v>
      </c>
      <c r="K1363" s="30">
        <f t="shared" ca="1" si="152"/>
        <v>0</v>
      </c>
      <c r="L1363" t="str">
        <f t="shared" ca="1" si="149"/>
        <v>Overstock</v>
      </c>
      <c r="M1363" s="39">
        <f>IFERROR(VLOOKUP("APC",Controls!A:I,7,0),6)</f>
        <v>4</v>
      </c>
      <c r="N1363" s="39">
        <f>IFERROR(VLOOKUP("APC",Controls!A:I,8,0),3)</f>
        <v>3</v>
      </c>
      <c r="O1363" s="39">
        <f>IFERROR(VLOOKUP("APC",Controls!A:I,9,0),18)</f>
        <v>12</v>
      </c>
      <c r="P1363" s="40">
        <f>IFERROR(VLOOKUP("APC",Controls!A:J,5,0),0)</f>
        <v>40</v>
      </c>
      <c r="Q1363" s="39">
        <f>IFERROR(VLOOKUP("APC",Controls!A:J,6,0),3)</f>
        <v>4</v>
      </c>
      <c r="R1363" s="21" t="str">
        <f>IFERROR(VLOOKUP("APC",Controls!A:K,10,0),"")</f>
        <v>ST Pharm</v>
      </c>
      <c r="S1363" s="41">
        <f t="shared" si="150"/>
        <v>49157</v>
      </c>
      <c r="T1363" s="30">
        <f t="shared" si="151"/>
        <v>0</v>
      </c>
      <c r="AB1363">
        <f t="shared" si="153"/>
        <v>86.240000000000009</v>
      </c>
    </row>
    <row r="1364" spans="1:28" ht="13" customHeight="1" x14ac:dyDescent="0.35">
      <c r="A1364" s="153">
        <v>49310</v>
      </c>
      <c r="B1364" s="36" t="s">
        <v>56</v>
      </c>
      <c r="C1364" s="15" t="s">
        <v>52</v>
      </c>
      <c r="D1364" s="15" t="s">
        <v>48</v>
      </c>
      <c r="E1364" s="30">
        <f>H1363</f>
        <v>32.679999999999986</v>
      </c>
      <c r="F1364" s="37">
        <f>IFERROR('Production Inputs'!$DO$37*Dependencies!$D$15,0)</f>
        <v>0</v>
      </c>
      <c r="G1364" s="37">
        <f t="array" ref="G1364">IFERROR(SUMPRODUCT(('Production Inputs'!$A:$A="APC")*('Production Inputs'!$B:$B="TOTAL ACTIVE")*'Production Inputs'!$DO:$DO),0)</f>
        <v>0</v>
      </c>
      <c r="H1364" s="30">
        <f t="shared" si="147"/>
        <v>32.679999999999986</v>
      </c>
      <c r="I1364" s="30">
        <f ca="1">IFERROR(AVERAGEIF(OFFSET(F1364,0,0,MIN(Controls!$B$8,COUNTIF(B1364:B$1973,B1364)),1),"&gt;"&amp;0),0)</f>
        <v>0</v>
      </c>
      <c r="J1364" s="38">
        <f t="shared" ca="1" si="148"/>
        <v>999</v>
      </c>
      <c r="K1364" s="30">
        <f t="shared" ca="1" si="152"/>
        <v>0</v>
      </c>
      <c r="L1364" t="str">
        <f t="shared" ca="1" si="149"/>
        <v>Overstock</v>
      </c>
      <c r="M1364" s="39">
        <f>IFERROR(VLOOKUP("APC",Controls!A:I,7,0),6)</f>
        <v>4</v>
      </c>
      <c r="N1364" s="39">
        <f>IFERROR(VLOOKUP("APC",Controls!A:I,8,0),3)</f>
        <v>3</v>
      </c>
      <c r="O1364" s="39">
        <f>IFERROR(VLOOKUP("APC",Controls!A:I,9,0),18)</f>
        <v>12</v>
      </c>
      <c r="P1364" s="40">
        <f>IFERROR(VLOOKUP("APC",Controls!A:J,5,0),0)</f>
        <v>40</v>
      </c>
      <c r="Q1364" s="39">
        <f>IFERROR(VLOOKUP("APC",Controls!A:J,6,0),3)</f>
        <v>4</v>
      </c>
      <c r="R1364" s="21" t="str">
        <f>IFERROR(VLOOKUP("APC",Controls!A:K,10,0),"")</f>
        <v>ST Pharm</v>
      </c>
      <c r="S1364" s="41">
        <f t="shared" si="150"/>
        <v>49188</v>
      </c>
      <c r="T1364" s="30">
        <f t="shared" si="151"/>
        <v>0</v>
      </c>
      <c r="AB1364">
        <f t="shared" si="153"/>
        <v>86.240000000000009</v>
      </c>
    </row>
    <row r="1365" spans="1:28" ht="13" customHeight="1" x14ac:dyDescent="0.35">
      <c r="A1365" s="153">
        <v>49341</v>
      </c>
      <c r="B1365" s="36" t="s">
        <v>56</v>
      </c>
      <c r="C1365" s="15" t="s">
        <v>52</v>
      </c>
      <c r="D1365" s="15" t="s">
        <v>48</v>
      </c>
      <c r="E1365" s="30">
        <f>H1364</f>
        <v>32.679999999999986</v>
      </c>
      <c r="F1365" s="37">
        <f>IFERROR('Production Inputs'!$DP$37*Dependencies!$D$15,0)</f>
        <v>0</v>
      </c>
      <c r="G1365" s="37">
        <f t="array" ref="G1365">IFERROR(SUMPRODUCT(('Production Inputs'!$A:$A="APC")*('Production Inputs'!$B:$B="TOTAL ACTIVE")*'Production Inputs'!$DP:$DP),0)</f>
        <v>0</v>
      </c>
      <c r="H1365" s="30">
        <f t="shared" si="147"/>
        <v>32.679999999999986</v>
      </c>
      <c r="I1365" s="30">
        <f ca="1">IFERROR(AVERAGEIF(OFFSET(F1365,0,0,MIN(Controls!$B$8,COUNTIF(B1365:B$1973,B1365)),1),"&gt;"&amp;0),0)</f>
        <v>0</v>
      </c>
      <c r="J1365" s="38">
        <f t="shared" ca="1" si="148"/>
        <v>999</v>
      </c>
      <c r="K1365" s="30">
        <f t="shared" ca="1" si="152"/>
        <v>0</v>
      </c>
      <c r="L1365" t="str">
        <f t="shared" ca="1" si="149"/>
        <v>Overstock</v>
      </c>
      <c r="M1365" s="39">
        <f>IFERROR(VLOOKUP("APC",Controls!A:I,7,0),6)</f>
        <v>4</v>
      </c>
      <c r="N1365" s="39">
        <f>IFERROR(VLOOKUP("APC",Controls!A:I,8,0),3)</f>
        <v>3</v>
      </c>
      <c r="O1365" s="39">
        <f>IFERROR(VLOOKUP("APC",Controls!A:I,9,0),18)</f>
        <v>12</v>
      </c>
      <c r="P1365" s="40">
        <f>IFERROR(VLOOKUP("APC",Controls!A:J,5,0),0)</f>
        <v>40</v>
      </c>
      <c r="Q1365" s="39">
        <f>IFERROR(VLOOKUP("APC",Controls!A:J,6,0),3)</f>
        <v>4</v>
      </c>
      <c r="R1365" s="21" t="str">
        <f>IFERROR(VLOOKUP("APC",Controls!A:K,10,0),"")</f>
        <v>ST Pharm</v>
      </c>
      <c r="S1365" s="41">
        <f t="shared" si="150"/>
        <v>49218</v>
      </c>
      <c r="T1365" s="30">
        <f t="shared" si="151"/>
        <v>0</v>
      </c>
      <c r="AB1365">
        <f t="shared" si="153"/>
        <v>86.240000000000009</v>
      </c>
    </row>
    <row r="1366" spans="1:28" ht="13" customHeight="1" x14ac:dyDescent="0.35">
      <c r="A1366" s="153">
        <v>49369</v>
      </c>
      <c r="B1366" s="36" t="s">
        <v>56</v>
      </c>
      <c r="C1366" s="15" t="s">
        <v>52</v>
      </c>
      <c r="D1366" s="15" t="s">
        <v>48</v>
      </c>
      <c r="E1366" s="30">
        <f>H1365</f>
        <v>32.679999999999986</v>
      </c>
      <c r="F1366" s="37">
        <f>IFERROR('Production Inputs'!$DQ$37*Dependencies!$D$15,0)</f>
        <v>0</v>
      </c>
      <c r="G1366" s="37">
        <f t="array" ref="G1366">IFERROR(SUMPRODUCT(('Production Inputs'!$A:$A="APC")*('Production Inputs'!$B:$B="TOTAL ACTIVE")*'Production Inputs'!$DQ:$DQ),0)</f>
        <v>0</v>
      </c>
      <c r="H1366" s="30">
        <f t="shared" si="147"/>
        <v>32.679999999999986</v>
      </c>
      <c r="I1366" s="30">
        <f ca="1">IFERROR(AVERAGEIF(OFFSET(F1366,0,0,MIN(Controls!$B$8,COUNTIF(B1366:B$1973,B1366)),1),"&gt;"&amp;0),0)</f>
        <v>0</v>
      </c>
      <c r="J1366" s="38">
        <f t="shared" ca="1" si="148"/>
        <v>999</v>
      </c>
      <c r="K1366" s="30">
        <f t="shared" ca="1" si="152"/>
        <v>0</v>
      </c>
      <c r="L1366" t="str">
        <f t="shared" ca="1" si="149"/>
        <v>Overstock</v>
      </c>
      <c r="M1366" s="39">
        <f>IFERROR(VLOOKUP("APC",Controls!A:I,7,0),6)</f>
        <v>4</v>
      </c>
      <c r="N1366" s="39">
        <f>IFERROR(VLOOKUP("APC",Controls!A:I,8,0),3)</f>
        <v>3</v>
      </c>
      <c r="O1366" s="39">
        <f>IFERROR(VLOOKUP("APC",Controls!A:I,9,0),18)</f>
        <v>12</v>
      </c>
      <c r="P1366" s="40">
        <f>IFERROR(VLOOKUP("APC",Controls!A:J,5,0),0)</f>
        <v>40</v>
      </c>
      <c r="Q1366" s="39">
        <f>IFERROR(VLOOKUP("APC",Controls!A:J,6,0),3)</f>
        <v>4</v>
      </c>
      <c r="R1366" s="21" t="str">
        <f>IFERROR(VLOOKUP("APC",Controls!A:K,10,0),"")</f>
        <v>ST Pharm</v>
      </c>
      <c r="S1366" s="41">
        <f t="shared" si="150"/>
        <v>49249</v>
      </c>
      <c r="T1366" s="30">
        <f t="shared" si="151"/>
        <v>0</v>
      </c>
      <c r="AB1366">
        <f t="shared" si="153"/>
        <v>86.240000000000009</v>
      </c>
    </row>
    <row r="1367" spans="1:28" ht="13" customHeight="1" x14ac:dyDescent="0.35">
      <c r="A1367" s="153">
        <v>49400</v>
      </c>
      <c r="B1367" s="36" t="s">
        <v>56</v>
      </c>
      <c r="C1367" s="15" t="s">
        <v>52</v>
      </c>
      <c r="D1367" s="15" t="s">
        <v>48</v>
      </c>
      <c r="E1367" s="30">
        <f>H1366</f>
        <v>32.679999999999986</v>
      </c>
      <c r="F1367" s="37">
        <f>IFERROR('Production Inputs'!$DR$37*Dependencies!$D$15,0)</f>
        <v>0</v>
      </c>
      <c r="G1367" s="37">
        <f t="array" ref="G1367">IFERROR(SUMPRODUCT(('Production Inputs'!$A:$A="APC")*('Production Inputs'!$B:$B="TOTAL ACTIVE")*'Production Inputs'!$DR:$DR),0)</f>
        <v>0</v>
      </c>
      <c r="H1367" s="30">
        <f t="shared" si="147"/>
        <v>32.679999999999986</v>
      </c>
      <c r="I1367" s="30">
        <f ca="1">IFERROR(AVERAGEIF(OFFSET(F1367,0,0,MIN(Controls!$B$8,COUNTIF(B1367:B$1973,B1367)),1),"&gt;"&amp;0),0)</f>
        <v>0</v>
      </c>
      <c r="J1367" s="38">
        <f t="shared" ca="1" si="148"/>
        <v>999</v>
      </c>
      <c r="K1367" s="30">
        <f t="shared" ca="1" si="152"/>
        <v>0</v>
      </c>
      <c r="L1367" t="str">
        <f t="shared" ca="1" si="149"/>
        <v>Overstock</v>
      </c>
      <c r="M1367" s="39">
        <f>IFERROR(VLOOKUP("APC",Controls!A:I,7,0),6)</f>
        <v>4</v>
      </c>
      <c r="N1367" s="39">
        <f>IFERROR(VLOOKUP("APC",Controls!A:I,8,0),3)</f>
        <v>3</v>
      </c>
      <c r="O1367" s="39">
        <f>IFERROR(VLOOKUP("APC",Controls!A:I,9,0),18)</f>
        <v>12</v>
      </c>
      <c r="P1367" s="40">
        <f>IFERROR(VLOOKUP("APC",Controls!A:J,5,0),0)</f>
        <v>40</v>
      </c>
      <c r="Q1367" s="39">
        <f>IFERROR(VLOOKUP("APC",Controls!A:J,6,0),3)</f>
        <v>4</v>
      </c>
      <c r="R1367" s="21" t="str">
        <f>IFERROR(VLOOKUP("APC",Controls!A:K,10,0),"")</f>
        <v>ST Pharm</v>
      </c>
      <c r="S1367" s="41">
        <f t="shared" si="150"/>
        <v>49279</v>
      </c>
      <c r="T1367" s="30">
        <f t="shared" si="151"/>
        <v>0</v>
      </c>
      <c r="AB1367">
        <f t="shared" si="153"/>
        <v>86.240000000000009</v>
      </c>
    </row>
    <row r="1368" spans="1:28" ht="13" customHeight="1" x14ac:dyDescent="0.35">
      <c r="A1368" s="153">
        <v>49430</v>
      </c>
      <c r="B1368" s="36" t="s">
        <v>56</v>
      </c>
      <c r="C1368" s="15" t="s">
        <v>52</v>
      </c>
      <c r="D1368" s="15" t="s">
        <v>48</v>
      </c>
      <c r="E1368" s="30">
        <f>H1367</f>
        <v>32.679999999999986</v>
      </c>
      <c r="F1368" s="37">
        <f>IFERROR('Production Inputs'!$DS$37*Dependencies!$D$15,0)</f>
        <v>0</v>
      </c>
      <c r="G1368" s="37">
        <f t="array" ref="G1368">IFERROR(SUMPRODUCT(('Production Inputs'!$A:$A="APC")*('Production Inputs'!$B:$B="TOTAL ACTIVE")*'Production Inputs'!$DS:$DS),0)</f>
        <v>0</v>
      </c>
      <c r="H1368" s="30">
        <f t="shared" si="147"/>
        <v>32.679999999999986</v>
      </c>
      <c r="I1368" s="30">
        <f ca="1">IFERROR(AVERAGEIF(OFFSET(F1368,0,0,MIN(Controls!$B$8,COUNTIF(B1368:B$1973,B1368)),1),"&gt;"&amp;0),0)</f>
        <v>0</v>
      </c>
      <c r="J1368" s="38">
        <f t="shared" ca="1" si="148"/>
        <v>999</v>
      </c>
      <c r="K1368" s="30">
        <f t="shared" ca="1" si="152"/>
        <v>0</v>
      </c>
      <c r="L1368" t="str">
        <f t="shared" ca="1" si="149"/>
        <v>Overstock</v>
      </c>
      <c r="M1368" s="39">
        <f>IFERROR(VLOOKUP("APC",Controls!A:I,7,0),6)</f>
        <v>4</v>
      </c>
      <c r="N1368" s="39">
        <f>IFERROR(VLOOKUP("APC",Controls!A:I,8,0),3)</f>
        <v>3</v>
      </c>
      <c r="O1368" s="39">
        <f>IFERROR(VLOOKUP("APC",Controls!A:I,9,0),18)</f>
        <v>12</v>
      </c>
      <c r="P1368" s="40">
        <f>IFERROR(VLOOKUP("APC",Controls!A:J,5,0),0)</f>
        <v>40</v>
      </c>
      <c r="Q1368" s="39">
        <f>IFERROR(VLOOKUP("APC",Controls!A:J,6,0),3)</f>
        <v>4</v>
      </c>
      <c r="R1368" s="21" t="str">
        <f>IFERROR(VLOOKUP("APC",Controls!A:K,10,0),"")</f>
        <v>ST Pharm</v>
      </c>
      <c r="S1368" s="41">
        <f t="shared" si="150"/>
        <v>49310</v>
      </c>
      <c r="T1368" s="30">
        <f t="shared" si="151"/>
        <v>0</v>
      </c>
      <c r="AB1368">
        <f t="shared" si="153"/>
        <v>86.240000000000009</v>
      </c>
    </row>
    <row r="1369" spans="1:28" ht="13" customHeight="1" x14ac:dyDescent="0.35">
      <c r="A1369" s="153">
        <v>49461</v>
      </c>
      <c r="B1369" s="36" t="s">
        <v>56</v>
      </c>
      <c r="C1369" s="15" t="s">
        <v>52</v>
      </c>
      <c r="D1369" s="15" t="s">
        <v>48</v>
      </c>
      <c r="E1369" s="30">
        <f>H1368</f>
        <v>32.679999999999986</v>
      </c>
      <c r="F1369" s="37">
        <f>IFERROR('Production Inputs'!$DT$37*Dependencies!$D$15,0)</f>
        <v>0</v>
      </c>
      <c r="G1369" s="37">
        <f t="array" ref="G1369">IFERROR(SUMPRODUCT(('Production Inputs'!$A:$A="APC")*('Production Inputs'!$B:$B="TOTAL ACTIVE")*'Production Inputs'!$DT:$DT),0)</f>
        <v>0</v>
      </c>
      <c r="H1369" s="30">
        <f t="shared" si="147"/>
        <v>32.679999999999986</v>
      </c>
      <c r="I1369" s="30">
        <f ca="1">IFERROR(AVERAGEIF(OFFSET(F1369,0,0,MIN(Controls!$B$8,COUNTIF(B1369:B$1973,B1369)),1),"&gt;"&amp;0),0)</f>
        <v>0</v>
      </c>
      <c r="J1369" s="38">
        <f t="shared" ca="1" si="148"/>
        <v>999</v>
      </c>
      <c r="K1369" s="30">
        <f t="shared" ca="1" si="152"/>
        <v>0</v>
      </c>
      <c r="L1369" t="str">
        <f t="shared" ca="1" si="149"/>
        <v>Overstock</v>
      </c>
      <c r="M1369" s="39">
        <f>IFERROR(VLOOKUP("APC",Controls!A:I,7,0),6)</f>
        <v>4</v>
      </c>
      <c r="N1369" s="39">
        <f>IFERROR(VLOOKUP("APC",Controls!A:I,8,0),3)</f>
        <v>3</v>
      </c>
      <c r="O1369" s="39">
        <f>IFERROR(VLOOKUP("APC",Controls!A:I,9,0),18)</f>
        <v>12</v>
      </c>
      <c r="P1369" s="40">
        <f>IFERROR(VLOOKUP("APC",Controls!A:J,5,0),0)</f>
        <v>40</v>
      </c>
      <c r="Q1369" s="39">
        <f>IFERROR(VLOOKUP("APC",Controls!A:J,6,0),3)</f>
        <v>4</v>
      </c>
      <c r="R1369" s="21" t="str">
        <f>IFERROR(VLOOKUP("APC",Controls!A:K,10,0),"")</f>
        <v>ST Pharm</v>
      </c>
      <c r="S1369" s="41">
        <f t="shared" si="150"/>
        <v>49341</v>
      </c>
      <c r="T1369" s="30">
        <f t="shared" si="151"/>
        <v>0</v>
      </c>
      <c r="AB1369">
        <f t="shared" si="153"/>
        <v>86.240000000000009</v>
      </c>
    </row>
    <row r="1370" spans="1:28" ht="13" customHeight="1" x14ac:dyDescent="0.35">
      <c r="A1370" s="153">
        <v>49491</v>
      </c>
      <c r="B1370" s="36" t="s">
        <v>56</v>
      </c>
      <c r="C1370" s="15" t="s">
        <v>52</v>
      </c>
      <c r="D1370" s="15" t="s">
        <v>48</v>
      </c>
      <c r="E1370" s="30">
        <f>H1369</f>
        <v>32.679999999999986</v>
      </c>
      <c r="F1370" s="37">
        <f>IFERROR('Production Inputs'!$DU$37*Dependencies!$D$15,0)</f>
        <v>0</v>
      </c>
      <c r="G1370" s="37">
        <f t="array" ref="G1370">IFERROR(SUMPRODUCT(('Production Inputs'!$A:$A="APC")*('Production Inputs'!$B:$B="TOTAL ACTIVE")*'Production Inputs'!$DU:$DU),0)</f>
        <v>0</v>
      </c>
      <c r="H1370" s="30">
        <f t="shared" si="147"/>
        <v>32.679999999999986</v>
      </c>
      <c r="I1370" s="30">
        <f ca="1">IFERROR(AVERAGEIF(OFFSET(F1370,0,0,MIN(Controls!$B$8,COUNTIF(B1370:B$1973,B1370)),1),"&gt;"&amp;0),0)</f>
        <v>0</v>
      </c>
      <c r="J1370" s="38">
        <f t="shared" ca="1" si="148"/>
        <v>999</v>
      </c>
      <c r="K1370" s="30">
        <f t="shared" ca="1" si="152"/>
        <v>0</v>
      </c>
      <c r="L1370" t="str">
        <f t="shared" ca="1" si="149"/>
        <v>Overstock</v>
      </c>
      <c r="M1370" s="39">
        <f>IFERROR(VLOOKUP("APC",Controls!A:I,7,0),6)</f>
        <v>4</v>
      </c>
      <c r="N1370" s="39">
        <f>IFERROR(VLOOKUP("APC",Controls!A:I,8,0),3)</f>
        <v>3</v>
      </c>
      <c r="O1370" s="39">
        <f>IFERROR(VLOOKUP("APC",Controls!A:I,9,0),18)</f>
        <v>12</v>
      </c>
      <c r="P1370" s="40">
        <f>IFERROR(VLOOKUP("APC",Controls!A:J,5,0),0)</f>
        <v>40</v>
      </c>
      <c r="Q1370" s="39">
        <f>IFERROR(VLOOKUP("APC",Controls!A:J,6,0),3)</f>
        <v>4</v>
      </c>
      <c r="R1370" s="21" t="str">
        <f>IFERROR(VLOOKUP("APC",Controls!A:K,10,0),"")</f>
        <v>ST Pharm</v>
      </c>
      <c r="S1370" s="41">
        <f t="shared" si="150"/>
        <v>49369</v>
      </c>
      <c r="T1370" s="30">
        <f t="shared" si="151"/>
        <v>0</v>
      </c>
      <c r="AB1370">
        <f t="shared" si="153"/>
        <v>86.240000000000009</v>
      </c>
    </row>
    <row r="1371" spans="1:28" ht="13" customHeight="1" x14ac:dyDescent="0.35">
      <c r="A1371" s="153">
        <v>49522</v>
      </c>
      <c r="B1371" s="36" t="s">
        <v>56</v>
      </c>
      <c r="C1371" s="15" t="s">
        <v>52</v>
      </c>
      <c r="D1371" s="15" t="s">
        <v>48</v>
      </c>
      <c r="E1371" s="30">
        <f>H1370</f>
        <v>32.679999999999986</v>
      </c>
      <c r="F1371" s="37">
        <f>IFERROR('Production Inputs'!$DV$37*Dependencies!$D$15,0)</f>
        <v>0</v>
      </c>
      <c r="G1371" s="37">
        <f t="array" ref="G1371">IFERROR(SUMPRODUCT(('Production Inputs'!$A:$A="APC")*('Production Inputs'!$B:$B="TOTAL ACTIVE")*'Production Inputs'!$DV:$DV),0)</f>
        <v>0</v>
      </c>
      <c r="H1371" s="30">
        <f t="shared" si="147"/>
        <v>32.679999999999986</v>
      </c>
      <c r="I1371" s="30">
        <f ca="1">IFERROR(AVERAGEIF(OFFSET(F1371,0,0,MIN(Controls!$B$8,COUNTIF(B1371:B$1973,B1371)),1),"&gt;"&amp;0),0)</f>
        <v>0</v>
      </c>
      <c r="J1371" s="38">
        <f t="shared" ca="1" si="148"/>
        <v>999</v>
      </c>
      <c r="K1371" s="30">
        <f t="shared" ca="1" si="152"/>
        <v>0</v>
      </c>
      <c r="L1371" t="str">
        <f t="shared" ca="1" si="149"/>
        <v>Overstock</v>
      </c>
      <c r="M1371" s="39">
        <f>IFERROR(VLOOKUP("APC",Controls!A:I,7,0),6)</f>
        <v>4</v>
      </c>
      <c r="N1371" s="39">
        <f>IFERROR(VLOOKUP("APC",Controls!A:I,8,0),3)</f>
        <v>3</v>
      </c>
      <c r="O1371" s="39">
        <f>IFERROR(VLOOKUP("APC",Controls!A:I,9,0),18)</f>
        <v>12</v>
      </c>
      <c r="P1371" s="40">
        <f>IFERROR(VLOOKUP("APC",Controls!A:J,5,0),0)</f>
        <v>40</v>
      </c>
      <c r="Q1371" s="39">
        <f>IFERROR(VLOOKUP("APC",Controls!A:J,6,0),3)</f>
        <v>4</v>
      </c>
      <c r="R1371" s="21" t="str">
        <f>IFERROR(VLOOKUP("APC",Controls!A:K,10,0),"")</f>
        <v>ST Pharm</v>
      </c>
      <c r="S1371" s="41">
        <f t="shared" si="150"/>
        <v>49400</v>
      </c>
      <c r="T1371" s="30">
        <f t="shared" si="151"/>
        <v>0</v>
      </c>
      <c r="AB1371">
        <f t="shared" si="153"/>
        <v>86.240000000000009</v>
      </c>
    </row>
    <row r="1372" spans="1:28" ht="13" customHeight="1" x14ac:dyDescent="0.35">
      <c r="A1372" s="153">
        <v>49553</v>
      </c>
      <c r="B1372" s="36" t="s">
        <v>56</v>
      </c>
      <c r="C1372" s="15" t="s">
        <v>52</v>
      </c>
      <c r="D1372" s="15" t="s">
        <v>48</v>
      </c>
      <c r="E1372" s="30">
        <f>H1371</f>
        <v>32.679999999999986</v>
      </c>
      <c r="F1372" s="37">
        <f>IFERROR('Production Inputs'!$DW$37*Dependencies!$D$15,0)</f>
        <v>0</v>
      </c>
      <c r="G1372" s="37">
        <f t="array" ref="G1372">IFERROR(SUMPRODUCT(('Production Inputs'!$A:$A="APC")*('Production Inputs'!$B:$B="TOTAL ACTIVE")*'Production Inputs'!$DW:$DW),0)</f>
        <v>0</v>
      </c>
      <c r="H1372" s="30">
        <f t="shared" si="147"/>
        <v>32.679999999999986</v>
      </c>
      <c r="I1372" s="30">
        <f ca="1">IFERROR(AVERAGEIF(OFFSET(F1372,0,0,MIN(Controls!$B$8,COUNTIF(B1372:B$1973,B1372)),1),"&gt;"&amp;0),0)</f>
        <v>0</v>
      </c>
      <c r="J1372" s="38">
        <f t="shared" ca="1" si="148"/>
        <v>999</v>
      </c>
      <c r="K1372" s="30">
        <f t="shared" ca="1" si="152"/>
        <v>0</v>
      </c>
      <c r="L1372" t="str">
        <f t="shared" ca="1" si="149"/>
        <v>Overstock</v>
      </c>
      <c r="M1372" s="39">
        <f>IFERROR(VLOOKUP("APC",Controls!A:I,7,0),6)</f>
        <v>4</v>
      </c>
      <c r="N1372" s="39">
        <f>IFERROR(VLOOKUP("APC",Controls!A:I,8,0),3)</f>
        <v>3</v>
      </c>
      <c r="O1372" s="39">
        <f>IFERROR(VLOOKUP("APC",Controls!A:I,9,0),18)</f>
        <v>12</v>
      </c>
      <c r="P1372" s="40">
        <f>IFERROR(VLOOKUP("APC",Controls!A:J,5,0),0)</f>
        <v>40</v>
      </c>
      <c r="Q1372" s="39">
        <f>IFERROR(VLOOKUP("APC",Controls!A:J,6,0),3)</f>
        <v>4</v>
      </c>
      <c r="R1372" s="21" t="str">
        <f>IFERROR(VLOOKUP("APC",Controls!A:K,10,0),"")</f>
        <v>ST Pharm</v>
      </c>
      <c r="S1372" s="41">
        <f t="shared" si="150"/>
        <v>49430</v>
      </c>
      <c r="T1372" s="30">
        <f t="shared" si="151"/>
        <v>0</v>
      </c>
      <c r="AB1372">
        <f t="shared" si="153"/>
        <v>86.240000000000009</v>
      </c>
    </row>
    <row r="1373" spans="1:28" ht="13" customHeight="1" x14ac:dyDescent="0.35">
      <c r="A1373" s="153">
        <v>49583</v>
      </c>
      <c r="B1373" s="36" t="s">
        <v>56</v>
      </c>
      <c r="C1373" s="15" t="s">
        <v>52</v>
      </c>
      <c r="D1373" s="15" t="s">
        <v>48</v>
      </c>
      <c r="E1373" s="30">
        <f>H1372</f>
        <v>32.679999999999986</v>
      </c>
      <c r="F1373" s="37">
        <f>IFERROR('Production Inputs'!$DX$37*Dependencies!$D$15,0)</f>
        <v>0</v>
      </c>
      <c r="G1373" s="37">
        <f t="array" ref="G1373">IFERROR(SUMPRODUCT(('Production Inputs'!$A:$A="APC")*('Production Inputs'!$B:$B="TOTAL ACTIVE")*'Production Inputs'!$DX:$DX),0)</f>
        <v>0</v>
      </c>
      <c r="H1373" s="30">
        <f t="shared" si="147"/>
        <v>32.679999999999986</v>
      </c>
      <c r="I1373" s="30">
        <f ca="1">IFERROR(AVERAGEIF(OFFSET(F1373,0,0,MIN(Controls!$B$8,COUNTIF(B1373:B$1973,B1373)),1),"&gt;"&amp;0),0)</f>
        <v>0</v>
      </c>
      <c r="J1373" s="38">
        <f t="shared" ca="1" si="148"/>
        <v>999</v>
      </c>
      <c r="K1373" s="30">
        <f t="shared" ca="1" si="152"/>
        <v>0</v>
      </c>
      <c r="L1373" t="str">
        <f t="shared" ca="1" si="149"/>
        <v>Overstock</v>
      </c>
      <c r="M1373" s="39">
        <f>IFERROR(VLOOKUP("APC",Controls!A:I,7,0),6)</f>
        <v>4</v>
      </c>
      <c r="N1373" s="39">
        <f>IFERROR(VLOOKUP("APC",Controls!A:I,8,0),3)</f>
        <v>3</v>
      </c>
      <c r="O1373" s="39">
        <f>IFERROR(VLOOKUP("APC",Controls!A:I,9,0),18)</f>
        <v>12</v>
      </c>
      <c r="P1373" s="40">
        <f>IFERROR(VLOOKUP("APC",Controls!A:J,5,0),0)</f>
        <v>40</v>
      </c>
      <c r="Q1373" s="39">
        <f>IFERROR(VLOOKUP("APC",Controls!A:J,6,0),3)</f>
        <v>4</v>
      </c>
      <c r="R1373" s="21" t="str">
        <f>IFERROR(VLOOKUP("APC",Controls!A:K,10,0),"")</f>
        <v>ST Pharm</v>
      </c>
      <c r="S1373" s="41">
        <f t="shared" si="150"/>
        <v>49461</v>
      </c>
      <c r="T1373" s="30">
        <f t="shared" si="151"/>
        <v>0</v>
      </c>
      <c r="AB1373">
        <f t="shared" si="153"/>
        <v>86.240000000000009</v>
      </c>
    </row>
    <row r="1374" spans="1:28" ht="13" customHeight="1" x14ac:dyDescent="0.35">
      <c r="A1374" s="153">
        <v>49614</v>
      </c>
      <c r="B1374" s="36" t="s">
        <v>56</v>
      </c>
      <c r="C1374" s="15" t="s">
        <v>52</v>
      </c>
      <c r="D1374" s="15" t="s">
        <v>48</v>
      </c>
      <c r="E1374" s="30">
        <f>H1373</f>
        <v>32.679999999999986</v>
      </c>
      <c r="F1374" s="37">
        <f>IFERROR('Production Inputs'!$DY$37*Dependencies!$D$15,0)</f>
        <v>0</v>
      </c>
      <c r="G1374" s="37">
        <f t="array" ref="G1374">IFERROR(SUMPRODUCT(('Production Inputs'!$A:$A="APC")*('Production Inputs'!$B:$B="TOTAL ACTIVE")*'Production Inputs'!$DY:$DY),0)</f>
        <v>0</v>
      </c>
      <c r="H1374" s="30">
        <f t="shared" si="147"/>
        <v>32.679999999999986</v>
      </c>
      <c r="I1374" s="30">
        <f ca="1">IFERROR(AVERAGEIF(OFFSET(F1374,0,0,MIN(Controls!$B$8,COUNTIF(B1374:B$1973,B1374)),1),"&gt;"&amp;0),0)</f>
        <v>0</v>
      </c>
      <c r="J1374" s="38">
        <f t="shared" ca="1" si="148"/>
        <v>999</v>
      </c>
      <c r="K1374" s="30">
        <f t="shared" ca="1" si="152"/>
        <v>0</v>
      </c>
      <c r="L1374" t="str">
        <f t="shared" ca="1" si="149"/>
        <v>Overstock</v>
      </c>
      <c r="M1374" s="39">
        <f>IFERROR(VLOOKUP("APC",Controls!A:I,7,0),6)</f>
        <v>4</v>
      </c>
      <c r="N1374" s="39">
        <f>IFERROR(VLOOKUP("APC",Controls!A:I,8,0),3)</f>
        <v>3</v>
      </c>
      <c r="O1374" s="39">
        <f>IFERROR(VLOOKUP("APC",Controls!A:I,9,0),18)</f>
        <v>12</v>
      </c>
      <c r="P1374" s="40">
        <f>IFERROR(VLOOKUP("APC",Controls!A:J,5,0),0)</f>
        <v>40</v>
      </c>
      <c r="Q1374" s="39">
        <f>IFERROR(VLOOKUP("APC",Controls!A:J,6,0),3)</f>
        <v>4</v>
      </c>
      <c r="R1374" s="21" t="str">
        <f>IFERROR(VLOOKUP("APC",Controls!A:K,10,0),"")</f>
        <v>ST Pharm</v>
      </c>
      <c r="S1374" s="41">
        <f t="shared" si="150"/>
        <v>49491</v>
      </c>
      <c r="T1374" s="30">
        <f t="shared" si="151"/>
        <v>0</v>
      </c>
      <c r="AB1374">
        <f t="shared" si="153"/>
        <v>86.240000000000009</v>
      </c>
    </row>
    <row r="1375" spans="1:28" ht="13" customHeight="1" x14ac:dyDescent="0.35">
      <c r="A1375" s="153">
        <v>49644</v>
      </c>
      <c r="B1375" s="36" t="s">
        <v>56</v>
      </c>
      <c r="C1375" s="15" t="s">
        <v>52</v>
      </c>
      <c r="D1375" s="15" t="s">
        <v>48</v>
      </c>
      <c r="E1375" s="30">
        <f>H1374</f>
        <v>32.679999999999986</v>
      </c>
      <c r="F1375" s="37">
        <f>IFERROR('Production Inputs'!$DZ$37*Dependencies!$D$15,0)</f>
        <v>0</v>
      </c>
      <c r="G1375" s="37">
        <f t="array" ref="G1375">IFERROR(SUMPRODUCT(('Production Inputs'!$A:$A="APC")*('Production Inputs'!$B:$B="TOTAL ACTIVE")*'Production Inputs'!$DZ:$DZ),0)</f>
        <v>0</v>
      </c>
      <c r="H1375" s="30">
        <f t="shared" si="147"/>
        <v>32.679999999999986</v>
      </c>
      <c r="I1375" s="30">
        <f ca="1">IFERROR(AVERAGEIF(OFFSET(F1375,0,0,MIN(Controls!$B$8,COUNTIF(B1375:B$1973,B1375)),1),"&gt;"&amp;0),0)</f>
        <v>0</v>
      </c>
      <c r="J1375" s="38">
        <f t="shared" ca="1" si="148"/>
        <v>999</v>
      </c>
      <c r="K1375" s="30">
        <f t="shared" ca="1" si="152"/>
        <v>0</v>
      </c>
      <c r="L1375" t="str">
        <f t="shared" ca="1" si="149"/>
        <v>Overstock</v>
      </c>
      <c r="M1375" s="39">
        <f>IFERROR(VLOOKUP("APC",Controls!A:I,7,0),6)</f>
        <v>4</v>
      </c>
      <c r="N1375" s="39">
        <f>IFERROR(VLOOKUP("APC",Controls!A:I,8,0),3)</f>
        <v>3</v>
      </c>
      <c r="O1375" s="39">
        <f>IFERROR(VLOOKUP("APC",Controls!A:I,9,0),18)</f>
        <v>12</v>
      </c>
      <c r="P1375" s="40">
        <f>IFERROR(VLOOKUP("APC",Controls!A:J,5,0),0)</f>
        <v>40</v>
      </c>
      <c r="Q1375" s="39">
        <f>IFERROR(VLOOKUP("APC",Controls!A:J,6,0),3)</f>
        <v>4</v>
      </c>
      <c r="R1375" s="21" t="str">
        <f>IFERROR(VLOOKUP("APC",Controls!A:K,10,0),"")</f>
        <v>ST Pharm</v>
      </c>
      <c r="S1375" s="41">
        <f t="shared" si="150"/>
        <v>49522</v>
      </c>
      <c r="T1375" s="30">
        <f t="shared" si="151"/>
        <v>0</v>
      </c>
      <c r="AB1375">
        <f t="shared" si="153"/>
        <v>86.240000000000009</v>
      </c>
    </row>
    <row r="1376" spans="1:28" ht="13" customHeight="1" x14ac:dyDescent="0.35">
      <c r="A1376" s="153">
        <v>49675</v>
      </c>
      <c r="B1376" s="36" t="s">
        <v>56</v>
      </c>
      <c r="C1376" s="15" t="s">
        <v>52</v>
      </c>
      <c r="D1376" s="15" t="s">
        <v>48</v>
      </c>
      <c r="E1376" s="30">
        <f>H1375</f>
        <v>32.679999999999986</v>
      </c>
      <c r="F1376" s="37">
        <f>IFERROR('Production Inputs'!$EA$37*Dependencies!$D$15,0)</f>
        <v>0</v>
      </c>
      <c r="G1376" s="37">
        <f t="array" ref="G1376">IFERROR(SUMPRODUCT(('Production Inputs'!$A:$A="APC")*('Production Inputs'!$B:$B="TOTAL ACTIVE")*'Production Inputs'!$EA:$EA),0)</f>
        <v>0</v>
      </c>
      <c r="H1376" s="30">
        <f t="shared" si="147"/>
        <v>32.679999999999986</v>
      </c>
      <c r="I1376" s="30">
        <f ca="1">IFERROR(AVERAGEIF(OFFSET(F1376,0,0,MIN(Controls!$B$8,COUNTIF(B1376:B$1973,B1376)),1),"&gt;"&amp;0),0)</f>
        <v>0</v>
      </c>
      <c r="J1376" s="38">
        <f t="shared" ca="1" si="148"/>
        <v>999</v>
      </c>
      <c r="K1376" s="30">
        <f t="shared" ca="1" si="152"/>
        <v>0</v>
      </c>
      <c r="L1376" t="str">
        <f t="shared" ca="1" si="149"/>
        <v>Overstock</v>
      </c>
      <c r="M1376" s="39">
        <f>IFERROR(VLOOKUP("APC",Controls!A:I,7,0),6)</f>
        <v>4</v>
      </c>
      <c r="N1376" s="39">
        <f>IFERROR(VLOOKUP("APC",Controls!A:I,8,0),3)</f>
        <v>3</v>
      </c>
      <c r="O1376" s="39">
        <f>IFERROR(VLOOKUP("APC",Controls!A:I,9,0),18)</f>
        <v>12</v>
      </c>
      <c r="P1376" s="40">
        <f>IFERROR(VLOOKUP("APC",Controls!A:J,5,0),0)</f>
        <v>40</v>
      </c>
      <c r="Q1376" s="39">
        <f>IFERROR(VLOOKUP("APC",Controls!A:J,6,0),3)</f>
        <v>4</v>
      </c>
      <c r="R1376" s="21" t="str">
        <f>IFERROR(VLOOKUP("APC",Controls!A:K,10,0),"")</f>
        <v>ST Pharm</v>
      </c>
      <c r="S1376" s="41">
        <f t="shared" si="150"/>
        <v>49553</v>
      </c>
      <c r="T1376" s="30">
        <f t="shared" si="151"/>
        <v>0</v>
      </c>
      <c r="AB1376">
        <f t="shared" si="153"/>
        <v>86.240000000000009</v>
      </c>
    </row>
    <row r="1377" spans="1:28" ht="13" customHeight="1" x14ac:dyDescent="0.35">
      <c r="A1377" s="153">
        <v>49706</v>
      </c>
      <c r="B1377" s="36" t="s">
        <v>56</v>
      </c>
      <c r="C1377" s="15" t="s">
        <v>52</v>
      </c>
      <c r="D1377" s="15" t="s">
        <v>48</v>
      </c>
      <c r="E1377" s="30">
        <f>H1376</f>
        <v>32.679999999999986</v>
      </c>
      <c r="F1377" s="37">
        <f>IFERROR('Production Inputs'!$EB$37*Dependencies!$D$15,0)</f>
        <v>0</v>
      </c>
      <c r="G1377" s="37">
        <f t="array" ref="G1377">IFERROR(SUMPRODUCT(('Production Inputs'!$A:$A="APC")*('Production Inputs'!$B:$B="TOTAL ACTIVE")*'Production Inputs'!$EB:$EB),0)</f>
        <v>0</v>
      </c>
      <c r="H1377" s="30">
        <f t="shared" si="147"/>
        <v>32.679999999999986</v>
      </c>
      <c r="I1377" s="30">
        <f ca="1">IFERROR(AVERAGEIF(OFFSET(F1377,0,0,MIN(Controls!$B$8,COUNTIF(B1377:B$1973,B1377)),1),"&gt;"&amp;0),0)</f>
        <v>0</v>
      </c>
      <c r="J1377" s="38">
        <f t="shared" ca="1" si="148"/>
        <v>999</v>
      </c>
      <c r="K1377" s="30">
        <f t="shared" ca="1" si="152"/>
        <v>0</v>
      </c>
      <c r="L1377" t="str">
        <f t="shared" ca="1" si="149"/>
        <v>Overstock</v>
      </c>
      <c r="M1377" s="39">
        <f>IFERROR(VLOOKUP("APC",Controls!A:I,7,0),6)</f>
        <v>4</v>
      </c>
      <c r="N1377" s="39">
        <f>IFERROR(VLOOKUP("APC",Controls!A:I,8,0),3)</f>
        <v>3</v>
      </c>
      <c r="O1377" s="39">
        <f>IFERROR(VLOOKUP("APC",Controls!A:I,9,0),18)</f>
        <v>12</v>
      </c>
      <c r="P1377" s="40">
        <f>IFERROR(VLOOKUP("APC",Controls!A:J,5,0),0)</f>
        <v>40</v>
      </c>
      <c r="Q1377" s="39">
        <f>IFERROR(VLOOKUP("APC",Controls!A:J,6,0),3)</f>
        <v>4</v>
      </c>
      <c r="R1377" s="21" t="str">
        <f>IFERROR(VLOOKUP("APC",Controls!A:K,10,0),"")</f>
        <v>ST Pharm</v>
      </c>
      <c r="S1377" s="41">
        <f t="shared" si="150"/>
        <v>49583</v>
      </c>
      <c r="T1377" s="30">
        <f t="shared" si="151"/>
        <v>0</v>
      </c>
      <c r="AB1377">
        <f t="shared" si="153"/>
        <v>86.240000000000009</v>
      </c>
    </row>
    <row r="1378" spans="1:28" ht="13" customHeight="1" x14ac:dyDescent="0.35">
      <c r="A1378" s="153">
        <v>49735</v>
      </c>
      <c r="B1378" s="36" t="s">
        <v>56</v>
      </c>
      <c r="C1378" s="15" t="s">
        <v>52</v>
      </c>
      <c r="D1378" s="15" t="s">
        <v>48</v>
      </c>
      <c r="E1378" s="30">
        <f>H1377</f>
        <v>32.679999999999986</v>
      </c>
      <c r="F1378" s="37">
        <f>IFERROR('Production Inputs'!$EC$37*Dependencies!$D$15,0)</f>
        <v>0</v>
      </c>
      <c r="G1378" s="37">
        <f t="array" ref="G1378">IFERROR(SUMPRODUCT(('Production Inputs'!$A:$A="APC")*('Production Inputs'!$B:$B="TOTAL ACTIVE")*'Production Inputs'!$EC:$EC),0)</f>
        <v>0</v>
      </c>
      <c r="H1378" s="30">
        <f t="shared" si="147"/>
        <v>32.679999999999986</v>
      </c>
      <c r="I1378" s="30">
        <f ca="1">IFERROR(AVERAGEIF(OFFSET(F1378,0,0,MIN(Controls!$B$8,COUNTIF(B1378:B$1973,B1378)),1),"&gt;"&amp;0),0)</f>
        <v>0</v>
      </c>
      <c r="J1378" s="38">
        <f t="shared" ca="1" si="148"/>
        <v>999</v>
      </c>
      <c r="K1378" s="30">
        <f t="shared" ca="1" si="152"/>
        <v>0</v>
      </c>
      <c r="L1378" t="str">
        <f t="shared" ca="1" si="149"/>
        <v>Overstock</v>
      </c>
      <c r="M1378" s="39">
        <f>IFERROR(VLOOKUP("APC",Controls!A:I,7,0),6)</f>
        <v>4</v>
      </c>
      <c r="N1378" s="39">
        <f>IFERROR(VLOOKUP("APC",Controls!A:I,8,0),3)</f>
        <v>3</v>
      </c>
      <c r="O1378" s="39">
        <f>IFERROR(VLOOKUP("APC",Controls!A:I,9,0),18)</f>
        <v>12</v>
      </c>
      <c r="P1378" s="40">
        <f>IFERROR(VLOOKUP("APC",Controls!A:J,5,0),0)</f>
        <v>40</v>
      </c>
      <c r="Q1378" s="39">
        <f>IFERROR(VLOOKUP("APC",Controls!A:J,6,0),3)</f>
        <v>4</v>
      </c>
      <c r="R1378" s="21" t="str">
        <f>IFERROR(VLOOKUP("APC",Controls!A:K,10,0),"")</f>
        <v>ST Pharm</v>
      </c>
      <c r="S1378" s="41">
        <f t="shared" si="150"/>
        <v>49614</v>
      </c>
      <c r="T1378" s="30">
        <f t="shared" si="151"/>
        <v>0</v>
      </c>
      <c r="AB1378">
        <f t="shared" si="153"/>
        <v>86.240000000000009</v>
      </c>
    </row>
    <row r="1379" spans="1:28" ht="13" customHeight="1" x14ac:dyDescent="0.35">
      <c r="A1379" s="153">
        <v>49766</v>
      </c>
      <c r="B1379" s="36" t="s">
        <v>56</v>
      </c>
      <c r="C1379" s="15" t="s">
        <v>52</v>
      </c>
      <c r="D1379" s="15" t="s">
        <v>48</v>
      </c>
      <c r="E1379" s="30">
        <f>H1378</f>
        <v>32.679999999999986</v>
      </c>
      <c r="F1379" s="37">
        <f>IFERROR('Production Inputs'!$ED$37*Dependencies!$D$15,0)</f>
        <v>0</v>
      </c>
      <c r="G1379" s="37">
        <f t="array" ref="G1379">IFERROR(SUMPRODUCT(('Production Inputs'!$A:$A="APC")*('Production Inputs'!$B:$B="TOTAL ACTIVE")*'Production Inputs'!$ED:$ED),0)</f>
        <v>0</v>
      </c>
      <c r="H1379" s="30">
        <f t="shared" si="147"/>
        <v>32.679999999999986</v>
      </c>
      <c r="I1379" s="30">
        <f ca="1">IFERROR(AVERAGEIF(OFFSET(F1379,0,0,MIN(Controls!$B$8,COUNTIF(B1379:B$1973,B1379)),1),"&gt;"&amp;0),0)</f>
        <v>0</v>
      </c>
      <c r="J1379" s="38">
        <f t="shared" ca="1" si="148"/>
        <v>999</v>
      </c>
      <c r="K1379" s="30">
        <f t="shared" ca="1" si="152"/>
        <v>0</v>
      </c>
      <c r="L1379" t="str">
        <f t="shared" ca="1" si="149"/>
        <v>Overstock</v>
      </c>
      <c r="M1379" s="39">
        <f>IFERROR(VLOOKUP("APC",Controls!A:I,7,0),6)</f>
        <v>4</v>
      </c>
      <c r="N1379" s="39">
        <f>IFERROR(VLOOKUP("APC",Controls!A:I,8,0),3)</f>
        <v>3</v>
      </c>
      <c r="O1379" s="39">
        <f>IFERROR(VLOOKUP("APC",Controls!A:I,9,0),18)</f>
        <v>12</v>
      </c>
      <c r="P1379" s="40">
        <f>IFERROR(VLOOKUP("APC",Controls!A:J,5,0),0)</f>
        <v>40</v>
      </c>
      <c r="Q1379" s="39">
        <f>IFERROR(VLOOKUP("APC",Controls!A:J,6,0),3)</f>
        <v>4</v>
      </c>
      <c r="R1379" s="21" t="str">
        <f>IFERROR(VLOOKUP("APC",Controls!A:K,10,0),"")</f>
        <v>ST Pharm</v>
      </c>
      <c r="S1379" s="41">
        <f t="shared" si="150"/>
        <v>49644</v>
      </c>
      <c r="T1379" s="30">
        <f t="shared" si="151"/>
        <v>0</v>
      </c>
      <c r="AB1379">
        <f t="shared" si="153"/>
        <v>86.240000000000009</v>
      </c>
    </row>
    <row r="1380" spans="1:28" ht="13" customHeight="1" x14ac:dyDescent="0.35">
      <c r="A1380" s="153">
        <v>49796</v>
      </c>
      <c r="B1380" s="36" t="s">
        <v>56</v>
      </c>
      <c r="C1380" s="15" t="s">
        <v>52</v>
      </c>
      <c r="D1380" s="15" t="s">
        <v>48</v>
      </c>
      <c r="E1380" s="30">
        <f>H1379</f>
        <v>32.679999999999986</v>
      </c>
      <c r="F1380" s="37">
        <f>IFERROR('Production Inputs'!$EE$37*Dependencies!$D$15,0)</f>
        <v>0</v>
      </c>
      <c r="G1380" s="37">
        <f t="array" ref="G1380">IFERROR(SUMPRODUCT(('Production Inputs'!$A:$A="APC")*('Production Inputs'!$B:$B="TOTAL ACTIVE")*'Production Inputs'!$EE:$EE),0)</f>
        <v>0</v>
      </c>
      <c r="H1380" s="30">
        <f t="shared" si="147"/>
        <v>32.679999999999986</v>
      </c>
      <c r="I1380" s="30">
        <f ca="1">IFERROR(AVERAGEIF(OFFSET(F1380,0,0,MIN(Controls!$B$8,COUNTIF(B1380:B$1973,B1380)),1),"&gt;"&amp;0),0)</f>
        <v>0</v>
      </c>
      <c r="J1380" s="38">
        <f t="shared" ca="1" si="148"/>
        <v>999</v>
      </c>
      <c r="K1380" s="30">
        <f t="shared" ca="1" si="152"/>
        <v>0</v>
      </c>
      <c r="L1380" t="str">
        <f t="shared" ca="1" si="149"/>
        <v>Overstock</v>
      </c>
      <c r="M1380" s="39">
        <f>IFERROR(VLOOKUP("APC",Controls!A:I,7,0),6)</f>
        <v>4</v>
      </c>
      <c r="N1380" s="39">
        <f>IFERROR(VLOOKUP("APC",Controls!A:I,8,0),3)</f>
        <v>3</v>
      </c>
      <c r="O1380" s="39">
        <f>IFERROR(VLOOKUP("APC",Controls!A:I,9,0),18)</f>
        <v>12</v>
      </c>
      <c r="P1380" s="40">
        <f>IFERROR(VLOOKUP("APC",Controls!A:J,5,0),0)</f>
        <v>40</v>
      </c>
      <c r="Q1380" s="39">
        <f>IFERROR(VLOOKUP("APC",Controls!A:J,6,0),3)</f>
        <v>4</v>
      </c>
      <c r="R1380" s="21" t="str">
        <f>IFERROR(VLOOKUP("APC",Controls!A:K,10,0),"")</f>
        <v>ST Pharm</v>
      </c>
      <c r="S1380" s="41">
        <f t="shared" si="150"/>
        <v>49675</v>
      </c>
      <c r="T1380" s="30">
        <f t="shared" si="151"/>
        <v>0</v>
      </c>
      <c r="AB1380">
        <f t="shared" si="153"/>
        <v>86.240000000000009</v>
      </c>
    </row>
    <row r="1381" spans="1:28" ht="13" customHeight="1" x14ac:dyDescent="0.35">
      <c r="A1381" s="153">
        <v>49827</v>
      </c>
      <c r="B1381" s="36" t="s">
        <v>56</v>
      </c>
      <c r="C1381" s="15" t="s">
        <v>52</v>
      </c>
      <c r="D1381" s="15" t="s">
        <v>48</v>
      </c>
      <c r="E1381" s="30">
        <f>H1380</f>
        <v>32.679999999999986</v>
      </c>
      <c r="F1381" s="37">
        <f>IFERROR('Production Inputs'!$EF$37*Dependencies!$D$15,0)</f>
        <v>0</v>
      </c>
      <c r="G1381" s="37">
        <f t="array" ref="G1381">IFERROR(SUMPRODUCT(('Production Inputs'!$A:$A="APC")*('Production Inputs'!$B:$B="TOTAL ACTIVE")*'Production Inputs'!$EF:$EF),0)</f>
        <v>0</v>
      </c>
      <c r="H1381" s="30">
        <f t="shared" si="147"/>
        <v>32.679999999999986</v>
      </c>
      <c r="I1381" s="30">
        <f ca="1">IFERROR(AVERAGEIF(OFFSET(F1381,0,0,MIN(Controls!$B$8,COUNTIF(B1381:B$1973,B1381)),1),"&gt;"&amp;0),0)</f>
        <v>0</v>
      </c>
      <c r="J1381" s="38">
        <f t="shared" ca="1" si="148"/>
        <v>999</v>
      </c>
      <c r="K1381" s="30">
        <f t="shared" ca="1" si="152"/>
        <v>0</v>
      </c>
      <c r="L1381" t="str">
        <f t="shared" ca="1" si="149"/>
        <v>Overstock</v>
      </c>
      <c r="M1381" s="39">
        <f>IFERROR(VLOOKUP("APC",Controls!A:I,7,0),6)</f>
        <v>4</v>
      </c>
      <c r="N1381" s="39">
        <f>IFERROR(VLOOKUP("APC",Controls!A:I,8,0),3)</f>
        <v>3</v>
      </c>
      <c r="O1381" s="39">
        <f>IFERROR(VLOOKUP("APC",Controls!A:I,9,0),18)</f>
        <v>12</v>
      </c>
      <c r="P1381" s="40">
        <f>IFERROR(VLOOKUP("APC",Controls!A:J,5,0),0)</f>
        <v>40</v>
      </c>
      <c r="Q1381" s="39">
        <f>IFERROR(VLOOKUP("APC",Controls!A:J,6,0),3)</f>
        <v>4</v>
      </c>
      <c r="R1381" s="21" t="str">
        <f>IFERROR(VLOOKUP("APC",Controls!A:K,10,0),"")</f>
        <v>ST Pharm</v>
      </c>
      <c r="S1381" s="41">
        <f t="shared" si="150"/>
        <v>49706</v>
      </c>
      <c r="T1381" s="30">
        <f t="shared" si="151"/>
        <v>0</v>
      </c>
      <c r="AB1381">
        <f t="shared" si="153"/>
        <v>86.240000000000009</v>
      </c>
    </row>
    <row r="1382" spans="1:28" ht="13" customHeight="1" x14ac:dyDescent="0.35">
      <c r="A1382" s="153">
        <v>49857</v>
      </c>
      <c r="B1382" s="36" t="s">
        <v>56</v>
      </c>
      <c r="C1382" s="15" t="s">
        <v>52</v>
      </c>
      <c r="D1382" s="15" t="s">
        <v>48</v>
      </c>
      <c r="E1382" s="30">
        <f>H1381</f>
        <v>32.679999999999986</v>
      </c>
      <c r="F1382" s="37">
        <f>IFERROR('Production Inputs'!$EG$37*Dependencies!$D$15,0)</f>
        <v>0</v>
      </c>
      <c r="G1382" s="37">
        <f t="array" ref="G1382">IFERROR(SUMPRODUCT(('Production Inputs'!$A:$A="APC")*('Production Inputs'!$B:$B="TOTAL ACTIVE")*'Production Inputs'!$EG:$EG),0)</f>
        <v>0</v>
      </c>
      <c r="H1382" s="30">
        <f t="shared" si="147"/>
        <v>32.679999999999986</v>
      </c>
      <c r="I1382" s="30">
        <f ca="1">IFERROR(AVERAGEIF(OFFSET(F1382,0,0,MIN(Controls!$B$8,COUNTIF(B1382:B$1973,B1382)),1),"&gt;"&amp;0),0)</f>
        <v>0</v>
      </c>
      <c r="J1382" s="38">
        <f t="shared" ca="1" si="148"/>
        <v>999</v>
      </c>
      <c r="K1382" s="30">
        <f t="shared" ca="1" si="152"/>
        <v>0</v>
      </c>
      <c r="L1382" t="str">
        <f t="shared" ca="1" si="149"/>
        <v>Overstock</v>
      </c>
      <c r="M1382" s="39">
        <f>IFERROR(VLOOKUP("APC",Controls!A:I,7,0),6)</f>
        <v>4</v>
      </c>
      <c r="N1382" s="39">
        <f>IFERROR(VLOOKUP("APC",Controls!A:I,8,0),3)</f>
        <v>3</v>
      </c>
      <c r="O1382" s="39">
        <f>IFERROR(VLOOKUP("APC",Controls!A:I,9,0),18)</f>
        <v>12</v>
      </c>
      <c r="P1382" s="40">
        <f>IFERROR(VLOOKUP("APC",Controls!A:J,5,0),0)</f>
        <v>40</v>
      </c>
      <c r="Q1382" s="39">
        <f>IFERROR(VLOOKUP("APC",Controls!A:J,6,0),3)</f>
        <v>4</v>
      </c>
      <c r="R1382" s="21" t="str">
        <f>IFERROR(VLOOKUP("APC",Controls!A:K,10,0),"")</f>
        <v>ST Pharm</v>
      </c>
      <c r="S1382" s="41">
        <f t="shared" si="150"/>
        <v>49735</v>
      </c>
      <c r="T1382" s="30">
        <f t="shared" si="151"/>
        <v>0</v>
      </c>
      <c r="AB1382">
        <f t="shared" si="153"/>
        <v>86.240000000000009</v>
      </c>
    </row>
    <row r="1383" spans="1:28" ht="13" customHeight="1" x14ac:dyDescent="0.35">
      <c r="A1383" s="153">
        <v>49888</v>
      </c>
      <c r="B1383" s="36" t="s">
        <v>56</v>
      </c>
      <c r="C1383" s="15" t="s">
        <v>52</v>
      </c>
      <c r="D1383" s="15" t="s">
        <v>48</v>
      </c>
      <c r="E1383" s="30">
        <f>H1382</f>
        <v>32.679999999999986</v>
      </c>
      <c r="F1383" s="37">
        <f>IFERROR('Production Inputs'!$EH$37*Dependencies!$D$15,0)</f>
        <v>0</v>
      </c>
      <c r="G1383" s="37">
        <f t="array" ref="G1383">IFERROR(SUMPRODUCT(('Production Inputs'!$A:$A="APC")*('Production Inputs'!$B:$B="TOTAL ACTIVE")*'Production Inputs'!$EH:$EH),0)</f>
        <v>0</v>
      </c>
      <c r="H1383" s="30">
        <f t="shared" si="147"/>
        <v>32.679999999999986</v>
      </c>
      <c r="I1383" s="30">
        <f ca="1">IFERROR(AVERAGEIF(OFFSET(F1383,0,0,MIN(Controls!$B$8,COUNTIF(B1383:B$1973,B1383)),1),"&gt;"&amp;0),0)</f>
        <v>0</v>
      </c>
      <c r="J1383" s="38">
        <f t="shared" ca="1" si="148"/>
        <v>999</v>
      </c>
      <c r="K1383" s="30">
        <f t="shared" ca="1" si="152"/>
        <v>0</v>
      </c>
      <c r="L1383" t="str">
        <f t="shared" ca="1" si="149"/>
        <v>Overstock</v>
      </c>
      <c r="M1383" s="39">
        <f>IFERROR(VLOOKUP("APC",Controls!A:I,7,0),6)</f>
        <v>4</v>
      </c>
      <c r="N1383" s="39">
        <f>IFERROR(VLOOKUP("APC",Controls!A:I,8,0),3)</f>
        <v>3</v>
      </c>
      <c r="O1383" s="39">
        <f>IFERROR(VLOOKUP("APC",Controls!A:I,9,0),18)</f>
        <v>12</v>
      </c>
      <c r="P1383" s="40">
        <f>IFERROR(VLOOKUP("APC",Controls!A:J,5,0),0)</f>
        <v>40</v>
      </c>
      <c r="Q1383" s="39">
        <f>IFERROR(VLOOKUP("APC",Controls!A:J,6,0),3)</f>
        <v>4</v>
      </c>
      <c r="R1383" s="21" t="str">
        <f>IFERROR(VLOOKUP("APC",Controls!A:K,10,0),"")</f>
        <v>ST Pharm</v>
      </c>
      <c r="S1383" s="41">
        <f t="shared" si="150"/>
        <v>49766</v>
      </c>
      <c r="T1383" s="30">
        <f t="shared" si="151"/>
        <v>0</v>
      </c>
      <c r="AB1383">
        <f t="shared" si="153"/>
        <v>86.240000000000009</v>
      </c>
    </row>
    <row r="1384" spans="1:28" ht="13" customHeight="1" x14ac:dyDescent="0.35">
      <c r="A1384" s="153">
        <v>49919</v>
      </c>
      <c r="B1384" s="36" t="s">
        <v>56</v>
      </c>
      <c r="C1384" s="15" t="s">
        <v>52</v>
      </c>
      <c r="D1384" s="15" t="s">
        <v>48</v>
      </c>
      <c r="E1384" s="30">
        <f>H1383</f>
        <v>32.679999999999986</v>
      </c>
      <c r="F1384" s="37">
        <f>IFERROR('Production Inputs'!$EI$37*Dependencies!$D$15,0)</f>
        <v>0</v>
      </c>
      <c r="G1384" s="37">
        <f t="array" ref="G1384">IFERROR(SUMPRODUCT(('Production Inputs'!$A:$A="APC")*('Production Inputs'!$B:$B="TOTAL ACTIVE")*'Production Inputs'!$EI:$EI),0)</f>
        <v>0</v>
      </c>
      <c r="H1384" s="30">
        <f t="shared" si="147"/>
        <v>32.679999999999986</v>
      </c>
      <c r="I1384" s="30">
        <f ca="1">IFERROR(AVERAGEIF(OFFSET(F1384,0,0,MIN(Controls!$B$8,COUNTIF(B1384:B$1973,B1384)),1),"&gt;"&amp;0),0)</f>
        <v>0</v>
      </c>
      <c r="J1384" s="38">
        <f t="shared" ca="1" si="148"/>
        <v>999</v>
      </c>
      <c r="K1384" s="30">
        <f t="shared" ca="1" si="152"/>
        <v>0</v>
      </c>
      <c r="L1384" t="str">
        <f t="shared" ca="1" si="149"/>
        <v>Overstock</v>
      </c>
      <c r="M1384" s="39">
        <f>IFERROR(VLOOKUP("APC",Controls!A:I,7,0),6)</f>
        <v>4</v>
      </c>
      <c r="N1384" s="39">
        <f>IFERROR(VLOOKUP("APC",Controls!A:I,8,0),3)</f>
        <v>3</v>
      </c>
      <c r="O1384" s="39">
        <f>IFERROR(VLOOKUP("APC",Controls!A:I,9,0),18)</f>
        <v>12</v>
      </c>
      <c r="P1384" s="40">
        <f>IFERROR(VLOOKUP("APC",Controls!A:J,5,0),0)</f>
        <v>40</v>
      </c>
      <c r="Q1384" s="39">
        <f>IFERROR(VLOOKUP("APC",Controls!A:J,6,0),3)</f>
        <v>4</v>
      </c>
      <c r="R1384" s="21" t="str">
        <f>IFERROR(VLOOKUP("APC",Controls!A:K,10,0),"")</f>
        <v>ST Pharm</v>
      </c>
      <c r="S1384" s="41">
        <f t="shared" si="150"/>
        <v>49796</v>
      </c>
      <c r="T1384" s="30">
        <f t="shared" si="151"/>
        <v>0</v>
      </c>
      <c r="AB1384">
        <f t="shared" si="153"/>
        <v>86.240000000000009</v>
      </c>
    </row>
    <row r="1385" spans="1:28" ht="13" customHeight="1" x14ac:dyDescent="0.35">
      <c r="A1385" s="153">
        <v>49949</v>
      </c>
      <c r="B1385" s="36" t="s">
        <v>56</v>
      </c>
      <c r="C1385" s="15" t="s">
        <v>52</v>
      </c>
      <c r="D1385" s="15" t="s">
        <v>48</v>
      </c>
      <c r="E1385" s="30">
        <f>H1384</f>
        <v>32.679999999999986</v>
      </c>
      <c r="F1385" s="37">
        <f>IFERROR('Production Inputs'!$EJ$37*Dependencies!$D$15,0)</f>
        <v>0</v>
      </c>
      <c r="G1385" s="37">
        <f t="array" ref="G1385">IFERROR(SUMPRODUCT(('Production Inputs'!$A:$A="APC")*('Production Inputs'!$B:$B="TOTAL ACTIVE")*'Production Inputs'!$EJ:$EJ),0)</f>
        <v>0</v>
      </c>
      <c r="H1385" s="30">
        <f t="shared" si="147"/>
        <v>32.679999999999986</v>
      </c>
      <c r="I1385" s="30">
        <f ca="1">IFERROR(AVERAGEIF(OFFSET(F1385,0,0,MIN(Controls!$B$8,COUNTIF(B1385:B$1973,B1385)),1),"&gt;"&amp;0),0)</f>
        <v>0</v>
      </c>
      <c r="J1385" s="38">
        <f t="shared" ca="1" si="148"/>
        <v>999</v>
      </c>
      <c r="K1385" s="30">
        <f t="shared" ca="1" si="152"/>
        <v>0</v>
      </c>
      <c r="L1385" t="str">
        <f t="shared" ca="1" si="149"/>
        <v>Overstock</v>
      </c>
      <c r="M1385" s="39">
        <f>IFERROR(VLOOKUP("APC",Controls!A:I,7,0),6)</f>
        <v>4</v>
      </c>
      <c r="N1385" s="39">
        <f>IFERROR(VLOOKUP("APC",Controls!A:I,8,0),3)</f>
        <v>3</v>
      </c>
      <c r="O1385" s="39">
        <f>IFERROR(VLOOKUP("APC",Controls!A:I,9,0),18)</f>
        <v>12</v>
      </c>
      <c r="P1385" s="40">
        <f>IFERROR(VLOOKUP("APC",Controls!A:J,5,0),0)</f>
        <v>40</v>
      </c>
      <c r="Q1385" s="39">
        <f>IFERROR(VLOOKUP("APC",Controls!A:J,6,0),3)</f>
        <v>4</v>
      </c>
      <c r="R1385" s="21" t="str">
        <f>IFERROR(VLOOKUP("APC",Controls!A:K,10,0),"")</f>
        <v>ST Pharm</v>
      </c>
      <c r="S1385" s="41">
        <f t="shared" si="150"/>
        <v>49827</v>
      </c>
      <c r="T1385" s="30">
        <f t="shared" si="151"/>
        <v>0</v>
      </c>
      <c r="AB1385">
        <f t="shared" si="153"/>
        <v>86.240000000000009</v>
      </c>
    </row>
    <row r="1386" spans="1:28" ht="13" customHeight="1" x14ac:dyDescent="0.35">
      <c r="A1386" s="153">
        <v>49980</v>
      </c>
      <c r="B1386" s="36" t="s">
        <v>56</v>
      </c>
      <c r="C1386" s="15" t="s">
        <v>52</v>
      </c>
      <c r="D1386" s="15" t="s">
        <v>48</v>
      </c>
      <c r="E1386" s="30">
        <f>H1385</f>
        <v>32.679999999999986</v>
      </c>
      <c r="F1386" s="37">
        <f>IFERROR('Production Inputs'!$EK$37*Dependencies!$D$15,0)</f>
        <v>0</v>
      </c>
      <c r="G1386" s="37">
        <f t="array" ref="G1386">IFERROR(SUMPRODUCT(('Production Inputs'!$A:$A="APC")*('Production Inputs'!$B:$B="TOTAL ACTIVE")*'Production Inputs'!$EK:$EK),0)</f>
        <v>0</v>
      </c>
      <c r="H1386" s="30">
        <f t="shared" si="147"/>
        <v>32.679999999999986</v>
      </c>
      <c r="I1386" s="30">
        <f ca="1">IFERROR(AVERAGEIF(OFFSET(F1386,0,0,MIN(Controls!$B$8,COUNTIF(B1386:B$1973,B1386)),1),"&gt;"&amp;0),0)</f>
        <v>0</v>
      </c>
      <c r="J1386" s="38">
        <f t="shared" ca="1" si="148"/>
        <v>999</v>
      </c>
      <c r="K1386" s="30">
        <f t="shared" ca="1" si="152"/>
        <v>0</v>
      </c>
      <c r="L1386" t="str">
        <f t="shared" ca="1" si="149"/>
        <v>Overstock</v>
      </c>
      <c r="M1386" s="39">
        <f>IFERROR(VLOOKUP("APC",Controls!A:I,7,0),6)</f>
        <v>4</v>
      </c>
      <c r="N1386" s="39">
        <f>IFERROR(VLOOKUP("APC",Controls!A:I,8,0),3)</f>
        <v>3</v>
      </c>
      <c r="O1386" s="39">
        <f>IFERROR(VLOOKUP("APC",Controls!A:I,9,0),18)</f>
        <v>12</v>
      </c>
      <c r="P1386" s="40">
        <f>IFERROR(VLOOKUP("APC",Controls!A:J,5,0),0)</f>
        <v>40</v>
      </c>
      <c r="Q1386" s="39">
        <f>IFERROR(VLOOKUP("APC",Controls!A:J,6,0),3)</f>
        <v>4</v>
      </c>
      <c r="R1386" s="21" t="str">
        <f>IFERROR(VLOOKUP("APC",Controls!A:K,10,0),"")</f>
        <v>ST Pharm</v>
      </c>
      <c r="S1386" s="41">
        <f t="shared" si="150"/>
        <v>49857</v>
      </c>
      <c r="T1386" s="30">
        <f t="shared" si="151"/>
        <v>0</v>
      </c>
      <c r="AB1386">
        <f t="shared" si="153"/>
        <v>86.240000000000009</v>
      </c>
    </row>
    <row r="1387" spans="1:28" ht="13" customHeight="1" x14ac:dyDescent="0.35">
      <c r="A1387" s="153">
        <v>50010</v>
      </c>
      <c r="B1387" s="36" t="s">
        <v>56</v>
      </c>
      <c r="C1387" s="15" t="s">
        <v>52</v>
      </c>
      <c r="D1387" s="15" t="s">
        <v>48</v>
      </c>
      <c r="E1387" s="30">
        <f>H1386</f>
        <v>32.679999999999986</v>
      </c>
      <c r="F1387" s="37">
        <f>IFERROR('Production Inputs'!$EL$37*Dependencies!$D$15,0)</f>
        <v>0</v>
      </c>
      <c r="G1387" s="37">
        <f t="array" ref="G1387">IFERROR(SUMPRODUCT(('Production Inputs'!$A:$A="APC")*('Production Inputs'!$B:$B="TOTAL ACTIVE")*'Production Inputs'!$EL:$EL),0)</f>
        <v>0</v>
      </c>
      <c r="H1387" s="30">
        <f t="shared" si="147"/>
        <v>32.679999999999986</v>
      </c>
      <c r="I1387" s="30">
        <f ca="1">IFERROR(AVERAGEIF(OFFSET(F1387,0,0,MIN(Controls!$B$8,COUNTIF(B1387:B$1973,B1387)),1),"&gt;"&amp;0),0)</f>
        <v>0</v>
      </c>
      <c r="J1387" s="38">
        <f t="shared" ca="1" si="148"/>
        <v>999</v>
      </c>
      <c r="K1387" s="30">
        <f t="shared" ca="1" si="152"/>
        <v>0</v>
      </c>
      <c r="L1387" t="str">
        <f t="shared" ca="1" si="149"/>
        <v>Overstock</v>
      </c>
      <c r="M1387" s="39">
        <f>IFERROR(VLOOKUP("APC",Controls!A:I,7,0),6)</f>
        <v>4</v>
      </c>
      <c r="N1387" s="39">
        <f>IFERROR(VLOOKUP("APC",Controls!A:I,8,0),3)</f>
        <v>3</v>
      </c>
      <c r="O1387" s="39">
        <f>IFERROR(VLOOKUP("APC",Controls!A:I,9,0),18)</f>
        <v>12</v>
      </c>
      <c r="P1387" s="40">
        <f>IFERROR(VLOOKUP("APC",Controls!A:J,5,0),0)</f>
        <v>40</v>
      </c>
      <c r="Q1387" s="39">
        <f>IFERROR(VLOOKUP("APC",Controls!A:J,6,0),3)</f>
        <v>4</v>
      </c>
      <c r="R1387" s="21" t="str">
        <f>IFERROR(VLOOKUP("APC",Controls!A:K,10,0),"")</f>
        <v>ST Pharm</v>
      </c>
      <c r="S1387" s="41">
        <f t="shared" si="150"/>
        <v>49888</v>
      </c>
      <c r="T1387" s="30">
        <f t="shared" si="151"/>
        <v>0</v>
      </c>
      <c r="AB1387">
        <f t="shared" si="153"/>
        <v>86.240000000000009</v>
      </c>
    </row>
    <row r="1388" spans="1:28" ht="13" customHeight="1" x14ac:dyDescent="0.35">
      <c r="A1388" s="153">
        <v>50041</v>
      </c>
      <c r="B1388" s="36" t="s">
        <v>56</v>
      </c>
      <c r="C1388" s="15" t="s">
        <v>52</v>
      </c>
      <c r="D1388" s="15" t="s">
        <v>48</v>
      </c>
      <c r="E1388" s="30">
        <f>H1387</f>
        <v>32.679999999999986</v>
      </c>
      <c r="F1388" s="37">
        <f>IFERROR('Production Inputs'!$EM$37*Dependencies!$D$15,0)</f>
        <v>0</v>
      </c>
      <c r="G1388" s="37">
        <f t="array" ref="G1388">IFERROR(SUMPRODUCT(('Production Inputs'!$A:$A="APC")*('Production Inputs'!$B:$B="TOTAL ACTIVE")*'Production Inputs'!$EM:$EM),0)</f>
        <v>0</v>
      </c>
      <c r="H1388" s="30">
        <f t="shared" si="147"/>
        <v>32.679999999999986</v>
      </c>
      <c r="I1388" s="30">
        <f ca="1">IFERROR(AVERAGEIF(OFFSET(F1388,0,0,MIN(Controls!$B$8,COUNTIF(B1388:B$1973,B1388)),1),"&gt;"&amp;0),0)</f>
        <v>0</v>
      </c>
      <c r="J1388" s="38">
        <f t="shared" ca="1" si="148"/>
        <v>999</v>
      </c>
      <c r="K1388" s="30">
        <f t="shared" ca="1" si="152"/>
        <v>0</v>
      </c>
      <c r="L1388" t="str">
        <f t="shared" ca="1" si="149"/>
        <v>Overstock</v>
      </c>
      <c r="M1388" s="39">
        <f>IFERROR(VLOOKUP("APC",Controls!A:I,7,0),6)</f>
        <v>4</v>
      </c>
      <c r="N1388" s="39">
        <f>IFERROR(VLOOKUP("APC",Controls!A:I,8,0),3)</f>
        <v>3</v>
      </c>
      <c r="O1388" s="39">
        <f>IFERROR(VLOOKUP("APC",Controls!A:I,9,0),18)</f>
        <v>12</v>
      </c>
      <c r="P1388" s="40">
        <f>IFERROR(VLOOKUP("APC",Controls!A:J,5,0),0)</f>
        <v>40</v>
      </c>
      <c r="Q1388" s="39">
        <f>IFERROR(VLOOKUP("APC",Controls!A:J,6,0),3)</f>
        <v>4</v>
      </c>
      <c r="R1388" s="21" t="str">
        <f>IFERROR(VLOOKUP("APC",Controls!A:K,10,0),"")</f>
        <v>ST Pharm</v>
      </c>
      <c r="S1388" s="41">
        <f t="shared" si="150"/>
        <v>49919</v>
      </c>
      <c r="T1388" s="30">
        <f t="shared" si="151"/>
        <v>0</v>
      </c>
      <c r="AB1388">
        <f t="shared" si="153"/>
        <v>86.240000000000009</v>
      </c>
    </row>
    <row r="1389" spans="1:28" ht="13" customHeight="1" x14ac:dyDescent="0.35">
      <c r="A1389" s="153">
        <v>50072</v>
      </c>
      <c r="B1389" s="36" t="s">
        <v>56</v>
      </c>
      <c r="C1389" s="15" t="s">
        <v>52</v>
      </c>
      <c r="D1389" s="15" t="s">
        <v>48</v>
      </c>
      <c r="E1389" s="30">
        <f>H1388</f>
        <v>32.679999999999986</v>
      </c>
      <c r="F1389" s="37">
        <f>IFERROR('Production Inputs'!$EN$37*Dependencies!$D$15,0)</f>
        <v>0</v>
      </c>
      <c r="G1389" s="37">
        <f t="array" ref="G1389">IFERROR(SUMPRODUCT(('Production Inputs'!$A:$A="APC")*('Production Inputs'!$B:$B="TOTAL ACTIVE")*'Production Inputs'!$EN:$EN),0)</f>
        <v>0</v>
      </c>
      <c r="H1389" s="30">
        <f t="shared" si="147"/>
        <v>32.679999999999986</v>
      </c>
      <c r="I1389" s="30">
        <f ca="1">IFERROR(AVERAGEIF(OFFSET(F1389,0,0,MIN(Controls!$B$8,COUNTIF(B1389:B$1973,B1389)),1),"&gt;"&amp;0),0)</f>
        <v>0</v>
      </c>
      <c r="J1389" s="38">
        <f t="shared" ca="1" si="148"/>
        <v>999</v>
      </c>
      <c r="K1389" s="30">
        <f t="shared" ca="1" si="152"/>
        <v>0</v>
      </c>
      <c r="L1389" t="str">
        <f t="shared" ca="1" si="149"/>
        <v>Overstock</v>
      </c>
      <c r="M1389" s="39">
        <f>IFERROR(VLOOKUP("APC",Controls!A:I,7,0),6)</f>
        <v>4</v>
      </c>
      <c r="N1389" s="39">
        <f>IFERROR(VLOOKUP("APC",Controls!A:I,8,0),3)</f>
        <v>3</v>
      </c>
      <c r="O1389" s="39">
        <f>IFERROR(VLOOKUP("APC",Controls!A:I,9,0),18)</f>
        <v>12</v>
      </c>
      <c r="P1389" s="40">
        <f>IFERROR(VLOOKUP("APC",Controls!A:J,5,0),0)</f>
        <v>40</v>
      </c>
      <c r="Q1389" s="39">
        <f>IFERROR(VLOOKUP("APC",Controls!A:J,6,0),3)</f>
        <v>4</v>
      </c>
      <c r="R1389" s="21" t="str">
        <f>IFERROR(VLOOKUP("APC",Controls!A:K,10,0),"")</f>
        <v>ST Pharm</v>
      </c>
      <c r="S1389" s="41">
        <f t="shared" si="150"/>
        <v>49949</v>
      </c>
      <c r="T1389" s="30">
        <f t="shared" si="151"/>
        <v>0</v>
      </c>
      <c r="AB1389">
        <f t="shared" si="153"/>
        <v>86.240000000000009</v>
      </c>
    </row>
    <row r="1390" spans="1:28" ht="13" customHeight="1" x14ac:dyDescent="0.35">
      <c r="A1390" s="153">
        <v>50100</v>
      </c>
      <c r="B1390" s="36" t="s">
        <v>56</v>
      </c>
      <c r="C1390" s="15" t="s">
        <v>52</v>
      </c>
      <c r="D1390" s="15" t="s">
        <v>48</v>
      </c>
      <c r="E1390" s="30">
        <f>H1389</f>
        <v>32.679999999999986</v>
      </c>
      <c r="F1390" s="37">
        <f>IFERROR('Production Inputs'!$EO$37*Dependencies!$D$15,0)</f>
        <v>0</v>
      </c>
      <c r="G1390" s="37">
        <f t="array" ref="G1390">IFERROR(SUMPRODUCT(('Production Inputs'!$A:$A="APC")*('Production Inputs'!$B:$B="TOTAL ACTIVE")*'Production Inputs'!$EO:$EO),0)</f>
        <v>0</v>
      </c>
      <c r="H1390" s="30">
        <f t="shared" si="147"/>
        <v>32.679999999999986</v>
      </c>
      <c r="I1390" s="30">
        <f ca="1">IFERROR(AVERAGEIF(OFFSET(F1390,0,0,MIN(Controls!$B$8,COUNTIF(B1390:B$1973,B1390)),1),"&gt;"&amp;0),0)</f>
        <v>0</v>
      </c>
      <c r="J1390" s="38">
        <f t="shared" ca="1" si="148"/>
        <v>999</v>
      </c>
      <c r="K1390" s="30">
        <f t="shared" ca="1" si="152"/>
        <v>0</v>
      </c>
      <c r="L1390" t="str">
        <f t="shared" ca="1" si="149"/>
        <v>Overstock</v>
      </c>
      <c r="M1390" s="39">
        <f>IFERROR(VLOOKUP("APC",Controls!A:I,7,0),6)</f>
        <v>4</v>
      </c>
      <c r="N1390" s="39">
        <f>IFERROR(VLOOKUP("APC",Controls!A:I,8,0),3)</f>
        <v>3</v>
      </c>
      <c r="O1390" s="39">
        <f>IFERROR(VLOOKUP("APC",Controls!A:I,9,0),18)</f>
        <v>12</v>
      </c>
      <c r="P1390" s="40">
        <f>IFERROR(VLOOKUP("APC",Controls!A:J,5,0),0)</f>
        <v>40</v>
      </c>
      <c r="Q1390" s="39">
        <f>IFERROR(VLOOKUP("APC",Controls!A:J,6,0),3)</f>
        <v>4</v>
      </c>
      <c r="R1390" s="21" t="str">
        <f>IFERROR(VLOOKUP("APC",Controls!A:K,10,0),"")</f>
        <v>ST Pharm</v>
      </c>
      <c r="S1390" s="41">
        <f t="shared" si="150"/>
        <v>49980</v>
      </c>
      <c r="T1390" s="30">
        <f t="shared" si="151"/>
        <v>0</v>
      </c>
      <c r="AB1390">
        <f t="shared" si="153"/>
        <v>86.240000000000009</v>
      </c>
    </row>
    <row r="1391" spans="1:28" ht="13" customHeight="1" x14ac:dyDescent="0.35">
      <c r="A1391" s="153">
        <v>50131</v>
      </c>
      <c r="B1391" s="36" t="s">
        <v>56</v>
      </c>
      <c r="C1391" s="15" t="s">
        <v>52</v>
      </c>
      <c r="D1391" s="15" t="s">
        <v>48</v>
      </c>
      <c r="E1391" s="30">
        <f>H1390</f>
        <v>32.679999999999986</v>
      </c>
      <c r="F1391" s="37">
        <f>IFERROR('Production Inputs'!$EP$37*Dependencies!$D$15,0)</f>
        <v>0</v>
      </c>
      <c r="G1391" s="37">
        <f t="array" ref="G1391">IFERROR(SUMPRODUCT(('Production Inputs'!$A:$A="APC")*('Production Inputs'!$B:$B="TOTAL ACTIVE")*'Production Inputs'!$EP:$EP),0)</f>
        <v>0</v>
      </c>
      <c r="H1391" s="30">
        <f t="shared" si="147"/>
        <v>32.679999999999986</v>
      </c>
      <c r="I1391" s="30">
        <f ca="1">IFERROR(AVERAGEIF(OFFSET(F1391,0,0,MIN(Controls!$B$8,COUNTIF(B1391:B$1973,B1391)),1),"&gt;"&amp;0),0)</f>
        <v>0</v>
      </c>
      <c r="J1391" s="38">
        <f t="shared" ca="1" si="148"/>
        <v>999</v>
      </c>
      <c r="K1391" s="30">
        <f t="shared" ca="1" si="152"/>
        <v>0</v>
      </c>
      <c r="L1391" t="str">
        <f t="shared" ca="1" si="149"/>
        <v>Overstock</v>
      </c>
      <c r="M1391" s="39">
        <f>IFERROR(VLOOKUP("APC",Controls!A:I,7,0),6)</f>
        <v>4</v>
      </c>
      <c r="N1391" s="39">
        <f>IFERROR(VLOOKUP("APC",Controls!A:I,8,0),3)</f>
        <v>3</v>
      </c>
      <c r="O1391" s="39">
        <f>IFERROR(VLOOKUP("APC",Controls!A:I,9,0),18)</f>
        <v>12</v>
      </c>
      <c r="P1391" s="40">
        <f>IFERROR(VLOOKUP("APC",Controls!A:J,5,0),0)</f>
        <v>40</v>
      </c>
      <c r="Q1391" s="39">
        <f>IFERROR(VLOOKUP("APC",Controls!A:J,6,0),3)</f>
        <v>4</v>
      </c>
      <c r="R1391" s="21" t="str">
        <f>IFERROR(VLOOKUP("APC",Controls!A:K,10,0),"")</f>
        <v>ST Pharm</v>
      </c>
      <c r="S1391" s="41">
        <f t="shared" si="150"/>
        <v>50010</v>
      </c>
      <c r="T1391" s="30">
        <f t="shared" si="151"/>
        <v>0</v>
      </c>
      <c r="AB1391">
        <f t="shared" si="153"/>
        <v>86.240000000000009</v>
      </c>
    </row>
    <row r="1392" spans="1:28" ht="13" customHeight="1" x14ac:dyDescent="0.35">
      <c r="A1392" s="153">
        <v>50161</v>
      </c>
      <c r="B1392" s="36" t="s">
        <v>56</v>
      </c>
      <c r="C1392" s="15" t="s">
        <v>52</v>
      </c>
      <c r="D1392" s="15" t="s">
        <v>48</v>
      </c>
      <c r="E1392" s="30">
        <f>H1391</f>
        <v>32.679999999999986</v>
      </c>
      <c r="F1392" s="37">
        <f>IFERROR('Production Inputs'!$EQ$37*Dependencies!$D$15,0)</f>
        <v>0</v>
      </c>
      <c r="G1392" s="37">
        <f t="array" ref="G1392">IFERROR(SUMPRODUCT(('Production Inputs'!$A:$A="APC")*('Production Inputs'!$B:$B="TOTAL ACTIVE")*'Production Inputs'!$EQ:$EQ),0)</f>
        <v>0</v>
      </c>
      <c r="H1392" s="30">
        <f t="shared" si="147"/>
        <v>32.679999999999986</v>
      </c>
      <c r="I1392" s="30">
        <f ca="1">IFERROR(AVERAGEIF(OFFSET(F1392,0,0,MIN(Controls!$B$8,COUNTIF(B1392:B$1973,B1392)),1),"&gt;"&amp;0),0)</f>
        <v>0</v>
      </c>
      <c r="J1392" s="38">
        <f t="shared" ca="1" si="148"/>
        <v>999</v>
      </c>
      <c r="K1392" s="30">
        <f t="shared" ca="1" si="152"/>
        <v>0</v>
      </c>
      <c r="L1392" t="str">
        <f t="shared" ca="1" si="149"/>
        <v>Overstock</v>
      </c>
      <c r="M1392" s="39">
        <f>IFERROR(VLOOKUP("APC",Controls!A:I,7,0),6)</f>
        <v>4</v>
      </c>
      <c r="N1392" s="39">
        <f>IFERROR(VLOOKUP("APC",Controls!A:I,8,0),3)</f>
        <v>3</v>
      </c>
      <c r="O1392" s="39">
        <f>IFERROR(VLOOKUP("APC",Controls!A:I,9,0),18)</f>
        <v>12</v>
      </c>
      <c r="P1392" s="40">
        <f>IFERROR(VLOOKUP("APC",Controls!A:J,5,0),0)</f>
        <v>40</v>
      </c>
      <c r="Q1392" s="39">
        <f>IFERROR(VLOOKUP("APC",Controls!A:J,6,0),3)</f>
        <v>4</v>
      </c>
      <c r="R1392" s="21" t="str">
        <f>IFERROR(VLOOKUP("APC",Controls!A:K,10,0),"")</f>
        <v>ST Pharm</v>
      </c>
      <c r="S1392" s="41">
        <f t="shared" si="150"/>
        <v>50041</v>
      </c>
      <c r="T1392" s="30">
        <f t="shared" si="151"/>
        <v>0</v>
      </c>
      <c r="AB1392">
        <f t="shared" si="153"/>
        <v>86.240000000000009</v>
      </c>
    </row>
    <row r="1393" spans="1:28" ht="13" customHeight="1" x14ac:dyDescent="0.35">
      <c r="A1393" s="153">
        <v>50192</v>
      </c>
      <c r="B1393" s="36" t="s">
        <v>56</v>
      </c>
      <c r="C1393" s="15" t="s">
        <v>52</v>
      </c>
      <c r="D1393" s="15" t="s">
        <v>48</v>
      </c>
      <c r="E1393" s="30">
        <f>H1392</f>
        <v>32.679999999999986</v>
      </c>
      <c r="F1393" s="37">
        <f>IFERROR('Production Inputs'!$ER$37*Dependencies!$D$15,0)</f>
        <v>0</v>
      </c>
      <c r="G1393" s="37">
        <f t="array" ref="G1393">IFERROR(SUMPRODUCT(('Production Inputs'!$A:$A="APC")*('Production Inputs'!$B:$B="TOTAL ACTIVE")*'Production Inputs'!$ER:$ER),0)</f>
        <v>0</v>
      </c>
      <c r="H1393" s="30">
        <f t="shared" si="147"/>
        <v>32.679999999999986</v>
      </c>
      <c r="I1393" s="30">
        <f ca="1">IFERROR(AVERAGEIF(OFFSET(F1393,0,0,MIN(Controls!$B$8,COUNTIF(B1393:B$1973,B1393)),1),"&gt;"&amp;0),0)</f>
        <v>0</v>
      </c>
      <c r="J1393" s="38">
        <f t="shared" ca="1" si="148"/>
        <v>999</v>
      </c>
      <c r="K1393" s="30">
        <f t="shared" ca="1" si="152"/>
        <v>0</v>
      </c>
      <c r="L1393" t="str">
        <f t="shared" ca="1" si="149"/>
        <v>Overstock</v>
      </c>
      <c r="M1393" s="39">
        <f>IFERROR(VLOOKUP("APC",Controls!A:I,7,0),6)</f>
        <v>4</v>
      </c>
      <c r="N1393" s="39">
        <f>IFERROR(VLOOKUP("APC",Controls!A:I,8,0),3)</f>
        <v>3</v>
      </c>
      <c r="O1393" s="39">
        <f>IFERROR(VLOOKUP("APC",Controls!A:I,9,0),18)</f>
        <v>12</v>
      </c>
      <c r="P1393" s="40">
        <f>IFERROR(VLOOKUP("APC",Controls!A:J,5,0),0)</f>
        <v>40</v>
      </c>
      <c r="Q1393" s="39">
        <f>IFERROR(VLOOKUP("APC",Controls!A:J,6,0),3)</f>
        <v>4</v>
      </c>
      <c r="R1393" s="21" t="str">
        <f>IFERROR(VLOOKUP("APC",Controls!A:K,10,0),"")</f>
        <v>ST Pharm</v>
      </c>
      <c r="S1393" s="41">
        <f t="shared" si="150"/>
        <v>50072</v>
      </c>
      <c r="T1393" s="30">
        <f t="shared" si="151"/>
        <v>0</v>
      </c>
      <c r="AB1393">
        <f t="shared" si="153"/>
        <v>86.240000000000009</v>
      </c>
    </row>
    <row r="1394" spans="1:28" ht="13" customHeight="1" x14ac:dyDescent="0.35">
      <c r="A1394" s="153">
        <v>50222</v>
      </c>
      <c r="B1394" s="36" t="s">
        <v>56</v>
      </c>
      <c r="C1394" s="15" t="s">
        <v>52</v>
      </c>
      <c r="D1394" s="15" t="s">
        <v>48</v>
      </c>
      <c r="E1394" s="30">
        <f>H1393</f>
        <v>32.679999999999986</v>
      </c>
      <c r="F1394" s="37">
        <f>IFERROR('Production Inputs'!$ES$37*Dependencies!$D$15,0)</f>
        <v>0</v>
      </c>
      <c r="G1394" s="37">
        <f t="array" ref="G1394">IFERROR(SUMPRODUCT(('Production Inputs'!$A:$A="APC")*('Production Inputs'!$B:$B="TOTAL ACTIVE")*'Production Inputs'!$ES:$ES),0)</f>
        <v>0</v>
      </c>
      <c r="H1394" s="30">
        <f t="shared" si="147"/>
        <v>32.679999999999986</v>
      </c>
      <c r="I1394" s="30">
        <f ca="1">IFERROR(AVERAGEIF(OFFSET(F1394,0,0,MIN(Controls!$B$8,COUNTIF(B1394:B$1973,B1394)),1),"&gt;"&amp;0),0)</f>
        <v>0</v>
      </c>
      <c r="J1394" s="38">
        <f t="shared" ca="1" si="148"/>
        <v>999</v>
      </c>
      <c r="K1394" s="30">
        <f t="shared" ca="1" si="152"/>
        <v>0</v>
      </c>
      <c r="L1394" t="str">
        <f t="shared" ca="1" si="149"/>
        <v>Overstock</v>
      </c>
      <c r="M1394" s="39">
        <f>IFERROR(VLOOKUP("APC",Controls!A:I,7,0),6)</f>
        <v>4</v>
      </c>
      <c r="N1394" s="39">
        <f>IFERROR(VLOOKUP("APC",Controls!A:I,8,0),3)</f>
        <v>3</v>
      </c>
      <c r="O1394" s="39">
        <f>IFERROR(VLOOKUP("APC",Controls!A:I,9,0),18)</f>
        <v>12</v>
      </c>
      <c r="P1394" s="40">
        <f>IFERROR(VLOOKUP("APC",Controls!A:J,5,0),0)</f>
        <v>40</v>
      </c>
      <c r="Q1394" s="39">
        <f>IFERROR(VLOOKUP("APC",Controls!A:J,6,0),3)</f>
        <v>4</v>
      </c>
      <c r="R1394" s="21" t="str">
        <f>IFERROR(VLOOKUP("APC",Controls!A:K,10,0),"")</f>
        <v>ST Pharm</v>
      </c>
      <c r="S1394" s="41">
        <f t="shared" si="150"/>
        <v>50100</v>
      </c>
      <c r="T1394" s="30">
        <f t="shared" si="151"/>
        <v>0</v>
      </c>
      <c r="AB1394">
        <f t="shared" si="153"/>
        <v>86.240000000000009</v>
      </c>
    </row>
    <row r="1395" spans="1:28" ht="13" customHeight="1" x14ac:dyDescent="0.35">
      <c r="A1395" s="153">
        <v>50253</v>
      </c>
      <c r="B1395" s="36" t="s">
        <v>56</v>
      </c>
      <c r="C1395" s="15" t="s">
        <v>52</v>
      </c>
      <c r="D1395" s="15" t="s">
        <v>48</v>
      </c>
      <c r="E1395" s="30">
        <f>H1394</f>
        <v>32.679999999999986</v>
      </c>
      <c r="F1395" s="37">
        <f>IFERROR('Production Inputs'!$ET$37*Dependencies!$D$15,0)</f>
        <v>0</v>
      </c>
      <c r="G1395" s="37">
        <f t="array" ref="G1395">IFERROR(SUMPRODUCT(('Production Inputs'!$A:$A="APC")*('Production Inputs'!$B:$B="TOTAL ACTIVE")*'Production Inputs'!$ET:$ET),0)</f>
        <v>0</v>
      </c>
      <c r="H1395" s="30">
        <f t="shared" si="147"/>
        <v>32.679999999999986</v>
      </c>
      <c r="I1395" s="30">
        <f ca="1">IFERROR(AVERAGEIF(OFFSET(F1395,0,0,MIN(Controls!$B$8,COUNTIF(B1395:B$1973,B1395)),1),"&gt;"&amp;0),0)</f>
        <v>0</v>
      </c>
      <c r="J1395" s="38">
        <f t="shared" ca="1" si="148"/>
        <v>999</v>
      </c>
      <c r="K1395" s="30">
        <f t="shared" ca="1" si="152"/>
        <v>0</v>
      </c>
      <c r="L1395" t="str">
        <f t="shared" ca="1" si="149"/>
        <v>Overstock</v>
      </c>
      <c r="M1395" s="39">
        <f>IFERROR(VLOOKUP("APC",Controls!A:I,7,0),6)</f>
        <v>4</v>
      </c>
      <c r="N1395" s="39">
        <f>IFERROR(VLOOKUP("APC",Controls!A:I,8,0),3)</f>
        <v>3</v>
      </c>
      <c r="O1395" s="39">
        <f>IFERROR(VLOOKUP("APC",Controls!A:I,9,0),18)</f>
        <v>12</v>
      </c>
      <c r="P1395" s="40">
        <f>IFERROR(VLOOKUP("APC",Controls!A:J,5,0),0)</f>
        <v>40</v>
      </c>
      <c r="Q1395" s="39">
        <f>IFERROR(VLOOKUP("APC",Controls!A:J,6,0),3)</f>
        <v>4</v>
      </c>
      <c r="R1395" s="21" t="str">
        <f>IFERROR(VLOOKUP("APC",Controls!A:K,10,0),"")</f>
        <v>ST Pharm</v>
      </c>
      <c r="S1395" s="41">
        <f t="shared" si="150"/>
        <v>50131</v>
      </c>
      <c r="T1395" s="30">
        <f t="shared" si="151"/>
        <v>0</v>
      </c>
      <c r="AB1395">
        <f t="shared" si="153"/>
        <v>86.240000000000009</v>
      </c>
    </row>
    <row r="1396" spans="1:28" ht="13" customHeight="1" x14ac:dyDescent="0.35">
      <c r="A1396" s="153">
        <v>50284</v>
      </c>
      <c r="B1396" s="36" t="s">
        <v>56</v>
      </c>
      <c r="C1396" s="15" t="s">
        <v>52</v>
      </c>
      <c r="D1396" s="15" t="s">
        <v>48</v>
      </c>
      <c r="E1396" s="30">
        <f>H1395</f>
        <v>32.679999999999986</v>
      </c>
      <c r="F1396" s="37">
        <f>IFERROR('Production Inputs'!$EU$37*Dependencies!$D$15,0)</f>
        <v>0</v>
      </c>
      <c r="G1396" s="37">
        <f t="array" ref="G1396">IFERROR(SUMPRODUCT(('Production Inputs'!$A:$A="APC")*('Production Inputs'!$B:$B="TOTAL ACTIVE")*'Production Inputs'!$EU:$EU),0)</f>
        <v>0</v>
      </c>
      <c r="H1396" s="30">
        <f t="shared" si="147"/>
        <v>32.679999999999986</v>
      </c>
      <c r="I1396" s="30">
        <f ca="1">IFERROR(AVERAGEIF(OFFSET(F1396,0,0,MIN(Controls!$B$8,COUNTIF(B1396:B$1973,B1396)),1),"&gt;"&amp;0),0)</f>
        <v>0</v>
      </c>
      <c r="J1396" s="38">
        <f t="shared" ca="1" si="148"/>
        <v>999</v>
      </c>
      <c r="K1396" s="30">
        <f t="shared" ca="1" si="152"/>
        <v>0</v>
      </c>
      <c r="L1396" t="str">
        <f t="shared" ca="1" si="149"/>
        <v>Overstock</v>
      </c>
      <c r="M1396" s="39">
        <f>IFERROR(VLOOKUP("APC",Controls!A:I,7,0),6)</f>
        <v>4</v>
      </c>
      <c r="N1396" s="39">
        <f>IFERROR(VLOOKUP("APC",Controls!A:I,8,0),3)</f>
        <v>3</v>
      </c>
      <c r="O1396" s="39">
        <f>IFERROR(VLOOKUP("APC",Controls!A:I,9,0),18)</f>
        <v>12</v>
      </c>
      <c r="P1396" s="40">
        <f>IFERROR(VLOOKUP("APC",Controls!A:J,5,0),0)</f>
        <v>40</v>
      </c>
      <c r="Q1396" s="39">
        <f>IFERROR(VLOOKUP("APC",Controls!A:J,6,0),3)</f>
        <v>4</v>
      </c>
      <c r="R1396" s="21" t="str">
        <f>IFERROR(VLOOKUP("APC",Controls!A:K,10,0),"")</f>
        <v>ST Pharm</v>
      </c>
      <c r="S1396" s="41">
        <f t="shared" si="150"/>
        <v>50161</v>
      </c>
      <c r="T1396" s="30">
        <f t="shared" si="151"/>
        <v>0</v>
      </c>
      <c r="AB1396">
        <f t="shared" si="153"/>
        <v>86.240000000000009</v>
      </c>
    </row>
    <row r="1397" spans="1:28" ht="13" customHeight="1" x14ac:dyDescent="0.35">
      <c r="A1397" s="153">
        <v>50314</v>
      </c>
      <c r="B1397" s="36" t="s">
        <v>56</v>
      </c>
      <c r="C1397" s="15" t="s">
        <v>52</v>
      </c>
      <c r="D1397" s="15" t="s">
        <v>48</v>
      </c>
      <c r="E1397" s="30">
        <f>H1396</f>
        <v>32.679999999999986</v>
      </c>
      <c r="F1397" s="37">
        <f>IFERROR('Production Inputs'!$EV$37*Dependencies!$D$15,0)</f>
        <v>0</v>
      </c>
      <c r="G1397" s="37">
        <f t="array" ref="G1397">IFERROR(SUMPRODUCT(('Production Inputs'!$A:$A="APC")*('Production Inputs'!$B:$B="TOTAL ACTIVE")*'Production Inputs'!$EV:$EV),0)</f>
        <v>0</v>
      </c>
      <c r="H1397" s="30">
        <f t="shared" si="147"/>
        <v>32.679999999999986</v>
      </c>
      <c r="I1397" s="30">
        <f ca="1">IFERROR(AVERAGEIF(OFFSET(F1397,0,0,MIN(Controls!$B$8,COUNTIF(B1397:B$1973,B1397)),1),"&gt;"&amp;0),0)</f>
        <v>0</v>
      </c>
      <c r="J1397" s="38">
        <f t="shared" ca="1" si="148"/>
        <v>999</v>
      </c>
      <c r="K1397" s="30">
        <f t="shared" ca="1" si="152"/>
        <v>0</v>
      </c>
      <c r="L1397" t="str">
        <f t="shared" ca="1" si="149"/>
        <v>Overstock</v>
      </c>
      <c r="M1397" s="39">
        <f>IFERROR(VLOOKUP("APC",Controls!A:I,7,0),6)</f>
        <v>4</v>
      </c>
      <c r="N1397" s="39">
        <f>IFERROR(VLOOKUP("APC",Controls!A:I,8,0),3)</f>
        <v>3</v>
      </c>
      <c r="O1397" s="39">
        <f>IFERROR(VLOOKUP("APC",Controls!A:I,9,0),18)</f>
        <v>12</v>
      </c>
      <c r="P1397" s="40">
        <f>IFERROR(VLOOKUP("APC",Controls!A:J,5,0),0)</f>
        <v>40</v>
      </c>
      <c r="Q1397" s="39">
        <f>IFERROR(VLOOKUP("APC",Controls!A:J,6,0),3)</f>
        <v>4</v>
      </c>
      <c r="R1397" s="21" t="str">
        <f>IFERROR(VLOOKUP("APC",Controls!A:K,10,0),"")</f>
        <v>ST Pharm</v>
      </c>
      <c r="S1397" s="41">
        <f t="shared" si="150"/>
        <v>50192</v>
      </c>
      <c r="T1397" s="30">
        <f t="shared" si="151"/>
        <v>0</v>
      </c>
      <c r="AB1397">
        <f t="shared" si="153"/>
        <v>86.240000000000009</v>
      </c>
    </row>
    <row r="1398" spans="1:28" ht="13" customHeight="1" x14ac:dyDescent="0.35">
      <c r="A1398" s="153">
        <v>50345</v>
      </c>
      <c r="B1398" s="36" t="s">
        <v>56</v>
      </c>
      <c r="C1398" s="15" t="s">
        <v>52</v>
      </c>
      <c r="D1398" s="15" t="s">
        <v>48</v>
      </c>
      <c r="E1398" s="30">
        <f>H1397</f>
        <v>32.679999999999986</v>
      </c>
      <c r="F1398" s="37">
        <f>IFERROR('Production Inputs'!$EW$37*Dependencies!$D$15,0)</f>
        <v>0</v>
      </c>
      <c r="G1398" s="37">
        <f t="array" ref="G1398">IFERROR(SUMPRODUCT(('Production Inputs'!$A:$A="APC")*('Production Inputs'!$B:$B="TOTAL ACTIVE")*'Production Inputs'!$EW:$EW),0)</f>
        <v>0</v>
      </c>
      <c r="H1398" s="30">
        <f t="shared" si="147"/>
        <v>32.679999999999986</v>
      </c>
      <c r="I1398" s="30">
        <f ca="1">IFERROR(AVERAGEIF(OFFSET(F1398,0,0,MIN(Controls!$B$8,COUNTIF(B1398:B$1973,B1398)),1),"&gt;"&amp;0),0)</f>
        <v>0</v>
      </c>
      <c r="J1398" s="38">
        <f t="shared" ca="1" si="148"/>
        <v>999</v>
      </c>
      <c r="K1398" s="30">
        <f t="shared" ca="1" si="152"/>
        <v>0</v>
      </c>
      <c r="L1398" t="str">
        <f t="shared" ca="1" si="149"/>
        <v>Overstock</v>
      </c>
      <c r="M1398" s="39">
        <f>IFERROR(VLOOKUP("APC",Controls!A:I,7,0),6)</f>
        <v>4</v>
      </c>
      <c r="N1398" s="39">
        <f>IFERROR(VLOOKUP("APC",Controls!A:I,8,0),3)</f>
        <v>3</v>
      </c>
      <c r="O1398" s="39">
        <f>IFERROR(VLOOKUP("APC",Controls!A:I,9,0),18)</f>
        <v>12</v>
      </c>
      <c r="P1398" s="40">
        <f>IFERROR(VLOOKUP("APC",Controls!A:J,5,0),0)</f>
        <v>40</v>
      </c>
      <c r="Q1398" s="39">
        <f>IFERROR(VLOOKUP("APC",Controls!A:J,6,0),3)</f>
        <v>4</v>
      </c>
      <c r="R1398" s="21" t="str">
        <f>IFERROR(VLOOKUP("APC",Controls!A:K,10,0),"")</f>
        <v>ST Pharm</v>
      </c>
      <c r="S1398" s="41">
        <f t="shared" si="150"/>
        <v>50222</v>
      </c>
      <c r="T1398" s="30">
        <f t="shared" si="151"/>
        <v>0</v>
      </c>
      <c r="AB1398">
        <f t="shared" si="153"/>
        <v>86.240000000000009</v>
      </c>
    </row>
    <row r="1399" spans="1:28" ht="13" customHeight="1" x14ac:dyDescent="0.35">
      <c r="A1399" s="153">
        <v>50375</v>
      </c>
      <c r="B1399" s="36" t="s">
        <v>56</v>
      </c>
      <c r="C1399" s="15" t="s">
        <v>52</v>
      </c>
      <c r="D1399" s="15" t="s">
        <v>48</v>
      </c>
      <c r="E1399" s="30">
        <f>H1398</f>
        <v>32.679999999999986</v>
      </c>
      <c r="F1399" s="37">
        <f>IFERROR('Production Inputs'!$EX$37*Dependencies!$D$15,0)</f>
        <v>0</v>
      </c>
      <c r="G1399" s="37">
        <f t="array" ref="G1399">IFERROR(SUMPRODUCT(('Production Inputs'!$A:$A="APC")*('Production Inputs'!$B:$B="TOTAL ACTIVE")*'Production Inputs'!$EX:$EX),0)</f>
        <v>0</v>
      </c>
      <c r="H1399" s="30">
        <f t="shared" si="147"/>
        <v>32.679999999999986</v>
      </c>
      <c r="I1399" s="30">
        <f ca="1">IFERROR(AVERAGEIF(OFFSET(F1399,0,0,MIN(Controls!$B$8,COUNTIF(B1399:B$1973,B1399)),1),"&gt;"&amp;0),0)</f>
        <v>0</v>
      </c>
      <c r="J1399" s="38">
        <f t="shared" ca="1" si="148"/>
        <v>999</v>
      </c>
      <c r="K1399" s="30">
        <f t="shared" ca="1" si="152"/>
        <v>0</v>
      </c>
      <c r="L1399" t="str">
        <f t="shared" ca="1" si="149"/>
        <v>Overstock</v>
      </c>
      <c r="M1399" s="39">
        <f>IFERROR(VLOOKUP("APC",Controls!A:I,7,0),6)</f>
        <v>4</v>
      </c>
      <c r="N1399" s="39">
        <f>IFERROR(VLOOKUP("APC",Controls!A:I,8,0),3)</f>
        <v>3</v>
      </c>
      <c r="O1399" s="39">
        <f>IFERROR(VLOOKUP("APC",Controls!A:I,9,0),18)</f>
        <v>12</v>
      </c>
      <c r="P1399" s="40">
        <f>IFERROR(VLOOKUP("APC",Controls!A:J,5,0),0)</f>
        <v>40</v>
      </c>
      <c r="Q1399" s="39">
        <f>IFERROR(VLOOKUP("APC",Controls!A:J,6,0),3)</f>
        <v>4</v>
      </c>
      <c r="R1399" s="21" t="str">
        <f>IFERROR(VLOOKUP("APC",Controls!A:K,10,0),"")</f>
        <v>ST Pharm</v>
      </c>
      <c r="S1399" s="41">
        <f t="shared" si="150"/>
        <v>50253</v>
      </c>
      <c r="T1399" s="30">
        <f t="shared" si="151"/>
        <v>0</v>
      </c>
      <c r="AB1399">
        <f t="shared" si="153"/>
        <v>86.240000000000009</v>
      </c>
    </row>
    <row r="1400" spans="1:28" ht="13" customHeight="1" x14ac:dyDescent="0.35">
      <c r="A1400" s="153">
        <v>50406</v>
      </c>
      <c r="B1400" s="36" t="s">
        <v>56</v>
      </c>
      <c r="C1400" s="15" t="s">
        <v>52</v>
      </c>
      <c r="D1400" s="15" t="s">
        <v>48</v>
      </c>
      <c r="E1400" s="30">
        <f>H1399</f>
        <v>32.679999999999986</v>
      </c>
      <c r="F1400" s="37">
        <f>IFERROR('Production Inputs'!$EY$37*Dependencies!$D$15,0)</f>
        <v>0</v>
      </c>
      <c r="G1400" s="37">
        <f t="array" ref="G1400">IFERROR(SUMPRODUCT(('Production Inputs'!$A:$A="APC")*('Production Inputs'!$B:$B="TOTAL ACTIVE")*'Production Inputs'!$EY:$EY),0)</f>
        <v>0</v>
      </c>
      <c r="H1400" s="30">
        <f t="shared" si="147"/>
        <v>32.679999999999986</v>
      </c>
      <c r="I1400" s="30">
        <f ca="1">IFERROR(AVERAGEIF(OFFSET(F1400,0,0,MIN(Controls!$B$8,COUNTIF(B1400:B$1973,B1400)),1),"&gt;"&amp;0),0)</f>
        <v>0</v>
      </c>
      <c r="J1400" s="38">
        <f t="shared" ca="1" si="148"/>
        <v>999</v>
      </c>
      <c r="K1400" s="30">
        <f t="shared" ca="1" si="152"/>
        <v>0</v>
      </c>
      <c r="L1400" t="str">
        <f t="shared" ca="1" si="149"/>
        <v>Overstock</v>
      </c>
      <c r="M1400" s="39">
        <f>IFERROR(VLOOKUP("APC",Controls!A:I,7,0),6)</f>
        <v>4</v>
      </c>
      <c r="N1400" s="39">
        <f>IFERROR(VLOOKUP("APC",Controls!A:I,8,0),3)</f>
        <v>3</v>
      </c>
      <c r="O1400" s="39">
        <f>IFERROR(VLOOKUP("APC",Controls!A:I,9,0),18)</f>
        <v>12</v>
      </c>
      <c r="P1400" s="40">
        <f>IFERROR(VLOOKUP("APC",Controls!A:J,5,0),0)</f>
        <v>40</v>
      </c>
      <c r="Q1400" s="39">
        <f>IFERROR(VLOOKUP("APC",Controls!A:J,6,0),3)</f>
        <v>4</v>
      </c>
      <c r="R1400" s="21" t="str">
        <f>IFERROR(VLOOKUP("APC",Controls!A:K,10,0),"")</f>
        <v>ST Pharm</v>
      </c>
      <c r="S1400" s="41">
        <f t="shared" si="150"/>
        <v>50284</v>
      </c>
      <c r="T1400" s="30">
        <f t="shared" si="151"/>
        <v>0</v>
      </c>
      <c r="AB1400">
        <f t="shared" si="153"/>
        <v>86.240000000000009</v>
      </c>
    </row>
    <row r="1401" spans="1:28" ht="13" customHeight="1" x14ac:dyDescent="0.35">
      <c r="A1401" s="153">
        <v>50437</v>
      </c>
      <c r="B1401" s="36" t="s">
        <v>56</v>
      </c>
      <c r="C1401" s="15" t="s">
        <v>52</v>
      </c>
      <c r="D1401" s="15" t="s">
        <v>48</v>
      </c>
      <c r="E1401" s="30">
        <f>H1400</f>
        <v>32.679999999999986</v>
      </c>
      <c r="F1401" s="37">
        <f>IFERROR('Production Inputs'!$EZ$37*Dependencies!$D$15,0)</f>
        <v>0</v>
      </c>
      <c r="G1401" s="37">
        <f t="array" ref="G1401">IFERROR(SUMPRODUCT(('Production Inputs'!$A:$A="APC")*('Production Inputs'!$B:$B="TOTAL ACTIVE")*'Production Inputs'!$EZ:$EZ),0)</f>
        <v>0</v>
      </c>
      <c r="H1401" s="30">
        <f t="shared" si="147"/>
        <v>32.679999999999986</v>
      </c>
      <c r="I1401" s="30">
        <f ca="1">IFERROR(AVERAGEIF(OFFSET(F1401,0,0,MIN(Controls!$B$8,COUNTIF(B1401:B$1973,B1401)),1),"&gt;"&amp;0),0)</f>
        <v>0</v>
      </c>
      <c r="J1401" s="38">
        <f t="shared" ca="1" si="148"/>
        <v>999</v>
      </c>
      <c r="K1401" s="30">
        <f t="shared" ca="1" si="152"/>
        <v>0</v>
      </c>
      <c r="L1401" t="str">
        <f t="shared" ca="1" si="149"/>
        <v>Overstock</v>
      </c>
      <c r="M1401" s="39">
        <f>IFERROR(VLOOKUP("APC",Controls!A:I,7,0),6)</f>
        <v>4</v>
      </c>
      <c r="N1401" s="39">
        <f>IFERROR(VLOOKUP("APC",Controls!A:I,8,0),3)</f>
        <v>3</v>
      </c>
      <c r="O1401" s="39">
        <f>IFERROR(VLOOKUP("APC",Controls!A:I,9,0),18)</f>
        <v>12</v>
      </c>
      <c r="P1401" s="40">
        <f>IFERROR(VLOOKUP("APC",Controls!A:J,5,0),0)</f>
        <v>40</v>
      </c>
      <c r="Q1401" s="39">
        <f>IFERROR(VLOOKUP("APC",Controls!A:J,6,0),3)</f>
        <v>4</v>
      </c>
      <c r="R1401" s="21" t="str">
        <f>IFERROR(VLOOKUP("APC",Controls!A:K,10,0),"")</f>
        <v>ST Pharm</v>
      </c>
      <c r="S1401" s="41">
        <f t="shared" si="150"/>
        <v>50314</v>
      </c>
      <c r="T1401" s="30">
        <f t="shared" si="151"/>
        <v>0</v>
      </c>
      <c r="AB1401">
        <f t="shared" si="153"/>
        <v>86.240000000000009</v>
      </c>
    </row>
    <row r="1402" spans="1:28" ht="13" customHeight="1" x14ac:dyDescent="0.35">
      <c r="A1402" s="153">
        <v>50465</v>
      </c>
      <c r="B1402" s="36" t="s">
        <v>56</v>
      </c>
      <c r="C1402" s="15" t="s">
        <v>52</v>
      </c>
      <c r="D1402" s="15" t="s">
        <v>48</v>
      </c>
      <c r="E1402" s="30">
        <f>H1401</f>
        <v>32.679999999999986</v>
      </c>
      <c r="F1402" s="37">
        <f>IFERROR('Production Inputs'!$FA$37*Dependencies!$D$15,0)</f>
        <v>0</v>
      </c>
      <c r="G1402" s="37">
        <f t="array" ref="G1402">IFERROR(SUMPRODUCT(('Production Inputs'!$A:$A="APC")*('Production Inputs'!$B:$B="TOTAL ACTIVE")*'Production Inputs'!$FA:$FA),0)</f>
        <v>0</v>
      </c>
      <c r="H1402" s="30">
        <f t="shared" si="147"/>
        <v>32.679999999999986</v>
      </c>
      <c r="I1402" s="30">
        <f ca="1">IFERROR(AVERAGEIF(OFFSET(F1402,0,0,MIN(Controls!$B$8,COUNTIF(B1402:B$1973,B1402)),1),"&gt;"&amp;0),0)</f>
        <v>0</v>
      </c>
      <c r="J1402" s="38">
        <f t="shared" ca="1" si="148"/>
        <v>999</v>
      </c>
      <c r="K1402" s="30">
        <f t="shared" ca="1" si="152"/>
        <v>0</v>
      </c>
      <c r="L1402" t="str">
        <f t="shared" ca="1" si="149"/>
        <v>Overstock</v>
      </c>
      <c r="M1402" s="39">
        <f>IFERROR(VLOOKUP("APC",Controls!A:I,7,0),6)</f>
        <v>4</v>
      </c>
      <c r="N1402" s="39">
        <f>IFERROR(VLOOKUP("APC",Controls!A:I,8,0),3)</f>
        <v>3</v>
      </c>
      <c r="O1402" s="39">
        <f>IFERROR(VLOOKUP("APC",Controls!A:I,9,0),18)</f>
        <v>12</v>
      </c>
      <c r="P1402" s="40">
        <f>IFERROR(VLOOKUP("APC",Controls!A:J,5,0),0)</f>
        <v>40</v>
      </c>
      <c r="Q1402" s="39">
        <f>IFERROR(VLOOKUP("APC",Controls!A:J,6,0),3)</f>
        <v>4</v>
      </c>
      <c r="R1402" s="21" t="str">
        <f>IFERROR(VLOOKUP("APC",Controls!A:K,10,0),"")</f>
        <v>ST Pharm</v>
      </c>
      <c r="S1402" s="41">
        <f t="shared" si="150"/>
        <v>50345</v>
      </c>
      <c r="T1402" s="30">
        <f t="shared" si="151"/>
        <v>0</v>
      </c>
      <c r="AB1402">
        <f t="shared" si="153"/>
        <v>86.240000000000009</v>
      </c>
    </row>
    <row r="1403" spans="1:28" ht="13" customHeight="1" x14ac:dyDescent="0.35">
      <c r="A1403" s="153">
        <v>50496</v>
      </c>
      <c r="B1403" s="36" t="s">
        <v>56</v>
      </c>
      <c r="C1403" s="15" t="s">
        <v>52</v>
      </c>
      <c r="D1403" s="15" t="s">
        <v>48</v>
      </c>
      <c r="E1403" s="30">
        <f>H1402</f>
        <v>32.679999999999986</v>
      </c>
      <c r="F1403" s="37">
        <f>IFERROR('Production Inputs'!$FB$37*Dependencies!$D$15,0)</f>
        <v>0</v>
      </c>
      <c r="G1403" s="37">
        <f t="array" ref="G1403">IFERROR(SUMPRODUCT(('Production Inputs'!$A:$A="APC")*('Production Inputs'!$B:$B="TOTAL ACTIVE")*'Production Inputs'!$FB:$FB),0)</f>
        <v>0</v>
      </c>
      <c r="H1403" s="30">
        <f t="shared" si="147"/>
        <v>32.679999999999986</v>
      </c>
      <c r="I1403" s="30">
        <f ca="1">IFERROR(AVERAGEIF(OFFSET(F1403,0,0,MIN(Controls!$B$8,COUNTIF(B1403:B$1973,B1403)),1),"&gt;"&amp;0),0)</f>
        <v>0</v>
      </c>
      <c r="J1403" s="38">
        <f t="shared" ca="1" si="148"/>
        <v>999</v>
      </c>
      <c r="K1403" s="30">
        <f t="shared" ca="1" si="152"/>
        <v>0</v>
      </c>
      <c r="L1403" t="str">
        <f t="shared" ca="1" si="149"/>
        <v>Overstock</v>
      </c>
      <c r="M1403" s="39">
        <f>IFERROR(VLOOKUP("APC",Controls!A:I,7,0),6)</f>
        <v>4</v>
      </c>
      <c r="N1403" s="39">
        <f>IFERROR(VLOOKUP("APC",Controls!A:I,8,0),3)</f>
        <v>3</v>
      </c>
      <c r="O1403" s="39">
        <f>IFERROR(VLOOKUP("APC",Controls!A:I,9,0),18)</f>
        <v>12</v>
      </c>
      <c r="P1403" s="40">
        <f>IFERROR(VLOOKUP("APC",Controls!A:J,5,0),0)</f>
        <v>40</v>
      </c>
      <c r="Q1403" s="39">
        <f>IFERROR(VLOOKUP("APC",Controls!A:J,6,0),3)</f>
        <v>4</v>
      </c>
      <c r="R1403" s="21" t="str">
        <f>IFERROR(VLOOKUP("APC",Controls!A:K,10,0),"")</f>
        <v>ST Pharm</v>
      </c>
      <c r="S1403" s="41">
        <f t="shared" si="150"/>
        <v>50375</v>
      </c>
      <c r="T1403" s="30">
        <f t="shared" si="151"/>
        <v>0</v>
      </c>
      <c r="AB1403">
        <f t="shared" si="153"/>
        <v>86.240000000000009</v>
      </c>
    </row>
    <row r="1404" spans="1:28" ht="13" customHeight="1" x14ac:dyDescent="0.35">
      <c r="A1404" s="153">
        <v>50526</v>
      </c>
      <c r="B1404" s="36" t="s">
        <v>56</v>
      </c>
      <c r="C1404" s="15" t="s">
        <v>52</v>
      </c>
      <c r="D1404" s="15" t="s">
        <v>48</v>
      </c>
      <c r="E1404" s="30">
        <f>H1403</f>
        <v>32.679999999999986</v>
      </c>
      <c r="F1404" s="37">
        <f>IFERROR('Production Inputs'!$FC$37*Dependencies!$D$15,0)</f>
        <v>0</v>
      </c>
      <c r="G1404" s="37">
        <f t="array" ref="G1404">IFERROR(SUMPRODUCT(('Production Inputs'!$A:$A="APC")*('Production Inputs'!$B:$B="TOTAL ACTIVE")*'Production Inputs'!$FC:$FC),0)</f>
        <v>0</v>
      </c>
      <c r="H1404" s="30">
        <f t="shared" si="147"/>
        <v>32.679999999999986</v>
      </c>
      <c r="I1404" s="30">
        <f ca="1">IFERROR(AVERAGEIF(OFFSET(F1404,0,0,MIN(Controls!$B$8,COUNTIF(B1404:B$1973,B1404)),1),"&gt;"&amp;0),0)</f>
        <v>0</v>
      </c>
      <c r="J1404" s="38">
        <f t="shared" ca="1" si="148"/>
        <v>999</v>
      </c>
      <c r="K1404" s="30">
        <f t="shared" ca="1" si="152"/>
        <v>0</v>
      </c>
      <c r="L1404" t="str">
        <f t="shared" ca="1" si="149"/>
        <v>Overstock</v>
      </c>
      <c r="M1404" s="39">
        <f>IFERROR(VLOOKUP("APC",Controls!A:I,7,0),6)</f>
        <v>4</v>
      </c>
      <c r="N1404" s="39">
        <f>IFERROR(VLOOKUP("APC",Controls!A:I,8,0),3)</f>
        <v>3</v>
      </c>
      <c r="O1404" s="39">
        <f>IFERROR(VLOOKUP("APC",Controls!A:I,9,0),18)</f>
        <v>12</v>
      </c>
      <c r="P1404" s="40">
        <f>IFERROR(VLOOKUP("APC",Controls!A:J,5,0),0)</f>
        <v>40</v>
      </c>
      <c r="Q1404" s="39">
        <f>IFERROR(VLOOKUP("APC",Controls!A:J,6,0),3)</f>
        <v>4</v>
      </c>
      <c r="R1404" s="21" t="str">
        <f>IFERROR(VLOOKUP("APC",Controls!A:K,10,0),"")</f>
        <v>ST Pharm</v>
      </c>
      <c r="S1404" s="41">
        <f t="shared" si="150"/>
        <v>50406</v>
      </c>
      <c r="T1404" s="30">
        <f t="shared" si="151"/>
        <v>0</v>
      </c>
      <c r="AB1404">
        <f t="shared" si="153"/>
        <v>86.240000000000009</v>
      </c>
    </row>
    <row r="1405" spans="1:28" ht="13" customHeight="1" x14ac:dyDescent="0.35">
      <c r="A1405" s="153">
        <v>50557</v>
      </c>
      <c r="B1405" s="36" t="s">
        <v>56</v>
      </c>
      <c r="C1405" s="15" t="s">
        <v>52</v>
      </c>
      <c r="D1405" s="15" t="s">
        <v>48</v>
      </c>
      <c r="E1405" s="30">
        <f>H1404</f>
        <v>32.679999999999986</v>
      </c>
      <c r="F1405" s="37">
        <f>IFERROR('Production Inputs'!$FD$37*Dependencies!$D$15,0)</f>
        <v>0</v>
      </c>
      <c r="G1405" s="37">
        <f t="array" ref="G1405">IFERROR(SUMPRODUCT(('Production Inputs'!$A:$A="APC")*('Production Inputs'!$B:$B="TOTAL ACTIVE")*'Production Inputs'!$FD:$FD),0)</f>
        <v>0</v>
      </c>
      <c r="H1405" s="30">
        <f t="shared" si="147"/>
        <v>32.679999999999986</v>
      </c>
      <c r="I1405" s="30">
        <f ca="1">IFERROR(AVERAGEIF(OFFSET(F1405,0,0,MIN(Controls!$B$8,COUNTIF(B1405:B$1973,B1405)),1),"&gt;"&amp;0),0)</f>
        <v>0</v>
      </c>
      <c r="J1405" s="38">
        <f t="shared" ca="1" si="148"/>
        <v>999</v>
      </c>
      <c r="K1405" s="30">
        <f t="shared" ca="1" si="152"/>
        <v>0</v>
      </c>
      <c r="L1405" t="str">
        <f t="shared" ca="1" si="149"/>
        <v>Overstock</v>
      </c>
      <c r="M1405" s="39">
        <f>IFERROR(VLOOKUP("APC",Controls!A:I,7,0),6)</f>
        <v>4</v>
      </c>
      <c r="N1405" s="39">
        <f>IFERROR(VLOOKUP("APC",Controls!A:I,8,0),3)</f>
        <v>3</v>
      </c>
      <c r="O1405" s="39">
        <f>IFERROR(VLOOKUP("APC",Controls!A:I,9,0),18)</f>
        <v>12</v>
      </c>
      <c r="P1405" s="40">
        <f>IFERROR(VLOOKUP("APC",Controls!A:J,5,0),0)</f>
        <v>40</v>
      </c>
      <c r="Q1405" s="39">
        <f>IFERROR(VLOOKUP("APC",Controls!A:J,6,0),3)</f>
        <v>4</v>
      </c>
      <c r="R1405" s="21" t="str">
        <f>IFERROR(VLOOKUP("APC",Controls!A:K,10,0),"")</f>
        <v>ST Pharm</v>
      </c>
      <c r="S1405" s="41">
        <f t="shared" si="150"/>
        <v>50437</v>
      </c>
      <c r="T1405" s="30">
        <f t="shared" si="151"/>
        <v>0</v>
      </c>
      <c r="AB1405">
        <f t="shared" si="153"/>
        <v>86.240000000000009</v>
      </c>
    </row>
    <row r="1406" spans="1:28" ht="13" customHeight="1" x14ac:dyDescent="0.35">
      <c r="A1406" s="153">
        <v>50587</v>
      </c>
      <c r="B1406" s="36" t="s">
        <v>56</v>
      </c>
      <c r="C1406" s="15" t="s">
        <v>52</v>
      </c>
      <c r="D1406" s="15" t="s">
        <v>48</v>
      </c>
      <c r="E1406" s="30">
        <f>H1405</f>
        <v>32.679999999999986</v>
      </c>
      <c r="F1406" s="37">
        <f>IFERROR('Production Inputs'!$FE$37*Dependencies!$D$15,0)</f>
        <v>0</v>
      </c>
      <c r="G1406" s="37">
        <f t="array" ref="G1406">IFERROR(SUMPRODUCT(('Production Inputs'!$A:$A="APC")*('Production Inputs'!$B:$B="TOTAL ACTIVE")*'Production Inputs'!$FE:$FE),0)</f>
        <v>0</v>
      </c>
      <c r="H1406" s="30">
        <f t="shared" si="147"/>
        <v>32.679999999999986</v>
      </c>
      <c r="I1406" s="30">
        <f ca="1">IFERROR(AVERAGEIF(OFFSET(F1406,0,0,MIN(Controls!$B$8,COUNTIF(B1406:B$1973,B1406)),1),"&gt;"&amp;0),0)</f>
        <v>0</v>
      </c>
      <c r="J1406" s="38">
        <f t="shared" ca="1" si="148"/>
        <v>999</v>
      </c>
      <c r="K1406" s="30">
        <f t="shared" ca="1" si="152"/>
        <v>0</v>
      </c>
      <c r="L1406" t="str">
        <f t="shared" ca="1" si="149"/>
        <v>Overstock</v>
      </c>
      <c r="M1406" s="39">
        <f>IFERROR(VLOOKUP("APC",Controls!A:I,7,0),6)</f>
        <v>4</v>
      </c>
      <c r="N1406" s="39">
        <f>IFERROR(VLOOKUP("APC",Controls!A:I,8,0),3)</f>
        <v>3</v>
      </c>
      <c r="O1406" s="39">
        <f>IFERROR(VLOOKUP("APC",Controls!A:I,9,0),18)</f>
        <v>12</v>
      </c>
      <c r="P1406" s="40">
        <f>IFERROR(VLOOKUP("APC",Controls!A:J,5,0),0)</f>
        <v>40</v>
      </c>
      <c r="Q1406" s="39">
        <f>IFERROR(VLOOKUP("APC",Controls!A:J,6,0),3)</f>
        <v>4</v>
      </c>
      <c r="R1406" s="21" t="str">
        <f>IFERROR(VLOOKUP("APC",Controls!A:K,10,0),"")</f>
        <v>ST Pharm</v>
      </c>
      <c r="S1406" s="41">
        <f t="shared" si="150"/>
        <v>50465</v>
      </c>
      <c r="T1406" s="30">
        <f t="shared" si="151"/>
        <v>0</v>
      </c>
      <c r="AB1406">
        <f t="shared" si="153"/>
        <v>86.240000000000009</v>
      </c>
    </row>
    <row r="1407" spans="1:28" ht="13" customHeight="1" x14ac:dyDescent="0.35">
      <c r="A1407" s="153">
        <v>50618</v>
      </c>
      <c r="B1407" s="36" t="s">
        <v>56</v>
      </c>
      <c r="C1407" s="15" t="s">
        <v>52</v>
      </c>
      <c r="D1407" s="15" t="s">
        <v>48</v>
      </c>
      <c r="E1407" s="30">
        <f>H1406</f>
        <v>32.679999999999986</v>
      </c>
      <c r="F1407" s="37">
        <f>IFERROR('Production Inputs'!$FF$37*Dependencies!$D$15,0)</f>
        <v>0</v>
      </c>
      <c r="G1407" s="37">
        <f t="array" ref="G1407">IFERROR(SUMPRODUCT(('Production Inputs'!$A:$A="APC")*('Production Inputs'!$B:$B="TOTAL ACTIVE")*'Production Inputs'!$FF:$FF),0)</f>
        <v>0</v>
      </c>
      <c r="H1407" s="30">
        <f t="shared" si="147"/>
        <v>32.679999999999986</v>
      </c>
      <c r="I1407" s="30">
        <f ca="1">IFERROR(AVERAGEIF(OFFSET(F1407,0,0,MIN(Controls!$B$8,COUNTIF(B1407:B$1973,B1407)),1),"&gt;"&amp;0),0)</f>
        <v>0</v>
      </c>
      <c r="J1407" s="38">
        <f t="shared" ca="1" si="148"/>
        <v>999</v>
      </c>
      <c r="K1407" s="30">
        <f t="shared" ca="1" si="152"/>
        <v>0</v>
      </c>
      <c r="L1407" t="str">
        <f t="shared" ca="1" si="149"/>
        <v>Overstock</v>
      </c>
      <c r="M1407" s="39">
        <f>IFERROR(VLOOKUP("APC",Controls!A:I,7,0),6)</f>
        <v>4</v>
      </c>
      <c r="N1407" s="39">
        <f>IFERROR(VLOOKUP("APC",Controls!A:I,8,0),3)</f>
        <v>3</v>
      </c>
      <c r="O1407" s="39">
        <f>IFERROR(VLOOKUP("APC",Controls!A:I,9,0),18)</f>
        <v>12</v>
      </c>
      <c r="P1407" s="40">
        <f>IFERROR(VLOOKUP("APC",Controls!A:J,5,0),0)</f>
        <v>40</v>
      </c>
      <c r="Q1407" s="39">
        <f>IFERROR(VLOOKUP("APC",Controls!A:J,6,0),3)</f>
        <v>4</v>
      </c>
      <c r="R1407" s="21" t="str">
        <f>IFERROR(VLOOKUP("APC",Controls!A:K,10,0),"")</f>
        <v>ST Pharm</v>
      </c>
      <c r="S1407" s="41">
        <f t="shared" si="150"/>
        <v>50496</v>
      </c>
      <c r="T1407" s="30">
        <f t="shared" si="151"/>
        <v>0</v>
      </c>
      <c r="AB1407">
        <f t="shared" si="153"/>
        <v>86.240000000000009</v>
      </c>
    </row>
    <row r="1408" spans="1:28" ht="13" customHeight="1" x14ac:dyDescent="0.35">
      <c r="A1408" s="153">
        <v>50649</v>
      </c>
      <c r="B1408" s="36" t="s">
        <v>56</v>
      </c>
      <c r="C1408" s="15" t="s">
        <v>52</v>
      </c>
      <c r="D1408" s="15" t="s">
        <v>48</v>
      </c>
      <c r="E1408" s="30">
        <f>H1407</f>
        <v>32.679999999999986</v>
      </c>
      <c r="F1408" s="37">
        <f>IFERROR('Production Inputs'!$FG$37*Dependencies!$D$15,0)</f>
        <v>0</v>
      </c>
      <c r="G1408" s="37">
        <f t="array" ref="G1408">IFERROR(SUMPRODUCT(('Production Inputs'!$A:$A="APC")*('Production Inputs'!$B:$B="TOTAL ACTIVE")*'Production Inputs'!$FG:$FG),0)</f>
        <v>0</v>
      </c>
      <c r="H1408" s="30">
        <f t="shared" si="147"/>
        <v>32.679999999999986</v>
      </c>
      <c r="I1408" s="30">
        <f ca="1">IFERROR(AVERAGEIF(OFFSET(F1408,0,0,MIN(Controls!$B$8,COUNTIF(B1408:B$1973,B1408)),1),"&gt;"&amp;0),0)</f>
        <v>0</v>
      </c>
      <c r="J1408" s="38">
        <f t="shared" ca="1" si="148"/>
        <v>999</v>
      </c>
      <c r="K1408" s="30">
        <f t="shared" ca="1" si="152"/>
        <v>0</v>
      </c>
      <c r="L1408" t="str">
        <f t="shared" ca="1" si="149"/>
        <v>Overstock</v>
      </c>
      <c r="M1408" s="39">
        <f>IFERROR(VLOOKUP("APC",Controls!A:I,7,0),6)</f>
        <v>4</v>
      </c>
      <c r="N1408" s="39">
        <f>IFERROR(VLOOKUP("APC",Controls!A:I,8,0),3)</f>
        <v>3</v>
      </c>
      <c r="O1408" s="39">
        <f>IFERROR(VLOOKUP("APC",Controls!A:I,9,0),18)</f>
        <v>12</v>
      </c>
      <c r="P1408" s="40">
        <f>IFERROR(VLOOKUP("APC",Controls!A:J,5,0),0)</f>
        <v>40</v>
      </c>
      <c r="Q1408" s="39">
        <f>IFERROR(VLOOKUP("APC",Controls!A:J,6,0),3)</f>
        <v>4</v>
      </c>
      <c r="R1408" s="21" t="str">
        <f>IFERROR(VLOOKUP("APC",Controls!A:K,10,0),"")</f>
        <v>ST Pharm</v>
      </c>
      <c r="S1408" s="41">
        <f t="shared" si="150"/>
        <v>50526</v>
      </c>
      <c r="T1408" s="30">
        <f t="shared" si="151"/>
        <v>0</v>
      </c>
      <c r="AB1408">
        <f t="shared" si="153"/>
        <v>86.240000000000009</v>
      </c>
    </row>
    <row r="1409" spans="1:28" ht="13" customHeight="1" x14ac:dyDescent="0.35">
      <c r="A1409" s="153">
        <v>50679</v>
      </c>
      <c r="B1409" s="36" t="s">
        <v>56</v>
      </c>
      <c r="C1409" s="15" t="s">
        <v>52</v>
      </c>
      <c r="D1409" s="15" t="s">
        <v>48</v>
      </c>
      <c r="E1409" s="30">
        <f>H1408</f>
        <v>32.679999999999986</v>
      </c>
      <c r="F1409" s="37">
        <f>IFERROR('Production Inputs'!$FH$37*Dependencies!$D$15,0)</f>
        <v>0</v>
      </c>
      <c r="G1409" s="37">
        <f t="array" ref="G1409">IFERROR(SUMPRODUCT(('Production Inputs'!$A:$A="APC")*('Production Inputs'!$B:$B="TOTAL ACTIVE")*'Production Inputs'!$FH:$FH),0)</f>
        <v>0</v>
      </c>
      <c r="H1409" s="30">
        <f t="shared" si="147"/>
        <v>32.679999999999986</v>
      </c>
      <c r="I1409" s="30">
        <f ca="1">IFERROR(AVERAGEIF(OFFSET(F1409,0,0,MIN(Controls!$B$8,COUNTIF(B1409:B$1973,B1409)),1),"&gt;"&amp;0),0)</f>
        <v>0</v>
      </c>
      <c r="J1409" s="38">
        <f t="shared" ca="1" si="148"/>
        <v>999</v>
      </c>
      <c r="K1409" s="30">
        <f t="shared" ca="1" si="152"/>
        <v>0</v>
      </c>
      <c r="L1409" t="str">
        <f t="shared" ca="1" si="149"/>
        <v>Overstock</v>
      </c>
      <c r="M1409" s="39">
        <f>IFERROR(VLOOKUP("APC",Controls!A:I,7,0),6)</f>
        <v>4</v>
      </c>
      <c r="N1409" s="39">
        <f>IFERROR(VLOOKUP("APC",Controls!A:I,8,0),3)</f>
        <v>3</v>
      </c>
      <c r="O1409" s="39">
        <f>IFERROR(VLOOKUP("APC",Controls!A:I,9,0),18)</f>
        <v>12</v>
      </c>
      <c r="P1409" s="40">
        <f>IFERROR(VLOOKUP("APC",Controls!A:J,5,0),0)</f>
        <v>40</v>
      </c>
      <c r="Q1409" s="39">
        <f>IFERROR(VLOOKUP("APC",Controls!A:J,6,0),3)</f>
        <v>4</v>
      </c>
      <c r="R1409" s="21" t="str">
        <f>IFERROR(VLOOKUP("APC",Controls!A:K,10,0),"")</f>
        <v>ST Pharm</v>
      </c>
      <c r="S1409" s="41">
        <f t="shared" si="150"/>
        <v>50557</v>
      </c>
      <c r="T1409" s="30">
        <f t="shared" si="151"/>
        <v>0</v>
      </c>
      <c r="AB1409">
        <f t="shared" si="153"/>
        <v>86.240000000000009</v>
      </c>
    </row>
    <row r="1410" spans="1:28" ht="13" customHeight="1" x14ac:dyDescent="0.35">
      <c r="A1410" s="153">
        <v>50710</v>
      </c>
      <c r="B1410" s="36" t="s">
        <v>56</v>
      </c>
      <c r="C1410" s="15" t="s">
        <v>52</v>
      </c>
      <c r="D1410" s="15" t="s">
        <v>48</v>
      </c>
      <c r="E1410" s="30">
        <f>H1409</f>
        <v>32.679999999999986</v>
      </c>
      <c r="F1410" s="37">
        <f>IFERROR('Production Inputs'!$FI$37*Dependencies!$D$15,0)</f>
        <v>0</v>
      </c>
      <c r="G1410" s="37">
        <f t="array" ref="G1410">IFERROR(SUMPRODUCT(('Production Inputs'!$A:$A="APC")*('Production Inputs'!$B:$B="TOTAL ACTIVE")*'Production Inputs'!$FI:$FI),0)</f>
        <v>0</v>
      </c>
      <c r="H1410" s="30">
        <f t="shared" si="147"/>
        <v>32.679999999999986</v>
      </c>
      <c r="I1410" s="30">
        <f ca="1">IFERROR(AVERAGEIF(OFFSET(F1410,0,0,MIN(Controls!$B$8,COUNTIF(B1410:B$1973,B1410)),1),"&gt;"&amp;0),0)</f>
        <v>0</v>
      </c>
      <c r="J1410" s="38">
        <f t="shared" ca="1" si="148"/>
        <v>999</v>
      </c>
      <c r="K1410" s="30">
        <f t="shared" ca="1" si="152"/>
        <v>0</v>
      </c>
      <c r="L1410" t="str">
        <f t="shared" ca="1" si="149"/>
        <v>Overstock</v>
      </c>
      <c r="M1410" s="39">
        <f>IFERROR(VLOOKUP("APC",Controls!A:I,7,0),6)</f>
        <v>4</v>
      </c>
      <c r="N1410" s="39">
        <f>IFERROR(VLOOKUP("APC",Controls!A:I,8,0),3)</f>
        <v>3</v>
      </c>
      <c r="O1410" s="39">
        <f>IFERROR(VLOOKUP("APC",Controls!A:I,9,0),18)</f>
        <v>12</v>
      </c>
      <c r="P1410" s="40">
        <f>IFERROR(VLOOKUP("APC",Controls!A:J,5,0),0)</f>
        <v>40</v>
      </c>
      <c r="Q1410" s="39">
        <f>IFERROR(VLOOKUP("APC",Controls!A:J,6,0),3)</f>
        <v>4</v>
      </c>
      <c r="R1410" s="21" t="str">
        <f>IFERROR(VLOOKUP("APC",Controls!A:K,10,0),"")</f>
        <v>ST Pharm</v>
      </c>
      <c r="S1410" s="41">
        <f t="shared" si="150"/>
        <v>50587</v>
      </c>
      <c r="T1410" s="30">
        <f t="shared" si="151"/>
        <v>0</v>
      </c>
      <c r="AB1410">
        <f t="shared" si="153"/>
        <v>86.240000000000009</v>
      </c>
    </row>
    <row r="1411" spans="1:28" ht="13" customHeight="1" x14ac:dyDescent="0.35">
      <c r="A1411" s="153">
        <v>50740</v>
      </c>
      <c r="B1411" s="36" t="s">
        <v>56</v>
      </c>
      <c r="C1411" s="15" t="s">
        <v>52</v>
      </c>
      <c r="D1411" s="15" t="s">
        <v>48</v>
      </c>
      <c r="E1411" s="30">
        <f>H1410</f>
        <v>32.679999999999986</v>
      </c>
      <c r="F1411" s="37">
        <f>IFERROR('Production Inputs'!$FJ$37*Dependencies!$D$15,0)</f>
        <v>0</v>
      </c>
      <c r="G1411" s="37">
        <f t="array" ref="G1411">IFERROR(SUMPRODUCT(('Production Inputs'!$A:$A="APC")*('Production Inputs'!$B:$B="TOTAL ACTIVE")*'Production Inputs'!$FJ:$FJ),0)</f>
        <v>0</v>
      </c>
      <c r="H1411" s="30">
        <f t="shared" si="147"/>
        <v>32.679999999999986</v>
      </c>
      <c r="I1411" s="30">
        <f ca="1">IFERROR(AVERAGEIF(OFFSET(F1411,0,0,MIN(Controls!$B$8,COUNTIF(B1411:B$1973,B1411)),1),"&gt;"&amp;0),0)</f>
        <v>0</v>
      </c>
      <c r="J1411" s="38">
        <f t="shared" ca="1" si="148"/>
        <v>999</v>
      </c>
      <c r="K1411" s="30">
        <f t="shared" ca="1" si="152"/>
        <v>0</v>
      </c>
      <c r="L1411" t="str">
        <f t="shared" ca="1" si="149"/>
        <v>Overstock</v>
      </c>
      <c r="M1411" s="39">
        <f>IFERROR(VLOOKUP("APC",Controls!A:I,7,0),6)</f>
        <v>4</v>
      </c>
      <c r="N1411" s="39">
        <f>IFERROR(VLOOKUP("APC",Controls!A:I,8,0),3)</f>
        <v>3</v>
      </c>
      <c r="O1411" s="39">
        <f>IFERROR(VLOOKUP("APC",Controls!A:I,9,0),18)</f>
        <v>12</v>
      </c>
      <c r="P1411" s="40">
        <f>IFERROR(VLOOKUP("APC",Controls!A:J,5,0),0)</f>
        <v>40</v>
      </c>
      <c r="Q1411" s="39">
        <f>IFERROR(VLOOKUP("APC",Controls!A:J,6,0),3)</f>
        <v>4</v>
      </c>
      <c r="R1411" s="21" t="str">
        <f>IFERROR(VLOOKUP("APC",Controls!A:K,10,0),"")</f>
        <v>ST Pharm</v>
      </c>
      <c r="S1411" s="41">
        <f t="shared" si="150"/>
        <v>50618</v>
      </c>
      <c r="T1411" s="30">
        <f t="shared" si="151"/>
        <v>0</v>
      </c>
      <c r="AB1411">
        <f t="shared" si="153"/>
        <v>86.240000000000009</v>
      </c>
    </row>
    <row r="1412" spans="1:28" ht="13" customHeight="1" x14ac:dyDescent="0.35">
      <c r="A1412" s="153">
        <v>50771</v>
      </c>
      <c r="B1412" s="36" t="s">
        <v>56</v>
      </c>
      <c r="C1412" s="15" t="s">
        <v>52</v>
      </c>
      <c r="D1412" s="15" t="s">
        <v>48</v>
      </c>
      <c r="E1412" s="30">
        <f>H1411</f>
        <v>32.679999999999986</v>
      </c>
      <c r="F1412" s="37">
        <f>IFERROR('Production Inputs'!$FK$37*Dependencies!$D$15,0)</f>
        <v>0</v>
      </c>
      <c r="G1412" s="37">
        <f t="array" ref="G1412">IFERROR(SUMPRODUCT(('Production Inputs'!$A:$A="APC")*('Production Inputs'!$B:$B="TOTAL ACTIVE")*'Production Inputs'!$FK:$FK),0)</f>
        <v>0</v>
      </c>
      <c r="H1412" s="30">
        <f t="shared" ref="H1412:H1475" si="154">E1412+G1412-F1412</f>
        <v>32.679999999999986</v>
      </c>
      <c r="I1412" s="30">
        <f ca="1">IFERROR(AVERAGEIF(OFFSET(F1412,0,0,MIN(Controls!$B$8,COUNTIF(B1412:B$1973,B1412)),1),"&gt;"&amp;0),0)</f>
        <v>0</v>
      </c>
      <c r="J1412" s="38">
        <f t="shared" ref="J1412:J1475" ca="1" si="155">IFERROR(H1412/I1412,IF(H1412&gt;0,999,0))</f>
        <v>999</v>
      </c>
      <c r="K1412" s="30">
        <f t="shared" ca="1" si="152"/>
        <v>0</v>
      </c>
      <c r="L1412" t="str">
        <f t="shared" ref="L1412:L1475" ca="1" si="156">IF(H1412&lt;=0,"High",IF(J1412&lt;N1412,"High",IF(J1412&lt;M1412,"Medium",IF(J1412&gt;O1412,"Overstock","Low"))))</f>
        <v>Overstock</v>
      </c>
      <c r="M1412" s="39">
        <f>IFERROR(VLOOKUP("APC",Controls!A:I,7,0),6)</f>
        <v>4</v>
      </c>
      <c r="N1412" s="39">
        <f>IFERROR(VLOOKUP("APC",Controls!A:I,8,0),3)</f>
        <v>3</v>
      </c>
      <c r="O1412" s="39">
        <f>IFERROR(VLOOKUP("APC",Controls!A:I,9,0),18)</f>
        <v>12</v>
      </c>
      <c r="P1412" s="40">
        <f>IFERROR(VLOOKUP("APC",Controls!A:J,5,0),0)</f>
        <v>40</v>
      </c>
      <c r="Q1412" s="39">
        <f>IFERROR(VLOOKUP("APC",Controls!A:J,6,0),3)</f>
        <v>4</v>
      </c>
      <c r="R1412" s="21" t="str">
        <f>IFERROR(VLOOKUP("APC",Controls!A:K,10,0),"")</f>
        <v>ST Pharm</v>
      </c>
      <c r="S1412" s="41">
        <f t="shared" ref="S1412:S1475" si="157">IFERROR(EDATE(A1412,-Q1412),"")</f>
        <v>50649</v>
      </c>
      <c r="T1412" s="30">
        <f t="shared" ref="T1412:T1475" si="158">G1412</f>
        <v>0</v>
      </c>
      <c r="AB1412">
        <f t="shared" si="153"/>
        <v>86.240000000000009</v>
      </c>
    </row>
    <row r="1413" spans="1:28" ht="13" customHeight="1" x14ac:dyDescent="0.35">
      <c r="A1413" s="153">
        <v>50802</v>
      </c>
      <c r="B1413" s="36" t="s">
        <v>56</v>
      </c>
      <c r="C1413" s="15" t="s">
        <v>52</v>
      </c>
      <c r="D1413" s="15" t="s">
        <v>48</v>
      </c>
      <c r="E1413" s="30">
        <f>H1412</f>
        <v>32.679999999999986</v>
      </c>
      <c r="F1413" s="37">
        <f>IFERROR('Production Inputs'!$FL$37*Dependencies!$D$15,0)</f>
        <v>0</v>
      </c>
      <c r="G1413" s="37">
        <f t="array" ref="G1413">IFERROR(SUMPRODUCT(('Production Inputs'!$A:$A="APC")*('Production Inputs'!$B:$B="TOTAL ACTIVE")*'Production Inputs'!$FL:$FL),0)</f>
        <v>0</v>
      </c>
      <c r="H1413" s="30">
        <f t="shared" si="154"/>
        <v>32.679999999999986</v>
      </c>
      <c r="I1413" s="30">
        <f ca="1">IFERROR(AVERAGEIF(OFFSET(F1413,0,0,MIN(Controls!$B$8,COUNTIF(B1413:B$1973,B1413)),1),"&gt;"&amp;0),0)</f>
        <v>0</v>
      </c>
      <c r="J1413" s="38">
        <f t="shared" ca="1" si="155"/>
        <v>999</v>
      </c>
      <c r="K1413" s="30">
        <f t="shared" ref="K1413:K1476" ca="1" si="159">IFERROR(IF(H1413&lt;(N1413*I1413), CEILING(MAX(0,ROUND((M1413*I1413-H1413)/P1413,0)*P1413),P1413), 0), 0)</f>
        <v>0</v>
      </c>
      <c r="L1413" t="str">
        <f t="shared" ca="1" si="156"/>
        <v>Overstock</v>
      </c>
      <c r="M1413" s="39">
        <f>IFERROR(VLOOKUP("APC",Controls!A:I,7,0),6)</f>
        <v>4</v>
      </c>
      <c r="N1413" s="39">
        <f>IFERROR(VLOOKUP("APC",Controls!A:I,8,0),3)</f>
        <v>3</v>
      </c>
      <c r="O1413" s="39">
        <f>IFERROR(VLOOKUP("APC",Controls!A:I,9,0),18)</f>
        <v>12</v>
      </c>
      <c r="P1413" s="40">
        <f>IFERROR(VLOOKUP("APC",Controls!A:J,5,0),0)</f>
        <v>40</v>
      </c>
      <c r="Q1413" s="39">
        <f>IFERROR(VLOOKUP("APC",Controls!A:J,6,0),3)</f>
        <v>4</v>
      </c>
      <c r="R1413" s="21" t="str">
        <f>IFERROR(VLOOKUP("APC",Controls!A:K,10,0),"")</f>
        <v>ST Pharm</v>
      </c>
      <c r="S1413" s="41">
        <f t="shared" si="157"/>
        <v>50679</v>
      </c>
      <c r="T1413" s="30">
        <f t="shared" si="158"/>
        <v>0</v>
      </c>
      <c r="AB1413">
        <f t="shared" ref="AB1413:AB1476" si="160">SUMIFS($F$4:$F$2331,$B$4:$B$2331,B1413,$A$4:$A$2331,"&lt;="&amp;A1413)</f>
        <v>86.240000000000009</v>
      </c>
    </row>
    <row r="1414" spans="1:28" ht="13" customHeight="1" x14ac:dyDescent="0.35">
      <c r="A1414" s="153">
        <v>50830</v>
      </c>
      <c r="B1414" s="36" t="s">
        <v>56</v>
      </c>
      <c r="C1414" s="15" t="s">
        <v>52</v>
      </c>
      <c r="D1414" s="15" t="s">
        <v>48</v>
      </c>
      <c r="E1414" s="30">
        <f>H1413</f>
        <v>32.679999999999986</v>
      </c>
      <c r="F1414" s="37">
        <f>IFERROR('Production Inputs'!$FM$37*Dependencies!$D$15,0)</f>
        <v>0</v>
      </c>
      <c r="G1414" s="37">
        <f t="array" ref="G1414">IFERROR(SUMPRODUCT(('Production Inputs'!$A:$A="APC")*('Production Inputs'!$B:$B="TOTAL ACTIVE")*'Production Inputs'!$FM:$FM),0)</f>
        <v>0</v>
      </c>
      <c r="H1414" s="30">
        <f t="shared" si="154"/>
        <v>32.679999999999986</v>
      </c>
      <c r="I1414" s="30">
        <f ca="1">IFERROR(AVERAGEIF(OFFSET(F1414,0,0,MIN(Controls!$B$8,COUNTIF(B1414:B$1973,B1414)),1),"&gt;"&amp;0),0)</f>
        <v>0</v>
      </c>
      <c r="J1414" s="38">
        <f t="shared" ca="1" si="155"/>
        <v>999</v>
      </c>
      <c r="K1414" s="30">
        <f t="shared" ca="1" si="159"/>
        <v>0</v>
      </c>
      <c r="L1414" t="str">
        <f t="shared" ca="1" si="156"/>
        <v>Overstock</v>
      </c>
      <c r="M1414" s="39">
        <f>IFERROR(VLOOKUP("APC",Controls!A:I,7,0),6)</f>
        <v>4</v>
      </c>
      <c r="N1414" s="39">
        <f>IFERROR(VLOOKUP("APC",Controls!A:I,8,0),3)</f>
        <v>3</v>
      </c>
      <c r="O1414" s="39">
        <f>IFERROR(VLOOKUP("APC",Controls!A:I,9,0),18)</f>
        <v>12</v>
      </c>
      <c r="P1414" s="40">
        <f>IFERROR(VLOOKUP("APC",Controls!A:J,5,0),0)</f>
        <v>40</v>
      </c>
      <c r="Q1414" s="39">
        <f>IFERROR(VLOOKUP("APC",Controls!A:J,6,0),3)</f>
        <v>4</v>
      </c>
      <c r="R1414" s="21" t="str">
        <f>IFERROR(VLOOKUP("APC",Controls!A:K,10,0),"")</f>
        <v>ST Pharm</v>
      </c>
      <c r="S1414" s="41">
        <f t="shared" si="157"/>
        <v>50710</v>
      </c>
      <c r="T1414" s="30">
        <f t="shared" si="158"/>
        <v>0</v>
      </c>
      <c r="AB1414">
        <f t="shared" si="160"/>
        <v>86.240000000000009</v>
      </c>
    </row>
    <row r="1415" spans="1:28" ht="13" customHeight="1" x14ac:dyDescent="0.35">
      <c r="A1415" s="153">
        <v>50861</v>
      </c>
      <c r="B1415" s="36" t="s">
        <v>56</v>
      </c>
      <c r="C1415" s="15" t="s">
        <v>52</v>
      </c>
      <c r="D1415" s="15" t="s">
        <v>48</v>
      </c>
      <c r="E1415" s="30">
        <f>H1414</f>
        <v>32.679999999999986</v>
      </c>
      <c r="F1415" s="37">
        <f>IFERROR('Production Inputs'!$FN$37*Dependencies!$D$15,0)</f>
        <v>0</v>
      </c>
      <c r="G1415" s="37">
        <f t="array" ref="G1415">IFERROR(SUMPRODUCT(('Production Inputs'!$A:$A="APC")*('Production Inputs'!$B:$B="TOTAL ACTIVE")*'Production Inputs'!$FN:$FN),0)</f>
        <v>0</v>
      </c>
      <c r="H1415" s="30">
        <f t="shared" si="154"/>
        <v>32.679999999999986</v>
      </c>
      <c r="I1415" s="30">
        <f ca="1">IFERROR(AVERAGEIF(OFFSET(F1415,0,0,MIN(Controls!$B$8,COUNTIF(B1415:B$1973,B1415)),1),"&gt;"&amp;0),0)</f>
        <v>0</v>
      </c>
      <c r="J1415" s="38">
        <f t="shared" ca="1" si="155"/>
        <v>999</v>
      </c>
      <c r="K1415" s="30">
        <f t="shared" ca="1" si="159"/>
        <v>0</v>
      </c>
      <c r="L1415" t="str">
        <f t="shared" ca="1" si="156"/>
        <v>Overstock</v>
      </c>
      <c r="M1415" s="39">
        <f>IFERROR(VLOOKUP("APC",Controls!A:I,7,0),6)</f>
        <v>4</v>
      </c>
      <c r="N1415" s="39">
        <f>IFERROR(VLOOKUP("APC",Controls!A:I,8,0),3)</f>
        <v>3</v>
      </c>
      <c r="O1415" s="39">
        <f>IFERROR(VLOOKUP("APC",Controls!A:I,9,0),18)</f>
        <v>12</v>
      </c>
      <c r="P1415" s="40">
        <f>IFERROR(VLOOKUP("APC",Controls!A:J,5,0),0)</f>
        <v>40</v>
      </c>
      <c r="Q1415" s="39">
        <f>IFERROR(VLOOKUP("APC",Controls!A:J,6,0),3)</f>
        <v>4</v>
      </c>
      <c r="R1415" s="21" t="str">
        <f>IFERROR(VLOOKUP("APC",Controls!A:K,10,0),"")</f>
        <v>ST Pharm</v>
      </c>
      <c r="S1415" s="41">
        <f t="shared" si="157"/>
        <v>50740</v>
      </c>
      <c r="T1415" s="30">
        <f t="shared" si="158"/>
        <v>0</v>
      </c>
      <c r="AB1415">
        <f t="shared" si="160"/>
        <v>86.240000000000009</v>
      </c>
    </row>
    <row r="1416" spans="1:28" ht="13" customHeight="1" x14ac:dyDescent="0.35">
      <c r="A1416" s="153">
        <v>50891</v>
      </c>
      <c r="B1416" s="36" t="s">
        <v>56</v>
      </c>
      <c r="C1416" s="15" t="s">
        <v>52</v>
      </c>
      <c r="D1416" s="15" t="s">
        <v>48</v>
      </c>
      <c r="E1416" s="30">
        <f>H1415</f>
        <v>32.679999999999986</v>
      </c>
      <c r="F1416" s="37">
        <f>IFERROR('Production Inputs'!$FO$37*Dependencies!$D$15,0)</f>
        <v>0</v>
      </c>
      <c r="G1416" s="37">
        <f t="array" ref="G1416">IFERROR(SUMPRODUCT(('Production Inputs'!$A:$A="APC")*('Production Inputs'!$B:$B="TOTAL ACTIVE")*'Production Inputs'!$FO:$FO),0)</f>
        <v>0</v>
      </c>
      <c r="H1416" s="30">
        <f t="shared" si="154"/>
        <v>32.679999999999986</v>
      </c>
      <c r="I1416" s="30">
        <f ca="1">IFERROR(AVERAGEIF(OFFSET(F1416,0,0,MIN(Controls!$B$8,COUNTIF(B1416:B$1973,B1416)),1),"&gt;"&amp;0),0)</f>
        <v>0</v>
      </c>
      <c r="J1416" s="38">
        <f t="shared" ca="1" si="155"/>
        <v>999</v>
      </c>
      <c r="K1416" s="30">
        <f t="shared" ca="1" si="159"/>
        <v>0</v>
      </c>
      <c r="L1416" t="str">
        <f t="shared" ca="1" si="156"/>
        <v>Overstock</v>
      </c>
      <c r="M1416" s="39">
        <f>IFERROR(VLOOKUP("APC",Controls!A:I,7,0),6)</f>
        <v>4</v>
      </c>
      <c r="N1416" s="39">
        <f>IFERROR(VLOOKUP("APC",Controls!A:I,8,0),3)</f>
        <v>3</v>
      </c>
      <c r="O1416" s="39">
        <f>IFERROR(VLOOKUP("APC",Controls!A:I,9,0),18)</f>
        <v>12</v>
      </c>
      <c r="P1416" s="40">
        <f>IFERROR(VLOOKUP("APC",Controls!A:J,5,0),0)</f>
        <v>40</v>
      </c>
      <c r="Q1416" s="39">
        <f>IFERROR(VLOOKUP("APC",Controls!A:J,6,0),3)</f>
        <v>4</v>
      </c>
      <c r="R1416" s="21" t="str">
        <f>IFERROR(VLOOKUP("APC",Controls!A:K,10,0),"")</f>
        <v>ST Pharm</v>
      </c>
      <c r="S1416" s="41">
        <f t="shared" si="157"/>
        <v>50771</v>
      </c>
      <c r="T1416" s="30">
        <f t="shared" si="158"/>
        <v>0</v>
      </c>
      <c r="AB1416">
        <f t="shared" si="160"/>
        <v>86.240000000000009</v>
      </c>
    </row>
    <row r="1417" spans="1:28" ht="13" customHeight="1" x14ac:dyDescent="0.35">
      <c r="A1417" s="153">
        <v>50922</v>
      </c>
      <c r="B1417" s="36" t="s">
        <v>56</v>
      </c>
      <c r="C1417" s="15" t="s">
        <v>52</v>
      </c>
      <c r="D1417" s="15" t="s">
        <v>48</v>
      </c>
      <c r="E1417" s="30">
        <f>H1416</f>
        <v>32.679999999999986</v>
      </c>
      <c r="F1417" s="37">
        <f>IFERROR('Production Inputs'!$FP$37*Dependencies!$D$15,0)</f>
        <v>0</v>
      </c>
      <c r="G1417" s="37">
        <f t="array" ref="G1417">IFERROR(SUMPRODUCT(('Production Inputs'!$A:$A="APC")*('Production Inputs'!$B:$B="TOTAL ACTIVE")*'Production Inputs'!$FP:$FP),0)</f>
        <v>0</v>
      </c>
      <c r="H1417" s="30">
        <f t="shared" si="154"/>
        <v>32.679999999999986</v>
      </c>
      <c r="I1417" s="30">
        <f ca="1">IFERROR(AVERAGEIF(OFFSET(F1417,0,0,MIN(Controls!$B$8,COUNTIF(B1417:B$1973,B1417)),1),"&gt;"&amp;0),0)</f>
        <v>0</v>
      </c>
      <c r="J1417" s="38">
        <f t="shared" ca="1" si="155"/>
        <v>999</v>
      </c>
      <c r="K1417" s="30">
        <f t="shared" ca="1" si="159"/>
        <v>0</v>
      </c>
      <c r="L1417" t="str">
        <f t="shared" ca="1" si="156"/>
        <v>Overstock</v>
      </c>
      <c r="M1417" s="39">
        <f>IFERROR(VLOOKUP("APC",Controls!A:I,7,0),6)</f>
        <v>4</v>
      </c>
      <c r="N1417" s="39">
        <f>IFERROR(VLOOKUP("APC",Controls!A:I,8,0),3)</f>
        <v>3</v>
      </c>
      <c r="O1417" s="39">
        <f>IFERROR(VLOOKUP("APC",Controls!A:I,9,0),18)</f>
        <v>12</v>
      </c>
      <c r="P1417" s="40">
        <f>IFERROR(VLOOKUP("APC",Controls!A:J,5,0),0)</f>
        <v>40</v>
      </c>
      <c r="Q1417" s="39">
        <f>IFERROR(VLOOKUP("APC",Controls!A:J,6,0),3)</f>
        <v>4</v>
      </c>
      <c r="R1417" s="21" t="str">
        <f>IFERROR(VLOOKUP("APC",Controls!A:K,10,0),"")</f>
        <v>ST Pharm</v>
      </c>
      <c r="S1417" s="41">
        <f t="shared" si="157"/>
        <v>50802</v>
      </c>
      <c r="T1417" s="30">
        <f t="shared" si="158"/>
        <v>0</v>
      </c>
      <c r="AB1417">
        <f t="shared" si="160"/>
        <v>86.240000000000009</v>
      </c>
    </row>
    <row r="1418" spans="1:28" ht="13" customHeight="1" x14ac:dyDescent="0.35">
      <c r="A1418" s="153">
        <v>50952</v>
      </c>
      <c r="B1418" s="36" t="s">
        <v>56</v>
      </c>
      <c r="C1418" s="15" t="s">
        <v>52</v>
      </c>
      <c r="D1418" s="15" t="s">
        <v>48</v>
      </c>
      <c r="E1418" s="30">
        <f>H1417</f>
        <v>32.679999999999986</v>
      </c>
      <c r="F1418" s="37">
        <f>IFERROR('Production Inputs'!$FQ$37*Dependencies!$D$15,0)</f>
        <v>0</v>
      </c>
      <c r="G1418" s="37">
        <f t="array" ref="G1418">IFERROR(SUMPRODUCT(('Production Inputs'!$A:$A="APC")*('Production Inputs'!$B:$B="TOTAL ACTIVE")*'Production Inputs'!$FQ:$FQ),0)</f>
        <v>0</v>
      </c>
      <c r="H1418" s="30">
        <f t="shared" si="154"/>
        <v>32.679999999999986</v>
      </c>
      <c r="I1418" s="30">
        <f ca="1">IFERROR(AVERAGEIF(OFFSET(F1418,0,0,MIN(Controls!$B$8,COUNTIF(B1418:B$1973,B1418)),1),"&gt;"&amp;0),0)</f>
        <v>0</v>
      </c>
      <c r="J1418" s="38">
        <f t="shared" ca="1" si="155"/>
        <v>999</v>
      </c>
      <c r="K1418" s="30">
        <f t="shared" ca="1" si="159"/>
        <v>0</v>
      </c>
      <c r="L1418" t="str">
        <f t="shared" ca="1" si="156"/>
        <v>Overstock</v>
      </c>
      <c r="M1418" s="39">
        <f>IFERROR(VLOOKUP("APC",Controls!A:I,7,0),6)</f>
        <v>4</v>
      </c>
      <c r="N1418" s="39">
        <f>IFERROR(VLOOKUP("APC",Controls!A:I,8,0),3)</f>
        <v>3</v>
      </c>
      <c r="O1418" s="39">
        <f>IFERROR(VLOOKUP("APC",Controls!A:I,9,0),18)</f>
        <v>12</v>
      </c>
      <c r="P1418" s="40">
        <f>IFERROR(VLOOKUP("APC",Controls!A:J,5,0),0)</f>
        <v>40</v>
      </c>
      <c r="Q1418" s="39">
        <f>IFERROR(VLOOKUP("APC",Controls!A:J,6,0),3)</f>
        <v>4</v>
      </c>
      <c r="R1418" s="21" t="str">
        <f>IFERROR(VLOOKUP("APC",Controls!A:K,10,0),"")</f>
        <v>ST Pharm</v>
      </c>
      <c r="S1418" s="41">
        <f t="shared" si="157"/>
        <v>50830</v>
      </c>
      <c r="T1418" s="30">
        <f t="shared" si="158"/>
        <v>0</v>
      </c>
      <c r="AB1418">
        <f t="shared" si="160"/>
        <v>86.240000000000009</v>
      </c>
    </row>
    <row r="1419" spans="1:28" ht="13" customHeight="1" x14ac:dyDescent="0.35">
      <c r="A1419" s="153">
        <v>50983</v>
      </c>
      <c r="B1419" s="36" t="s">
        <v>56</v>
      </c>
      <c r="C1419" s="15" t="s">
        <v>52</v>
      </c>
      <c r="D1419" s="15" t="s">
        <v>48</v>
      </c>
      <c r="E1419" s="30">
        <f>H1418</f>
        <v>32.679999999999986</v>
      </c>
      <c r="F1419" s="37">
        <f>IFERROR('Production Inputs'!$FR$37*Dependencies!$D$15,0)</f>
        <v>0</v>
      </c>
      <c r="G1419" s="37">
        <f t="array" ref="G1419">IFERROR(SUMPRODUCT(('Production Inputs'!$A:$A="APC")*('Production Inputs'!$B:$B="TOTAL ACTIVE")*'Production Inputs'!$FR:$FR),0)</f>
        <v>0</v>
      </c>
      <c r="H1419" s="30">
        <f t="shared" si="154"/>
        <v>32.679999999999986</v>
      </c>
      <c r="I1419" s="30">
        <f ca="1">IFERROR(AVERAGEIF(OFFSET(F1419,0,0,MIN(Controls!$B$8,COUNTIF(B1419:B$1973,B1419)),1),"&gt;"&amp;0),0)</f>
        <v>0</v>
      </c>
      <c r="J1419" s="38">
        <f t="shared" ca="1" si="155"/>
        <v>999</v>
      </c>
      <c r="K1419" s="30">
        <f t="shared" ca="1" si="159"/>
        <v>0</v>
      </c>
      <c r="L1419" t="str">
        <f t="shared" ca="1" si="156"/>
        <v>Overstock</v>
      </c>
      <c r="M1419" s="39">
        <f>IFERROR(VLOOKUP("APC",Controls!A:I,7,0),6)</f>
        <v>4</v>
      </c>
      <c r="N1419" s="39">
        <f>IFERROR(VLOOKUP("APC",Controls!A:I,8,0),3)</f>
        <v>3</v>
      </c>
      <c r="O1419" s="39">
        <f>IFERROR(VLOOKUP("APC",Controls!A:I,9,0),18)</f>
        <v>12</v>
      </c>
      <c r="P1419" s="40">
        <f>IFERROR(VLOOKUP("APC",Controls!A:J,5,0),0)</f>
        <v>40</v>
      </c>
      <c r="Q1419" s="39">
        <f>IFERROR(VLOOKUP("APC",Controls!A:J,6,0),3)</f>
        <v>4</v>
      </c>
      <c r="R1419" s="21" t="str">
        <f>IFERROR(VLOOKUP("APC",Controls!A:K,10,0),"")</f>
        <v>ST Pharm</v>
      </c>
      <c r="S1419" s="41">
        <f t="shared" si="157"/>
        <v>50861</v>
      </c>
      <c r="T1419" s="30">
        <f t="shared" si="158"/>
        <v>0</v>
      </c>
      <c r="AB1419">
        <f t="shared" si="160"/>
        <v>86.240000000000009</v>
      </c>
    </row>
    <row r="1420" spans="1:28" ht="13" customHeight="1" x14ac:dyDescent="0.35">
      <c r="A1420" s="153">
        <v>51014</v>
      </c>
      <c r="B1420" s="36" t="s">
        <v>56</v>
      </c>
      <c r="C1420" s="15" t="s">
        <v>52</v>
      </c>
      <c r="D1420" s="15" t="s">
        <v>48</v>
      </c>
      <c r="E1420" s="30">
        <f>H1419</f>
        <v>32.679999999999986</v>
      </c>
      <c r="F1420" s="37">
        <f>IFERROR('Production Inputs'!$FS$37*Dependencies!$D$15,0)</f>
        <v>0</v>
      </c>
      <c r="G1420" s="37">
        <f t="array" ref="G1420">IFERROR(SUMPRODUCT(('Production Inputs'!$A:$A="APC")*('Production Inputs'!$B:$B="TOTAL ACTIVE")*'Production Inputs'!$FS:$FS),0)</f>
        <v>0</v>
      </c>
      <c r="H1420" s="30">
        <f t="shared" si="154"/>
        <v>32.679999999999986</v>
      </c>
      <c r="I1420" s="30">
        <f ca="1">IFERROR(AVERAGEIF(OFFSET(F1420,0,0,MIN(Controls!$B$8,COUNTIF(B1420:B$1973,B1420)),1),"&gt;"&amp;0),0)</f>
        <v>0</v>
      </c>
      <c r="J1420" s="38">
        <f t="shared" ca="1" si="155"/>
        <v>999</v>
      </c>
      <c r="K1420" s="30">
        <f t="shared" ca="1" si="159"/>
        <v>0</v>
      </c>
      <c r="L1420" t="str">
        <f t="shared" ca="1" si="156"/>
        <v>Overstock</v>
      </c>
      <c r="M1420" s="39">
        <f>IFERROR(VLOOKUP("APC",Controls!A:I,7,0),6)</f>
        <v>4</v>
      </c>
      <c r="N1420" s="39">
        <f>IFERROR(VLOOKUP("APC",Controls!A:I,8,0),3)</f>
        <v>3</v>
      </c>
      <c r="O1420" s="39">
        <f>IFERROR(VLOOKUP("APC",Controls!A:I,9,0),18)</f>
        <v>12</v>
      </c>
      <c r="P1420" s="40">
        <f>IFERROR(VLOOKUP("APC",Controls!A:J,5,0),0)</f>
        <v>40</v>
      </c>
      <c r="Q1420" s="39">
        <f>IFERROR(VLOOKUP("APC",Controls!A:J,6,0),3)</f>
        <v>4</v>
      </c>
      <c r="R1420" s="21" t="str">
        <f>IFERROR(VLOOKUP("APC",Controls!A:K,10,0),"")</f>
        <v>ST Pharm</v>
      </c>
      <c r="S1420" s="41">
        <f t="shared" si="157"/>
        <v>50891</v>
      </c>
      <c r="T1420" s="30">
        <f t="shared" si="158"/>
        <v>0</v>
      </c>
      <c r="AB1420">
        <f t="shared" si="160"/>
        <v>86.240000000000009</v>
      </c>
    </row>
    <row r="1421" spans="1:28" ht="13" customHeight="1" x14ac:dyDescent="0.35">
      <c r="A1421" s="153">
        <v>51044</v>
      </c>
      <c r="B1421" s="36" t="s">
        <v>56</v>
      </c>
      <c r="C1421" s="15" t="s">
        <v>52</v>
      </c>
      <c r="D1421" s="15" t="s">
        <v>48</v>
      </c>
      <c r="E1421" s="30">
        <f>H1420</f>
        <v>32.679999999999986</v>
      </c>
      <c r="F1421" s="37">
        <f>IFERROR('Production Inputs'!$FT$37*Dependencies!$D$15,0)</f>
        <v>0</v>
      </c>
      <c r="G1421" s="37">
        <f t="array" ref="G1421">IFERROR(SUMPRODUCT(('Production Inputs'!$A:$A="APC")*('Production Inputs'!$B:$B="TOTAL ACTIVE")*'Production Inputs'!$FT:$FT),0)</f>
        <v>0</v>
      </c>
      <c r="H1421" s="30">
        <f t="shared" si="154"/>
        <v>32.679999999999986</v>
      </c>
      <c r="I1421" s="30">
        <f ca="1">IFERROR(AVERAGEIF(OFFSET(F1421,0,0,MIN(Controls!$B$8,COUNTIF(B1421:B$1973,B1421)),1),"&gt;"&amp;0),0)</f>
        <v>0</v>
      </c>
      <c r="J1421" s="38">
        <f t="shared" ca="1" si="155"/>
        <v>999</v>
      </c>
      <c r="K1421" s="30">
        <f t="shared" ca="1" si="159"/>
        <v>0</v>
      </c>
      <c r="L1421" t="str">
        <f t="shared" ca="1" si="156"/>
        <v>Overstock</v>
      </c>
      <c r="M1421" s="39">
        <f>IFERROR(VLOOKUP("APC",Controls!A:I,7,0),6)</f>
        <v>4</v>
      </c>
      <c r="N1421" s="39">
        <f>IFERROR(VLOOKUP("APC",Controls!A:I,8,0),3)</f>
        <v>3</v>
      </c>
      <c r="O1421" s="39">
        <f>IFERROR(VLOOKUP("APC",Controls!A:I,9,0),18)</f>
        <v>12</v>
      </c>
      <c r="P1421" s="40">
        <f>IFERROR(VLOOKUP("APC",Controls!A:J,5,0),0)</f>
        <v>40</v>
      </c>
      <c r="Q1421" s="39">
        <f>IFERROR(VLOOKUP("APC",Controls!A:J,6,0),3)</f>
        <v>4</v>
      </c>
      <c r="R1421" s="21" t="str">
        <f>IFERROR(VLOOKUP("APC",Controls!A:K,10,0),"")</f>
        <v>ST Pharm</v>
      </c>
      <c r="S1421" s="41">
        <f t="shared" si="157"/>
        <v>50922</v>
      </c>
      <c r="T1421" s="30">
        <f t="shared" si="158"/>
        <v>0</v>
      </c>
      <c r="AB1421">
        <f t="shared" si="160"/>
        <v>86.240000000000009</v>
      </c>
    </row>
    <row r="1422" spans="1:28" ht="13" customHeight="1" x14ac:dyDescent="0.35">
      <c r="A1422" s="153">
        <v>51075</v>
      </c>
      <c r="B1422" s="36" t="s">
        <v>56</v>
      </c>
      <c r="C1422" s="15" t="s">
        <v>52</v>
      </c>
      <c r="D1422" s="15" t="s">
        <v>48</v>
      </c>
      <c r="E1422" s="30">
        <f>H1421</f>
        <v>32.679999999999986</v>
      </c>
      <c r="F1422" s="37">
        <f>IFERROR('Production Inputs'!$FU$37*Dependencies!$D$15,0)</f>
        <v>0</v>
      </c>
      <c r="G1422" s="37">
        <f t="array" ref="G1422">IFERROR(SUMPRODUCT(('Production Inputs'!$A:$A="APC")*('Production Inputs'!$B:$B="TOTAL ACTIVE")*'Production Inputs'!$FU:$FU),0)</f>
        <v>0</v>
      </c>
      <c r="H1422" s="30">
        <f t="shared" si="154"/>
        <v>32.679999999999986</v>
      </c>
      <c r="I1422" s="30">
        <f ca="1">IFERROR(AVERAGEIF(OFFSET(F1422,0,0,MIN(Controls!$B$8,COUNTIF(B1422:B$1973,B1422)),1),"&gt;"&amp;0),0)</f>
        <v>0</v>
      </c>
      <c r="J1422" s="38">
        <f t="shared" ca="1" si="155"/>
        <v>999</v>
      </c>
      <c r="K1422" s="30">
        <f t="shared" ca="1" si="159"/>
        <v>0</v>
      </c>
      <c r="L1422" t="str">
        <f t="shared" ca="1" si="156"/>
        <v>Overstock</v>
      </c>
      <c r="M1422" s="39">
        <f>IFERROR(VLOOKUP("APC",Controls!A:I,7,0),6)</f>
        <v>4</v>
      </c>
      <c r="N1422" s="39">
        <f>IFERROR(VLOOKUP("APC",Controls!A:I,8,0),3)</f>
        <v>3</v>
      </c>
      <c r="O1422" s="39">
        <f>IFERROR(VLOOKUP("APC",Controls!A:I,9,0),18)</f>
        <v>12</v>
      </c>
      <c r="P1422" s="40">
        <f>IFERROR(VLOOKUP("APC",Controls!A:J,5,0),0)</f>
        <v>40</v>
      </c>
      <c r="Q1422" s="39">
        <f>IFERROR(VLOOKUP("APC",Controls!A:J,6,0),3)</f>
        <v>4</v>
      </c>
      <c r="R1422" s="21" t="str">
        <f>IFERROR(VLOOKUP("APC",Controls!A:K,10,0),"")</f>
        <v>ST Pharm</v>
      </c>
      <c r="S1422" s="41">
        <f t="shared" si="157"/>
        <v>50952</v>
      </c>
      <c r="T1422" s="30">
        <f t="shared" si="158"/>
        <v>0</v>
      </c>
      <c r="AB1422">
        <f t="shared" si="160"/>
        <v>86.240000000000009</v>
      </c>
    </row>
    <row r="1423" spans="1:28" ht="13" customHeight="1" x14ac:dyDescent="0.35">
      <c r="A1423" s="153">
        <v>51105</v>
      </c>
      <c r="B1423" s="36" t="s">
        <v>56</v>
      </c>
      <c r="C1423" s="15" t="s">
        <v>52</v>
      </c>
      <c r="D1423" s="15" t="s">
        <v>48</v>
      </c>
      <c r="E1423" s="30">
        <f>H1422</f>
        <v>32.679999999999986</v>
      </c>
      <c r="F1423" s="37">
        <f>IFERROR('Production Inputs'!$FV$37*Dependencies!$D$15,0)</f>
        <v>0</v>
      </c>
      <c r="G1423" s="37">
        <f t="array" ref="G1423">IFERROR(SUMPRODUCT(('Production Inputs'!$A:$A="APC")*('Production Inputs'!$B:$B="TOTAL ACTIVE")*'Production Inputs'!$FV:$FV),0)</f>
        <v>0</v>
      </c>
      <c r="H1423" s="30">
        <f t="shared" si="154"/>
        <v>32.679999999999986</v>
      </c>
      <c r="I1423" s="30">
        <f ca="1">IFERROR(AVERAGEIF(OFFSET(F1423,0,0,MIN(Controls!$B$8,COUNTIF(B1423:B$1973,B1423)),1),"&gt;"&amp;0),0)</f>
        <v>0</v>
      </c>
      <c r="J1423" s="38">
        <f t="shared" ca="1" si="155"/>
        <v>999</v>
      </c>
      <c r="K1423" s="30">
        <f t="shared" ca="1" si="159"/>
        <v>0</v>
      </c>
      <c r="L1423" t="str">
        <f t="shared" ca="1" si="156"/>
        <v>Overstock</v>
      </c>
      <c r="M1423" s="39">
        <f>IFERROR(VLOOKUP("APC",Controls!A:I,7,0),6)</f>
        <v>4</v>
      </c>
      <c r="N1423" s="39">
        <f>IFERROR(VLOOKUP("APC",Controls!A:I,8,0),3)</f>
        <v>3</v>
      </c>
      <c r="O1423" s="39">
        <f>IFERROR(VLOOKUP("APC",Controls!A:I,9,0),18)</f>
        <v>12</v>
      </c>
      <c r="P1423" s="40">
        <f>IFERROR(VLOOKUP("APC",Controls!A:J,5,0),0)</f>
        <v>40</v>
      </c>
      <c r="Q1423" s="39">
        <f>IFERROR(VLOOKUP("APC",Controls!A:J,6,0),3)</f>
        <v>4</v>
      </c>
      <c r="R1423" s="21" t="str">
        <f>IFERROR(VLOOKUP("APC",Controls!A:K,10,0),"")</f>
        <v>ST Pharm</v>
      </c>
      <c r="S1423" s="41">
        <f t="shared" si="157"/>
        <v>50983</v>
      </c>
      <c r="T1423" s="30">
        <f t="shared" si="158"/>
        <v>0</v>
      </c>
      <c r="AB1423">
        <f t="shared" si="160"/>
        <v>86.240000000000009</v>
      </c>
    </row>
    <row r="1424" spans="1:28" ht="13" customHeight="1" x14ac:dyDescent="0.35">
      <c r="A1424" s="153">
        <v>51136</v>
      </c>
      <c r="B1424" s="36" t="s">
        <v>56</v>
      </c>
      <c r="C1424" s="15" t="s">
        <v>52</v>
      </c>
      <c r="D1424" s="15" t="s">
        <v>48</v>
      </c>
      <c r="E1424" s="30">
        <f>H1423</f>
        <v>32.679999999999986</v>
      </c>
      <c r="F1424" s="37">
        <f>IFERROR('Production Inputs'!$FW$37*Dependencies!$D$15,0)</f>
        <v>0</v>
      </c>
      <c r="G1424" s="37">
        <f t="array" ref="G1424">IFERROR(SUMPRODUCT(('Production Inputs'!$A:$A="APC")*('Production Inputs'!$B:$B="TOTAL ACTIVE")*'Production Inputs'!$FW:$FW),0)</f>
        <v>0</v>
      </c>
      <c r="H1424" s="30">
        <f t="shared" si="154"/>
        <v>32.679999999999986</v>
      </c>
      <c r="I1424" s="30">
        <f ca="1">IFERROR(AVERAGEIF(OFFSET(F1424,0,0,MIN(Controls!$B$8,COUNTIF(B1424:B$1973,B1424)),1),"&gt;"&amp;0),0)</f>
        <v>0</v>
      </c>
      <c r="J1424" s="38">
        <f t="shared" ca="1" si="155"/>
        <v>999</v>
      </c>
      <c r="K1424" s="30">
        <f t="shared" ca="1" si="159"/>
        <v>0</v>
      </c>
      <c r="L1424" t="str">
        <f t="shared" ca="1" si="156"/>
        <v>Overstock</v>
      </c>
      <c r="M1424" s="39">
        <f>IFERROR(VLOOKUP("APC",Controls!A:I,7,0),6)</f>
        <v>4</v>
      </c>
      <c r="N1424" s="39">
        <f>IFERROR(VLOOKUP("APC",Controls!A:I,8,0),3)</f>
        <v>3</v>
      </c>
      <c r="O1424" s="39">
        <f>IFERROR(VLOOKUP("APC",Controls!A:I,9,0),18)</f>
        <v>12</v>
      </c>
      <c r="P1424" s="40">
        <f>IFERROR(VLOOKUP("APC",Controls!A:J,5,0),0)</f>
        <v>40</v>
      </c>
      <c r="Q1424" s="39">
        <f>IFERROR(VLOOKUP("APC",Controls!A:J,6,0),3)</f>
        <v>4</v>
      </c>
      <c r="R1424" s="21" t="str">
        <f>IFERROR(VLOOKUP("APC",Controls!A:K,10,0),"")</f>
        <v>ST Pharm</v>
      </c>
      <c r="S1424" s="41">
        <f t="shared" si="157"/>
        <v>51014</v>
      </c>
      <c r="T1424" s="30">
        <f t="shared" si="158"/>
        <v>0</v>
      </c>
      <c r="AB1424">
        <f t="shared" si="160"/>
        <v>86.240000000000009</v>
      </c>
    </row>
    <row r="1425" spans="1:28" ht="13" customHeight="1" x14ac:dyDescent="0.35">
      <c r="A1425" s="153">
        <v>51167</v>
      </c>
      <c r="B1425" s="36" t="s">
        <v>56</v>
      </c>
      <c r="C1425" s="15" t="s">
        <v>52</v>
      </c>
      <c r="D1425" s="15" t="s">
        <v>48</v>
      </c>
      <c r="E1425" s="30">
        <f>H1424</f>
        <v>32.679999999999986</v>
      </c>
      <c r="F1425" s="37">
        <f>IFERROR('Production Inputs'!$FX$37*Dependencies!$D$15,0)</f>
        <v>0</v>
      </c>
      <c r="G1425" s="37">
        <f t="array" ref="G1425">IFERROR(SUMPRODUCT(('Production Inputs'!$A:$A="APC")*('Production Inputs'!$B:$B="TOTAL ACTIVE")*'Production Inputs'!$FX:$FX),0)</f>
        <v>0</v>
      </c>
      <c r="H1425" s="30">
        <f t="shared" si="154"/>
        <v>32.679999999999986</v>
      </c>
      <c r="I1425" s="30">
        <f ca="1">IFERROR(AVERAGEIF(OFFSET(F1425,0,0,MIN(Controls!$B$8,COUNTIF(B1425:B$1973,B1425)),1),"&gt;"&amp;0),0)</f>
        <v>0</v>
      </c>
      <c r="J1425" s="38">
        <f t="shared" ca="1" si="155"/>
        <v>999</v>
      </c>
      <c r="K1425" s="30">
        <f t="shared" ca="1" si="159"/>
        <v>0</v>
      </c>
      <c r="L1425" t="str">
        <f t="shared" ca="1" si="156"/>
        <v>Overstock</v>
      </c>
      <c r="M1425" s="39">
        <f>IFERROR(VLOOKUP("APC",Controls!A:I,7,0),6)</f>
        <v>4</v>
      </c>
      <c r="N1425" s="39">
        <f>IFERROR(VLOOKUP("APC",Controls!A:I,8,0),3)</f>
        <v>3</v>
      </c>
      <c r="O1425" s="39">
        <f>IFERROR(VLOOKUP("APC",Controls!A:I,9,0),18)</f>
        <v>12</v>
      </c>
      <c r="P1425" s="40">
        <f>IFERROR(VLOOKUP("APC",Controls!A:J,5,0),0)</f>
        <v>40</v>
      </c>
      <c r="Q1425" s="39">
        <f>IFERROR(VLOOKUP("APC",Controls!A:J,6,0),3)</f>
        <v>4</v>
      </c>
      <c r="R1425" s="21" t="str">
        <f>IFERROR(VLOOKUP("APC",Controls!A:K,10,0),"")</f>
        <v>ST Pharm</v>
      </c>
      <c r="S1425" s="41">
        <f t="shared" si="157"/>
        <v>51044</v>
      </c>
      <c r="T1425" s="30">
        <f t="shared" si="158"/>
        <v>0</v>
      </c>
      <c r="AB1425">
        <f t="shared" si="160"/>
        <v>86.240000000000009</v>
      </c>
    </row>
    <row r="1426" spans="1:28" ht="13" customHeight="1" x14ac:dyDescent="0.35">
      <c r="A1426" s="153">
        <v>51196</v>
      </c>
      <c r="B1426" s="36" t="s">
        <v>56</v>
      </c>
      <c r="C1426" s="15" t="s">
        <v>52</v>
      </c>
      <c r="D1426" s="15" t="s">
        <v>48</v>
      </c>
      <c r="E1426" s="30">
        <f>H1425</f>
        <v>32.679999999999986</v>
      </c>
      <c r="F1426" s="37">
        <f>IFERROR('Production Inputs'!$FY$37*Dependencies!$D$15,0)</f>
        <v>0</v>
      </c>
      <c r="G1426" s="37">
        <f t="array" ref="G1426">IFERROR(SUMPRODUCT(('Production Inputs'!$A:$A="APC")*('Production Inputs'!$B:$B="TOTAL ACTIVE")*'Production Inputs'!$FY:$FY),0)</f>
        <v>0</v>
      </c>
      <c r="H1426" s="30">
        <f t="shared" si="154"/>
        <v>32.679999999999986</v>
      </c>
      <c r="I1426" s="30">
        <f ca="1">IFERROR(AVERAGEIF(OFFSET(F1426,0,0,MIN(Controls!$B$8,COUNTIF(B1426:B$1973,B1426)),1),"&gt;"&amp;0),0)</f>
        <v>0</v>
      </c>
      <c r="J1426" s="38">
        <f t="shared" ca="1" si="155"/>
        <v>999</v>
      </c>
      <c r="K1426" s="30">
        <f t="shared" ca="1" si="159"/>
        <v>0</v>
      </c>
      <c r="L1426" t="str">
        <f t="shared" ca="1" si="156"/>
        <v>Overstock</v>
      </c>
      <c r="M1426" s="39">
        <f>IFERROR(VLOOKUP("APC",Controls!A:I,7,0),6)</f>
        <v>4</v>
      </c>
      <c r="N1426" s="39">
        <f>IFERROR(VLOOKUP("APC",Controls!A:I,8,0),3)</f>
        <v>3</v>
      </c>
      <c r="O1426" s="39">
        <f>IFERROR(VLOOKUP("APC",Controls!A:I,9,0),18)</f>
        <v>12</v>
      </c>
      <c r="P1426" s="40">
        <f>IFERROR(VLOOKUP("APC",Controls!A:J,5,0),0)</f>
        <v>40</v>
      </c>
      <c r="Q1426" s="39">
        <f>IFERROR(VLOOKUP("APC",Controls!A:J,6,0),3)</f>
        <v>4</v>
      </c>
      <c r="R1426" s="21" t="str">
        <f>IFERROR(VLOOKUP("APC",Controls!A:K,10,0),"")</f>
        <v>ST Pharm</v>
      </c>
      <c r="S1426" s="41">
        <f t="shared" si="157"/>
        <v>51075</v>
      </c>
      <c r="T1426" s="30">
        <f t="shared" si="158"/>
        <v>0</v>
      </c>
      <c r="AB1426">
        <f t="shared" si="160"/>
        <v>86.240000000000009</v>
      </c>
    </row>
    <row r="1427" spans="1:28" ht="13" customHeight="1" x14ac:dyDescent="0.35">
      <c r="A1427" s="153">
        <v>51227</v>
      </c>
      <c r="B1427" s="36" t="s">
        <v>56</v>
      </c>
      <c r="C1427" s="15" t="s">
        <v>52</v>
      </c>
      <c r="D1427" s="15" t="s">
        <v>48</v>
      </c>
      <c r="E1427" s="30">
        <f>H1426</f>
        <v>32.679999999999986</v>
      </c>
      <c r="F1427" s="37">
        <f>IFERROR('Production Inputs'!$FZ$37*Dependencies!$D$15,0)</f>
        <v>0</v>
      </c>
      <c r="G1427" s="37">
        <f t="array" ref="G1427">IFERROR(SUMPRODUCT(('Production Inputs'!$A:$A="APC")*('Production Inputs'!$B:$B="TOTAL ACTIVE")*'Production Inputs'!$FZ:$FZ),0)</f>
        <v>0</v>
      </c>
      <c r="H1427" s="30">
        <f t="shared" si="154"/>
        <v>32.679999999999986</v>
      </c>
      <c r="I1427" s="30">
        <f ca="1">IFERROR(AVERAGEIF(OFFSET(F1427,0,0,MIN(Controls!$B$8,COUNTIF(B1427:B$1973,B1427)),1),"&gt;"&amp;0),0)</f>
        <v>0</v>
      </c>
      <c r="J1427" s="38">
        <f t="shared" ca="1" si="155"/>
        <v>999</v>
      </c>
      <c r="K1427" s="30">
        <f t="shared" ca="1" si="159"/>
        <v>0</v>
      </c>
      <c r="L1427" t="str">
        <f t="shared" ca="1" si="156"/>
        <v>Overstock</v>
      </c>
      <c r="M1427" s="39">
        <f>IFERROR(VLOOKUP("APC",Controls!A:I,7,0),6)</f>
        <v>4</v>
      </c>
      <c r="N1427" s="39">
        <f>IFERROR(VLOOKUP("APC",Controls!A:I,8,0),3)</f>
        <v>3</v>
      </c>
      <c r="O1427" s="39">
        <f>IFERROR(VLOOKUP("APC",Controls!A:I,9,0),18)</f>
        <v>12</v>
      </c>
      <c r="P1427" s="40">
        <f>IFERROR(VLOOKUP("APC",Controls!A:J,5,0),0)</f>
        <v>40</v>
      </c>
      <c r="Q1427" s="39">
        <f>IFERROR(VLOOKUP("APC",Controls!A:J,6,0),3)</f>
        <v>4</v>
      </c>
      <c r="R1427" s="21" t="str">
        <f>IFERROR(VLOOKUP("APC",Controls!A:K,10,0),"")</f>
        <v>ST Pharm</v>
      </c>
      <c r="S1427" s="41">
        <f t="shared" si="157"/>
        <v>51105</v>
      </c>
      <c r="T1427" s="30">
        <f t="shared" si="158"/>
        <v>0</v>
      </c>
      <c r="AB1427">
        <f t="shared" si="160"/>
        <v>86.240000000000009</v>
      </c>
    </row>
    <row r="1428" spans="1:28" ht="13" customHeight="1" x14ac:dyDescent="0.35">
      <c r="A1428" s="153">
        <v>51257</v>
      </c>
      <c r="B1428" s="36" t="s">
        <v>56</v>
      </c>
      <c r="C1428" s="15" t="s">
        <v>52</v>
      </c>
      <c r="D1428" s="15" t="s">
        <v>48</v>
      </c>
      <c r="E1428" s="30">
        <f>H1427</f>
        <v>32.679999999999986</v>
      </c>
      <c r="F1428" s="37">
        <f>IFERROR('Production Inputs'!$GA$37*Dependencies!$D$15,0)</f>
        <v>0</v>
      </c>
      <c r="G1428" s="37">
        <f t="array" ref="G1428">IFERROR(SUMPRODUCT(('Production Inputs'!$A:$A="APC")*('Production Inputs'!$B:$B="TOTAL ACTIVE")*'Production Inputs'!$GA:$GA),0)</f>
        <v>0</v>
      </c>
      <c r="H1428" s="30">
        <f t="shared" si="154"/>
        <v>32.679999999999986</v>
      </c>
      <c r="I1428" s="30">
        <f ca="1">IFERROR(AVERAGEIF(OFFSET(F1428,0,0,MIN(Controls!$B$8,COUNTIF(B1428:B$1973,B1428)),1),"&gt;"&amp;0),0)</f>
        <v>0</v>
      </c>
      <c r="J1428" s="38">
        <f t="shared" ca="1" si="155"/>
        <v>999</v>
      </c>
      <c r="K1428" s="30">
        <f t="shared" ca="1" si="159"/>
        <v>0</v>
      </c>
      <c r="L1428" t="str">
        <f t="shared" ca="1" si="156"/>
        <v>Overstock</v>
      </c>
      <c r="M1428" s="39">
        <f>IFERROR(VLOOKUP("APC",Controls!A:I,7,0),6)</f>
        <v>4</v>
      </c>
      <c r="N1428" s="39">
        <f>IFERROR(VLOOKUP("APC",Controls!A:I,8,0),3)</f>
        <v>3</v>
      </c>
      <c r="O1428" s="39">
        <f>IFERROR(VLOOKUP("APC",Controls!A:I,9,0),18)</f>
        <v>12</v>
      </c>
      <c r="P1428" s="40">
        <f>IFERROR(VLOOKUP("APC",Controls!A:J,5,0),0)</f>
        <v>40</v>
      </c>
      <c r="Q1428" s="39">
        <f>IFERROR(VLOOKUP("APC",Controls!A:J,6,0),3)</f>
        <v>4</v>
      </c>
      <c r="R1428" s="21" t="str">
        <f>IFERROR(VLOOKUP("APC",Controls!A:K,10,0),"")</f>
        <v>ST Pharm</v>
      </c>
      <c r="S1428" s="41">
        <f t="shared" si="157"/>
        <v>51136</v>
      </c>
      <c r="T1428" s="30">
        <f t="shared" si="158"/>
        <v>0</v>
      </c>
      <c r="AB1428">
        <f t="shared" si="160"/>
        <v>86.240000000000009</v>
      </c>
    </row>
    <row r="1429" spans="1:28" ht="13" customHeight="1" x14ac:dyDescent="0.35">
      <c r="A1429" s="153">
        <v>51288</v>
      </c>
      <c r="B1429" s="36" t="s">
        <v>56</v>
      </c>
      <c r="C1429" s="15" t="s">
        <v>52</v>
      </c>
      <c r="D1429" s="15" t="s">
        <v>48</v>
      </c>
      <c r="E1429" s="30">
        <f>H1428</f>
        <v>32.679999999999986</v>
      </c>
      <c r="F1429" s="37">
        <f>IFERROR('Production Inputs'!$GB$37*Dependencies!$D$15,0)</f>
        <v>0</v>
      </c>
      <c r="G1429" s="37">
        <f t="array" ref="G1429">IFERROR(SUMPRODUCT(('Production Inputs'!$A:$A="APC")*('Production Inputs'!$B:$B="TOTAL ACTIVE")*'Production Inputs'!$GB:$GB),0)</f>
        <v>0</v>
      </c>
      <c r="H1429" s="30">
        <f t="shared" si="154"/>
        <v>32.679999999999986</v>
      </c>
      <c r="I1429" s="30">
        <f ca="1">IFERROR(AVERAGEIF(OFFSET(F1429,0,0,MIN(Controls!$B$8,COUNTIF(B1429:B$1973,B1429)),1),"&gt;"&amp;0),0)</f>
        <v>0</v>
      </c>
      <c r="J1429" s="38">
        <f t="shared" ca="1" si="155"/>
        <v>999</v>
      </c>
      <c r="K1429" s="30">
        <f t="shared" ca="1" si="159"/>
        <v>0</v>
      </c>
      <c r="L1429" t="str">
        <f t="shared" ca="1" si="156"/>
        <v>Overstock</v>
      </c>
      <c r="M1429" s="39">
        <f>IFERROR(VLOOKUP("APC",Controls!A:I,7,0),6)</f>
        <v>4</v>
      </c>
      <c r="N1429" s="39">
        <f>IFERROR(VLOOKUP("APC",Controls!A:I,8,0),3)</f>
        <v>3</v>
      </c>
      <c r="O1429" s="39">
        <f>IFERROR(VLOOKUP("APC",Controls!A:I,9,0),18)</f>
        <v>12</v>
      </c>
      <c r="P1429" s="40">
        <f>IFERROR(VLOOKUP("APC",Controls!A:J,5,0),0)</f>
        <v>40</v>
      </c>
      <c r="Q1429" s="39">
        <f>IFERROR(VLOOKUP("APC",Controls!A:J,6,0),3)</f>
        <v>4</v>
      </c>
      <c r="R1429" s="21" t="str">
        <f>IFERROR(VLOOKUP("APC",Controls!A:K,10,0),"")</f>
        <v>ST Pharm</v>
      </c>
      <c r="S1429" s="41">
        <f t="shared" si="157"/>
        <v>51167</v>
      </c>
      <c r="T1429" s="30">
        <f t="shared" si="158"/>
        <v>0</v>
      </c>
      <c r="AB1429">
        <f t="shared" si="160"/>
        <v>86.240000000000009</v>
      </c>
    </row>
    <row r="1430" spans="1:28" ht="13" customHeight="1" x14ac:dyDescent="0.35">
      <c r="A1430" s="153">
        <v>51318</v>
      </c>
      <c r="B1430" s="36" t="s">
        <v>56</v>
      </c>
      <c r="C1430" s="15" t="s">
        <v>52</v>
      </c>
      <c r="D1430" s="15" t="s">
        <v>48</v>
      </c>
      <c r="E1430" s="30">
        <f>H1429</f>
        <v>32.679999999999986</v>
      </c>
      <c r="F1430" s="37">
        <f>IFERROR('Production Inputs'!$GC$37*Dependencies!$D$15,0)</f>
        <v>0</v>
      </c>
      <c r="G1430" s="37">
        <f t="array" ref="G1430">IFERROR(SUMPRODUCT(('Production Inputs'!$A:$A="APC")*('Production Inputs'!$B:$B="TOTAL ACTIVE")*'Production Inputs'!$GC:$GC),0)</f>
        <v>0</v>
      </c>
      <c r="H1430" s="30">
        <f t="shared" si="154"/>
        <v>32.679999999999986</v>
      </c>
      <c r="I1430" s="30">
        <f ca="1">IFERROR(AVERAGEIF(OFFSET(F1430,0,0,MIN(Controls!$B$8,COUNTIF(B1430:B$1973,B1430)),1),"&gt;"&amp;0),0)</f>
        <v>0</v>
      </c>
      <c r="J1430" s="38">
        <f t="shared" ca="1" si="155"/>
        <v>999</v>
      </c>
      <c r="K1430" s="30">
        <f t="shared" ca="1" si="159"/>
        <v>0</v>
      </c>
      <c r="L1430" t="str">
        <f t="shared" ca="1" si="156"/>
        <v>Overstock</v>
      </c>
      <c r="M1430" s="39">
        <f>IFERROR(VLOOKUP("APC",Controls!A:I,7,0),6)</f>
        <v>4</v>
      </c>
      <c r="N1430" s="39">
        <f>IFERROR(VLOOKUP("APC",Controls!A:I,8,0),3)</f>
        <v>3</v>
      </c>
      <c r="O1430" s="39">
        <f>IFERROR(VLOOKUP("APC",Controls!A:I,9,0),18)</f>
        <v>12</v>
      </c>
      <c r="P1430" s="40">
        <f>IFERROR(VLOOKUP("APC",Controls!A:J,5,0),0)</f>
        <v>40</v>
      </c>
      <c r="Q1430" s="39">
        <f>IFERROR(VLOOKUP("APC",Controls!A:J,6,0),3)</f>
        <v>4</v>
      </c>
      <c r="R1430" s="21" t="str">
        <f>IFERROR(VLOOKUP("APC",Controls!A:K,10,0),"")</f>
        <v>ST Pharm</v>
      </c>
      <c r="S1430" s="41">
        <f t="shared" si="157"/>
        <v>51196</v>
      </c>
      <c r="T1430" s="30">
        <f t="shared" si="158"/>
        <v>0</v>
      </c>
      <c r="AB1430">
        <f t="shared" si="160"/>
        <v>86.240000000000009</v>
      </c>
    </row>
    <row r="1431" spans="1:28" ht="13" customHeight="1" x14ac:dyDescent="0.35">
      <c r="A1431" s="153">
        <v>51349</v>
      </c>
      <c r="B1431" s="36" t="s">
        <v>56</v>
      </c>
      <c r="C1431" s="15" t="s">
        <v>52</v>
      </c>
      <c r="D1431" s="15" t="s">
        <v>48</v>
      </c>
      <c r="E1431" s="30">
        <f>H1430</f>
        <v>32.679999999999986</v>
      </c>
      <c r="F1431" s="37">
        <f>IFERROR('Production Inputs'!$GD$37*Dependencies!$D$15,0)</f>
        <v>0</v>
      </c>
      <c r="G1431" s="37">
        <f t="array" ref="G1431">IFERROR(SUMPRODUCT(('Production Inputs'!$A:$A="APC")*('Production Inputs'!$B:$B="TOTAL ACTIVE")*'Production Inputs'!$GD:$GD),0)</f>
        <v>0</v>
      </c>
      <c r="H1431" s="30">
        <f t="shared" si="154"/>
        <v>32.679999999999986</v>
      </c>
      <c r="I1431" s="30">
        <f ca="1">IFERROR(AVERAGEIF(OFFSET(F1431,0,0,MIN(Controls!$B$8,COUNTIF(B1431:B$1973,B1431)),1),"&gt;"&amp;0),0)</f>
        <v>0</v>
      </c>
      <c r="J1431" s="38">
        <f t="shared" ca="1" si="155"/>
        <v>999</v>
      </c>
      <c r="K1431" s="30">
        <f t="shared" ca="1" si="159"/>
        <v>0</v>
      </c>
      <c r="L1431" t="str">
        <f t="shared" ca="1" si="156"/>
        <v>Overstock</v>
      </c>
      <c r="M1431" s="39">
        <f>IFERROR(VLOOKUP("APC",Controls!A:I,7,0),6)</f>
        <v>4</v>
      </c>
      <c r="N1431" s="39">
        <f>IFERROR(VLOOKUP("APC",Controls!A:I,8,0),3)</f>
        <v>3</v>
      </c>
      <c r="O1431" s="39">
        <f>IFERROR(VLOOKUP("APC",Controls!A:I,9,0),18)</f>
        <v>12</v>
      </c>
      <c r="P1431" s="40">
        <f>IFERROR(VLOOKUP("APC",Controls!A:J,5,0),0)</f>
        <v>40</v>
      </c>
      <c r="Q1431" s="39">
        <f>IFERROR(VLOOKUP("APC",Controls!A:J,6,0),3)</f>
        <v>4</v>
      </c>
      <c r="R1431" s="21" t="str">
        <f>IFERROR(VLOOKUP("APC",Controls!A:K,10,0),"")</f>
        <v>ST Pharm</v>
      </c>
      <c r="S1431" s="41">
        <f t="shared" si="157"/>
        <v>51227</v>
      </c>
      <c r="T1431" s="30">
        <f t="shared" si="158"/>
        <v>0</v>
      </c>
      <c r="AB1431">
        <f t="shared" si="160"/>
        <v>86.240000000000009</v>
      </c>
    </row>
    <row r="1432" spans="1:28" ht="13" customHeight="1" x14ac:dyDescent="0.35">
      <c r="A1432" s="153">
        <v>51380</v>
      </c>
      <c r="B1432" s="36" t="s">
        <v>56</v>
      </c>
      <c r="C1432" s="15" t="s">
        <v>52</v>
      </c>
      <c r="D1432" s="15" t="s">
        <v>48</v>
      </c>
      <c r="E1432" s="30">
        <f>H1431</f>
        <v>32.679999999999986</v>
      </c>
      <c r="F1432" s="37">
        <f>IFERROR('Production Inputs'!$GE$37*Dependencies!$D$15,0)</f>
        <v>0</v>
      </c>
      <c r="G1432" s="37">
        <f t="array" ref="G1432">IFERROR(SUMPRODUCT(('Production Inputs'!$A:$A="APC")*('Production Inputs'!$B:$B="TOTAL ACTIVE")*'Production Inputs'!$GE:$GE),0)</f>
        <v>0</v>
      </c>
      <c r="H1432" s="30">
        <f t="shared" si="154"/>
        <v>32.679999999999986</v>
      </c>
      <c r="I1432" s="30">
        <f ca="1">IFERROR(AVERAGEIF(OFFSET(F1432,0,0,MIN(Controls!$B$8,COUNTIF(B1432:B$1973,B1432)),1),"&gt;"&amp;0),0)</f>
        <v>0</v>
      </c>
      <c r="J1432" s="38">
        <f t="shared" ca="1" si="155"/>
        <v>999</v>
      </c>
      <c r="K1432" s="30">
        <f t="shared" ca="1" si="159"/>
        <v>0</v>
      </c>
      <c r="L1432" t="str">
        <f t="shared" ca="1" si="156"/>
        <v>Overstock</v>
      </c>
      <c r="M1432" s="39">
        <f>IFERROR(VLOOKUP("APC",Controls!A:I,7,0),6)</f>
        <v>4</v>
      </c>
      <c r="N1432" s="39">
        <f>IFERROR(VLOOKUP("APC",Controls!A:I,8,0),3)</f>
        <v>3</v>
      </c>
      <c r="O1432" s="39">
        <f>IFERROR(VLOOKUP("APC",Controls!A:I,9,0),18)</f>
        <v>12</v>
      </c>
      <c r="P1432" s="40">
        <f>IFERROR(VLOOKUP("APC",Controls!A:J,5,0),0)</f>
        <v>40</v>
      </c>
      <c r="Q1432" s="39">
        <f>IFERROR(VLOOKUP("APC",Controls!A:J,6,0),3)</f>
        <v>4</v>
      </c>
      <c r="R1432" s="21" t="str">
        <f>IFERROR(VLOOKUP("APC",Controls!A:K,10,0),"")</f>
        <v>ST Pharm</v>
      </c>
      <c r="S1432" s="41">
        <f t="shared" si="157"/>
        <v>51257</v>
      </c>
      <c r="T1432" s="30">
        <f t="shared" si="158"/>
        <v>0</v>
      </c>
      <c r="AB1432">
        <f t="shared" si="160"/>
        <v>86.240000000000009</v>
      </c>
    </row>
    <row r="1433" spans="1:28" ht="13" customHeight="1" x14ac:dyDescent="0.35">
      <c r="A1433" s="153">
        <v>51410</v>
      </c>
      <c r="B1433" s="36" t="s">
        <v>56</v>
      </c>
      <c r="C1433" s="15" t="s">
        <v>52</v>
      </c>
      <c r="D1433" s="15" t="s">
        <v>48</v>
      </c>
      <c r="E1433" s="30">
        <f>H1432</f>
        <v>32.679999999999986</v>
      </c>
      <c r="F1433" s="37">
        <f>IFERROR('Production Inputs'!$GF$37*Dependencies!$D$15,0)</f>
        <v>0</v>
      </c>
      <c r="G1433" s="37">
        <f t="array" ref="G1433">IFERROR(SUMPRODUCT(('Production Inputs'!$A:$A="APC")*('Production Inputs'!$B:$B="TOTAL ACTIVE")*'Production Inputs'!$GF:$GF),0)</f>
        <v>0</v>
      </c>
      <c r="H1433" s="30">
        <f t="shared" si="154"/>
        <v>32.679999999999986</v>
      </c>
      <c r="I1433" s="30">
        <f ca="1">IFERROR(AVERAGEIF(OFFSET(F1433,0,0,MIN(Controls!$B$8,COUNTIF(B1433:B$1973,B1433)),1),"&gt;"&amp;0),0)</f>
        <v>0</v>
      </c>
      <c r="J1433" s="38">
        <f t="shared" ca="1" si="155"/>
        <v>999</v>
      </c>
      <c r="K1433" s="30">
        <f t="shared" ca="1" si="159"/>
        <v>0</v>
      </c>
      <c r="L1433" t="str">
        <f t="shared" ca="1" si="156"/>
        <v>Overstock</v>
      </c>
      <c r="M1433" s="39">
        <f>IFERROR(VLOOKUP("APC",Controls!A:I,7,0),6)</f>
        <v>4</v>
      </c>
      <c r="N1433" s="39">
        <f>IFERROR(VLOOKUP("APC",Controls!A:I,8,0),3)</f>
        <v>3</v>
      </c>
      <c r="O1433" s="39">
        <f>IFERROR(VLOOKUP("APC",Controls!A:I,9,0),18)</f>
        <v>12</v>
      </c>
      <c r="P1433" s="40">
        <f>IFERROR(VLOOKUP("APC",Controls!A:J,5,0),0)</f>
        <v>40</v>
      </c>
      <c r="Q1433" s="39">
        <f>IFERROR(VLOOKUP("APC",Controls!A:J,6,0),3)</f>
        <v>4</v>
      </c>
      <c r="R1433" s="21" t="str">
        <f>IFERROR(VLOOKUP("APC",Controls!A:K,10,0),"")</f>
        <v>ST Pharm</v>
      </c>
      <c r="S1433" s="41">
        <f t="shared" si="157"/>
        <v>51288</v>
      </c>
      <c r="T1433" s="30">
        <f t="shared" si="158"/>
        <v>0</v>
      </c>
      <c r="AB1433">
        <f t="shared" si="160"/>
        <v>86.240000000000009</v>
      </c>
    </row>
    <row r="1434" spans="1:28" ht="13" customHeight="1" x14ac:dyDescent="0.35">
      <c r="A1434" s="153">
        <v>51441</v>
      </c>
      <c r="B1434" s="36" t="s">
        <v>56</v>
      </c>
      <c r="C1434" s="15" t="s">
        <v>52</v>
      </c>
      <c r="D1434" s="15" t="s">
        <v>48</v>
      </c>
      <c r="E1434" s="30">
        <f>H1433</f>
        <v>32.679999999999986</v>
      </c>
      <c r="F1434" s="37">
        <f>IFERROR('Production Inputs'!$GG$37*Dependencies!$D$15,0)</f>
        <v>0</v>
      </c>
      <c r="G1434" s="37">
        <f t="array" ref="G1434">IFERROR(SUMPRODUCT(('Production Inputs'!$A:$A="APC")*('Production Inputs'!$B:$B="TOTAL ACTIVE")*'Production Inputs'!$GG:$GG),0)</f>
        <v>0</v>
      </c>
      <c r="H1434" s="30">
        <f t="shared" si="154"/>
        <v>32.679999999999986</v>
      </c>
      <c r="I1434" s="30">
        <f ca="1">IFERROR(AVERAGEIF(OFFSET(F1434,0,0,MIN(Controls!$B$8,COUNTIF(B1434:B$1973,B1434)),1),"&gt;"&amp;0),0)</f>
        <v>0</v>
      </c>
      <c r="J1434" s="38">
        <f t="shared" ca="1" si="155"/>
        <v>999</v>
      </c>
      <c r="K1434" s="30">
        <f t="shared" ca="1" si="159"/>
        <v>0</v>
      </c>
      <c r="L1434" t="str">
        <f t="shared" ca="1" si="156"/>
        <v>Overstock</v>
      </c>
      <c r="M1434" s="39">
        <f>IFERROR(VLOOKUP("APC",Controls!A:I,7,0),6)</f>
        <v>4</v>
      </c>
      <c r="N1434" s="39">
        <f>IFERROR(VLOOKUP("APC",Controls!A:I,8,0),3)</f>
        <v>3</v>
      </c>
      <c r="O1434" s="39">
        <f>IFERROR(VLOOKUP("APC",Controls!A:I,9,0),18)</f>
        <v>12</v>
      </c>
      <c r="P1434" s="40">
        <f>IFERROR(VLOOKUP("APC",Controls!A:J,5,0),0)</f>
        <v>40</v>
      </c>
      <c r="Q1434" s="39">
        <f>IFERROR(VLOOKUP("APC",Controls!A:J,6,0),3)</f>
        <v>4</v>
      </c>
      <c r="R1434" s="21" t="str">
        <f>IFERROR(VLOOKUP("APC",Controls!A:K,10,0),"")</f>
        <v>ST Pharm</v>
      </c>
      <c r="S1434" s="41">
        <f t="shared" si="157"/>
        <v>51318</v>
      </c>
      <c r="T1434" s="30">
        <f t="shared" si="158"/>
        <v>0</v>
      </c>
      <c r="AB1434">
        <f t="shared" si="160"/>
        <v>86.240000000000009</v>
      </c>
    </row>
    <row r="1435" spans="1:28" ht="13" customHeight="1" x14ac:dyDescent="0.35">
      <c r="A1435" s="153">
        <v>51471</v>
      </c>
      <c r="B1435" s="36" t="s">
        <v>56</v>
      </c>
      <c r="C1435" s="15" t="s">
        <v>52</v>
      </c>
      <c r="D1435" s="15" t="s">
        <v>48</v>
      </c>
      <c r="E1435" s="30">
        <f>H1434</f>
        <v>32.679999999999986</v>
      </c>
      <c r="F1435" s="37">
        <f>IFERROR('Production Inputs'!$GH$37*Dependencies!$D$15,0)</f>
        <v>0</v>
      </c>
      <c r="G1435" s="37">
        <f t="array" ref="G1435">IFERROR(SUMPRODUCT(('Production Inputs'!$A:$A="APC")*('Production Inputs'!$B:$B="TOTAL ACTIVE")*'Production Inputs'!$GH:$GH),0)</f>
        <v>0</v>
      </c>
      <c r="H1435" s="30">
        <f t="shared" si="154"/>
        <v>32.679999999999986</v>
      </c>
      <c r="I1435" s="30">
        <f ca="1">IFERROR(AVERAGEIF(OFFSET(F1435,0,0,MIN(Controls!$B$8,COUNTIF(B1435:B$1973,B1435)),1),"&gt;"&amp;0),0)</f>
        <v>0</v>
      </c>
      <c r="J1435" s="38">
        <f t="shared" ca="1" si="155"/>
        <v>999</v>
      </c>
      <c r="K1435" s="30">
        <f t="shared" ca="1" si="159"/>
        <v>0</v>
      </c>
      <c r="L1435" t="str">
        <f t="shared" ca="1" si="156"/>
        <v>Overstock</v>
      </c>
      <c r="M1435" s="39">
        <f>IFERROR(VLOOKUP("APC",Controls!A:I,7,0),6)</f>
        <v>4</v>
      </c>
      <c r="N1435" s="39">
        <f>IFERROR(VLOOKUP("APC",Controls!A:I,8,0),3)</f>
        <v>3</v>
      </c>
      <c r="O1435" s="39">
        <f>IFERROR(VLOOKUP("APC",Controls!A:I,9,0),18)</f>
        <v>12</v>
      </c>
      <c r="P1435" s="40">
        <f>IFERROR(VLOOKUP("APC",Controls!A:J,5,0),0)</f>
        <v>40</v>
      </c>
      <c r="Q1435" s="39">
        <f>IFERROR(VLOOKUP("APC",Controls!A:J,6,0),3)</f>
        <v>4</v>
      </c>
      <c r="R1435" s="21" t="str">
        <f>IFERROR(VLOOKUP("APC",Controls!A:K,10,0),"")</f>
        <v>ST Pharm</v>
      </c>
      <c r="S1435" s="41">
        <f t="shared" si="157"/>
        <v>51349</v>
      </c>
      <c r="T1435" s="30">
        <f t="shared" si="158"/>
        <v>0</v>
      </c>
      <c r="AB1435">
        <f t="shared" si="160"/>
        <v>86.240000000000009</v>
      </c>
    </row>
    <row r="1436" spans="1:28" ht="13" customHeight="1" x14ac:dyDescent="0.35">
      <c r="A1436" s="153">
        <v>46054</v>
      </c>
      <c r="B1436" s="36" t="s">
        <v>57</v>
      </c>
      <c r="C1436" s="15" t="s">
        <v>52</v>
      </c>
      <c r="D1436" s="15" t="s">
        <v>48</v>
      </c>
      <c r="E1436" s="199">
        <f>IFERROR(VLOOKUP("APG",Controls!A:D,4,0),0)</f>
        <v>315.512</v>
      </c>
      <c r="F1436" s="199">
        <f>IFERROR('Production Inputs'!$L$37*Dependencies!$D$17,0)</f>
        <v>0</v>
      </c>
      <c r="G1436" s="199">
        <f t="array" ref="G1436">IFERROR(SUMPRODUCT(('Production Inputs'!$A:$A="APG")*('Production Inputs'!$B:$B="TOTAL ACTIVE")*'Production Inputs'!$L:$L),0)</f>
        <v>0</v>
      </c>
      <c r="H1436" s="199">
        <f t="shared" si="154"/>
        <v>315.512</v>
      </c>
      <c r="I1436" s="30">
        <f ca="1">IFERROR(AVERAGEIF(OFFSET(F1436,0,0,MIN(Controls!$B$8,COUNTIF(B1436:B$1973,B1436)),1),"&gt;"&amp;0),0)</f>
        <v>44.120000000000005</v>
      </c>
      <c r="J1436" s="38">
        <f t="shared" ca="1" si="155"/>
        <v>7.1512239347234807</v>
      </c>
      <c r="K1436" s="30">
        <f t="shared" ca="1" si="159"/>
        <v>0</v>
      </c>
      <c r="L1436" t="str">
        <f t="shared" ca="1" si="156"/>
        <v>Low</v>
      </c>
      <c r="M1436" s="39">
        <f>IFERROR(VLOOKUP("APG",Controls!A:I,7,0),6)</f>
        <v>4</v>
      </c>
      <c r="N1436" s="39">
        <f>IFERROR(VLOOKUP("APG",Controls!A:I,8,0),3)</f>
        <v>3</v>
      </c>
      <c r="O1436" s="39">
        <f>IFERROR(VLOOKUP("APG",Controls!A:I,9,0),18)</f>
        <v>12</v>
      </c>
      <c r="P1436" s="40">
        <f>IFERROR(VLOOKUP("APG",Controls!A:J,5,0),0)</f>
        <v>95</v>
      </c>
      <c r="Q1436" s="39">
        <f>IFERROR(VLOOKUP("APG",Controls!A:J,6,0),3)</f>
        <v>4</v>
      </c>
      <c r="R1436" s="21" t="str">
        <f>IFERROR(VLOOKUP("APG",Controls!A:K,10,0),"")</f>
        <v>ST Pharm</v>
      </c>
      <c r="S1436" s="41">
        <f t="shared" si="157"/>
        <v>45931</v>
      </c>
      <c r="T1436" s="30">
        <f t="shared" si="158"/>
        <v>0</v>
      </c>
      <c r="W1436" s="205" cm="1">
        <f t="array" ref="W1436">IF(0&lt;Controls!$B$7,INDEX(A1436:A1614,MATCH(Controls!$B$5,A1436:A1614,1)+0),"")</f>
        <v>46113</v>
      </c>
      <c r="X1436" cm="1">
        <f t="array" ref="X1436">IF(0&lt;Controls!$B$7,INDEX(F1436:F1614,MATCH(Controls!$B$5,A1436:A1614,1)+0),"")</f>
        <v>0</v>
      </c>
      <c r="Y1436" cm="1">
        <f t="array" ref="Y1436">IF(0&lt;Controls!$B$7,INDEX(G1436:G1614,MATCH(Controls!$B$5,A1436:A1614,1)+0),"")</f>
        <v>0</v>
      </c>
      <c r="Z1436" cm="1">
        <f t="array" ref="Z1436">IF(0&lt;Controls!$B$7,INDEX(H1436:H1614,MATCH(Controls!$B$5,A1436:A1614,1)+0),"")</f>
        <v>315.512</v>
      </c>
      <c r="AA1436" cm="1">
        <f t="array" aca="1" ref="AA1436" ca="1">IF(0&lt;Controls!$B$7,INDEX(M1436:M1614,MATCH(Controls!$B$5,A1436:A1614,1)+0)*INDEX(I1436:I1614,MATCH(Controls!$B$5,A1436:A1614,1)+0),"")</f>
        <v>176.48000000000002</v>
      </c>
      <c r="AB1436">
        <f t="shared" si="160"/>
        <v>0</v>
      </c>
    </row>
    <row r="1437" spans="1:28" ht="13" customHeight="1" x14ac:dyDescent="0.35">
      <c r="A1437" s="153">
        <v>46082</v>
      </c>
      <c r="B1437" s="36" t="s">
        <v>57</v>
      </c>
      <c r="C1437" s="15" t="s">
        <v>52</v>
      </c>
      <c r="D1437" s="15" t="s">
        <v>48</v>
      </c>
      <c r="E1437" s="199">
        <f>H1436</f>
        <v>315.512</v>
      </c>
      <c r="F1437" s="199">
        <f>IFERROR('Production Inputs'!$M$37*Dependencies!$D$17,0)</f>
        <v>0</v>
      </c>
      <c r="G1437" s="199">
        <f t="array" ref="G1437">IFERROR(SUMPRODUCT(('Production Inputs'!$A:$A="APG")*('Production Inputs'!$B:$B="TOTAL ACTIVE")*'Production Inputs'!$M:$M),0)</f>
        <v>0</v>
      </c>
      <c r="H1437" s="199">
        <v>315.512</v>
      </c>
      <c r="I1437" s="30">
        <f ca="1">IFERROR(AVERAGEIF(OFFSET(F1437,0,0,MIN(Controls!$B$8,COUNTIF(B1437:B$1973,B1437)),1),"&gt;"&amp;0),0)</f>
        <v>44.120000000000005</v>
      </c>
      <c r="J1437" s="38">
        <f t="shared" ca="1" si="155"/>
        <v>7.1512239347234807</v>
      </c>
      <c r="K1437" s="30">
        <f t="shared" ca="1" si="159"/>
        <v>0</v>
      </c>
      <c r="L1437" t="str">
        <f t="shared" ca="1" si="156"/>
        <v>Low</v>
      </c>
      <c r="M1437" s="39">
        <f>IFERROR(VLOOKUP("APG",Controls!A:I,7,0),6)</f>
        <v>4</v>
      </c>
      <c r="N1437" s="39">
        <f>IFERROR(VLOOKUP("APG",Controls!A:I,8,0),3)</f>
        <v>3</v>
      </c>
      <c r="O1437" s="39">
        <f>IFERROR(VLOOKUP("APG",Controls!A:I,9,0),18)</f>
        <v>12</v>
      </c>
      <c r="P1437" s="40">
        <f>IFERROR(VLOOKUP("APG",Controls!A:J,5,0),0)</f>
        <v>95</v>
      </c>
      <c r="Q1437" s="39">
        <f>IFERROR(VLOOKUP("APG",Controls!A:J,6,0),3)</f>
        <v>4</v>
      </c>
      <c r="R1437" s="21" t="str">
        <f>IFERROR(VLOOKUP("APG",Controls!A:K,10,0),"")</f>
        <v>ST Pharm</v>
      </c>
      <c r="S1437" s="41">
        <f t="shared" si="157"/>
        <v>45962</v>
      </c>
      <c r="T1437" s="30">
        <f t="shared" si="158"/>
        <v>0</v>
      </c>
      <c r="W1437" s="205" cm="1">
        <f t="array" ref="W1437">IF(1&lt;Controls!$B$7,INDEX(A1436:A1614,MATCH(Controls!$B$5,A1436:A1614,1)+1),"")</f>
        <v>46143</v>
      </c>
      <c r="X1437" cm="1">
        <f t="array" ref="X1437">IF(1&lt;Controls!$B$7,INDEX(F1436:F1614,MATCH(Controls!$B$5,A1436:A1614,1)+1),"")</f>
        <v>44.12</v>
      </c>
      <c r="Y1437" cm="1">
        <f t="array" ref="Y1437">IF(1&lt;Controls!$B$7,INDEX(G1436:G1614,MATCH(Controls!$B$5,A1436:A1614,1)+1),"")</f>
        <v>0</v>
      </c>
      <c r="Z1437" cm="1">
        <f t="array" ref="Z1437">IF(1&lt;Controls!$B$7,INDEX(H1436:H1614,MATCH(Controls!$B$5,A1436:A1614,1)+1),"")</f>
        <v>271.392</v>
      </c>
      <c r="AA1437" cm="1">
        <f t="array" aca="1" ref="AA1437" ca="1">IF(1&lt;Controls!$B$7,INDEX(M1436:M1614,MATCH(Controls!$B$5,A1436:A1614,1)+1)*INDEX(I1436:I1614,MATCH(Controls!$B$5,A1436:A1614,1)+1),"")</f>
        <v>176.48000000000002</v>
      </c>
      <c r="AB1437">
        <f t="shared" si="160"/>
        <v>0</v>
      </c>
    </row>
    <row r="1438" spans="1:28" ht="13" customHeight="1" x14ac:dyDescent="0.35">
      <c r="A1438" s="153">
        <v>46113</v>
      </c>
      <c r="B1438" s="36" t="s">
        <v>57</v>
      </c>
      <c r="C1438" s="15" t="s">
        <v>52</v>
      </c>
      <c r="D1438" s="15" t="s">
        <v>48</v>
      </c>
      <c r="E1438" s="30">
        <f>H1437</f>
        <v>315.512</v>
      </c>
      <c r="F1438" s="37">
        <f>IFERROR('Production Inputs'!$N$37*Dependencies!$D$17,0)</f>
        <v>0</v>
      </c>
      <c r="G1438" s="37">
        <f t="array" ref="G1438">IFERROR(SUMPRODUCT(('Production Inputs'!$A:$A="APG")*('Production Inputs'!$B:$B="TOTAL ACTIVE")*'Production Inputs'!$N:$N),0)</f>
        <v>0</v>
      </c>
      <c r="H1438" s="30">
        <f t="shared" si="154"/>
        <v>315.512</v>
      </c>
      <c r="I1438" s="30">
        <f ca="1">IFERROR(AVERAGEIF(OFFSET(F1438,0,0,MIN(Controls!$B$8,COUNTIF(B1438:B$1973,B1438)),1),"&gt;"&amp;0),0)</f>
        <v>44.120000000000005</v>
      </c>
      <c r="J1438" s="38">
        <f t="shared" ca="1" si="155"/>
        <v>7.1512239347234807</v>
      </c>
      <c r="K1438" s="30">
        <f t="shared" ca="1" si="159"/>
        <v>0</v>
      </c>
      <c r="L1438" t="str">
        <f t="shared" ca="1" si="156"/>
        <v>Low</v>
      </c>
      <c r="M1438" s="39">
        <f>IFERROR(VLOOKUP("APG",Controls!A:I,7,0),6)</f>
        <v>4</v>
      </c>
      <c r="N1438" s="39">
        <f>IFERROR(VLOOKUP("APG",Controls!A:I,8,0),3)</f>
        <v>3</v>
      </c>
      <c r="O1438" s="39">
        <f>IFERROR(VLOOKUP("APG",Controls!A:I,9,0),18)</f>
        <v>12</v>
      </c>
      <c r="P1438" s="40">
        <f>IFERROR(VLOOKUP("APG",Controls!A:J,5,0),0)</f>
        <v>95</v>
      </c>
      <c r="Q1438" s="39">
        <f>IFERROR(VLOOKUP("APG",Controls!A:J,6,0),3)</f>
        <v>4</v>
      </c>
      <c r="R1438" s="21" t="str">
        <f>IFERROR(VLOOKUP("APG",Controls!A:K,10,0),"")</f>
        <v>ST Pharm</v>
      </c>
      <c r="S1438" s="41">
        <f t="shared" si="157"/>
        <v>45992</v>
      </c>
      <c r="T1438" s="30">
        <f t="shared" si="158"/>
        <v>0</v>
      </c>
      <c r="W1438" s="205" cm="1">
        <f t="array" ref="W1438">IF(2&lt;Controls!$B$7,INDEX(A1436:A1614,MATCH(Controls!$B$5,A1436:A1614,1)+2),"")</f>
        <v>46174</v>
      </c>
      <c r="X1438" cm="1">
        <f t="array" ref="X1438">IF(2&lt;Controls!$B$7,INDEX(F1436:F1614,MATCH(Controls!$B$5,A1436:A1614,1)+2),"")</f>
        <v>66.180000000000007</v>
      </c>
      <c r="Y1438" cm="1">
        <f t="array" ref="Y1438">IF(2&lt;Controls!$B$7,INDEX(G1436:G1614,MATCH(Controls!$B$5,A1436:A1614,1)+2),"")</f>
        <v>0</v>
      </c>
      <c r="Z1438" cm="1">
        <f t="array" ref="Z1438">IF(2&lt;Controls!$B$7,INDEX(H1436:H1614,MATCH(Controls!$B$5,A1436:A1614,1)+2),"")</f>
        <v>205.21199999999999</v>
      </c>
      <c r="AA1438" cm="1">
        <f t="array" aca="1" ref="AA1438" ca="1">IF(2&lt;Controls!$B$7,INDEX(M1436:M1614,MATCH(Controls!$B$5,A1436:A1614,1)+2)*INDEX(I1436:I1614,MATCH(Controls!$B$5,A1436:A1614,1)+2),"")</f>
        <v>176.48000000000002</v>
      </c>
      <c r="AB1438">
        <f t="shared" si="160"/>
        <v>0</v>
      </c>
    </row>
    <row r="1439" spans="1:28" ht="13" customHeight="1" x14ac:dyDescent="0.35">
      <c r="A1439" s="153">
        <v>46143</v>
      </c>
      <c r="B1439" s="36" t="s">
        <v>57</v>
      </c>
      <c r="C1439" s="15" t="s">
        <v>52</v>
      </c>
      <c r="D1439" s="15" t="s">
        <v>48</v>
      </c>
      <c r="E1439" s="30">
        <f>H1438</f>
        <v>315.512</v>
      </c>
      <c r="F1439" s="37">
        <f>IFERROR('Production Inputs'!$O$37*Dependencies!$D$17,0)</f>
        <v>44.12</v>
      </c>
      <c r="G1439" s="37">
        <f t="array" ref="G1439">IFERROR(SUMPRODUCT(('Production Inputs'!$A:$A="APG")*('Production Inputs'!$B:$B="TOTAL ACTIVE")*'Production Inputs'!$O:$O),0)</f>
        <v>0</v>
      </c>
      <c r="H1439" s="30">
        <f t="shared" si="154"/>
        <v>271.392</v>
      </c>
      <c r="I1439" s="30">
        <f ca="1">IFERROR(AVERAGEIF(OFFSET(F1439,0,0,MIN(Controls!$B$8,COUNTIF(B1439:B$1973,B1439)),1),"&gt;"&amp;0),0)</f>
        <v>44.120000000000005</v>
      </c>
      <c r="J1439" s="38">
        <f t="shared" ca="1" si="155"/>
        <v>6.1512239347234807</v>
      </c>
      <c r="K1439" s="30">
        <f t="shared" ca="1" si="159"/>
        <v>0</v>
      </c>
      <c r="L1439" t="str">
        <f t="shared" ca="1" si="156"/>
        <v>Low</v>
      </c>
      <c r="M1439" s="39">
        <f>IFERROR(VLOOKUP("APG",Controls!A:I,7,0),6)</f>
        <v>4</v>
      </c>
      <c r="N1439" s="39">
        <f>IFERROR(VLOOKUP("APG",Controls!A:I,8,0),3)</f>
        <v>3</v>
      </c>
      <c r="O1439" s="39">
        <f>IFERROR(VLOOKUP("APG",Controls!A:I,9,0),18)</f>
        <v>12</v>
      </c>
      <c r="P1439" s="40">
        <f>IFERROR(VLOOKUP("APG",Controls!A:J,5,0),0)</f>
        <v>95</v>
      </c>
      <c r="Q1439" s="39">
        <f>IFERROR(VLOOKUP("APG",Controls!A:J,6,0),3)</f>
        <v>4</v>
      </c>
      <c r="R1439" s="21" t="str">
        <f>IFERROR(VLOOKUP("APG",Controls!A:K,10,0),"")</f>
        <v>ST Pharm</v>
      </c>
      <c r="S1439" s="41">
        <f t="shared" si="157"/>
        <v>46023</v>
      </c>
      <c r="T1439" s="30">
        <f t="shared" si="158"/>
        <v>0</v>
      </c>
      <c r="W1439" s="205" cm="1">
        <f t="array" ref="W1439">IF(3&lt;Controls!$B$7,INDEX(A1436:A1614,MATCH(Controls!$B$5,A1436:A1614,1)+3),"")</f>
        <v>46204</v>
      </c>
      <c r="X1439" cm="1">
        <f t="array" ref="X1439">IF(3&lt;Controls!$B$7,INDEX(F1436:F1614,MATCH(Controls!$B$5,A1436:A1614,1)+3),"")</f>
        <v>22.06</v>
      </c>
      <c r="Y1439" cm="1">
        <f t="array" ref="Y1439">IF(3&lt;Controls!$B$7,INDEX(G1436:G1614,MATCH(Controls!$B$5,A1436:A1614,1)+3),"")</f>
        <v>0</v>
      </c>
      <c r="Z1439" cm="1">
        <f t="array" ref="Z1439">IF(3&lt;Controls!$B$7,INDEX(H1436:H1614,MATCH(Controls!$B$5,A1436:A1614,1)+3),"")</f>
        <v>183.15199999999999</v>
      </c>
      <c r="AA1439" cm="1">
        <f t="array" aca="1" ref="AA1439" ca="1">IF(3&lt;Controls!$B$7,INDEX(M1436:M1614,MATCH(Controls!$B$5,A1436:A1614,1)+3)*INDEX(I1436:I1614,MATCH(Controls!$B$5,A1436:A1614,1)+3),"")</f>
        <v>88.24</v>
      </c>
      <c r="AB1439">
        <f t="shared" si="160"/>
        <v>44.12</v>
      </c>
    </row>
    <row r="1440" spans="1:28" ht="13" customHeight="1" x14ac:dyDescent="0.35">
      <c r="A1440" s="153">
        <v>46174</v>
      </c>
      <c r="B1440" s="36" t="s">
        <v>57</v>
      </c>
      <c r="C1440" s="15" t="s">
        <v>52</v>
      </c>
      <c r="D1440" s="15" t="s">
        <v>48</v>
      </c>
      <c r="E1440" s="30">
        <f>H1439</f>
        <v>271.392</v>
      </c>
      <c r="F1440" s="37">
        <f>IFERROR('Production Inputs'!$P$37*Dependencies!$D$17,0)</f>
        <v>66.180000000000007</v>
      </c>
      <c r="G1440" s="37">
        <f t="array" ref="G1440">IFERROR(SUMPRODUCT(('Production Inputs'!$A:$A="APG")*('Production Inputs'!$B:$B="TOTAL ACTIVE")*'Production Inputs'!$P:$P),0)</f>
        <v>0</v>
      </c>
      <c r="H1440" s="30">
        <f t="shared" si="154"/>
        <v>205.21199999999999</v>
      </c>
      <c r="I1440" s="30">
        <f ca="1">IFERROR(AVERAGEIF(OFFSET(F1440,0,0,MIN(Controls!$B$8,COUNTIF(B1440:B$1973,B1440)),1),"&gt;"&amp;0),0)</f>
        <v>44.120000000000005</v>
      </c>
      <c r="J1440" s="38">
        <f t="shared" ca="1" si="155"/>
        <v>4.6512239347234807</v>
      </c>
      <c r="K1440" s="30">
        <f t="shared" ca="1" si="159"/>
        <v>0</v>
      </c>
      <c r="L1440" t="str">
        <f t="shared" ca="1" si="156"/>
        <v>Low</v>
      </c>
      <c r="M1440" s="39">
        <f>IFERROR(VLOOKUP("APG",Controls!A:I,7,0),6)</f>
        <v>4</v>
      </c>
      <c r="N1440" s="39">
        <f>IFERROR(VLOOKUP("APG",Controls!A:I,8,0),3)</f>
        <v>3</v>
      </c>
      <c r="O1440" s="39">
        <f>IFERROR(VLOOKUP("APG",Controls!A:I,9,0),18)</f>
        <v>12</v>
      </c>
      <c r="P1440" s="40">
        <f>IFERROR(VLOOKUP("APG",Controls!A:J,5,0),0)</f>
        <v>95</v>
      </c>
      <c r="Q1440" s="39">
        <f>IFERROR(VLOOKUP("APG",Controls!A:J,6,0),3)</f>
        <v>4</v>
      </c>
      <c r="R1440" s="21" t="str">
        <f>IFERROR(VLOOKUP("APG",Controls!A:K,10,0),"")</f>
        <v>ST Pharm</v>
      </c>
      <c r="S1440" s="41">
        <f t="shared" si="157"/>
        <v>46054</v>
      </c>
      <c r="T1440" s="30">
        <f t="shared" si="158"/>
        <v>0</v>
      </c>
      <c r="W1440" s="205" cm="1">
        <f t="array" ref="W1440">IF(4&lt;Controls!$B$7,INDEX(A1436:A1614,MATCH(Controls!$B$5,A1436:A1614,1)+4),"")</f>
        <v>46235</v>
      </c>
      <c r="X1440" cm="1">
        <f t="array" ref="X1440">IF(4&lt;Controls!$B$7,INDEX(F1436:F1614,MATCH(Controls!$B$5,A1436:A1614,1)+4),"")</f>
        <v>0</v>
      </c>
      <c r="Y1440" cm="1">
        <f t="array" ref="Y1440">IF(4&lt;Controls!$B$7,INDEX(G1436:G1614,MATCH(Controls!$B$5,A1436:A1614,1)+4),"")</f>
        <v>0</v>
      </c>
      <c r="Z1440" cm="1">
        <f t="array" ref="Z1440">IF(4&lt;Controls!$B$7,INDEX(H1436:H1614,MATCH(Controls!$B$5,A1436:A1614,1)+4),"")</f>
        <v>183.15199999999999</v>
      </c>
      <c r="AA1440" cm="1">
        <f t="array" aca="1" ref="AA1440" ca="1">IF(4&lt;Controls!$B$7,INDEX(M1436:M1614,MATCH(Controls!$B$5,A1436:A1614,1)+4)*INDEX(I1436:I1614,MATCH(Controls!$B$5,A1436:A1614,1)+4),"")</f>
        <v>176.48</v>
      </c>
      <c r="AB1440">
        <f t="shared" si="160"/>
        <v>110.30000000000001</v>
      </c>
    </row>
    <row r="1441" spans="1:28" ht="13" customHeight="1" x14ac:dyDescent="0.35">
      <c r="A1441" s="153">
        <v>46204</v>
      </c>
      <c r="B1441" s="36" t="s">
        <v>57</v>
      </c>
      <c r="C1441" s="15" t="s">
        <v>52</v>
      </c>
      <c r="D1441" s="15" t="s">
        <v>48</v>
      </c>
      <c r="E1441" s="30">
        <f>H1440</f>
        <v>205.21199999999999</v>
      </c>
      <c r="F1441" s="37">
        <f>IFERROR('Production Inputs'!$Q$37*Dependencies!$D$17,0)</f>
        <v>22.06</v>
      </c>
      <c r="G1441" s="37">
        <f t="array" ref="G1441">IFERROR(SUMPRODUCT(('Production Inputs'!$A:$A="APG")*('Production Inputs'!$B:$B="TOTAL ACTIVE")*'Production Inputs'!$Q:$Q),0)</f>
        <v>0</v>
      </c>
      <c r="H1441" s="30">
        <f t="shared" si="154"/>
        <v>183.15199999999999</v>
      </c>
      <c r="I1441" s="30">
        <f ca="1">IFERROR(AVERAGEIF(OFFSET(F1441,0,0,MIN(Controls!$B$8,COUNTIF(B1441:B$1973,B1441)),1),"&gt;"&amp;0),0)</f>
        <v>22.06</v>
      </c>
      <c r="J1441" s="38">
        <f t="shared" ca="1" si="155"/>
        <v>8.3024478694469632</v>
      </c>
      <c r="K1441" s="30">
        <f t="shared" ca="1" si="159"/>
        <v>0</v>
      </c>
      <c r="L1441" t="str">
        <f t="shared" ca="1" si="156"/>
        <v>Low</v>
      </c>
      <c r="M1441" s="39">
        <f>IFERROR(VLOOKUP("APG",Controls!A:I,7,0),6)</f>
        <v>4</v>
      </c>
      <c r="N1441" s="39">
        <f>IFERROR(VLOOKUP("APG",Controls!A:I,8,0),3)</f>
        <v>3</v>
      </c>
      <c r="O1441" s="39">
        <f>IFERROR(VLOOKUP("APG",Controls!A:I,9,0),18)</f>
        <v>12</v>
      </c>
      <c r="P1441" s="40">
        <f>IFERROR(VLOOKUP("APG",Controls!A:J,5,0),0)</f>
        <v>95</v>
      </c>
      <c r="Q1441" s="39">
        <f>IFERROR(VLOOKUP("APG",Controls!A:J,6,0),3)</f>
        <v>4</v>
      </c>
      <c r="R1441" s="21" t="str">
        <f>IFERROR(VLOOKUP("APG",Controls!A:K,10,0),"")</f>
        <v>ST Pharm</v>
      </c>
      <c r="S1441" s="41">
        <f t="shared" si="157"/>
        <v>46082</v>
      </c>
      <c r="T1441" s="30">
        <f t="shared" si="158"/>
        <v>0</v>
      </c>
      <c r="W1441" s="205" cm="1">
        <f t="array" ref="W1441">IF(5&lt;Controls!$B$7,INDEX(A1436:A1614,MATCH(Controls!$B$5,A1436:A1614,1)+5),"")</f>
        <v>46266</v>
      </c>
      <c r="X1441" cm="1">
        <f t="array" ref="X1441">IF(5&lt;Controls!$B$7,INDEX(F1436:F1614,MATCH(Controls!$B$5,A1436:A1614,1)+5),"")</f>
        <v>0</v>
      </c>
      <c r="Y1441" cm="1">
        <f t="array" ref="Y1441">IF(5&lt;Controls!$B$7,INDEX(G1436:G1614,MATCH(Controls!$B$5,A1436:A1614,1)+5),"")</f>
        <v>0</v>
      </c>
      <c r="Z1441" cm="1">
        <f t="array" ref="Z1441">IF(5&lt;Controls!$B$7,INDEX(H1436:H1614,MATCH(Controls!$B$5,A1436:A1614,1)+5),"")</f>
        <v>183.15199999999999</v>
      </c>
      <c r="AA1441" cm="1">
        <f t="array" aca="1" ref="AA1441" ca="1">IF(5&lt;Controls!$B$7,INDEX(M1436:M1614,MATCH(Controls!$B$5,A1436:A1614,1)+5)*INDEX(I1436:I1614,MATCH(Controls!$B$5,A1436:A1614,1)+5),"")</f>
        <v>176.48</v>
      </c>
      <c r="AB1441">
        <f t="shared" si="160"/>
        <v>132.36000000000001</v>
      </c>
    </row>
    <row r="1442" spans="1:28" ht="13" customHeight="1" x14ac:dyDescent="0.35">
      <c r="A1442" s="153">
        <v>46235</v>
      </c>
      <c r="B1442" s="36" t="s">
        <v>57</v>
      </c>
      <c r="C1442" s="15" t="s">
        <v>52</v>
      </c>
      <c r="D1442" s="15" t="s">
        <v>48</v>
      </c>
      <c r="E1442" s="30">
        <f>H1441</f>
        <v>183.15199999999999</v>
      </c>
      <c r="F1442" s="37">
        <f>IFERROR('Production Inputs'!$R$37*Dependencies!$D$17,0)</f>
        <v>0</v>
      </c>
      <c r="G1442" s="37">
        <f t="array" ref="G1442">IFERROR(SUMPRODUCT(('Production Inputs'!$A:$A="APG")*('Production Inputs'!$B:$B="TOTAL ACTIVE")*'Production Inputs'!$R:$R),0)</f>
        <v>0</v>
      </c>
      <c r="H1442" s="30">
        <f t="shared" si="154"/>
        <v>183.15199999999999</v>
      </c>
      <c r="I1442" s="30">
        <f ca="1">IFERROR(AVERAGEIF(OFFSET(F1442,0,0,MIN(Controls!$B$8,COUNTIF(B1442:B$1973,B1442)),1),"&gt;"&amp;0),0)</f>
        <v>44.12</v>
      </c>
      <c r="J1442" s="38">
        <f t="shared" ca="1" si="155"/>
        <v>4.1512239347234816</v>
      </c>
      <c r="K1442" s="30">
        <f t="shared" ca="1" si="159"/>
        <v>0</v>
      </c>
      <c r="L1442" t="str">
        <f t="shared" ca="1" si="156"/>
        <v>Low</v>
      </c>
      <c r="M1442" s="39">
        <f>IFERROR(VLOOKUP("APG",Controls!A:I,7,0),6)</f>
        <v>4</v>
      </c>
      <c r="N1442" s="39">
        <f>IFERROR(VLOOKUP("APG",Controls!A:I,8,0),3)</f>
        <v>3</v>
      </c>
      <c r="O1442" s="39">
        <f>IFERROR(VLOOKUP("APG",Controls!A:I,9,0),18)</f>
        <v>12</v>
      </c>
      <c r="P1442" s="40">
        <f>IFERROR(VLOOKUP("APG",Controls!A:J,5,0),0)</f>
        <v>95</v>
      </c>
      <c r="Q1442" s="39">
        <f>IFERROR(VLOOKUP("APG",Controls!A:J,6,0),3)</f>
        <v>4</v>
      </c>
      <c r="R1442" s="21" t="str">
        <f>IFERROR(VLOOKUP("APG",Controls!A:K,10,0),"")</f>
        <v>ST Pharm</v>
      </c>
      <c r="S1442" s="41">
        <f t="shared" si="157"/>
        <v>46113</v>
      </c>
      <c r="T1442" s="30">
        <f t="shared" si="158"/>
        <v>0</v>
      </c>
      <c r="W1442" s="205" cm="1">
        <f t="array" ref="W1442">IF(6&lt;Controls!$B$7,INDEX(A1436:A1614,MATCH(Controls!$B$5,A1436:A1614,1)+6),"")</f>
        <v>46296</v>
      </c>
      <c r="X1442" cm="1">
        <f t="array" ref="X1442">IF(6&lt;Controls!$B$7,INDEX(F1436:F1614,MATCH(Controls!$B$5,A1436:A1614,1)+6),"")</f>
        <v>0</v>
      </c>
      <c r="Y1442" cm="1">
        <f t="array" ref="Y1442">IF(6&lt;Controls!$B$7,INDEX(G1436:G1614,MATCH(Controls!$B$5,A1436:A1614,1)+6),"")</f>
        <v>0</v>
      </c>
      <c r="Z1442" cm="1">
        <f t="array" ref="Z1442">IF(6&lt;Controls!$B$7,INDEX(H1436:H1614,MATCH(Controls!$B$5,A1436:A1614,1)+6),"")</f>
        <v>183.15199999999999</v>
      </c>
      <c r="AA1442" cm="1">
        <f t="array" aca="1" ref="AA1442" ca="1">IF(6&lt;Controls!$B$7,INDEX(M1436:M1614,MATCH(Controls!$B$5,A1436:A1614,1)+6)*INDEX(I1436:I1614,MATCH(Controls!$B$5,A1436:A1614,1)+6),"")</f>
        <v>176.48</v>
      </c>
      <c r="AB1442">
        <f t="shared" si="160"/>
        <v>132.36000000000001</v>
      </c>
    </row>
    <row r="1443" spans="1:28" ht="13" customHeight="1" x14ac:dyDescent="0.35">
      <c r="A1443" s="153">
        <v>46266</v>
      </c>
      <c r="B1443" s="36" t="s">
        <v>57</v>
      </c>
      <c r="C1443" s="15" t="s">
        <v>52</v>
      </c>
      <c r="D1443" s="15" t="s">
        <v>48</v>
      </c>
      <c r="E1443" s="30">
        <f>H1442</f>
        <v>183.15199999999999</v>
      </c>
      <c r="F1443" s="37">
        <f>IFERROR('Production Inputs'!$S$37*Dependencies!$D$17,0)</f>
        <v>0</v>
      </c>
      <c r="G1443" s="37">
        <f t="array" ref="G1443">IFERROR(SUMPRODUCT(('Production Inputs'!$A:$A="APG")*('Production Inputs'!$B:$B="TOTAL ACTIVE")*'Production Inputs'!$S:$S),0)</f>
        <v>0</v>
      </c>
      <c r="H1443" s="30">
        <f t="shared" si="154"/>
        <v>183.15199999999999</v>
      </c>
      <c r="I1443" s="30">
        <f ca="1">IFERROR(AVERAGEIF(OFFSET(F1443,0,0,MIN(Controls!$B$8,COUNTIF(B1443:B$1973,B1443)),1),"&gt;"&amp;0),0)</f>
        <v>44.12</v>
      </c>
      <c r="J1443" s="38">
        <f t="shared" ca="1" si="155"/>
        <v>4.1512239347234816</v>
      </c>
      <c r="K1443" s="30">
        <f t="shared" ca="1" si="159"/>
        <v>0</v>
      </c>
      <c r="L1443" t="str">
        <f t="shared" ca="1" si="156"/>
        <v>Low</v>
      </c>
      <c r="M1443" s="39">
        <f>IFERROR(VLOOKUP("APG",Controls!A:I,7,0),6)</f>
        <v>4</v>
      </c>
      <c r="N1443" s="39">
        <f>IFERROR(VLOOKUP("APG",Controls!A:I,8,0),3)</f>
        <v>3</v>
      </c>
      <c r="O1443" s="39">
        <f>IFERROR(VLOOKUP("APG",Controls!A:I,9,0),18)</f>
        <v>12</v>
      </c>
      <c r="P1443" s="40">
        <f>IFERROR(VLOOKUP("APG",Controls!A:J,5,0),0)</f>
        <v>95</v>
      </c>
      <c r="Q1443" s="39">
        <f>IFERROR(VLOOKUP("APG",Controls!A:J,6,0),3)</f>
        <v>4</v>
      </c>
      <c r="R1443" s="21" t="str">
        <f>IFERROR(VLOOKUP("APG",Controls!A:K,10,0),"")</f>
        <v>ST Pharm</v>
      </c>
      <c r="S1443" s="41">
        <f t="shared" si="157"/>
        <v>46143</v>
      </c>
      <c r="T1443" s="30">
        <f t="shared" si="158"/>
        <v>0</v>
      </c>
      <c r="W1443" s="205" cm="1">
        <f t="array" ref="W1443">IF(7&lt;Controls!$B$7,INDEX(A1436:A1614,MATCH(Controls!$B$5,A1436:A1614,1)+7),"")</f>
        <v>46327</v>
      </c>
      <c r="X1443" cm="1">
        <f t="array" ref="X1443">IF(7&lt;Controls!$B$7,INDEX(F1436:F1614,MATCH(Controls!$B$5,A1436:A1614,1)+7),"")</f>
        <v>0</v>
      </c>
      <c r="Y1443" cm="1">
        <f t="array" ref="Y1443">IF(7&lt;Controls!$B$7,INDEX(G1436:G1614,MATCH(Controls!$B$5,A1436:A1614,1)+7),"")</f>
        <v>0</v>
      </c>
      <c r="Z1443" cm="1">
        <f t="array" ref="Z1443">IF(7&lt;Controls!$B$7,INDEX(H1436:H1614,MATCH(Controls!$B$5,A1436:A1614,1)+7),"")</f>
        <v>183.15199999999999</v>
      </c>
      <c r="AA1443" cm="1">
        <f t="array" aca="1" ref="AA1443" ca="1">IF(7&lt;Controls!$B$7,INDEX(M1436:M1614,MATCH(Controls!$B$5,A1436:A1614,1)+7)*INDEX(I1436:I1614,MATCH(Controls!$B$5,A1436:A1614,1)+7),"")</f>
        <v>176.48</v>
      </c>
      <c r="AB1443">
        <f t="shared" si="160"/>
        <v>132.36000000000001</v>
      </c>
    </row>
    <row r="1444" spans="1:28" ht="13" customHeight="1" x14ac:dyDescent="0.35">
      <c r="A1444" s="153">
        <v>46296</v>
      </c>
      <c r="B1444" s="36" t="s">
        <v>57</v>
      </c>
      <c r="C1444" s="15" t="s">
        <v>52</v>
      </c>
      <c r="D1444" s="15" t="s">
        <v>48</v>
      </c>
      <c r="E1444" s="30">
        <f>H1443</f>
        <v>183.15199999999999</v>
      </c>
      <c r="F1444" s="37">
        <f>IFERROR('Production Inputs'!$T$37*Dependencies!$D$17,0)</f>
        <v>0</v>
      </c>
      <c r="G1444" s="37">
        <f t="array" ref="G1444">IFERROR(SUMPRODUCT(('Production Inputs'!$A:$A="APG")*('Production Inputs'!$B:$B="TOTAL ACTIVE")*'Production Inputs'!$T:$T),0)</f>
        <v>0</v>
      </c>
      <c r="H1444" s="30">
        <f t="shared" si="154"/>
        <v>183.15199999999999</v>
      </c>
      <c r="I1444" s="30">
        <f ca="1">IFERROR(AVERAGEIF(OFFSET(F1444,0,0,MIN(Controls!$B$8,COUNTIF(B1444:B$1973,B1444)),1),"&gt;"&amp;0),0)</f>
        <v>44.12</v>
      </c>
      <c r="J1444" s="38">
        <f t="shared" ca="1" si="155"/>
        <v>4.1512239347234816</v>
      </c>
      <c r="K1444" s="30">
        <f t="shared" ca="1" si="159"/>
        <v>0</v>
      </c>
      <c r="L1444" t="str">
        <f t="shared" ca="1" si="156"/>
        <v>Low</v>
      </c>
      <c r="M1444" s="39">
        <f>IFERROR(VLOOKUP("APG",Controls!A:I,7,0),6)</f>
        <v>4</v>
      </c>
      <c r="N1444" s="39">
        <f>IFERROR(VLOOKUP("APG",Controls!A:I,8,0),3)</f>
        <v>3</v>
      </c>
      <c r="O1444" s="39">
        <f>IFERROR(VLOOKUP("APG",Controls!A:I,9,0),18)</f>
        <v>12</v>
      </c>
      <c r="P1444" s="40">
        <f>IFERROR(VLOOKUP("APG",Controls!A:J,5,0),0)</f>
        <v>95</v>
      </c>
      <c r="Q1444" s="39">
        <f>IFERROR(VLOOKUP("APG",Controls!A:J,6,0),3)</f>
        <v>4</v>
      </c>
      <c r="R1444" s="21" t="str">
        <f>IFERROR(VLOOKUP("APG",Controls!A:K,10,0),"")</f>
        <v>ST Pharm</v>
      </c>
      <c r="S1444" s="41">
        <f t="shared" si="157"/>
        <v>46174</v>
      </c>
      <c r="T1444" s="30">
        <f t="shared" si="158"/>
        <v>0</v>
      </c>
      <c r="W1444" s="205" cm="1">
        <f t="array" ref="W1444">IF(8&lt;Controls!$B$7,INDEX(A1436:A1614,MATCH(Controls!$B$5,A1436:A1614,1)+8),"")</f>
        <v>46357</v>
      </c>
      <c r="X1444" cm="1">
        <f t="array" ref="X1444">IF(8&lt;Controls!$B$7,INDEX(F1436:F1614,MATCH(Controls!$B$5,A1436:A1614,1)+8),"")</f>
        <v>0</v>
      </c>
      <c r="Y1444" cm="1">
        <f t="array" ref="Y1444">IF(8&lt;Controls!$B$7,INDEX(G1436:G1614,MATCH(Controls!$B$5,A1436:A1614,1)+8),"")</f>
        <v>0</v>
      </c>
      <c r="Z1444" cm="1">
        <f t="array" ref="Z1444">IF(8&lt;Controls!$B$7,INDEX(H1436:H1614,MATCH(Controls!$B$5,A1436:A1614,1)+8),"")</f>
        <v>183.15199999999999</v>
      </c>
      <c r="AA1444" cm="1">
        <f t="array" aca="1" ref="AA1444" ca="1">IF(8&lt;Controls!$B$7,INDEX(M1436:M1614,MATCH(Controls!$B$5,A1436:A1614,1)+8)*INDEX(I1436:I1614,MATCH(Controls!$B$5,A1436:A1614,1)+8),"")</f>
        <v>176.48</v>
      </c>
      <c r="AB1444">
        <f t="shared" si="160"/>
        <v>132.36000000000001</v>
      </c>
    </row>
    <row r="1445" spans="1:28" ht="13" customHeight="1" x14ac:dyDescent="0.35">
      <c r="A1445" s="153">
        <v>46327</v>
      </c>
      <c r="B1445" s="36" t="s">
        <v>57</v>
      </c>
      <c r="C1445" s="15" t="s">
        <v>52</v>
      </c>
      <c r="D1445" s="15" t="s">
        <v>48</v>
      </c>
      <c r="E1445" s="30">
        <f>H1444</f>
        <v>183.15199999999999</v>
      </c>
      <c r="F1445" s="37">
        <f>IFERROR('Production Inputs'!$U$37*Dependencies!$D$17,0)</f>
        <v>0</v>
      </c>
      <c r="G1445" s="37">
        <f t="array" ref="G1445">IFERROR(SUMPRODUCT(('Production Inputs'!$A:$A="APG")*('Production Inputs'!$B:$B="TOTAL ACTIVE")*'Production Inputs'!$U:$U),0)</f>
        <v>0</v>
      </c>
      <c r="H1445" s="30">
        <f t="shared" si="154"/>
        <v>183.15199999999999</v>
      </c>
      <c r="I1445" s="30">
        <f ca="1">IFERROR(AVERAGEIF(OFFSET(F1445,0,0,MIN(Controls!$B$8,COUNTIF(B1445:B$1973,B1445)),1),"&gt;"&amp;0),0)</f>
        <v>44.12</v>
      </c>
      <c r="J1445" s="38">
        <f t="shared" ca="1" si="155"/>
        <v>4.1512239347234816</v>
      </c>
      <c r="K1445" s="30">
        <f t="shared" ca="1" si="159"/>
        <v>0</v>
      </c>
      <c r="L1445" t="str">
        <f t="shared" ca="1" si="156"/>
        <v>Low</v>
      </c>
      <c r="M1445" s="39">
        <f>IFERROR(VLOOKUP("APG",Controls!A:I,7,0),6)</f>
        <v>4</v>
      </c>
      <c r="N1445" s="39">
        <f>IFERROR(VLOOKUP("APG",Controls!A:I,8,0),3)</f>
        <v>3</v>
      </c>
      <c r="O1445" s="39">
        <f>IFERROR(VLOOKUP("APG",Controls!A:I,9,0),18)</f>
        <v>12</v>
      </c>
      <c r="P1445" s="40">
        <f>IFERROR(VLOOKUP("APG",Controls!A:J,5,0),0)</f>
        <v>95</v>
      </c>
      <c r="Q1445" s="39">
        <f>IFERROR(VLOOKUP("APG",Controls!A:J,6,0),3)</f>
        <v>4</v>
      </c>
      <c r="R1445" s="21" t="str">
        <f>IFERROR(VLOOKUP("APG",Controls!A:K,10,0),"")</f>
        <v>ST Pharm</v>
      </c>
      <c r="S1445" s="41">
        <f t="shared" si="157"/>
        <v>46204</v>
      </c>
      <c r="T1445" s="30">
        <f t="shared" si="158"/>
        <v>0</v>
      </c>
      <c r="W1445" s="205" cm="1">
        <f t="array" ref="W1445">IF(9&lt;Controls!$B$7,INDEX(A1436:A1614,MATCH(Controls!$B$5,A1436:A1614,1)+9),"")</f>
        <v>46388</v>
      </c>
      <c r="X1445" cm="1">
        <f t="array" ref="X1445">IF(9&lt;Controls!$B$7,INDEX(F1436:F1614,MATCH(Controls!$B$5,A1436:A1614,1)+9),"")</f>
        <v>0</v>
      </c>
      <c r="Y1445" cm="1">
        <f t="array" ref="Y1445">IF(9&lt;Controls!$B$7,INDEX(G1436:G1614,MATCH(Controls!$B$5,A1436:A1614,1)+9),"")</f>
        <v>100</v>
      </c>
      <c r="Z1445" cm="1">
        <f t="array" ref="Z1445">IF(9&lt;Controls!$B$7,INDEX(H1436:H1614,MATCH(Controls!$B$5,A1436:A1614,1)+9),"")</f>
        <v>283.15199999999999</v>
      </c>
      <c r="AA1445" cm="1">
        <f t="array" aca="1" ref="AA1445" ca="1">IF(9&lt;Controls!$B$7,INDEX(M1436:M1614,MATCH(Controls!$B$5,A1436:A1614,1)+9)*INDEX(I1436:I1614,MATCH(Controls!$B$5,A1436:A1614,1)+9),"")</f>
        <v>176.48</v>
      </c>
      <c r="AB1445">
        <f t="shared" si="160"/>
        <v>132.36000000000001</v>
      </c>
    </row>
    <row r="1446" spans="1:28" ht="13" customHeight="1" x14ac:dyDescent="0.35">
      <c r="A1446" s="153">
        <v>46357</v>
      </c>
      <c r="B1446" s="36" t="s">
        <v>57</v>
      </c>
      <c r="C1446" s="15" t="s">
        <v>52</v>
      </c>
      <c r="D1446" s="15" t="s">
        <v>48</v>
      </c>
      <c r="E1446" s="30">
        <f>H1445</f>
        <v>183.15199999999999</v>
      </c>
      <c r="F1446" s="37">
        <f>IFERROR('Production Inputs'!$V$37*Dependencies!$D$17,0)</f>
        <v>0</v>
      </c>
      <c r="G1446" s="37">
        <f t="array" ref="G1446">IFERROR(SUMPRODUCT(('Production Inputs'!$A:$A="APG")*('Production Inputs'!$B:$B="TOTAL ACTIVE")*'Production Inputs'!$V:$V),0)</f>
        <v>0</v>
      </c>
      <c r="H1446" s="30">
        <f t="shared" si="154"/>
        <v>183.15199999999999</v>
      </c>
      <c r="I1446" s="30">
        <f ca="1">IFERROR(AVERAGEIF(OFFSET(F1446,0,0,MIN(Controls!$B$8,COUNTIF(B1446:B$1973,B1446)),1),"&gt;"&amp;0),0)</f>
        <v>44.12</v>
      </c>
      <c r="J1446" s="38">
        <f t="shared" ca="1" si="155"/>
        <v>4.1512239347234816</v>
      </c>
      <c r="K1446" s="30">
        <f t="shared" ca="1" si="159"/>
        <v>0</v>
      </c>
      <c r="L1446" t="str">
        <f t="shared" ca="1" si="156"/>
        <v>Low</v>
      </c>
      <c r="M1446" s="39">
        <f>IFERROR(VLOOKUP("APG",Controls!A:I,7,0),6)</f>
        <v>4</v>
      </c>
      <c r="N1446" s="39">
        <f>IFERROR(VLOOKUP("APG",Controls!A:I,8,0),3)</f>
        <v>3</v>
      </c>
      <c r="O1446" s="39">
        <f>IFERROR(VLOOKUP("APG",Controls!A:I,9,0),18)</f>
        <v>12</v>
      </c>
      <c r="P1446" s="40">
        <f>IFERROR(VLOOKUP("APG",Controls!A:J,5,0),0)</f>
        <v>95</v>
      </c>
      <c r="Q1446" s="39">
        <f>IFERROR(VLOOKUP("APG",Controls!A:J,6,0),3)</f>
        <v>4</v>
      </c>
      <c r="R1446" s="21" t="str">
        <f>IFERROR(VLOOKUP("APG",Controls!A:K,10,0),"")</f>
        <v>ST Pharm</v>
      </c>
      <c r="S1446" s="41">
        <f t="shared" si="157"/>
        <v>46235</v>
      </c>
      <c r="T1446" s="30">
        <f t="shared" si="158"/>
        <v>0</v>
      </c>
      <c r="W1446" s="205" cm="1">
        <f t="array" ref="W1446">IF(10&lt;Controls!$B$7,INDEX(A1436:A1614,MATCH(Controls!$B$5,A1436:A1614,1)+10),"")</f>
        <v>46419</v>
      </c>
      <c r="X1446" cm="1">
        <f t="array" ref="X1446">IF(10&lt;Controls!$B$7,INDEX(F1436:F1614,MATCH(Controls!$B$5,A1436:A1614,1)+10),"")</f>
        <v>0</v>
      </c>
      <c r="Y1446" cm="1">
        <f t="array" ref="Y1446">IF(10&lt;Controls!$B$7,INDEX(G1436:G1614,MATCH(Controls!$B$5,A1436:A1614,1)+10),"")</f>
        <v>0</v>
      </c>
      <c r="Z1446" cm="1">
        <f t="array" ref="Z1446">IF(10&lt;Controls!$B$7,INDEX(H1436:H1614,MATCH(Controls!$B$5,A1436:A1614,1)+10),"")</f>
        <v>283.15199999999999</v>
      </c>
      <c r="AA1446" cm="1">
        <f t="array" aca="1" ref="AA1446" ca="1">IF(10&lt;Controls!$B$7,INDEX(M1436:M1614,MATCH(Controls!$B$5,A1436:A1614,1)+10)*INDEX(I1436:I1614,MATCH(Controls!$B$5,A1436:A1614,1)+10),"")</f>
        <v>176.48</v>
      </c>
      <c r="AB1446">
        <f t="shared" si="160"/>
        <v>132.36000000000001</v>
      </c>
    </row>
    <row r="1447" spans="1:28" ht="13" customHeight="1" x14ac:dyDescent="0.35">
      <c r="A1447" s="153">
        <v>46388</v>
      </c>
      <c r="B1447" s="36" t="s">
        <v>57</v>
      </c>
      <c r="C1447" s="15" t="s">
        <v>52</v>
      </c>
      <c r="D1447" s="15" t="s">
        <v>48</v>
      </c>
      <c r="E1447" s="30">
        <f>H1446</f>
        <v>183.15199999999999</v>
      </c>
      <c r="F1447" s="37">
        <f>IFERROR('Production Inputs'!$W$37*Dependencies!$D$17,0)</f>
        <v>0</v>
      </c>
      <c r="G1447" s="37">
        <f t="array" ref="G1447">IFERROR(SUMPRODUCT(('Production Inputs'!$A:$A="APG")*('Production Inputs'!$B:$B="TOTAL ACTIVE")*'Production Inputs'!$W:$W),0)</f>
        <v>100</v>
      </c>
      <c r="H1447" s="30">
        <f t="shared" si="154"/>
        <v>283.15199999999999</v>
      </c>
      <c r="I1447" s="30">
        <f ca="1">IFERROR(AVERAGEIF(OFFSET(F1447,0,0,MIN(Controls!$B$8,COUNTIF(B1447:B$1973,B1447)),1),"&gt;"&amp;0),0)</f>
        <v>44.12</v>
      </c>
      <c r="J1447" s="38">
        <f t="shared" ca="1" si="155"/>
        <v>6.4177697189483229</v>
      </c>
      <c r="K1447" s="30">
        <f t="shared" ca="1" si="159"/>
        <v>0</v>
      </c>
      <c r="L1447" t="str">
        <f t="shared" ca="1" si="156"/>
        <v>Low</v>
      </c>
      <c r="M1447" s="39">
        <f>IFERROR(VLOOKUP("APG",Controls!A:I,7,0),6)</f>
        <v>4</v>
      </c>
      <c r="N1447" s="39">
        <f>IFERROR(VLOOKUP("APG",Controls!A:I,8,0),3)</f>
        <v>3</v>
      </c>
      <c r="O1447" s="39">
        <f>IFERROR(VLOOKUP("APG",Controls!A:I,9,0),18)</f>
        <v>12</v>
      </c>
      <c r="P1447" s="40">
        <f>IFERROR(VLOOKUP("APG",Controls!A:J,5,0),0)</f>
        <v>95</v>
      </c>
      <c r="Q1447" s="39">
        <f>IFERROR(VLOOKUP("APG",Controls!A:J,6,0),3)</f>
        <v>4</v>
      </c>
      <c r="R1447" s="21" t="str">
        <f>IFERROR(VLOOKUP("APG",Controls!A:K,10,0),"")</f>
        <v>ST Pharm</v>
      </c>
      <c r="S1447" s="41">
        <f t="shared" si="157"/>
        <v>46266</v>
      </c>
      <c r="T1447" s="30">
        <f t="shared" si="158"/>
        <v>100</v>
      </c>
      <c r="W1447" s="205" cm="1">
        <f t="array" ref="W1447">IF(11&lt;Controls!$B$7,INDEX(A1436:A1614,MATCH(Controls!$B$5,A1436:A1614,1)+11),"")</f>
        <v>46447</v>
      </c>
      <c r="X1447" cm="1">
        <f t="array" ref="X1447">IF(11&lt;Controls!$B$7,INDEX(F1436:F1614,MATCH(Controls!$B$5,A1436:A1614,1)+11),"")</f>
        <v>0</v>
      </c>
      <c r="Y1447" cm="1">
        <f t="array" ref="Y1447">IF(11&lt;Controls!$B$7,INDEX(G1436:G1614,MATCH(Controls!$B$5,A1436:A1614,1)+11),"")</f>
        <v>0</v>
      </c>
      <c r="Z1447" cm="1">
        <f t="array" ref="Z1447">IF(11&lt;Controls!$B$7,INDEX(H1436:H1614,MATCH(Controls!$B$5,A1436:A1614,1)+11),"")</f>
        <v>283.15199999999999</v>
      </c>
      <c r="AA1447" cm="1">
        <f t="array" aca="1" ref="AA1447" ca="1">IF(11&lt;Controls!$B$7,INDEX(M1436:M1614,MATCH(Controls!$B$5,A1436:A1614,1)+11)*INDEX(I1436:I1614,MATCH(Controls!$B$5,A1436:A1614,1)+11),"")</f>
        <v>176.48</v>
      </c>
      <c r="AB1447">
        <f t="shared" si="160"/>
        <v>132.36000000000001</v>
      </c>
    </row>
    <row r="1448" spans="1:28" ht="13" customHeight="1" x14ac:dyDescent="0.35">
      <c r="A1448" s="153">
        <v>46419</v>
      </c>
      <c r="B1448" s="36" t="s">
        <v>57</v>
      </c>
      <c r="C1448" s="15" t="s">
        <v>52</v>
      </c>
      <c r="D1448" s="15" t="s">
        <v>48</v>
      </c>
      <c r="E1448" s="30">
        <f>H1447</f>
        <v>283.15199999999999</v>
      </c>
      <c r="F1448" s="37">
        <f>IFERROR('Production Inputs'!$X$37*Dependencies!$D$17,0)</f>
        <v>0</v>
      </c>
      <c r="G1448" s="37">
        <f t="array" ref="G1448">IFERROR(SUMPRODUCT(('Production Inputs'!$A:$A="APG")*('Production Inputs'!$B:$B="TOTAL ACTIVE")*'Production Inputs'!$X:$X),0)</f>
        <v>0</v>
      </c>
      <c r="H1448" s="30">
        <f t="shared" si="154"/>
        <v>283.15199999999999</v>
      </c>
      <c r="I1448" s="30">
        <f ca="1">IFERROR(AVERAGEIF(OFFSET(F1448,0,0,MIN(Controls!$B$8,COUNTIF(B1448:B$1973,B1448)),1),"&gt;"&amp;0),0)</f>
        <v>44.12</v>
      </c>
      <c r="J1448" s="38">
        <f t="shared" ca="1" si="155"/>
        <v>6.4177697189483229</v>
      </c>
      <c r="K1448" s="30">
        <f t="shared" ca="1" si="159"/>
        <v>0</v>
      </c>
      <c r="L1448" t="str">
        <f t="shared" ca="1" si="156"/>
        <v>Low</v>
      </c>
      <c r="M1448" s="39">
        <f>IFERROR(VLOOKUP("APG",Controls!A:I,7,0),6)</f>
        <v>4</v>
      </c>
      <c r="N1448" s="39">
        <f>IFERROR(VLOOKUP("APG",Controls!A:I,8,0),3)</f>
        <v>3</v>
      </c>
      <c r="O1448" s="39">
        <f>IFERROR(VLOOKUP("APG",Controls!A:I,9,0),18)</f>
        <v>12</v>
      </c>
      <c r="P1448" s="40">
        <f>IFERROR(VLOOKUP("APG",Controls!A:J,5,0),0)</f>
        <v>95</v>
      </c>
      <c r="Q1448" s="39">
        <f>IFERROR(VLOOKUP("APG",Controls!A:J,6,0),3)</f>
        <v>4</v>
      </c>
      <c r="R1448" s="21" t="str">
        <f>IFERROR(VLOOKUP("APG",Controls!A:K,10,0),"")</f>
        <v>ST Pharm</v>
      </c>
      <c r="S1448" s="41">
        <f t="shared" si="157"/>
        <v>46296</v>
      </c>
      <c r="T1448" s="30">
        <f t="shared" si="158"/>
        <v>0</v>
      </c>
      <c r="W1448" s="205" cm="1">
        <f t="array" ref="W1448">IF(12&lt;Controls!$B$7,INDEX(A1436:A1614,MATCH(Controls!$B$5,A1436:A1614,1)+12),"")</f>
        <v>46478</v>
      </c>
      <c r="X1448" cm="1">
        <f t="array" ref="X1448">IF(12&lt;Controls!$B$7,INDEX(F1436:F1614,MATCH(Controls!$B$5,A1436:A1614,1)+12),"")</f>
        <v>44.12</v>
      </c>
      <c r="Y1448" cm="1">
        <f t="array" ref="Y1448">IF(12&lt;Controls!$B$7,INDEX(G1436:G1614,MATCH(Controls!$B$5,A1436:A1614,1)+12),"")</f>
        <v>0</v>
      </c>
      <c r="Z1448" cm="1">
        <f t="array" ref="Z1448">IF(12&lt;Controls!$B$7,INDEX(H1436:H1614,MATCH(Controls!$B$5,A1436:A1614,1)+12),"")</f>
        <v>239.03199999999998</v>
      </c>
      <c r="AA1448" cm="1">
        <f t="array" aca="1" ref="AA1448" ca="1">IF(12&lt;Controls!$B$7,INDEX(M1436:M1614,MATCH(Controls!$B$5,A1436:A1614,1)+12)*INDEX(I1436:I1614,MATCH(Controls!$B$5,A1436:A1614,1)+12),"")</f>
        <v>176.48</v>
      </c>
      <c r="AB1448">
        <f t="shared" si="160"/>
        <v>132.36000000000001</v>
      </c>
    </row>
    <row r="1449" spans="1:28" ht="13" customHeight="1" x14ac:dyDescent="0.35">
      <c r="A1449" s="153">
        <v>46447</v>
      </c>
      <c r="B1449" s="36" t="s">
        <v>57</v>
      </c>
      <c r="C1449" s="15" t="s">
        <v>52</v>
      </c>
      <c r="D1449" s="15" t="s">
        <v>48</v>
      </c>
      <c r="E1449" s="30">
        <f>H1448</f>
        <v>283.15199999999999</v>
      </c>
      <c r="F1449" s="37">
        <f>IFERROR('Production Inputs'!$Y$37*Dependencies!$D$17,0)</f>
        <v>0</v>
      </c>
      <c r="G1449" s="37">
        <f t="array" ref="G1449">IFERROR(SUMPRODUCT(('Production Inputs'!$A:$A="APG")*('Production Inputs'!$B:$B="TOTAL ACTIVE")*'Production Inputs'!$Y:$Y),0)</f>
        <v>0</v>
      </c>
      <c r="H1449" s="30">
        <f t="shared" si="154"/>
        <v>283.15199999999999</v>
      </c>
      <c r="I1449" s="30">
        <f ca="1">IFERROR(AVERAGEIF(OFFSET(F1449,0,0,MIN(Controls!$B$8,COUNTIF(B1449:B$1973,B1449)),1),"&gt;"&amp;0),0)</f>
        <v>44.12</v>
      </c>
      <c r="J1449" s="38">
        <f t="shared" ca="1" si="155"/>
        <v>6.4177697189483229</v>
      </c>
      <c r="K1449" s="30">
        <f t="shared" ca="1" si="159"/>
        <v>0</v>
      </c>
      <c r="L1449" t="str">
        <f t="shared" ca="1" si="156"/>
        <v>Low</v>
      </c>
      <c r="M1449" s="39">
        <f>IFERROR(VLOOKUP("APG",Controls!A:I,7,0),6)</f>
        <v>4</v>
      </c>
      <c r="N1449" s="39">
        <f>IFERROR(VLOOKUP("APG",Controls!A:I,8,0),3)</f>
        <v>3</v>
      </c>
      <c r="O1449" s="39">
        <f>IFERROR(VLOOKUP("APG",Controls!A:I,9,0),18)</f>
        <v>12</v>
      </c>
      <c r="P1449" s="40">
        <f>IFERROR(VLOOKUP("APG",Controls!A:J,5,0),0)</f>
        <v>95</v>
      </c>
      <c r="Q1449" s="39">
        <f>IFERROR(VLOOKUP("APG",Controls!A:J,6,0),3)</f>
        <v>4</v>
      </c>
      <c r="R1449" s="21" t="str">
        <f>IFERROR(VLOOKUP("APG",Controls!A:K,10,0),"")</f>
        <v>ST Pharm</v>
      </c>
      <c r="S1449" s="41">
        <f t="shared" si="157"/>
        <v>46327</v>
      </c>
      <c r="T1449" s="30">
        <f t="shared" si="158"/>
        <v>0</v>
      </c>
      <c r="W1449" s="205" cm="1">
        <f t="array" ref="W1449">IF(13&lt;Controls!$B$7,INDEX(A1436:A1614,MATCH(Controls!$B$5,A1436:A1614,1)+13),"")</f>
        <v>46508</v>
      </c>
      <c r="X1449" cm="1">
        <f t="array" ref="X1449">IF(13&lt;Controls!$B$7,INDEX(F1436:F1614,MATCH(Controls!$B$5,A1436:A1614,1)+13),"")</f>
        <v>44.12</v>
      </c>
      <c r="Y1449" cm="1">
        <f t="array" ref="Y1449">IF(13&lt;Controls!$B$7,INDEX(G1436:G1614,MATCH(Controls!$B$5,A1436:A1614,1)+13),"")</f>
        <v>0</v>
      </c>
      <c r="Z1449" cm="1">
        <f t="array" ref="Z1449">IF(13&lt;Controls!$B$7,INDEX(H1436:H1614,MATCH(Controls!$B$5,A1436:A1614,1)+13),"")</f>
        <v>194.91199999999998</v>
      </c>
      <c r="AA1449" cm="1">
        <f t="array" aca="1" ref="AA1449" ca="1">IF(13&lt;Controls!$B$7,INDEX(M1436:M1614,MATCH(Controls!$B$5,A1436:A1614,1)+13)*INDEX(I1436:I1614,MATCH(Controls!$B$5,A1436:A1614,1)+13),"")</f>
        <v>176.48</v>
      </c>
      <c r="AB1449">
        <f t="shared" si="160"/>
        <v>132.36000000000001</v>
      </c>
    </row>
    <row r="1450" spans="1:28" ht="13" customHeight="1" x14ac:dyDescent="0.35">
      <c r="A1450" s="153">
        <v>46478</v>
      </c>
      <c r="B1450" s="36" t="s">
        <v>57</v>
      </c>
      <c r="C1450" s="15" t="s">
        <v>52</v>
      </c>
      <c r="D1450" s="15" t="s">
        <v>48</v>
      </c>
      <c r="E1450" s="30">
        <f>H1449</f>
        <v>283.15199999999999</v>
      </c>
      <c r="F1450" s="37">
        <f>IFERROR('Production Inputs'!$Z$37*Dependencies!$D$17,0)</f>
        <v>44.12</v>
      </c>
      <c r="G1450" s="37">
        <f t="array" ref="G1450">IFERROR(SUMPRODUCT(('Production Inputs'!$A:$A="APG")*('Production Inputs'!$B:$B="TOTAL ACTIVE")*'Production Inputs'!$Z:$Z),0)</f>
        <v>0</v>
      </c>
      <c r="H1450" s="30">
        <f t="shared" si="154"/>
        <v>239.03199999999998</v>
      </c>
      <c r="I1450" s="30">
        <f ca="1">IFERROR(AVERAGEIF(OFFSET(F1450,0,0,MIN(Controls!$B$8,COUNTIF(B1450:B$1973,B1450)),1),"&gt;"&amp;0),0)</f>
        <v>44.12</v>
      </c>
      <c r="J1450" s="38">
        <f t="shared" ca="1" si="155"/>
        <v>5.4177697189483229</v>
      </c>
      <c r="K1450" s="30">
        <f t="shared" ca="1" si="159"/>
        <v>0</v>
      </c>
      <c r="L1450" t="str">
        <f t="shared" ca="1" si="156"/>
        <v>Low</v>
      </c>
      <c r="M1450" s="39">
        <f>IFERROR(VLOOKUP("APG",Controls!A:I,7,0),6)</f>
        <v>4</v>
      </c>
      <c r="N1450" s="39">
        <f>IFERROR(VLOOKUP("APG",Controls!A:I,8,0),3)</f>
        <v>3</v>
      </c>
      <c r="O1450" s="39">
        <f>IFERROR(VLOOKUP("APG",Controls!A:I,9,0),18)</f>
        <v>12</v>
      </c>
      <c r="P1450" s="40">
        <f>IFERROR(VLOOKUP("APG",Controls!A:J,5,0),0)</f>
        <v>95</v>
      </c>
      <c r="Q1450" s="39">
        <f>IFERROR(VLOOKUP("APG",Controls!A:J,6,0),3)</f>
        <v>4</v>
      </c>
      <c r="R1450" s="21" t="str">
        <f>IFERROR(VLOOKUP("APG",Controls!A:K,10,0),"")</f>
        <v>ST Pharm</v>
      </c>
      <c r="S1450" s="41">
        <f t="shared" si="157"/>
        <v>46357</v>
      </c>
      <c r="T1450" s="30">
        <f t="shared" si="158"/>
        <v>0</v>
      </c>
      <c r="W1450" s="205" cm="1">
        <f t="array" ref="W1450">IF(14&lt;Controls!$B$7,INDEX(A1436:A1614,MATCH(Controls!$B$5,A1436:A1614,1)+14),"")</f>
        <v>46539</v>
      </c>
      <c r="X1450" cm="1">
        <f t="array" ref="X1450">IF(14&lt;Controls!$B$7,INDEX(F1436:F1614,MATCH(Controls!$B$5,A1436:A1614,1)+14),"")</f>
        <v>44.12</v>
      </c>
      <c r="Y1450" cm="1">
        <f t="array" ref="Y1450">IF(14&lt;Controls!$B$7,INDEX(G1436:G1614,MATCH(Controls!$B$5,A1436:A1614,1)+14),"")</f>
        <v>0</v>
      </c>
      <c r="Z1450" cm="1">
        <f t="array" ref="Z1450">IF(14&lt;Controls!$B$7,INDEX(H1436:H1614,MATCH(Controls!$B$5,A1436:A1614,1)+14),"")</f>
        <v>150.79199999999997</v>
      </c>
      <c r="AA1450" cm="1">
        <f t="array" aca="1" ref="AA1450" ca="1">IF(14&lt;Controls!$B$7,INDEX(M1436:M1614,MATCH(Controls!$B$5,A1436:A1614,1)+14)*INDEX(I1436:I1614,MATCH(Controls!$B$5,A1436:A1614,1)+14),"")</f>
        <v>176.48</v>
      </c>
      <c r="AB1450">
        <f t="shared" si="160"/>
        <v>176.48000000000002</v>
      </c>
    </row>
    <row r="1451" spans="1:28" ht="13" customHeight="1" x14ac:dyDescent="0.35">
      <c r="A1451" s="153">
        <v>46508</v>
      </c>
      <c r="B1451" s="36" t="s">
        <v>57</v>
      </c>
      <c r="C1451" s="15" t="s">
        <v>52</v>
      </c>
      <c r="D1451" s="15" t="s">
        <v>48</v>
      </c>
      <c r="E1451" s="30">
        <f>H1450</f>
        <v>239.03199999999998</v>
      </c>
      <c r="F1451" s="37">
        <f>IFERROR('Production Inputs'!$AA$37*Dependencies!$D$17,0)</f>
        <v>44.12</v>
      </c>
      <c r="G1451" s="37">
        <f t="array" ref="G1451">IFERROR(SUMPRODUCT(('Production Inputs'!$A:$A="APG")*('Production Inputs'!$B:$B="TOTAL ACTIVE")*'Production Inputs'!$AA:$AA),0)</f>
        <v>0</v>
      </c>
      <c r="H1451" s="30">
        <f t="shared" si="154"/>
        <v>194.91199999999998</v>
      </c>
      <c r="I1451" s="30">
        <f ca="1">IFERROR(AVERAGEIF(OFFSET(F1451,0,0,MIN(Controls!$B$8,COUNTIF(B1451:B$1973,B1451)),1),"&gt;"&amp;0),0)</f>
        <v>44.12</v>
      </c>
      <c r="J1451" s="38">
        <f t="shared" ca="1" si="155"/>
        <v>4.4177697189483229</v>
      </c>
      <c r="K1451" s="30">
        <f t="shared" ca="1" si="159"/>
        <v>0</v>
      </c>
      <c r="L1451" t="str">
        <f t="shared" ca="1" si="156"/>
        <v>Low</v>
      </c>
      <c r="M1451" s="39">
        <f>IFERROR(VLOOKUP("APG",Controls!A:I,7,0),6)</f>
        <v>4</v>
      </c>
      <c r="N1451" s="39">
        <f>IFERROR(VLOOKUP("APG",Controls!A:I,8,0),3)</f>
        <v>3</v>
      </c>
      <c r="O1451" s="39">
        <f>IFERROR(VLOOKUP("APG",Controls!A:I,9,0),18)</f>
        <v>12</v>
      </c>
      <c r="P1451" s="40">
        <f>IFERROR(VLOOKUP("APG",Controls!A:J,5,0),0)</f>
        <v>95</v>
      </c>
      <c r="Q1451" s="39">
        <f>IFERROR(VLOOKUP("APG",Controls!A:J,6,0),3)</f>
        <v>4</v>
      </c>
      <c r="R1451" s="21" t="str">
        <f>IFERROR(VLOOKUP("APG",Controls!A:K,10,0),"")</f>
        <v>ST Pharm</v>
      </c>
      <c r="S1451" s="41">
        <f t="shared" si="157"/>
        <v>46388</v>
      </c>
      <c r="T1451" s="30">
        <f t="shared" si="158"/>
        <v>0</v>
      </c>
      <c r="W1451" s="205" cm="1">
        <f t="array" ref="W1451">IF(15&lt;Controls!$B$7,INDEX(A1436:A1614,MATCH(Controls!$B$5,A1436:A1614,1)+15),"")</f>
        <v>46569</v>
      </c>
      <c r="X1451" cm="1">
        <f t="array" ref="X1451">IF(15&lt;Controls!$B$7,INDEX(F1436:F1614,MATCH(Controls!$B$5,A1436:A1614,1)+15),"")</f>
        <v>44.12</v>
      </c>
      <c r="Y1451" cm="1">
        <f t="array" ref="Y1451">IF(15&lt;Controls!$B$7,INDEX(G1436:G1614,MATCH(Controls!$B$5,A1436:A1614,1)+15),"")</f>
        <v>0</v>
      </c>
      <c r="Z1451" cm="1">
        <f t="array" ref="Z1451">IF(15&lt;Controls!$B$7,INDEX(H1436:H1614,MATCH(Controls!$B$5,A1436:A1614,1)+15),"")</f>
        <v>106.67199999999997</v>
      </c>
      <c r="AA1451" cm="1">
        <f t="array" aca="1" ref="AA1451" ca="1">IF(15&lt;Controls!$B$7,INDEX(M1436:M1614,MATCH(Controls!$B$5,A1436:A1614,1)+15)*INDEX(I1436:I1614,MATCH(Controls!$B$5,A1436:A1614,1)+15),"")</f>
        <v>176.48</v>
      </c>
      <c r="AB1451">
        <f t="shared" si="160"/>
        <v>220.60000000000002</v>
      </c>
    </row>
    <row r="1452" spans="1:28" ht="13" customHeight="1" x14ac:dyDescent="0.35">
      <c r="A1452" s="153">
        <v>46539</v>
      </c>
      <c r="B1452" s="36" t="s">
        <v>57</v>
      </c>
      <c r="C1452" s="15" t="s">
        <v>52</v>
      </c>
      <c r="D1452" s="15" t="s">
        <v>48</v>
      </c>
      <c r="E1452" s="30">
        <f>H1451</f>
        <v>194.91199999999998</v>
      </c>
      <c r="F1452" s="37">
        <f>IFERROR('Production Inputs'!$AB$37*Dependencies!$D$17,0)</f>
        <v>44.12</v>
      </c>
      <c r="G1452" s="37">
        <f t="array" ref="G1452">IFERROR(SUMPRODUCT(('Production Inputs'!$A:$A="APG")*('Production Inputs'!$B:$B="TOTAL ACTIVE")*'Production Inputs'!$AB:$AB),0)</f>
        <v>0</v>
      </c>
      <c r="H1452" s="30">
        <f t="shared" si="154"/>
        <v>150.79199999999997</v>
      </c>
      <c r="I1452" s="30">
        <f ca="1">IFERROR(AVERAGEIF(OFFSET(F1452,0,0,MIN(Controls!$B$8,COUNTIF(B1452:B$1973,B1452)),1),"&gt;"&amp;0),0)</f>
        <v>44.12</v>
      </c>
      <c r="J1452" s="38">
        <f t="shared" ca="1" si="155"/>
        <v>3.4177697189483225</v>
      </c>
      <c r="K1452" s="30">
        <f t="shared" ca="1" si="159"/>
        <v>0</v>
      </c>
      <c r="L1452" t="str">
        <f t="shared" ca="1" si="156"/>
        <v>Medium</v>
      </c>
      <c r="M1452" s="39">
        <f>IFERROR(VLOOKUP("APG",Controls!A:I,7,0),6)</f>
        <v>4</v>
      </c>
      <c r="N1452" s="39">
        <f>IFERROR(VLOOKUP("APG",Controls!A:I,8,0),3)</f>
        <v>3</v>
      </c>
      <c r="O1452" s="39">
        <f>IFERROR(VLOOKUP("APG",Controls!A:I,9,0),18)</f>
        <v>12</v>
      </c>
      <c r="P1452" s="40">
        <f>IFERROR(VLOOKUP("APG",Controls!A:J,5,0),0)</f>
        <v>95</v>
      </c>
      <c r="Q1452" s="39">
        <f>IFERROR(VLOOKUP("APG",Controls!A:J,6,0),3)</f>
        <v>4</v>
      </c>
      <c r="R1452" s="21" t="str">
        <f>IFERROR(VLOOKUP("APG",Controls!A:K,10,0),"")</f>
        <v>ST Pharm</v>
      </c>
      <c r="S1452" s="41">
        <f t="shared" si="157"/>
        <v>46419</v>
      </c>
      <c r="T1452" s="30">
        <f t="shared" si="158"/>
        <v>0</v>
      </c>
      <c r="W1452" s="205" cm="1">
        <f t="array" ref="W1452">IF(16&lt;Controls!$B$7,INDEX(A1436:A1614,MATCH(Controls!$B$5,A1436:A1614,1)+16),"")</f>
        <v>46600</v>
      </c>
      <c r="X1452" cm="1">
        <f t="array" ref="X1452">IF(16&lt;Controls!$B$7,INDEX(F1436:F1614,MATCH(Controls!$B$5,A1436:A1614,1)+16),"")</f>
        <v>0</v>
      </c>
      <c r="Y1452" cm="1">
        <f t="array" ref="Y1452">IF(16&lt;Controls!$B$7,INDEX(G1436:G1614,MATCH(Controls!$B$5,A1436:A1614,1)+16),"")</f>
        <v>0</v>
      </c>
      <c r="Z1452" cm="1">
        <f t="array" ref="Z1452">IF(16&lt;Controls!$B$7,INDEX(H1436:H1614,MATCH(Controls!$B$5,A1436:A1614,1)+16),"")</f>
        <v>106.67199999999997</v>
      </c>
      <c r="AA1452" cm="1">
        <f t="array" aca="1" ref="AA1452" ca="1">IF(16&lt;Controls!$B$7,INDEX(M1436:M1614,MATCH(Controls!$B$5,A1436:A1614,1)+16)*INDEX(I1436:I1614,MATCH(Controls!$B$5,A1436:A1614,1)+16),"")</f>
        <v>0</v>
      </c>
      <c r="AB1452">
        <f t="shared" si="160"/>
        <v>264.72000000000003</v>
      </c>
    </row>
    <row r="1453" spans="1:28" ht="13" customHeight="1" x14ac:dyDescent="0.35">
      <c r="A1453" s="153">
        <v>46569</v>
      </c>
      <c r="B1453" s="36" t="s">
        <v>57</v>
      </c>
      <c r="C1453" s="15" t="s">
        <v>52</v>
      </c>
      <c r="D1453" s="15" t="s">
        <v>48</v>
      </c>
      <c r="E1453" s="30">
        <f>H1452</f>
        <v>150.79199999999997</v>
      </c>
      <c r="F1453" s="37">
        <f>IFERROR('Production Inputs'!$AC$37*Dependencies!$D$17,0)</f>
        <v>44.12</v>
      </c>
      <c r="G1453" s="37">
        <f t="array" ref="G1453">IFERROR(SUMPRODUCT(('Production Inputs'!$A:$A="APG")*('Production Inputs'!$B:$B="TOTAL ACTIVE")*'Production Inputs'!$AC:$AC),0)</f>
        <v>0</v>
      </c>
      <c r="H1453" s="30">
        <f t="shared" si="154"/>
        <v>106.67199999999997</v>
      </c>
      <c r="I1453" s="30">
        <f ca="1">IFERROR(AVERAGEIF(OFFSET(F1453,0,0,MIN(Controls!$B$8,COUNTIF(B1453:B$1973,B1453)),1),"&gt;"&amp;0),0)</f>
        <v>44.12</v>
      </c>
      <c r="J1453" s="38">
        <f t="shared" ca="1" si="155"/>
        <v>2.417769718948322</v>
      </c>
      <c r="K1453" s="30">
        <f t="shared" ca="1" si="159"/>
        <v>95</v>
      </c>
      <c r="L1453" t="str">
        <f t="shared" ca="1" si="156"/>
        <v>High</v>
      </c>
      <c r="M1453" s="39">
        <f>IFERROR(VLOOKUP("APG",Controls!A:I,7,0),6)</f>
        <v>4</v>
      </c>
      <c r="N1453" s="39">
        <f>IFERROR(VLOOKUP("APG",Controls!A:I,8,0),3)</f>
        <v>3</v>
      </c>
      <c r="O1453" s="39">
        <f>IFERROR(VLOOKUP("APG",Controls!A:I,9,0),18)</f>
        <v>12</v>
      </c>
      <c r="P1453" s="40">
        <f>IFERROR(VLOOKUP("APG",Controls!A:J,5,0),0)</f>
        <v>95</v>
      </c>
      <c r="Q1453" s="39">
        <f>IFERROR(VLOOKUP("APG",Controls!A:J,6,0),3)</f>
        <v>4</v>
      </c>
      <c r="R1453" s="21" t="str">
        <f>IFERROR(VLOOKUP("APG",Controls!A:K,10,0),"")</f>
        <v>ST Pharm</v>
      </c>
      <c r="S1453" s="41">
        <f t="shared" si="157"/>
        <v>46447</v>
      </c>
      <c r="T1453" s="30">
        <f t="shared" si="158"/>
        <v>0</v>
      </c>
      <c r="W1453" s="205" cm="1">
        <f t="array" ref="W1453">IF(17&lt;Controls!$B$7,INDEX(A1436:A1614,MATCH(Controls!$B$5,A1436:A1614,1)+17),"")</f>
        <v>46631</v>
      </c>
      <c r="X1453" cm="1">
        <f t="array" ref="X1453">IF(17&lt;Controls!$B$7,INDEX(F1436:F1614,MATCH(Controls!$B$5,A1436:A1614,1)+17),"")</f>
        <v>0</v>
      </c>
      <c r="Y1453" cm="1">
        <f t="array" ref="Y1453">IF(17&lt;Controls!$B$7,INDEX(G1436:G1614,MATCH(Controls!$B$5,A1436:A1614,1)+17),"")</f>
        <v>0</v>
      </c>
      <c r="Z1453" cm="1">
        <f t="array" ref="Z1453">IF(17&lt;Controls!$B$7,INDEX(H1436:H1614,MATCH(Controls!$B$5,A1436:A1614,1)+17),"")</f>
        <v>106.67199999999997</v>
      </c>
      <c r="AA1453" cm="1">
        <f t="array" aca="1" ref="AA1453" ca="1">IF(17&lt;Controls!$B$7,INDEX(M1436:M1614,MATCH(Controls!$B$5,A1436:A1614,1)+17)*INDEX(I1436:I1614,MATCH(Controls!$B$5,A1436:A1614,1)+17),"")</f>
        <v>0</v>
      </c>
      <c r="AB1453">
        <f t="shared" si="160"/>
        <v>308.84000000000003</v>
      </c>
    </row>
    <row r="1454" spans="1:28" ht="13" customHeight="1" x14ac:dyDescent="0.35">
      <c r="A1454" s="153">
        <v>46600</v>
      </c>
      <c r="B1454" s="36" t="s">
        <v>57</v>
      </c>
      <c r="C1454" s="15" t="s">
        <v>52</v>
      </c>
      <c r="D1454" s="15" t="s">
        <v>48</v>
      </c>
      <c r="E1454" s="30">
        <f>H1453</f>
        <v>106.67199999999997</v>
      </c>
      <c r="F1454" s="37">
        <f>IFERROR('Production Inputs'!$AD$37*Dependencies!$D$17,0)</f>
        <v>0</v>
      </c>
      <c r="G1454" s="37">
        <f t="array" ref="G1454">IFERROR(SUMPRODUCT(('Production Inputs'!$A:$A="APG")*('Production Inputs'!$B:$B="TOTAL ACTIVE")*'Production Inputs'!$AD:$AD),0)</f>
        <v>0</v>
      </c>
      <c r="H1454" s="30">
        <f t="shared" si="154"/>
        <v>106.67199999999997</v>
      </c>
      <c r="I1454" s="30">
        <f ca="1">IFERROR(AVERAGEIF(OFFSET(F1454,0,0,MIN(Controls!$B$8,COUNTIF(B1454:B$1973,B1454)),1),"&gt;"&amp;0),0)</f>
        <v>0</v>
      </c>
      <c r="J1454" s="38">
        <f t="shared" ca="1" si="155"/>
        <v>999</v>
      </c>
      <c r="K1454" s="30">
        <f t="shared" ca="1" si="159"/>
        <v>0</v>
      </c>
      <c r="L1454" t="str">
        <f t="shared" ca="1" si="156"/>
        <v>Overstock</v>
      </c>
      <c r="M1454" s="39">
        <f>IFERROR(VLOOKUP("APG",Controls!A:I,7,0),6)</f>
        <v>4</v>
      </c>
      <c r="N1454" s="39">
        <f>IFERROR(VLOOKUP("APG",Controls!A:I,8,0),3)</f>
        <v>3</v>
      </c>
      <c r="O1454" s="39">
        <f>IFERROR(VLOOKUP("APG",Controls!A:I,9,0),18)</f>
        <v>12</v>
      </c>
      <c r="P1454" s="40">
        <f>IFERROR(VLOOKUP("APG",Controls!A:J,5,0),0)</f>
        <v>95</v>
      </c>
      <c r="Q1454" s="39">
        <f>IFERROR(VLOOKUP("APG",Controls!A:J,6,0),3)</f>
        <v>4</v>
      </c>
      <c r="R1454" s="21" t="str">
        <f>IFERROR(VLOOKUP("APG",Controls!A:K,10,0),"")</f>
        <v>ST Pharm</v>
      </c>
      <c r="S1454" s="41">
        <f t="shared" si="157"/>
        <v>46478</v>
      </c>
      <c r="T1454" s="30">
        <f t="shared" si="158"/>
        <v>0</v>
      </c>
      <c r="W1454" s="205" t="str" cm="1">
        <f t="array" ref="W1454">IF(18&lt;Controls!$B$7,INDEX(A1436:A1614,MATCH(Controls!$B$5,A1436:A1614,1)+18),"")</f>
        <v/>
      </c>
      <c r="X1454" t="str" cm="1">
        <f t="array" ref="X1454">IF(18&lt;Controls!$B$7,INDEX(F1436:F1614,MATCH(Controls!$B$5,A1436:A1614,1)+18),"")</f>
        <v/>
      </c>
      <c r="Y1454" t="str" cm="1">
        <f t="array" ref="Y1454">IF(18&lt;Controls!$B$7,INDEX(G1436:G1614,MATCH(Controls!$B$5,A1436:A1614,1)+18),"")</f>
        <v/>
      </c>
      <c r="Z1454" t="str" cm="1">
        <f t="array" ref="Z1454">IF(18&lt;Controls!$B$7,INDEX(H1436:H1614,MATCH(Controls!$B$5,A1436:A1614,1)+18),"")</f>
        <v/>
      </c>
      <c r="AA1454" t="str" cm="1">
        <f t="array" ref="AA1454">IF(18&lt;Controls!$B$7,INDEX(M1436:M1614,MATCH(Controls!$B$5,A1436:A1614,1)+18)*INDEX(I1436:I1614,MATCH(Controls!$B$5,A1436:A1614,1)+18),"")</f>
        <v/>
      </c>
      <c r="AB1454">
        <f t="shared" si="160"/>
        <v>308.84000000000003</v>
      </c>
    </row>
    <row r="1455" spans="1:28" ht="13" customHeight="1" x14ac:dyDescent="0.35">
      <c r="A1455" s="153">
        <v>46631</v>
      </c>
      <c r="B1455" s="36" t="s">
        <v>57</v>
      </c>
      <c r="C1455" s="15" t="s">
        <v>52</v>
      </c>
      <c r="D1455" s="15" t="s">
        <v>48</v>
      </c>
      <c r="E1455" s="30">
        <f>H1454</f>
        <v>106.67199999999997</v>
      </c>
      <c r="F1455" s="37">
        <f>IFERROR('Production Inputs'!$AE$37*Dependencies!$D$17,0)</f>
        <v>0</v>
      </c>
      <c r="G1455" s="37">
        <f t="array" ref="G1455">IFERROR(SUMPRODUCT(('Production Inputs'!$A:$A="APG")*('Production Inputs'!$B:$B="TOTAL ACTIVE")*'Production Inputs'!$AE:$AE),0)</f>
        <v>0</v>
      </c>
      <c r="H1455" s="30">
        <f t="shared" si="154"/>
        <v>106.67199999999997</v>
      </c>
      <c r="I1455" s="30">
        <f ca="1">IFERROR(AVERAGEIF(OFFSET(F1455,0,0,MIN(Controls!$B$8,COUNTIF(B1455:B$1973,B1455)),1),"&gt;"&amp;0),0)</f>
        <v>0</v>
      </c>
      <c r="J1455" s="38">
        <f t="shared" ca="1" si="155"/>
        <v>999</v>
      </c>
      <c r="K1455" s="30">
        <f t="shared" ca="1" si="159"/>
        <v>0</v>
      </c>
      <c r="L1455" t="str">
        <f t="shared" ca="1" si="156"/>
        <v>Overstock</v>
      </c>
      <c r="M1455" s="39">
        <f>IFERROR(VLOOKUP("APG",Controls!A:I,7,0),6)</f>
        <v>4</v>
      </c>
      <c r="N1455" s="39">
        <f>IFERROR(VLOOKUP("APG",Controls!A:I,8,0),3)</f>
        <v>3</v>
      </c>
      <c r="O1455" s="39">
        <f>IFERROR(VLOOKUP("APG",Controls!A:I,9,0),18)</f>
        <v>12</v>
      </c>
      <c r="P1455" s="40">
        <f>IFERROR(VLOOKUP("APG",Controls!A:J,5,0),0)</f>
        <v>95</v>
      </c>
      <c r="Q1455" s="39">
        <f>IFERROR(VLOOKUP("APG",Controls!A:J,6,0),3)</f>
        <v>4</v>
      </c>
      <c r="R1455" s="21" t="str">
        <f>IFERROR(VLOOKUP("APG",Controls!A:K,10,0),"")</f>
        <v>ST Pharm</v>
      </c>
      <c r="S1455" s="41">
        <f t="shared" si="157"/>
        <v>46508</v>
      </c>
      <c r="T1455" s="30">
        <f t="shared" si="158"/>
        <v>0</v>
      </c>
      <c r="W1455" s="205" t="str" cm="1">
        <f t="array" ref="W1455">IF(19&lt;Controls!$B$7,INDEX(A1436:A1614,MATCH(Controls!$B$5,A1436:A1614,1)+19),"")</f>
        <v/>
      </c>
      <c r="X1455" t="str" cm="1">
        <f t="array" ref="X1455">IF(19&lt;Controls!$B$7,INDEX(F1436:F1614,MATCH(Controls!$B$5,A1436:A1614,1)+19),"")</f>
        <v/>
      </c>
      <c r="Y1455" t="str" cm="1">
        <f t="array" ref="Y1455">IF(19&lt;Controls!$B$7,INDEX(G1436:G1614,MATCH(Controls!$B$5,A1436:A1614,1)+19),"")</f>
        <v/>
      </c>
      <c r="Z1455" t="str" cm="1">
        <f t="array" ref="Z1455">IF(19&lt;Controls!$B$7,INDEX(H1436:H1614,MATCH(Controls!$B$5,A1436:A1614,1)+19),"")</f>
        <v/>
      </c>
      <c r="AA1455" t="str" cm="1">
        <f t="array" ref="AA1455">IF(19&lt;Controls!$B$7,INDEX(M1436:M1614,MATCH(Controls!$B$5,A1436:A1614,1)+19)*INDEX(I1436:I1614,MATCH(Controls!$B$5,A1436:A1614,1)+19),"")</f>
        <v/>
      </c>
      <c r="AB1455">
        <f t="shared" si="160"/>
        <v>308.84000000000003</v>
      </c>
    </row>
    <row r="1456" spans="1:28" ht="13" customHeight="1" x14ac:dyDescent="0.35">
      <c r="A1456" s="153">
        <v>46661</v>
      </c>
      <c r="B1456" s="36" t="s">
        <v>57</v>
      </c>
      <c r="C1456" s="15" t="s">
        <v>52</v>
      </c>
      <c r="D1456" s="15" t="s">
        <v>48</v>
      </c>
      <c r="E1456" s="30">
        <f>H1455</f>
        <v>106.67199999999997</v>
      </c>
      <c r="F1456" s="37">
        <f>IFERROR('Production Inputs'!$AF$37*Dependencies!$D$17,0)</f>
        <v>0</v>
      </c>
      <c r="G1456" s="37">
        <f t="array" ref="G1456">IFERROR(SUMPRODUCT(('Production Inputs'!$A:$A="APG")*('Production Inputs'!$B:$B="TOTAL ACTIVE")*'Production Inputs'!$AF:$AF),0)</f>
        <v>0</v>
      </c>
      <c r="H1456" s="30">
        <f t="shared" si="154"/>
        <v>106.67199999999997</v>
      </c>
      <c r="I1456" s="30">
        <f ca="1">IFERROR(AVERAGEIF(OFFSET(F1456,0,0,MIN(Controls!$B$8,COUNTIF(B1456:B$1973,B1456)),1),"&gt;"&amp;0),0)</f>
        <v>0</v>
      </c>
      <c r="J1456" s="38">
        <f t="shared" ca="1" si="155"/>
        <v>999</v>
      </c>
      <c r="K1456" s="30">
        <f t="shared" ca="1" si="159"/>
        <v>0</v>
      </c>
      <c r="L1456" t="str">
        <f t="shared" ca="1" si="156"/>
        <v>Overstock</v>
      </c>
      <c r="M1456" s="39">
        <f>IFERROR(VLOOKUP("APG",Controls!A:I,7,0),6)</f>
        <v>4</v>
      </c>
      <c r="N1456" s="39">
        <f>IFERROR(VLOOKUP("APG",Controls!A:I,8,0),3)</f>
        <v>3</v>
      </c>
      <c r="O1456" s="39">
        <f>IFERROR(VLOOKUP("APG",Controls!A:I,9,0),18)</f>
        <v>12</v>
      </c>
      <c r="P1456" s="40">
        <f>IFERROR(VLOOKUP("APG",Controls!A:J,5,0),0)</f>
        <v>95</v>
      </c>
      <c r="Q1456" s="39">
        <f>IFERROR(VLOOKUP("APG",Controls!A:J,6,0),3)</f>
        <v>4</v>
      </c>
      <c r="R1456" s="21" t="str">
        <f>IFERROR(VLOOKUP("APG",Controls!A:K,10,0),"")</f>
        <v>ST Pharm</v>
      </c>
      <c r="S1456" s="41">
        <f t="shared" si="157"/>
        <v>46539</v>
      </c>
      <c r="T1456" s="30">
        <f t="shared" si="158"/>
        <v>0</v>
      </c>
      <c r="W1456" s="205" t="str" cm="1">
        <f t="array" ref="W1456">IF(20&lt;Controls!$B$7,INDEX(A1436:A1614,MATCH(Controls!$B$5,A1436:A1614,1)+20),"")</f>
        <v/>
      </c>
      <c r="X1456" t="str" cm="1">
        <f t="array" ref="X1456">IF(20&lt;Controls!$B$7,INDEX(F1436:F1614,MATCH(Controls!$B$5,A1436:A1614,1)+20),"")</f>
        <v/>
      </c>
      <c r="Y1456" t="str" cm="1">
        <f t="array" ref="Y1456">IF(20&lt;Controls!$B$7,INDEX(G1436:G1614,MATCH(Controls!$B$5,A1436:A1614,1)+20),"")</f>
        <v/>
      </c>
      <c r="Z1456" t="str" cm="1">
        <f t="array" ref="Z1456">IF(20&lt;Controls!$B$7,INDEX(H1436:H1614,MATCH(Controls!$B$5,A1436:A1614,1)+20),"")</f>
        <v/>
      </c>
      <c r="AA1456" t="str" cm="1">
        <f t="array" ref="AA1456">IF(20&lt;Controls!$B$7,INDEX(M1436:M1614,MATCH(Controls!$B$5,A1436:A1614,1)+20)*INDEX(I1436:I1614,MATCH(Controls!$B$5,A1436:A1614,1)+20),"")</f>
        <v/>
      </c>
      <c r="AB1456">
        <f t="shared" si="160"/>
        <v>308.84000000000003</v>
      </c>
    </row>
    <row r="1457" spans="1:28" ht="13" customHeight="1" x14ac:dyDescent="0.35">
      <c r="A1457" s="153">
        <v>46692</v>
      </c>
      <c r="B1457" s="36" t="s">
        <v>57</v>
      </c>
      <c r="C1457" s="15" t="s">
        <v>52</v>
      </c>
      <c r="D1457" s="15" t="s">
        <v>48</v>
      </c>
      <c r="E1457" s="30">
        <f>H1456</f>
        <v>106.67199999999997</v>
      </c>
      <c r="F1457" s="37">
        <f>IFERROR('Production Inputs'!$AG$37*Dependencies!$D$17,0)</f>
        <v>0</v>
      </c>
      <c r="G1457" s="37">
        <f t="array" ref="G1457">IFERROR(SUMPRODUCT(('Production Inputs'!$A:$A="APG")*('Production Inputs'!$B:$B="TOTAL ACTIVE")*'Production Inputs'!$AG:$AG),0)</f>
        <v>0</v>
      </c>
      <c r="H1457" s="30">
        <f t="shared" si="154"/>
        <v>106.67199999999997</v>
      </c>
      <c r="I1457" s="30">
        <f ca="1">IFERROR(AVERAGEIF(OFFSET(F1457,0,0,MIN(Controls!$B$8,COUNTIF(B1457:B$1973,B1457)),1),"&gt;"&amp;0),0)</f>
        <v>0</v>
      </c>
      <c r="J1457" s="38">
        <f t="shared" ca="1" si="155"/>
        <v>999</v>
      </c>
      <c r="K1457" s="30">
        <f t="shared" ca="1" si="159"/>
        <v>0</v>
      </c>
      <c r="L1457" t="str">
        <f t="shared" ca="1" si="156"/>
        <v>Overstock</v>
      </c>
      <c r="M1457" s="39">
        <f>IFERROR(VLOOKUP("APG",Controls!A:I,7,0),6)</f>
        <v>4</v>
      </c>
      <c r="N1457" s="39">
        <f>IFERROR(VLOOKUP("APG",Controls!A:I,8,0),3)</f>
        <v>3</v>
      </c>
      <c r="O1457" s="39">
        <f>IFERROR(VLOOKUP("APG",Controls!A:I,9,0),18)</f>
        <v>12</v>
      </c>
      <c r="P1457" s="40">
        <f>IFERROR(VLOOKUP("APG",Controls!A:J,5,0),0)</f>
        <v>95</v>
      </c>
      <c r="Q1457" s="39">
        <f>IFERROR(VLOOKUP("APG",Controls!A:J,6,0),3)</f>
        <v>4</v>
      </c>
      <c r="R1457" s="21" t="str">
        <f>IFERROR(VLOOKUP("APG",Controls!A:K,10,0),"")</f>
        <v>ST Pharm</v>
      </c>
      <c r="S1457" s="41">
        <f t="shared" si="157"/>
        <v>46569</v>
      </c>
      <c r="T1457" s="30">
        <f t="shared" si="158"/>
        <v>0</v>
      </c>
      <c r="W1457" s="205" t="str" cm="1">
        <f t="array" ref="W1457">IF(21&lt;Controls!$B$7,INDEX(A1436:A1614,MATCH(Controls!$B$5,A1436:A1614,1)+21),"")</f>
        <v/>
      </c>
      <c r="X1457" t="str" cm="1">
        <f t="array" ref="X1457">IF(21&lt;Controls!$B$7,INDEX(F1436:F1614,MATCH(Controls!$B$5,A1436:A1614,1)+21),"")</f>
        <v/>
      </c>
      <c r="Y1457" t="str" cm="1">
        <f t="array" ref="Y1457">IF(21&lt;Controls!$B$7,INDEX(G1436:G1614,MATCH(Controls!$B$5,A1436:A1614,1)+21),"")</f>
        <v/>
      </c>
      <c r="Z1457" t="str" cm="1">
        <f t="array" ref="Z1457">IF(21&lt;Controls!$B$7,INDEX(H1436:H1614,MATCH(Controls!$B$5,A1436:A1614,1)+21),"")</f>
        <v/>
      </c>
      <c r="AA1457" t="str" cm="1">
        <f t="array" ref="AA1457">IF(21&lt;Controls!$B$7,INDEX(M1436:M1614,MATCH(Controls!$B$5,A1436:A1614,1)+21)*INDEX(I1436:I1614,MATCH(Controls!$B$5,A1436:A1614,1)+21),"")</f>
        <v/>
      </c>
      <c r="AB1457">
        <f t="shared" si="160"/>
        <v>308.84000000000003</v>
      </c>
    </row>
    <row r="1458" spans="1:28" ht="13" customHeight="1" x14ac:dyDescent="0.35">
      <c r="A1458" s="153">
        <v>46722</v>
      </c>
      <c r="B1458" s="36" t="s">
        <v>57</v>
      </c>
      <c r="C1458" s="15" t="s">
        <v>52</v>
      </c>
      <c r="D1458" s="15" t="s">
        <v>48</v>
      </c>
      <c r="E1458" s="30">
        <f>H1457</f>
        <v>106.67199999999997</v>
      </c>
      <c r="F1458" s="37">
        <f>IFERROR('Production Inputs'!$AH$37*Dependencies!$D$17,0)</f>
        <v>0</v>
      </c>
      <c r="G1458" s="37">
        <f t="array" ref="G1458">IFERROR(SUMPRODUCT(('Production Inputs'!$A:$A="APG")*('Production Inputs'!$B:$B="TOTAL ACTIVE")*'Production Inputs'!$AH:$AH),0)</f>
        <v>0</v>
      </c>
      <c r="H1458" s="30">
        <f t="shared" si="154"/>
        <v>106.67199999999997</v>
      </c>
      <c r="I1458" s="30">
        <f ca="1">IFERROR(AVERAGEIF(OFFSET(F1458,0,0,MIN(Controls!$B$8,COUNTIF(B1458:B$1973,B1458)),1),"&gt;"&amp;0),0)</f>
        <v>0</v>
      </c>
      <c r="J1458" s="38">
        <f t="shared" ca="1" si="155"/>
        <v>999</v>
      </c>
      <c r="K1458" s="30">
        <f t="shared" ca="1" si="159"/>
        <v>0</v>
      </c>
      <c r="L1458" t="str">
        <f t="shared" ca="1" si="156"/>
        <v>Overstock</v>
      </c>
      <c r="M1458" s="39">
        <f>IFERROR(VLOOKUP("APG",Controls!A:I,7,0),6)</f>
        <v>4</v>
      </c>
      <c r="N1458" s="39">
        <f>IFERROR(VLOOKUP("APG",Controls!A:I,8,0),3)</f>
        <v>3</v>
      </c>
      <c r="O1458" s="39">
        <f>IFERROR(VLOOKUP("APG",Controls!A:I,9,0),18)</f>
        <v>12</v>
      </c>
      <c r="P1458" s="40">
        <f>IFERROR(VLOOKUP("APG",Controls!A:J,5,0),0)</f>
        <v>95</v>
      </c>
      <c r="Q1458" s="39">
        <f>IFERROR(VLOOKUP("APG",Controls!A:J,6,0),3)</f>
        <v>4</v>
      </c>
      <c r="R1458" s="21" t="str">
        <f>IFERROR(VLOOKUP("APG",Controls!A:K,10,0),"")</f>
        <v>ST Pharm</v>
      </c>
      <c r="S1458" s="41">
        <f t="shared" si="157"/>
        <v>46600</v>
      </c>
      <c r="T1458" s="30">
        <f t="shared" si="158"/>
        <v>0</v>
      </c>
      <c r="W1458" s="205" t="str" cm="1">
        <f t="array" ref="W1458">IF(22&lt;Controls!$B$7,INDEX(A1436:A1614,MATCH(Controls!$B$5,A1436:A1614,1)+22),"")</f>
        <v/>
      </c>
      <c r="X1458" t="str" cm="1">
        <f t="array" ref="X1458">IF(22&lt;Controls!$B$7,INDEX(F1436:F1614,MATCH(Controls!$B$5,A1436:A1614,1)+22),"")</f>
        <v/>
      </c>
      <c r="Y1458" t="str" cm="1">
        <f t="array" ref="Y1458">IF(22&lt;Controls!$B$7,INDEX(G1436:G1614,MATCH(Controls!$B$5,A1436:A1614,1)+22),"")</f>
        <v/>
      </c>
      <c r="Z1458" t="str" cm="1">
        <f t="array" ref="Z1458">IF(22&lt;Controls!$B$7,INDEX(H1436:H1614,MATCH(Controls!$B$5,A1436:A1614,1)+22),"")</f>
        <v/>
      </c>
      <c r="AA1458" t="str" cm="1">
        <f t="array" ref="AA1458">IF(22&lt;Controls!$B$7,INDEX(M1436:M1614,MATCH(Controls!$B$5,A1436:A1614,1)+22)*INDEX(I1436:I1614,MATCH(Controls!$B$5,A1436:A1614,1)+22),"")</f>
        <v/>
      </c>
      <c r="AB1458">
        <f t="shared" si="160"/>
        <v>308.84000000000003</v>
      </c>
    </row>
    <row r="1459" spans="1:28" ht="13" customHeight="1" x14ac:dyDescent="0.35">
      <c r="A1459" s="153">
        <v>46753</v>
      </c>
      <c r="B1459" s="36" t="s">
        <v>57</v>
      </c>
      <c r="C1459" s="15" t="s">
        <v>52</v>
      </c>
      <c r="D1459" s="15" t="s">
        <v>48</v>
      </c>
      <c r="E1459" s="30">
        <f>H1458</f>
        <v>106.67199999999997</v>
      </c>
      <c r="F1459" s="37">
        <f>IFERROR('Production Inputs'!$AI$37*Dependencies!$D$17,0)</f>
        <v>0</v>
      </c>
      <c r="G1459" s="37">
        <f t="array" ref="G1459">IFERROR(SUMPRODUCT(('Production Inputs'!$A:$A="APG")*('Production Inputs'!$B:$B="TOTAL ACTIVE")*'Production Inputs'!$AI:$AI),0)</f>
        <v>0</v>
      </c>
      <c r="H1459" s="30">
        <f t="shared" si="154"/>
        <v>106.67199999999997</v>
      </c>
      <c r="I1459" s="30">
        <f ca="1">IFERROR(AVERAGEIF(OFFSET(F1459,0,0,MIN(Controls!$B$8,COUNTIF(B1459:B$1973,B1459)),1),"&gt;"&amp;0),0)</f>
        <v>0</v>
      </c>
      <c r="J1459" s="38">
        <f t="shared" ca="1" si="155"/>
        <v>999</v>
      </c>
      <c r="K1459" s="30">
        <f t="shared" ca="1" si="159"/>
        <v>0</v>
      </c>
      <c r="L1459" t="str">
        <f t="shared" ca="1" si="156"/>
        <v>Overstock</v>
      </c>
      <c r="M1459" s="39">
        <f>IFERROR(VLOOKUP("APG",Controls!A:I,7,0),6)</f>
        <v>4</v>
      </c>
      <c r="N1459" s="39">
        <f>IFERROR(VLOOKUP("APG",Controls!A:I,8,0),3)</f>
        <v>3</v>
      </c>
      <c r="O1459" s="39">
        <f>IFERROR(VLOOKUP("APG",Controls!A:I,9,0),18)</f>
        <v>12</v>
      </c>
      <c r="P1459" s="40">
        <f>IFERROR(VLOOKUP("APG",Controls!A:J,5,0),0)</f>
        <v>95</v>
      </c>
      <c r="Q1459" s="39">
        <f>IFERROR(VLOOKUP("APG",Controls!A:J,6,0),3)</f>
        <v>4</v>
      </c>
      <c r="R1459" s="21" t="str">
        <f>IFERROR(VLOOKUP("APG",Controls!A:K,10,0),"")</f>
        <v>ST Pharm</v>
      </c>
      <c r="S1459" s="41">
        <f t="shared" si="157"/>
        <v>46631</v>
      </c>
      <c r="T1459" s="30">
        <f t="shared" si="158"/>
        <v>0</v>
      </c>
      <c r="W1459" s="205" t="str" cm="1">
        <f t="array" ref="W1459">IF(23&lt;Controls!$B$7,INDEX(A1436:A1614,MATCH(Controls!$B$5,A1436:A1614,1)+23),"")</f>
        <v/>
      </c>
      <c r="X1459" t="str" cm="1">
        <f t="array" ref="X1459">IF(23&lt;Controls!$B$7,INDEX(F1436:F1614,MATCH(Controls!$B$5,A1436:A1614,1)+23),"")</f>
        <v/>
      </c>
      <c r="Y1459" t="str" cm="1">
        <f t="array" ref="Y1459">IF(23&lt;Controls!$B$7,INDEX(G1436:G1614,MATCH(Controls!$B$5,A1436:A1614,1)+23),"")</f>
        <v/>
      </c>
      <c r="Z1459" t="str" cm="1">
        <f t="array" ref="Z1459">IF(23&lt;Controls!$B$7,INDEX(H1436:H1614,MATCH(Controls!$B$5,A1436:A1614,1)+23),"")</f>
        <v/>
      </c>
      <c r="AA1459" t="str" cm="1">
        <f t="array" ref="AA1459">IF(23&lt;Controls!$B$7,INDEX(M1436:M1614,MATCH(Controls!$B$5,A1436:A1614,1)+23)*INDEX(I1436:I1614,MATCH(Controls!$B$5,A1436:A1614,1)+23),"")</f>
        <v/>
      </c>
      <c r="AB1459">
        <f t="shared" si="160"/>
        <v>308.84000000000003</v>
      </c>
    </row>
    <row r="1460" spans="1:28" ht="13" customHeight="1" x14ac:dyDescent="0.35">
      <c r="A1460" s="153">
        <v>46784</v>
      </c>
      <c r="B1460" s="36" t="s">
        <v>57</v>
      </c>
      <c r="C1460" s="15" t="s">
        <v>52</v>
      </c>
      <c r="D1460" s="15" t="s">
        <v>48</v>
      </c>
      <c r="E1460" s="30">
        <f>H1459</f>
        <v>106.67199999999997</v>
      </c>
      <c r="F1460" s="37">
        <f>IFERROR('Production Inputs'!$AJ$37*Dependencies!$D$17,0)</f>
        <v>0</v>
      </c>
      <c r="G1460" s="37">
        <f t="array" ref="G1460">IFERROR(SUMPRODUCT(('Production Inputs'!$A:$A="APG")*('Production Inputs'!$B:$B="TOTAL ACTIVE")*'Production Inputs'!$AJ:$AJ),0)</f>
        <v>0</v>
      </c>
      <c r="H1460" s="30">
        <f t="shared" si="154"/>
        <v>106.67199999999997</v>
      </c>
      <c r="I1460" s="30">
        <f ca="1">IFERROR(AVERAGEIF(OFFSET(F1460,0,0,MIN(Controls!$B$8,COUNTIF(B1460:B$1973,B1460)),1),"&gt;"&amp;0),0)</f>
        <v>0</v>
      </c>
      <c r="J1460" s="38">
        <f t="shared" ca="1" si="155"/>
        <v>999</v>
      </c>
      <c r="K1460" s="30">
        <f t="shared" ca="1" si="159"/>
        <v>0</v>
      </c>
      <c r="L1460" t="str">
        <f t="shared" ca="1" si="156"/>
        <v>Overstock</v>
      </c>
      <c r="M1460" s="39">
        <f>IFERROR(VLOOKUP("APG",Controls!A:I,7,0),6)</f>
        <v>4</v>
      </c>
      <c r="N1460" s="39">
        <f>IFERROR(VLOOKUP("APG",Controls!A:I,8,0),3)</f>
        <v>3</v>
      </c>
      <c r="O1460" s="39">
        <f>IFERROR(VLOOKUP("APG",Controls!A:I,9,0),18)</f>
        <v>12</v>
      </c>
      <c r="P1460" s="40">
        <f>IFERROR(VLOOKUP("APG",Controls!A:J,5,0),0)</f>
        <v>95</v>
      </c>
      <c r="Q1460" s="39">
        <f>IFERROR(VLOOKUP("APG",Controls!A:J,6,0),3)</f>
        <v>4</v>
      </c>
      <c r="R1460" s="21" t="str">
        <f>IFERROR(VLOOKUP("APG",Controls!A:K,10,0),"")</f>
        <v>ST Pharm</v>
      </c>
      <c r="S1460" s="41">
        <f t="shared" si="157"/>
        <v>46661</v>
      </c>
      <c r="T1460" s="30">
        <f t="shared" si="158"/>
        <v>0</v>
      </c>
      <c r="W1460" s="205" t="str" cm="1">
        <f t="array" ref="W1460">IF(24&lt;Controls!$B$7,INDEX(A1436:A1614,MATCH(Controls!$B$5,A1436:A1614,1)+24),"")</f>
        <v/>
      </c>
      <c r="X1460" t="str" cm="1">
        <f t="array" ref="X1460">IF(24&lt;Controls!$B$7,INDEX(F1436:F1614,MATCH(Controls!$B$5,A1436:A1614,1)+24),"")</f>
        <v/>
      </c>
      <c r="Y1460" t="str" cm="1">
        <f t="array" ref="Y1460">IF(24&lt;Controls!$B$7,INDEX(G1436:G1614,MATCH(Controls!$B$5,A1436:A1614,1)+24),"")</f>
        <v/>
      </c>
      <c r="Z1460" t="str" cm="1">
        <f t="array" ref="Z1460">IF(24&lt;Controls!$B$7,INDEX(H1436:H1614,MATCH(Controls!$B$5,A1436:A1614,1)+24),"")</f>
        <v/>
      </c>
      <c r="AA1460" t="str" cm="1">
        <f t="array" ref="AA1460">IF(24&lt;Controls!$B$7,INDEX(M1436:M1614,MATCH(Controls!$B$5,A1436:A1614,1)+24)*INDEX(I1436:I1614,MATCH(Controls!$B$5,A1436:A1614,1)+24),"")</f>
        <v/>
      </c>
      <c r="AB1460">
        <f t="shared" si="160"/>
        <v>308.84000000000003</v>
      </c>
    </row>
    <row r="1461" spans="1:28" ht="13" customHeight="1" x14ac:dyDescent="0.35">
      <c r="A1461" s="153">
        <v>46813</v>
      </c>
      <c r="B1461" s="36" t="s">
        <v>57</v>
      </c>
      <c r="C1461" s="15" t="s">
        <v>52</v>
      </c>
      <c r="D1461" s="15" t="s">
        <v>48</v>
      </c>
      <c r="E1461" s="30">
        <f>H1460</f>
        <v>106.67199999999997</v>
      </c>
      <c r="F1461" s="37">
        <f>IFERROR('Production Inputs'!$AK$37*Dependencies!$D$17,0)</f>
        <v>0</v>
      </c>
      <c r="G1461" s="37">
        <f t="array" ref="G1461">IFERROR(SUMPRODUCT(('Production Inputs'!$A:$A="APG")*('Production Inputs'!$B:$B="TOTAL ACTIVE")*'Production Inputs'!$AK:$AK),0)</f>
        <v>0</v>
      </c>
      <c r="H1461" s="30">
        <f t="shared" si="154"/>
        <v>106.67199999999997</v>
      </c>
      <c r="I1461" s="30">
        <f ca="1">IFERROR(AVERAGEIF(OFFSET(F1461,0,0,MIN(Controls!$B$8,COUNTIF(B1461:B$1973,B1461)),1),"&gt;"&amp;0),0)</f>
        <v>0</v>
      </c>
      <c r="J1461" s="38">
        <f t="shared" ca="1" si="155"/>
        <v>999</v>
      </c>
      <c r="K1461" s="30">
        <f t="shared" ca="1" si="159"/>
        <v>0</v>
      </c>
      <c r="L1461" t="str">
        <f t="shared" ca="1" si="156"/>
        <v>Overstock</v>
      </c>
      <c r="M1461" s="39">
        <f>IFERROR(VLOOKUP("APG",Controls!A:I,7,0),6)</f>
        <v>4</v>
      </c>
      <c r="N1461" s="39">
        <f>IFERROR(VLOOKUP("APG",Controls!A:I,8,0),3)</f>
        <v>3</v>
      </c>
      <c r="O1461" s="39">
        <f>IFERROR(VLOOKUP("APG",Controls!A:I,9,0),18)</f>
        <v>12</v>
      </c>
      <c r="P1461" s="40">
        <f>IFERROR(VLOOKUP("APG",Controls!A:J,5,0),0)</f>
        <v>95</v>
      </c>
      <c r="Q1461" s="39">
        <f>IFERROR(VLOOKUP("APG",Controls!A:J,6,0),3)</f>
        <v>4</v>
      </c>
      <c r="R1461" s="21" t="str">
        <f>IFERROR(VLOOKUP("APG",Controls!A:K,10,0),"")</f>
        <v>ST Pharm</v>
      </c>
      <c r="S1461" s="41">
        <f t="shared" si="157"/>
        <v>46692</v>
      </c>
      <c r="T1461" s="30">
        <f t="shared" si="158"/>
        <v>0</v>
      </c>
      <c r="W1461" s="205" t="str" cm="1">
        <f t="array" ref="W1461">IF(25&lt;Controls!$B$7,INDEX(A1436:A1614,MATCH(Controls!$B$5,A1436:A1614,1)+25),"")</f>
        <v/>
      </c>
      <c r="X1461" t="str" cm="1">
        <f t="array" ref="X1461">IF(25&lt;Controls!$B$7,INDEX(F1436:F1614,MATCH(Controls!$B$5,A1436:A1614,1)+25),"")</f>
        <v/>
      </c>
      <c r="Y1461" t="str" cm="1">
        <f t="array" ref="Y1461">IF(25&lt;Controls!$B$7,INDEX(G1436:G1614,MATCH(Controls!$B$5,A1436:A1614,1)+25),"")</f>
        <v/>
      </c>
      <c r="Z1461" t="str" cm="1">
        <f t="array" ref="Z1461">IF(25&lt;Controls!$B$7,INDEX(H1436:H1614,MATCH(Controls!$B$5,A1436:A1614,1)+25),"")</f>
        <v/>
      </c>
      <c r="AA1461" t="str" cm="1">
        <f t="array" ref="AA1461">IF(25&lt;Controls!$B$7,INDEX(M1436:M1614,MATCH(Controls!$B$5,A1436:A1614,1)+25)*INDEX(I1436:I1614,MATCH(Controls!$B$5,A1436:A1614,1)+25),"")</f>
        <v/>
      </c>
      <c r="AB1461">
        <f t="shared" si="160"/>
        <v>308.84000000000003</v>
      </c>
    </row>
    <row r="1462" spans="1:28" ht="13" customHeight="1" x14ac:dyDescent="0.35">
      <c r="A1462" s="153">
        <v>46844</v>
      </c>
      <c r="B1462" s="36" t="s">
        <v>57</v>
      </c>
      <c r="C1462" s="15" t="s">
        <v>52</v>
      </c>
      <c r="D1462" s="15" t="s">
        <v>48</v>
      </c>
      <c r="E1462" s="30">
        <f>H1461</f>
        <v>106.67199999999997</v>
      </c>
      <c r="F1462" s="37">
        <f>IFERROR('Production Inputs'!$AL$37*Dependencies!$D$17,0)</f>
        <v>0</v>
      </c>
      <c r="G1462" s="37">
        <f t="array" ref="G1462">IFERROR(SUMPRODUCT(('Production Inputs'!$A:$A="APG")*('Production Inputs'!$B:$B="TOTAL ACTIVE")*'Production Inputs'!$AL:$AL),0)</f>
        <v>0</v>
      </c>
      <c r="H1462" s="30">
        <f t="shared" si="154"/>
        <v>106.67199999999997</v>
      </c>
      <c r="I1462" s="30">
        <f ca="1">IFERROR(AVERAGEIF(OFFSET(F1462,0,0,MIN(Controls!$B$8,COUNTIF(B1462:B$1973,B1462)),1),"&gt;"&amp;0),0)</f>
        <v>0</v>
      </c>
      <c r="J1462" s="38">
        <f t="shared" ca="1" si="155"/>
        <v>999</v>
      </c>
      <c r="K1462" s="30">
        <f t="shared" ca="1" si="159"/>
        <v>0</v>
      </c>
      <c r="L1462" t="str">
        <f t="shared" ca="1" si="156"/>
        <v>Overstock</v>
      </c>
      <c r="M1462" s="39">
        <f>IFERROR(VLOOKUP("APG",Controls!A:I,7,0),6)</f>
        <v>4</v>
      </c>
      <c r="N1462" s="39">
        <f>IFERROR(VLOOKUP("APG",Controls!A:I,8,0),3)</f>
        <v>3</v>
      </c>
      <c r="O1462" s="39">
        <f>IFERROR(VLOOKUP("APG",Controls!A:I,9,0),18)</f>
        <v>12</v>
      </c>
      <c r="P1462" s="40">
        <f>IFERROR(VLOOKUP("APG",Controls!A:J,5,0),0)</f>
        <v>95</v>
      </c>
      <c r="Q1462" s="39">
        <f>IFERROR(VLOOKUP("APG",Controls!A:J,6,0),3)</f>
        <v>4</v>
      </c>
      <c r="R1462" s="21" t="str">
        <f>IFERROR(VLOOKUP("APG",Controls!A:K,10,0),"")</f>
        <v>ST Pharm</v>
      </c>
      <c r="S1462" s="41">
        <f t="shared" si="157"/>
        <v>46722</v>
      </c>
      <c r="T1462" s="30">
        <f t="shared" si="158"/>
        <v>0</v>
      </c>
      <c r="W1462" s="205" t="str" cm="1">
        <f t="array" ref="W1462">IF(26&lt;Controls!$B$7,INDEX(A1436:A1614,MATCH(Controls!$B$5,A1436:A1614,1)+26),"")</f>
        <v/>
      </c>
      <c r="X1462" t="str" cm="1">
        <f t="array" ref="X1462">IF(26&lt;Controls!$B$7,INDEX(F1436:F1614,MATCH(Controls!$B$5,A1436:A1614,1)+26),"")</f>
        <v/>
      </c>
      <c r="Y1462" t="str" cm="1">
        <f t="array" ref="Y1462">IF(26&lt;Controls!$B$7,INDEX(G1436:G1614,MATCH(Controls!$B$5,A1436:A1614,1)+26),"")</f>
        <v/>
      </c>
      <c r="Z1462" t="str" cm="1">
        <f t="array" ref="Z1462">IF(26&lt;Controls!$B$7,INDEX(H1436:H1614,MATCH(Controls!$B$5,A1436:A1614,1)+26),"")</f>
        <v/>
      </c>
      <c r="AA1462" t="str" cm="1">
        <f t="array" ref="AA1462">IF(26&lt;Controls!$B$7,INDEX(M1436:M1614,MATCH(Controls!$B$5,A1436:A1614,1)+26)*INDEX(I1436:I1614,MATCH(Controls!$B$5,A1436:A1614,1)+26),"")</f>
        <v/>
      </c>
      <c r="AB1462">
        <f t="shared" si="160"/>
        <v>308.84000000000003</v>
      </c>
    </row>
    <row r="1463" spans="1:28" ht="13" customHeight="1" x14ac:dyDescent="0.35">
      <c r="A1463" s="153">
        <v>46874</v>
      </c>
      <c r="B1463" s="36" t="s">
        <v>57</v>
      </c>
      <c r="C1463" s="15" t="s">
        <v>52</v>
      </c>
      <c r="D1463" s="15" t="s">
        <v>48</v>
      </c>
      <c r="E1463" s="30">
        <f>H1462</f>
        <v>106.67199999999997</v>
      </c>
      <c r="F1463" s="37">
        <f>IFERROR('Production Inputs'!$AM$37*Dependencies!$D$17,0)</f>
        <v>0</v>
      </c>
      <c r="G1463" s="37">
        <f t="array" ref="G1463">IFERROR(SUMPRODUCT(('Production Inputs'!$A:$A="APG")*('Production Inputs'!$B:$B="TOTAL ACTIVE")*'Production Inputs'!$AM:$AM),0)</f>
        <v>0</v>
      </c>
      <c r="H1463" s="30">
        <f t="shared" si="154"/>
        <v>106.67199999999997</v>
      </c>
      <c r="I1463" s="30">
        <f ca="1">IFERROR(AVERAGEIF(OFFSET(F1463,0,0,MIN(Controls!$B$8,COUNTIF(B1463:B$1973,B1463)),1),"&gt;"&amp;0),0)</f>
        <v>0</v>
      </c>
      <c r="J1463" s="38">
        <f t="shared" ca="1" si="155"/>
        <v>999</v>
      </c>
      <c r="K1463" s="30">
        <f t="shared" ca="1" si="159"/>
        <v>0</v>
      </c>
      <c r="L1463" t="str">
        <f t="shared" ca="1" si="156"/>
        <v>Overstock</v>
      </c>
      <c r="M1463" s="39">
        <f>IFERROR(VLOOKUP("APG",Controls!A:I,7,0),6)</f>
        <v>4</v>
      </c>
      <c r="N1463" s="39">
        <f>IFERROR(VLOOKUP("APG",Controls!A:I,8,0),3)</f>
        <v>3</v>
      </c>
      <c r="O1463" s="39">
        <f>IFERROR(VLOOKUP("APG",Controls!A:I,9,0),18)</f>
        <v>12</v>
      </c>
      <c r="P1463" s="40">
        <f>IFERROR(VLOOKUP("APG",Controls!A:J,5,0),0)</f>
        <v>95</v>
      </c>
      <c r="Q1463" s="39">
        <f>IFERROR(VLOOKUP("APG",Controls!A:J,6,0),3)</f>
        <v>4</v>
      </c>
      <c r="R1463" s="21" t="str">
        <f>IFERROR(VLOOKUP("APG",Controls!A:K,10,0),"")</f>
        <v>ST Pharm</v>
      </c>
      <c r="S1463" s="41">
        <f t="shared" si="157"/>
        <v>46753</v>
      </c>
      <c r="T1463" s="30">
        <f t="shared" si="158"/>
        <v>0</v>
      </c>
      <c r="W1463" s="205" t="str" cm="1">
        <f t="array" ref="W1463">IF(27&lt;Controls!$B$7,INDEX(A1436:A1614,MATCH(Controls!$B$5,A1436:A1614,1)+27),"")</f>
        <v/>
      </c>
      <c r="X1463" t="str" cm="1">
        <f t="array" ref="X1463">IF(27&lt;Controls!$B$7,INDEX(F1436:F1614,MATCH(Controls!$B$5,A1436:A1614,1)+27),"")</f>
        <v/>
      </c>
      <c r="Y1463" t="str" cm="1">
        <f t="array" ref="Y1463">IF(27&lt;Controls!$B$7,INDEX(G1436:G1614,MATCH(Controls!$B$5,A1436:A1614,1)+27),"")</f>
        <v/>
      </c>
      <c r="Z1463" t="str" cm="1">
        <f t="array" ref="Z1463">IF(27&lt;Controls!$B$7,INDEX(H1436:H1614,MATCH(Controls!$B$5,A1436:A1614,1)+27),"")</f>
        <v/>
      </c>
      <c r="AA1463" t="str" cm="1">
        <f t="array" ref="AA1463">IF(27&lt;Controls!$B$7,INDEX(M1436:M1614,MATCH(Controls!$B$5,A1436:A1614,1)+27)*INDEX(I1436:I1614,MATCH(Controls!$B$5,A1436:A1614,1)+27),"")</f>
        <v/>
      </c>
      <c r="AB1463">
        <f t="shared" si="160"/>
        <v>308.84000000000003</v>
      </c>
    </row>
    <row r="1464" spans="1:28" ht="13" customHeight="1" x14ac:dyDescent="0.35">
      <c r="A1464" s="153">
        <v>46905</v>
      </c>
      <c r="B1464" s="36" t="s">
        <v>57</v>
      </c>
      <c r="C1464" s="15" t="s">
        <v>52</v>
      </c>
      <c r="D1464" s="15" t="s">
        <v>48</v>
      </c>
      <c r="E1464" s="30">
        <f>H1463</f>
        <v>106.67199999999997</v>
      </c>
      <c r="F1464" s="37">
        <f>IFERROR('Production Inputs'!$AN$37*Dependencies!$D$17,0)</f>
        <v>0</v>
      </c>
      <c r="G1464" s="37">
        <f t="array" ref="G1464">IFERROR(SUMPRODUCT(('Production Inputs'!$A:$A="APG")*('Production Inputs'!$B:$B="TOTAL ACTIVE")*'Production Inputs'!$AN:$AN),0)</f>
        <v>0</v>
      </c>
      <c r="H1464" s="30">
        <f t="shared" si="154"/>
        <v>106.67199999999997</v>
      </c>
      <c r="I1464" s="30">
        <f ca="1">IFERROR(AVERAGEIF(OFFSET(F1464,0,0,MIN(Controls!$B$8,COUNTIF(B1464:B$1973,B1464)),1),"&gt;"&amp;0),0)</f>
        <v>0</v>
      </c>
      <c r="J1464" s="38">
        <f t="shared" ca="1" si="155"/>
        <v>999</v>
      </c>
      <c r="K1464" s="30">
        <f t="shared" ca="1" si="159"/>
        <v>0</v>
      </c>
      <c r="L1464" t="str">
        <f t="shared" ca="1" si="156"/>
        <v>Overstock</v>
      </c>
      <c r="M1464" s="39">
        <f>IFERROR(VLOOKUP("APG",Controls!A:I,7,0),6)</f>
        <v>4</v>
      </c>
      <c r="N1464" s="39">
        <f>IFERROR(VLOOKUP("APG",Controls!A:I,8,0),3)</f>
        <v>3</v>
      </c>
      <c r="O1464" s="39">
        <f>IFERROR(VLOOKUP("APG",Controls!A:I,9,0),18)</f>
        <v>12</v>
      </c>
      <c r="P1464" s="40">
        <f>IFERROR(VLOOKUP("APG",Controls!A:J,5,0),0)</f>
        <v>95</v>
      </c>
      <c r="Q1464" s="39">
        <f>IFERROR(VLOOKUP("APG",Controls!A:J,6,0),3)</f>
        <v>4</v>
      </c>
      <c r="R1464" s="21" t="str">
        <f>IFERROR(VLOOKUP("APG",Controls!A:K,10,0),"")</f>
        <v>ST Pharm</v>
      </c>
      <c r="S1464" s="41">
        <f t="shared" si="157"/>
        <v>46784</v>
      </c>
      <c r="T1464" s="30">
        <f t="shared" si="158"/>
        <v>0</v>
      </c>
      <c r="W1464" s="205" t="str" cm="1">
        <f t="array" ref="W1464">IF(28&lt;Controls!$B$7,INDEX(A1436:A1614,MATCH(Controls!$B$5,A1436:A1614,1)+28),"")</f>
        <v/>
      </c>
      <c r="X1464" t="str" cm="1">
        <f t="array" ref="X1464">IF(28&lt;Controls!$B$7,INDEX(F1436:F1614,MATCH(Controls!$B$5,A1436:A1614,1)+28),"")</f>
        <v/>
      </c>
      <c r="Y1464" t="str" cm="1">
        <f t="array" ref="Y1464">IF(28&lt;Controls!$B$7,INDEX(G1436:G1614,MATCH(Controls!$B$5,A1436:A1614,1)+28),"")</f>
        <v/>
      </c>
      <c r="Z1464" t="str" cm="1">
        <f t="array" ref="Z1464">IF(28&lt;Controls!$B$7,INDEX(H1436:H1614,MATCH(Controls!$B$5,A1436:A1614,1)+28),"")</f>
        <v/>
      </c>
      <c r="AA1464" t="str" cm="1">
        <f t="array" ref="AA1464">IF(28&lt;Controls!$B$7,INDEX(M1436:M1614,MATCH(Controls!$B$5,A1436:A1614,1)+28)*INDEX(I1436:I1614,MATCH(Controls!$B$5,A1436:A1614,1)+28),"")</f>
        <v/>
      </c>
      <c r="AB1464">
        <f t="shared" si="160"/>
        <v>308.84000000000003</v>
      </c>
    </row>
    <row r="1465" spans="1:28" ht="13" customHeight="1" x14ac:dyDescent="0.35">
      <c r="A1465" s="153">
        <v>46935</v>
      </c>
      <c r="B1465" s="36" t="s">
        <v>57</v>
      </c>
      <c r="C1465" s="15" t="s">
        <v>52</v>
      </c>
      <c r="D1465" s="15" t="s">
        <v>48</v>
      </c>
      <c r="E1465" s="30">
        <f>H1464</f>
        <v>106.67199999999997</v>
      </c>
      <c r="F1465" s="37">
        <f>IFERROR('Production Inputs'!$AO$37*Dependencies!$D$17,0)</f>
        <v>0</v>
      </c>
      <c r="G1465" s="37">
        <f t="array" ref="G1465">IFERROR(SUMPRODUCT(('Production Inputs'!$A:$A="APG")*('Production Inputs'!$B:$B="TOTAL ACTIVE")*'Production Inputs'!$AO:$AO),0)</f>
        <v>0</v>
      </c>
      <c r="H1465" s="30">
        <f t="shared" si="154"/>
        <v>106.67199999999997</v>
      </c>
      <c r="I1465" s="30">
        <f ca="1">IFERROR(AVERAGEIF(OFFSET(F1465,0,0,MIN(Controls!$B$8,COUNTIF(B1465:B$1973,B1465)),1),"&gt;"&amp;0),0)</f>
        <v>0</v>
      </c>
      <c r="J1465" s="38">
        <f t="shared" ca="1" si="155"/>
        <v>999</v>
      </c>
      <c r="K1465" s="30">
        <f t="shared" ca="1" si="159"/>
        <v>0</v>
      </c>
      <c r="L1465" t="str">
        <f t="shared" ca="1" si="156"/>
        <v>Overstock</v>
      </c>
      <c r="M1465" s="39">
        <f>IFERROR(VLOOKUP("APG",Controls!A:I,7,0),6)</f>
        <v>4</v>
      </c>
      <c r="N1465" s="39">
        <f>IFERROR(VLOOKUP("APG",Controls!A:I,8,0),3)</f>
        <v>3</v>
      </c>
      <c r="O1465" s="39">
        <f>IFERROR(VLOOKUP("APG",Controls!A:I,9,0),18)</f>
        <v>12</v>
      </c>
      <c r="P1465" s="40">
        <f>IFERROR(VLOOKUP("APG",Controls!A:J,5,0),0)</f>
        <v>95</v>
      </c>
      <c r="Q1465" s="39">
        <f>IFERROR(VLOOKUP("APG",Controls!A:J,6,0),3)</f>
        <v>4</v>
      </c>
      <c r="R1465" s="21" t="str">
        <f>IFERROR(VLOOKUP("APG",Controls!A:K,10,0),"")</f>
        <v>ST Pharm</v>
      </c>
      <c r="S1465" s="41">
        <f t="shared" si="157"/>
        <v>46813</v>
      </c>
      <c r="T1465" s="30">
        <f t="shared" si="158"/>
        <v>0</v>
      </c>
      <c r="W1465" s="205" t="str" cm="1">
        <f t="array" ref="W1465">IF(29&lt;Controls!$B$7,INDEX(A1436:A1614,MATCH(Controls!$B$5,A1436:A1614,1)+29),"")</f>
        <v/>
      </c>
      <c r="X1465" t="str" cm="1">
        <f t="array" ref="X1465">IF(29&lt;Controls!$B$7,INDEX(F1436:F1614,MATCH(Controls!$B$5,A1436:A1614,1)+29),"")</f>
        <v/>
      </c>
      <c r="Y1465" t="str" cm="1">
        <f t="array" ref="Y1465">IF(29&lt;Controls!$B$7,INDEX(G1436:G1614,MATCH(Controls!$B$5,A1436:A1614,1)+29),"")</f>
        <v/>
      </c>
      <c r="Z1465" t="str" cm="1">
        <f t="array" ref="Z1465">IF(29&lt;Controls!$B$7,INDEX(H1436:H1614,MATCH(Controls!$B$5,A1436:A1614,1)+29),"")</f>
        <v/>
      </c>
      <c r="AA1465" t="str" cm="1">
        <f t="array" ref="AA1465">IF(29&lt;Controls!$B$7,INDEX(M1436:M1614,MATCH(Controls!$B$5,A1436:A1614,1)+29)*INDEX(I1436:I1614,MATCH(Controls!$B$5,A1436:A1614,1)+29),"")</f>
        <v/>
      </c>
      <c r="AB1465">
        <f t="shared" si="160"/>
        <v>308.84000000000003</v>
      </c>
    </row>
    <row r="1466" spans="1:28" ht="13" customHeight="1" x14ac:dyDescent="0.35">
      <c r="A1466" s="153">
        <v>46966</v>
      </c>
      <c r="B1466" s="36" t="s">
        <v>57</v>
      </c>
      <c r="C1466" s="15" t="s">
        <v>52</v>
      </c>
      <c r="D1466" s="15" t="s">
        <v>48</v>
      </c>
      <c r="E1466" s="30">
        <f>H1465</f>
        <v>106.67199999999997</v>
      </c>
      <c r="F1466" s="37">
        <f>IFERROR('Production Inputs'!$AP$37*Dependencies!$D$17,0)</f>
        <v>0</v>
      </c>
      <c r="G1466" s="37">
        <f t="array" ref="G1466">IFERROR(SUMPRODUCT(('Production Inputs'!$A:$A="APG")*('Production Inputs'!$B:$B="TOTAL ACTIVE")*'Production Inputs'!$AP:$AP),0)</f>
        <v>0</v>
      </c>
      <c r="H1466" s="30">
        <f t="shared" si="154"/>
        <v>106.67199999999997</v>
      </c>
      <c r="I1466" s="30">
        <f ca="1">IFERROR(AVERAGEIF(OFFSET(F1466,0,0,MIN(Controls!$B$8,COUNTIF(B1466:B$1973,B1466)),1),"&gt;"&amp;0),0)</f>
        <v>0</v>
      </c>
      <c r="J1466" s="38">
        <f t="shared" ca="1" si="155"/>
        <v>999</v>
      </c>
      <c r="K1466" s="30">
        <f t="shared" ca="1" si="159"/>
        <v>0</v>
      </c>
      <c r="L1466" t="str">
        <f t="shared" ca="1" si="156"/>
        <v>Overstock</v>
      </c>
      <c r="M1466" s="39">
        <f>IFERROR(VLOOKUP("APG",Controls!A:I,7,0),6)</f>
        <v>4</v>
      </c>
      <c r="N1466" s="39">
        <f>IFERROR(VLOOKUP("APG",Controls!A:I,8,0),3)</f>
        <v>3</v>
      </c>
      <c r="O1466" s="39">
        <f>IFERROR(VLOOKUP("APG",Controls!A:I,9,0),18)</f>
        <v>12</v>
      </c>
      <c r="P1466" s="40">
        <f>IFERROR(VLOOKUP("APG",Controls!A:J,5,0),0)</f>
        <v>95</v>
      </c>
      <c r="Q1466" s="39">
        <f>IFERROR(VLOOKUP("APG",Controls!A:J,6,0),3)</f>
        <v>4</v>
      </c>
      <c r="R1466" s="21" t="str">
        <f>IFERROR(VLOOKUP("APG",Controls!A:K,10,0),"")</f>
        <v>ST Pharm</v>
      </c>
      <c r="S1466" s="41">
        <f t="shared" si="157"/>
        <v>46844</v>
      </c>
      <c r="T1466" s="30">
        <f t="shared" si="158"/>
        <v>0</v>
      </c>
      <c r="W1466" s="205" t="str" cm="1">
        <f t="array" ref="W1466">IF(30&lt;Controls!$B$7,INDEX(A1436:A1614,MATCH(Controls!$B$5,A1436:A1614,1)+30),"")</f>
        <v/>
      </c>
      <c r="X1466" t="str" cm="1">
        <f t="array" ref="X1466">IF(30&lt;Controls!$B$7,INDEX(F1436:F1614,MATCH(Controls!$B$5,A1436:A1614,1)+30),"")</f>
        <v/>
      </c>
      <c r="Y1466" t="str" cm="1">
        <f t="array" ref="Y1466">IF(30&lt;Controls!$B$7,INDEX(G1436:G1614,MATCH(Controls!$B$5,A1436:A1614,1)+30),"")</f>
        <v/>
      </c>
      <c r="Z1466" t="str" cm="1">
        <f t="array" ref="Z1466">IF(30&lt;Controls!$B$7,INDEX(H1436:H1614,MATCH(Controls!$B$5,A1436:A1614,1)+30),"")</f>
        <v/>
      </c>
      <c r="AA1466" t="str" cm="1">
        <f t="array" ref="AA1466">IF(30&lt;Controls!$B$7,INDEX(M1436:M1614,MATCH(Controls!$B$5,A1436:A1614,1)+30)*INDEX(I1436:I1614,MATCH(Controls!$B$5,A1436:A1614,1)+30),"")</f>
        <v/>
      </c>
      <c r="AB1466">
        <f t="shared" si="160"/>
        <v>308.84000000000003</v>
      </c>
    </row>
    <row r="1467" spans="1:28" ht="13" customHeight="1" x14ac:dyDescent="0.35">
      <c r="A1467" s="153">
        <v>46997</v>
      </c>
      <c r="B1467" s="36" t="s">
        <v>57</v>
      </c>
      <c r="C1467" s="15" t="s">
        <v>52</v>
      </c>
      <c r="D1467" s="15" t="s">
        <v>48</v>
      </c>
      <c r="E1467" s="30">
        <f>H1466</f>
        <v>106.67199999999997</v>
      </c>
      <c r="F1467" s="37">
        <f>IFERROR('Production Inputs'!$AQ$37*Dependencies!$D$17,0)</f>
        <v>0</v>
      </c>
      <c r="G1467" s="37">
        <f t="array" ref="G1467">IFERROR(SUMPRODUCT(('Production Inputs'!$A:$A="APG")*('Production Inputs'!$B:$B="TOTAL ACTIVE")*'Production Inputs'!$AQ:$AQ),0)</f>
        <v>0</v>
      </c>
      <c r="H1467" s="30">
        <f t="shared" si="154"/>
        <v>106.67199999999997</v>
      </c>
      <c r="I1467" s="30">
        <f ca="1">IFERROR(AVERAGEIF(OFFSET(F1467,0,0,MIN(Controls!$B$8,COUNTIF(B1467:B$1973,B1467)),1),"&gt;"&amp;0),0)</f>
        <v>0</v>
      </c>
      <c r="J1467" s="38">
        <f t="shared" ca="1" si="155"/>
        <v>999</v>
      </c>
      <c r="K1467" s="30">
        <f t="shared" ca="1" si="159"/>
        <v>0</v>
      </c>
      <c r="L1467" t="str">
        <f t="shared" ca="1" si="156"/>
        <v>Overstock</v>
      </c>
      <c r="M1467" s="39">
        <f>IFERROR(VLOOKUP("APG",Controls!A:I,7,0),6)</f>
        <v>4</v>
      </c>
      <c r="N1467" s="39">
        <f>IFERROR(VLOOKUP("APG",Controls!A:I,8,0),3)</f>
        <v>3</v>
      </c>
      <c r="O1467" s="39">
        <f>IFERROR(VLOOKUP("APG",Controls!A:I,9,0),18)</f>
        <v>12</v>
      </c>
      <c r="P1467" s="40">
        <f>IFERROR(VLOOKUP("APG",Controls!A:J,5,0),0)</f>
        <v>95</v>
      </c>
      <c r="Q1467" s="39">
        <f>IFERROR(VLOOKUP("APG",Controls!A:J,6,0),3)</f>
        <v>4</v>
      </c>
      <c r="R1467" s="21" t="str">
        <f>IFERROR(VLOOKUP("APG",Controls!A:K,10,0),"")</f>
        <v>ST Pharm</v>
      </c>
      <c r="S1467" s="41">
        <f t="shared" si="157"/>
        <v>46874</v>
      </c>
      <c r="T1467" s="30">
        <f t="shared" si="158"/>
        <v>0</v>
      </c>
      <c r="W1467" s="205" t="str" cm="1">
        <f t="array" ref="W1467">IF(31&lt;Controls!$B$7,INDEX(A1436:A1614,MATCH(Controls!$B$5,A1436:A1614,1)+31),"")</f>
        <v/>
      </c>
      <c r="X1467" t="str" cm="1">
        <f t="array" ref="X1467">IF(31&lt;Controls!$B$7,INDEX(F1436:F1614,MATCH(Controls!$B$5,A1436:A1614,1)+31),"")</f>
        <v/>
      </c>
      <c r="Y1467" t="str" cm="1">
        <f t="array" ref="Y1467">IF(31&lt;Controls!$B$7,INDEX(G1436:G1614,MATCH(Controls!$B$5,A1436:A1614,1)+31),"")</f>
        <v/>
      </c>
      <c r="Z1467" t="str" cm="1">
        <f t="array" ref="Z1467">IF(31&lt;Controls!$B$7,INDEX(H1436:H1614,MATCH(Controls!$B$5,A1436:A1614,1)+31),"")</f>
        <v/>
      </c>
      <c r="AA1467" t="str" cm="1">
        <f t="array" ref="AA1467">IF(31&lt;Controls!$B$7,INDEX(M1436:M1614,MATCH(Controls!$B$5,A1436:A1614,1)+31)*INDEX(I1436:I1614,MATCH(Controls!$B$5,A1436:A1614,1)+31),"")</f>
        <v/>
      </c>
      <c r="AB1467">
        <f t="shared" si="160"/>
        <v>308.84000000000003</v>
      </c>
    </row>
    <row r="1468" spans="1:28" ht="13" customHeight="1" x14ac:dyDescent="0.35">
      <c r="A1468" s="153">
        <v>47027</v>
      </c>
      <c r="B1468" s="36" t="s">
        <v>57</v>
      </c>
      <c r="C1468" s="15" t="s">
        <v>52</v>
      </c>
      <c r="D1468" s="15" t="s">
        <v>48</v>
      </c>
      <c r="E1468" s="30">
        <f>H1467</f>
        <v>106.67199999999997</v>
      </c>
      <c r="F1468" s="37">
        <f>IFERROR('Production Inputs'!$AR$37*Dependencies!$D$17,0)</f>
        <v>0</v>
      </c>
      <c r="G1468" s="37">
        <f t="array" ref="G1468">IFERROR(SUMPRODUCT(('Production Inputs'!$A:$A="APG")*('Production Inputs'!$B:$B="TOTAL ACTIVE")*'Production Inputs'!$AR:$AR),0)</f>
        <v>0</v>
      </c>
      <c r="H1468" s="30">
        <f t="shared" si="154"/>
        <v>106.67199999999997</v>
      </c>
      <c r="I1468" s="30">
        <f ca="1">IFERROR(AVERAGEIF(OFFSET(F1468,0,0,MIN(Controls!$B$8,COUNTIF(B1468:B$1973,B1468)),1),"&gt;"&amp;0),0)</f>
        <v>0</v>
      </c>
      <c r="J1468" s="38">
        <f t="shared" ca="1" si="155"/>
        <v>999</v>
      </c>
      <c r="K1468" s="30">
        <f t="shared" ca="1" si="159"/>
        <v>0</v>
      </c>
      <c r="L1468" t="str">
        <f t="shared" ca="1" si="156"/>
        <v>Overstock</v>
      </c>
      <c r="M1468" s="39">
        <f>IFERROR(VLOOKUP("APG",Controls!A:I,7,0),6)</f>
        <v>4</v>
      </c>
      <c r="N1468" s="39">
        <f>IFERROR(VLOOKUP("APG",Controls!A:I,8,0),3)</f>
        <v>3</v>
      </c>
      <c r="O1468" s="39">
        <f>IFERROR(VLOOKUP("APG",Controls!A:I,9,0),18)</f>
        <v>12</v>
      </c>
      <c r="P1468" s="40">
        <f>IFERROR(VLOOKUP("APG",Controls!A:J,5,0),0)</f>
        <v>95</v>
      </c>
      <c r="Q1468" s="39">
        <f>IFERROR(VLOOKUP("APG",Controls!A:J,6,0),3)</f>
        <v>4</v>
      </c>
      <c r="R1468" s="21" t="str">
        <f>IFERROR(VLOOKUP("APG",Controls!A:K,10,0),"")</f>
        <v>ST Pharm</v>
      </c>
      <c r="S1468" s="41">
        <f t="shared" si="157"/>
        <v>46905</v>
      </c>
      <c r="T1468" s="30">
        <f t="shared" si="158"/>
        <v>0</v>
      </c>
      <c r="W1468" s="205" t="str" cm="1">
        <f t="array" ref="W1468">IF(32&lt;Controls!$B$7,INDEX(A1436:A1614,MATCH(Controls!$B$5,A1436:A1614,1)+32),"")</f>
        <v/>
      </c>
      <c r="X1468" t="str" cm="1">
        <f t="array" ref="X1468">IF(32&lt;Controls!$B$7,INDEX(F1436:F1614,MATCH(Controls!$B$5,A1436:A1614,1)+32),"")</f>
        <v/>
      </c>
      <c r="Y1468" t="str" cm="1">
        <f t="array" ref="Y1468">IF(32&lt;Controls!$B$7,INDEX(G1436:G1614,MATCH(Controls!$B$5,A1436:A1614,1)+32),"")</f>
        <v/>
      </c>
      <c r="Z1468" t="str" cm="1">
        <f t="array" ref="Z1468">IF(32&lt;Controls!$B$7,INDEX(H1436:H1614,MATCH(Controls!$B$5,A1436:A1614,1)+32),"")</f>
        <v/>
      </c>
      <c r="AA1468" t="str" cm="1">
        <f t="array" ref="AA1468">IF(32&lt;Controls!$B$7,INDEX(M1436:M1614,MATCH(Controls!$B$5,A1436:A1614,1)+32)*INDEX(I1436:I1614,MATCH(Controls!$B$5,A1436:A1614,1)+32),"")</f>
        <v/>
      </c>
      <c r="AB1468">
        <f t="shared" si="160"/>
        <v>308.84000000000003</v>
      </c>
    </row>
    <row r="1469" spans="1:28" ht="13" customHeight="1" x14ac:dyDescent="0.35">
      <c r="A1469" s="153">
        <v>47058</v>
      </c>
      <c r="B1469" s="36" t="s">
        <v>57</v>
      </c>
      <c r="C1469" s="15" t="s">
        <v>52</v>
      </c>
      <c r="D1469" s="15" t="s">
        <v>48</v>
      </c>
      <c r="E1469" s="30">
        <f>H1468</f>
        <v>106.67199999999997</v>
      </c>
      <c r="F1469" s="37">
        <f>IFERROR('Production Inputs'!$AS$37*Dependencies!$D$17,0)</f>
        <v>0</v>
      </c>
      <c r="G1469" s="37">
        <f t="array" ref="G1469">IFERROR(SUMPRODUCT(('Production Inputs'!$A:$A="APG")*('Production Inputs'!$B:$B="TOTAL ACTIVE")*'Production Inputs'!$AS:$AS),0)</f>
        <v>0</v>
      </c>
      <c r="H1469" s="30">
        <f t="shared" si="154"/>
        <v>106.67199999999997</v>
      </c>
      <c r="I1469" s="30">
        <f ca="1">IFERROR(AVERAGEIF(OFFSET(F1469,0,0,MIN(Controls!$B$8,COUNTIF(B1469:B$1973,B1469)),1),"&gt;"&amp;0),0)</f>
        <v>0</v>
      </c>
      <c r="J1469" s="38">
        <f t="shared" ca="1" si="155"/>
        <v>999</v>
      </c>
      <c r="K1469" s="30">
        <f t="shared" ca="1" si="159"/>
        <v>0</v>
      </c>
      <c r="L1469" t="str">
        <f t="shared" ca="1" si="156"/>
        <v>Overstock</v>
      </c>
      <c r="M1469" s="39">
        <f>IFERROR(VLOOKUP("APG",Controls!A:I,7,0),6)</f>
        <v>4</v>
      </c>
      <c r="N1469" s="39">
        <f>IFERROR(VLOOKUP("APG",Controls!A:I,8,0),3)</f>
        <v>3</v>
      </c>
      <c r="O1469" s="39">
        <f>IFERROR(VLOOKUP("APG",Controls!A:I,9,0),18)</f>
        <v>12</v>
      </c>
      <c r="P1469" s="40">
        <f>IFERROR(VLOOKUP("APG",Controls!A:J,5,0),0)</f>
        <v>95</v>
      </c>
      <c r="Q1469" s="39">
        <f>IFERROR(VLOOKUP("APG",Controls!A:J,6,0),3)</f>
        <v>4</v>
      </c>
      <c r="R1469" s="21" t="str">
        <f>IFERROR(VLOOKUP("APG",Controls!A:K,10,0),"")</f>
        <v>ST Pharm</v>
      </c>
      <c r="S1469" s="41">
        <f t="shared" si="157"/>
        <v>46935</v>
      </c>
      <c r="T1469" s="30">
        <f t="shared" si="158"/>
        <v>0</v>
      </c>
      <c r="W1469" s="205" t="str" cm="1">
        <f t="array" ref="W1469">IF(33&lt;Controls!$B$7,INDEX(A1436:A1614,MATCH(Controls!$B$5,A1436:A1614,1)+33),"")</f>
        <v/>
      </c>
      <c r="X1469" t="str" cm="1">
        <f t="array" ref="X1469">IF(33&lt;Controls!$B$7,INDEX(F1436:F1614,MATCH(Controls!$B$5,A1436:A1614,1)+33),"")</f>
        <v/>
      </c>
      <c r="Y1469" t="str" cm="1">
        <f t="array" ref="Y1469">IF(33&lt;Controls!$B$7,INDEX(G1436:G1614,MATCH(Controls!$B$5,A1436:A1614,1)+33),"")</f>
        <v/>
      </c>
      <c r="Z1469" t="str" cm="1">
        <f t="array" ref="Z1469">IF(33&lt;Controls!$B$7,INDEX(H1436:H1614,MATCH(Controls!$B$5,A1436:A1614,1)+33),"")</f>
        <v/>
      </c>
      <c r="AA1469" t="str" cm="1">
        <f t="array" ref="AA1469">IF(33&lt;Controls!$B$7,INDEX(M1436:M1614,MATCH(Controls!$B$5,A1436:A1614,1)+33)*INDEX(I1436:I1614,MATCH(Controls!$B$5,A1436:A1614,1)+33),"")</f>
        <v/>
      </c>
      <c r="AB1469">
        <f t="shared" si="160"/>
        <v>308.84000000000003</v>
      </c>
    </row>
    <row r="1470" spans="1:28" ht="13" customHeight="1" x14ac:dyDescent="0.35">
      <c r="A1470" s="153">
        <v>47088</v>
      </c>
      <c r="B1470" s="36" t="s">
        <v>57</v>
      </c>
      <c r="C1470" s="15" t="s">
        <v>52</v>
      </c>
      <c r="D1470" s="15" t="s">
        <v>48</v>
      </c>
      <c r="E1470" s="30">
        <f>H1469</f>
        <v>106.67199999999997</v>
      </c>
      <c r="F1470" s="37">
        <f>IFERROR('Production Inputs'!$AT$37*Dependencies!$D$17,0)</f>
        <v>0</v>
      </c>
      <c r="G1470" s="37">
        <f t="array" ref="G1470">IFERROR(SUMPRODUCT(('Production Inputs'!$A:$A="APG")*('Production Inputs'!$B:$B="TOTAL ACTIVE")*'Production Inputs'!$AT:$AT),0)</f>
        <v>0</v>
      </c>
      <c r="H1470" s="30">
        <f t="shared" si="154"/>
        <v>106.67199999999997</v>
      </c>
      <c r="I1470" s="30">
        <f ca="1">IFERROR(AVERAGEIF(OFFSET(F1470,0,0,MIN(Controls!$B$8,COUNTIF(B1470:B$1973,B1470)),1),"&gt;"&amp;0),0)</f>
        <v>0</v>
      </c>
      <c r="J1470" s="38">
        <f t="shared" ca="1" si="155"/>
        <v>999</v>
      </c>
      <c r="K1470" s="30">
        <f t="shared" ca="1" si="159"/>
        <v>0</v>
      </c>
      <c r="L1470" t="str">
        <f t="shared" ca="1" si="156"/>
        <v>Overstock</v>
      </c>
      <c r="M1470" s="39">
        <f>IFERROR(VLOOKUP("APG",Controls!A:I,7,0),6)</f>
        <v>4</v>
      </c>
      <c r="N1470" s="39">
        <f>IFERROR(VLOOKUP("APG",Controls!A:I,8,0),3)</f>
        <v>3</v>
      </c>
      <c r="O1470" s="39">
        <f>IFERROR(VLOOKUP("APG",Controls!A:I,9,0),18)</f>
        <v>12</v>
      </c>
      <c r="P1470" s="40">
        <f>IFERROR(VLOOKUP("APG",Controls!A:J,5,0),0)</f>
        <v>95</v>
      </c>
      <c r="Q1470" s="39">
        <f>IFERROR(VLOOKUP("APG",Controls!A:J,6,0),3)</f>
        <v>4</v>
      </c>
      <c r="R1470" s="21" t="str">
        <f>IFERROR(VLOOKUP("APG",Controls!A:K,10,0),"")</f>
        <v>ST Pharm</v>
      </c>
      <c r="S1470" s="41">
        <f t="shared" si="157"/>
        <v>46966</v>
      </c>
      <c r="T1470" s="30">
        <f t="shared" si="158"/>
        <v>0</v>
      </c>
      <c r="W1470" s="205" t="str" cm="1">
        <f t="array" ref="W1470">IF(34&lt;Controls!$B$7,INDEX(A1436:A1614,MATCH(Controls!$B$5,A1436:A1614,1)+34),"")</f>
        <v/>
      </c>
      <c r="X1470" t="str" cm="1">
        <f t="array" ref="X1470">IF(34&lt;Controls!$B$7,INDEX(F1436:F1614,MATCH(Controls!$B$5,A1436:A1614,1)+34),"")</f>
        <v/>
      </c>
      <c r="Y1470" t="str" cm="1">
        <f t="array" ref="Y1470">IF(34&lt;Controls!$B$7,INDEX(G1436:G1614,MATCH(Controls!$B$5,A1436:A1614,1)+34),"")</f>
        <v/>
      </c>
      <c r="Z1470" t="str" cm="1">
        <f t="array" ref="Z1470">IF(34&lt;Controls!$B$7,INDEX(H1436:H1614,MATCH(Controls!$B$5,A1436:A1614,1)+34),"")</f>
        <v/>
      </c>
      <c r="AA1470" t="str" cm="1">
        <f t="array" ref="AA1470">IF(34&lt;Controls!$B$7,INDEX(M1436:M1614,MATCH(Controls!$B$5,A1436:A1614,1)+34)*INDEX(I1436:I1614,MATCH(Controls!$B$5,A1436:A1614,1)+34),"")</f>
        <v/>
      </c>
      <c r="AB1470">
        <f t="shared" si="160"/>
        <v>308.84000000000003</v>
      </c>
    </row>
    <row r="1471" spans="1:28" ht="13" customHeight="1" x14ac:dyDescent="0.35">
      <c r="A1471" s="153">
        <v>47119</v>
      </c>
      <c r="B1471" s="36" t="s">
        <v>57</v>
      </c>
      <c r="C1471" s="15" t="s">
        <v>52</v>
      </c>
      <c r="D1471" s="15" t="s">
        <v>48</v>
      </c>
      <c r="E1471" s="30">
        <f>H1470</f>
        <v>106.67199999999997</v>
      </c>
      <c r="F1471" s="37">
        <f>IFERROR('Production Inputs'!$AU$37*Dependencies!$D$17,0)</f>
        <v>0</v>
      </c>
      <c r="G1471" s="37">
        <f t="array" ref="G1471">IFERROR(SUMPRODUCT(('Production Inputs'!$A:$A="APG")*('Production Inputs'!$B:$B="TOTAL ACTIVE")*'Production Inputs'!$AU:$AU),0)</f>
        <v>0</v>
      </c>
      <c r="H1471" s="30">
        <f t="shared" si="154"/>
        <v>106.67199999999997</v>
      </c>
      <c r="I1471" s="30">
        <f ca="1">IFERROR(AVERAGEIF(OFFSET(F1471,0,0,MIN(Controls!$B$8,COUNTIF(B1471:B$1973,B1471)),1),"&gt;"&amp;0),0)</f>
        <v>0</v>
      </c>
      <c r="J1471" s="38">
        <f t="shared" ca="1" si="155"/>
        <v>999</v>
      </c>
      <c r="K1471" s="30">
        <f t="shared" ca="1" si="159"/>
        <v>0</v>
      </c>
      <c r="L1471" t="str">
        <f t="shared" ca="1" si="156"/>
        <v>Overstock</v>
      </c>
      <c r="M1471" s="39">
        <f>IFERROR(VLOOKUP("APG",Controls!A:I,7,0),6)</f>
        <v>4</v>
      </c>
      <c r="N1471" s="39">
        <f>IFERROR(VLOOKUP("APG",Controls!A:I,8,0),3)</f>
        <v>3</v>
      </c>
      <c r="O1471" s="39">
        <f>IFERROR(VLOOKUP("APG",Controls!A:I,9,0),18)</f>
        <v>12</v>
      </c>
      <c r="P1471" s="40">
        <f>IFERROR(VLOOKUP("APG",Controls!A:J,5,0),0)</f>
        <v>95</v>
      </c>
      <c r="Q1471" s="39">
        <f>IFERROR(VLOOKUP("APG",Controls!A:J,6,0),3)</f>
        <v>4</v>
      </c>
      <c r="R1471" s="21" t="str">
        <f>IFERROR(VLOOKUP("APG",Controls!A:K,10,0),"")</f>
        <v>ST Pharm</v>
      </c>
      <c r="S1471" s="41">
        <f t="shared" si="157"/>
        <v>46997</v>
      </c>
      <c r="T1471" s="30">
        <f t="shared" si="158"/>
        <v>0</v>
      </c>
      <c r="W1471" s="205" t="str" cm="1">
        <f t="array" ref="W1471">IF(35&lt;Controls!$B$7,INDEX(A1436:A1614,MATCH(Controls!$B$5,A1436:A1614,1)+35),"")</f>
        <v/>
      </c>
      <c r="X1471" t="str" cm="1">
        <f t="array" ref="X1471">IF(35&lt;Controls!$B$7,INDEX(F1436:F1614,MATCH(Controls!$B$5,A1436:A1614,1)+35),"")</f>
        <v/>
      </c>
      <c r="Y1471" t="str" cm="1">
        <f t="array" ref="Y1471">IF(35&lt;Controls!$B$7,INDEX(G1436:G1614,MATCH(Controls!$B$5,A1436:A1614,1)+35),"")</f>
        <v/>
      </c>
      <c r="Z1471" t="str" cm="1">
        <f t="array" ref="Z1471">IF(35&lt;Controls!$B$7,INDEX(H1436:H1614,MATCH(Controls!$B$5,A1436:A1614,1)+35),"")</f>
        <v/>
      </c>
      <c r="AA1471" t="str" cm="1">
        <f t="array" ref="AA1471">IF(35&lt;Controls!$B$7,INDEX(M1436:M1614,MATCH(Controls!$B$5,A1436:A1614,1)+35)*INDEX(I1436:I1614,MATCH(Controls!$B$5,A1436:A1614,1)+35),"")</f>
        <v/>
      </c>
      <c r="AB1471">
        <f t="shared" si="160"/>
        <v>308.84000000000003</v>
      </c>
    </row>
    <row r="1472" spans="1:28" ht="13" customHeight="1" x14ac:dyDescent="0.35">
      <c r="A1472" s="153">
        <v>47150</v>
      </c>
      <c r="B1472" s="36" t="s">
        <v>57</v>
      </c>
      <c r="C1472" s="15" t="s">
        <v>52</v>
      </c>
      <c r="D1472" s="15" t="s">
        <v>48</v>
      </c>
      <c r="E1472" s="30">
        <f>H1471</f>
        <v>106.67199999999997</v>
      </c>
      <c r="F1472" s="37">
        <f>IFERROR('Production Inputs'!$AV$37*Dependencies!$D$17,0)</f>
        <v>0</v>
      </c>
      <c r="G1472" s="37">
        <f t="array" ref="G1472">IFERROR(SUMPRODUCT(('Production Inputs'!$A:$A="APG")*('Production Inputs'!$B:$B="TOTAL ACTIVE")*'Production Inputs'!$AV:$AV),0)</f>
        <v>0</v>
      </c>
      <c r="H1472" s="30">
        <f t="shared" si="154"/>
        <v>106.67199999999997</v>
      </c>
      <c r="I1472" s="30">
        <f ca="1">IFERROR(AVERAGEIF(OFFSET(F1472,0,0,MIN(Controls!$B$8,COUNTIF(B1472:B$1973,B1472)),1),"&gt;"&amp;0),0)</f>
        <v>0</v>
      </c>
      <c r="J1472" s="38">
        <f t="shared" ca="1" si="155"/>
        <v>999</v>
      </c>
      <c r="K1472" s="30">
        <f t="shared" ca="1" si="159"/>
        <v>0</v>
      </c>
      <c r="L1472" t="str">
        <f t="shared" ca="1" si="156"/>
        <v>Overstock</v>
      </c>
      <c r="M1472" s="39">
        <f>IFERROR(VLOOKUP("APG",Controls!A:I,7,0),6)</f>
        <v>4</v>
      </c>
      <c r="N1472" s="39">
        <f>IFERROR(VLOOKUP("APG",Controls!A:I,8,0),3)</f>
        <v>3</v>
      </c>
      <c r="O1472" s="39">
        <f>IFERROR(VLOOKUP("APG",Controls!A:I,9,0),18)</f>
        <v>12</v>
      </c>
      <c r="P1472" s="40">
        <f>IFERROR(VLOOKUP("APG",Controls!A:J,5,0),0)</f>
        <v>95</v>
      </c>
      <c r="Q1472" s="39">
        <f>IFERROR(VLOOKUP("APG",Controls!A:J,6,0),3)</f>
        <v>4</v>
      </c>
      <c r="R1472" s="21" t="str">
        <f>IFERROR(VLOOKUP("APG",Controls!A:K,10,0),"")</f>
        <v>ST Pharm</v>
      </c>
      <c r="S1472" s="41">
        <f t="shared" si="157"/>
        <v>47027</v>
      </c>
      <c r="T1472" s="30">
        <f t="shared" si="158"/>
        <v>0</v>
      </c>
      <c r="AB1472">
        <f t="shared" si="160"/>
        <v>308.84000000000003</v>
      </c>
    </row>
    <row r="1473" spans="1:28" ht="13" customHeight="1" x14ac:dyDescent="0.35">
      <c r="A1473" s="153">
        <v>47178</v>
      </c>
      <c r="B1473" s="36" t="s">
        <v>57</v>
      </c>
      <c r="C1473" s="15" t="s">
        <v>52</v>
      </c>
      <c r="D1473" s="15" t="s">
        <v>48</v>
      </c>
      <c r="E1473" s="30">
        <f>H1472</f>
        <v>106.67199999999997</v>
      </c>
      <c r="F1473" s="37">
        <f>IFERROR('Production Inputs'!$AW$37*Dependencies!$D$17,0)</f>
        <v>0</v>
      </c>
      <c r="G1473" s="37">
        <f t="array" ref="G1473">IFERROR(SUMPRODUCT(('Production Inputs'!$A:$A="APG")*('Production Inputs'!$B:$B="TOTAL ACTIVE")*'Production Inputs'!$AW:$AW),0)</f>
        <v>0</v>
      </c>
      <c r="H1473" s="30">
        <f t="shared" si="154"/>
        <v>106.67199999999997</v>
      </c>
      <c r="I1473" s="30">
        <f ca="1">IFERROR(AVERAGEIF(OFFSET(F1473,0,0,MIN(Controls!$B$8,COUNTIF(B1473:B$1973,B1473)),1),"&gt;"&amp;0),0)</f>
        <v>0</v>
      </c>
      <c r="J1473" s="38">
        <f t="shared" ca="1" si="155"/>
        <v>999</v>
      </c>
      <c r="K1473" s="30">
        <f t="shared" ca="1" si="159"/>
        <v>0</v>
      </c>
      <c r="L1473" t="str">
        <f t="shared" ca="1" si="156"/>
        <v>Overstock</v>
      </c>
      <c r="M1473" s="39">
        <f>IFERROR(VLOOKUP("APG",Controls!A:I,7,0),6)</f>
        <v>4</v>
      </c>
      <c r="N1473" s="39">
        <f>IFERROR(VLOOKUP("APG",Controls!A:I,8,0),3)</f>
        <v>3</v>
      </c>
      <c r="O1473" s="39">
        <f>IFERROR(VLOOKUP("APG",Controls!A:I,9,0),18)</f>
        <v>12</v>
      </c>
      <c r="P1473" s="40">
        <f>IFERROR(VLOOKUP("APG",Controls!A:J,5,0),0)</f>
        <v>95</v>
      </c>
      <c r="Q1473" s="39">
        <f>IFERROR(VLOOKUP("APG",Controls!A:J,6,0),3)</f>
        <v>4</v>
      </c>
      <c r="R1473" s="21" t="str">
        <f>IFERROR(VLOOKUP("APG",Controls!A:K,10,0),"")</f>
        <v>ST Pharm</v>
      </c>
      <c r="S1473" s="41">
        <f t="shared" si="157"/>
        <v>47058</v>
      </c>
      <c r="T1473" s="30">
        <f t="shared" si="158"/>
        <v>0</v>
      </c>
      <c r="AB1473">
        <f t="shared" si="160"/>
        <v>308.84000000000003</v>
      </c>
    </row>
    <row r="1474" spans="1:28" ht="13" customHeight="1" x14ac:dyDescent="0.35">
      <c r="A1474" s="153">
        <v>47209</v>
      </c>
      <c r="B1474" s="36" t="s">
        <v>57</v>
      </c>
      <c r="C1474" s="15" t="s">
        <v>52</v>
      </c>
      <c r="D1474" s="15" t="s">
        <v>48</v>
      </c>
      <c r="E1474" s="30">
        <f>H1473</f>
        <v>106.67199999999997</v>
      </c>
      <c r="F1474" s="37">
        <f>IFERROR('Production Inputs'!$AX$37*Dependencies!$D$17,0)</f>
        <v>0</v>
      </c>
      <c r="G1474" s="37">
        <f t="array" ref="G1474">IFERROR(SUMPRODUCT(('Production Inputs'!$A:$A="APG")*('Production Inputs'!$B:$B="TOTAL ACTIVE")*'Production Inputs'!$AX:$AX),0)</f>
        <v>0</v>
      </c>
      <c r="H1474" s="30">
        <f t="shared" si="154"/>
        <v>106.67199999999997</v>
      </c>
      <c r="I1474" s="30">
        <f ca="1">IFERROR(AVERAGEIF(OFFSET(F1474,0,0,MIN(Controls!$B$8,COUNTIF(B1474:B$1973,B1474)),1),"&gt;"&amp;0),0)</f>
        <v>0</v>
      </c>
      <c r="J1474" s="38">
        <f t="shared" ca="1" si="155"/>
        <v>999</v>
      </c>
      <c r="K1474" s="30">
        <f t="shared" ca="1" si="159"/>
        <v>0</v>
      </c>
      <c r="L1474" t="str">
        <f t="shared" ca="1" si="156"/>
        <v>Overstock</v>
      </c>
      <c r="M1474" s="39">
        <f>IFERROR(VLOOKUP("APG",Controls!A:I,7,0),6)</f>
        <v>4</v>
      </c>
      <c r="N1474" s="39">
        <f>IFERROR(VLOOKUP("APG",Controls!A:I,8,0),3)</f>
        <v>3</v>
      </c>
      <c r="O1474" s="39">
        <f>IFERROR(VLOOKUP("APG",Controls!A:I,9,0),18)</f>
        <v>12</v>
      </c>
      <c r="P1474" s="40">
        <f>IFERROR(VLOOKUP("APG",Controls!A:J,5,0),0)</f>
        <v>95</v>
      </c>
      <c r="Q1474" s="39">
        <f>IFERROR(VLOOKUP("APG",Controls!A:J,6,0),3)</f>
        <v>4</v>
      </c>
      <c r="R1474" s="21" t="str">
        <f>IFERROR(VLOOKUP("APG",Controls!A:K,10,0),"")</f>
        <v>ST Pharm</v>
      </c>
      <c r="S1474" s="41">
        <f t="shared" si="157"/>
        <v>47088</v>
      </c>
      <c r="T1474" s="30">
        <f t="shared" si="158"/>
        <v>0</v>
      </c>
      <c r="AB1474">
        <f t="shared" si="160"/>
        <v>308.84000000000003</v>
      </c>
    </row>
    <row r="1475" spans="1:28" ht="13" customHeight="1" x14ac:dyDescent="0.35">
      <c r="A1475" s="153">
        <v>47239</v>
      </c>
      <c r="B1475" s="36" t="s">
        <v>57</v>
      </c>
      <c r="C1475" s="15" t="s">
        <v>52</v>
      </c>
      <c r="D1475" s="15" t="s">
        <v>48</v>
      </c>
      <c r="E1475" s="30">
        <f>H1474</f>
        <v>106.67199999999997</v>
      </c>
      <c r="F1475" s="37">
        <f>IFERROR('Production Inputs'!$AY$37*Dependencies!$D$17,0)</f>
        <v>0</v>
      </c>
      <c r="G1475" s="37">
        <f t="array" ref="G1475">IFERROR(SUMPRODUCT(('Production Inputs'!$A:$A="APG")*('Production Inputs'!$B:$B="TOTAL ACTIVE")*'Production Inputs'!$AY:$AY),0)</f>
        <v>0</v>
      </c>
      <c r="H1475" s="30">
        <f t="shared" si="154"/>
        <v>106.67199999999997</v>
      </c>
      <c r="I1475" s="30">
        <f ca="1">IFERROR(AVERAGEIF(OFFSET(F1475,0,0,MIN(Controls!$B$8,COUNTIF(B1475:B$1973,B1475)),1),"&gt;"&amp;0),0)</f>
        <v>0</v>
      </c>
      <c r="J1475" s="38">
        <f t="shared" ca="1" si="155"/>
        <v>999</v>
      </c>
      <c r="K1475" s="30">
        <f t="shared" ca="1" si="159"/>
        <v>0</v>
      </c>
      <c r="L1475" t="str">
        <f t="shared" ca="1" si="156"/>
        <v>Overstock</v>
      </c>
      <c r="M1475" s="39">
        <f>IFERROR(VLOOKUP("APG",Controls!A:I,7,0),6)</f>
        <v>4</v>
      </c>
      <c r="N1475" s="39">
        <f>IFERROR(VLOOKUP("APG",Controls!A:I,8,0),3)</f>
        <v>3</v>
      </c>
      <c r="O1475" s="39">
        <f>IFERROR(VLOOKUP("APG",Controls!A:I,9,0),18)</f>
        <v>12</v>
      </c>
      <c r="P1475" s="40">
        <f>IFERROR(VLOOKUP("APG",Controls!A:J,5,0),0)</f>
        <v>95</v>
      </c>
      <c r="Q1475" s="39">
        <f>IFERROR(VLOOKUP("APG",Controls!A:J,6,0),3)</f>
        <v>4</v>
      </c>
      <c r="R1475" s="21" t="str">
        <f>IFERROR(VLOOKUP("APG",Controls!A:K,10,0),"")</f>
        <v>ST Pharm</v>
      </c>
      <c r="S1475" s="41">
        <f t="shared" si="157"/>
        <v>47119</v>
      </c>
      <c r="T1475" s="30">
        <f t="shared" si="158"/>
        <v>0</v>
      </c>
      <c r="AB1475">
        <f t="shared" si="160"/>
        <v>308.84000000000003</v>
      </c>
    </row>
    <row r="1476" spans="1:28" ht="13" customHeight="1" x14ac:dyDescent="0.35">
      <c r="A1476" s="153">
        <v>47270</v>
      </c>
      <c r="B1476" s="36" t="s">
        <v>57</v>
      </c>
      <c r="C1476" s="15" t="s">
        <v>52</v>
      </c>
      <c r="D1476" s="15" t="s">
        <v>48</v>
      </c>
      <c r="E1476" s="30">
        <f>H1475</f>
        <v>106.67199999999997</v>
      </c>
      <c r="F1476" s="37">
        <f>IFERROR('Production Inputs'!$AZ$37*Dependencies!$D$17,0)</f>
        <v>0</v>
      </c>
      <c r="G1476" s="37">
        <f t="array" ref="G1476">IFERROR(SUMPRODUCT(('Production Inputs'!$A:$A="APG")*('Production Inputs'!$B:$B="TOTAL ACTIVE")*'Production Inputs'!$AZ:$AZ),0)</f>
        <v>0</v>
      </c>
      <c r="H1476" s="30">
        <f t="shared" ref="H1476:H1539" si="161">E1476+G1476-F1476</f>
        <v>106.67199999999997</v>
      </c>
      <c r="I1476" s="30">
        <f ca="1">IFERROR(AVERAGEIF(OFFSET(F1476,0,0,MIN(Controls!$B$8,COUNTIF(B1476:B$1973,B1476)),1),"&gt;"&amp;0),0)</f>
        <v>0</v>
      </c>
      <c r="J1476" s="38">
        <f t="shared" ref="J1476:J1539" ca="1" si="162">IFERROR(H1476/I1476,IF(H1476&gt;0,999,0))</f>
        <v>999</v>
      </c>
      <c r="K1476" s="30">
        <f t="shared" ca="1" si="159"/>
        <v>0</v>
      </c>
      <c r="L1476" t="str">
        <f t="shared" ref="L1476:L1539" ca="1" si="163">IF(H1476&lt;=0,"High",IF(J1476&lt;N1476,"High",IF(J1476&lt;M1476,"Medium",IF(J1476&gt;O1476,"Overstock","Low"))))</f>
        <v>Overstock</v>
      </c>
      <c r="M1476" s="39">
        <f>IFERROR(VLOOKUP("APG",Controls!A:I,7,0),6)</f>
        <v>4</v>
      </c>
      <c r="N1476" s="39">
        <f>IFERROR(VLOOKUP("APG",Controls!A:I,8,0),3)</f>
        <v>3</v>
      </c>
      <c r="O1476" s="39">
        <f>IFERROR(VLOOKUP("APG",Controls!A:I,9,0),18)</f>
        <v>12</v>
      </c>
      <c r="P1476" s="40">
        <f>IFERROR(VLOOKUP("APG",Controls!A:J,5,0),0)</f>
        <v>95</v>
      </c>
      <c r="Q1476" s="39">
        <f>IFERROR(VLOOKUP("APG",Controls!A:J,6,0),3)</f>
        <v>4</v>
      </c>
      <c r="R1476" s="21" t="str">
        <f>IFERROR(VLOOKUP("APG",Controls!A:K,10,0),"")</f>
        <v>ST Pharm</v>
      </c>
      <c r="S1476" s="41">
        <f t="shared" ref="S1476:S1539" si="164">IFERROR(EDATE(A1476,-Q1476),"")</f>
        <v>47150</v>
      </c>
      <c r="T1476" s="30">
        <f t="shared" ref="T1476:T1539" si="165">G1476</f>
        <v>0</v>
      </c>
      <c r="AB1476">
        <f t="shared" si="160"/>
        <v>308.84000000000003</v>
      </c>
    </row>
    <row r="1477" spans="1:28" ht="13" customHeight="1" x14ac:dyDescent="0.35">
      <c r="A1477" s="153">
        <v>47300</v>
      </c>
      <c r="B1477" s="36" t="s">
        <v>57</v>
      </c>
      <c r="C1477" s="15" t="s">
        <v>52</v>
      </c>
      <c r="D1477" s="15" t="s">
        <v>48</v>
      </c>
      <c r="E1477" s="30">
        <f>H1476</f>
        <v>106.67199999999997</v>
      </c>
      <c r="F1477" s="37">
        <f>IFERROR('Production Inputs'!$BA$37*Dependencies!$D$17,0)</f>
        <v>0</v>
      </c>
      <c r="G1477" s="37">
        <f t="array" ref="G1477">IFERROR(SUMPRODUCT(('Production Inputs'!$A:$A="APG")*('Production Inputs'!$B:$B="TOTAL ACTIVE")*'Production Inputs'!$BA:$BA),0)</f>
        <v>0</v>
      </c>
      <c r="H1477" s="30">
        <f t="shared" si="161"/>
        <v>106.67199999999997</v>
      </c>
      <c r="I1477" s="30">
        <f ca="1">IFERROR(AVERAGEIF(OFFSET(F1477,0,0,MIN(Controls!$B$8,COUNTIF(B1477:B$1973,B1477)),1),"&gt;"&amp;0),0)</f>
        <v>0</v>
      </c>
      <c r="J1477" s="38">
        <f t="shared" ca="1" si="162"/>
        <v>999</v>
      </c>
      <c r="K1477" s="30">
        <f t="shared" ref="K1477:K1540" ca="1" si="166">IFERROR(IF(H1477&lt;(N1477*I1477), CEILING(MAX(0,ROUND((M1477*I1477-H1477)/P1477,0)*P1477),P1477), 0), 0)</f>
        <v>0</v>
      </c>
      <c r="L1477" t="str">
        <f t="shared" ca="1" si="163"/>
        <v>Overstock</v>
      </c>
      <c r="M1477" s="39">
        <f>IFERROR(VLOOKUP("APG",Controls!A:I,7,0),6)</f>
        <v>4</v>
      </c>
      <c r="N1477" s="39">
        <f>IFERROR(VLOOKUP("APG",Controls!A:I,8,0),3)</f>
        <v>3</v>
      </c>
      <c r="O1477" s="39">
        <f>IFERROR(VLOOKUP("APG",Controls!A:I,9,0),18)</f>
        <v>12</v>
      </c>
      <c r="P1477" s="40">
        <f>IFERROR(VLOOKUP("APG",Controls!A:J,5,0),0)</f>
        <v>95</v>
      </c>
      <c r="Q1477" s="39">
        <f>IFERROR(VLOOKUP("APG",Controls!A:J,6,0),3)</f>
        <v>4</v>
      </c>
      <c r="R1477" s="21" t="str">
        <f>IFERROR(VLOOKUP("APG",Controls!A:K,10,0),"")</f>
        <v>ST Pharm</v>
      </c>
      <c r="S1477" s="41">
        <f t="shared" si="164"/>
        <v>47178</v>
      </c>
      <c r="T1477" s="30">
        <f t="shared" si="165"/>
        <v>0</v>
      </c>
      <c r="AB1477">
        <f t="shared" ref="AB1477:AB1540" si="167">SUMIFS($F$4:$F$2331,$B$4:$B$2331,B1477,$A$4:$A$2331,"&lt;="&amp;A1477)</f>
        <v>308.84000000000003</v>
      </c>
    </row>
    <row r="1478" spans="1:28" ht="13" customHeight="1" x14ac:dyDescent="0.35">
      <c r="A1478" s="153">
        <v>47331</v>
      </c>
      <c r="B1478" s="36" t="s">
        <v>57</v>
      </c>
      <c r="C1478" s="15" t="s">
        <v>52</v>
      </c>
      <c r="D1478" s="15" t="s">
        <v>48</v>
      </c>
      <c r="E1478" s="30">
        <f>H1477</f>
        <v>106.67199999999997</v>
      </c>
      <c r="F1478" s="37">
        <f>IFERROR('Production Inputs'!$BB$37*Dependencies!$D$17,0)</f>
        <v>0</v>
      </c>
      <c r="G1478" s="37">
        <f t="array" ref="G1478">IFERROR(SUMPRODUCT(('Production Inputs'!$A:$A="APG")*('Production Inputs'!$B:$B="TOTAL ACTIVE")*'Production Inputs'!$BB:$BB),0)</f>
        <v>0</v>
      </c>
      <c r="H1478" s="30">
        <f t="shared" si="161"/>
        <v>106.67199999999997</v>
      </c>
      <c r="I1478" s="30">
        <f ca="1">IFERROR(AVERAGEIF(OFFSET(F1478,0,0,MIN(Controls!$B$8,COUNTIF(B1478:B$1973,B1478)),1),"&gt;"&amp;0),0)</f>
        <v>0</v>
      </c>
      <c r="J1478" s="38">
        <f t="shared" ca="1" si="162"/>
        <v>999</v>
      </c>
      <c r="K1478" s="30">
        <f t="shared" ca="1" si="166"/>
        <v>0</v>
      </c>
      <c r="L1478" t="str">
        <f t="shared" ca="1" si="163"/>
        <v>Overstock</v>
      </c>
      <c r="M1478" s="39">
        <f>IFERROR(VLOOKUP("APG",Controls!A:I,7,0),6)</f>
        <v>4</v>
      </c>
      <c r="N1478" s="39">
        <f>IFERROR(VLOOKUP("APG",Controls!A:I,8,0),3)</f>
        <v>3</v>
      </c>
      <c r="O1478" s="39">
        <f>IFERROR(VLOOKUP("APG",Controls!A:I,9,0),18)</f>
        <v>12</v>
      </c>
      <c r="P1478" s="40">
        <f>IFERROR(VLOOKUP("APG",Controls!A:J,5,0),0)</f>
        <v>95</v>
      </c>
      <c r="Q1478" s="39">
        <f>IFERROR(VLOOKUP("APG",Controls!A:J,6,0),3)</f>
        <v>4</v>
      </c>
      <c r="R1478" s="21" t="str">
        <f>IFERROR(VLOOKUP("APG",Controls!A:K,10,0),"")</f>
        <v>ST Pharm</v>
      </c>
      <c r="S1478" s="41">
        <f t="shared" si="164"/>
        <v>47209</v>
      </c>
      <c r="T1478" s="30">
        <f t="shared" si="165"/>
        <v>0</v>
      </c>
      <c r="AB1478">
        <f t="shared" si="167"/>
        <v>308.84000000000003</v>
      </c>
    </row>
    <row r="1479" spans="1:28" ht="13" customHeight="1" x14ac:dyDescent="0.35">
      <c r="A1479" s="153">
        <v>47362</v>
      </c>
      <c r="B1479" s="36" t="s">
        <v>57</v>
      </c>
      <c r="C1479" s="15" t="s">
        <v>52</v>
      </c>
      <c r="D1479" s="15" t="s">
        <v>48</v>
      </c>
      <c r="E1479" s="30">
        <f>H1478</f>
        <v>106.67199999999997</v>
      </c>
      <c r="F1479" s="37">
        <f>IFERROR('Production Inputs'!$BC$37*Dependencies!$D$17,0)</f>
        <v>0</v>
      </c>
      <c r="G1479" s="37">
        <f t="array" ref="G1479">IFERROR(SUMPRODUCT(('Production Inputs'!$A:$A="APG")*('Production Inputs'!$B:$B="TOTAL ACTIVE")*'Production Inputs'!$BC:$BC),0)</f>
        <v>0</v>
      </c>
      <c r="H1479" s="30">
        <f t="shared" si="161"/>
        <v>106.67199999999997</v>
      </c>
      <c r="I1479" s="30">
        <f ca="1">IFERROR(AVERAGEIF(OFFSET(F1479,0,0,MIN(Controls!$B$8,COUNTIF(B1479:B$1973,B1479)),1),"&gt;"&amp;0),0)</f>
        <v>0</v>
      </c>
      <c r="J1479" s="38">
        <f t="shared" ca="1" si="162"/>
        <v>999</v>
      </c>
      <c r="K1479" s="30">
        <f t="shared" ca="1" si="166"/>
        <v>0</v>
      </c>
      <c r="L1479" t="str">
        <f t="shared" ca="1" si="163"/>
        <v>Overstock</v>
      </c>
      <c r="M1479" s="39">
        <f>IFERROR(VLOOKUP("APG",Controls!A:I,7,0),6)</f>
        <v>4</v>
      </c>
      <c r="N1479" s="39">
        <f>IFERROR(VLOOKUP("APG",Controls!A:I,8,0),3)</f>
        <v>3</v>
      </c>
      <c r="O1479" s="39">
        <f>IFERROR(VLOOKUP("APG",Controls!A:I,9,0),18)</f>
        <v>12</v>
      </c>
      <c r="P1479" s="40">
        <f>IFERROR(VLOOKUP("APG",Controls!A:J,5,0),0)</f>
        <v>95</v>
      </c>
      <c r="Q1479" s="39">
        <f>IFERROR(VLOOKUP("APG",Controls!A:J,6,0),3)</f>
        <v>4</v>
      </c>
      <c r="R1479" s="21" t="str">
        <f>IFERROR(VLOOKUP("APG",Controls!A:K,10,0),"")</f>
        <v>ST Pharm</v>
      </c>
      <c r="S1479" s="41">
        <f t="shared" si="164"/>
        <v>47239</v>
      </c>
      <c r="T1479" s="30">
        <f t="shared" si="165"/>
        <v>0</v>
      </c>
      <c r="AB1479">
        <f t="shared" si="167"/>
        <v>308.84000000000003</v>
      </c>
    </row>
    <row r="1480" spans="1:28" ht="13" customHeight="1" x14ac:dyDescent="0.35">
      <c r="A1480" s="153">
        <v>47392</v>
      </c>
      <c r="B1480" s="36" t="s">
        <v>57</v>
      </c>
      <c r="C1480" s="15" t="s">
        <v>52</v>
      </c>
      <c r="D1480" s="15" t="s">
        <v>48</v>
      </c>
      <c r="E1480" s="30">
        <f>H1479</f>
        <v>106.67199999999997</v>
      </c>
      <c r="F1480" s="37">
        <f>IFERROR('Production Inputs'!$BD$37*Dependencies!$D$17,0)</f>
        <v>0</v>
      </c>
      <c r="G1480" s="37">
        <f t="array" ref="G1480">IFERROR(SUMPRODUCT(('Production Inputs'!$A:$A="APG")*('Production Inputs'!$B:$B="TOTAL ACTIVE")*'Production Inputs'!$BD:$BD),0)</f>
        <v>0</v>
      </c>
      <c r="H1480" s="30">
        <f t="shared" si="161"/>
        <v>106.67199999999997</v>
      </c>
      <c r="I1480" s="30">
        <f ca="1">IFERROR(AVERAGEIF(OFFSET(F1480,0,0,MIN(Controls!$B$8,COUNTIF(B1480:B$1973,B1480)),1),"&gt;"&amp;0),0)</f>
        <v>0</v>
      </c>
      <c r="J1480" s="38">
        <f t="shared" ca="1" si="162"/>
        <v>999</v>
      </c>
      <c r="K1480" s="30">
        <f t="shared" ca="1" si="166"/>
        <v>0</v>
      </c>
      <c r="L1480" t="str">
        <f t="shared" ca="1" si="163"/>
        <v>Overstock</v>
      </c>
      <c r="M1480" s="39">
        <f>IFERROR(VLOOKUP("APG",Controls!A:I,7,0),6)</f>
        <v>4</v>
      </c>
      <c r="N1480" s="39">
        <f>IFERROR(VLOOKUP("APG",Controls!A:I,8,0),3)</f>
        <v>3</v>
      </c>
      <c r="O1480" s="39">
        <f>IFERROR(VLOOKUP("APG",Controls!A:I,9,0),18)</f>
        <v>12</v>
      </c>
      <c r="P1480" s="40">
        <f>IFERROR(VLOOKUP("APG",Controls!A:J,5,0),0)</f>
        <v>95</v>
      </c>
      <c r="Q1480" s="39">
        <f>IFERROR(VLOOKUP("APG",Controls!A:J,6,0),3)</f>
        <v>4</v>
      </c>
      <c r="R1480" s="21" t="str">
        <f>IFERROR(VLOOKUP("APG",Controls!A:K,10,0),"")</f>
        <v>ST Pharm</v>
      </c>
      <c r="S1480" s="41">
        <f t="shared" si="164"/>
        <v>47270</v>
      </c>
      <c r="T1480" s="30">
        <f t="shared" si="165"/>
        <v>0</v>
      </c>
      <c r="AB1480">
        <f t="shared" si="167"/>
        <v>308.84000000000003</v>
      </c>
    </row>
    <row r="1481" spans="1:28" ht="13" customHeight="1" x14ac:dyDescent="0.35">
      <c r="A1481" s="153">
        <v>47423</v>
      </c>
      <c r="B1481" s="36" t="s">
        <v>57</v>
      </c>
      <c r="C1481" s="15" t="s">
        <v>52</v>
      </c>
      <c r="D1481" s="15" t="s">
        <v>48</v>
      </c>
      <c r="E1481" s="30">
        <f>H1480</f>
        <v>106.67199999999997</v>
      </c>
      <c r="F1481" s="37">
        <f>IFERROR('Production Inputs'!$BE$37*Dependencies!$D$17,0)</f>
        <v>0</v>
      </c>
      <c r="G1481" s="37">
        <f t="array" ref="G1481">IFERROR(SUMPRODUCT(('Production Inputs'!$A:$A="APG")*('Production Inputs'!$B:$B="TOTAL ACTIVE")*'Production Inputs'!$BE:$BE),0)</f>
        <v>0</v>
      </c>
      <c r="H1481" s="30">
        <f t="shared" si="161"/>
        <v>106.67199999999997</v>
      </c>
      <c r="I1481" s="30">
        <f ca="1">IFERROR(AVERAGEIF(OFFSET(F1481,0,0,MIN(Controls!$B$8,COUNTIF(B1481:B$1973,B1481)),1),"&gt;"&amp;0),0)</f>
        <v>0</v>
      </c>
      <c r="J1481" s="38">
        <f t="shared" ca="1" si="162"/>
        <v>999</v>
      </c>
      <c r="K1481" s="30">
        <f t="shared" ca="1" si="166"/>
        <v>0</v>
      </c>
      <c r="L1481" t="str">
        <f t="shared" ca="1" si="163"/>
        <v>Overstock</v>
      </c>
      <c r="M1481" s="39">
        <f>IFERROR(VLOOKUP("APG",Controls!A:I,7,0),6)</f>
        <v>4</v>
      </c>
      <c r="N1481" s="39">
        <f>IFERROR(VLOOKUP("APG",Controls!A:I,8,0),3)</f>
        <v>3</v>
      </c>
      <c r="O1481" s="39">
        <f>IFERROR(VLOOKUP("APG",Controls!A:I,9,0),18)</f>
        <v>12</v>
      </c>
      <c r="P1481" s="40">
        <f>IFERROR(VLOOKUP("APG",Controls!A:J,5,0),0)</f>
        <v>95</v>
      </c>
      <c r="Q1481" s="39">
        <f>IFERROR(VLOOKUP("APG",Controls!A:J,6,0),3)</f>
        <v>4</v>
      </c>
      <c r="R1481" s="21" t="str">
        <f>IFERROR(VLOOKUP("APG",Controls!A:K,10,0),"")</f>
        <v>ST Pharm</v>
      </c>
      <c r="S1481" s="41">
        <f t="shared" si="164"/>
        <v>47300</v>
      </c>
      <c r="T1481" s="30">
        <f t="shared" si="165"/>
        <v>0</v>
      </c>
      <c r="AB1481">
        <f t="shared" si="167"/>
        <v>308.84000000000003</v>
      </c>
    </row>
    <row r="1482" spans="1:28" ht="13" customHeight="1" x14ac:dyDescent="0.35">
      <c r="A1482" s="153">
        <v>47453</v>
      </c>
      <c r="B1482" s="36" t="s">
        <v>57</v>
      </c>
      <c r="C1482" s="15" t="s">
        <v>52</v>
      </c>
      <c r="D1482" s="15" t="s">
        <v>48</v>
      </c>
      <c r="E1482" s="30">
        <f>H1481</f>
        <v>106.67199999999997</v>
      </c>
      <c r="F1482" s="37">
        <f>IFERROR('Production Inputs'!$BF$37*Dependencies!$D$17,0)</f>
        <v>0</v>
      </c>
      <c r="G1482" s="37">
        <f t="array" ref="G1482">IFERROR(SUMPRODUCT(('Production Inputs'!$A:$A="APG")*('Production Inputs'!$B:$B="TOTAL ACTIVE")*'Production Inputs'!$BF:$BF),0)</f>
        <v>0</v>
      </c>
      <c r="H1482" s="30">
        <f t="shared" si="161"/>
        <v>106.67199999999997</v>
      </c>
      <c r="I1482" s="30">
        <f ca="1">IFERROR(AVERAGEIF(OFFSET(F1482,0,0,MIN(Controls!$B$8,COUNTIF(B1482:B$1973,B1482)),1),"&gt;"&amp;0),0)</f>
        <v>0</v>
      </c>
      <c r="J1482" s="38">
        <f t="shared" ca="1" si="162"/>
        <v>999</v>
      </c>
      <c r="K1482" s="30">
        <f t="shared" ca="1" si="166"/>
        <v>0</v>
      </c>
      <c r="L1482" t="str">
        <f t="shared" ca="1" si="163"/>
        <v>Overstock</v>
      </c>
      <c r="M1482" s="39">
        <f>IFERROR(VLOOKUP("APG",Controls!A:I,7,0),6)</f>
        <v>4</v>
      </c>
      <c r="N1482" s="39">
        <f>IFERROR(VLOOKUP("APG",Controls!A:I,8,0),3)</f>
        <v>3</v>
      </c>
      <c r="O1482" s="39">
        <f>IFERROR(VLOOKUP("APG",Controls!A:I,9,0),18)</f>
        <v>12</v>
      </c>
      <c r="P1482" s="40">
        <f>IFERROR(VLOOKUP("APG",Controls!A:J,5,0),0)</f>
        <v>95</v>
      </c>
      <c r="Q1482" s="39">
        <f>IFERROR(VLOOKUP("APG",Controls!A:J,6,0),3)</f>
        <v>4</v>
      </c>
      <c r="R1482" s="21" t="str">
        <f>IFERROR(VLOOKUP("APG",Controls!A:K,10,0),"")</f>
        <v>ST Pharm</v>
      </c>
      <c r="S1482" s="41">
        <f t="shared" si="164"/>
        <v>47331</v>
      </c>
      <c r="T1482" s="30">
        <f t="shared" si="165"/>
        <v>0</v>
      </c>
      <c r="AB1482">
        <f t="shared" si="167"/>
        <v>308.84000000000003</v>
      </c>
    </row>
    <row r="1483" spans="1:28" ht="13" customHeight="1" x14ac:dyDescent="0.35">
      <c r="A1483" s="153">
        <v>47484</v>
      </c>
      <c r="B1483" s="36" t="s">
        <v>57</v>
      </c>
      <c r="C1483" s="15" t="s">
        <v>52</v>
      </c>
      <c r="D1483" s="15" t="s">
        <v>48</v>
      </c>
      <c r="E1483" s="30">
        <f>H1482</f>
        <v>106.67199999999997</v>
      </c>
      <c r="F1483" s="37">
        <f>IFERROR('Production Inputs'!$BG$37*Dependencies!$D$17,0)</f>
        <v>0</v>
      </c>
      <c r="G1483" s="37">
        <f t="array" ref="G1483">IFERROR(SUMPRODUCT(('Production Inputs'!$A:$A="APG")*('Production Inputs'!$B:$B="TOTAL ACTIVE")*'Production Inputs'!$BG:$BG),0)</f>
        <v>0</v>
      </c>
      <c r="H1483" s="30">
        <f t="shared" si="161"/>
        <v>106.67199999999997</v>
      </c>
      <c r="I1483" s="30">
        <f ca="1">IFERROR(AVERAGEIF(OFFSET(F1483,0,0,MIN(Controls!$B$8,COUNTIF(B1483:B$1973,B1483)),1),"&gt;"&amp;0),0)</f>
        <v>0</v>
      </c>
      <c r="J1483" s="38">
        <f t="shared" ca="1" si="162"/>
        <v>999</v>
      </c>
      <c r="K1483" s="30">
        <f t="shared" ca="1" si="166"/>
        <v>0</v>
      </c>
      <c r="L1483" t="str">
        <f t="shared" ca="1" si="163"/>
        <v>Overstock</v>
      </c>
      <c r="M1483" s="39">
        <f>IFERROR(VLOOKUP("APG",Controls!A:I,7,0),6)</f>
        <v>4</v>
      </c>
      <c r="N1483" s="39">
        <f>IFERROR(VLOOKUP("APG",Controls!A:I,8,0),3)</f>
        <v>3</v>
      </c>
      <c r="O1483" s="39">
        <f>IFERROR(VLOOKUP("APG",Controls!A:I,9,0),18)</f>
        <v>12</v>
      </c>
      <c r="P1483" s="40">
        <f>IFERROR(VLOOKUP("APG",Controls!A:J,5,0),0)</f>
        <v>95</v>
      </c>
      <c r="Q1483" s="39">
        <f>IFERROR(VLOOKUP("APG",Controls!A:J,6,0),3)</f>
        <v>4</v>
      </c>
      <c r="R1483" s="21" t="str">
        <f>IFERROR(VLOOKUP("APG",Controls!A:K,10,0),"")</f>
        <v>ST Pharm</v>
      </c>
      <c r="S1483" s="41">
        <f t="shared" si="164"/>
        <v>47362</v>
      </c>
      <c r="T1483" s="30">
        <f t="shared" si="165"/>
        <v>0</v>
      </c>
      <c r="AB1483">
        <f t="shared" si="167"/>
        <v>308.84000000000003</v>
      </c>
    </row>
    <row r="1484" spans="1:28" ht="13" customHeight="1" x14ac:dyDescent="0.35">
      <c r="A1484" s="153">
        <v>47515</v>
      </c>
      <c r="B1484" s="36" t="s">
        <v>57</v>
      </c>
      <c r="C1484" s="15" t="s">
        <v>52</v>
      </c>
      <c r="D1484" s="15" t="s">
        <v>48</v>
      </c>
      <c r="E1484" s="30">
        <f>H1483</f>
        <v>106.67199999999997</v>
      </c>
      <c r="F1484" s="37">
        <f>IFERROR('Production Inputs'!$BH$37*Dependencies!$D$17,0)</f>
        <v>0</v>
      </c>
      <c r="G1484" s="37">
        <f t="array" ref="G1484">IFERROR(SUMPRODUCT(('Production Inputs'!$A:$A="APG")*('Production Inputs'!$B:$B="TOTAL ACTIVE")*'Production Inputs'!$BH:$BH),0)</f>
        <v>0</v>
      </c>
      <c r="H1484" s="30">
        <f t="shared" si="161"/>
        <v>106.67199999999997</v>
      </c>
      <c r="I1484" s="30">
        <f ca="1">IFERROR(AVERAGEIF(OFFSET(F1484,0,0,MIN(Controls!$B$8,COUNTIF(B1484:B$1973,B1484)),1),"&gt;"&amp;0),0)</f>
        <v>0</v>
      </c>
      <c r="J1484" s="38">
        <f t="shared" ca="1" si="162"/>
        <v>999</v>
      </c>
      <c r="K1484" s="30">
        <f t="shared" ca="1" si="166"/>
        <v>0</v>
      </c>
      <c r="L1484" t="str">
        <f t="shared" ca="1" si="163"/>
        <v>Overstock</v>
      </c>
      <c r="M1484" s="39">
        <f>IFERROR(VLOOKUP("APG",Controls!A:I,7,0),6)</f>
        <v>4</v>
      </c>
      <c r="N1484" s="39">
        <f>IFERROR(VLOOKUP("APG",Controls!A:I,8,0),3)</f>
        <v>3</v>
      </c>
      <c r="O1484" s="39">
        <f>IFERROR(VLOOKUP("APG",Controls!A:I,9,0),18)</f>
        <v>12</v>
      </c>
      <c r="P1484" s="40">
        <f>IFERROR(VLOOKUP("APG",Controls!A:J,5,0),0)</f>
        <v>95</v>
      </c>
      <c r="Q1484" s="39">
        <f>IFERROR(VLOOKUP("APG",Controls!A:J,6,0),3)</f>
        <v>4</v>
      </c>
      <c r="R1484" s="21" t="str">
        <f>IFERROR(VLOOKUP("APG",Controls!A:K,10,0),"")</f>
        <v>ST Pharm</v>
      </c>
      <c r="S1484" s="41">
        <f t="shared" si="164"/>
        <v>47392</v>
      </c>
      <c r="T1484" s="30">
        <f t="shared" si="165"/>
        <v>0</v>
      </c>
      <c r="AB1484">
        <f t="shared" si="167"/>
        <v>308.84000000000003</v>
      </c>
    </row>
    <row r="1485" spans="1:28" ht="13" customHeight="1" x14ac:dyDescent="0.35">
      <c r="A1485" s="153">
        <v>47543</v>
      </c>
      <c r="B1485" s="36" t="s">
        <v>57</v>
      </c>
      <c r="C1485" s="15" t="s">
        <v>52</v>
      </c>
      <c r="D1485" s="15" t="s">
        <v>48</v>
      </c>
      <c r="E1485" s="30">
        <f>H1484</f>
        <v>106.67199999999997</v>
      </c>
      <c r="F1485" s="37">
        <f>IFERROR('Production Inputs'!$BI$37*Dependencies!$D$17,0)</f>
        <v>0</v>
      </c>
      <c r="G1485" s="37">
        <f t="array" ref="G1485">IFERROR(SUMPRODUCT(('Production Inputs'!$A:$A="APG")*('Production Inputs'!$B:$B="TOTAL ACTIVE")*'Production Inputs'!$BI:$BI),0)</f>
        <v>0</v>
      </c>
      <c r="H1485" s="30">
        <f t="shared" si="161"/>
        <v>106.67199999999997</v>
      </c>
      <c r="I1485" s="30">
        <f ca="1">IFERROR(AVERAGEIF(OFFSET(F1485,0,0,MIN(Controls!$B$8,COUNTIF(B1485:B$1973,B1485)),1),"&gt;"&amp;0),0)</f>
        <v>0</v>
      </c>
      <c r="J1485" s="38">
        <f t="shared" ca="1" si="162"/>
        <v>999</v>
      </c>
      <c r="K1485" s="30">
        <f t="shared" ca="1" si="166"/>
        <v>0</v>
      </c>
      <c r="L1485" t="str">
        <f t="shared" ca="1" si="163"/>
        <v>Overstock</v>
      </c>
      <c r="M1485" s="39">
        <f>IFERROR(VLOOKUP("APG",Controls!A:I,7,0),6)</f>
        <v>4</v>
      </c>
      <c r="N1485" s="39">
        <f>IFERROR(VLOOKUP("APG",Controls!A:I,8,0),3)</f>
        <v>3</v>
      </c>
      <c r="O1485" s="39">
        <f>IFERROR(VLOOKUP("APG",Controls!A:I,9,0),18)</f>
        <v>12</v>
      </c>
      <c r="P1485" s="40">
        <f>IFERROR(VLOOKUP("APG",Controls!A:J,5,0),0)</f>
        <v>95</v>
      </c>
      <c r="Q1485" s="39">
        <f>IFERROR(VLOOKUP("APG",Controls!A:J,6,0),3)</f>
        <v>4</v>
      </c>
      <c r="R1485" s="21" t="str">
        <f>IFERROR(VLOOKUP("APG",Controls!A:K,10,0),"")</f>
        <v>ST Pharm</v>
      </c>
      <c r="S1485" s="41">
        <f t="shared" si="164"/>
        <v>47423</v>
      </c>
      <c r="T1485" s="30">
        <f t="shared" si="165"/>
        <v>0</v>
      </c>
      <c r="AB1485">
        <f t="shared" si="167"/>
        <v>308.84000000000003</v>
      </c>
    </row>
    <row r="1486" spans="1:28" ht="13" customHeight="1" x14ac:dyDescent="0.35">
      <c r="A1486" s="153">
        <v>47574</v>
      </c>
      <c r="B1486" s="36" t="s">
        <v>57</v>
      </c>
      <c r="C1486" s="15" t="s">
        <v>52</v>
      </c>
      <c r="D1486" s="15" t="s">
        <v>48</v>
      </c>
      <c r="E1486" s="30">
        <f>H1485</f>
        <v>106.67199999999997</v>
      </c>
      <c r="F1486" s="37">
        <f>IFERROR('Production Inputs'!$BJ$37*Dependencies!$D$17,0)</f>
        <v>0</v>
      </c>
      <c r="G1486" s="37">
        <f t="array" ref="G1486">IFERROR(SUMPRODUCT(('Production Inputs'!$A:$A="APG")*('Production Inputs'!$B:$B="TOTAL ACTIVE")*'Production Inputs'!$BJ:$BJ),0)</f>
        <v>0</v>
      </c>
      <c r="H1486" s="30">
        <f t="shared" si="161"/>
        <v>106.67199999999997</v>
      </c>
      <c r="I1486" s="30">
        <f ca="1">IFERROR(AVERAGEIF(OFFSET(F1486,0,0,MIN(Controls!$B$8,COUNTIF(B1486:B$1973,B1486)),1),"&gt;"&amp;0),0)</f>
        <v>0</v>
      </c>
      <c r="J1486" s="38">
        <f t="shared" ca="1" si="162"/>
        <v>999</v>
      </c>
      <c r="K1486" s="30">
        <f t="shared" ca="1" si="166"/>
        <v>0</v>
      </c>
      <c r="L1486" t="str">
        <f t="shared" ca="1" si="163"/>
        <v>Overstock</v>
      </c>
      <c r="M1486" s="39">
        <f>IFERROR(VLOOKUP("APG",Controls!A:I,7,0),6)</f>
        <v>4</v>
      </c>
      <c r="N1486" s="39">
        <f>IFERROR(VLOOKUP("APG",Controls!A:I,8,0),3)</f>
        <v>3</v>
      </c>
      <c r="O1486" s="39">
        <f>IFERROR(VLOOKUP("APG",Controls!A:I,9,0),18)</f>
        <v>12</v>
      </c>
      <c r="P1486" s="40">
        <f>IFERROR(VLOOKUP("APG",Controls!A:J,5,0),0)</f>
        <v>95</v>
      </c>
      <c r="Q1486" s="39">
        <f>IFERROR(VLOOKUP("APG",Controls!A:J,6,0),3)</f>
        <v>4</v>
      </c>
      <c r="R1486" s="21" t="str">
        <f>IFERROR(VLOOKUP("APG",Controls!A:K,10,0),"")</f>
        <v>ST Pharm</v>
      </c>
      <c r="S1486" s="41">
        <f t="shared" si="164"/>
        <v>47453</v>
      </c>
      <c r="T1486" s="30">
        <f t="shared" si="165"/>
        <v>0</v>
      </c>
      <c r="AB1486">
        <f t="shared" si="167"/>
        <v>308.84000000000003</v>
      </c>
    </row>
    <row r="1487" spans="1:28" ht="13" customHeight="1" x14ac:dyDescent="0.35">
      <c r="A1487" s="153">
        <v>47604</v>
      </c>
      <c r="B1487" s="36" t="s">
        <v>57</v>
      </c>
      <c r="C1487" s="15" t="s">
        <v>52</v>
      </c>
      <c r="D1487" s="15" t="s">
        <v>48</v>
      </c>
      <c r="E1487" s="30">
        <f>H1486</f>
        <v>106.67199999999997</v>
      </c>
      <c r="F1487" s="37">
        <f>IFERROR('Production Inputs'!$BK$37*Dependencies!$D$17,0)</f>
        <v>0</v>
      </c>
      <c r="G1487" s="37">
        <f t="array" ref="G1487">IFERROR(SUMPRODUCT(('Production Inputs'!$A:$A="APG")*('Production Inputs'!$B:$B="TOTAL ACTIVE")*'Production Inputs'!$BK:$BK),0)</f>
        <v>0</v>
      </c>
      <c r="H1487" s="30">
        <f t="shared" si="161"/>
        <v>106.67199999999997</v>
      </c>
      <c r="I1487" s="30">
        <f ca="1">IFERROR(AVERAGEIF(OFFSET(F1487,0,0,MIN(Controls!$B$8,COUNTIF(B1487:B$1973,B1487)),1),"&gt;"&amp;0),0)</f>
        <v>0</v>
      </c>
      <c r="J1487" s="38">
        <f t="shared" ca="1" si="162"/>
        <v>999</v>
      </c>
      <c r="K1487" s="30">
        <f t="shared" ca="1" si="166"/>
        <v>0</v>
      </c>
      <c r="L1487" t="str">
        <f t="shared" ca="1" si="163"/>
        <v>Overstock</v>
      </c>
      <c r="M1487" s="39">
        <f>IFERROR(VLOOKUP("APG",Controls!A:I,7,0),6)</f>
        <v>4</v>
      </c>
      <c r="N1487" s="39">
        <f>IFERROR(VLOOKUP("APG",Controls!A:I,8,0),3)</f>
        <v>3</v>
      </c>
      <c r="O1487" s="39">
        <f>IFERROR(VLOOKUP("APG",Controls!A:I,9,0),18)</f>
        <v>12</v>
      </c>
      <c r="P1487" s="40">
        <f>IFERROR(VLOOKUP("APG",Controls!A:J,5,0),0)</f>
        <v>95</v>
      </c>
      <c r="Q1487" s="39">
        <f>IFERROR(VLOOKUP("APG",Controls!A:J,6,0),3)</f>
        <v>4</v>
      </c>
      <c r="R1487" s="21" t="str">
        <f>IFERROR(VLOOKUP("APG",Controls!A:K,10,0),"")</f>
        <v>ST Pharm</v>
      </c>
      <c r="S1487" s="41">
        <f t="shared" si="164"/>
        <v>47484</v>
      </c>
      <c r="T1487" s="30">
        <f t="shared" si="165"/>
        <v>0</v>
      </c>
      <c r="AB1487">
        <f t="shared" si="167"/>
        <v>308.84000000000003</v>
      </c>
    </row>
    <row r="1488" spans="1:28" ht="13" customHeight="1" x14ac:dyDescent="0.35">
      <c r="A1488" s="153">
        <v>47635</v>
      </c>
      <c r="B1488" s="36" t="s">
        <v>57</v>
      </c>
      <c r="C1488" s="15" t="s">
        <v>52</v>
      </c>
      <c r="D1488" s="15" t="s">
        <v>48</v>
      </c>
      <c r="E1488" s="30">
        <f>H1487</f>
        <v>106.67199999999997</v>
      </c>
      <c r="F1488" s="37">
        <f>IFERROR('Production Inputs'!$BL$37*Dependencies!$D$17,0)</f>
        <v>0</v>
      </c>
      <c r="G1488" s="37">
        <f t="array" ref="G1488">IFERROR(SUMPRODUCT(('Production Inputs'!$A:$A="APG")*('Production Inputs'!$B:$B="TOTAL ACTIVE")*'Production Inputs'!$BL:$BL),0)</f>
        <v>0</v>
      </c>
      <c r="H1488" s="30">
        <f t="shared" si="161"/>
        <v>106.67199999999997</v>
      </c>
      <c r="I1488" s="30">
        <f ca="1">IFERROR(AVERAGEIF(OFFSET(F1488,0,0,MIN(Controls!$B$8,COUNTIF(B1488:B$1973,B1488)),1),"&gt;"&amp;0),0)</f>
        <v>0</v>
      </c>
      <c r="J1488" s="38">
        <f t="shared" ca="1" si="162"/>
        <v>999</v>
      </c>
      <c r="K1488" s="30">
        <f t="shared" ca="1" si="166"/>
        <v>0</v>
      </c>
      <c r="L1488" t="str">
        <f t="shared" ca="1" si="163"/>
        <v>Overstock</v>
      </c>
      <c r="M1488" s="39">
        <f>IFERROR(VLOOKUP("APG",Controls!A:I,7,0),6)</f>
        <v>4</v>
      </c>
      <c r="N1488" s="39">
        <f>IFERROR(VLOOKUP("APG",Controls!A:I,8,0),3)</f>
        <v>3</v>
      </c>
      <c r="O1488" s="39">
        <f>IFERROR(VLOOKUP("APG",Controls!A:I,9,0),18)</f>
        <v>12</v>
      </c>
      <c r="P1488" s="40">
        <f>IFERROR(VLOOKUP("APG",Controls!A:J,5,0),0)</f>
        <v>95</v>
      </c>
      <c r="Q1488" s="39">
        <f>IFERROR(VLOOKUP("APG",Controls!A:J,6,0),3)</f>
        <v>4</v>
      </c>
      <c r="R1488" s="21" t="str">
        <f>IFERROR(VLOOKUP("APG",Controls!A:K,10,0),"")</f>
        <v>ST Pharm</v>
      </c>
      <c r="S1488" s="41">
        <f t="shared" si="164"/>
        <v>47515</v>
      </c>
      <c r="T1488" s="30">
        <f t="shared" si="165"/>
        <v>0</v>
      </c>
      <c r="AB1488">
        <f t="shared" si="167"/>
        <v>308.84000000000003</v>
      </c>
    </row>
    <row r="1489" spans="1:28" ht="13" customHeight="1" x14ac:dyDescent="0.35">
      <c r="A1489" s="153">
        <v>47665</v>
      </c>
      <c r="B1489" s="36" t="s">
        <v>57</v>
      </c>
      <c r="C1489" s="15" t="s">
        <v>52</v>
      </c>
      <c r="D1489" s="15" t="s">
        <v>48</v>
      </c>
      <c r="E1489" s="30">
        <f>H1488</f>
        <v>106.67199999999997</v>
      </c>
      <c r="F1489" s="37">
        <f>IFERROR('Production Inputs'!$BM$37*Dependencies!$D$17,0)</f>
        <v>0</v>
      </c>
      <c r="G1489" s="37">
        <f t="array" ref="G1489">IFERROR(SUMPRODUCT(('Production Inputs'!$A:$A="APG")*('Production Inputs'!$B:$B="TOTAL ACTIVE")*'Production Inputs'!$BM:$BM),0)</f>
        <v>0</v>
      </c>
      <c r="H1489" s="30">
        <f t="shared" si="161"/>
        <v>106.67199999999997</v>
      </c>
      <c r="I1489" s="30">
        <f ca="1">IFERROR(AVERAGEIF(OFFSET(F1489,0,0,MIN(Controls!$B$8,COUNTIF(B1489:B$1973,B1489)),1),"&gt;"&amp;0),0)</f>
        <v>0</v>
      </c>
      <c r="J1489" s="38">
        <f t="shared" ca="1" si="162"/>
        <v>999</v>
      </c>
      <c r="K1489" s="30">
        <f t="shared" ca="1" si="166"/>
        <v>0</v>
      </c>
      <c r="L1489" t="str">
        <f t="shared" ca="1" si="163"/>
        <v>Overstock</v>
      </c>
      <c r="M1489" s="39">
        <f>IFERROR(VLOOKUP("APG",Controls!A:I,7,0),6)</f>
        <v>4</v>
      </c>
      <c r="N1489" s="39">
        <f>IFERROR(VLOOKUP("APG",Controls!A:I,8,0),3)</f>
        <v>3</v>
      </c>
      <c r="O1489" s="39">
        <f>IFERROR(VLOOKUP("APG",Controls!A:I,9,0),18)</f>
        <v>12</v>
      </c>
      <c r="P1489" s="40">
        <f>IFERROR(VLOOKUP("APG",Controls!A:J,5,0),0)</f>
        <v>95</v>
      </c>
      <c r="Q1489" s="39">
        <f>IFERROR(VLOOKUP("APG",Controls!A:J,6,0),3)</f>
        <v>4</v>
      </c>
      <c r="R1489" s="21" t="str">
        <f>IFERROR(VLOOKUP("APG",Controls!A:K,10,0),"")</f>
        <v>ST Pharm</v>
      </c>
      <c r="S1489" s="41">
        <f t="shared" si="164"/>
        <v>47543</v>
      </c>
      <c r="T1489" s="30">
        <f t="shared" si="165"/>
        <v>0</v>
      </c>
      <c r="AB1489">
        <f t="shared" si="167"/>
        <v>308.84000000000003</v>
      </c>
    </row>
    <row r="1490" spans="1:28" ht="13" customHeight="1" x14ac:dyDescent="0.35">
      <c r="A1490" s="153">
        <v>47696</v>
      </c>
      <c r="B1490" s="36" t="s">
        <v>57</v>
      </c>
      <c r="C1490" s="15" t="s">
        <v>52</v>
      </c>
      <c r="D1490" s="15" t="s">
        <v>48</v>
      </c>
      <c r="E1490" s="30">
        <f>H1489</f>
        <v>106.67199999999997</v>
      </c>
      <c r="F1490" s="37">
        <f>IFERROR('Production Inputs'!$BN$37*Dependencies!$D$17,0)</f>
        <v>0</v>
      </c>
      <c r="G1490" s="37">
        <f t="array" ref="G1490">IFERROR(SUMPRODUCT(('Production Inputs'!$A:$A="APG")*('Production Inputs'!$B:$B="TOTAL ACTIVE")*'Production Inputs'!$BN:$BN),0)</f>
        <v>0</v>
      </c>
      <c r="H1490" s="30">
        <f t="shared" si="161"/>
        <v>106.67199999999997</v>
      </c>
      <c r="I1490" s="30">
        <f ca="1">IFERROR(AVERAGEIF(OFFSET(F1490,0,0,MIN(Controls!$B$8,COUNTIF(B1490:B$1973,B1490)),1),"&gt;"&amp;0),0)</f>
        <v>0</v>
      </c>
      <c r="J1490" s="38">
        <f t="shared" ca="1" si="162"/>
        <v>999</v>
      </c>
      <c r="K1490" s="30">
        <f t="shared" ca="1" si="166"/>
        <v>0</v>
      </c>
      <c r="L1490" t="str">
        <f t="shared" ca="1" si="163"/>
        <v>Overstock</v>
      </c>
      <c r="M1490" s="39">
        <f>IFERROR(VLOOKUP("APG",Controls!A:I,7,0),6)</f>
        <v>4</v>
      </c>
      <c r="N1490" s="39">
        <f>IFERROR(VLOOKUP("APG",Controls!A:I,8,0),3)</f>
        <v>3</v>
      </c>
      <c r="O1490" s="39">
        <f>IFERROR(VLOOKUP("APG",Controls!A:I,9,0),18)</f>
        <v>12</v>
      </c>
      <c r="P1490" s="40">
        <f>IFERROR(VLOOKUP("APG",Controls!A:J,5,0),0)</f>
        <v>95</v>
      </c>
      <c r="Q1490" s="39">
        <f>IFERROR(VLOOKUP("APG",Controls!A:J,6,0),3)</f>
        <v>4</v>
      </c>
      <c r="R1490" s="21" t="str">
        <f>IFERROR(VLOOKUP("APG",Controls!A:K,10,0),"")</f>
        <v>ST Pharm</v>
      </c>
      <c r="S1490" s="41">
        <f t="shared" si="164"/>
        <v>47574</v>
      </c>
      <c r="T1490" s="30">
        <f t="shared" si="165"/>
        <v>0</v>
      </c>
      <c r="AB1490">
        <f t="shared" si="167"/>
        <v>308.84000000000003</v>
      </c>
    </row>
    <row r="1491" spans="1:28" ht="13" customHeight="1" x14ac:dyDescent="0.35">
      <c r="A1491" s="153">
        <v>47727</v>
      </c>
      <c r="B1491" s="36" t="s">
        <v>57</v>
      </c>
      <c r="C1491" s="15" t="s">
        <v>52</v>
      </c>
      <c r="D1491" s="15" t="s">
        <v>48</v>
      </c>
      <c r="E1491" s="30">
        <f>H1490</f>
        <v>106.67199999999997</v>
      </c>
      <c r="F1491" s="37">
        <f>IFERROR('Production Inputs'!$BO$37*Dependencies!$D$17,0)</f>
        <v>0</v>
      </c>
      <c r="G1491" s="37">
        <f t="array" ref="G1491">IFERROR(SUMPRODUCT(('Production Inputs'!$A:$A="APG")*('Production Inputs'!$B:$B="TOTAL ACTIVE")*'Production Inputs'!$BO:$BO),0)</f>
        <v>0</v>
      </c>
      <c r="H1491" s="30">
        <f t="shared" si="161"/>
        <v>106.67199999999997</v>
      </c>
      <c r="I1491" s="30">
        <f ca="1">IFERROR(AVERAGEIF(OFFSET(F1491,0,0,MIN(Controls!$B$8,COUNTIF(B1491:B$1973,B1491)),1),"&gt;"&amp;0),0)</f>
        <v>0</v>
      </c>
      <c r="J1491" s="38">
        <f t="shared" ca="1" si="162"/>
        <v>999</v>
      </c>
      <c r="K1491" s="30">
        <f t="shared" ca="1" si="166"/>
        <v>0</v>
      </c>
      <c r="L1491" t="str">
        <f t="shared" ca="1" si="163"/>
        <v>Overstock</v>
      </c>
      <c r="M1491" s="39">
        <f>IFERROR(VLOOKUP("APG",Controls!A:I,7,0),6)</f>
        <v>4</v>
      </c>
      <c r="N1491" s="39">
        <f>IFERROR(VLOOKUP("APG",Controls!A:I,8,0),3)</f>
        <v>3</v>
      </c>
      <c r="O1491" s="39">
        <f>IFERROR(VLOOKUP("APG",Controls!A:I,9,0),18)</f>
        <v>12</v>
      </c>
      <c r="P1491" s="40">
        <f>IFERROR(VLOOKUP("APG",Controls!A:J,5,0),0)</f>
        <v>95</v>
      </c>
      <c r="Q1491" s="39">
        <f>IFERROR(VLOOKUP("APG",Controls!A:J,6,0),3)</f>
        <v>4</v>
      </c>
      <c r="R1491" s="21" t="str">
        <f>IFERROR(VLOOKUP("APG",Controls!A:K,10,0),"")</f>
        <v>ST Pharm</v>
      </c>
      <c r="S1491" s="41">
        <f t="shared" si="164"/>
        <v>47604</v>
      </c>
      <c r="T1491" s="30">
        <f t="shared" si="165"/>
        <v>0</v>
      </c>
      <c r="AB1491">
        <f t="shared" si="167"/>
        <v>308.84000000000003</v>
      </c>
    </row>
    <row r="1492" spans="1:28" ht="13" customHeight="1" x14ac:dyDescent="0.35">
      <c r="A1492" s="153">
        <v>47757</v>
      </c>
      <c r="B1492" s="36" t="s">
        <v>57</v>
      </c>
      <c r="C1492" s="15" t="s">
        <v>52</v>
      </c>
      <c r="D1492" s="15" t="s">
        <v>48</v>
      </c>
      <c r="E1492" s="30">
        <f>H1491</f>
        <v>106.67199999999997</v>
      </c>
      <c r="F1492" s="37">
        <f>IFERROR('Production Inputs'!$BP$37*Dependencies!$D$17,0)</f>
        <v>0</v>
      </c>
      <c r="G1492" s="37">
        <f t="array" ref="G1492">IFERROR(SUMPRODUCT(('Production Inputs'!$A:$A="APG")*('Production Inputs'!$B:$B="TOTAL ACTIVE")*'Production Inputs'!$BP:$BP),0)</f>
        <v>0</v>
      </c>
      <c r="H1492" s="30">
        <f t="shared" si="161"/>
        <v>106.67199999999997</v>
      </c>
      <c r="I1492" s="30">
        <f ca="1">IFERROR(AVERAGEIF(OFFSET(F1492,0,0,MIN(Controls!$B$8,COUNTIF(B1492:B$1973,B1492)),1),"&gt;"&amp;0),0)</f>
        <v>0</v>
      </c>
      <c r="J1492" s="38">
        <f t="shared" ca="1" si="162"/>
        <v>999</v>
      </c>
      <c r="K1492" s="30">
        <f t="shared" ca="1" si="166"/>
        <v>0</v>
      </c>
      <c r="L1492" t="str">
        <f t="shared" ca="1" si="163"/>
        <v>Overstock</v>
      </c>
      <c r="M1492" s="39">
        <f>IFERROR(VLOOKUP("APG",Controls!A:I,7,0),6)</f>
        <v>4</v>
      </c>
      <c r="N1492" s="39">
        <f>IFERROR(VLOOKUP("APG",Controls!A:I,8,0),3)</f>
        <v>3</v>
      </c>
      <c r="O1492" s="39">
        <f>IFERROR(VLOOKUP("APG",Controls!A:I,9,0),18)</f>
        <v>12</v>
      </c>
      <c r="P1492" s="40">
        <f>IFERROR(VLOOKUP("APG",Controls!A:J,5,0),0)</f>
        <v>95</v>
      </c>
      <c r="Q1492" s="39">
        <f>IFERROR(VLOOKUP("APG",Controls!A:J,6,0),3)</f>
        <v>4</v>
      </c>
      <c r="R1492" s="21" t="str">
        <f>IFERROR(VLOOKUP("APG",Controls!A:K,10,0),"")</f>
        <v>ST Pharm</v>
      </c>
      <c r="S1492" s="41">
        <f t="shared" si="164"/>
        <v>47635</v>
      </c>
      <c r="T1492" s="30">
        <f t="shared" si="165"/>
        <v>0</v>
      </c>
      <c r="AB1492">
        <f t="shared" si="167"/>
        <v>308.84000000000003</v>
      </c>
    </row>
    <row r="1493" spans="1:28" ht="13" customHeight="1" x14ac:dyDescent="0.35">
      <c r="A1493" s="153">
        <v>47788</v>
      </c>
      <c r="B1493" s="36" t="s">
        <v>57</v>
      </c>
      <c r="C1493" s="15" t="s">
        <v>52</v>
      </c>
      <c r="D1493" s="15" t="s">
        <v>48</v>
      </c>
      <c r="E1493" s="30">
        <f>H1492</f>
        <v>106.67199999999997</v>
      </c>
      <c r="F1493" s="37">
        <f>IFERROR('Production Inputs'!$BQ$37*Dependencies!$D$17,0)</f>
        <v>0</v>
      </c>
      <c r="G1493" s="37">
        <f t="array" ref="G1493">IFERROR(SUMPRODUCT(('Production Inputs'!$A:$A="APG")*('Production Inputs'!$B:$B="TOTAL ACTIVE")*'Production Inputs'!$BQ:$BQ),0)</f>
        <v>0</v>
      </c>
      <c r="H1493" s="30">
        <f t="shared" si="161"/>
        <v>106.67199999999997</v>
      </c>
      <c r="I1493" s="30">
        <f ca="1">IFERROR(AVERAGEIF(OFFSET(F1493,0,0,MIN(Controls!$B$8,COUNTIF(B1493:B$1973,B1493)),1),"&gt;"&amp;0),0)</f>
        <v>0</v>
      </c>
      <c r="J1493" s="38">
        <f t="shared" ca="1" si="162"/>
        <v>999</v>
      </c>
      <c r="K1493" s="30">
        <f t="shared" ca="1" si="166"/>
        <v>0</v>
      </c>
      <c r="L1493" t="str">
        <f t="shared" ca="1" si="163"/>
        <v>Overstock</v>
      </c>
      <c r="M1493" s="39">
        <f>IFERROR(VLOOKUP("APG",Controls!A:I,7,0),6)</f>
        <v>4</v>
      </c>
      <c r="N1493" s="39">
        <f>IFERROR(VLOOKUP("APG",Controls!A:I,8,0),3)</f>
        <v>3</v>
      </c>
      <c r="O1493" s="39">
        <f>IFERROR(VLOOKUP("APG",Controls!A:I,9,0),18)</f>
        <v>12</v>
      </c>
      <c r="P1493" s="40">
        <f>IFERROR(VLOOKUP("APG",Controls!A:J,5,0),0)</f>
        <v>95</v>
      </c>
      <c r="Q1493" s="39">
        <f>IFERROR(VLOOKUP("APG",Controls!A:J,6,0),3)</f>
        <v>4</v>
      </c>
      <c r="R1493" s="21" t="str">
        <f>IFERROR(VLOOKUP("APG",Controls!A:K,10,0),"")</f>
        <v>ST Pharm</v>
      </c>
      <c r="S1493" s="41">
        <f t="shared" si="164"/>
        <v>47665</v>
      </c>
      <c r="T1493" s="30">
        <f t="shared" si="165"/>
        <v>0</v>
      </c>
      <c r="AB1493">
        <f t="shared" si="167"/>
        <v>308.84000000000003</v>
      </c>
    </row>
    <row r="1494" spans="1:28" ht="13" customHeight="1" x14ac:dyDescent="0.35">
      <c r="A1494" s="153">
        <v>47818</v>
      </c>
      <c r="B1494" s="36" t="s">
        <v>57</v>
      </c>
      <c r="C1494" s="15" t="s">
        <v>52</v>
      </c>
      <c r="D1494" s="15" t="s">
        <v>48</v>
      </c>
      <c r="E1494" s="30">
        <f>H1493</f>
        <v>106.67199999999997</v>
      </c>
      <c r="F1494" s="37">
        <f>IFERROR('Production Inputs'!$BR$37*Dependencies!$D$17,0)</f>
        <v>0</v>
      </c>
      <c r="G1494" s="37">
        <f t="array" ref="G1494">IFERROR(SUMPRODUCT(('Production Inputs'!$A:$A="APG")*('Production Inputs'!$B:$B="TOTAL ACTIVE")*'Production Inputs'!$BR:$BR),0)</f>
        <v>0</v>
      </c>
      <c r="H1494" s="30">
        <f t="shared" si="161"/>
        <v>106.67199999999997</v>
      </c>
      <c r="I1494" s="30">
        <f ca="1">IFERROR(AVERAGEIF(OFFSET(F1494,0,0,MIN(Controls!$B$8,COUNTIF(B1494:B$1973,B1494)),1),"&gt;"&amp;0),0)</f>
        <v>0</v>
      </c>
      <c r="J1494" s="38">
        <f t="shared" ca="1" si="162"/>
        <v>999</v>
      </c>
      <c r="K1494" s="30">
        <f t="shared" ca="1" si="166"/>
        <v>0</v>
      </c>
      <c r="L1494" t="str">
        <f t="shared" ca="1" si="163"/>
        <v>Overstock</v>
      </c>
      <c r="M1494" s="39">
        <f>IFERROR(VLOOKUP("APG",Controls!A:I,7,0),6)</f>
        <v>4</v>
      </c>
      <c r="N1494" s="39">
        <f>IFERROR(VLOOKUP("APG",Controls!A:I,8,0),3)</f>
        <v>3</v>
      </c>
      <c r="O1494" s="39">
        <f>IFERROR(VLOOKUP("APG",Controls!A:I,9,0),18)</f>
        <v>12</v>
      </c>
      <c r="P1494" s="40">
        <f>IFERROR(VLOOKUP("APG",Controls!A:J,5,0),0)</f>
        <v>95</v>
      </c>
      <c r="Q1494" s="39">
        <f>IFERROR(VLOOKUP("APG",Controls!A:J,6,0),3)</f>
        <v>4</v>
      </c>
      <c r="R1494" s="21" t="str">
        <f>IFERROR(VLOOKUP("APG",Controls!A:K,10,0),"")</f>
        <v>ST Pharm</v>
      </c>
      <c r="S1494" s="41">
        <f t="shared" si="164"/>
        <v>47696</v>
      </c>
      <c r="T1494" s="30">
        <f t="shared" si="165"/>
        <v>0</v>
      </c>
      <c r="AB1494">
        <f t="shared" si="167"/>
        <v>308.84000000000003</v>
      </c>
    </row>
    <row r="1495" spans="1:28" ht="13" customHeight="1" x14ac:dyDescent="0.35">
      <c r="A1495" s="153">
        <v>47849</v>
      </c>
      <c r="B1495" s="36" t="s">
        <v>57</v>
      </c>
      <c r="C1495" s="15" t="s">
        <v>52</v>
      </c>
      <c r="D1495" s="15" t="s">
        <v>48</v>
      </c>
      <c r="E1495" s="30">
        <f>H1494</f>
        <v>106.67199999999997</v>
      </c>
      <c r="F1495" s="37">
        <f>IFERROR('Production Inputs'!$BS$37*Dependencies!$D$17,0)</f>
        <v>0</v>
      </c>
      <c r="G1495" s="37">
        <f t="array" ref="G1495">IFERROR(SUMPRODUCT(('Production Inputs'!$A:$A="APG")*('Production Inputs'!$B:$B="TOTAL ACTIVE")*'Production Inputs'!$BS:$BS),0)</f>
        <v>0</v>
      </c>
      <c r="H1495" s="30">
        <f t="shared" si="161"/>
        <v>106.67199999999997</v>
      </c>
      <c r="I1495" s="30">
        <f ca="1">IFERROR(AVERAGEIF(OFFSET(F1495,0,0,MIN(Controls!$B$8,COUNTIF(B1495:B$1973,B1495)),1),"&gt;"&amp;0),0)</f>
        <v>0</v>
      </c>
      <c r="J1495" s="38">
        <f t="shared" ca="1" si="162"/>
        <v>999</v>
      </c>
      <c r="K1495" s="30">
        <f t="shared" ca="1" si="166"/>
        <v>0</v>
      </c>
      <c r="L1495" t="str">
        <f t="shared" ca="1" si="163"/>
        <v>Overstock</v>
      </c>
      <c r="M1495" s="39">
        <f>IFERROR(VLOOKUP("APG",Controls!A:I,7,0),6)</f>
        <v>4</v>
      </c>
      <c r="N1495" s="39">
        <f>IFERROR(VLOOKUP("APG",Controls!A:I,8,0),3)</f>
        <v>3</v>
      </c>
      <c r="O1495" s="39">
        <f>IFERROR(VLOOKUP("APG",Controls!A:I,9,0),18)</f>
        <v>12</v>
      </c>
      <c r="P1495" s="40">
        <f>IFERROR(VLOOKUP("APG",Controls!A:J,5,0),0)</f>
        <v>95</v>
      </c>
      <c r="Q1495" s="39">
        <f>IFERROR(VLOOKUP("APG",Controls!A:J,6,0),3)</f>
        <v>4</v>
      </c>
      <c r="R1495" s="21" t="str">
        <f>IFERROR(VLOOKUP("APG",Controls!A:K,10,0),"")</f>
        <v>ST Pharm</v>
      </c>
      <c r="S1495" s="41">
        <f t="shared" si="164"/>
        <v>47727</v>
      </c>
      <c r="T1495" s="30">
        <f t="shared" si="165"/>
        <v>0</v>
      </c>
      <c r="AB1495">
        <f t="shared" si="167"/>
        <v>308.84000000000003</v>
      </c>
    </row>
    <row r="1496" spans="1:28" ht="13" customHeight="1" x14ac:dyDescent="0.35">
      <c r="A1496" s="153">
        <v>47880</v>
      </c>
      <c r="B1496" s="36" t="s">
        <v>57</v>
      </c>
      <c r="C1496" s="15" t="s">
        <v>52</v>
      </c>
      <c r="D1496" s="15" t="s">
        <v>48</v>
      </c>
      <c r="E1496" s="30">
        <f>H1495</f>
        <v>106.67199999999997</v>
      </c>
      <c r="F1496" s="37">
        <f>IFERROR('Production Inputs'!$BT$37*Dependencies!$D$17,0)</f>
        <v>0</v>
      </c>
      <c r="G1496" s="37">
        <f t="array" ref="G1496">IFERROR(SUMPRODUCT(('Production Inputs'!$A:$A="APG")*('Production Inputs'!$B:$B="TOTAL ACTIVE")*'Production Inputs'!$BT:$BT),0)</f>
        <v>0</v>
      </c>
      <c r="H1496" s="30">
        <f t="shared" si="161"/>
        <v>106.67199999999997</v>
      </c>
      <c r="I1496" s="30">
        <f ca="1">IFERROR(AVERAGEIF(OFFSET(F1496,0,0,MIN(Controls!$B$8,COUNTIF(B1496:B$1973,B1496)),1),"&gt;"&amp;0),0)</f>
        <v>0</v>
      </c>
      <c r="J1496" s="38">
        <f t="shared" ca="1" si="162"/>
        <v>999</v>
      </c>
      <c r="K1496" s="30">
        <f t="shared" ca="1" si="166"/>
        <v>0</v>
      </c>
      <c r="L1496" t="str">
        <f t="shared" ca="1" si="163"/>
        <v>Overstock</v>
      </c>
      <c r="M1496" s="39">
        <f>IFERROR(VLOOKUP("APG",Controls!A:I,7,0),6)</f>
        <v>4</v>
      </c>
      <c r="N1496" s="39">
        <f>IFERROR(VLOOKUP("APG",Controls!A:I,8,0),3)</f>
        <v>3</v>
      </c>
      <c r="O1496" s="39">
        <f>IFERROR(VLOOKUP("APG",Controls!A:I,9,0),18)</f>
        <v>12</v>
      </c>
      <c r="P1496" s="40">
        <f>IFERROR(VLOOKUP("APG",Controls!A:J,5,0),0)</f>
        <v>95</v>
      </c>
      <c r="Q1496" s="39">
        <f>IFERROR(VLOOKUP("APG",Controls!A:J,6,0),3)</f>
        <v>4</v>
      </c>
      <c r="R1496" s="21" t="str">
        <f>IFERROR(VLOOKUP("APG",Controls!A:K,10,0),"")</f>
        <v>ST Pharm</v>
      </c>
      <c r="S1496" s="41">
        <f t="shared" si="164"/>
        <v>47757</v>
      </c>
      <c r="T1496" s="30">
        <f t="shared" si="165"/>
        <v>0</v>
      </c>
      <c r="AB1496">
        <f t="shared" si="167"/>
        <v>308.84000000000003</v>
      </c>
    </row>
    <row r="1497" spans="1:28" ht="13" customHeight="1" x14ac:dyDescent="0.35">
      <c r="A1497" s="153">
        <v>47908</v>
      </c>
      <c r="B1497" s="36" t="s">
        <v>57</v>
      </c>
      <c r="C1497" s="15" t="s">
        <v>52</v>
      </c>
      <c r="D1497" s="15" t="s">
        <v>48</v>
      </c>
      <c r="E1497" s="30">
        <f>H1496</f>
        <v>106.67199999999997</v>
      </c>
      <c r="F1497" s="37">
        <f>IFERROR('Production Inputs'!$BU$37*Dependencies!$D$17,0)</f>
        <v>0</v>
      </c>
      <c r="G1497" s="37">
        <f t="array" ref="G1497">IFERROR(SUMPRODUCT(('Production Inputs'!$A:$A="APG")*('Production Inputs'!$B:$B="TOTAL ACTIVE")*'Production Inputs'!$BU:$BU),0)</f>
        <v>0</v>
      </c>
      <c r="H1497" s="30">
        <f t="shared" si="161"/>
        <v>106.67199999999997</v>
      </c>
      <c r="I1497" s="30">
        <f ca="1">IFERROR(AVERAGEIF(OFFSET(F1497,0,0,MIN(Controls!$B$8,COUNTIF(B1497:B$1973,B1497)),1),"&gt;"&amp;0),0)</f>
        <v>0</v>
      </c>
      <c r="J1497" s="38">
        <f t="shared" ca="1" si="162"/>
        <v>999</v>
      </c>
      <c r="K1497" s="30">
        <f t="shared" ca="1" si="166"/>
        <v>0</v>
      </c>
      <c r="L1497" t="str">
        <f t="shared" ca="1" si="163"/>
        <v>Overstock</v>
      </c>
      <c r="M1497" s="39">
        <f>IFERROR(VLOOKUP("APG",Controls!A:I,7,0),6)</f>
        <v>4</v>
      </c>
      <c r="N1497" s="39">
        <f>IFERROR(VLOOKUP("APG",Controls!A:I,8,0),3)</f>
        <v>3</v>
      </c>
      <c r="O1497" s="39">
        <f>IFERROR(VLOOKUP("APG",Controls!A:I,9,0),18)</f>
        <v>12</v>
      </c>
      <c r="P1497" s="40">
        <f>IFERROR(VLOOKUP("APG",Controls!A:J,5,0),0)</f>
        <v>95</v>
      </c>
      <c r="Q1497" s="39">
        <f>IFERROR(VLOOKUP("APG",Controls!A:J,6,0),3)</f>
        <v>4</v>
      </c>
      <c r="R1497" s="21" t="str">
        <f>IFERROR(VLOOKUP("APG",Controls!A:K,10,0),"")</f>
        <v>ST Pharm</v>
      </c>
      <c r="S1497" s="41">
        <f t="shared" si="164"/>
        <v>47788</v>
      </c>
      <c r="T1497" s="30">
        <f t="shared" si="165"/>
        <v>0</v>
      </c>
      <c r="AB1497">
        <f t="shared" si="167"/>
        <v>308.84000000000003</v>
      </c>
    </row>
    <row r="1498" spans="1:28" ht="13" customHeight="1" x14ac:dyDescent="0.35">
      <c r="A1498" s="153">
        <v>47939</v>
      </c>
      <c r="B1498" s="36" t="s">
        <v>57</v>
      </c>
      <c r="C1498" s="15" t="s">
        <v>52</v>
      </c>
      <c r="D1498" s="15" t="s">
        <v>48</v>
      </c>
      <c r="E1498" s="30">
        <f>H1497</f>
        <v>106.67199999999997</v>
      </c>
      <c r="F1498" s="37">
        <f>IFERROR('Production Inputs'!$BV$37*Dependencies!$D$17,0)</f>
        <v>0</v>
      </c>
      <c r="G1498" s="37">
        <f t="array" ref="G1498">IFERROR(SUMPRODUCT(('Production Inputs'!$A:$A="APG")*('Production Inputs'!$B:$B="TOTAL ACTIVE")*'Production Inputs'!$BV:$BV),0)</f>
        <v>0</v>
      </c>
      <c r="H1498" s="30">
        <f t="shared" si="161"/>
        <v>106.67199999999997</v>
      </c>
      <c r="I1498" s="30">
        <f ca="1">IFERROR(AVERAGEIF(OFFSET(F1498,0,0,MIN(Controls!$B$8,COUNTIF(B1498:B$1973,B1498)),1),"&gt;"&amp;0),0)</f>
        <v>0</v>
      </c>
      <c r="J1498" s="38">
        <f t="shared" ca="1" si="162"/>
        <v>999</v>
      </c>
      <c r="K1498" s="30">
        <f t="shared" ca="1" si="166"/>
        <v>0</v>
      </c>
      <c r="L1498" t="str">
        <f t="shared" ca="1" si="163"/>
        <v>Overstock</v>
      </c>
      <c r="M1498" s="39">
        <f>IFERROR(VLOOKUP("APG",Controls!A:I,7,0),6)</f>
        <v>4</v>
      </c>
      <c r="N1498" s="39">
        <f>IFERROR(VLOOKUP("APG",Controls!A:I,8,0),3)</f>
        <v>3</v>
      </c>
      <c r="O1498" s="39">
        <f>IFERROR(VLOOKUP("APG",Controls!A:I,9,0),18)</f>
        <v>12</v>
      </c>
      <c r="P1498" s="40">
        <f>IFERROR(VLOOKUP("APG",Controls!A:J,5,0),0)</f>
        <v>95</v>
      </c>
      <c r="Q1498" s="39">
        <f>IFERROR(VLOOKUP("APG",Controls!A:J,6,0),3)</f>
        <v>4</v>
      </c>
      <c r="R1498" s="21" t="str">
        <f>IFERROR(VLOOKUP("APG",Controls!A:K,10,0),"")</f>
        <v>ST Pharm</v>
      </c>
      <c r="S1498" s="41">
        <f t="shared" si="164"/>
        <v>47818</v>
      </c>
      <c r="T1498" s="30">
        <f t="shared" si="165"/>
        <v>0</v>
      </c>
      <c r="AB1498">
        <f t="shared" si="167"/>
        <v>308.84000000000003</v>
      </c>
    </row>
    <row r="1499" spans="1:28" ht="13" customHeight="1" x14ac:dyDescent="0.35">
      <c r="A1499" s="153">
        <v>47969</v>
      </c>
      <c r="B1499" s="36" t="s">
        <v>57</v>
      </c>
      <c r="C1499" s="15" t="s">
        <v>52</v>
      </c>
      <c r="D1499" s="15" t="s">
        <v>48</v>
      </c>
      <c r="E1499" s="30">
        <f>H1498</f>
        <v>106.67199999999997</v>
      </c>
      <c r="F1499" s="37">
        <f>IFERROR('Production Inputs'!$BW$37*Dependencies!$D$17,0)</f>
        <v>0</v>
      </c>
      <c r="G1499" s="37">
        <f t="array" ref="G1499">IFERROR(SUMPRODUCT(('Production Inputs'!$A:$A="APG")*('Production Inputs'!$B:$B="TOTAL ACTIVE")*'Production Inputs'!$BW:$BW),0)</f>
        <v>0</v>
      </c>
      <c r="H1499" s="30">
        <f t="shared" si="161"/>
        <v>106.67199999999997</v>
      </c>
      <c r="I1499" s="30">
        <f ca="1">IFERROR(AVERAGEIF(OFFSET(F1499,0,0,MIN(Controls!$B$8,COUNTIF(B1499:B$1973,B1499)),1),"&gt;"&amp;0),0)</f>
        <v>0</v>
      </c>
      <c r="J1499" s="38">
        <f t="shared" ca="1" si="162"/>
        <v>999</v>
      </c>
      <c r="K1499" s="30">
        <f t="shared" ca="1" si="166"/>
        <v>0</v>
      </c>
      <c r="L1499" t="str">
        <f t="shared" ca="1" si="163"/>
        <v>Overstock</v>
      </c>
      <c r="M1499" s="39">
        <f>IFERROR(VLOOKUP("APG",Controls!A:I,7,0),6)</f>
        <v>4</v>
      </c>
      <c r="N1499" s="39">
        <f>IFERROR(VLOOKUP("APG",Controls!A:I,8,0),3)</f>
        <v>3</v>
      </c>
      <c r="O1499" s="39">
        <f>IFERROR(VLOOKUP("APG",Controls!A:I,9,0),18)</f>
        <v>12</v>
      </c>
      <c r="P1499" s="40">
        <f>IFERROR(VLOOKUP("APG",Controls!A:J,5,0),0)</f>
        <v>95</v>
      </c>
      <c r="Q1499" s="39">
        <f>IFERROR(VLOOKUP("APG",Controls!A:J,6,0),3)</f>
        <v>4</v>
      </c>
      <c r="R1499" s="21" t="str">
        <f>IFERROR(VLOOKUP("APG",Controls!A:K,10,0),"")</f>
        <v>ST Pharm</v>
      </c>
      <c r="S1499" s="41">
        <f t="shared" si="164"/>
        <v>47849</v>
      </c>
      <c r="T1499" s="30">
        <f t="shared" si="165"/>
        <v>0</v>
      </c>
      <c r="AB1499">
        <f t="shared" si="167"/>
        <v>308.84000000000003</v>
      </c>
    </row>
    <row r="1500" spans="1:28" ht="13" customHeight="1" x14ac:dyDescent="0.35">
      <c r="A1500" s="153">
        <v>48000</v>
      </c>
      <c r="B1500" s="36" t="s">
        <v>57</v>
      </c>
      <c r="C1500" s="15" t="s">
        <v>52</v>
      </c>
      <c r="D1500" s="15" t="s">
        <v>48</v>
      </c>
      <c r="E1500" s="30">
        <f>H1499</f>
        <v>106.67199999999997</v>
      </c>
      <c r="F1500" s="37">
        <f>IFERROR('Production Inputs'!$BX$37*Dependencies!$D$17,0)</f>
        <v>0</v>
      </c>
      <c r="G1500" s="37">
        <f t="array" ref="G1500">IFERROR(SUMPRODUCT(('Production Inputs'!$A:$A="APG")*('Production Inputs'!$B:$B="TOTAL ACTIVE")*'Production Inputs'!$BX:$BX),0)</f>
        <v>0</v>
      </c>
      <c r="H1500" s="30">
        <f t="shared" si="161"/>
        <v>106.67199999999997</v>
      </c>
      <c r="I1500" s="30">
        <f ca="1">IFERROR(AVERAGEIF(OFFSET(F1500,0,0,MIN(Controls!$B$8,COUNTIF(B1500:B$1973,B1500)),1),"&gt;"&amp;0),0)</f>
        <v>0</v>
      </c>
      <c r="J1500" s="38">
        <f t="shared" ca="1" si="162"/>
        <v>999</v>
      </c>
      <c r="K1500" s="30">
        <f t="shared" ca="1" si="166"/>
        <v>0</v>
      </c>
      <c r="L1500" t="str">
        <f t="shared" ca="1" si="163"/>
        <v>Overstock</v>
      </c>
      <c r="M1500" s="39">
        <f>IFERROR(VLOOKUP("APG",Controls!A:I,7,0),6)</f>
        <v>4</v>
      </c>
      <c r="N1500" s="39">
        <f>IFERROR(VLOOKUP("APG",Controls!A:I,8,0),3)</f>
        <v>3</v>
      </c>
      <c r="O1500" s="39">
        <f>IFERROR(VLOOKUP("APG",Controls!A:I,9,0),18)</f>
        <v>12</v>
      </c>
      <c r="P1500" s="40">
        <f>IFERROR(VLOOKUP("APG",Controls!A:J,5,0),0)</f>
        <v>95</v>
      </c>
      <c r="Q1500" s="39">
        <f>IFERROR(VLOOKUP("APG",Controls!A:J,6,0),3)</f>
        <v>4</v>
      </c>
      <c r="R1500" s="21" t="str">
        <f>IFERROR(VLOOKUP("APG",Controls!A:K,10,0),"")</f>
        <v>ST Pharm</v>
      </c>
      <c r="S1500" s="41">
        <f t="shared" si="164"/>
        <v>47880</v>
      </c>
      <c r="T1500" s="30">
        <f t="shared" si="165"/>
        <v>0</v>
      </c>
      <c r="AB1500">
        <f t="shared" si="167"/>
        <v>308.84000000000003</v>
      </c>
    </row>
    <row r="1501" spans="1:28" ht="13" customHeight="1" x14ac:dyDescent="0.35">
      <c r="A1501" s="153">
        <v>48030</v>
      </c>
      <c r="B1501" s="36" t="s">
        <v>57</v>
      </c>
      <c r="C1501" s="15" t="s">
        <v>52</v>
      </c>
      <c r="D1501" s="15" t="s">
        <v>48</v>
      </c>
      <c r="E1501" s="30">
        <f>H1500</f>
        <v>106.67199999999997</v>
      </c>
      <c r="F1501" s="37">
        <f>IFERROR('Production Inputs'!$BY$37*Dependencies!$D$17,0)</f>
        <v>0</v>
      </c>
      <c r="G1501" s="37">
        <f t="array" ref="G1501">IFERROR(SUMPRODUCT(('Production Inputs'!$A:$A="APG")*('Production Inputs'!$B:$B="TOTAL ACTIVE")*'Production Inputs'!$BY:$BY),0)</f>
        <v>0</v>
      </c>
      <c r="H1501" s="30">
        <f t="shared" si="161"/>
        <v>106.67199999999997</v>
      </c>
      <c r="I1501" s="30">
        <f ca="1">IFERROR(AVERAGEIF(OFFSET(F1501,0,0,MIN(Controls!$B$8,COUNTIF(B1501:B$1973,B1501)),1),"&gt;"&amp;0),0)</f>
        <v>0</v>
      </c>
      <c r="J1501" s="38">
        <f t="shared" ca="1" si="162"/>
        <v>999</v>
      </c>
      <c r="K1501" s="30">
        <f t="shared" ca="1" si="166"/>
        <v>0</v>
      </c>
      <c r="L1501" t="str">
        <f t="shared" ca="1" si="163"/>
        <v>Overstock</v>
      </c>
      <c r="M1501" s="39">
        <f>IFERROR(VLOOKUP("APG",Controls!A:I,7,0),6)</f>
        <v>4</v>
      </c>
      <c r="N1501" s="39">
        <f>IFERROR(VLOOKUP("APG",Controls!A:I,8,0),3)</f>
        <v>3</v>
      </c>
      <c r="O1501" s="39">
        <f>IFERROR(VLOOKUP("APG",Controls!A:I,9,0),18)</f>
        <v>12</v>
      </c>
      <c r="P1501" s="40">
        <f>IFERROR(VLOOKUP("APG",Controls!A:J,5,0),0)</f>
        <v>95</v>
      </c>
      <c r="Q1501" s="39">
        <f>IFERROR(VLOOKUP("APG",Controls!A:J,6,0),3)</f>
        <v>4</v>
      </c>
      <c r="R1501" s="21" t="str">
        <f>IFERROR(VLOOKUP("APG",Controls!A:K,10,0),"")</f>
        <v>ST Pharm</v>
      </c>
      <c r="S1501" s="41">
        <f t="shared" si="164"/>
        <v>47908</v>
      </c>
      <c r="T1501" s="30">
        <f t="shared" si="165"/>
        <v>0</v>
      </c>
      <c r="AB1501">
        <f t="shared" si="167"/>
        <v>308.84000000000003</v>
      </c>
    </row>
    <row r="1502" spans="1:28" ht="13" customHeight="1" x14ac:dyDescent="0.35">
      <c r="A1502" s="153">
        <v>48061</v>
      </c>
      <c r="B1502" s="36" t="s">
        <v>57</v>
      </c>
      <c r="C1502" s="15" t="s">
        <v>52</v>
      </c>
      <c r="D1502" s="15" t="s">
        <v>48</v>
      </c>
      <c r="E1502" s="30">
        <f>H1501</f>
        <v>106.67199999999997</v>
      </c>
      <c r="F1502" s="37">
        <f>IFERROR('Production Inputs'!$BZ$37*Dependencies!$D$17,0)</f>
        <v>0</v>
      </c>
      <c r="G1502" s="37">
        <f t="array" ref="G1502">IFERROR(SUMPRODUCT(('Production Inputs'!$A:$A="APG")*('Production Inputs'!$B:$B="TOTAL ACTIVE")*'Production Inputs'!$BZ:$BZ),0)</f>
        <v>0</v>
      </c>
      <c r="H1502" s="30">
        <f t="shared" si="161"/>
        <v>106.67199999999997</v>
      </c>
      <c r="I1502" s="30">
        <f ca="1">IFERROR(AVERAGEIF(OFFSET(F1502,0,0,MIN(Controls!$B$8,COUNTIF(B1502:B$1973,B1502)),1),"&gt;"&amp;0),0)</f>
        <v>0</v>
      </c>
      <c r="J1502" s="38">
        <f t="shared" ca="1" si="162"/>
        <v>999</v>
      </c>
      <c r="K1502" s="30">
        <f t="shared" ca="1" si="166"/>
        <v>0</v>
      </c>
      <c r="L1502" t="str">
        <f t="shared" ca="1" si="163"/>
        <v>Overstock</v>
      </c>
      <c r="M1502" s="39">
        <f>IFERROR(VLOOKUP("APG",Controls!A:I,7,0),6)</f>
        <v>4</v>
      </c>
      <c r="N1502" s="39">
        <f>IFERROR(VLOOKUP("APG",Controls!A:I,8,0),3)</f>
        <v>3</v>
      </c>
      <c r="O1502" s="39">
        <f>IFERROR(VLOOKUP("APG",Controls!A:I,9,0),18)</f>
        <v>12</v>
      </c>
      <c r="P1502" s="40">
        <f>IFERROR(VLOOKUP("APG",Controls!A:J,5,0),0)</f>
        <v>95</v>
      </c>
      <c r="Q1502" s="39">
        <f>IFERROR(VLOOKUP("APG",Controls!A:J,6,0),3)</f>
        <v>4</v>
      </c>
      <c r="R1502" s="21" t="str">
        <f>IFERROR(VLOOKUP("APG",Controls!A:K,10,0),"")</f>
        <v>ST Pharm</v>
      </c>
      <c r="S1502" s="41">
        <f t="shared" si="164"/>
        <v>47939</v>
      </c>
      <c r="T1502" s="30">
        <f t="shared" si="165"/>
        <v>0</v>
      </c>
      <c r="AB1502">
        <f t="shared" si="167"/>
        <v>308.84000000000003</v>
      </c>
    </row>
    <row r="1503" spans="1:28" ht="13" customHeight="1" x14ac:dyDescent="0.35">
      <c r="A1503" s="153">
        <v>48092</v>
      </c>
      <c r="B1503" s="36" t="s">
        <v>57</v>
      </c>
      <c r="C1503" s="15" t="s">
        <v>52</v>
      </c>
      <c r="D1503" s="15" t="s">
        <v>48</v>
      </c>
      <c r="E1503" s="30">
        <f>H1502</f>
        <v>106.67199999999997</v>
      </c>
      <c r="F1503" s="37">
        <f>IFERROR('Production Inputs'!$CA$37*Dependencies!$D$17,0)</f>
        <v>0</v>
      </c>
      <c r="G1503" s="37">
        <f t="array" ref="G1503">IFERROR(SUMPRODUCT(('Production Inputs'!$A:$A="APG")*('Production Inputs'!$B:$B="TOTAL ACTIVE")*'Production Inputs'!$CA:$CA),0)</f>
        <v>0</v>
      </c>
      <c r="H1503" s="30">
        <f t="shared" si="161"/>
        <v>106.67199999999997</v>
      </c>
      <c r="I1503" s="30">
        <f ca="1">IFERROR(AVERAGEIF(OFFSET(F1503,0,0,MIN(Controls!$B$8,COUNTIF(B1503:B$1973,B1503)),1),"&gt;"&amp;0),0)</f>
        <v>0</v>
      </c>
      <c r="J1503" s="38">
        <f t="shared" ca="1" si="162"/>
        <v>999</v>
      </c>
      <c r="K1503" s="30">
        <f t="shared" ca="1" si="166"/>
        <v>0</v>
      </c>
      <c r="L1503" t="str">
        <f t="shared" ca="1" si="163"/>
        <v>Overstock</v>
      </c>
      <c r="M1503" s="39">
        <f>IFERROR(VLOOKUP("APG",Controls!A:I,7,0),6)</f>
        <v>4</v>
      </c>
      <c r="N1503" s="39">
        <f>IFERROR(VLOOKUP("APG",Controls!A:I,8,0),3)</f>
        <v>3</v>
      </c>
      <c r="O1503" s="39">
        <f>IFERROR(VLOOKUP("APG",Controls!A:I,9,0),18)</f>
        <v>12</v>
      </c>
      <c r="P1503" s="40">
        <f>IFERROR(VLOOKUP("APG",Controls!A:J,5,0),0)</f>
        <v>95</v>
      </c>
      <c r="Q1503" s="39">
        <f>IFERROR(VLOOKUP("APG",Controls!A:J,6,0),3)</f>
        <v>4</v>
      </c>
      <c r="R1503" s="21" t="str">
        <f>IFERROR(VLOOKUP("APG",Controls!A:K,10,0),"")</f>
        <v>ST Pharm</v>
      </c>
      <c r="S1503" s="41">
        <f t="shared" si="164"/>
        <v>47969</v>
      </c>
      <c r="T1503" s="30">
        <f t="shared" si="165"/>
        <v>0</v>
      </c>
      <c r="AB1503">
        <f t="shared" si="167"/>
        <v>308.84000000000003</v>
      </c>
    </row>
    <row r="1504" spans="1:28" ht="13" customHeight="1" x14ac:dyDescent="0.35">
      <c r="A1504" s="153">
        <v>48122</v>
      </c>
      <c r="B1504" s="36" t="s">
        <v>57</v>
      </c>
      <c r="C1504" s="15" t="s">
        <v>52</v>
      </c>
      <c r="D1504" s="15" t="s">
        <v>48</v>
      </c>
      <c r="E1504" s="30">
        <f>H1503</f>
        <v>106.67199999999997</v>
      </c>
      <c r="F1504" s="37">
        <f>IFERROR('Production Inputs'!$CB$37*Dependencies!$D$17,0)</f>
        <v>0</v>
      </c>
      <c r="G1504" s="37">
        <f t="array" ref="G1504">IFERROR(SUMPRODUCT(('Production Inputs'!$A:$A="APG")*('Production Inputs'!$B:$B="TOTAL ACTIVE")*'Production Inputs'!$CB:$CB),0)</f>
        <v>0</v>
      </c>
      <c r="H1504" s="30">
        <f t="shared" si="161"/>
        <v>106.67199999999997</v>
      </c>
      <c r="I1504" s="30">
        <f ca="1">IFERROR(AVERAGEIF(OFFSET(F1504,0,0,MIN(Controls!$B$8,COUNTIF(B1504:B$1973,B1504)),1),"&gt;"&amp;0),0)</f>
        <v>0</v>
      </c>
      <c r="J1504" s="38">
        <f t="shared" ca="1" si="162"/>
        <v>999</v>
      </c>
      <c r="K1504" s="30">
        <f t="shared" ca="1" si="166"/>
        <v>0</v>
      </c>
      <c r="L1504" t="str">
        <f t="shared" ca="1" si="163"/>
        <v>Overstock</v>
      </c>
      <c r="M1504" s="39">
        <f>IFERROR(VLOOKUP("APG",Controls!A:I,7,0),6)</f>
        <v>4</v>
      </c>
      <c r="N1504" s="39">
        <f>IFERROR(VLOOKUP("APG",Controls!A:I,8,0),3)</f>
        <v>3</v>
      </c>
      <c r="O1504" s="39">
        <f>IFERROR(VLOOKUP("APG",Controls!A:I,9,0),18)</f>
        <v>12</v>
      </c>
      <c r="P1504" s="40">
        <f>IFERROR(VLOOKUP("APG",Controls!A:J,5,0),0)</f>
        <v>95</v>
      </c>
      <c r="Q1504" s="39">
        <f>IFERROR(VLOOKUP("APG",Controls!A:J,6,0),3)</f>
        <v>4</v>
      </c>
      <c r="R1504" s="21" t="str">
        <f>IFERROR(VLOOKUP("APG",Controls!A:K,10,0),"")</f>
        <v>ST Pharm</v>
      </c>
      <c r="S1504" s="41">
        <f t="shared" si="164"/>
        <v>48000</v>
      </c>
      <c r="T1504" s="30">
        <f t="shared" si="165"/>
        <v>0</v>
      </c>
      <c r="AB1504">
        <f t="shared" si="167"/>
        <v>308.84000000000003</v>
      </c>
    </row>
    <row r="1505" spans="1:28" ht="13" customHeight="1" x14ac:dyDescent="0.35">
      <c r="A1505" s="153">
        <v>48153</v>
      </c>
      <c r="B1505" s="36" t="s">
        <v>57</v>
      </c>
      <c r="C1505" s="15" t="s">
        <v>52</v>
      </c>
      <c r="D1505" s="15" t="s">
        <v>48</v>
      </c>
      <c r="E1505" s="30">
        <f>H1504</f>
        <v>106.67199999999997</v>
      </c>
      <c r="F1505" s="37">
        <f>IFERROR('Production Inputs'!$CC$37*Dependencies!$D$17,0)</f>
        <v>0</v>
      </c>
      <c r="G1505" s="37">
        <f t="array" ref="G1505">IFERROR(SUMPRODUCT(('Production Inputs'!$A:$A="APG")*('Production Inputs'!$B:$B="TOTAL ACTIVE")*'Production Inputs'!$CC:$CC),0)</f>
        <v>0</v>
      </c>
      <c r="H1505" s="30">
        <f t="shared" si="161"/>
        <v>106.67199999999997</v>
      </c>
      <c r="I1505" s="30">
        <f ca="1">IFERROR(AVERAGEIF(OFFSET(F1505,0,0,MIN(Controls!$B$8,COUNTIF(B1505:B$1973,B1505)),1),"&gt;"&amp;0),0)</f>
        <v>0</v>
      </c>
      <c r="J1505" s="38">
        <f t="shared" ca="1" si="162"/>
        <v>999</v>
      </c>
      <c r="K1505" s="30">
        <f t="shared" ca="1" si="166"/>
        <v>0</v>
      </c>
      <c r="L1505" t="str">
        <f t="shared" ca="1" si="163"/>
        <v>Overstock</v>
      </c>
      <c r="M1505" s="39">
        <f>IFERROR(VLOOKUP("APG",Controls!A:I,7,0),6)</f>
        <v>4</v>
      </c>
      <c r="N1505" s="39">
        <f>IFERROR(VLOOKUP("APG",Controls!A:I,8,0),3)</f>
        <v>3</v>
      </c>
      <c r="O1505" s="39">
        <f>IFERROR(VLOOKUP("APG",Controls!A:I,9,0),18)</f>
        <v>12</v>
      </c>
      <c r="P1505" s="40">
        <f>IFERROR(VLOOKUP("APG",Controls!A:J,5,0),0)</f>
        <v>95</v>
      </c>
      <c r="Q1505" s="39">
        <f>IFERROR(VLOOKUP("APG",Controls!A:J,6,0),3)</f>
        <v>4</v>
      </c>
      <c r="R1505" s="21" t="str">
        <f>IFERROR(VLOOKUP("APG",Controls!A:K,10,0),"")</f>
        <v>ST Pharm</v>
      </c>
      <c r="S1505" s="41">
        <f t="shared" si="164"/>
        <v>48030</v>
      </c>
      <c r="T1505" s="30">
        <f t="shared" si="165"/>
        <v>0</v>
      </c>
      <c r="AB1505">
        <f t="shared" si="167"/>
        <v>308.84000000000003</v>
      </c>
    </row>
    <row r="1506" spans="1:28" ht="13" customHeight="1" x14ac:dyDescent="0.35">
      <c r="A1506" s="153">
        <v>48183</v>
      </c>
      <c r="B1506" s="36" t="s">
        <v>57</v>
      </c>
      <c r="C1506" s="15" t="s">
        <v>52</v>
      </c>
      <c r="D1506" s="15" t="s">
        <v>48</v>
      </c>
      <c r="E1506" s="30">
        <f>H1505</f>
        <v>106.67199999999997</v>
      </c>
      <c r="F1506" s="37">
        <f>IFERROR('Production Inputs'!$CD$37*Dependencies!$D$17,0)</f>
        <v>0</v>
      </c>
      <c r="G1506" s="37">
        <f t="array" ref="G1506">IFERROR(SUMPRODUCT(('Production Inputs'!$A:$A="APG")*('Production Inputs'!$B:$B="TOTAL ACTIVE")*'Production Inputs'!$CD:$CD),0)</f>
        <v>0</v>
      </c>
      <c r="H1506" s="30">
        <f t="shared" si="161"/>
        <v>106.67199999999997</v>
      </c>
      <c r="I1506" s="30">
        <f ca="1">IFERROR(AVERAGEIF(OFFSET(F1506,0,0,MIN(Controls!$B$8,COUNTIF(B1506:B$1973,B1506)),1),"&gt;"&amp;0),0)</f>
        <v>0</v>
      </c>
      <c r="J1506" s="38">
        <f t="shared" ca="1" si="162"/>
        <v>999</v>
      </c>
      <c r="K1506" s="30">
        <f t="shared" ca="1" si="166"/>
        <v>0</v>
      </c>
      <c r="L1506" t="str">
        <f t="shared" ca="1" si="163"/>
        <v>Overstock</v>
      </c>
      <c r="M1506" s="39">
        <f>IFERROR(VLOOKUP("APG",Controls!A:I,7,0),6)</f>
        <v>4</v>
      </c>
      <c r="N1506" s="39">
        <f>IFERROR(VLOOKUP("APG",Controls!A:I,8,0),3)</f>
        <v>3</v>
      </c>
      <c r="O1506" s="39">
        <f>IFERROR(VLOOKUP("APG",Controls!A:I,9,0),18)</f>
        <v>12</v>
      </c>
      <c r="P1506" s="40">
        <f>IFERROR(VLOOKUP("APG",Controls!A:J,5,0),0)</f>
        <v>95</v>
      </c>
      <c r="Q1506" s="39">
        <f>IFERROR(VLOOKUP("APG",Controls!A:J,6,0),3)</f>
        <v>4</v>
      </c>
      <c r="R1506" s="21" t="str">
        <f>IFERROR(VLOOKUP("APG",Controls!A:K,10,0),"")</f>
        <v>ST Pharm</v>
      </c>
      <c r="S1506" s="41">
        <f t="shared" si="164"/>
        <v>48061</v>
      </c>
      <c r="T1506" s="30">
        <f t="shared" si="165"/>
        <v>0</v>
      </c>
      <c r="AB1506">
        <f t="shared" si="167"/>
        <v>308.84000000000003</v>
      </c>
    </row>
    <row r="1507" spans="1:28" ht="13" customHeight="1" x14ac:dyDescent="0.35">
      <c r="A1507" s="153">
        <v>48214</v>
      </c>
      <c r="B1507" s="36" t="s">
        <v>57</v>
      </c>
      <c r="C1507" s="15" t="s">
        <v>52</v>
      </c>
      <c r="D1507" s="15" t="s">
        <v>48</v>
      </c>
      <c r="E1507" s="30">
        <f>H1506</f>
        <v>106.67199999999997</v>
      </c>
      <c r="F1507" s="37">
        <f>IFERROR('Production Inputs'!$CE$37*Dependencies!$D$17,0)</f>
        <v>0</v>
      </c>
      <c r="G1507" s="37">
        <f t="array" ref="G1507">IFERROR(SUMPRODUCT(('Production Inputs'!$A:$A="APG")*('Production Inputs'!$B:$B="TOTAL ACTIVE")*'Production Inputs'!$CE:$CE),0)</f>
        <v>0</v>
      </c>
      <c r="H1507" s="30">
        <f t="shared" si="161"/>
        <v>106.67199999999997</v>
      </c>
      <c r="I1507" s="30">
        <f ca="1">IFERROR(AVERAGEIF(OFFSET(F1507,0,0,MIN(Controls!$B$8,COUNTIF(B1507:B$1973,B1507)),1),"&gt;"&amp;0),0)</f>
        <v>0</v>
      </c>
      <c r="J1507" s="38">
        <f t="shared" ca="1" si="162"/>
        <v>999</v>
      </c>
      <c r="K1507" s="30">
        <f t="shared" ca="1" si="166"/>
        <v>0</v>
      </c>
      <c r="L1507" t="str">
        <f t="shared" ca="1" si="163"/>
        <v>Overstock</v>
      </c>
      <c r="M1507" s="39">
        <f>IFERROR(VLOOKUP("APG",Controls!A:I,7,0),6)</f>
        <v>4</v>
      </c>
      <c r="N1507" s="39">
        <f>IFERROR(VLOOKUP("APG",Controls!A:I,8,0),3)</f>
        <v>3</v>
      </c>
      <c r="O1507" s="39">
        <f>IFERROR(VLOOKUP("APG",Controls!A:I,9,0),18)</f>
        <v>12</v>
      </c>
      <c r="P1507" s="40">
        <f>IFERROR(VLOOKUP("APG",Controls!A:J,5,0),0)</f>
        <v>95</v>
      </c>
      <c r="Q1507" s="39">
        <f>IFERROR(VLOOKUP("APG",Controls!A:J,6,0),3)</f>
        <v>4</v>
      </c>
      <c r="R1507" s="21" t="str">
        <f>IFERROR(VLOOKUP("APG",Controls!A:K,10,0),"")</f>
        <v>ST Pharm</v>
      </c>
      <c r="S1507" s="41">
        <f t="shared" si="164"/>
        <v>48092</v>
      </c>
      <c r="T1507" s="30">
        <f t="shared" si="165"/>
        <v>0</v>
      </c>
      <c r="AB1507">
        <f t="shared" si="167"/>
        <v>308.84000000000003</v>
      </c>
    </row>
    <row r="1508" spans="1:28" ht="13" customHeight="1" x14ac:dyDescent="0.35">
      <c r="A1508" s="153">
        <v>48245</v>
      </c>
      <c r="B1508" s="36" t="s">
        <v>57</v>
      </c>
      <c r="C1508" s="15" t="s">
        <v>52</v>
      </c>
      <c r="D1508" s="15" t="s">
        <v>48</v>
      </c>
      <c r="E1508" s="30">
        <f>H1507</f>
        <v>106.67199999999997</v>
      </c>
      <c r="F1508" s="37">
        <f>IFERROR('Production Inputs'!$CF$37*Dependencies!$D$17,0)</f>
        <v>0</v>
      </c>
      <c r="G1508" s="37">
        <f t="array" ref="G1508">IFERROR(SUMPRODUCT(('Production Inputs'!$A:$A="APG")*('Production Inputs'!$B:$B="TOTAL ACTIVE")*'Production Inputs'!$CF:$CF),0)</f>
        <v>0</v>
      </c>
      <c r="H1508" s="30">
        <f t="shared" si="161"/>
        <v>106.67199999999997</v>
      </c>
      <c r="I1508" s="30">
        <f ca="1">IFERROR(AVERAGEIF(OFFSET(F1508,0,0,MIN(Controls!$B$8,COUNTIF(B1508:B$1973,B1508)),1),"&gt;"&amp;0),0)</f>
        <v>0</v>
      </c>
      <c r="J1508" s="38">
        <f t="shared" ca="1" si="162"/>
        <v>999</v>
      </c>
      <c r="K1508" s="30">
        <f t="shared" ca="1" si="166"/>
        <v>0</v>
      </c>
      <c r="L1508" t="str">
        <f t="shared" ca="1" si="163"/>
        <v>Overstock</v>
      </c>
      <c r="M1508" s="39">
        <f>IFERROR(VLOOKUP("APG",Controls!A:I,7,0),6)</f>
        <v>4</v>
      </c>
      <c r="N1508" s="39">
        <f>IFERROR(VLOOKUP("APG",Controls!A:I,8,0),3)</f>
        <v>3</v>
      </c>
      <c r="O1508" s="39">
        <f>IFERROR(VLOOKUP("APG",Controls!A:I,9,0),18)</f>
        <v>12</v>
      </c>
      <c r="P1508" s="40">
        <f>IFERROR(VLOOKUP("APG",Controls!A:J,5,0),0)</f>
        <v>95</v>
      </c>
      <c r="Q1508" s="39">
        <f>IFERROR(VLOOKUP("APG",Controls!A:J,6,0),3)</f>
        <v>4</v>
      </c>
      <c r="R1508" s="21" t="str">
        <f>IFERROR(VLOOKUP("APG",Controls!A:K,10,0),"")</f>
        <v>ST Pharm</v>
      </c>
      <c r="S1508" s="41">
        <f t="shared" si="164"/>
        <v>48122</v>
      </c>
      <c r="T1508" s="30">
        <f t="shared" si="165"/>
        <v>0</v>
      </c>
      <c r="AB1508">
        <f t="shared" si="167"/>
        <v>308.84000000000003</v>
      </c>
    </row>
    <row r="1509" spans="1:28" ht="13" customHeight="1" x14ac:dyDescent="0.35">
      <c r="A1509" s="153">
        <v>48274</v>
      </c>
      <c r="B1509" s="36" t="s">
        <v>57</v>
      </c>
      <c r="C1509" s="15" t="s">
        <v>52</v>
      </c>
      <c r="D1509" s="15" t="s">
        <v>48</v>
      </c>
      <c r="E1509" s="30">
        <f>H1508</f>
        <v>106.67199999999997</v>
      </c>
      <c r="F1509" s="37">
        <f>IFERROR('Production Inputs'!$CG$37*Dependencies!$D$17,0)</f>
        <v>0</v>
      </c>
      <c r="G1509" s="37">
        <f t="array" ref="G1509">IFERROR(SUMPRODUCT(('Production Inputs'!$A:$A="APG")*('Production Inputs'!$B:$B="TOTAL ACTIVE")*'Production Inputs'!$CG:$CG),0)</f>
        <v>0</v>
      </c>
      <c r="H1509" s="30">
        <f t="shared" si="161"/>
        <v>106.67199999999997</v>
      </c>
      <c r="I1509" s="30">
        <f ca="1">IFERROR(AVERAGEIF(OFFSET(F1509,0,0,MIN(Controls!$B$8,COUNTIF(B1509:B$1973,B1509)),1),"&gt;"&amp;0),0)</f>
        <v>0</v>
      </c>
      <c r="J1509" s="38">
        <f t="shared" ca="1" si="162"/>
        <v>999</v>
      </c>
      <c r="K1509" s="30">
        <f t="shared" ca="1" si="166"/>
        <v>0</v>
      </c>
      <c r="L1509" t="str">
        <f t="shared" ca="1" si="163"/>
        <v>Overstock</v>
      </c>
      <c r="M1509" s="39">
        <f>IFERROR(VLOOKUP("APG",Controls!A:I,7,0),6)</f>
        <v>4</v>
      </c>
      <c r="N1509" s="39">
        <f>IFERROR(VLOOKUP("APG",Controls!A:I,8,0),3)</f>
        <v>3</v>
      </c>
      <c r="O1509" s="39">
        <f>IFERROR(VLOOKUP("APG",Controls!A:I,9,0),18)</f>
        <v>12</v>
      </c>
      <c r="P1509" s="40">
        <f>IFERROR(VLOOKUP("APG",Controls!A:J,5,0),0)</f>
        <v>95</v>
      </c>
      <c r="Q1509" s="39">
        <f>IFERROR(VLOOKUP("APG",Controls!A:J,6,0),3)</f>
        <v>4</v>
      </c>
      <c r="R1509" s="21" t="str">
        <f>IFERROR(VLOOKUP("APG",Controls!A:K,10,0),"")</f>
        <v>ST Pharm</v>
      </c>
      <c r="S1509" s="41">
        <f t="shared" si="164"/>
        <v>48153</v>
      </c>
      <c r="T1509" s="30">
        <f t="shared" si="165"/>
        <v>0</v>
      </c>
      <c r="AB1509">
        <f t="shared" si="167"/>
        <v>308.84000000000003</v>
      </c>
    </row>
    <row r="1510" spans="1:28" ht="13" customHeight="1" x14ac:dyDescent="0.35">
      <c r="A1510" s="153">
        <v>48305</v>
      </c>
      <c r="B1510" s="36" t="s">
        <v>57</v>
      </c>
      <c r="C1510" s="15" t="s">
        <v>52</v>
      </c>
      <c r="D1510" s="15" t="s">
        <v>48</v>
      </c>
      <c r="E1510" s="30">
        <f>H1509</f>
        <v>106.67199999999997</v>
      </c>
      <c r="F1510" s="37">
        <f>IFERROR('Production Inputs'!$CH$37*Dependencies!$D$17,0)</f>
        <v>0</v>
      </c>
      <c r="G1510" s="37">
        <f t="array" ref="G1510">IFERROR(SUMPRODUCT(('Production Inputs'!$A:$A="APG")*('Production Inputs'!$B:$B="TOTAL ACTIVE")*'Production Inputs'!$CH:$CH),0)</f>
        <v>0</v>
      </c>
      <c r="H1510" s="30">
        <f t="shared" si="161"/>
        <v>106.67199999999997</v>
      </c>
      <c r="I1510" s="30">
        <f ca="1">IFERROR(AVERAGEIF(OFFSET(F1510,0,0,MIN(Controls!$B$8,COUNTIF(B1510:B$1973,B1510)),1),"&gt;"&amp;0),0)</f>
        <v>0</v>
      </c>
      <c r="J1510" s="38">
        <f t="shared" ca="1" si="162"/>
        <v>999</v>
      </c>
      <c r="K1510" s="30">
        <f t="shared" ca="1" si="166"/>
        <v>0</v>
      </c>
      <c r="L1510" t="str">
        <f t="shared" ca="1" si="163"/>
        <v>Overstock</v>
      </c>
      <c r="M1510" s="39">
        <f>IFERROR(VLOOKUP("APG",Controls!A:I,7,0),6)</f>
        <v>4</v>
      </c>
      <c r="N1510" s="39">
        <f>IFERROR(VLOOKUP("APG",Controls!A:I,8,0),3)</f>
        <v>3</v>
      </c>
      <c r="O1510" s="39">
        <f>IFERROR(VLOOKUP("APG",Controls!A:I,9,0),18)</f>
        <v>12</v>
      </c>
      <c r="P1510" s="40">
        <f>IFERROR(VLOOKUP("APG",Controls!A:J,5,0),0)</f>
        <v>95</v>
      </c>
      <c r="Q1510" s="39">
        <f>IFERROR(VLOOKUP("APG",Controls!A:J,6,0),3)</f>
        <v>4</v>
      </c>
      <c r="R1510" s="21" t="str">
        <f>IFERROR(VLOOKUP("APG",Controls!A:K,10,0),"")</f>
        <v>ST Pharm</v>
      </c>
      <c r="S1510" s="41">
        <f t="shared" si="164"/>
        <v>48183</v>
      </c>
      <c r="T1510" s="30">
        <f t="shared" si="165"/>
        <v>0</v>
      </c>
      <c r="AB1510">
        <f t="shared" si="167"/>
        <v>308.84000000000003</v>
      </c>
    </row>
    <row r="1511" spans="1:28" ht="13" customHeight="1" x14ac:dyDescent="0.35">
      <c r="A1511" s="153">
        <v>48335</v>
      </c>
      <c r="B1511" s="36" t="s">
        <v>57</v>
      </c>
      <c r="C1511" s="15" t="s">
        <v>52</v>
      </c>
      <c r="D1511" s="15" t="s">
        <v>48</v>
      </c>
      <c r="E1511" s="30">
        <f>H1510</f>
        <v>106.67199999999997</v>
      </c>
      <c r="F1511" s="37">
        <f>IFERROR('Production Inputs'!$CI$37*Dependencies!$D$17,0)</f>
        <v>0</v>
      </c>
      <c r="G1511" s="37">
        <f t="array" ref="G1511">IFERROR(SUMPRODUCT(('Production Inputs'!$A:$A="APG")*('Production Inputs'!$B:$B="TOTAL ACTIVE")*'Production Inputs'!$CI:$CI),0)</f>
        <v>0</v>
      </c>
      <c r="H1511" s="30">
        <f t="shared" si="161"/>
        <v>106.67199999999997</v>
      </c>
      <c r="I1511" s="30">
        <f ca="1">IFERROR(AVERAGEIF(OFFSET(F1511,0,0,MIN(Controls!$B$8,COUNTIF(B1511:B$1973,B1511)),1),"&gt;"&amp;0),0)</f>
        <v>0</v>
      </c>
      <c r="J1511" s="38">
        <f t="shared" ca="1" si="162"/>
        <v>999</v>
      </c>
      <c r="K1511" s="30">
        <f t="shared" ca="1" si="166"/>
        <v>0</v>
      </c>
      <c r="L1511" t="str">
        <f t="shared" ca="1" si="163"/>
        <v>Overstock</v>
      </c>
      <c r="M1511" s="39">
        <f>IFERROR(VLOOKUP("APG",Controls!A:I,7,0),6)</f>
        <v>4</v>
      </c>
      <c r="N1511" s="39">
        <f>IFERROR(VLOOKUP("APG",Controls!A:I,8,0),3)</f>
        <v>3</v>
      </c>
      <c r="O1511" s="39">
        <f>IFERROR(VLOOKUP("APG",Controls!A:I,9,0),18)</f>
        <v>12</v>
      </c>
      <c r="P1511" s="40">
        <f>IFERROR(VLOOKUP("APG",Controls!A:J,5,0),0)</f>
        <v>95</v>
      </c>
      <c r="Q1511" s="39">
        <f>IFERROR(VLOOKUP("APG",Controls!A:J,6,0),3)</f>
        <v>4</v>
      </c>
      <c r="R1511" s="21" t="str">
        <f>IFERROR(VLOOKUP("APG",Controls!A:K,10,0),"")</f>
        <v>ST Pharm</v>
      </c>
      <c r="S1511" s="41">
        <f t="shared" si="164"/>
        <v>48214</v>
      </c>
      <c r="T1511" s="30">
        <f t="shared" si="165"/>
        <v>0</v>
      </c>
      <c r="AB1511">
        <f t="shared" si="167"/>
        <v>308.84000000000003</v>
      </c>
    </row>
    <row r="1512" spans="1:28" ht="13" customHeight="1" x14ac:dyDescent="0.35">
      <c r="A1512" s="153">
        <v>48366</v>
      </c>
      <c r="B1512" s="36" t="s">
        <v>57</v>
      </c>
      <c r="C1512" s="15" t="s">
        <v>52</v>
      </c>
      <c r="D1512" s="15" t="s">
        <v>48</v>
      </c>
      <c r="E1512" s="30">
        <f>H1511</f>
        <v>106.67199999999997</v>
      </c>
      <c r="F1512" s="37">
        <f>IFERROR('Production Inputs'!$CJ$37*Dependencies!$D$17,0)</f>
        <v>0</v>
      </c>
      <c r="G1512" s="37">
        <f t="array" ref="G1512">IFERROR(SUMPRODUCT(('Production Inputs'!$A:$A="APG")*('Production Inputs'!$B:$B="TOTAL ACTIVE")*'Production Inputs'!$CJ:$CJ),0)</f>
        <v>0</v>
      </c>
      <c r="H1512" s="30">
        <f t="shared" si="161"/>
        <v>106.67199999999997</v>
      </c>
      <c r="I1512" s="30">
        <f ca="1">IFERROR(AVERAGEIF(OFFSET(F1512,0,0,MIN(Controls!$B$8,COUNTIF(B1512:B$1973,B1512)),1),"&gt;"&amp;0),0)</f>
        <v>0</v>
      </c>
      <c r="J1512" s="38">
        <f t="shared" ca="1" si="162"/>
        <v>999</v>
      </c>
      <c r="K1512" s="30">
        <f t="shared" ca="1" si="166"/>
        <v>0</v>
      </c>
      <c r="L1512" t="str">
        <f t="shared" ca="1" si="163"/>
        <v>Overstock</v>
      </c>
      <c r="M1512" s="39">
        <f>IFERROR(VLOOKUP("APG",Controls!A:I,7,0),6)</f>
        <v>4</v>
      </c>
      <c r="N1512" s="39">
        <f>IFERROR(VLOOKUP("APG",Controls!A:I,8,0),3)</f>
        <v>3</v>
      </c>
      <c r="O1512" s="39">
        <f>IFERROR(VLOOKUP("APG",Controls!A:I,9,0),18)</f>
        <v>12</v>
      </c>
      <c r="P1512" s="40">
        <f>IFERROR(VLOOKUP("APG",Controls!A:J,5,0),0)</f>
        <v>95</v>
      </c>
      <c r="Q1512" s="39">
        <f>IFERROR(VLOOKUP("APG",Controls!A:J,6,0),3)</f>
        <v>4</v>
      </c>
      <c r="R1512" s="21" t="str">
        <f>IFERROR(VLOOKUP("APG",Controls!A:K,10,0),"")</f>
        <v>ST Pharm</v>
      </c>
      <c r="S1512" s="41">
        <f t="shared" si="164"/>
        <v>48245</v>
      </c>
      <c r="T1512" s="30">
        <f t="shared" si="165"/>
        <v>0</v>
      </c>
      <c r="AB1512">
        <f t="shared" si="167"/>
        <v>308.84000000000003</v>
      </c>
    </row>
    <row r="1513" spans="1:28" ht="13" customHeight="1" x14ac:dyDescent="0.35">
      <c r="A1513" s="153">
        <v>48396</v>
      </c>
      <c r="B1513" s="36" t="s">
        <v>57</v>
      </c>
      <c r="C1513" s="15" t="s">
        <v>52</v>
      </c>
      <c r="D1513" s="15" t="s">
        <v>48</v>
      </c>
      <c r="E1513" s="30">
        <f>H1512</f>
        <v>106.67199999999997</v>
      </c>
      <c r="F1513" s="37">
        <f>IFERROR('Production Inputs'!$CK$37*Dependencies!$D$17,0)</f>
        <v>0</v>
      </c>
      <c r="G1513" s="37">
        <f t="array" ref="G1513">IFERROR(SUMPRODUCT(('Production Inputs'!$A:$A="APG")*('Production Inputs'!$B:$B="TOTAL ACTIVE")*'Production Inputs'!$CK:$CK),0)</f>
        <v>0</v>
      </c>
      <c r="H1513" s="30">
        <f t="shared" si="161"/>
        <v>106.67199999999997</v>
      </c>
      <c r="I1513" s="30">
        <f ca="1">IFERROR(AVERAGEIF(OFFSET(F1513,0,0,MIN(Controls!$B$8,COUNTIF(B1513:B$1973,B1513)),1),"&gt;"&amp;0),0)</f>
        <v>0</v>
      </c>
      <c r="J1513" s="38">
        <f t="shared" ca="1" si="162"/>
        <v>999</v>
      </c>
      <c r="K1513" s="30">
        <f t="shared" ca="1" si="166"/>
        <v>0</v>
      </c>
      <c r="L1513" t="str">
        <f t="shared" ca="1" si="163"/>
        <v>Overstock</v>
      </c>
      <c r="M1513" s="39">
        <f>IFERROR(VLOOKUP("APG",Controls!A:I,7,0),6)</f>
        <v>4</v>
      </c>
      <c r="N1513" s="39">
        <f>IFERROR(VLOOKUP("APG",Controls!A:I,8,0),3)</f>
        <v>3</v>
      </c>
      <c r="O1513" s="39">
        <f>IFERROR(VLOOKUP("APG",Controls!A:I,9,0),18)</f>
        <v>12</v>
      </c>
      <c r="P1513" s="40">
        <f>IFERROR(VLOOKUP("APG",Controls!A:J,5,0),0)</f>
        <v>95</v>
      </c>
      <c r="Q1513" s="39">
        <f>IFERROR(VLOOKUP("APG",Controls!A:J,6,0),3)</f>
        <v>4</v>
      </c>
      <c r="R1513" s="21" t="str">
        <f>IFERROR(VLOOKUP("APG",Controls!A:K,10,0),"")</f>
        <v>ST Pharm</v>
      </c>
      <c r="S1513" s="41">
        <f t="shared" si="164"/>
        <v>48274</v>
      </c>
      <c r="T1513" s="30">
        <f t="shared" si="165"/>
        <v>0</v>
      </c>
      <c r="AB1513">
        <f t="shared" si="167"/>
        <v>308.84000000000003</v>
      </c>
    </row>
    <row r="1514" spans="1:28" ht="13" customHeight="1" x14ac:dyDescent="0.35">
      <c r="A1514" s="153">
        <v>48427</v>
      </c>
      <c r="B1514" s="36" t="s">
        <v>57</v>
      </c>
      <c r="C1514" s="15" t="s">
        <v>52</v>
      </c>
      <c r="D1514" s="15" t="s">
        <v>48</v>
      </c>
      <c r="E1514" s="30">
        <f>H1513</f>
        <v>106.67199999999997</v>
      </c>
      <c r="F1514" s="37">
        <f>IFERROR('Production Inputs'!$CL$37*Dependencies!$D$17,0)</f>
        <v>0</v>
      </c>
      <c r="G1514" s="37">
        <f t="array" ref="G1514">IFERROR(SUMPRODUCT(('Production Inputs'!$A:$A="APG")*('Production Inputs'!$B:$B="TOTAL ACTIVE")*'Production Inputs'!$CL:$CL),0)</f>
        <v>0</v>
      </c>
      <c r="H1514" s="30">
        <f t="shared" si="161"/>
        <v>106.67199999999997</v>
      </c>
      <c r="I1514" s="30">
        <f ca="1">IFERROR(AVERAGEIF(OFFSET(F1514,0,0,MIN(Controls!$B$8,COUNTIF(B1514:B$1973,B1514)),1),"&gt;"&amp;0),0)</f>
        <v>0</v>
      </c>
      <c r="J1514" s="38">
        <f t="shared" ca="1" si="162"/>
        <v>999</v>
      </c>
      <c r="K1514" s="30">
        <f t="shared" ca="1" si="166"/>
        <v>0</v>
      </c>
      <c r="L1514" t="str">
        <f t="shared" ca="1" si="163"/>
        <v>Overstock</v>
      </c>
      <c r="M1514" s="39">
        <f>IFERROR(VLOOKUP("APG",Controls!A:I,7,0),6)</f>
        <v>4</v>
      </c>
      <c r="N1514" s="39">
        <f>IFERROR(VLOOKUP("APG",Controls!A:I,8,0),3)</f>
        <v>3</v>
      </c>
      <c r="O1514" s="39">
        <f>IFERROR(VLOOKUP("APG",Controls!A:I,9,0),18)</f>
        <v>12</v>
      </c>
      <c r="P1514" s="40">
        <f>IFERROR(VLOOKUP("APG",Controls!A:J,5,0),0)</f>
        <v>95</v>
      </c>
      <c r="Q1514" s="39">
        <f>IFERROR(VLOOKUP("APG",Controls!A:J,6,0),3)</f>
        <v>4</v>
      </c>
      <c r="R1514" s="21" t="str">
        <f>IFERROR(VLOOKUP("APG",Controls!A:K,10,0),"")</f>
        <v>ST Pharm</v>
      </c>
      <c r="S1514" s="41">
        <f t="shared" si="164"/>
        <v>48305</v>
      </c>
      <c r="T1514" s="30">
        <f t="shared" si="165"/>
        <v>0</v>
      </c>
      <c r="AB1514">
        <f t="shared" si="167"/>
        <v>308.84000000000003</v>
      </c>
    </row>
    <row r="1515" spans="1:28" ht="13" customHeight="1" x14ac:dyDescent="0.35">
      <c r="A1515" s="153">
        <v>48458</v>
      </c>
      <c r="B1515" s="36" t="s">
        <v>57</v>
      </c>
      <c r="C1515" s="15" t="s">
        <v>52</v>
      </c>
      <c r="D1515" s="15" t="s">
        <v>48</v>
      </c>
      <c r="E1515" s="30">
        <f>H1514</f>
        <v>106.67199999999997</v>
      </c>
      <c r="F1515" s="37">
        <f>IFERROR('Production Inputs'!$CM$37*Dependencies!$D$17,0)</f>
        <v>0</v>
      </c>
      <c r="G1515" s="37">
        <f t="array" ref="G1515">IFERROR(SUMPRODUCT(('Production Inputs'!$A:$A="APG")*('Production Inputs'!$B:$B="TOTAL ACTIVE")*'Production Inputs'!$CM:$CM),0)</f>
        <v>0</v>
      </c>
      <c r="H1515" s="30">
        <f t="shared" si="161"/>
        <v>106.67199999999997</v>
      </c>
      <c r="I1515" s="30">
        <f ca="1">IFERROR(AVERAGEIF(OFFSET(F1515,0,0,MIN(Controls!$B$8,COUNTIF(B1515:B$1973,B1515)),1),"&gt;"&amp;0),0)</f>
        <v>0</v>
      </c>
      <c r="J1515" s="38">
        <f t="shared" ca="1" si="162"/>
        <v>999</v>
      </c>
      <c r="K1515" s="30">
        <f t="shared" ca="1" si="166"/>
        <v>0</v>
      </c>
      <c r="L1515" t="str">
        <f t="shared" ca="1" si="163"/>
        <v>Overstock</v>
      </c>
      <c r="M1515" s="39">
        <f>IFERROR(VLOOKUP("APG",Controls!A:I,7,0),6)</f>
        <v>4</v>
      </c>
      <c r="N1515" s="39">
        <f>IFERROR(VLOOKUP("APG",Controls!A:I,8,0),3)</f>
        <v>3</v>
      </c>
      <c r="O1515" s="39">
        <f>IFERROR(VLOOKUP("APG",Controls!A:I,9,0),18)</f>
        <v>12</v>
      </c>
      <c r="P1515" s="40">
        <f>IFERROR(VLOOKUP("APG",Controls!A:J,5,0),0)</f>
        <v>95</v>
      </c>
      <c r="Q1515" s="39">
        <f>IFERROR(VLOOKUP("APG",Controls!A:J,6,0),3)</f>
        <v>4</v>
      </c>
      <c r="R1515" s="21" t="str">
        <f>IFERROR(VLOOKUP("APG",Controls!A:K,10,0),"")</f>
        <v>ST Pharm</v>
      </c>
      <c r="S1515" s="41">
        <f t="shared" si="164"/>
        <v>48335</v>
      </c>
      <c r="T1515" s="30">
        <f t="shared" si="165"/>
        <v>0</v>
      </c>
      <c r="AB1515">
        <f t="shared" si="167"/>
        <v>308.84000000000003</v>
      </c>
    </row>
    <row r="1516" spans="1:28" ht="13" customHeight="1" x14ac:dyDescent="0.35">
      <c r="A1516" s="153">
        <v>48488</v>
      </c>
      <c r="B1516" s="36" t="s">
        <v>57</v>
      </c>
      <c r="C1516" s="15" t="s">
        <v>52</v>
      </c>
      <c r="D1516" s="15" t="s">
        <v>48</v>
      </c>
      <c r="E1516" s="30">
        <f>H1515</f>
        <v>106.67199999999997</v>
      </c>
      <c r="F1516" s="37">
        <f>IFERROR('Production Inputs'!$CN$37*Dependencies!$D$17,0)</f>
        <v>0</v>
      </c>
      <c r="G1516" s="37">
        <f t="array" ref="G1516">IFERROR(SUMPRODUCT(('Production Inputs'!$A:$A="APG")*('Production Inputs'!$B:$B="TOTAL ACTIVE")*'Production Inputs'!$CN:$CN),0)</f>
        <v>0</v>
      </c>
      <c r="H1516" s="30">
        <f t="shared" si="161"/>
        <v>106.67199999999997</v>
      </c>
      <c r="I1516" s="30">
        <f ca="1">IFERROR(AVERAGEIF(OFFSET(F1516,0,0,MIN(Controls!$B$8,COUNTIF(B1516:B$1973,B1516)),1),"&gt;"&amp;0),0)</f>
        <v>0</v>
      </c>
      <c r="J1516" s="38">
        <f t="shared" ca="1" si="162"/>
        <v>999</v>
      </c>
      <c r="K1516" s="30">
        <f t="shared" ca="1" si="166"/>
        <v>0</v>
      </c>
      <c r="L1516" t="str">
        <f t="shared" ca="1" si="163"/>
        <v>Overstock</v>
      </c>
      <c r="M1516" s="39">
        <f>IFERROR(VLOOKUP("APG",Controls!A:I,7,0),6)</f>
        <v>4</v>
      </c>
      <c r="N1516" s="39">
        <f>IFERROR(VLOOKUP("APG",Controls!A:I,8,0),3)</f>
        <v>3</v>
      </c>
      <c r="O1516" s="39">
        <f>IFERROR(VLOOKUP("APG",Controls!A:I,9,0),18)</f>
        <v>12</v>
      </c>
      <c r="P1516" s="40">
        <f>IFERROR(VLOOKUP("APG",Controls!A:J,5,0),0)</f>
        <v>95</v>
      </c>
      <c r="Q1516" s="39">
        <f>IFERROR(VLOOKUP("APG",Controls!A:J,6,0),3)</f>
        <v>4</v>
      </c>
      <c r="R1516" s="21" t="str">
        <f>IFERROR(VLOOKUP("APG",Controls!A:K,10,0),"")</f>
        <v>ST Pharm</v>
      </c>
      <c r="S1516" s="41">
        <f t="shared" si="164"/>
        <v>48366</v>
      </c>
      <c r="T1516" s="30">
        <f t="shared" si="165"/>
        <v>0</v>
      </c>
      <c r="AB1516">
        <f t="shared" si="167"/>
        <v>308.84000000000003</v>
      </c>
    </row>
    <row r="1517" spans="1:28" ht="13" customHeight="1" x14ac:dyDescent="0.35">
      <c r="A1517" s="153">
        <v>48519</v>
      </c>
      <c r="B1517" s="36" t="s">
        <v>57</v>
      </c>
      <c r="C1517" s="15" t="s">
        <v>52</v>
      </c>
      <c r="D1517" s="15" t="s">
        <v>48</v>
      </c>
      <c r="E1517" s="30">
        <f>H1516</f>
        <v>106.67199999999997</v>
      </c>
      <c r="F1517" s="37">
        <f>IFERROR('Production Inputs'!$CO$37*Dependencies!$D$17,0)</f>
        <v>0</v>
      </c>
      <c r="G1517" s="37">
        <f t="array" ref="G1517">IFERROR(SUMPRODUCT(('Production Inputs'!$A:$A="APG")*('Production Inputs'!$B:$B="TOTAL ACTIVE")*'Production Inputs'!$CO:$CO),0)</f>
        <v>0</v>
      </c>
      <c r="H1517" s="30">
        <f t="shared" si="161"/>
        <v>106.67199999999997</v>
      </c>
      <c r="I1517" s="30">
        <f ca="1">IFERROR(AVERAGEIF(OFFSET(F1517,0,0,MIN(Controls!$B$8,COUNTIF(B1517:B$1973,B1517)),1),"&gt;"&amp;0),0)</f>
        <v>0</v>
      </c>
      <c r="J1517" s="38">
        <f t="shared" ca="1" si="162"/>
        <v>999</v>
      </c>
      <c r="K1517" s="30">
        <f t="shared" ca="1" si="166"/>
        <v>0</v>
      </c>
      <c r="L1517" t="str">
        <f t="shared" ca="1" si="163"/>
        <v>Overstock</v>
      </c>
      <c r="M1517" s="39">
        <f>IFERROR(VLOOKUP("APG",Controls!A:I,7,0),6)</f>
        <v>4</v>
      </c>
      <c r="N1517" s="39">
        <f>IFERROR(VLOOKUP("APG",Controls!A:I,8,0),3)</f>
        <v>3</v>
      </c>
      <c r="O1517" s="39">
        <f>IFERROR(VLOOKUP("APG",Controls!A:I,9,0),18)</f>
        <v>12</v>
      </c>
      <c r="P1517" s="40">
        <f>IFERROR(VLOOKUP("APG",Controls!A:J,5,0),0)</f>
        <v>95</v>
      </c>
      <c r="Q1517" s="39">
        <f>IFERROR(VLOOKUP("APG",Controls!A:J,6,0),3)</f>
        <v>4</v>
      </c>
      <c r="R1517" s="21" t="str">
        <f>IFERROR(VLOOKUP("APG",Controls!A:K,10,0),"")</f>
        <v>ST Pharm</v>
      </c>
      <c r="S1517" s="41">
        <f t="shared" si="164"/>
        <v>48396</v>
      </c>
      <c r="T1517" s="30">
        <f t="shared" si="165"/>
        <v>0</v>
      </c>
      <c r="AB1517">
        <f t="shared" si="167"/>
        <v>308.84000000000003</v>
      </c>
    </row>
    <row r="1518" spans="1:28" ht="13" customHeight="1" x14ac:dyDescent="0.35">
      <c r="A1518" s="153">
        <v>48549</v>
      </c>
      <c r="B1518" s="36" t="s">
        <v>57</v>
      </c>
      <c r="C1518" s="15" t="s">
        <v>52</v>
      </c>
      <c r="D1518" s="15" t="s">
        <v>48</v>
      </c>
      <c r="E1518" s="30">
        <f>H1517</f>
        <v>106.67199999999997</v>
      </c>
      <c r="F1518" s="37">
        <f>IFERROR('Production Inputs'!$CP$37*Dependencies!$D$17,0)</f>
        <v>0</v>
      </c>
      <c r="G1518" s="37">
        <f t="array" ref="G1518">IFERROR(SUMPRODUCT(('Production Inputs'!$A:$A="APG")*('Production Inputs'!$B:$B="TOTAL ACTIVE")*'Production Inputs'!$CP:$CP),0)</f>
        <v>0</v>
      </c>
      <c r="H1518" s="30">
        <f t="shared" si="161"/>
        <v>106.67199999999997</v>
      </c>
      <c r="I1518" s="30">
        <f ca="1">IFERROR(AVERAGEIF(OFFSET(F1518,0,0,MIN(Controls!$B$8,COUNTIF(B1518:B$1973,B1518)),1),"&gt;"&amp;0),0)</f>
        <v>0</v>
      </c>
      <c r="J1518" s="38">
        <f t="shared" ca="1" si="162"/>
        <v>999</v>
      </c>
      <c r="K1518" s="30">
        <f t="shared" ca="1" si="166"/>
        <v>0</v>
      </c>
      <c r="L1518" t="str">
        <f t="shared" ca="1" si="163"/>
        <v>Overstock</v>
      </c>
      <c r="M1518" s="39">
        <f>IFERROR(VLOOKUP("APG",Controls!A:I,7,0),6)</f>
        <v>4</v>
      </c>
      <c r="N1518" s="39">
        <f>IFERROR(VLOOKUP("APG",Controls!A:I,8,0),3)</f>
        <v>3</v>
      </c>
      <c r="O1518" s="39">
        <f>IFERROR(VLOOKUP("APG",Controls!A:I,9,0),18)</f>
        <v>12</v>
      </c>
      <c r="P1518" s="40">
        <f>IFERROR(VLOOKUP("APG",Controls!A:J,5,0),0)</f>
        <v>95</v>
      </c>
      <c r="Q1518" s="39">
        <f>IFERROR(VLOOKUP("APG",Controls!A:J,6,0),3)</f>
        <v>4</v>
      </c>
      <c r="R1518" s="21" t="str">
        <f>IFERROR(VLOOKUP("APG",Controls!A:K,10,0),"")</f>
        <v>ST Pharm</v>
      </c>
      <c r="S1518" s="41">
        <f t="shared" si="164"/>
        <v>48427</v>
      </c>
      <c r="T1518" s="30">
        <f t="shared" si="165"/>
        <v>0</v>
      </c>
      <c r="AB1518">
        <f t="shared" si="167"/>
        <v>308.84000000000003</v>
      </c>
    </row>
    <row r="1519" spans="1:28" ht="13" customHeight="1" x14ac:dyDescent="0.35">
      <c r="A1519" s="153">
        <v>48580</v>
      </c>
      <c r="B1519" s="36" t="s">
        <v>57</v>
      </c>
      <c r="C1519" s="15" t="s">
        <v>52</v>
      </c>
      <c r="D1519" s="15" t="s">
        <v>48</v>
      </c>
      <c r="E1519" s="30">
        <f>H1518</f>
        <v>106.67199999999997</v>
      </c>
      <c r="F1519" s="37">
        <f>IFERROR('Production Inputs'!$CQ$37*Dependencies!$D$17,0)</f>
        <v>0</v>
      </c>
      <c r="G1519" s="37">
        <f t="array" ref="G1519">IFERROR(SUMPRODUCT(('Production Inputs'!$A:$A="APG")*('Production Inputs'!$B:$B="TOTAL ACTIVE")*'Production Inputs'!$CQ:$CQ),0)</f>
        <v>0</v>
      </c>
      <c r="H1519" s="30">
        <f t="shared" si="161"/>
        <v>106.67199999999997</v>
      </c>
      <c r="I1519" s="30">
        <f ca="1">IFERROR(AVERAGEIF(OFFSET(F1519,0,0,MIN(Controls!$B$8,COUNTIF(B1519:B$1973,B1519)),1),"&gt;"&amp;0),0)</f>
        <v>0</v>
      </c>
      <c r="J1519" s="38">
        <f t="shared" ca="1" si="162"/>
        <v>999</v>
      </c>
      <c r="K1519" s="30">
        <f t="shared" ca="1" si="166"/>
        <v>0</v>
      </c>
      <c r="L1519" t="str">
        <f t="shared" ca="1" si="163"/>
        <v>Overstock</v>
      </c>
      <c r="M1519" s="39">
        <f>IFERROR(VLOOKUP("APG",Controls!A:I,7,0),6)</f>
        <v>4</v>
      </c>
      <c r="N1519" s="39">
        <f>IFERROR(VLOOKUP("APG",Controls!A:I,8,0),3)</f>
        <v>3</v>
      </c>
      <c r="O1519" s="39">
        <f>IFERROR(VLOOKUP("APG",Controls!A:I,9,0),18)</f>
        <v>12</v>
      </c>
      <c r="P1519" s="40">
        <f>IFERROR(VLOOKUP("APG",Controls!A:J,5,0),0)</f>
        <v>95</v>
      </c>
      <c r="Q1519" s="39">
        <f>IFERROR(VLOOKUP("APG",Controls!A:J,6,0),3)</f>
        <v>4</v>
      </c>
      <c r="R1519" s="21" t="str">
        <f>IFERROR(VLOOKUP("APG",Controls!A:K,10,0),"")</f>
        <v>ST Pharm</v>
      </c>
      <c r="S1519" s="41">
        <f t="shared" si="164"/>
        <v>48458</v>
      </c>
      <c r="T1519" s="30">
        <f t="shared" si="165"/>
        <v>0</v>
      </c>
      <c r="AB1519">
        <f t="shared" si="167"/>
        <v>308.84000000000003</v>
      </c>
    </row>
    <row r="1520" spans="1:28" ht="13" customHeight="1" x14ac:dyDescent="0.35">
      <c r="A1520" s="153">
        <v>48611</v>
      </c>
      <c r="B1520" s="36" t="s">
        <v>57</v>
      </c>
      <c r="C1520" s="15" t="s">
        <v>52</v>
      </c>
      <c r="D1520" s="15" t="s">
        <v>48</v>
      </c>
      <c r="E1520" s="30">
        <f>H1519</f>
        <v>106.67199999999997</v>
      </c>
      <c r="F1520" s="37">
        <f>IFERROR('Production Inputs'!$CR$37*Dependencies!$D$17,0)</f>
        <v>0</v>
      </c>
      <c r="G1520" s="37">
        <f t="array" ref="G1520">IFERROR(SUMPRODUCT(('Production Inputs'!$A:$A="APG")*('Production Inputs'!$B:$B="TOTAL ACTIVE")*'Production Inputs'!$CR:$CR),0)</f>
        <v>0</v>
      </c>
      <c r="H1520" s="30">
        <f t="shared" si="161"/>
        <v>106.67199999999997</v>
      </c>
      <c r="I1520" s="30">
        <f ca="1">IFERROR(AVERAGEIF(OFFSET(F1520,0,0,MIN(Controls!$B$8,COUNTIF(B1520:B$1973,B1520)),1),"&gt;"&amp;0),0)</f>
        <v>0</v>
      </c>
      <c r="J1520" s="38">
        <f t="shared" ca="1" si="162"/>
        <v>999</v>
      </c>
      <c r="K1520" s="30">
        <f t="shared" ca="1" si="166"/>
        <v>0</v>
      </c>
      <c r="L1520" t="str">
        <f t="shared" ca="1" si="163"/>
        <v>Overstock</v>
      </c>
      <c r="M1520" s="39">
        <f>IFERROR(VLOOKUP("APG",Controls!A:I,7,0),6)</f>
        <v>4</v>
      </c>
      <c r="N1520" s="39">
        <f>IFERROR(VLOOKUP("APG",Controls!A:I,8,0),3)</f>
        <v>3</v>
      </c>
      <c r="O1520" s="39">
        <f>IFERROR(VLOOKUP("APG",Controls!A:I,9,0),18)</f>
        <v>12</v>
      </c>
      <c r="P1520" s="40">
        <f>IFERROR(VLOOKUP("APG",Controls!A:J,5,0),0)</f>
        <v>95</v>
      </c>
      <c r="Q1520" s="39">
        <f>IFERROR(VLOOKUP("APG",Controls!A:J,6,0),3)</f>
        <v>4</v>
      </c>
      <c r="R1520" s="21" t="str">
        <f>IFERROR(VLOOKUP("APG",Controls!A:K,10,0),"")</f>
        <v>ST Pharm</v>
      </c>
      <c r="S1520" s="41">
        <f t="shared" si="164"/>
        <v>48488</v>
      </c>
      <c r="T1520" s="30">
        <f t="shared" si="165"/>
        <v>0</v>
      </c>
      <c r="AB1520">
        <f t="shared" si="167"/>
        <v>308.84000000000003</v>
      </c>
    </row>
    <row r="1521" spans="1:28" ht="13" customHeight="1" x14ac:dyDescent="0.35">
      <c r="A1521" s="153">
        <v>48639</v>
      </c>
      <c r="B1521" s="36" t="s">
        <v>57</v>
      </c>
      <c r="C1521" s="15" t="s">
        <v>52</v>
      </c>
      <c r="D1521" s="15" t="s">
        <v>48</v>
      </c>
      <c r="E1521" s="30">
        <f>H1520</f>
        <v>106.67199999999997</v>
      </c>
      <c r="F1521" s="37">
        <f>IFERROR('Production Inputs'!$CS$37*Dependencies!$D$17,0)</f>
        <v>0</v>
      </c>
      <c r="G1521" s="37">
        <f t="array" ref="G1521">IFERROR(SUMPRODUCT(('Production Inputs'!$A:$A="APG")*('Production Inputs'!$B:$B="TOTAL ACTIVE")*'Production Inputs'!$CS:$CS),0)</f>
        <v>0</v>
      </c>
      <c r="H1521" s="30">
        <f t="shared" si="161"/>
        <v>106.67199999999997</v>
      </c>
      <c r="I1521" s="30">
        <f ca="1">IFERROR(AVERAGEIF(OFFSET(F1521,0,0,MIN(Controls!$B$8,COUNTIF(B1521:B$1973,B1521)),1),"&gt;"&amp;0),0)</f>
        <v>0</v>
      </c>
      <c r="J1521" s="38">
        <f t="shared" ca="1" si="162"/>
        <v>999</v>
      </c>
      <c r="K1521" s="30">
        <f t="shared" ca="1" si="166"/>
        <v>0</v>
      </c>
      <c r="L1521" t="str">
        <f t="shared" ca="1" si="163"/>
        <v>Overstock</v>
      </c>
      <c r="M1521" s="39">
        <f>IFERROR(VLOOKUP("APG",Controls!A:I,7,0),6)</f>
        <v>4</v>
      </c>
      <c r="N1521" s="39">
        <f>IFERROR(VLOOKUP("APG",Controls!A:I,8,0),3)</f>
        <v>3</v>
      </c>
      <c r="O1521" s="39">
        <f>IFERROR(VLOOKUP("APG",Controls!A:I,9,0),18)</f>
        <v>12</v>
      </c>
      <c r="P1521" s="40">
        <f>IFERROR(VLOOKUP("APG",Controls!A:J,5,0),0)</f>
        <v>95</v>
      </c>
      <c r="Q1521" s="39">
        <f>IFERROR(VLOOKUP("APG",Controls!A:J,6,0),3)</f>
        <v>4</v>
      </c>
      <c r="R1521" s="21" t="str">
        <f>IFERROR(VLOOKUP("APG",Controls!A:K,10,0),"")</f>
        <v>ST Pharm</v>
      </c>
      <c r="S1521" s="41">
        <f t="shared" si="164"/>
        <v>48519</v>
      </c>
      <c r="T1521" s="30">
        <f t="shared" si="165"/>
        <v>0</v>
      </c>
      <c r="AB1521">
        <f t="shared" si="167"/>
        <v>308.84000000000003</v>
      </c>
    </row>
    <row r="1522" spans="1:28" ht="13" customHeight="1" x14ac:dyDescent="0.35">
      <c r="A1522" s="153">
        <v>48670</v>
      </c>
      <c r="B1522" s="36" t="s">
        <v>57</v>
      </c>
      <c r="C1522" s="15" t="s">
        <v>52</v>
      </c>
      <c r="D1522" s="15" t="s">
        <v>48</v>
      </c>
      <c r="E1522" s="30">
        <f>H1521</f>
        <v>106.67199999999997</v>
      </c>
      <c r="F1522" s="37">
        <f>IFERROR('Production Inputs'!$CT$37*Dependencies!$D$17,0)</f>
        <v>0</v>
      </c>
      <c r="G1522" s="37">
        <f t="array" ref="G1522">IFERROR(SUMPRODUCT(('Production Inputs'!$A:$A="APG")*('Production Inputs'!$B:$B="TOTAL ACTIVE")*'Production Inputs'!$CT:$CT),0)</f>
        <v>0</v>
      </c>
      <c r="H1522" s="30">
        <f t="shared" si="161"/>
        <v>106.67199999999997</v>
      </c>
      <c r="I1522" s="30">
        <f ca="1">IFERROR(AVERAGEIF(OFFSET(F1522,0,0,MIN(Controls!$B$8,COUNTIF(B1522:B$1973,B1522)),1),"&gt;"&amp;0),0)</f>
        <v>0</v>
      </c>
      <c r="J1522" s="38">
        <f t="shared" ca="1" si="162"/>
        <v>999</v>
      </c>
      <c r="K1522" s="30">
        <f t="shared" ca="1" si="166"/>
        <v>0</v>
      </c>
      <c r="L1522" t="str">
        <f t="shared" ca="1" si="163"/>
        <v>Overstock</v>
      </c>
      <c r="M1522" s="39">
        <f>IFERROR(VLOOKUP("APG",Controls!A:I,7,0),6)</f>
        <v>4</v>
      </c>
      <c r="N1522" s="39">
        <f>IFERROR(VLOOKUP("APG",Controls!A:I,8,0),3)</f>
        <v>3</v>
      </c>
      <c r="O1522" s="39">
        <f>IFERROR(VLOOKUP("APG",Controls!A:I,9,0),18)</f>
        <v>12</v>
      </c>
      <c r="P1522" s="40">
        <f>IFERROR(VLOOKUP("APG",Controls!A:J,5,0),0)</f>
        <v>95</v>
      </c>
      <c r="Q1522" s="39">
        <f>IFERROR(VLOOKUP("APG",Controls!A:J,6,0),3)</f>
        <v>4</v>
      </c>
      <c r="R1522" s="21" t="str">
        <f>IFERROR(VLOOKUP("APG",Controls!A:K,10,0),"")</f>
        <v>ST Pharm</v>
      </c>
      <c r="S1522" s="41">
        <f t="shared" si="164"/>
        <v>48549</v>
      </c>
      <c r="T1522" s="30">
        <f t="shared" si="165"/>
        <v>0</v>
      </c>
      <c r="AB1522">
        <f t="shared" si="167"/>
        <v>308.84000000000003</v>
      </c>
    </row>
    <row r="1523" spans="1:28" ht="13" customHeight="1" x14ac:dyDescent="0.35">
      <c r="A1523" s="153">
        <v>48700</v>
      </c>
      <c r="B1523" s="36" t="s">
        <v>57</v>
      </c>
      <c r="C1523" s="15" t="s">
        <v>52</v>
      </c>
      <c r="D1523" s="15" t="s">
        <v>48</v>
      </c>
      <c r="E1523" s="30">
        <f>H1522</f>
        <v>106.67199999999997</v>
      </c>
      <c r="F1523" s="37">
        <f>IFERROR('Production Inputs'!$CU$37*Dependencies!$D$17,0)</f>
        <v>0</v>
      </c>
      <c r="G1523" s="37">
        <f t="array" ref="G1523">IFERROR(SUMPRODUCT(('Production Inputs'!$A:$A="APG")*('Production Inputs'!$B:$B="TOTAL ACTIVE")*'Production Inputs'!$CU:$CU),0)</f>
        <v>0</v>
      </c>
      <c r="H1523" s="30">
        <f t="shared" si="161"/>
        <v>106.67199999999997</v>
      </c>
      <c r="I1523" s="30">
        <f ca="1">IFERROR(AVERAGEIF(OFFSET(F1523,0,0,MIN(Controls!$B$8,COUNTIF(B1523:B$1973,B1523)),1),"&gt;"&amp;0),0)</f>
        <v>0</v>
      </c>
      <c r="J1523" s="38">
        <f t="shared" ca="1" si="162"/>
        <v>999</v>
      </c>
      <c r="K1523" s="30">
        <f t="shared" ca="1" si="166"/>
        <v>0</v>
      </c>
      <c r="L1523" t="str">
        <f t="shared" ca="1" si="163"/>
        <v>Overstock</v>
      </c>
      <c r="M1523" s="39">
        <f>IFERROR(VLOOKUP("APG",Controls!A:I,7,0),6)</f>
        <v>4</v>
      </c>
      <c r="N1523" s="39">
        <f>IFERROR(VLOOKUP("APG",Controls!A:I,8,0),3)</f>
        <v>3</v>
      </c>
      <c r="O1523" s="39">
        <f>IFERROR(VLOOKUP("APG",Controls!A:I,9,0),18)</f>
        <v>12</v>
      </c>
      <c r="P1523" s="40">
        <f>IFERROR(VLOOKUP("APG",Controls!A:J,5,0),0)</f>
        <v>95</v>
      </c>
      <c r="Q1523" s="39">
        <f>IFERROR(VLOOKUP("APG",Controls!A:J,6,0),3)</f>
        <v>4</v>
      </c>
      <c r="R1523" s="21" t="str">
        <f>IFERROR(VLOOKUP("APG",Controls!A:K,10,0),"")</f>
        <v>ST Pharm</v>
      </c>
      <c r="S1523" s="41">
        <f t="shared" si="164"/>
        <v>48580</v>
      </c>
      <c r="T1523" s="30">
        <f t="shared" si="165"/>
        <v>0</v>
      </c>
      <c r="AB1523">
        <f t="shared" si="167"/>
        <v>308.84000000000003</v>
      </c>
    </row>
    <row r="1524" spans="1:28" ht="13" customHeight="1" x14ac:dyDescent="0.35">
      <c r="A1524" s="153">
        <v>48731</v>
      </c>
      <c r="B1524" s="36" t="s">
        <v>57</v>
      </c>
      <c r="C1524" s="15" t="s">
        <v>52</v>
      </c>
      <c r="D1524" s="15" t="s">
        <v>48</v>
      </c>
      <c r="E1524" s="30">
        <f>H1523</f>
        <v>106.67199999999997</v>
      </c>
      <c r="F1524" s="37">
        <f>IFERROR('Production Inputs'!$CV$37*Dependencies!$D$17,0)</f>
        <v>0</v>
      </c>
      <c r="G1524" s="37">
        <f t="array" ref="G1524">IFERROR(SUMPRODUCT(('Production Inputs'!$A:$A="APG")*('Production Inputs'!$B:$B="TOTAL ACTIVE")*'Production Inputs'!$CV:$CV),0)</f>
        <v>0</v>
      </c>
      <c r="H1524" s="30">
        <f t="shared" si="161"/>
        <v>106.67199999999997</v>
      </c>
      <c r="I1524" s="30">
        <f ca="1">IFERROR(AVERAGEIF(OFFSET(F1524,0,0,MIN(Controls!$B$8,COUNTIF(B1524:B$1973,B1524)),1),"&gt;"&amp;0),0)</f>
        <v>0</v>
      </c>
      <c r="J1524" s="38">
        <f t="shared" ca="1" si="162"/>
        <v>999</v>
      </c>
      <c r="K1524" s="30">
        <f t="shared" ca="1" si="166"/>
        <v>0</v>
      </c>
      <c r="L1524" t="str">
        <f t="shared" ca="1" si="163"/>
        <v>Overstock</v>
      </c>
      <c r="M1524" s="39">
        <f>IFERROR(VLOOKUP("APG",Controls!A:I,7,0),6)</f>
        <v>4</v>
      </c>
      <c r="N1524" s="39">
        <f>IFERROR(VLOOKUP("APG",Controls!A:I,8,0),3)</f>
        <v>3</v>
      </c>
      <c r="O1524" s="39">
        <f>IFERROR(VLOOKUP("APG",Controls!A:I,9,0),18)</f>
        <v>12</v>
      </c>
      <c r="P1524" s="40">
        <f>IFERROR(VLOOKUP("APG",Controls!A:J,5,0),0)</f>
        <v>95</v>
      </c>
      <c r="Q1524" s="39">
        <f>IFERROR(VLOOKUP("APG",Controls!A:J,6,0),3)</f>
        <v>4</v>
      </c>
      <c r="R1524" s="21" t="str">
        <f>IFERROR(VLOOKUP("APG",Controls!A:K,10,0),"")</f>
        <v>ST Pharm</v>
      </c>
      <c r="S1524" s="41">
        <f t="shared" si="164"/>
        <v>48611</v>
      </c>
      <c r="T1524" s="30">
        <f t="shared" si="165"/>
        <v>0</v>
      </c>
      <c r="AB1524">
        <f t="shared" si="167"/>
        <v>308.84000000000003</v>
      </c>
    </row>
    <row r="1525" spans="1:28" ht="13" customHeight="1" x14ac:dyDescent="0.35">
      <c r="A1525" s="153">
        <v>48761</v>
      </c>
      <c r="B1525" s="36" t="s">
        <v>57</v>
      </c>
      <c r="C1525" s="15" t="s">
        <v>52</v>
      </c>
      <c r="D1525" s="15" t="s">
        <v>48</v>
      </c>
      <c r="E1525" s="30">
        <f>H1524</f>
        <v>106.67199999999997</v>
      </c>
      <c r="F1525" s="37">
        <f>IFERROR('Production Inputs'!$CW$37*Dependencies!$D$17,0)</f>
        <v>0</v>
      </c>
      <c r="G1525" s="37">
        <f t="array" ref="G1525">IFERROR(SUMPRODUCT(('Production Inputs'!$A:$A="APG")*('Production Inputs'!$B:$B="TOTAL ACTIVE")*'Production Inputs'!$CW:$CW),0)</f>
        <v>0</v>
      </c>
      <c r="H1525" s="30">
        <f t="shared" si="161"/>
        <v>106.67199999999997</v>
      </c>
      <c r="I1525" s="30">
        <f ca="1">IFERROR(AVERAGEIF(OFFSET(F1525,0,0,MIN(Controls!$B$8,COUNTIF(B1525:B$1973,B1525)),1),"&gt;"&amp;0),0)</f>
        <v>0</v>
      </c>
      <c r="J1525" s="38">
        <f t="shared" ca="1" si="162"/>
        <v>999</v>
      </c>
      <c r="K1525" s="30">
        <f t="shared" ca="1" si="166"/>
        <v>0</v>
      </c>
      <c r="L1525" t="str">
        <f t="shared" ca="1" si="163"/>
        <v>Overstock</v>
      </c>
      <c r="M1525" s="39">
        <f>IFERROR(VLOOKUP("APG",Controls!A:I,7,0),6)</f>
        <v>4</v>
      </c>
      <c r="N1525" s="39">
        <f>IFERROR(VLOOKUP("APG",Controls!A:I,8,0),3)</f>
        <v>3</v>
      </c>
      <c r="O1525" s="39">
        <f>IFERROR(VLOOKUP("APG",Controls!A:I,9,0),18)</f>
        <v>12</v>
      </c>
      <c r="P1525" s="40">
        <f>IFERROR(VLOOKUP("APG",Controls!A:J,5,0),0)</f>
        <v>95</v>
      </c>
      <c r="Q1525" s="39">
        <f>IFERROR(VLOOKUP("APG",Controls!A:J,6,0),3)</f>
        <v>4</v>
      </c>
      <c r="R1525" s="21" t="str">
        <f>IFERROR(VLOOKUP("APG",Controls!A:K,10,0),"")</f>
        <v>ST Pharm</v>
      </c>
      <c r="S1525" s="41">
        <f t="shared" si="164"/>
        <v>48639</v>
      </c>
      <c r="T1525" s="30">
        <f t="shared" si="165"/>
        <v>0</v>
      </c>
      <c r="AB1525">
        <f t="shared" si="167"/>
        <v>308.84000000000003</v>
      </c>
    </row>
    <row r="1526" spans="1:28" ht="13" customHeight="1" x14ac:dyDescent="0.35">
      <c r="A1526" s="153">
        <v>48792</v>
      </c>
      <c r="B1526" s="36" t="s">
        <v>57</v>
      </c>
      <c r="C1526" s="15" t="s">
        <v>52</v>
      </c>
      <c r="D1526" s="15" t="s">
        <v>48</v>
      </c>
      <c r="E1526" s="30">
        <f>H1525</f>
        <v>106.67199999999997</v>
      </c>
      <c r="F1526" s="37">
        <f>IFERROR('Production Inputs'!$CX$37*Dependencies!$D$17,0)</f>
        <v>0</v>
      </c>
      <c r="G1526" s="37">
        <f t="array" ref="G1526">IFERROR(SUMPRODUCT(('Production Inputs'!$A:$A="APG")*('Production Inputs'!$B:$B="TOTAL ACTIVE")*'Production Inputs'!$CX:$CX),0)</f>
        <v>0</v>
      </c>
      <c r="H1526" s="30">
        <f t="shared" si="161"/>
        <v>106.67199999999997</v>
      </c>
      <c r="I1526" s="30">
        <f ca="1">IFERROR(AVERAGEIF(OFFSET(F1526,0,0,MIN(Controls!$B$8,COUNTIF(B1526:B$1973,B1526)),1),"&gt;"&amp;0),0)</f>
        <v>0</v>
      </c>
      <c r="J1526" s="38">
        <f t="shared" ca="1" si="162"/>
        <v>999</v>
      </c>
      <c r="K1526" s="30">
        <f t="shared" ca="1" si="166"/>
        <v>0</v>
      </c>
      <c r="L1526" t="str">
        <f t="shared" ca="1" si="163"/>
        <v>Overstock</v>
      </c>
      <c r="M1526" s="39">
        <f>IFERROR(VLOOKUP("APG",Controls!A:I,7,0),6)</f>
        <v>4</v>
      </c>
      <c r="N1526" s="39">
        <f>IFERROR(VLOOKUP("APG",Controls!A:I,8,0),3)</f>
        <v>3</v>
      </c>
      <c r="O1526" s="39">
        <f>IFERROR(VLOOKUP("APG",Controls!A:I,9,0),18)</f>
        <v>12</v>
      </c>
      <c r="P1526" s="40">
        <f>IFERROR(VLOOKUP("APG",Controls!A:J,5,0),0)</f>
        <v>95</v>
      </c>
      <c r="Q1526" s="39">
        <f>IFERROR(VLOOKUP("APG",Controls!A:J,6,0),3)</f>
        <v>4</v>
      </c>
      <c r="R1526" s="21" t="str">
        <f>IFERROR(VLOOKUP("APG",Controls!A:K,10,0),"")</f>
        <v>ST Pharm</v>
      </c>
      <c r="S1526" s="41">
        <f t="shared" si="164"/>
        <v>48670</v>
      </c>
      <c r="T1526" s="30">
        <f t="shared" si="165"/>
        <v>0</v>
      </c>
      <c r="AB1526">
        <f t="shared" si="167"/>
        <v>308.84000000000003</v>
      </c>
    </row>
    <row r="1527" spans="1:28" ht="13" customHeight="1" x14ac:dyDescent="0.35">
      <c r="A1527" s="153">
        <v>48823</v>
      </c>
      <c r="B1527" s="36" t="s">
        <v>57</v>
      </c>
      <c r="C1527" s="15" t="s">
        <v>52</v>
      </c>
      <c r="D1527" s="15" t="s">
        <v>48</v>
      </c>
      <c r="E1527" s="30">
        <f>H1526</f>
        <v>106.67199999999997</v>
      </c>
      <c r="F1527" s="37">
        <f>IFERROR('Production Inputs'!$CY$37*Dependencies!$D$17,0)</f>
        <v>0</v>
      </c>
      <c r="G1527" s="37">
        <f t="array" ref="G1527">IFERROR(SUMPRODUCT(('Production Inputs'!$A:$A="APG")*('Production Inputs'!$B:$B="TOTAL ACTIVE")*'Production Inputs'!$CY:$CY),0)</f>
        <v>0</v>
      </c>
      <c r="H1527" s="30">
        <f t="shared" si="161"/>
        <v>106.67199999999997</v>
      </c>
      <c r="I1527" s="30">
        <f ca="1">IFERROR(AVERAGEIF(OFFSET(F1527,0,0,MIN(Controls!$B$8,COUNTIF(B1527:B$1973,B1527)),1),"&gt;"&amp;0),0)</f>
        <v>0</v>
      </c>
      <c r="J1527" s="38">
        <f t="shared" ca="1" si="162"/>
        <v>999</v>
      </c>
      <c r="K1527" s="30">
        <f t="shared" ca="1" si="166"/>
        <v>0</v>
      </c>
      <c r="L1527" t="str">
        <f t="shared" ca="1" si="163"/>
        <v>Overstock</v>
      </c>
      <c r="M1527" s="39">
        <f>IFERROR(VLOOKUP("APG",Controls!A:I,7,0),6)</f>
        <v>4</v>
      </c>
      <c r="N1527" s="39">
        <f>IFERROR(VLOOKUP("APG",Controls!A:I,8,0),3)</f>
        <v>3</v>
      </c>
      <c r="O1527" s="39">
        <f>IFERROR(VLOOKUP("APG",Controls!A:I,9,0),18)</f>
        <v>12</v>
      </c>
      <c r="P1527" s="40">
        <f>IFERROR(VLOOKUP("APG",Controls!A:J,5,0),0)</f>
        <v>95</v>
      </c>
      <c r="Q1527" s="39">
        <f>IFERROR(VLOOKUP("APG",Controls!A:J,6,0),3)</f>
        <v>4</v>
      </c>
      <c r="R1527" s="21" t="str">
        <f>IFERROR(VLOOKUP("APG",Controls!A:K,10,0),"")</f>
        <v>ST Pharm</v>
      </c>
      <c r="S1527" s="41">
        <f t="shared" si="164"/>
        <v>48700</v>
      </c>
      <c r="T1527" s="30">
        <f t="shared" si="165"/>
        <v>0</v>
      </c>
      <c r="AB1527">
        <f t="shared" si="167"/>
        <v>308.84000000000003</v>
      </c>
    </row>
    <row r="1528" spans="1:28" ht="13" customHeight="1" x14ac:dyDescent="0.35">
      <c r="A1528" s="153">
        <v>48853</v>
      </c>
      <c r="B1528" s="36" t="s">
        <v>57</v>
      </c>
      <c r="C1528" s="15" t="s">
        <v>52</v>
      </c>
      <c r="D1528" s="15" t="s">
        <v>48</v>
      </c>
      <c r="E1528" s="30">
        <f>H1527</f>
        <v>106.67199999999997</v>
      </c>
      <c r="F1528" s="37">
        <f>IFERROR('Production Inputs'!$CZ$37*Dependencies!$D$17,0)</f>
        <v>0</v>
      </c>
      <c r="G1528" s="37">
        <f t="array" ref="G1528">IFERROR(SUMPRODUCT(('Production Inputs'!$A:$A="APG")*('Production Inputs'!$B:$B="TOTAL ACTIVE")*'Production Inputs'!$CZ:$CZ),0)</f>
        <v>0</v>
      </c>
      <c r="H1528" s="30">
        <f t="shared" si="161"/>
        <v>106.67199999999997</v>
      </c>
      <c r="I1528" s="30">
        <f ca="1">IFERROR(AVERAGEIF(OFFSET(F1528,0,0,MIN(Controls!$B$8,COUNTIF(B1528:B$1973,B1528)),1),"&gt;"&amp;0),0)</f>
        <v>0</v>
      </c>
      <c r="J1528" s="38">
        <f t="shared" ca="1" si="162"/>
        <v>999</v>
      </c>
      <c r="K1528" s="30">
        <f t="shared" ca="1" si="166"/>
        <v>0</v>
      </c>
      <c r="L1528" t="str">
        <f t="shared" ca="1" si="163"/>
        <v>Overstock</v>
      </c>
      <c r="M1528" s="39">
        <f>IFERROR(VLOOKUP("APG",Controls!A:I,7,0),6)</f>
        <v>4</v>
      </c>
      <c r="N1528" s="39">
        <f>IFERROR(VLOOKUP("APG",Controls!A:I,8,0),3)</f>
        <v>3</v>
      </c>
      <c r="O1528" s="39">
        <f>IFERROR(VLOOKUP("APG",Controls!A:I,9,0),18)</f>
        <v>12</v>
      </c>
      <c r="P1528" s="40">
        <f>IFERROR(VLOOKUP("APG",Controls!A:J,5,0),0)</f>
        <v>95</v>
      </c>
      <c r="Q1528" s="39">
        <f>IFERROR(VLOOKUP("APG",Controls!A:J,6,0),3)</f>
        <v>4</v>
      </c>
      <c r="R1528" s="21" t="str">
        <f>IFERROR(VLOOKUP("APG",Controls!A:K,10,0),"")</f>
        <v>ST Pharm</v>
      </c>
      <c r="S1528" s="41">
        <f t="shared" si="164"/>
        <v>48731</v>
      </c>
      <c r="T1528" s="30">
        <f t="shared" si="165"/>
        <v>0</v>
      </c>
      <c r="AB1528">
        <f t="shared" si="167"/>
        <v>308.84000000000003</v>
      </c>
    </row>
    <row r="1529" spans="1:28" ht="13" customHeight="1" x14ac:dyDescent="0.35">
      <c r="A1529" s="153">
        <v>48884</v>
      </c>
      <c r="B1529" s="36" t="s">
        <v>57</v>
      </c>
      <c r="C1529" s="15" t="s">
        <v>52</v>
      </c>
      <c r="D1529" s="15" t="s">
        <v>48</v>
      </c>
      <c r="E1529" s="30">
        <f>H1528</f>
        <v>106.67199999999997</v>
      </c>
      <c r="F1529" s="37">
        <f>IFERROR('Production Inputs'!$DA$37*Dependencies!$D$17,0)</f>
        <v>0</v>
      </c>
      <c r="G1529" s="37">
        <f t="array" ref="G1529">IFERROR(SUMPRODUCT(('Production Inputs'!$A:$A="APG")*('Production Inputs'!$B:$B="TOTAL ACTIVE")*'Production Inputs'!$DA:$DA),0)</f>
        <v>0</v>
      </c>
      <c r="H1529" s="30">
        <f t="shared" si="161"/>
        <v>106.67199999999997</v>
      </c>
      <c r="I1529" s="30">
        <f ca="1">IFERROR(AVERAGEIF(OFFSET(F1529,0,0,MIN(Controls!$B$8,COUNTIF(B1529:B$1973,B1529)),1),"&gt;"&amp;0),0)</f>
        <v>0</v>
      </c>
      <c r="J1529" s="38">
        <f t="shared" ca="1" si="162"/>
        <v>999</v>
      </c>
      <c r="K1529" s="30">
        <f t="shared" ca="1" si="166"/>
        <v>0</v>
      </c>
      <c r="L1529" t="str">
        <f t="shared" ca="1" si="163"/>
        <v>Overstock</v>
      </c>
      <c r="M1529" s="39">
        <f>IFERROR(VLOOKUP("APG",Controls!A:I,7,0),6)</f>
        <v>4</v>
      </c>
      <c r="N1529" s="39">
        <f>IFERROR(VLOOKUP("APG",Controls!A:I,8,0),3)</f>
        <v>3</v>
      </c>
      <c r="O1529" s="39">
        <f>IFERROR(VLOOKUP("APG",Controls!A:I,9,0),18)</f>
        <v>12</v>
      </c>
      <c r="P1529" s="40">
        <f>IFERROR(VLOOKUP("APG",Controls!A:J,5,0),0)</f>
        <v>95</v>
      </c>
      <c r="Q1529" s="39">
        <f>IFERROR(VLOOKUP("APG",Controls!A:J,6,0),3)</f>
        <v>4</v>
      </c>
      <c r="R1529" s="21" t="str">
        <f>IFERROR(VLOOKUP("APG",Controls!A:K,10,0),"")</f>
        <v>ST Pharm</v>
      </c>
      <c r="S1529" s="41">
        <f t="shared" si="164"/>
        <v>48761</v>
      </c>
      <c r="T1529" s="30">
        <f t="shared" si="165"/>
        <v>0</v>
      </c>
      <c r="AB1529">
        <f t="shared" si="167"/>
        <v>308.84000000000003</v>
      </c>
    </row>
    <row r="1530" spans="1:28" ht="13" customHeight="1" x14ac:dyDescent="0.35">
      <c r="A1530" s="153">
        <v>48914</v>
      </c>
      <c r="B1530" s="36" t="s">
        <v>57</v>
      </c>
      <c r="C1530" s="15" t="s">
        <v>52</v>
      </c>
      <c r="D1530" s="15" t="s">
        <v>48</v>
      </c>
      <c r="E1530" s="30">
        <f>H1529</f>
        <v>106.67199999999997</v>
      </c>
      <c r="F1530" s="37">
        <f>IFERROR('Production Inputs'!$DB$37*Dependencies!$D$17,0)</f>
        <v>0</v>
      </c>
      <c r="G1530" s="37">
        <f t="array" ref="G1530">IFERROR(SUMPRODUCT(('Production Inputs'!$A:$A="APG")*('Production Inputs'!$B:$B="TOTAL ACTIVE")*'Production Inputs'!$DB:$DB),0)</f>
        <v>0</v>
      </c>
      <c r="H1530" s="30">
        <f t="shared" si="161"/>
        <v>106.67199999999997</v>
      </c>
      <c r="I1530" s="30">
        <f ca="1">IFERROR(AVERAGEIF(OFFSET(F1530,0,0,MIN(Controls!$B$8,COUNTIF(B1530:B$1973,B1530)),1),"&gt;"&amp;0),0)</f>
        <v>0</v>
      </c>
      <c r="J1530" s="38">
        <f t="shared" ca="1" si="162"/>
        <v>999</v>
      </c>
      <c r="K1530" s="30">
        <f t="shared" ca="1" si="166"/>
        <v>0</v>
      </c>
      <c r="L1530" t="str">
        <f t="shared" ca="1" si="163"/>
        <v>Overstock</v>
      </c>
      <c r="M1530" s="39">
        <f>IFERROR(VLOOKUP("APG",Controls!A:I,7,0),6)</f>
        <v>4</v>
      </c>
      <c r="N1530" s="39">
        <f>IFERROR(VLOOKUP("APG",Controls!A:I,8,0),3)</f>
        <v>3</v>
      </c>
      <c r="O1530" s="39">
        <f>IFERROR(VLOOKUP("APG",Controls!A:I,9,0),18)</f>
        <v>12</v>
      </c>
      <c r="P1530" s="40">
        <f>IFERROR(VLOOKUP("APG",Controls!A:J,5,0),0)</f>
        <v>95</v>
      </c>
      <c r="Q1530" s="39">
        <f>IFERROR(VLOOKUP("APG",Controls!A:J,6,0),3)</f>
        <v>4</v>
      </c>
      <c r="R1530" s="21" t="str">
        <f>IFERROR(VLOOKUP("APG",Controls!A:K,10,0),"")</f>
        <v>ST Pharm</v>
      </c>
      <c r="S1530" s="41">
        <f t="shared" si="164"/>
        <v>48792</v>
      </c>
      <c r="T1530" s="30">
        <f t="shared" si="165"/>
        <v>0</v>
      </c>
      <c r="AB1530">
        <f t="shared" si="167"/>
        <v>308.84000000000003</v>
      </c>
    </row>
    <row r="1531" spans="1:28" ht="13" customHeight="1" x14ac:dyDescent="0.35">
      <c r="A1531" s="153">
        <v>48945</v>
      </c>
      <c r="B1531" s="36" t="s">
        <v>57</v>
      </c>
      <c r="C1531" s="15" t="s">
        <v>52</v>
      </c>
      <c r="D1531" s="15" t="s">
        <v>48</v>
      </c>
      <c r="E1531" s="30">
        <f>H1530</f>
        <v>106.67199999999997</v>
      </c>
      <c r="F1531" s="37">
        <f>IFERROR('Production Inputs'!$DC$37*Dependencies!$D$17,0)</f>
        <v>0</v>
      </c>
      <c r="G1531" s="37">
        <f t="array" ref="G1531">IFERROR(SUMPRODUCT(('Production Inputs'!$A:$A="APG")*('Production Inputs'!$B:$B="TOTAL ACTIVE")*'Production Inputs'!$DC:$DC),0)</f>
        <v>0</v>
      </c>
      <c r="H1531" s="30">
        <f t="shared" si="161"/>
        <v>106.67199999999997</v>
      </c>
      <c r="I1531" s="30">
        <f ca="1">IFERROR(AVERAGEIF(OFFSET(F1531,0,0,MIN(Controls!$B$8,COUNTIF(B1531:B$1973,B1531)),1),"&gt;"&amp;0),0)</f>
        <v>0</v>
      </c>
      <c r="J1531" s="38">
        <f t="shared" ca="1" si="162"/>
        <v>999</v>
      </c>
      <c r="K1531" s="30">
        <f t="shared" ca="1" si="166"/>
        <v>0</v>
      </c>
      <c r="L1531" t="str">
        <f t="shared" ca="1" si="163"/>
        <v>Overstock</v>
      </c>
      <c r="M1531" s="39">
        <f>IFERROR(VLOOKUP("APG",Controls!A:I,7,0),6)</f>
        <v>4</v>
      </c>
      <c r="N1531" s="39">
        <f>IFERROR(VLOOKUP("APG",Controls!A:I,8,0),3)</f>
        <v>3</v>
      </c>
      <c r="O1531" s="39">
        <f>IFERROR(VLOOKUP("APG",Controls!A:I,9,0),18)</f>
        <v>12</v>
      </c>
      <c r="P1531" s="40">
        <f>IFERROR(VLOOKUP("APG",Controls!A:J,5,0),0)</f>
        <v>95</v>
      </c>
      <c r="Q1531" s="39">
        <f>IFERROR(VLOOKUP("APG",Controls!A:J,6,0),3)</f>
        <v>4</v>
      </c>
      <c r="R1531" s="21" t="str">
        <f>IFERROR(VLOOKUP("APG",Controls!A:K,10,0),"")</f>
        <v>ST Pharm</v>
      </c>
      <c r="S1531" s="41">
        <f t="shared" si="164"/>
        <v>48823</v>
      </c>
      <c r="T1531" s="30">
        <f t="shared" si="165"/>
        <v>0</v>
      </c>
      <c r="AB1531">
        <f t="shared" si="167"/>
        <v>308.84000000000003</v>
      </c>
    </row>
    <row r="1532" spans="1:28" ht="13" customHeight="1" x14ac:dyDescent="0.35">
      <c r="A1532" s="153">
        <v>48976</v>
      </c>
      <c r="B1532" s="36" t="s">
        <v>57</v>
      </c>
      <c r="C1532" s="15" t="s">
        <v>52</v>
      </c>
      <c r="D1532" s="15" t="s">
        <v>48</v>
      </c>
      <c r="E1532" s="30">
        <f>H1531</f>
        <v>106.67199999999997</v>
      </c>
      <c r="F1532" s="37">
        <f>IFERROR('Production Inputs'!$DD$37*Dependencies!$D$17,0)</f>
        <v>0</v>
      </c>
      <c r="G1532" s="37">
        <f t="array" ref="G1532">IFERROR(SUMPRODUCT(('Production Inputs'!$A:$A="APG")*('Production Inputs'!$B:$B="TOTAL ACTIVE")*'Production Inputs'!$DD:$DD),0)</f>
        <v>0</v>
      </c>
      <c r="H1532" s="30">
        <f t="shared" si="161"/>
        <v>106.67199999999997</v>
      </c>
      <c r="I1532" s="30">
        <f ca="1">IFERROR(AVERAGEIF(OFFSET(F1532,0,0,MIN(Controls!$B$8,COUNTIF(B1532:B$1973,B1532)),1),"&gt;"&amp;0),0)</f>
        <v>0</v>
      </c>
      <c r="J1532" s="38">
        <f t="shared" ca="1" si="162"/>
        <v>999</v>
      </c>
      <c r="K1532" s="30">
        <f t="shared" ca="1" si="166"/>
        <v>0</v>
      </c>
      <c r="L1532" t="str">
        <f t="shared" ca="1" si="163"/>
        <v>Overstock</v>
      </c>
      <c r="M1532" s="39">
        <f>IFERROR(VLOOKUP("APG",Controls!A:I,7,0),6)</f>
        <v>4</v>
      </c>
      <c r="N1532" s="39">
        <f>IFERROR(VLOOKUP("APG",Controls!A:I,8,0),3)</f>
        <v>3</v>
      </c>
      <c r="O1532" s="39">
        <f>IFERROR(VLOOKUP("APG",Controls!A:I,9,0),18)</f>
        <v>12</v>
      </c>
      <c r="P1532" s="40">
        <f>IFERROR(VLOOKUP("APG",Controls!A:J,5,0),0)</f>
        <v>95</v>
      </c>
      <c r="Q1532" s="39">
        <f>IFERROR(VLOOKUP("APG",Controls!A:J,6,0),3)</f>
        <v>4</v>
      </c>
      <c r="R1532" s="21" t="str">
        <f>IFERROR(VLOOKUP("APG",Controls!A:K,10,0),"")</f>
        <v>ST Pharm</v>
      </c>
      <c r="S1532" s="41">
        <f t="shared" si="164"/>
        <v>48853</v>
      </c>
      <c r="T1532" s="30">
        <f t="shared" si="165"/>
        <v>0</v>
      </c>
      <c r="AB1532">
        <f t="shared" si="167"/>
        <v>308.84000000000003</v>
      </c>
    </row>
    <row r="1533" spans="1:28" ht="13" customHeight="1" x14ac:dyDescent="0.35">
      <c r="A1533" s="153">
        <v>49004</v>
      </c>
      <c r="B1533" s="36" t="s">
        <v>57</v>
      </c>
      <c r="C1533" s="15" t="s">
        <v>52</v>
      </c>
      <c r="D1533" s="15" t="s">
        <v>48</v>
      </c>
      <c r="E1533" s="30">
        <f>H1532</f>
        <v>106.67199999999997</v>
      </c>
      <c r="F1533" s="37">
        <f>IFERROR('Production Inputs'!$DE$37*Dependencies!$D$17,0)</f>
        <v>0</v>
      </c>
      <c r="G1533" s="37">
        <f t="array" ref="G1533">IFERROR(SUMPRODUCT(('Production Inputs'!$A:$A="APG")*('Production Inputs'!$B:$B="TOTAL ACTIVE")*'Production Inputs'!$DE:$DE),0)</f>
        <v>0</v>
      </c>
      <c r="H1533" s="30">
        <f t="shared" si="161"/>
        <v>106.67199999999997</v>
      </c>
      <c r="I1533" s="30">
        <f ca="1">IFERROR(AVERAGEIF(OFFSET(F1533,0,0,MIN(Controls!$B$8,COUNTIF(B1533:B$1973,B1533)),1),"&gt;"&amp;0),0)</f>
        <v>0</v>
      </c>
      <c r="J1533" s="38">
        <f t="shared" ca="1" si="162"/>
        <v>999</v>
      </c>
      <c r="K1533" s="30">
        <f t="shared" ca="1" si="166"/>
        <v>0</v>
      </c>
      <c r="L1533" t="str">
        <f t="shared" ca="1" si="163"/>
        <v>Overstock</v>
      </c>
      <c r="M1533" s="39">
        <f>IFERROR(VLOOKUP("APG",Controls!A:I,7,0),6)</f>
        <v>4</v>
      </c>
      <c r="N1533" s="39">
        <f>IFERROR(VLOOKUP("APG",Controls!A:I,8,0),3)</f>
        <v>3</v>
      </c>
      <c r="O1533" s="39">
        <f>IFERROR(VLOOKUP("APG",Controls!A:I,9,0),18)</f>
        <v>12</v>
      </c>
      <c r="P1533" s="40">
        <f>IFERROR(VLOOKUP("APG",Controls!A:J,5,0),0)</f>
        <v>95</v>
      </c>
      <c r="Q1533" s="39">
        <f>IFERROR(VLOOKUP("APG",Controls!A:J,6,0),3)</f>
        <v>4</v>
      </c>
      <c r="R1533" s="21" t="str">
        <f>IFERROR(VLOOKUP("APG",Controls!A:K,10,0),"")</f>
        <v>ST Pharm</v>
      </c>
      <c r="S1533" s="41">
        <f t="shared" si="164"/>
        <v>48884</v>
      </c>
      <c r="T1533" s="30">
        <f t="shared" si="165"/>
        <v>0</v>
      </c>
      <c r="AB1533">
        <f t="shared" si="167"/>
        <v>308.84000000000003</v>
      </c>
    </row>
    <row r="1534" spans="1:28" ht="13" customHeight="1" x14ac:dyDescent="0.35">
      <c r="A1534" s="153">
        <v>49035</v>
      </c>
      <c r="B1534" s="36" t="s">
        <v>57</v>
      </c>
      <c r="C1534" s="15" t="s">
        <v>52</v>
      </c>
      <c r="D1534" s="15" t="s">
        <v>48</v>
      </c>
      <c r="E1534" s="30">
        <f>H1533</f>
        <v>106.67199999999997</v>
      </c>
      <c r="F1534" s="37">
        <f>IFERROR('Production Inputs'!$DF$37*Dependencies!$D$17,0)</f>
        <v>0</v>
      </c>
      <c r="G1534" s="37">
        <f t="array" ref="G1534">IFERROR(SUMPRODUCT(('Production Inputs'!$A:$A="APG")*('Production Inputs'!$B:$B="TOTAL ACTIVE")*'Production Inputs'!$DF:$DF),0)</f>
        <v>0</v>
      </c>
      <c r="H1534" s="30">
        <f t="shared" si="161"/>
        <v>106.67199999999997</v>
      </c>
      <c r="I1534" s="30">
        <f ca="1">IFERROR(AVERAGEIF(OFFSET(F1534,0,0,MIN(Controls!$B$8,COUNTIF(B1534:B$1973,B1534)),1),"&gt;"&amp;0),0)</f>
        <v>0</v>
      </c>
      <c r="J1534" s="38">
        <f t="shared" ca="1" si="162"/>
        <v>999</v>
      </c>
      <c r="K1534" s="30">
        <f t="shared" ca="1" si="166"/>
        <v>0</v>
      </c>
      <c r="L1534" t="str">
        <f t="shared" ca="1" si="163"/>
        <v>Overstock</v>
      </c>
      <c r="M1534" s="39">
        <f>IFERROR(VLOOKUP("APG",Controls!A:I,7,0),6)</f>
        <v>4</v>
      </c>
      <c r="N1534" s="39">
        <f>IFERROR(VLOOKUP("APG",Controls!A:I,8,0),3)</f>
        <v>3</v>
      </c>
      <c r="O1534" s="39">
        <f>IFERROR(VLOOKUP("APG",Controls!A:I,9,0),18)</f>
        <v>12</v>
      </c>
      <c r="P1534" s="40">
        <f>IFERROR(VLOOKUP("APG",Controls!A:J,5,0),0)</f>
        <v>95</v>
      </c>
      <c r="Q1534" s="39">
        <f>IFERROR(VLOOKUP("APG",Controls!A:J,6,0),3)</f>
        <v>4</v>
      </c>
      <c r="R1534" s="21" t="str">
        <f>IFERROR(VLOOKUP("APG",Controls!A:K,10,0),"")</f>
        <v>ST Pharm</v>
      </c>
      <c r="S1534" s="41">
        <f t="shared" si="164"/>
        <v>48914</v>
      </c>
      <c r="T1534" s="30">
        <f t="shared" si="165"/>
        <v>0</v>
      </c>
      <c r="AB1534">
        <f t="shared" si="167"/>
        <v>308.84000000000003</v>
      </c>
    </row>
    <row r="1535" spans="1:28" ht="13" customHeight="1" x14ac:dyDescent="0.35">
      <c r="A1535" s="153">
        <v>49065</v>
      </c>
      <c r="B1535" s="36" t="s">
        <v>57</v>
      </c>
      <c r="C1535" s="15" t="s">
        <v>52</v>
      </c>
      <c r="D1535" s="15" t="s">
        <v>48</v>
      </c>
      <c r="E1535" s="30">
        <f>H1534</f>
        <v>106.67199999999997</v>
      </c>
      <c r="F1535" s="37">
        <f>IFERROR('Production Inputs'!$DG$37*Dependencies!$D$17,0)</f>
        <v>0</v>
      </c>
      <c r="G1535" s="37">
        <f t="array" ref="G1535">IFERROR(SUMPRODUCT(('Production Inputs'!$A:$A="APG")*('Production Inputs'!$B:$B="TOTAL ACTIVE")*'Production Inputs'!$DG:$DG),0)</f>
        <v>0</v>
      </c>
      <c r="H1535" s="30">
        <f t="shared" si="161"/>
        <v>106.67199999999997</v>
      </c>
      <c r="I1535" s="30">
        <f ca="1">IFERROR(AVERAGEIF(OFFSET(F1535,0,0,MIN(Controls!$B$8,COUNTIF(B1535:B$1973,B1535)),1),"&gt;"&amp;0),0)</f>
        <v>0</v>
      </c>
      <c r="J1535" s="38">
        <f t="shared" ca="1" si="162"/>
        <v>999</v>
      </c>
      <c r="K1535" s="30">
        <f t="shared" ca="1" si="166"/>
        <v>0</v>
      </c>
      <c r="L1535" t="str">
        <f t="shared" ca="1" si="163"/>
        <v>Overstock</v>
      </c>
      <c r="M1535" s="39">
        <f>IFERROR(VLOOKUP("APG",Controls!A:I,7,0),6)</f>
        <v>4</v>
      </c>
      <c r="N1535" s="39">
        <f>IFERROR(VLOOKUP("APG",Controls!A:I,8,0),3)</f>
        <v>3</v>
      </c>
      <c r="O1535" s="39">
        <f>IFERROR(VLOOKUP("APG",Controls!A:I,9,0),18)</f>
        <v>12</v>
      </c>
      <c r="P1535" s="40">
        <f>IFERROR(VLOOKUP("APG",Controls!A:J,5,0),0)</f>
        <v>95</v>
      </c>
      <c r="Q1535" s="39">
        <f>IFERROR(VLOOKUP("APG",Controls!A:J,6,0),3)</f>
        <v>4</v>
      </c>
      <c r="R1535" s="21" t="str">
        <f>IFERROR(VLOOKUP("APG",Controls!A:K,10,0),"")</f>
        <v>ST Pharm</v>
      </c>
      <c r="S1535" s="41">
        <f t="shared" si="164"/>
        <v>48945</v>
      </c>
      <c r="T1535" s="30">
        <f t="shared" si="165"/>
        <v>0</v>
      </c>
      <c r="AB1535">
        <f t="shared" si="167"/>
        <v>308.84000000000003</v>
      </c>
    </row>
    <row r="1536" spans="1:28" ht="13" customHeight="1" x14ac:dyDescent="0.35">
      <c r="A1536" s="153">
        <v>49096</v>
      </c>
      <c r="B1536" s="36" t="s">
        <v>57</v>
      </c>
      <c r="C1536" s="15" t="s">
        <v>52</v>
      </c>
      <c r="D1536" s="15" t="s">
        <v>48</v>
      </c>
      <c r="E1536" s="30">
        <f>H1535</f>
        <v>106.67199999999997</v>
      </c>
      <c r="F1536" s="37">
        <f>IFERROR('Production Inputs'!$DH$37*Dependencies!$D$17,0)</f>
        <v>0</v>
      </c>
      <c r="G1536" s="37">
        <f t="array" ref="G1536">IFERROR(SUMPRODUCT(('Production Inputs'!$A:$A="APG")*('Production Inputs'!$B:$B="TOTAL ACTIVE")*'Production Inputs'!$DH:$DH),0)</f>
        <v>0</v>
      </c>
      <c r="H1536" s="30">
        <f t="shared" si="161"/>
        <v>106.67199999999997</v>
      </c>
      <c r="I1536" s="30">
        <f ca="1">IFERROR(AVERAGEIF(OFFSET(F1536,0,0,MIN(Controls!$B$8,COUNTIF(B1536:B$1973,B1536)),1),"&gt;"&amp;0),0)</f>
        <v>0</v>
      </c>
      <c r="J1536" s="38">
        <f t="shared" ca="1" si="162"/>
        <v>999</v>
      </c>
      <c r="K1536" s="30">
        <f t="shared" ca="1" si="166"/>
        <v>0</v>
      </c>
      <c r="L1536" t="str">
        <f t="shared" ca="1" si="163"/>
        <v>Overstock</v>
      </c>
      <c r="M1536" s="39">
        <f>IFERROR(VLOOKUP("APG",Controls!A:I,7,0),6)</f>
        <v>4</v>
      </c>
      <c r="N1536" s="39">
        <f>IFERROR(VLOOKUP("APG",Controls!A:I,8,0),3)</f>
        <v>3</v>
      </c>
      <c r="O1536" s="39">
        <f>IFERROR(VLOOKUP("APG",Controls!A:I,9,0),18)</f>
        <v>12</v>
      </c>
      <c r="P1536" s="40">
        <f>IFERROR(VLOOKUP("APG",Controls!A:J,5,0),0)</f>
        <v>95</v>
      </c>
      <c r="Q1536" s="39">
        <f>IFERROR(VLOOKUP("APG",Controls!A:J,6,0),3)</f>
        <v>4</v>
      </c>
      <c r="R1536" s="21" t="str">
        <f>IFERROR(VLOOKUP("APG",Controls!A:K,10,0),"")</f>
        <v>ST Pharm</v>
      </c>
      <c r="S1536" s="41">
        <f t="shared" si="164"/>
        <v>48976</v>
      </c>
      <c r="T1536" s="30">
        <f t="shared" si="165"/>
        <v>0</v>
      </c>
      <c r="AB1536">
        <f t="shared" si="167"/>
        <v>308.84000000000003</v>
      </c>
    </row>
    <row r="1537" spans="1:28" ht="13" customHeight="1" x14ac:dyDescent="0.35">
      <c r="A1537" s="153">
        <v>49126</v>
      </c>
      <c r="B1537" s="36" t="s">
        <v>57</v>
      </c>
      <c r="C1537" s="15" t="s">
        <v>52</v>
      </c>
      <c r="D1537" s="15" t="s">
        <v>48</v>
      </c>
      <c r="E1537" s="30">
        <f>H1536</f>
        <v>106.67199999999997</v>
      </c>
      <c r="F1537" s="37">
        <f>IFERROR('Production Inputs'!$DI$37*Dependencies!$D$17,0)</f>
        <v>0</v>
      </c>
      <c r="G1537" s="37">
        <f t="array" ref="G1537">IFERROR(SUMPRODUCT(('Production Inputs'!$A:$A="APG")*('Production Inputs'!$B:$B="TOTAL ACTIVE")*'Production Inputs'!$DI:$DI),0)</f>
        <v>0</v>
      </c>
      <c r="H1537" s="30">
        <f t="shared" si="161"/>
        <v>106.67199999999997</v>
      </c>
      <c r="I1537" s="30">
        <f ca="1">IFERROR(AVERAGEIF(OFFSET(F1537,0,0,MIN(Controls!$B$8,COUNTIF(B1537:B$1973,B1537)),1),"&gt;"&amp;0),0)</f>
        <v>0</v>
      </c>
      <c r="J1537" s="38">
        <f t="shared" ca="1" si="162"/>
        <v>999</v>
      </c>
      <c r="K1537" s="30">
        <f t="shared" ca="1" si="166"/>
        <v>0</v>
      </c>
      <c r="L1537" t="str">
        <f t="shared" ca="1" si="163"/>
        <v>Overstock</v>
      </c>
      <c r="M1537" s="39">
        <f>IFERROR(VLOOKUP("APG",Controls!A:I,7,0),6)</f>
        <v>4</v>
      </c>
      <c r="N1537" s="39">
        <f>IFERROR(VLOOKUP("APG",Controls!A:I,8,0),3)</f>
        <v>3</v>
      </c>
      <c r="O1537" s="39">
        <f>IFERROR(VLOOKUP("APG",Controls!A:I,9,0),18)</f>
        <v>12</v>
      </c>
      <c r="P1537" s="40">
        <f>IFERROR(VLOOKUP("APG",Controls!A:J,5,0),0)</f>
        <v>95</v>
      </c>
      <c r="Q1537" s="39">
        <f>IFERROR(VLOOKUP("APG",Controls!A:J,6,0),3)</f>
        <v>4</v>
      </c>
      <c r="R1537" s="21" t="str">
        <f>IFERROR(VLOOKUP("APG",Controls!A:K,10,0),"")</f>
        <v>ST Pharm</v>
      </c>
      <c r="S1537" s="41">
        <f t="shared" si="164"/>
        <v>49004</v>
      </c>
      <c r="T1537" s="30">
        <f t="shared" si="165"/>
        <v>0</v>
      </c>
      <c r="AB1537">
        <f t="shared" si="167"/>
        <v>308.84000000000003</v>
      </c>
    </row>
    <row r="1538" spans="1:28" ht="13" customHeight="1" x14ac:dyDescent="0.35">
      <c r="A1538" s="153">
        <v>49157</v>
      </c>
      <c r="B1538" s="36" t="s">
        <v>57</v>
      </c>
      <c r="C1538" s="15" t="s">
        <v>52</v>
      </c>
      <c r="D1538" s="15" t="s">
        <v>48</v>
      </c>
      <c r="E1538" s="30">
        <f>H1537</f>
        <v>106.67199999999997</v>
      </c>
      <c r="F1538" s="37">
        <f>IFERROR('Production Inputs'!$DJ$37*Dependencies!$D$17,0)</f>
        <v>0</v>
      </c>
      <c r="G1538" s="37">
        <f t="array" ref="G1538">IFERROR(SUMPRODUCT(('Production Inputs'!$A:$A="APG")*('Production Inputs'!$B:$B="TOTAL ACTIVE")*'Production Inputs'!$DJ:$DJ),0)</f>
        <v>0</v>
      </c>
      <c r="H1538" s="30">
        <f t="shared" si="161"/>
        <v>106.67199999999997</v>
      </c>
      <c r="I1538" s="30">
        <f ca="1">IFERROR(AVERAGEIF(OFFSET(F1538,0,0,MIN(Controls!$B$8,COUNTIF(B1538:B$1973,B1538)),1),"&gt;"&amp;0),0)</f>
        <v>0</v>
      </c>
      <c r="J1538" s="38">
        <f t="shared" ca="1" si="162"/>
        <v>999</v>
      </c>
      <c r="K1538" s="30">
        <f t="shared" ca="1" si="166"/>
        <v>0</v>
      </c>
      <c r="L1538" t="str">
        <f t="shared" ca="1" si="163"/>
        <v>Overstock</v>
      </c>
      <c r="M1538" s="39">
        <f>IFERROR(VLOOKUP("APG",Controls!A:I,7,0),6)</f>
        <v>4</v>
      </c>
      <c r="N1538" s="39">
        <f>IFERROR(VLOOKUP("APG",Controls!A:I,8,0),3)</f>
        <v>3</v>
      </c>
      <c r="O1538" s="39">
        <f>IFERROR(VLOOKUP("APG",Controls!A:I,9,0),18)</f>
        <v>12</v>
      </c>
      <c r="P1538" s="40">
        <f>IFERROR(VLOOKUP("APG",Controls!A:J,5,0),0)</f>
        <v>95</v>
      </c>
      <c r="Q1538" s="39">
        <f>IFERROR(VLOOKUP("APG",Controls!A:J,6,0),3)</f>
        <v>4</v>
      </c>
      <c r="R1538" s="21" t="str">
        <f>IFERROR(VLOOKUP("APG",Controls!A:K,10,0),"")</f>
        <v>ST Pharm</v>
      </c>
      <c r="S1538" s="41">
        <f t="shared" si="164"/>
        <v>49035</v>
      </c>
      <c r="T1538" s="30">
        <f t="shared" si="165"/>
        <v>0</v>
      </c>
      <c r="AB1538">
        <f t="shared" si="167"/>
        <v>308.84000000000003</v>
      </c>
    </row>
    <row r="1539" spans="1:28" ht="13" customHeight="1" x14ac:dyDescent="0.35">
      <c r="A1539" s="153">
        <v>49188</v>
      </c>
      <c r="B1539" s="36" t="s">
        <v>57</v>
      </c>
      <c r="C1539" s="15" t="s">
        <v>52</v>
      </c>
      <c r="D1539" s="15" t="s">
        <v>48</v>
      </c>
      <c r="E1539" s="30">
        <f>H1538</f>
        <v>106.67199999999997</v>
      </c>
      <c r="F1539" s="37">
        <f>IFERROR('Production Inputs'!$DK$37*Dependencies!$D$17,0)</f>
        <v>0</v>
      </c>
      <c r="G1539" s="37">
        <f t="array" ref="G1539">IFERROR(SUMPRODUCT(('Production Inputs'!$A:$A="APG")*('Production Inputs'!$B:$B="TOTAL ACTIVE")*'Production Inputs'!$DK:$DK),0)</f>
        <v>0</v>
      </c>
      <c r="H1539" s="30">
        <f t="shared" si="161"/>
        <v>106.67199999999997</v>
      </c>
      <c r="I1539" s="30">
        <f ca="1">IFERROR(AVERAGEIF(OFFSET(F1539,0,0,MIN(Controls!$B$8,COUNTIF(B1539:B$1973,B1539)),1),"&gt;"&amp;0),0)</f>
        <v>0</v>
      </c>
      <c r="J1539" s="38">
        <f t="shared" ca="1" si="162"/>
        <v>999</v>
      </c>
      <c r="K1539" s="30">
        <f t="shared" ca="1" si="166"/>
        <v>0</v>
      </c>
      <c r="L1539" t="str">
        <f t="shared" ca="1" si="163"/>
        <v>Overstock</v>
      </c>
      <c r="M1539" s="39">
        <f>IFERROR(VLOOKUP("APG",Controls!A:I,7,0),6)</f>
        <v>4</v>
      </c>
      <c r="N1539" s="39">
        <f>IFERROR(VLOOKUP("APG",Controls!A:I,8,0),3)</f>
        <v>3</v>
      </c>
      <c r="O1539" s="39">
        <f>IFERROR(VLOOKUP("APG",Controls!A:I,9,0),18)</f>
        <v>12</v>
      </c>
      <c r="P1539" s="40">
        <f>IFERROR(VLOOKUP("APG",Controls!A:J,5,0),0)</f>
        <v>95</v>
      </c>
      <c r="Q1539" s="39">
        <f>IFERROR(VLOOKUP("APG",Controls!A:J,6,0),3)</f>
        <v>4</v>
      </c>
      <c r="R1539" s="21" t="str">
        <f>IFERROR(VLOOKUP("APG",Controls!A:K,10,0),"")</f>
        <v>ST Pharm</v>
      </c>
      <c r="S1539" s="41">
        <f t="shared" si="164"/>
        <v>49065</v>
      </c>
      <c r="T1539" s="30">
        <f t="shared" si="165"/>
        <v>0</v>
      </c>
      <c r="AB1539">
        <f t="shared" si="167"/>
        <v>308.84000000000003</v>
      </c>
    </row>
    <row r="1540" spans="1:28" ht="13" customHeight="1" x14ac:dyDescent="0.35">
      <c r="A1540" s="153">
        <v>49218</v>
      </c>
      <c r="B1540" s="36" t="s">
        <v>57</v>
      </c>
      <c r="C1540" s="15" t="s">
        <v>52</v>
      </c>
      <c r="D1540" s="15" t="s">
        <v>48</v>
      </c>
      <c r="E1540" s="30">
        <f>H1539</f>
        <v>106.67199999999997</v>
      </c>
      <c r="F1540" s="37">
        <f>IFERROR('Production Inputs'!$DL$37*Dependencies!$D$17,0)</f>
        <v>0</v>
      </c>
      <c r="G1540" s="37">
        <f t="array" ref="G1540">IFERROR(SUMPRODUCT(('Production Inputs'!$A:$A="APG")*('Production Inputs'!$B:$B="TOTAL ACTIVE")*'Production Inputs'!$DL:$DL),0)</f>
        <v>0</v>
      </c>
      <c r="H1540" s="30">
        <f t="shared" ref="H1540:H1603" si="168">E1540+G1540-F1540</f>
        <v>106.67199999999997</v>
      </c>
      <c r="I1540" s="30">
        <f ca="1">IFERROR(AVERAGEIF(OFFSET(F1540,0,0,MIN(Controls!$B$8,COUNTIF(B1540:B$1973,B1540)),1),"&gt;"&amp;0),0)</f>
        <v>0</v>
      </c>
      <c r="J1540" s="38">
        <f t="shared" ref="J1540:J1603" ca="1" si="169">IFERROR(H1540/I1540,IF(H1540&gt;0,999,0))</f>
        <v>999</v>
      </c>
      <c r="K1540" s="30">
        <f t="shared" ca="1" si="166"/>
        <v>0</v>
      </c>
      <c r="L1540" t="str">
        <f t="shared" ref="L1540:L1603" ca="1" si="170">IF(H1540&lt;=0,"High",IF(J1540&lt;N1540,"High",IF(J1540&lt;M1540,"Medium",IF(J1540&gt;O1540,"Overstock","Low"))))</f>
        <v>Overstock</v>
      </c>
      <c r="M1540" s="39">
        <f>IFERROR(VLOOKUP("APG",Controls!A:I,7,0),6)</f>
        <v>4</v>
      </c>
      <c r="N1540" s="39">
        <f>IFERROR(VLOOKUP("APG",Controls!A:I,8,0),3)</f>
        <v>3</v>
      </c>
      <c r="O1540" s="39">
        <f>IFERROR(VLOOKUP("APG",Controls!A:I,9,0),18)</f>
        <v>12</v>
      </c>
      <c r="P1540" s="40">
        <f>IFERROR(VLOOKUP("APG",Controls!A:J,5,0),0)</f>
        <v>95</v>
      </c>
      <c r="Q1540" s="39">
        <f>IFERROR(VLOOKUP("APG",Controls!A:J,6,0),3)</f>
        <v>4</v>
      </c>
      <c r="R1540" s="21" t="str">
        <f>IFERROR(VLOOKUP("APG",Controls!A:K,10,0),"")</f>
        <v>ST Pharm</v>
      </c>
      <c r="S1540" s="41">
        <f t="shared" ref="S1540:S1603" si="171">IFERROR(EDATE(A1540,-Q1540),"")</f>
        <v>49096</v>
      </c>
      <c r="T1540" s="30">
        <f t="shared" ref="T1540:T1603" si="172">G1540</f>
        <v>0</v>
      </c>
      <c r="AB1540">
        <f t="shared" si="167"/>
        <v>308.84000000000003</v>
      </c>
    </row>
    <row r="1541" spans="1:28" ht="13" customHeight="1" x14ac:dyDescent="0.35">
      <c r="A1541" s="153">
        <v>49249</v>
      </c>
      <c r="B1541" s="36" t="s">
        <v>57</v>
      </c>
      <c r="C1541" s="15" t="s">
        <v>52</v>
      </c>
      <c r="D1541" s="15" t="s">
        <v>48</v>
      </c>
      <c r="E1541" s="30">
        <f>H1540</f>
        <v>106.67199999999997</v>
      </c>
      <c r="F1541" s="37">
        <f>IFERROR('Production Inputs'!$DM$37*Dependencies!$D$17,0)</f>
        <v>0</v>
      </c>
      <c r="G1541" s="37">
        <f t="array" ref="G1541">IFERROR(SUMPRODUCT(('Production Inputs'!$A:$A="APG")*('Production Inputs'!$B:$B="TOTAL ACTIVE")*'Production Inputs'!$DM:$DM),0)</f>
        <v>0</v>
      </c>
      <c r="H1541" s="30">
        <f t="shared" si="168"/>
        <v>106.67199999999997</v>
      </c>
      <c r="I1541" s="30">
        <f ca="1">IFERROR(AVERAGEIF(OFFSET(F1541,0,0,MIN(Controls!$B$8,COUNTIF(B1541:B$1973,B1541)),1),"&gt;"&amp;0),0)</f>
        <v>0</v>
      </c>
      <c r="J1541" s="38">
        <f t="shared" ca="1" si="169"/>
        <v>999</v>
      </c>
      <c r="K1541" s="30">
        <f t="shared" ref="K1541:K1604" ca="1" si="173">IFERROR(IF(H1541&lt;(N1541*I1541), CEILING(MAX(0,ROUND((M1541*I1541-H1541)/P1541,0)*P1541),P1541), 0), 0)</f>
        <v>0</v>
      </c>
      <c r="L1541" t="str">
        <f t="shared" ca="1" si="170"/>
        <v>Overstock</v>
      </c>
      <c r="M1541" s="39">
        <f>IFERROR(VLOOKUP("APG",Controls!A:I,7,0),6)</f>
        <v>4</v>
      </c>
      <c r="N1541" s="39">
        <f>IFERROR(VLOOKUP("APG",Controls!A:I,8,0),3)</f>
        <v>3</v>
      </c>
      <c r="O1541" s="39">
        <f>IFERROR(VLOOKUP("APG",Controls!A:I,9,0),18)</f>
        <v>12</v>
      </c>
      <c r="P1541" s="40">
        <f>IFERROR(VLOOKUP("APG",Controls!A:J,5,0),0)</f>
        <v>95</v>
      </c>
      <c r="Q1541" s="39">
        <f>IFERROR(VLOOKUP("APG",Controls!A:J,6,0),3)</f>
        <v>4</v>
      </c>
      <c r="R1541" s="21" t="str">
        <f>IFERROR(VLOOKUP("APG",Controls!A:K,10,0),"")</f>
        <v>ST Pharm</v>
      </c>
      <c r="S1541" s="41">
        <f t="shared" si="171"/>
        <v>49126</v>
      </c>
      <c r="T1541" s="30">
        <f t="shared" si="172"/>
        <v>0</v>
      </c>
      <c r="AB1541">
        <f t="shared" ref="AB1541:AB1604" si="174">SUMIFS($F$4:$F$2331,$B$4:$B$2331,B1541,$A$4:$A$2331,"&lt;="&amp;A1541)</f>
        <v>308.84000000000003</v>
      </c>
    </row>
    <row r="1542" spans="1:28" ht="13" customHeight="1" x14ac:dyDescent="0.35">
      <c r="A1542" s="153">
        <v>49279</v>
      </c>
      <c r="B1542" s="36" t="s">
        <v>57</v>
      </c>
      <c r="C1542" s="15" t="s">
        <v>52</v>
      </c>
      <c r="D1542" s="15" t="s">
        <v>48</v>
      </c>
      <c r="E1542" s="30">
        <f>H1541</f>
        <v>106.67199999999997</v>
      </c>
      <c r="F1542" s="37">
        <f>IFERROR('Production Inputs'!$DN$37*Dependencies!$D$17,0)</f>
        <v>0</v>
      </c>
      <c r="G1542" s="37">
        <f t="array" ref="G1542">IFERROR(SUMPRODUCT(('Production Inputs'!$A:$A="APG")*('Production Inputs'!$B:$B="TOTAL ACTIVE")*'Production Inputs'!$DN:$DN),0)</f>
        <v>0</v>
      </c>
      <c r="H1542" s="30">
        <f t="shared" si="168"/>
        <v>106.67199999999997</v>
      </c>
      <c r="I1542" s="30">
        <f ca="1">IFERROR(AVERAGEIF(OFFSET(F1542,0,0,MIN(Controls!$B$8,COUNTIF(B1542:B$1973,B1542)),1),"&gt;"&amp;0),0)</f>
        <v>0</v>
      </c>
      <c r="J1542" s="38">
        <f t="shared" ca="1" si="169"/>
        <v>999</v>
      </c>
      <c r="K1542" s="30">
        <f t="shared" ca="1" si="173"/>
        <v>0</v>
      </c>
      <c r="L1542" t="str">
        <f t="shared" ca="1" si="170"/>
        <v>Overstock</v>
      </c>
      <c r="M1542" s="39">
        <f>IFERROR(VLOOKUP("APG",Controls!A:I,7,0),6)</f>
        <v>4</v>
      </c>
      <c r="N1542" s="39">
        <f>IFERROR(VLOOKUP("APG",Controls!A:I,8,0),3)</f>
        <v>3</v>
      </c>
      <c r="O1542" s="39">
        <f>IFERROR(VLOOKUP("APG",Controls!A:I,9,0),18)</f>
        <v>12</v>
      </c>
      <c r="P1542" s="40">
        <f>IFERROR(VLOOKUP("APG",Controls!A:J,5,0),0)</f>
        <v>95</v>
      </c>
      <c r="Q1542" s="39">
        <f>IFERROR(VLOOKUP("APG",Controls!A:J,6,0),3)</f>
        <v>4</v>
      </c>
      <c r="R1542" s="21" t="str">
        <f>IFERROR(VLOOKUP("APG",Controls!A:K,10,0),"")</f>
        <v>ST Pharm</v>
      </c>
      <c r="S1542" s="41">
        <f t="shared" si="171"/>
        <v>49157</v>
      </c>
      <c r="T1542" s="30">
        <f t="shared" si="172"/>
        <v>0</v>
      </c>
      <c r="AB1542">
        <f t="shared" si="174"/>
        <v>308.84000000000003</v>
      </c>
    </row>
    <row r="1543" spans="1:28" ht="13" customHeight="1" x14ac:dyDescent="0.35">
      <c r="A1543" s="153">
        <v>49310</v>
      </c>
      <c r="B1543" s="36" t="s">
        <v>57</v>
      </c>
      <c r="C1543" s="15" t="s">
        <v>52</v>
      </c>
      <c r="D1543" s="15" t="s">
        <v>48</v>
      </c>
      <c r="E1543" s="30">
        <f>H1542</f>
        <v>106.67199999999997</v>
      </c>
      <c r="F1543" s="37">
        <f>IFERROR('Production Inputs'!$DO$37*Dependencies!$D$17,0)</f>
        <v>0</v>
      </c>
      <c r="G1543" s="37">
        <f t="array" ref="G1543">IFERROR(SUMPRODUCT(('Production Inputs'!$A:$A="APG")*('Production Inputs'!$B:$B="TOTAL ACTIVE")*'Production Inputs'!$DO:$DO),0)</f>
        <v>0</v>
      </c>
      <c r="H1543" s="30">
        <f t="shared" si="168"/>
        <v>106.67199999999997</v>
      </c>
      <c r="I1543" s="30">
        <f ca="1">IFERROR(AVERAGEIF(OFFSET(F1543,0,0,MIN(Controls!$B$8,COUNTIF(B1543:B$1973,B1543)),1),"&gt;"&amp;0),0)</f>
        <v>0</v>
      </c>
      <c r="J1543" s="38">
        <f t="shared" ca="1" si="169"/>
        <v>999</v>
      </c>
      <c r="K1543" s="30">
        <f t="shared" ca="1" si="173"/>
        <v>0</v>
      </c>
      <c r="L1543" t="str">
        <f t="shared" ca="1" si="170"/>
        <v>Overstock</v>
      </c>
      <c r="M1543" s="39">
        <f>IFERROR(VLOOKUP("APG",Controls!A:I,7,0),6)</f>
        <v>4</v>
      </c>
      <c r="N1543" s="39">
        <f>IFERROR(VLOOKUP("APG",Controls!A:I,8,0),3)</f>
        <v>3</v>
      </c>
      <c r="O1543" s="39">
        <f>IFERROR(VLOOKUP("APG",Controls!A:I,9,0),18)</f>
        <v>12</v>
      </c>
      <c r="P1543" s="40">
        <f>IFERROR(VLOOKUP("APG",Controls!A:J,5,0),0)</f>
        <v>95</v>
      </c>
      <c r="Q1543" s="39">
        <f>IFERROR(VLOOKUP("APG",Controls!A:J,6,0),3)</f>
        <v>4</v>
      </c>
      <c r="R1543" s="21" t="str">
        <f>IFERROR(VLOOKUP("APG",Controls!A:K,10,0),"")</f>
        <v>ST Pharm</v>
      </c>
      <c r="S1543" s="41">
        <f t="shared" si="171"/>
        <v>49188</v>
      </c>
      <c r="T1543" s="30">
        <f t="shared" si="172"/>
        <v>0</v>
      </c>
      <c r="AB1543">
        <f t="shared" si="174"/>
        <v>308.84000000000003</v>
      </c>
    </row>
    <row r="1544" spans="1:28" ht="13" customHeight="1" x14ac:dyDescent="0.35">
      <c r="A1544" s="153">
        <v>49341</v>
      </c>
      <c r="B1544" s="36" t="s">
        <v>57</v>
      </c>
      <c r="C1544" s="15" t="s">
        <v>52</v>
      </c>
      <c r="D1544" s="15" t="s">
        <v>48</v>
      </c>
      <c r="E1544" s="30">
        <f>H1543</f>
        <v>106.67199999999997</v>
      </c>
      <c r="F1544" s="37">
        <f>IFERROR('Production Inputs'!$DP$37*Dependencies!$D$17,0)</f>
        <v>0</v>
      </c>
      <c r="G1544" s="37">
        <f t="array" ref="G1544">IFERROR(SUMPRODUCT(('Production Inputs'!$A:$A="APG")*('Production Inputs'!$B:$B="TOTAL ACTIVE")*'Production Inputs'!$DP:$DP),0)</f>
        <v>0</v>
      </c>
      <c r="H1544" s="30">
        <f t="shared" si="168"/>
        <v>106.67199999999997</v>
      </c>
      <c r="I1544" s="30">
        <f ca="1">IFERROR(AVERAGEIF(OFFSET(F1544,0,0,MIN(Controls!$B$8,COUNTIF(B1544:B$1973,B1544)),1),"&gt;"&amp;0),0)</f>
        <v>0</v>
      </c>
      <c r="J1544" s="38">
        <f t="shared" ca="1" si="169"/>
        <v>999</v>
      </c>
      <c r="K1544" s="30">
        <f t="shared" ca="1" si="173"/>
        <v>0</v>
      </c>
      <c r="L1544" t="str">
        <f t="shared" ca="1" si="170"/>
        <v>Overstock</v>
      </c>
      <c r="M1544" s="39">
        <f>IFERROR(VLOOKUP("APG",Controls!A:I,7,0),6)</f>
        <v>4</v>
      </c>
      <c r="N1544" s="39">
        <f>IFERROR(VLOOKUP("APG",Controls!A:I,8,0),3)</f>
        <v>3</v>
      </c>
      <c r="O1544" s="39">
        <f>IFERROR(VLOOKUP("APG",Controls!A:I,9,0),18)</f>
        <v>12</v>
      </c>
      <c r="P1544" s="40">
        <f>IFERROR(VLOOKUP("APG",Controls!A:J,5,0),0)</f>
        <v>95</v>
      </c>
      <c r="Q1544" s="39">
        <f>IFERROR(VLOOKUP("APG",Controls!A:J,6,0),3)</f>
        <v>4</v>
      </c>
      <c r="R1544" s="21" t="str">
        <f>IFERROR(VLOOKUP("APG",Controls!A:K,10,0),"")</f>
        <v>ST Pharm</v>
      </c>
      <c r="S1544" s="41">
        <f t="shared" si="171"/>
        <v>49218</v>
      </c>
      <c r="T1544" s="30">
        <f t="shared" si="172"/>
        <v>0</v>
      </c>
      <c r="AB1544">
        <f t="shared" si="174"/>
        <v>308.84000000000003</v>
      </c>
    </row>
    <row r="1545" spans="1:28" ht="13" customHeight="1" x14ac:dyDescent="0.35">
      <c r="A1545" s="153">
        <v>49369</v>
      </c>
      <c r="B1545" s="36" t="s">
        <v>57</v>
      </c>
      <c r="C1545" s="15" t="s">
        <v>52</v>
      </c>
      <c r="D1545" s="15" t="s">
        <v>48</v>
      </c>
      <c r="E1545" s="30">
        <f>H1544</f>
        <v>106.67199999999997</v>
      </c>
      <c r="F1545" s="37">
        <f>IFERROR('Production Inputs'!$DQ$37*Dependencies!$D$17,0)</f>
        <v>0</v>
      </c>
      <c r="G1545" s="37">
        <f t="array" ref="G1545">IFERROR(SUMPRODUCT(('Production Inputs'!$A:$A="APG")*('Production Inputs'!$B:$B="TOTAL ACTIVE")*'Production Inputs'!$DQ:$DQ),0)</f>
        <v>0</v>
      </c>
      <c r="H1545" s="30">
        <f t="shared" si="168"/>
        <v>106.67199999999997</v>
      </c>
      <c r="I1545" s="30">
        <f ca="1">IFERROR(AVERAGEIF(OFFSET(F1545,0,0,MIN(Controls!$B$8,COUNTIF(B1545:B$1973,B1545)),1),"&gt;"&amp;0),0)</f>
        <v>0</v>
      </c>
      <c r="J1545" s="38">
        <f t="shared" ca="1" si="169"/>
        <v>999</v>
      </c>
      <c r="K1545" s="30">
        <f t="shared" ca="1" si="173"/>
        <v>0</v>
      </c>
      <c r="L1545" t="str">
        <f t="shared" ca="1" si="170"/>
        <v>Overstock</v>
      </c>
      <c r="M1545" s="39">
        <f>IFERROR(VLOOKUP("APG",Controls!A:I,7,0),6)</f>
        <v>4</v>
      </c>
      <c r="N1545" s="39">
        <f>IFERROR(VLOOKUP("APG",Controls!A:I,8,0),3)</f>
        <v>3</v>
      </c>
      <c r="O1545" s="39">
        <f>IFERROR(VLOOKUP("APG",Controls!A:I,9,0),18)</f>
        <v>12</v>
      </c>
      <c r="P1545" s="40">
        <f>IFERROR(VLOOKUP("APG",Controls!A:J,5,0),0)</f>
        <v>95</v>
      </c>
      <c r="Q1545" s="39">
        <f>IFERROR(VLOOKUP("APG",Controls!A:J,6,0),3)</f>
        <v>4</v>
      </c>
      <c r="R1545" s="21" t="str">
        <f>IFERROR(VLOOKUP("APG",Controls!A:K,10,0),"")</f>
        <v>ST Pharm</v>
      </c>
      <c r="S1545" s="41">
        <f t="shared" si="171"/>
        <v>49249</v>
      </c>
      <c r="T1545" s="30">
        <f t="shared" si="172"/>
        <v>0</v>
      </c>
      <c r="AB1545">
        <f t="shared" si="174"/>
        <v>308.84000000000003</v>
      </c>
    </row>
    <row r="1546" spans="1:28" ht="13" customHeight="1" x14ac:dyDescent="0.35">
      <c r="A1546" s="153">
        <v>49400</v>
      </c>
      <c r="B1546" s="36" t="s">
        <v>57</v>
      </c>
      <c r="C1546" s="15" t="s">
        <v>52</v>
      </c>
      <c r="D1546" s="15" t="s">
        <v>48</v>
      </c>
      <c r="E1546" s="30">
        <f>H1545</f>
        <v>106.67199999999997</v>
      </c>
      <c r="F1546" s="37">
        <f>IFERROR('Production Inputs'!$DR$37*Dependencies!$D$17,0)</f>
        <v>0</v>
      </c>
      <c r="G1546" s="37">
        <f t="array" ref="G1546">IFERROR(SUMPRODUCT(('Production Inputs'!$A:$A="APG")*('Production Inputs'!$B:$B="TOTAL ACTIVE")*'Production Inputs'!$DR:$DR),0)</f>
        <v>0</v>
      </c>
      <c r="H1546" s="30">
        <f t="shared" si="168"/>
        <v>106.67199999999997</v>
      </c>
      <c r="I1546" s="30">
        <f ca="1">IFERROR(AVERAGEIF(OFFSET(F1546,0,0,MIN(Controls!$B$8,COUNTIF(B1546:B$1973,B1546)),1),"&gt;"&amp;0),0)</f>
        <v>0</v>
      </c>
      <c r="J1546" s="38">
        <f t="shared" ca="1" si="169"/>
        <v>999</v>
      </c>
      <c r="K1546" s="30">
        <f t="shared" ca="1" si="173"/>
        <v>0</v>
      </c>
      <c r="L1546" t="str">
        <f t="shared" ca="1" si="170"/>
        <v>Overstock</v>
      </c>
      <c r="M1546" s="39">
        <f>IFERROR(VLOOKUP("APG",Controls!A:I,7,0),6)</f>
        <v>4</v>
      </c>
      <c r="N1546" s="39">
        <f>IFERROR(VLOOKUP("APG",Controls!A:I,8,0),3)</f>
        <v>3</v>
      </c>
      <c r="O1546" s="39">
        <f>IFERROR(VLOOKUP("APG",Controls!A:I,9,0),18)</f>
        <v>12</v>
      </c>
      <c r="P1546" s="40">
        <f>IFERROR(VLOOKUP("APG",Controls!A:J,5,0),0)</f>
        <v>95</v>
      </c>
      <c r="Q1546" s="39">
        <f>IFERROR(VLOOKUP("APG",Controls!A:J,6,0),3)</f>
        <v>4</v>
      </c>
      <c r="R1546" s="21" t="str">
        <f>IFERROR(VLOOKUP("APG",Controls!A:K,10,0),"")</f>
        <v>ST Pharm</v>
      </c>
      <c r="S1546" s="41">
        <f t="shared" si="171"/>
        <v>49279</v>
      </c>
      <c r="T1546" s="30">
        <f t="shared" si="172"/>
        <v>0</v>
      </c>
      <c r="AB1546">
        <f t="shared" si="174"/>
        <v>308.84000000000003</v>
      </c>
    </row>
    <row r="1547" spans="1:28" ht="13" customHeight="1" x14ac:dyDescent="0.35">
      <c r="A1547" s="153">
        <v>49430</v>
      </c>
      <c r="B1547" s="36" t="s">
        <v>57</v>
      </c>
      <c r="C1547" s="15" t="s">
        <v>52</v>
      </c>
      <c r="D1547" s="15" t="s">
        <v>48</v>
      </c>
      <c r="E1547" s="30">
        <f>H1546</f>
        <v>106.67199999999997</v>
      </c>
      <c r="F1547" s="37">
        <f>IFERROR('Production Inputs'!$DS$37*Dependencies!$D$17,0)</f>
        <v>0</v>
      </c>
      <c r="G1547" s="37">
        <f t="array" ref="G1547">IFERROR(SUMPRODUCT(('Production Inputs'!$A:$A="APG")*('Production Inputs'!$B:$B="TOTAL ACTIVE")*'Production Inputs'!$DS:$DS),0)</f>
        <v>0</v>
      </c>
      <c r="H1547" s="30">
        <f t="shared" si="168"/>
        <v>106.67199999999997</v>
      </c>
      <c r="I1547" s="30">
        <f ca="1">IFERROR(AVERAGEIF(OFFSET(F1547,0,0,MIN(Controls!$B$8,COUNTIF(B1547:B$1973,B1547)),1),"&gt;"&amp;0),0)</f>
        <v>0</v>
      </c>
      <c r="J1547" s="38">
        <f t="shared" ca="1" si="169"/>
        <v>999</v>
      </c>
      <c r="K1547" s="30">
        <f t="shared" ca="1" si="173"/>
        <v>0</v>
      </c>
      <c r="L1547" t="str">
        <f t="shared" ca="1" si="170"/>
        <v>Overstock</v>
      </c>
      <c r="M1547" s="39">
        <f>IFERROR(VLOOKUP("APG",Controls!A:I,7,0),6)</f>
        <v>4</v>
      </c>
      <c r="N1547" s="39">
        <f>IFERROR(VLOOKUP("APG",Controls!A:I,8,0),3)</f>
        <v>3</v>
      </c>
      <c r="O1547" s="39">
        <f>IFERROR(VLOOKUP("APG",Controls!A:I,9,0),18)</f>
        <v>12</v>
      </c>
      <c r="P1547" s="40">
        <f>IFERROR(VLOOKUP("APG",Controls!A:J,5,0),0)</f>
        <v>95</v>
      </c>
      <c r="Q1547" s="39">
        <f>IFERROR(VLOOKUP("APG",Controls!A:J,6,0),3)</f>
        <v>4</v>
      </c>
      <c r="R1547" s="21" t="str">
        <f>IFERROR(VLOOKUP("APG",Controls!A:K,10,0),"")</f>
        <v>ST Pharm</v>
      </c>
      <c r="S1547" s="41">
        <f t="shared" si="171"/>
        <v>49310</v>
      </c>
      <c r="T1547" s="30">
        <f t="shared" si="172"/>
        <v>0</v>
      </c>
      <c r="AB1547">
        <f t="shared" si="174"/>
        <v>308.84000000000003</v>
      </c>
    </row>
    <row r="1548" spans="1:28" ht="13" customHeight="1" x14ac:dyDescent="0.35">
      <c r="A1548" s="153">
        <v>49461</v>
      </c>
      <c r="B1548" s="36" t="s">
        <v>57</v>
      </c>
      <c r="C1548" s="15" t="s">
        <v>52</v>
      </c>
      <c r="D1548" s="15" t="s">
        <v>48</v>
      </c>
      <c r="E1548" s="30">
        <f>H1547</f>
        <v>106.67199999999997</v>
      </c>
      <c r="F1548" s="37">
        <f>IFERROR('Production Inputs'!$DT$37*Dependencies!$D$17,0)</f>
        <v>0</v>
      </c>
      <c r="G1548" s="37">
        <f t="array" ref="G1548">IFERROR(SUMPRODUCT(('Production Inputs'!$A:$A="APG")*('Production Inputs'!$B:$B="TOTAL ACTIVE")*'Production Inputs'!$DT:$DT),0)</f>
        <v>0</v>
      </c>
      <c r="H1548" s="30">
        <f t="shared" si="168"/>
        <v>106.67199999999997</v>
      </c>
      <c r="I1548" s="30">
        <f ca="1">IFERROR(AVERAGEIF(OFFSET(F1548,0,0,MIN(Controls!$B$8,COUNTIF(B1548:B$1973,B1548)),1),"&gt;"&amp;0),0)</f>
        <v>0</v>
      </c>
      <c r="J1548" s="38">
        <f t="shared" ca="1" si="169"/>
        <v>999</v>
      </c>
      <c r="K1548" s="30">
        <f t="shared" ca="1" si="173"/>
        <v>0</v>
      </c>
      <c r="L1548" t="str">
        <f t="shared" ca="1" si="170"/>
        <v>Overstock</v>
      </c>
      <c r="M1548" s="39">
        <f>IFERROR(VLOOKUP("APG",Controls!A:I,7,0),6)</f>
        <v>4</v>
      </c>
      <c r="N1548" s="39">
        <f>IFERROR(VLOOKUP("APG",Controls!A:I,8,0),3)</f>
        <v>3</v>
      </c>
      <c r="O1548" s="39">
        <f>IFERROR(VLOOKUP("APG",Controls!A:I,9,0),18)</f>
        <v>12</v>
      </c>
      <c r="P1548" s="40">
        <f>IFERROR(VLOOKUP("APG",Controls!A:J,5,0),0)</f>
        <v>95</v>
      </c>
      <c r="Q1548" s="39">
        <f>IFERROR(VLOOKUP("APG",Controls!A:J,6,0),3)</f>
        <v>4</v>
      </c>
      <c r="R1548" s="21" t="str">
        <f>IFERROR(VLOOKUP("APG",Controls!A:K,10,0),"")</f>
        <v>ST Pharm</v>
      </c>
      <c r="S1548" s="41">
        <f t="shared" si="171"/>
        <v>49341</v>
      </c>
      <c r="T1548" s="30">
        <f t="shared" si="172"/>
        <v>0</v>
      </c>
      <c r="AB1548">
        <f t="shared" si="174"/>
        <v>308.84000000000003</v>
      </c>
    </row>
    <row r="1549" spans="1:28" ht="13" customHeight="1" x14ac:dyDescent="0.35">
      <c r="A1549" s="153">
        <v>49491</v>
      </c>
      <c r="B1549" s="36" t="s">
        <v>57</v>
      </c>
      <c r="C1549" s="15" t="s">
        <v>52</v>
      </c>
      <c r="D1549" s="15" t="s">
        <v>48</v>
      </c>
      <c r="E1549" s="30">
        <f>H1548</f>
        <v>106.67199999999997</v>
      </c>
      <c r="F1549" s="37">
        <f>IFERROR('Production Inputs'!$DU$37*Dependencies!$D$17,0)</f>
        <v>0</v>
      </c>
      <c r="G1549" s="37">
        <f t="array" ref="G1549">IFERROR(SUMPRODUCT(('Production Inputs'!$A:$A="APG")*('Production Inputs'!$B:$B="TOTAL ACTIVE")*'Production Inputs'!$DU:$DU),0)</f>
        <v>0</v>
      </c>
      <c r="H1549" s="30">
        <f t="shared" si="168"/>
        <v>106.67199999999997</v>
      </c>
      <c r="I1549" s="30">
        <f ca="1">IFERROR(AVERAGEIF(OFFSET(F1549,0,0,MIN(Controls!$B$8,COUNTIF(B1549:B$1973,B1549)),1),"&gt;"&amp;0),0)</f>
        <v>0</v>
      </c>
      <c r="J1549" s="38">
        <f t="shared" ca="1" si="169"/>
        <v>999</v>
      </c>
      <c r="K1549" s="30">
        <f t="shared" ca="1" si="173"/>
        <v>0</v>
      </c>
      <c r="L1549" t="str">
        <f t="shared" ca="1" si="170"/>
        <v>Overstock</v>
      </c>
      <c r="M1549" s="39">
        <f>IFERROR(VLOOKUP("APG",Controls!A:I,7,0),6)</f>
        <v>4</v>
      </c>
      <c r="N1549" s="39">
        <f>IFERROR(VLOOKUP("APG",Controls!A:I,8,0),3)</f>
        <v>3</v>
      </c>
      <c r="O1549" s="39">
        <f>IFERROR(VLOOKUP("APG",Controls!A:I,9,0),18)</f>
        <v>12</v>
      </c>
      <c r="P1549" s="40">
        <f>IFERROR(VLOOKUP("APG",Controls!A:J,5,0),0)</f>
        <v>95</v>
      </c>
      <c r="Q1549" s="39">
        <f>IFERROR(VLOOKUP("APG",Controls!A:J,6,0),3)</f>
        <v>4</v>
      </c>
      <c r="R1549" s="21" t="str">
        <f>IFERROR(VLOOKUP("APG",Controls!A:K,10,0),"")</f>
        <v>ST Pharm</v>
      </c>
      <c r="S1549" s="41">
        <f t="shared" si="171"/>
        <v>49369</v>
      </c>
      <c r="T1549" s="30">
        <f t="shared" si="172"/>
        <v>0</v>
      </c>
      <c r="AB1549">
        <f t="shared" si="174"/>
        <v>308.84000000000003</v>
      </c>
    </row>
    <row r="1550" spans="1:28" ht="13" customHeight="1" x14ac:dyDescent="0.35">
      <c r="A1550" s="153">
        <v>49522</v>
      </c>
      <c r="B1550" s="36" t="s">
        <v>57</v>
      </c>
      <c r="C1550" s="15" t="s">
        <v>52</v>
      </c>
      <c r="D1550" s="15" t="s">
        <v>48</v>
      </c>
      <c r="E1550" s="30">
        <f>H1549</f>
        <v>106.67199999999997</v>
      </c>
      <c r="F1550" s="37">
        <f>IFERROR('Production Inputs'!$DV$37*Dependencies!$D$17,0)</f>
        <v>0</v>
      </c>
      <c r="G1550" s="37">
        <f t="array" ref="G1550">IFERROR(SUMPRODUCT(('Production Inputs'!$A:$A="APG")*('Production Inputs'!$B:$B="TOTAL ACTIVE")*'Production Inputs'!$DV:$DV),0)</f>
        <v>0</v>
      </c>
      <c r="H1550" s="30">
        <f t="shared" si="168"/>
        <v>106.67199999999997</v>
      </c>
      <c r="I1550" s="30">
        <f ca="1">IFERROR(AVERAGEIF(OFFSET(F1550,0,0,MIN(Controls!$B$8,COUNTIF(B1550:B$1973,B1550)),1),"&gt;"&amp;0),0)</f>
        <v>0</v>
      </c>
      <c r="J1550" s="38">
        <f t="shared" ca="1" si="169"/>
        <v>999</v>
      </c>
      <c r="K1550" s="30">
        <f t="shared" ca="1" si="173"/>
        <v>0</v>
      </c>
      <c r="L1550" t="str">
        <f t="shared" ca="1" si="170"/>
        <v>Overstock</v>
      </c>
      <c r="M1550" s="39">
        <f>IFERROR(VLOOKUP("APG",Controls!A:I,7,0),6)</f>
        <v>4</v>
      </c>
      <c r="N1550" s="39">
        <f>IFERROR(VLOOKUP("APG",Controls!A:I,8,0),3)</f>
        <v>3</v>
      </c>
      <c r="O1550" s="39">
        <f>IFERROR(VLOOKUP("APG",Controls!A:I,9,0),18)</f>
        <v>12</v>
      </c>
      <c r="P1550" s="40">
        <f>IFERROR(VLOOKUP("APG",Controls!A:J,5,0),0)</f>
        <v>95</v>
      </c>
      <c r="Q1550" s="39">
        <f>IFERROR(VLOOKUP("APG",Controls!A:J,6,0),3)</f>
        <v>4</v>
      </c>
      <c r="R1550" s="21" t="str">
        <f>IFERROR(VLOOKUP("APG",Controls!A:K,10,0),"")</f>
        <v>ST Pharm</v>
      </c>
      <c r="S1550" s="41">
        <f t="shared" si="171"/>
        <v>49400</v>
      </c>
      <c r="T1550" s="30">
        <f t="shared" si="172"/>
        <v>0</v>
      </c>
      <c r="AB1550">
        <f t="shared" si="174"/>
        <v>308.84000000000003</v>
      </c>
    </row>
    <row r="1551" spans="1:28" ht="13" customHeight="1" x14ac:dyDescent="0.35">
      <c r="A1551" s="153">
        <v>49553</v>
      </c>
      <c r="B1551" s="36" t="s">
        <v>57</v>
      </c>
      <c r="C1551" s="15" t="s">
        <v>52</v>
      </c>
      <c r="D1551" s="15" t="s">
        <v>48</v>
      </c>
      <c r="E1551" s="30">
        <f>H1550</f>
        <v>106.67199999999997</v>
      </c>
      <c r="F1551" s="37">
        <f>IFERROR('Production Inputs'!$DW$37*Dependencies!$D$17,0)</f>
        <v>0</v>
      </c>
      <c r="G1551" s="37">
        <f t="array" ref="G1551">IFERROR(SUMPRODUCT(('Production Inputs'!$A:$A="APG")*('Production Inputs'!$B:$B="TOTAL ACTIVE")*'Production Inputs'!$DW:$DW),0)</f>
        <v>0</v>
      </c>
      <c r="H1551" s="30">
        <f t="shared" si="168"/>
        <v>106.67199999999997</v>
      </c>
      <c r="I1551" s="30">
        <f ca="1">IFERROR(AVERAGEIF(OFFSET(F1551,0,0,MIN(Controls!$B$8,COUNTIF(B1551:B$1973,B1551)),1),"&gt;"&amp;0),0)</f>
        <v>0</v>
      </c>
      <c r="J1551" s="38">
        <f t="shared" ca="1" si="169"/>
        <v>999</v>
      </c>
      <c r="K1551" s="30">
        <f t="shared" ca="1" si="173"/>
        <v>0</v>
      </c>
      <c r="L1551" t="str">
        <f t="shared" ca="1" si="170"/>
        <v>Overstock</v>
      </c>
      <c r="M1551" s="39">
        <f>IFERROR(VLOOKUP("APG",Controls!A:I,7,0),6)</f>
        <v>4</v>
      </c>
      <c r="N1551" s="39">
        <f>IFERROR(VLOOKUP("APG",Controls!A:I,8,0),3)</f>
        <v>3</v>
      </c>
      <c r="O1551" s="39">
        <f>IFERROR(VLOOKUP("APG",Controls!A:I,9,0),18)</f>
        <v>12</v>
      </c>
      <c r="P1551" s="40">
        <f>IFERROR(VLOOKUP("APG",Controls!A:J,5,0),0)</f>
        <v>95</v>
      </c>
      <c r="Q1551" s="39">
        <f>IFERROR(VLOOKUP("APG",Controls!A:J,6,0),3)</f>
        <v>4</v>
      </c>
      <c r="R1551" s="21" t="str">
        <f>IFERROR(VLOOKUP("APG",Controls!A:K,10,0),"")</f>
        <v>ST Pharm</v>
      </c>
      <c r="S1551" s="41">
        <f t="shared" si="171"/>
        <v>49430</v>
      </c>
      <c r="T1551" s="30">
        <f t="shared" si="172"/>
        <v>0</v>
      </c>
      <c r="AB1551">
        <f t="shared" si="174"/>
        <v>308.84000000000003</v>
      </c>
    </row>
    <row r="1552" spans="1:28" ht="13" customHeight="1" x14ac:dyDescent="0.35">
      <c r="A1552" s="153">
        <v>49583</v>
      </c>
      <c r="B1552" s="36" t="s">
        <v>57</v>
      </c>
      <c r="C1552" s="15" t="s">
        <v>52</v>
      </c>
      <c r="D1552" s="15" t="s">
        <v>48</v>
      </c>
      <c r="E1552" s="30">
        <f>H1551</f>
        <v>106.67199999999997</v>
      </c>
      <c r="F1552" s="37">
        <f>IFERROR('Production Inputs'!$DX$37*Dependencies!$D$17,0)</f>
        <v>0</v>
      </c>
      <c r="G1552" s="37">
        <f t="array" ref="G1552">IFERROR(SUMPRODUCT(('Production Inputs'!$A:$A="APG")*('Production Inputs'!$B:$B="TOTAL ACTIVE")*'Production Inputs'!$DX:$DX),0)</f>
        <v>0</v>
      </c>
      <c r="H1552" s="30">
        <f t="shared" si="168"/>
        <v>106.67199999999997</v>
      </c>
      <c r="I1552" s="30">
        <f ca="1">IFERROR(AVERAGEIF(OFFSET(F1552,0,0,MIN(Controls!$B$8,COUNTIF(B1552:B$1973,B1552)),1),"&gt;"&amp;0),0)</f>
        <v>0</v>
      </c>
      <c r="J1552" s="38">
        <f t="shared" ca="1" si="169"/>
        <v>999</v>
      </c>
      <c r="K1552" s="30">
        <f t="shared" ca="1" si="173"/>
        <v>0</v>
      </c>
      <c r="L1552" t="str">
        <f t="shared" ca="1" si="170"/>
        <v>Overstock</v>
      </c>
      <c r="M1552" s="39">
        <f>IFERROR(VLOOKUP("APG",Controls!A:I,7,0),6)</f>
        <v>4</v>
      </c>
      <c r="N1552" s="39">
        <f>IFERROR(VLOOKUP("APG",Controls!A:I,8,0),3)</f>
        <v>3</v>
      </c>
      <c r="O1552" s="39">
        <f>IFERROR(VLOOKUP("APG",Controls!A:I,9,0),18)</f>
        <v>12</v>
      </c>
      <c r="P1552" s="40">
        <f>IFERROR(VLOOKUP("APG",Controls!A:J,5,0),0)</f>
        <v>95</v>
      </c>
      <c r="Q1552" s="39">
        <f>IFERROR(VLOOKUP("APG",Controls!A:J,6,0),3)</f>
        <v>4</v>
      </c>
      <c r="R1552" s="21" t="str">
        <f>IFERROR(VLOOKUP("APG",Controls!A:K,10,0),"")</f>
        <v>ST Pharm</v>
      </c>
      <c r="S1552" s="41">
        <f t="shared" si="171"/>
        <v>49461</v>
      </c>
      <c r="T1552" s="30">
        <f t="shared" si="172"/>
        <v>0</v>
      </c>
      <c r="AB1552">
        <f t="shared" si="174"/>
        <v>308.84000000000003</v>
      </c>
    </row>
    <row r="1553" spans="1:28" ht="13" customHeight="1" x14ac:dyDescent="0.35">
      <c r="A1553" s="153">
        <v>49614</v>
      </c>
      <c r="B1553" s="36" t="s">
        <v>57</v>
      </c>
      <c r="C1553" s="15" t="s">
        <v>52</v>
      </c>
      <c r="D1553" s="15" t="s">
        <v>48</v>
      </c>
      <c r="E1553" s="30">
        <f>H1552</f>
        <v>106.67199999999997</v>
      </c>
      <c r="F1553" s="37">
        <f>IFERROR('Production Inputs'!$DY$37*Dependencies!$D$17,0)</f>
        <v>0</v>
      </c>
      <c r="G1553" s="37">
        <f t="array" ref="G1553">IFERROR(SUMPRODUCT(('Production Inputs'!$A:$A="APG")*('Production Inputs'!$B:$B="TOTAL ACTIVE")*'Production Inputs'!$DY:$DY),0)</f>
        <v>0</v>
      </c>
      <c r="H1553" s="30">
        <f t="shared" si="168"/>
        <v>106.67199999999997</v>
      </c>
      <c r="I1553" s="30">
        <f ca="1">IFERROR(AVERAGEIF(OFFSET(F1553,0,0,MIN(Controls!$B$8,COUNTIF(B1553:B$1973,B1553)),1),"&gt;"&amp;0),0)</f>
        <v>0</v>
      </c>
      <c r="J1553" s="38">
        <f t="shared" ca="1" si="169"/>
        <v>999</v>
      </c>
      <c r="K1553" s="30">
        <f t="shared" ca="1" si="173"/>
        <v>0</v>
      </c>
      <c r="L1553" t="str">
        <f t="shared" ca="1" si="170"/>
        <v>Overstock</v>
      </c>
      <c r="M1553" s="39">
        <f>IFERROR(VLOOKUP("APG",Controls!A:I,7,0),6)</f>
        <v>4</v>
      </c>
      <c r="N1553" s="39">
        <f>IFERROR(VLOOKUP("APG",Controls!A:I,8,0),3)</f>
        <v>3</v>
      </c>
      <c r="O1553" s="39">
        <f>IFERROR(VLOOKUP("APG",Controls!A:I,9,0),18)</f>
        <v>12</v>
      </c>
      <c r="P1553" s="40">
        <f>IFERROR(VLOOKUP("APG",Controls!A:J,5,0),0)</f>
        <v>95</v>
      </c>
      <c r="Q1553" s="39">
        <f>IFERROR(VLOOKUP("APG",Controls!A:J,6,0),3)</f>
        <v>4</v>
      </c>
      <c r="R1553" s="21" t="str">
        <f>IFERROR(VLOOKUP("APG",Controls!A:K,10,0),"")</f>
        <v>ST Pharm</v>
      </c>
      <c r="S1553" s="41">
        <f t="shared" si="171"/>
        <v>49491</v>
      </c>
      <c r="T1553" s="30">
        <f t="shared" si="172"/>
        <v>0</v>
      </c>
      <c r="AB1553">
        <f t="shared" si="174"/>
        <v>308.84000000000003</v>
      </c>
    </row>
    <row r="1554" spans="1:28" ht="13" customHeight="1" x14ac:dyDescent="0.35">
      <c r="A1554" s="153">
        <v>49644</v>
      </c>
      <c r="B1554" s="36" t="s">
        <v>57</v>
      </c>
      <c r="C1554" s="15" t="s">
        <v>52</v>
      </c>
      <c r="D1554" s="15" t="s">
        <v>48</v>
      </c>
      <c r="E1554" s="30">
        <f>H1553</f>
        <v>106.67199999999997</v>
      </c>
      <c r="F1554" s="37">
        <f>IFERROR('Production Inputs'!$DZ$37*Dependencies!$D$17,0)</f>
        <v>0</v>
      </c>
      <c r="G1554" s="37">
        <f t="array" ref="G1554">IFERROR(SUMPRODUCT(('Production Inputs'!$A:$A="APG")*('Production Inputs'!$B:$B="TOTAL ACTIVE")*'Production Inputs'!$DZ:$DZ),0)</f>
        <v>0</v>
      </c>
      <c r="H1554" s="30">
        <f t="shared" si="168"/>
        <v>106.67199999999997</v>
      </c>
      <c r="I1554" s="30">
        <f ca="1">IFERROR(AVERAGEIF(OFFSET(F1554,0,0,MIN(Controls!$B$8,COUNTIF(B1554:B$1973,B1554)),1),"&gt;"&amp;0),0)</f>
        <v>0</v>
      </c>
      <c r="J1554" s="38">
        <f t="shared" ca="1" si="169"/>
        <v>999</v>
      </c>
      <c r="K1554" s="30">
        <f t="shared" ca="1" si="173"/>
        <v>0</v>
      </c>
      <c r="L1554" t="str">
        <f t="shared" ca="1" si="170"/>
        <v>Overstock</v>
      </c>
      <c r="M1554" s="39">
        <f>IFERROR(VLOOKUP("APG",Controls!A:I,7,0),6)</f>
        <v>4</v>
      </c>
      <c r="N1554" s="39">
        <f>IFERROR(VLOOKUP("APG",Controls!A:I,8,0),3)</f>
        <v>3</v>
      </c>
      <c r="O1554" s="39">
        <f>IFERROR(VLOOKUP("APG",Controls!A:I,9,0),18)</f>
        <v>12</v>
      </c>
      <c r="P1554" s="40">
        <f>IFERROR(VLOOKUP("APG",Controls!A:J,5,0),0)</f>
        <v>95</v>
      </c>
      <c r="Q1554" s="39">
        <f>IFERROR(VLOOKUP("APG",Controls!A:J,6,0),3)</f>
        <v>4</v>
      </c>
      <c r="R1554" s="21" t="str">
        <f>IFERROR(VLOOKUP("APG",Controls!A:K,10,0),"")</f>
        <v>ST Pharm</v>
      </c>
      <c r="S1554" s="41">
        <f t="shared" si="171"/>
        <v>49522</v>
      </c>
      <c r="T1554" s="30">
        <f t="shared" si="172"/>
        <v>0</v>
      </c>
      <c r="AB1554">
        <f t="shared" si="174"/>
        <v>308.84000000000003</v>
      </c>
    </row>
    <row r="1555" spans="1:28" ht="13" customHeight="1" x14ac:dyDescent="0.35">
      <c r="A1555" s="153">
        <v>49675</v>
      </c>
      <c r="B1555" s="36" t="s">
        <v>57</v>
      </c>
      <c r="C1555" s="15" t="s">
        <v>52</v>
      </c>
      <c r="D1555" s="15" t="s">
        <v>48</v>
      </c>
      <c r="E1555" s="30">
        <f>H1554</f>
        <v>106.67199999999997</v>
      </c>
      <c r="F1555" s="37">
        <f>IFERROR('Production Inputs'!$EA$37*Dependencies!$D$17,0)</f>
        <v>0</v>
      </c>
      <c r="G1555" s="37">
        <f t="array" ref="G1555">IFERROR(SUMPRODUCT(('Production Inputs'!$A:$A="APG")*('Production Inputs'!$B:$B="TOTAL ACTIVE")*'Production Inputs'!$EA:$EA),0)</f>
        <v>0</v>
      </c>
      <c r="H1555" s="30">
        <f t="shared" si="168"/>
        <v>106.67199999999997</v>
      </c>
      <c r="I1555" s="30">
        <f ca="1">IFERROR(AVERAGEIF(OFFSET(F1555,0,0,MIN(Controls!$B$8,COUNTIF(B1555:B$1973,B1555)),1),"&gt;"&amp;0),0)</f>
        <v>0</v>
      </c>
      <c r="J1555" s="38">
        <f t="shared" ca="1" si="169"/>
        <v>999</v>
      </c>
      <c r="K1555" s="30">
        <f t="shared" ca="1" si="173"/>
        <v>0</v>
      </c>
      <c r="L1555" t="str">
        <f t="shared" ca="1" si="170"/>
        <v>Overstock</v>
      </c>
      <c r="M1555" s="39">
        <f>IFERROR(VLOOKUP("APG",Controls!A:I,7,0),6)</f>
        <v>4</v>
      </c>
      <c r="N1555" s="39">
        <f>IFERROR(VLOOKUP("APG",Controls!A:I,8,0),3)</f>
        <v>3</v>
      </c>
      <c r="O1555" s="39">
        <f>IFERROR(VLOOKUP("APG",Controls!A:I,9,0),18)</f>
        <v>12</v>
      </c>
      <c r="P1555" s="40">
        <f>IFERROR(VLOOKUP("APG",Controls!A:J,5,0),0)</f>
        <v>95</v>
      </c>
      <c r="Q1555" s="39">
        <f>IFERROR(VLOOKUP("APG",Controls!A:J,6,0),3)</f>
        <v>4</v>
      </c>
      <c r="R1555" s="21" t="str">
        <f>IFERROR(VLOOKUP("APG",Controls!A:K,10,0),"")</f>
        <v>ST Pharm</v>
      </c>
      <c r="S1555" s="41">
        <f t="shared" si="171"/>
        <v>49553</v>
      </c>
      <c r="T1555" s="30">
        <f t="shared" si="172"/>
        <v>0</v>
      </c>
      <c r="AB1555">
        <f t="shared" si="174"/>
        <v>308.84000000000003</v>
      </c>
    </row>
    <row r="1556" spans="1:28" ht="13" customHeight="1" x14ac:dyDescent="0.35">
      <c r="A1556" s="153">
        <v>49706</v>
      </c>
      <c r="B1556" s="36" t="s">
        <v>57</v>
      </c>
      <c r="C1556" s="15" t="s">
        <v>52</v>
      </c>
      <c r="D1556" s="15" t="s">
        <v>48</v>
      </c>
      <c r="E1556" s="30">
        <f>H1555</f>
        <v>106.67199999999997</v>
      </c>
      <c r="F1556" s="37">
        <f>IFERROR('Production Inputs'!$EB$37*Dependencies!$D$17,0)</f>
        <v>0</v>
      </c>
      <c r="G1556" s="37">
        <f t="array" ref="G1556">IFERROR(SUMPRODUCT(('Production Inputs'!$A:$A="APG")*('Production Inputs'!$B:$B="TOTAL ACTIVE")*'Production Inputs'!$EB:$EB),0)</f>
        <v>0</v>
      </c>
      <c r="H1556" s="30">
        <f t="shared" si="168"/>
        <v>106.67199999999997</v>
      </c>
      <c r="I1556" s="30">
        <f ca="1">IFERROR(AVERAGEIF(OFFSET(F1556,0,0,MIN(Controls!$B$8,COUNTIF(B1556:B$1973,B1556)),1),"&gt;"&amp;0),0)</f>
        <v>0</v>
      </c>
      <c r="J1556" s="38">
        <f t="shared" ca="1" si="169"/>
        <v>999</v>
      </c>
      <c r="K1556" s="30">
        <f t="shared" ca="1" si="173"/>
        <v>0</v>
      </c>
      <c r="L1556" t="str">
        <f t="shared" ca="1" si="170"/>
        <v>Overstock</v>
      </c>
      <c r="M1556" s="39">
        <f>IFERROR(VLOOKUP("APG",Controls!A:I,7,0),6)</f>
        <v>4</v>
      </c>
      <c r="N1556" s="39">
        <f>IFERROR(VLOOKUP("APG",Controls!A:I,8,0),3)</f>
        <v>3</v>
      </c>
      <c r="O1556" s="39">
        <f>IFERROR(VLOOKUP("APG",Controls!A:I,9,0),18)</f>
        <v>12</v>
      </c>
      <c r="P1556" s="40">
        <f>IFERROR(VLOOKUP("APG",Controls!A:J,5,0),0)</f>
        <v>95</v>
      </c>
      <c r="Q1556" s="39">
        <f>IFERROR(VLOOKUP("APG",Controls!A:J,6,0),3)</f>
        <v>4</v>
      </c>
      <c r="R1556" s="21" t="str">
        <f>IFERROR(VLOOKUP("APG",Controls!A:K,10,0),"")</f>
        <v>ST Pharm</v>
      </c>
      <c r="S1556" s="41">
        <f t="shared" si="171"/>
        <v>49583</v>
      </c>
      <c r="T1556" s="30">
        <f t="shared" si="172"/>
        <v>0</v>
      </c>
      <c r="AB1556">
        <f t="shared" si="174"/>
        <v>308.84000000000003</v>
      </c>
    </row>
    <row r="1557" spans="1:28" ht="13" customHeight="1" x14ac:dyDescent="0.35">
      <c r="A1557" s="153">
        <v>49735</v>
      </c>
      <c r="B1557" s="36" t="s">
        <v>57</v>
      </c>
      <c r="C1557" s="15" t="s">
        <v>52</v>
      </c>
      <c r="D1557" s="15" t="s">
        <v>48</v>
      </c>
      <c r="E1557" s="30">
        <f>H1556</f>
        <v>106.67199999999997</v>
      </c>
      <c r="F1557" s="37">
        <f>IFERROR('Production Inputs'!$EC$37*Dependencies!$D$17,0)</f>
        <v>0</v>
      </c>
      <c r="G1557" s="37">
        <f t="array" ref="G1557">IFERROR(SUMPRODUCT(('Production Inputs'!$A:$A="APG")*('Production Inputs'!$B:$B="TOTAL ACTIVE")*'Production Inputs'!$EC:$EC),0)</f>
        <v>0</v>
      </c>
      <c r="H1557" s="30">
        <f t="shared" si="168"/>
        <v>106.67199999999997</v>
      </c>
      <c r="I1557" s="30">
        <f ca="1">IFERROR(AVERAGEIF(OFFSET(F1557,0,0,MIN(Controls!$B$8,COUNTIF(B1557:B$1973,B1557)),1),"&gt;"&amp;0),0)</f>
        <v>0</v>
      </c>
      <c r="J1557" s="38">
        <f t="shared" ca="1" si="169"/>
        <v>999</v>
      </c>
      <c r="K1557" s="30">
        <f t="shared" ca="1" si="173"/>
        <v>0</v>
      </c>
      <c r="L1557" t="str">
        <f t="shared" ca="1" si="170"/>
        <v>Overstock</v>
      </c>
      <c r="M1557" s="39">
        <f>IFERROR(VLOOKUP("APG",Controls!A:I,7,0),6)</f>
        <v>4</v>
      </c>
      <c r="N1557" s="39">
        <f>IFERROR(VLOOKUP("APG",Controls!A:I,8,0),3)</f>
        <v>3</v>
      </c>
      <c r="O1557" s="39">
        <f>IFERROR(VLOOKUP("APG",Controls!A:I,9,0),18)</f>
        <v>12</v>
      </c>
      <c r="P1557" s="40">
        <f>IFERROR(VLOOKUP("APG",Controls!A:J,5,0),0)</f>
        <v>95</v>
      </c>
      <c r="Q1557" s="39">
        <f>IFERROR(VLOOKUP("APG",Controls!A:J,6,0),3)</f>
        <v>4</v>
      </c>
      <c r="R1557" s="21" t="str">
        <f>IFERROR(VLOOKUP("APG",Controls!A:K,10,0),"")</f>
        <v>ST Pharm</v>
      </c>
      <c r="S1557" s="41">
        <f t="shared" si="171"/>
        <v>49614</v>
      </c>
      <c r="T1557" s="30">
        <f t="shared" si="172"/>
        <v>0</v>
      </c>
      <c r="AB1557">
        <f t="shared" si="174"/>
        <v>308.84000000000003</v>
      </c>
    </row>
    <row r="1558" spans="1:28" ht="13" customHeight="1" x14ac:dyDescent="0.35">
      <c r="A1558" s="153">
        <v>49766</v>
      </c>
      <c r="B1558" s="36" t="s">
        <v>57</v>
      </c>
      <c r="C1558" s="15" t="s">
        <v>52</v>
      </c>
      <c r="D1558" s="15" t="s">
        <v>48</v>
      </c>
      <c r="E1558" s="30">
        <f>H1557</f>
        <v>106.67199999999997</v>
      </c>
      <c r="F1558" s="37">
        <f>IFERROR('Production Inputs'!$ED$37*Dependencies!$D$17,0)</f>
        <v>0</v>
      </c>
      <c r="G1558" s="37">
        <f t="array" ref="G1558">IFERROR(SUMPRODUCT(('Production Inputs'!$A:$A="APG")*('Production Inputs'!$B:$B="TOTAL ACTIVE")*'Production Inputs'!$ED:$ED),0)</f>
        <v>0</v>
      </c>
      <c r="H1558" s="30">
        <f t="shared" si="168"/>
        <v>106.67199999999997</v>
      </c>
      <c r="I1558" s="30">
        <f ca="1">IFERROR(AVERAGEIF(OFFSET(F1558,0,0,MIN(Controls!$B$8,COUNTIF(B1558:B$1973,B1558)),1),"&gt;"&amp;0),0)</f>
        <v>0</v>
      </c>
      <c r="J1558" s="38">
        <f t="shared" ca="1" si="169"/>
        <v>999</v>
      </c>
      <c r="K1558" s="30">
        <f t="shared" ca="1" si="173"/>
        <v>0</v>
      </c>
      <c r="L1558" t="str">
        <f t="shared" ca="1" si="170"/>
        <v>Overstock</v>
      </c>
      <c r="M1558" s="39">
        <f>IFERROR(VLOOKUP("APG",Controls!A:I,7,0),6)</f>
        <v>4</v>
      </c>
      <c r="N1558" s="39">
        <f>IFERROR(VLOOKUP("APG",Controls!A:I,8,0),3)</f>
        <v>3</v>
      </c>
      <c r="O1558" s="39">
        <f>IFERROR(VLOOKUP("APG",Controls!A:I,9,0),18)</f>
        <v>12</v>
      </c>
      <c r="P1558" s="40">
        <f>IFERROR(VLOOKUP("APG",Controls!A:J,5,0),0)</f>
        <v>95</v>
      </c>
      <c r="Q1558" s="39">
        <f>IFERROR(VLOOKUP("APG",Controls!A:J,6,0),3)</f>
        <v>4</v>
      </c>
      <c r="R1558" s="21" t="str">
        <f>IFERROR(VLOOKUP("APG",Controls!A:K,10,0),"")</f>
        <v>ST Pharm</v>
      </c>
      <c r="S1558" s="41">
        <f t="shared" si="171"/>
        <v>49644</v>
      </c>
      <c r="T1558" s="30">
        <f t="shared" si="172"/>
        <v>0</v>
      </c>
      <c r="AB1558">
        <f t="shared" si="174"/>
        <v>308.84000000000003</v>
      </c>
    </row>
    <row r="1559" spans="1:28" ht="13" customHeight="1" x14ac:dyDescent="0.35">
      <c r="A1559" s="153">
        <v>49796</v>
      </c>
      <c r="B1559" s="36" t="s">
        <v>57</v>
      </c>
      <c r="C1559" s="15" t="s">
        <v>52</v>
      </c>
      <c r="D1559" s="15" t="s">
        <v>48</v>
      </c>
      <c r="E1559" s="30">
        <f>H1558</f>
        <v>106.67199999999997</v>
      </c>
      <c r="F1559" s="37">
        <f>IFERROR('Production Inputs'!$EE$37*Dependencies!$D$17,0)</f>
        <v>0</v>
      </c>
      <c r="G1559" s="37">
        <f t="array" ref="G1559">IFERROR(SUMPRODUCT(('Production Inputs'!$A:$A="APG")*('Production Inputs'!$B:$B="TOTAL ACTIVE")*'Production Inputs'!$EE:$EE),0)</f>
        <v>0</v>
      </c>
      <c r="H1559" s="30">
        <f t="shared" si="168"/>
        <v>106.67199999999997</v>
      </c>
      <c r="I1559" s="30">
        <f ca="1">IFERROR(AVERAGEIF(OFFSET(F1559,0,0,MIN(Controls!$B$8,COUNTIF(B1559:B$1973,B1559)),1),"&gt;"&amp;0),0)</f>
        <v>0</v>
      </c>
      <c r="J1559" s="38">
        <f t="shared" ca="1" si="169"/>
        <v>999</v>
      </c>
      <c r="K1559" s="30">
        <f t="shared" ca="1" si="173"/>
        <v>0</v>
      </c>
      <c r="L1559" t="str">
        <f t="shared" ca="1" si="170"/>
        <v>Overstock</v>
      </c>
      <c r="M1559" s="39">
        <f>IFERROR(VLOOKUP("APG",Controls!A:I,7,0),6)</f>
        <v>4</v>
      </c>
      <c r="N1559" s="39">
        <f>IFERROR(VLOOKUP("APG",Controls!A:I,8,0),3)</f>
        <v>3</v>
      </c>
      <c r="O1559" s="39">
        <f>IFERROR(VLOOKUP("APG",Controls!A:I,9,0),18)</f>
        <v>12</v>
      </c>
      <c r="P1559" s="40">
        <f>IFERROR(VLOOKUP("APG",Controls!A:J,5,0),0)</f>
        <v>95</v>
      </c>
      <c r="Q1559" s="39">
        <f>IFERROR(VLOOKUP("APG",Controls!A:J,6,0),3)</f>
        <v>4</v>
      </c>
      <c r="R1559" s="21" t="str">
        <f>IFERROR(VLOOKUP("APG",Controls!A:K,10,0),"")</f>
        <v>ST Pharm</v>
      </c>
      <c r="S1559" s="41">
        <f t="shared" si="171"/>
        <v>49675</v>
      </c>
      <c r="T1559" s="30">
        <f t="shared" si="172"/>
        <v>0</v>
      </c>
      <c r="AB1559">
        <f t="shared" si="174"/>
        <v>308.84000000000003</v>
      </c>
    </row>
    <row r="1560" spans="1:28" ht="13" customHeight="1" x14ac:dyDescent="0.35">
      <c r="A1560" s="153">
        <v>49827</v>
      </c>
      <c r="B1560" s="36" t="s">
        <v>57</v>
      </c>
      <c r="C1560" s="15" t="s">
        <v>52</v>
      </c>
      <c r="D1560" s="15" t="s">
        <v>48</v>
      </c>
      <c r="E1560" s="30">
        <f>H1559</f>
        <v>106.67199999999997</v>
      </c>
      <c r="F1560" s="37">
        <f>IFERROR('Production Inputs'!$EF$37*Dependencies!$D$17,0)</f>
        <v>0</v>
      </c>
      <c r="G1560" s="37">
        <f t="array" ref="G1560">IFERROR(SUMPRODUCT(('Production Inputs'!$A:$A="APG")*('Production Inputs'!$B:$B="TOTAL ACTIVE")*'Production Inputs'!$EF:$EF),0)</f>
        <v>0</v>
      </c>
      <c r="H1560" s="30">
        <f t="shared" si="168"/>
        <v>106.67199999999997</v>
      </c>
      <c r="I1560" s="30">
        <f ca="1">IFERROR(AVERAGEIF(OFFSET(F1560,0,0,MIN(Controls!$B$8,COUNTIF(B1560:B$1973,B1560)),1),"&gt;"&amp;0),0)</f>
        <v>0</v>
      </c>
      <c r="J1560" s="38">
        <f t="shared" ca="1" si="169"/>
        <v>999</v>
      </c>
      <c r="K1560" s="30">
        <f t="shared" ca="1" si="173"/>
        <v>0</v>
      </c>
      <c r="L1560" t="str">
        <f t="shared" ca="1" si="170"/>
        <v>Overstock</v>
      </c>
      <c r="M1560" s="39">
        <f>IFERROR(VLOOKUP("APG",Controls!A:I,7,0),6)</f>
        <v>4</v>
      </c>
      <c r="N1560" s="39">
        <f>IFERROR(VLOOKUP("APG",Controls!A:I,8,0),3)</f>
        <v>3</v>
      </c>
      <c r="O1560" s="39">
        <f>IFERROR(VLOOKUP("APG",Controls!A:I,9,0),18)</f>
        <v>12</v>
      </c>
      <c r="P1560" s="40">
        <f>IFERROR(VLOOKUP("APG",Controls!A:J,5,0),0)</f>
        <v>95</v>
      </c>
      <c r="Q1560" s="39">
        <f>IFERROR(VLOOKUP("APG",Controls!A:J,6,0),3)</f>
        <v>4</v>
      </c>
      <c r="R1560" s="21" t="str">
        <f>IFERROR(VLOOKUP("APG",Controls!A:K,10,0),"")</f>
        <v>ST Pharm</v>
      </c>
      <c r="S1560" s="41">
        <f t="shared" si="171"/>
        <v>49706</v>
      </c>
      <c r="T1560" s="30">
        <f t="shared" si="172"/>
        <v>0</v>
      </c>
      <c r="AB1560">
        <f t="shared" si="174"/>
        <v>308.84000000000003</v>
      </c>
    </row>
    <row r="1561" spans="1:28" ht="13" customHeight="1" x14ac:dyDescent="0.35">
      <c r="A1561" s="153">
        <v>49857</v>
      </c>
      <c r="B1561" s="36" t="s">
        <v>57</v>
      </c>
      <c r="C1561" s="15" t="s">
        <v>52</v>
      </c>
      <c r="D1561" s="15" t="s">
        <v>48</v>
      </c>
      <c r="E1561" s="30">
        <f>H1560</f>
        <v>106.67199999999997</v>
      </c>
      <c r="F1561" s="37">
        <f>IFERROR('Production Inputs'!$EG$37*Dependencies!$D$17,0)</f>
        <v>0</v>
      </c>
      <c r="G1561" s="37">
        <f t="array" ref="G1561">IFERROR(SUMPRODUCT(('Production Inputs'!$A:$A="APG")*('Production Inputs'!$B:$B="TOTAL ACTIVE")*'Production Inputs'!$EG:$EG),0)</f>
        <v>0</v>
      </c>
      <c r="H1561" s="30">
        <f t="shared" si="168"/>
        <v>106.67199999999997</v>
      </c>
      <c r="I1561" s="30">
        <f ca="1">IFERROR(AVERAGEIF(OFFSET(F1561,0,0,MIN(Controls!$B$8,COUNTIF(B1561:B$1973,B1561)),1),"&gt;"&amp;0),0)</f>
        <v>0</v>
      </c>
      <c r="J1561" s="38">
        <f t="shared" ca="1" si="169"/>
        <v>999</v>
      </c>
      <c r="K1561" s="30">
        <f t="shared" ca="1" si="173"/>
        <v>0</v>
      </c>
      <c r="L1561" t="str">
        <f t="shared" ca="1" si="170"/>
        <v>Overstock</v>
      </c>
      <c r="M1561" s="39">
        <f>IFERROR(VLOOKUP("APG",Controls!A:I,7,0),6)</f>
        <v>4</v>
      </c>
      <c r="N1561" s="39">
        <f>IFERROR(VLOOKUP("APG",Controls!A:I,8,0),3)</f>
        <v>3</v>
      </c>
      <c r="O1561" s="39">
        <f>IFERROR(VLOOKUP("APG",Controls!A:I,9,0),18)</f>
        <v>12</v>
      </c>
      <c r="P1561" s="40">
        <f>IFERROR(VLOOKUP("APG",Controls!A:J,5,0),0)</f>
        <v>95</v>
      </c>
      <c r="Q1561" s="39">
        <f>IFERROR(VLOOKUP("APG",Controls!A:J,6,0),3)</f>
        <v>4</v>
      </c>
      <c r="R1561" s="21" t="str">
        <f>IFERROR(VLOOKUP("APG",Controls!A:K,10,0),"")</f>
        <v>ST Pharm</v>
      </c>
      <c r="S1561" s="41">
        <f t="shared" si="171"/>
        <v>49735</v>
      </c>
      <c r="T1561" s="30">
        <f t="shared" si="172"/>
        <v>0</v>
      </c>
      <c r="AB1561">
        <f t="shared" si="174"/>
        <v>308.84000000000003</v>
      </c>
    </row>
    <row r="1562" spans="1:28" ht="13" customHeight="1" x14ac:dyDescent="0.35">
      <c r="A1562" s="153">
        <v>49888</v>
      </c>
      <c r="B1562" s="36" t="s">
        <v>57</v>
      </c>
      <c r="C1562" s="15" t="s">
        <v>52</v>
      </c>
      <c r="D1562" s="15" t="s">
        <v>48</v>
      </c>
      <c r="E1562" s="30">
        <f>H1561</f>
        <v>106.67199999999997</v>
      </c>
      <c r="F1562" s="37">
        <f>IFERROR('Production Inputs'!$EH$37*Dependencies!$D$17,0)</f>
        <v>0</v>
      </c>
      <c r="G1562" s="37">
        <f t="array" ref="G1562">IFERROR(SUMPRODUCT(('Production Inputs'!$A:$A="APG")*('Production Inputs'!$B:$B="TOTAL ACTIVE")*'Production Inputs'!$EH:$EH),0)</f>
        <v>0</v>
      </c>
      <c r="H1562" s="30">
        <f t="shared" si="168"/>
        <v>106.67199999999997</v>
      </c>
      <c r="I1562" s="30">
        <f ca="1">IFERROR(AVERAGEIF(OFFSET(F1562,0,0,MIN(Controls!$B$8,COUNTIF(B1562:B$1973,B1562)),1),"&gt;"&amp;0),0)</f>
        <v>0</v>
      </c>
      <c r="J1562" s="38">
        <f t="shared" ca="1" si="169"/>
        <v>999</v>
      </c>
      <c r="K1562" s="30">
        <f t="shared" ca="1" si="173"/>
        <v>0</v>
      </c>
      <c r="L1562" t="str">
        <f t="shared" ca="1" si="170"/>
        <v>Overstock</v>
      </c>
      <c r="M1562" s="39">
        <f>IFERROR(VLOOKUP("APG",Controls!A:I,7,0),6)</f>
        <v>4</v>
      </c>
      <c r="N1562" s="39">
        <f>IFERROR(VLOOKUP("APG",Controls!A:I,8,0),3)</f>
        <v>3</v>
      </c>
      <c r="O1562" s="39">
        <f>IFERROR(VLOOKUP("APG",Controls!A:I,9,0),18)</f>
        <v>12</v>
      </c>
      <c r="P1562" s="40">
        <f>IFERROR(VLOOKUP("APG",Controls!A:J,5,0),0)</f>
        <v>95</v>
      </c>
      <c r="Q1562" s="39">
        <f>IFERROR(VLOOKUP("APG",Controls!A:J,6,0),3)</f>
        <v>4</v>
      </c>
      <c r="R1562" s="21" t="str">
        <f>IFERROR(VLOOKUP("APG",Controls!A:K,10,0),"")</f>
        <v>ST Pharm</v>
      </c>
      <c r="S1562" s="41">
        <f t="shared" si="171"/>
        <v>49766</v>
      </c>
      <c r="T1562" s="30">
        <f t="shared" si="172"/>
        <v>0</v>
      </c>
      <c r="AB1562">
        <f t="shared" si="174"/>
        <v>308.84000000000003</v>
      </c>
    </row>
    <row r="1563" spans="1:28" ht="13" customHeight="1" x14ac:dyDescent="0.35">
      <c r="A1563" s="153">
        <v>49919</v>
      </c>
      <c r="B1563" s="36" t="s">
        <v>57</v>
      </c>
      <c r="C1563" s="15" t="s">
        <v>52</v>
      </c>
      <c r="D1563" s="15" t="s">
        <v>48</v>
      </c>
      <c r="E1563" s="30">
        <f>H1562</f>
        <v>106.67199999999997</v>
      </c>
      <c r="F1563" s="37">
        <f>IFERROR('Production Inputs'!$EI$37*Dependencies!$D$17,0)</f>
        <v>0</v>
      </c>
      <c r="G1563" s="37">
        <f t="array" ref="G1563">IFERROR(SUMPRODUCT(('Production Inputs'!$A:$A="APG")*('Production Inputs'!$B:$B="TOTAL ACTIVE")*'Production Inputs'!$EI:$EI),0)</f>
        <v>0</v>
      </c>
      <c r="H1563" s="30">
        <f t="shared" si="168"/>
        <v>106.67199999999997</v>
      </c>
      <c r="I1563" s="30">
        <f ca="1">IFERROR(AVERAGEIF(OFFSET(F1563,0,0,MIN(Controls!$B$8,COUNTIF(B1563:B$1973,B1563)),1),"&gt;"&amp;0),0)</f>
        <v>0</v>
      </c>
      <c r="J1563" s="38">
        <f t="shared" ca="1" si="169"/>
        <v>999</v>
      </c>
      <c r="K1563" s="30">
        <f t="shared" ca="1" si="173"/>
        <v>0</v>
      </c>
      <c r="L1563" t="str">
        <f t="shared" ca="1" si="170"/>
        <v>Overstock</v>
      </c>
      <c r="M1563" s="39">
        <f>IFERROR(VLOOKUP("APG",Controls!A:I,7,0),6)</f>
        <v>4</v>
      </c>
      <c r="N1563" s="39">
        <f>IFERROR(VLOOKUP("APG",Controls!A:I,8,0),3)</f>
        <v>3</v>
      </c>
      <c r="O1563" s="39">
        <f>IFERROR(VLOOKUP("APG",Controls!A:I,9,0),18)</f>
        <v>12</v>
      </c>
      <c r="P1563" s="40">
        <f>IFERROR(VLOOKUP("APG",Controls!A:J,5,0),0)</f>
        <v>95</v>
      </c>
      <c r="Q1563" s="39">
        <f>IFERROR(VLOOKUP("APG",Controls!A:J,6,0),3)</f>
        <v>4</v>
      </c>
      <c r="R1563" s="21" t="str">
        <f>IFERROR(VLOOKUP("APG",Controls!A:K,10,0),"")</f>
        <v>ST Pharm</v>
      </c>
      <c r="S1563" s="41">
        <f t="shared" si="171"/>
        <v>49796</v>
      </c>
      <c r="T1563" s="30">
        <f t="shared" si="172"/>
        <v>0</v>
      </c>
      <c r="AB1563">
        <f t="shared" si="174"/>
        <v>308.84000000000003</v>
      </c>
    </row>
    <row r="1564" spans="1:28" ht="13" customHeight="1" x14ac:dyDescent="0.35">
      <c r="A1564" s="153">
        <v>49949</v>
      </c>
      <c r="B1564" s="36" t="s">
        <v>57</v>
      </c>
      <c r="C1564" s="15" t="s">
        <v>52</v>
      </c>
      <c r="D1564" s="15" t="s">
        <v>48</v>
      </c>
      <c r="E1564" s="30">
        <f>H1563</f>
        <v>106.67199999999997</v>
      </c>
      <c r="F1564" s="37">
        <f>IFERROR('Production Inputs'!$EJ$37*Dependencies!$D$17,0)</f>
        <v>0</v>
      </c>
      <c r="G1564" s="37">
        <f t="array" ref="G1564">IFERROR(SUMPRODUCT(('Production Inputs'!$A:$A="APG")*('Production Inputs'!$B:$B="TOTAL ACTIVE")*'Production Inputs'!$EJ:$EJ),0)</f>
        <v>0</v>
      </c>
      <c r="H1564" s="30">
        <f t="shared" si="168"/>
        <v>106.67199999999997</v>
      </c>
      <c r="I1564" s="30">
        <f ca="1">IFERROR(AVERAGEIF(OFFSET(F1564,0,0,MIN(Controls!$B$8,COUNTIF(B1564:B$1973,B1564)),1),"&gt;"&amp;0),0)</f>
        <v>0</v>
      </c>
      <c r="J1564" s="38">
        <f t="shared" ca="1" si="169"/>
        <v>999</v>
      </c>
      <c r="K1564" s="30">
        <f t="shared" ca="1" si="173"/>
        <v>0</v>
      </c>
      <c r="L1564" t="str">
        <f t="shared" ca="1" si="170"/>
        <v>Overstock</v>
      </c>
      <c r="M1564" s="39">
        <f>IFERROR(VLOOKUP("APG",Controls!A:I,7,0),6)</f>
        <v>4</v>
      </c>
      <c r="N1564" s="39">
        <f>IFERROR(VLOOKUP("APG",Controls!A:I,8,0),3)</f>
        <v>3</v>
      </c>
      <c r="O1564" s="39">
        <f>IFERROR(VLOOKUP("APG",Controls!A:I,9,0),18)</f>
        <v>12</v>
      </c>
      <c r="P1564" s="40">
        <f>IFERROR(VLOOKUP("APG",Controls!A:J,5,0),0)</f>
        <v>95</v>
      </c>
      <c r="Q1564" s="39">
        <f>IFERROR(VLOOKUP("APG",Controls!A:J,6,0),3)</f>
        <v>4</v>
      </c>
      <c r="R1564" s="21" t="str">
        <f>IFERROR(VLOOKUP("APG",Controls!A:K,10,0),"")</f>
        <v>ST Pharm</v>
      </c>
      <c r="S1564" s="41">
        <f t="shared" si="171"/>
        <v>49827</v>
      </c>
      <c r="T1564" s="30">
        <f t="shared" si="172"/>
        <v>0</v>
      </c>
      <c r="AB1564">
        <f t="shared" si="174"/>
        <v>308.84000000000003</v>
      </c>
    </row>
    <row r="1565" spans="1:28" ht="13" customHeight="1" x14ac:dyDescent="0.35">
      <c r="A1565" s="153">
        <v>49980</v>
      </c>
      <c r="B1565" s="36" t="s">
        <v>57</v>
      </c>
      <c r="C1565" s="15" t="s">
        <v>52</v>
      </c>
      <c r="D1565" s="15" t="s">
        <v>48</v>
      </c>
      <c r="E1565" s="30">
        <f>H1564</f>
        <v>106.67199999999997</v>
      </c>
      <c r="F1565" s="37">
        <f>IFERROR('Production Inputs'!$EK$37*Dependencies!$D$17,0)</f>
        <v>0</v>
      </c>
      <c r="G1565" s="37">
        <f t="array" ref="G1565">IFERROR(SUMPRODUCT(('Production Inputs'!$A:$A="APG")*('Production Inputs'!$B:$B="TOTAL ACTIVE")*'Production Inputs'!$EK:$EK),0)</f>
        <v>0</v>
      </c>
      <c r="H1565" s="30">
        <f t="shared" si="168"/>
        <v>106.67199999999997</v>
      </c>
      <c r="I1565" s="30">
        <f ca="1">IFERROR(AVERAGEIF(OFFSET(F1565,0,0,MIN(Controls!$B$8,COUNTIF(B1565:B$1973,B1565)),1),"&gt;"&amp;0),0)</f>
        <v>0</v>
      </c>
      <c r="J1565" s="38">
        <f t="shared" ca="1" si="169"/>
        <v>999</v>
      </c>
      <c r="K1565" s="30">
        <f t="shared" ca="1" si="173"/>
        <v>0</v>
      </c>
      <c r="L1565" t="str">
        <f t="shared" ca="1" si="170"/>
        <v>Overstock</v>
      </c>
      <c r="M1565" s="39">
        <f>IFERROR(VLOOKUP("APG",Controls!A:I,7,0),6)</f>
        <v>4</v>
      </c>
      <c r="N1565" s="39">
        <f>IFERROR(VLOOKUP("APG",Controls!A:I,8,0),3)</f>
        <v>3</v>
      </c>
      <c r="O1565" s="39">
        <f>IFERROR(VLOOKUP("APG",Controls!A:I,9,0),18)</f>
        <v>12</v>
      </c>
      <c r="P1565" s="40">
        <f>IFERROR(VLOOKUP("APG",Controls!A:J,5,0),0)</f>
        <v>95</v>
      </c>
      <c r="Q1565" s="39">
        <f>IFERROR(VLOOKUP("APG",Controls!A:J,6,0),3)</f>
        <v>4</v>
      </c>
      <c r="R1565" s="21" t="str">
        <f>IFERROR(VLOOKUP("APG",Controls!A:K,10,0),"")</f>
        <v>ST Pharm</v>
      </c>
      <c r="S1565" s="41">
        <f t="shared" si="171"/>
        <v>49857</v>
      </c>
      <c r="T1565" s="30">
        <f t="shared" si="172"/>
        <v>0</v>
      </c>
      <c r="AB1565">
        <f t="shared" si="174"/>
        <v>308.84000000000003</v>
      </c>
    </row>
    <row r="1566" spans="1:28" ht="13" customHeight="1" x14ac:dyDescent="0.35">
      <c r="A1566" s="153">
        <v>50010</v>
      </c>
      <c r="B1566" s="36" t="s">
        <v>57</v>
      </c>
      <c r="C1566" s="15" t="s">
        <v>52</v>
      </c>
      <c r="D1566" s="15" t="s">
        <v>48</v>
      </c>
      <c r="E1566" s="30">
        <f>H1565</f>
        <v>106.67199999999997</v>
      </c>
      <c r="F1566" s="37">
        <f>IFERROR('Production Inputs'!$EL$37*Dependencies!$D$17,0)</f>
        <v>0</v>
      </c>
      <c r="G1566" s="37">
        <f t="array" ref="G1566">IFERROR(SUMPRODUCT(('Production Inputs'!$A:$A="APG")*('Production Inputs'!$B:$B="TOTAL ACTIVE")*'Production Inputs'!$EL:$EL),0)</f>
        <v>0</v>
      </c>
      <c r="H1566" s="30">
        <f t="shared" si="168"/>
        <v>106.67199999999997</v>
      </c>
      <c r="I1566" s="30">
        <f ca="1">IFERROR(AVERAGEIF(OFFSET(F1566,0,0,MIN(Controls!$B$8,COUNTIF(B1566:B$1973,B1566)),1),"&gt;"&amp;0),0)</f>
        <v>0</v>
      </c>
      <c r="J1566" s="38">
        <f t="shared" ca="1" si="169"/>
        <v>999</v>
      </c>
      <c r="K1566" s="30">
        <f t="shared" ca="1" si="173"/>
        <v>0</v>
      </c>
      <c r="L1566" t="str">
        <f t="shared" ca="1" si="170"/>
        <v>Overstock</v>
      </c>
      <c r="M1566" s="39">
        <f>IFERROR(VLOOKUP("APG",Controls!A:I,7,0),6)</f>
        <v>4</v>
      </c>
      <c r="N1566" s="39">
        <f>IFERROR(VLOOKUP("APG",Controls!A:I,8,0),3)</f>
        <v>3</v>
      </c>
      <c r="O1566" s="39">
        <f>IFERROR(VLOOKUP("APG",Controls!A:I,9,0),18)</f>
        <v>12</v>
      </c>
      <c r="P1566" s="40">
        <f>IFERROR(VLOOKUP("APG",Controls!A:J,5,0),0)</f>
        <v>95</v>
      </c>
      <c r="Q1566" s="39">
        <f>IFERROR(VLOOKUP("APG",Controls!A:J,6,0),3)</f>
        <v>4</v>
      </c>
      <c r="R1566" s="21" t="str">
        <f>IFERROR(VLOOKUP("APG",Controls!A:K,10,0),"")</f>
        <v>ST Pharm</v>
      </c>
      <c r="S1566" s="41">
        <f t="shared" si="171"/>
        <v>49888</v>
      </c>
      <c r="T1566" s="30">
        <f t="shared" si="172"/>
        <v>0</v>
      </c>
      <c r="AB1566">
        <f t="shared" si="174"/>
        <v>308.84000000000003</v>
      </c>
    </row>
    <row r="1567" spans="1:28" ht="13" customHeight="1" x14ac:dyDescent="0.35">
      <c r="A1567" s="153">
        <v>50041</v>
      </c>
      <c r="B1567" s="36" t="s">
        <v>57</v>
      </c>
      <c r="C1567" s="15" t="s">
        <v>52</v>
      </c>
      <c r="D1567" s="15" t="s">
        <v>48</v>
      </c>
      <c r="E1567" s="30">
        <f>H1566</f>
        <v>106.67199999999997</v>
      </c>
      <c r="F1567" s="37">
        <f>IFERROR('Production Inputs'!$EM$37*Dependencies!$D$17,0)</f>
        <v>0</v>
      </c>
      <c r="G1567" s="37">
        <f t="array" ref="G1567">IFERROR(SUMPRODUCT(('Production Inputs'!$A:$A="APG")*('Production Inputs'!$B:$B="TOTAL ACTIVE")*'Production Inputs'!$EM:$EM),0)</f>
        <v>0</v>
      </c>
      <c r="H1567" s="30">
        <f t="shared" si="168"/>
        <v>106.67199999999997</v>
      </c>
      <c r="I1567" s="30">
        <f ca="1">IFERROR(AVERAGEIF(OFFSET(F1567,0,0,MIN(Controls!$B$8,COUNTIF(B1567:B$1973,B1567)),1),"&gt;"&amp;0),0)</f>
        <v>0</v>
      </c>
      <c r="J1567" s="38">
        <f t="shared" ca="1" si="169"/>
        <v>999</v>
      </c>
      <c r="K1567" s="30">
        <f t="shared" ca="1" si="173"/>
        <v>0</v>
      </c>
      <c r="L1567" t="str">
        <f t="shared" ca="1" si="170"/>
        <v>Overstock</v>
      </c>
      <c r="M1567" s="39">
        <f>IFERROR(VLOOKUP("APG",Controls!A:I,7,0),6)</f>
        <v>4</v>
      </c>
      <c r="N1567" s="39">
        <f>IFERROR(VLOOKUP("APG",Controls!A:I,8,0),3)</f>
        <v>3</v>
      </c>
      <c r="O1567" s="39">
        <f>IFERROR(VLOOKUP("APG",Controls!A:I,9,0),18)</f>
        <v>12</v>
      </c>
      <c r="P1567" s="40">
        <f>IFERROR(VLOOKUP("APG",Controls!A:J,5,0),0)</f>
        <v>95</v>
      </c>
      <c r="Q1567" s="39">
        <f>IFERROR(VLOOKUP("APG",Controls!A:J,6,0),3)</f>
        <v>4</v>
      </c>
      <c r="R1567" s="21" t="str">
        <f>IFERROR(VLOOKUP("APG",Controls!A:K,10,0),"")</f>
        <v>ST Pharm</v>
      </c>
      <c r="S1567" s="41">
        <f t="shared" si="171"/>
        <v>49919</v>
      </c>
      <c r="T1567" s="30">
        <f t="shared" si="172"/>
        <v>0</v>
      </c>
      <c r="AB1567">
        <f t="shared" si="174"/>
        <v>308.84000000000003</v>
      </c>
    </row>
    <row r="1568" spans="1:28" ht="13" customHeight="1" x14ac:dyDescent="0.35">
      <c r="A1568" s="153">
        <v>50072</v>
      </c>
      <c r="B1568" s="36" t="s">
        <v>57</v>
      </c>
      <c r="C1568" s="15" t="s">
        <v>52</v>
      </c>
      <c r="D1568" s="15" t="s">
        <v>48</v>
      </c>
      <c r="E1568" s="30">
        <f>H1567</f>
        <v>106.67199999999997</v>
      </c>
      <c r="F1568" s="37">
        <f>IFERROR('Production Inputs'!$EN$37*Dependencies!$D$17,0)</f>
        <v>0</v>
      </c>
      <c r="G1568" s="37">
        <f t="array" ref="G1568">IFERROR(SUMPRODUCT(('Production Inputs'!$A:$A="APG")*('Production Inputs'!$B:$B="TOTAL ACTIVE")*'Production Inputs'!$EN:$EN),0)</f>
        <v>0</v>
      </c>
      <c r="H1568" s="30">
        <f t="shared" si="168"/>
        <v>106.67199999999997</v>
      </c>
      <c r="I1568" s="30">
        <f ca="1">IFERROR(AVERAGEIF(OFFSET(F1568,0,0,MIN(Controls!$B$8,COUNTIF(B1568:B$1973,B1568)),1),"&gt;"&amp;0),0)</f>
        <v>0</v>
      </c>
      <c r="J1568" s="38">
        <f t="shared" ca="1" si="169"/>
        <v>999</v>
      </c>
      <c r="K1568" s="30">
        <f t="shared" ca="1" si="173"/>
        <v>0</v>
      </c>
      <c r="L1568" t="str">
        <f t="shared" ca="1" si="170"/>
        <v>Overstock</v>
      </c>
      <c r="M1568" s="39">
        <f>IFERROR(VLOOKUP("APG",Controls!A:I,7,0),6)</f>
        <v>4</v>
      </c>
      <c r="N1568" s="39">
        <f>IFERROR(VLOOKUP("APG",Controls!A:I,8,0),3)</f>
        <v>3</v>
      </c>
      <c r="O1568" s="39">
        <f>IFERROR(VLOOKUP("APG",Controls!A:I,9,0),18)</f>
        <v>12</v>
      </c>
      <c r="P1568" s="40">
        <f>IFERROR(VLOOKUP("APG",Controls!A:J,5,0),0)</f>
        <v>95</v>
      </c>
      <c r="Q1568" s="39">
        <f>IFERROR(VLOOKUP("APG",Controls!A:J,6,0),3)</f>
        <v>4</v>
      </c>
      <c r="R1568" s="21" t="str">
        <f>IFERROR(VLOOKUP("APG",Controls!A:K,10,0),"")</f>
        <v>ST Pharm</v>
      </c>
      <c r="S1568" s="41">
        <f t="shared" si="171"/>
        <v>49949</v>
      </c>
      <c r="T1568" s="30">
        <f t="shared" si="172"/>
        <v>0</v>
      </c>
      <c r="AB1568">
        <f t="shared" si="174"/>
        <v>308.84000000000003</v>
      </c>
    </row>
    <row r="1569" spans="1:28" ht="13" customHeight="1" x14ac:dyDescent="0.35">
      <c r="A1569" s="153">
        <v>50100</v>
      </c>
      <c r="B1569" s="36" t="s">
        <v>57</v>
      </c>
      <c r="C1569" s="15" t="s">
        <v>52</v>
      </c>
      <c r="D1569" s="15" t="s">
        <v>48</v>
      </c>
      <c r="E1569" s="30">
        <f>H1568</f>
        <v>106.67199999999997</v>
      </c>
      <c r="F1569" s="37">
        <f>IFERROR('Production Inputs'!$EO$37*Dependencies!$D$17,0)</f>
        <v>0</v>
      </c>
      <c r="G1569" s="37">
        <f t="array" ref="G1569">IFERROR(SUMPRODUCT(('Production Inputs'!$A:$A="APG")*('Production Inputs'!$B:$B="TOTAL ACTIVE")*'Production Inputs'!$EO:$EO),0)</f>
        <v>0</v>
      </c>
      <c r="H1569" s="30">
        <f t="shared" si="168"/>
        <v>106.67199999999997</v>
      </c>
      <c r="I1569" s="30">
        <f ca="1">IFERROR(AVERAGEIF(OFFSET(F1569,0,0,MIN(Controls!$B$8,COUNTIF(B1569:B$1973,B1569)),1),"&gt;"&amp;0),0)</f>
        <v>0</v>
      </c>
      <c r="J1569" s="38">
        <f t="shared" ca="1" si="169"/>
        <v>999</v>
      </c>
      <c r="K1569" s="30">
        <f t="shared" ca="1" si="173"/>
        <v>0</v>
      </c>
      <c r="L1569" t="str">
        <f t="shared" ca="1" si="170"/>
        <v>Overstock</v>
      </c>
      <c r="M1569" s="39">
        <f>IFERROR(VLOOKUP("APG",Controls!A:I,7,0),6)</f>
        <v>4</v>
      </c>
      <c r="N1569" s="39">
        <f>IFERROR(VLOOKUP("APG",Controls!A:I,8,0),3)</f>
        <v>3</v>
      </c>
      <c r="O1569" s="39">
        <f>IFERROR(VLOOKUP("APG",Controls!A:I,9,0),18)</f>
        <v>12</v>
      </c>
      <c r="P1569" s="40">
        <f>IFERROR(VLOOKUP("APG",Controls!A:J,5,0),0)</f>
        <v>95</v>
      </c>
      <c r="Q1569" s="39">
        <f>IFERROR(VLOOKUP("APG",Controls!A:J,6,0),3)</f>
        <v>4</v>
      </c>
      <c r="R1569" s="21" t="str">
        <f>IFERROR(VLOOKUP("APG",Controls!A:K,10,0),"")</f>
        <v>ST Pharm</v>
      </c>
      <c r="S1569" s="41">
        <f t="shared" si="171"/>
        <v>49980</v>
      </c>
      <c r="T1569" s="30">
        <f t="shared" si="172"/>
        <v>0</v>
      </c>
      <c r="AB1569">
        <f t="shared" si="174"/>
        <v>308.84000000000003</v>
      </c>
    </row>
    <row r="1570" spans="1:28" ht="13" customHeight="1" x14ac:dyDescent="0.35">
      <c r="A1570" s="153">
        <v>50131</v>
      </c>
      <c r="B1570" s="36" t="s">
        <v>57</v>
      </c>
      <c r="C1570" s="15" t="s">
        <v>52</v>
      </c>
      <c r="D1570" s="15" t="s">
        <v>48</v>
      </c>
      <c r="E1570" s="30">
        <f>H1569</f>
        <v>106.67199999999997</v>
      </c>
      <c r="F1570" s="37">
        <f>IFERROR('Production Inputs'!$EP$37*Dependencies!$D$17,0)</f>
        <v>0</v>
      </c>
      <c r="G1570" s="37">
        <f t="array" ref="G1570">IFERROR(SUMPRODUCT(('Production Inputs'!$A:$A="APG")*('Production Inputs'!$B:$B="TOTAL ACTIVE")*'Production Inputs'!$EP:$EP),0)</f>
        <v>0</v>
      </c>
      <c r="H1570" s="30">
        <f t="shared" si="168"/>
        <v>106.67199999999997</v>
      </c>
      <c r="I1570" s="30">
        <f ca="1">IFERROR(AVERAGEIF(OFFSET(F1570,0,0,MIN(Controls!$B$8,COUNTIF(B1570:B$1973,B1570)),1),"&gt;"&amp;0),0)</f>
        <v>0</v>
      </c>
      <c r="J1570" s="38">
        <f t="shared" ca="1" si="169"/>
        <v>999</v>
      </c>
      <c r="K1570" s="30">
        <f t="shared" ca="1" si="173"/>
        <v>0</v>
      </c>
      <c r="L1570" t="str">
        <f t="shared" ca="1" si="170"/>
        <v>Overstock</v>
      </c>
      <c r="M1570" s="39">
        <f>IFERROR(VLOOKUP("APG",Controls!A:I,7,0),6)</f>
        <v>4</v>
      </c>
      <c r="N1570" s="39">
        <f>IFERROR(VLOOKUP("APG",Controls!A:I,8,0),3)</f>
        <v>3</v>
      </c>
      <c r="O1570" s="39">
        <f>IFERROR(VLOOKUP("APG",Controls!A:I,9,0),18)</f>
        <v>12</v>
      </c>
      <c r="P1570" s="40">
        <f>IFERROR(VLOOKUP("APG",Controls!A:J,5,0),0)</f>
        <v>95</v>
      </c>
      <c r="Q1570" s="39">
        <f>IFERROR(VLOOKUP("APG",Controls!A:J,6,0),3)</f>
        <v>4</v>
      </c>
      <c r="R1570" s="21" t="str">
        <f>IFERROR(VLOOKUP("APG",Controls!A:K,10,0),"")</f>
        <v>ST Pharm</v>
      </c>
      <c r="S1570" s="41">
        <f t="shared" si="171"/>
        <v>50010</v>
      </c>
      <c r="T1570" s="30">
        <f t="shared" si="172"/>
        <v>0</v>
      </c>
      <c r="AB1570">
        <f t="shared" si="174"/>
        <v>308.84000000000003</v>
      </c>
    </row>
    <row r="1571" spans="1:28" ht="13" customHeight="1" x14ac:dyDescent="0.35">
      <c r="A1571" s="153">
        <v>50161</v>
      </c>
      <c r="B1571" s="36" t="s">
        <v>57</v>
      </c>
      <c r="C1571" s="15" t="s">
        <v>52</v>
      </c>
      <c r="D1571" s="15" t="s">
        <v>48</v>
      </c>
      <c r="E1571" s="30">
        <f>H1570</f>
        <v>106.67199999999997</v>
      </c>
      <c r="F1571" s="37">
        <f>IFERROR('Production Inputs'!$EQ$37*Dependencies!$D$17,0)</f>
        <v>0</v>
      </c>
      <c r="G1571" s="37">
        <f t="array" ref="G1571">IFERROR(SUMPRODUCT(('Production Inputs'!$A:$A="APG")*('Production Inputs'!$B:$B="TOTAL ACTIVE")*'Production Inputs'!$EQ:$EQ),0)</f>
        <v>0</v>
      </c>
      <c r="H1571" s="30">
        <f t="shared" si="168"/>
        <v>106.67199999999997</v>
      </c>
      <c r="I1571" s="30">
        <f ca="1">IFERROR(AVERAGEIF(OFFSET(F1571,0,0,MIN(Controls!$B$8,COUNTIF(B1571:B$1973,B1571)),1),"&gt;"&amp;0),0)</f>
        <v>0</v>
      </c>
      <c r="J1571" s="38">
        <f t="shared" ca="1" si="169"/>
        <v>999</v>
      </c>
      <c r="K1571" s="30">
        <f t="shared" ca="1" si="173"/>
        <v>0</v>
      </c>
      <c r="L1571" t="str">
        <f t="shared" ca="1" si="170"/>
        <v>Overstock</v>
      </c>
      <c r="M1571" s="39">
        <f>IFERROR(VLOOKUP("APG",Controls!A:I,7,0),6)</f>
        <v>4</v>
      </c>
      <c r="N1571" s="39">
        <f>IFERROR(VLOOKUP("APG",Controls!A:I,8,0),3)</f>
        <v>3</v>
      </c>
      <c r="O1571" s="39">
        <f>IFERROR(VLOOKUP("APG",Controls!A:I,9,0),18)</f>
        <v>12</v>
      </c>
      <c r="P1571" s="40">
        <f>IFERROR(VLOOKUP("APG",Controls!A:J,5,0),0)</f>
        <v>95</v>
      </c>
      <c r="Q1571" s="39">
        <f>IFERROR(VLOOKUP("APG",Controls!A:J,6,0),3)</f>
        <v>4</v>
      </c>
      <c r="R1571" s="21" t="str">
        <f>IFERROR(VLOOKUP("APG",Controls!A:K,10,0),"")</f>
        <v>ST Pharm</v>
      </c>
      <c r="S1571" s="41">
        <f t="shared" si="171"/>
        <v>50041</v>
      </c>
      <c r="T1571" s="30">
        <f t="shared" si="172"/>
        <v>0</v>
      </c>
      <c r="AB1571">
        <f t="shared" si="174"/>
        <v>308.84000000000003</v>
      </c>
    </row>
    <row r="1572" spans="1:28" ht="13" customHeight="1" x14ac:dyDescent="0.35">
      <c r="A1572" s="153">
        <v>50192</v>
      </c>
      <c r="B1572" s="36" t="s">
        <v>57</v>
      </c>
      <c r="C1572" s="15" t="s">
        <v>52</v>
      </c>
      <c r="D1572" s="15" t="s">
        <v>48</v>
      </c>
      <c r="E1572" s="30">
        <f>H1571</f>
        <v>106.67199999999997</v>
      </c>
      <c r="F1572" s="37">
        <f>IFERROR('Production Inputs'!$ER$37*Dependencies!$D$17,0)</f>
        <v>0</v>
      </c>
      <c r="G1572" s="37">
        <f t="array" ref="G1572">IFERROR(SUMPRODUCT(('Production Inputs'!$A:$A="APG")*('Production Inputs'!$B:$B="TOTAL ACTIVE")*'Production Inputs'!$ER:$ER),0)</f>
        <v>0</v>
      </c>
      <c r="H1572" s="30">
        <f t="shared" si="168"/>
        <v>106.67199999999997</v>
      </c>
      <c r="I1572" s="30">
        <f ca="1">IFERROR(AVERAGEIF(OFFSET(F1572,0,0,MIN(Controls!$B$8,COUNTIF(B1572:B$1973,B1572)),1),"&gt;"&amp;0),0)</f>
        <v>0</v>
      </c>
      <c r="J1572" s="38">
        <f t="shared" ca="1" si="169"/>
        <v>999</v>
      </c>
      <c r="K1572" s="30">
        <f t="shared" ca="1" si="173"/>
        <v>0</v>
      </c>
      <c r="L1572" t="str">
        <f t="shared" ca="1" si="170"/>
        <v>Overstock</v>
      </c>
      <c r="M1572" s="39">
        <f>IFERROR(VLOOKUP("APG",Controls!A:I,7,0),6)</f>
        <v>4</v>
      </c>
      <c r="N1572" s="39">
        <f>IFERROR(VLOOKUP("APG",Controls!A:I,8,0),3)</f>
        <v>3</v>
      </c>
      <c r="O1572" s="39">
        <f>IFERROR(VLOOKUP("APG",Controls!A:I,9,0),18)</f>
        <v>12</v>
      </c>
      <c r="P1572" s="40">
        <f>IFERROR(VLOOKUP("APG",Controls!A:J,5,0),0)</f>
        <v>95</v>
      </c>
      <c r="Q1572" s="39">
        <f>IFERROR(VLOOKUP("APG",Controls!A:J,6,0),3)</f>
        <v>4</v>
      </c>
      <c r="R1572" s="21" t="str">
        <f>IFERROR(VLOOKUP("APG",Controls!A:K,10,0),"")</f>
        <v>ST Pharm</v>
      </c>
      <c r="S1572" s="41">
        <f t="shared" si="171"/>
        <v>50072</v>
      </c>
      <c r="T1572" s="30">
        <f t="shared" si="172"/>
        <v>0</v>
      </c>
      <c r="AB1572">
        <f t="shared" si="174"/>
        <v>308.84000000000003</v>
      </c>
    </row>
    <row r="1573" spans="1:28" ht="13" customHeight="1" x14ac:dyDescent="0.35">
      <c r="A1573" s="153">
        <v>50222</v>
      </c>
      <c r="B1573" s="36" t="s">
        <v>57</v>
      </c>
      <c r="C1573" s="15" t="s">
        <v>52</v>
      </c>
      <c r="D1573" s="15" t="s">
        <v>48</v>
      </c>
      <c r="E1573" s="30">
        <f>H1572</f>
        <v>106.67199999999997</v>
      </c>
      <c r="F1573" s="37">
        <f>IFERROR('Production Inputs'!$ES$37*Dependencies!$D$17,0)</f>
        <v>0</v>
      </c>
      <c r="G1573" s="37">
        <f t="array" ref="G1573">IFERROR(SUMPRODUCT(('Production Inputs'!$A:$A="APG")*('Production Inputs'!$B:$B="TOTAL ACTIVE")*'Production Inputs'!$ES:$ES),0)</f>
        <v>0</v>
      </c>
      <c r="H1573" s="30">
        <f t="shared" si="168"/>
        <v>106.67199999999997</v>
      </c>
      <c r="I1573" s="30">
        <f ca="1">IFERROR(AVERAGEIF(OFFSET(F1573,0,0,MIN(Controls!$B$8,COUNTIF(B1573:B$1973,B1573)),1),"&gt;"&amp;0),0)</f>
        <v>0</v>
      </c>
      <c r="J1573" s="38">
        <f t="shared" ca="1" si="169"/>
        <v>999</v>
      </c>
      <c r="K1573" s="30">
        <f t="shared" ca="1" si="173"/>
        <v>0</v>
      </c>
      <c r="L1573" t="str">
        <f t="shared" ca="1" si="170"/>
        <v>Overstock</v>
      </c>
      <c r="M1573" s="39">
        <f>IFERROR(VLOOKUP("APG",Controls!A:I,7,0),6)</f>
        <v>4</v>
      </c>
      <c r="N1573" s="39">
        <f>IFERROR(VLOOKUP("APG",Controls!A:I,8,0),3)</f>
        <v>3</v>
      </c>
      <c r="O1573" s="39">
        <f>IFERROR(VLOOKUP("APG",Controls!A:I,9,0),18)</f>
        <v>12</v>
      </c>
      <c r="P1573" s="40">
        <f>IFERROR(VLOOKUP("APG",Controls!A:J,5,0),0)</f>
        <v>95</v>
      </c>
      <c r="Q1573" s="39">
        <f>IFERROR(VLOOKUP("APG",Controls!A:J,6,0),3)</f>
        <v>4</v>
      </c>
      <c r="R1573" s="21" t="str">
        <f>IFERROR(VLOOKUP("APG",Controls!A:K,10,0),"")</f>
        <v>ST Pharm</v>
      </c>
      <c r="S1573" s="41">
        <f t="shared" si="171"/>
        <v>50100</v>
      </c>
      <c r="T1573" s="30">
        <f t="shared" si="172"/>
        <v>0</v>
      </c>
      <c r="AB1573">
        <f t="shared" si="174"/>
        <v>308.84000000000003</v>
      </c>
    </row>
    <row r="1574" spans="1:28" ht="13" customHeight="1" x14ac:dyDescent="0.35">
      <c r="A1574" s="153">
        <v>50253</v>
      </c>
      <c r="B1574" s="36" t="s">
        <v>57</v>
      </c>
      <c r="C1574" s="15" t="s">
        <v>52</v>
      </c>
      <c r="D1574" s="15" t="s">
        <v>48</v>
      </c>
      <c r="E1574" s="30">
        <f>H1573</f>
        <v>106.67199999999997</v>
      </c>
      <c r="F1574" s="37">
        <f>IFERROR('Production Inputs'!$ET$37*Dependencies!$D$17,0)</f>
        <v>0</v>
      </c>
      <c r="G1574" s="37">
        <f t="array" ref="G1574">IFERROR(SUMPRODUCT(('Production Inputs'!$A:$A="APG")*('Production Inputs'!$B:$B="TOTAL ACTIVE")*'Production Inputs'!$ET:$ET),0)</f>
        <v>0</v>
      </c>
      <c r="H1574" s="30">
        <f t="shared" si="168"/>
        <v>106.67199999999997</v>
      </c>
      <c r="I1574" s="30">
        <f ca="1">IFERROR(AVERAGEIF(OFFSET(F1574,0,0,MIN(Controls!$B$8,COUNTIF(B1574:B$1973,B1574)),1),"&gt;"&amp;0),0)</f>
        <v>0</v>
      </c>
      <c r="J1574" s="38">
        <f t="shared" ca="1" si="169"/>
        <v>999</v>
      </c>
      <c r="K1574" s="30">
        <f t="shared" ca="1" si="173"/>
        <v>0</v>
      </c>
      <c r="L1574" t="str">
        <f t="shared" ca="1" si="170"/>
        <v>Overstock</v>
      </c>
      <c r="M1574" s="39">
        <f>IFERROR(VLOOKUP("APG",Controls!A:I,7,0),6)</f>
        <v>4</v>
      </c>
      <c r="N1574" s="39">
        <f>IFERROR(VLOOKUP("APG",Controls!A:I,8,0),3)</f>
        <v>3</v>
      </c>
      <c r="O1574" s="39">
        <f>IFERROR(VLOOKUP("APG",Controls!A:I,9,0),18)</f>
        <v>12</v>
      </c>
      <c r="P1574" s="40">
        <f>IFERROR(VLOOKUP("APG",Controls!A:J,5,0),0)</f>
        <v>95</v>
      </c>
      <c r="Q1574" s="39">
        <f>IFERROR(VLOOKUP("APG",Controls!A:J,6,0),3)</f>
        <v>4</v>
      </c>
      <c r="R1574" s="21" t="str">
        <f>IFERROR(VLOOKUP("APG",Controls!A:K,10,0),"")</f>
        <v>ST Pharm</v>
      </c>
      <c r="S1574" s="41">
        <f t="shared" si="171"/>
        <v>50131</v>
      </c>
      <c r="T1574" s="30">
        <f t="shared" si="172"/>
        <v>0</v>
      </c>
      <c r="AB1574">
        <f t="shared" si="174"/>
        <v>308.84000000000003</v>
      </c>
    </row>
    <row r="1575" spans="1:28" ht="13" customHeight="1" x14ac:dyDescent="0.35">
      <c r="A1575" s="153">
        <v>50284</v>
      </c>
      <c r="B1575" s="36" t="s">
        <v>57</v>
      </c>
      <c r="C1575" s="15" t="s">
        <v>52</v>
      </c>
      <c r="D1575" s="15" t="s">
        <v>48</v>
      </c>
      <c r="E1575" s="30">
        <f>H1574</f>
        <v>106.67199999999997</v>
      </c>
      <c r="F1575" s="37">
        <f>IFERROR('Production Inputs'!$EU$37*Dependencies!$D$17,0)</f>
        <v>0</v>
      </c>
      <c r="G1575" s="37">
        <f t="array" ref="G1575">IFERROR(SUMPRODUCT(('Production Inputs'!$A:$A="APG")*('Production Inputs'!$B:$B="TOTAL ACTIVE")*'Production Inputs'!$EU:$EU),0)</f>
        <v>0</v>
      </c>
      <c r="H1575" s="30">
        <f t="shared" si="168"/>
        <v>106.67199999999997</v>
      </c>
      <c r="I1575" s="30">
        <f ca="1">IFERROR(AVERAGEIF(OFFSET(F1575,0,0,MIN(Controls!$B$8,COUNTIF(B1575:B$1973,B1575)),1),"&gt;"&amp;0),0)</f>
        <v>0</v>
      </c>
      <c r="J1575" s="38">
        <f t="shared" ca="1" si="169"/>
        <v>999</v>
      </c>
      <c r="K1575" s="30">
        <f t="shared" ca="1" si="173"/>
        <v>0</v>
      </c>
      <c r="L1575" t="str">
        <f t="shared" ca="1" si="170"/>
        <v>Overstock</v>
      </c>
      <c r="M1575" s="39">
        <f>IFERROR(VLOOKUP("APG",Controls!A:I,7,0),6)</f>
        <v>4</v>
      </c>
      <c r="N1575" s="39">
        <f>IFERROR(VLOOKUP("APG",Controls!A:I,8,0),3)</f>
        <v>3</v>
      </c>
      <c r="O1575" s="39">
        <f>IFERROR(VLOOKUP("APG",Controls!A:I,9,0),18)</f>
        <v>12</v>
      </c>
      <c r="P1575" s="40">
        <f>IFERROR(VLOOKUP("APG",Controls!A:J,5,0),0)</f>
        <v>95</v>
      </c>
      <c r="Q1575" s="39">
        <f>IFERROR(VLOOKUP("APG",Controls!A:J,6,0),3)</f>
        <v>4</v>
      </c>
      <c r="R1575" s="21" t="str">
        <f>IFERROR(VLOOKUP("APG",Controls!A:K,10,0),"")</f>
        <v>ST Pharm</v>
      </c>
      <c r="S1575" s="41">
        <f t="shared" si="171"/>
        <v>50161</v>
      </c>
      <c r="T1575" s="30">
        <f t="shared" si="172"/>
        <v>0</v>
      </c>
      <c r="AB1575">
        <f t="shared" si="174"/>
        <v>308.84000000000003</v>
      </c>
    </row>
    <row r="1576" spans="1:28" ht="13" customHeight="1" x14ac:dyDescent="0.35">
      <c r="A1576" s="153">
        <v>50314</v>
      </c>
      <c r="B1576" s="36" t="s">
        <v>57</v>
      </c>
      <c r="C1576" s="15" t="s">
        <v>52</v>
      </c>
      <c r="D1576" s="15" t="s">
        <v>48</v>
      </c>
      <c r="E1576" s="30">
        <f>H1575</f>
        <v>106.67199999999997</v>
      </c>
      <c r="F1576" s="37">
        <f>IFERROR('Production Inputs'!$EV$37*Dependencies!$D$17,0)</f>
        <v>0</v>
      </c>
      <c r="G1576" s="37">
        <f t="array" ref="G1576">IFERROR(SUMPRODUCT(('Production Inputs'!$A:$A="APG")*('Production Inputs'!$B:$B="TOTAL ACTIVE")*'Production Inputs'!$EV:$EV),0)</f>
        <v>0</v>
      </c>
      <c r="H1576" s="30">
        <f t="shared" si="168"/>
        <v>106.67199999999997</v>
      </c>
      <c r="I1576" s="30">
        <f ca="1">IFERROR(AVERAGEIF(OFFSET(F1576,0,0,MIN(Controls!$B$8,COUNTIF(B1576:B$1973,B1576)),1),"&gt;"&amp;0),0)</f>
        <v>0</v>
      </c>
      <c r="J1576" s="38">
        <f t="shared" ca="1" si="169"/>
        <v>999</v>
      </c>
      <c r="K1576" s="30">
        <f t="shared" ca="1" si="173"/>
        <v>0</v>
      </c>
      <c r="L1576" t="str">
        <f t="shared" ca="1" si="170"/>
        <v>Overstock</v>
      </c>
      <c r="M1576" s="39">
        <f>IFERROR(VLOOKUP("APG",Controls!A:I,7,0),6)</f>
        <v>4</v>
      </c>
      <c r="N1576" s="39">
        <f>IFERROR(VLOOKUP("APG",Controls!A:I,8,0),3)</f>
        <v>3</v>
      </c>
      <c r="O1576" s="39">
        <f>IFERROR(VLOOKUP("APG",Controls!A:I,9,0),18)</f>
        <v>12</v>
      </c>
      <c r="P1576" s="40">
        <f>IFERROR(VLOOKUP("APG",Controls!A:J,5,0),0)</f>
        <v>95</v>
      </c>
      <c r="Q1576" s="39">
        <f>IFERROR(VLOOKUP("APG",Controls!A:J,6,0),3)</f>
        <v>4</v>
      </c>
      <c r="R1576" s="21" t="str">
        <f>IFERROR(VLOOKUP("APG",Controls!A:K,10,0),"")</f>
        <v>ST Pharm</v>
      </c>
      <c r="S1576" s="41">
        <f t="shared" si="171"/>
        <v>50192</v>
      </c>
      <c r="T1576" s="30">
        <f t="shared" si="172"/>
        <v>0</v>
      </c>
      <c r="AB1576">
        <f t="shared" si="174"/>
        <v>308.84000000000003</v>
      </c>
    </row>
    <row r="1577" spans="1:28" ht="13" customHeight="1" x14ac:dyDescent="0.35">
      <c r="A1577" s="153">
        <v>50345</v>
      </c>
      <c r="B1577" s="36" t="s">
        <v>57</v>
      </c>
      <c r="C1577" s="15" t="s">
        <v>52</v>
      </c>
      <c r="D1577" s="15" t="s">
        <v>48</v>
      </c>
      <c r="E1577" s="30">
        <f>H1576</f>
        <v>106.67199999999997</v>
      </c>
      <c r="F1577" s="37">
        <f>IFERROR('Production Inputs'!$EW$37*Dependencies!$D$17,0)</f>
        <v>0</v>
      </c>
      <c r="G1577" s="37">
        <f t="array" ref="G1577">IFERROR(SUMPRODUCT(('Production Inputs'!$A:$A="APG")*('Production Inputs'!$B:$B="TOTAL ACTIVE")*'Production Inputs'!$EW:$EW),0)</f>
        <v>0</v>
      </c>
      <c r="H1577" s="30">
        <f t="shared" si="168"/>
        <v>106.67199999999997</v>
      </c>
      <c r="I1577" s="30">
        <f ca="1">IFERROR(AVERAGEIF(OFFSET(F1577,0,0,MIN(Controls!$B$8,COUNTIF(B1577:B$1973,B1577)),1),"&gt;"&amp;0),0)</f>
        <v>0</v>
      </c>
      <c r="J1577" s="38">
        <f t="shared" ca="1" si="169"/>
        <v>999</v>
      </c>
      <c r="K1577" s="30">
        <f t="shared" ca="1" si="173"/>
        <v>0</v>
      </c>
      <c r="L1577" t="str">
        <f t="shared" ca="1" si="170"/>
        <v>Overstock</v>
      </c>
      <c r="M1577" s="39">
        <f>IFERROR(VLOOKUP("APG",Controls!A:I,7,0),6)</f>
        <v>4</v>
      </c>
      <c r="N1577" s="39">
        <f>IFERROR(VLOOKUP("APG",Controls!A:I,8,0),3)</f>
        <v>3</v>
      </c>
      <c r="O1577" s="39">
        <f>IFERROR(VLOOKUP("APG",Controls!A:I,9,0),18)</f>
        <v>12</v>
      </c>
      <c r="P1577" s="40">
        <f>IFERROR(VLOOKUP("APG",Controls!A:J,5,0),0)</f>
        <v>95</v>
      </c>
      <c r="Q1577" s="39">
        <f>IFERROR(VLOOKUP("APG",Controls!A:J,6,0),3)</f>
        <v>4</v>
      </c>
      <c r="R1577" s="21" t="str">
        <f>IFERROR(VLOOKUP("APG",Controls!A:K,10,0),"")</f>
        <v>ST Pharm</v>
      </c>
      <c r="S1577" s="41">
        <f t="shared" si="171"/>
        <v>50222</v>
      </c>
      <c r="T1577" s="30">
        <f t="shared" si="172"/>
        <v>0</v>
      </c>
      <c r="AB1577">
        <f t="shared" si="174"/>
        <v>308.84000000000003</v>
      </c>
    </row>
    <row r="1578" spans="1:28" ht="13" customHeight="1" x14ac:dyDescent="0.35">
      <c r="A1578" s="153">
        <v>50375</v>
      </c>
      <c r="B1578" s="36" t="s">
        <v>57</v>
      </c>
      <c r="C1578" s="15" t="s">
        <v>52</v>
      </c>
      <c r="D1578" s="15" t="s">
        <v>48</v>
      </c>
      <c r="E1578" s="30">
        <f>H1577</f>
        <v>106.67199999999997</v>
      </c>
      <c r="F1578" s="37">
        <f>IFERROR('Production Inputs'!$EX$37*Dependencies!$D$17,0)</f>
        <v>0</v>
      </c>
      <c r="G1578" s="37">
        <f t="array" ref="G1578">IFERROR(SUMPRODUCT(('Production Inputs'!$A:$A="APG")*('Production Inputs'!$B:$B="TOTAL ACTIVE")*'Production Inputs'!$EX:$EX),0)</f>
        <v>0</v>
      </c>
      <c r="H1578" s="30">
        <f t="shared" si="168"/>
        <v>106.67199999999997</v>
      </c>
      <c r="I1578" s="30">
        <f ca="1">IFERROR(AVERAGEIF(OFFSET(F1578,0,0,MIN(Controls!$B$8,COUNTIF(B1578:B$1973,B1578)),1),"&gt;"&amp;0),0)</f>
        <v>0</v>
      </c>
      <c r="J1578" s="38">
        <f t="shared" ca="1" si="169"/>
        <v>999</v>
      </c>
      <c r="K1578" s="30">
        <f t="shared" ca="1" si="173"/>
        <v>0</v>
      </c>
      <c r="L1578" t="str">
        <f t="shared" ca="1" si="170"/>
        <v>Overstock</v>
      </c>
      <c r="M1578" s="39">
        <f>IFERROR(VLOOKUP("APG",Controls!A:I,7,0),6)</f>
        <v>4</v>
      </c>
      <c r="N1578" s="39">
        <f>IFERROR(VLOOKUP("APG",Controls!A:I,8,0),3)</f>
        <v>3</v>
      </c>
      <c r="O1578" s="39">
        <f>IFERROR(VLOOKUP("APG",Controls!A:I,9,0),18)</f>
        <v>12</v>
      </c>
      <c r="P1578" s="40">
        <f>IFERROR(VLOOKUP("APG",Controls!A:J,5,0),0)</f>
        <v>95</v>
      </c>
      <c r="Q1578" s="39">
        <f>IFERROR(VLOOKUP("APG",Controls!A:J,6,0),3)</f>
        <v>4</v>
      </c>
      <c r="R1578" s="21" t="str">
        <f>IFERROR(VLOOKUP("APG",Controls!A:K,10,0),"")</f>
        <v>ST Pharm</v>
      </c>
      <c r="S1578" s="41">
        <f t="shared" si="171"/>
        <v>50253</v>
      </c>
      <c r="T1578" s="30">
        <f t="shared" si="172"/>
        <v>0</v>
      </c>
      <c r="AB1578">
        <f t="shared" si="174"/>
        <v>308.84000000000003</v>
      </c>
    </row>
    <row r="1579" spans="1:28" ht="13" customHeight="1" x14ac:dyDescent="0.35">
      <c r="A1579" s="153">
        <v>50406</v>
      </c>
      <c r="B1579" s="36" t="s">
        <v>57</v>
      </c>
      <c r="C1579" s="15" t="s">
        <v>52</v>
      </c>
      <c r="D1579" s="15" t="s">
        <v>48</v>
      </c>
      <c r="E1579" s="30">
        <f>H1578</f>
        <v>106.67199999999997</v>
      </c>
      <c r="F1579" s="37">
        <f>IFERROR('Production Inputs'!$EY$37*Dependencies!$D$17,0)</f>
        <v>0</v>
      </c>
      <c r="G1579" s="37">
        <f t="array" ref="G1579">IFERROR(SUMPRODUCT(('Production Inputs'!$A:$A="APG")*('Production Inputs'!$B:$B="TOTAL ACTIVE")*'Production Inputs'!$EY:$EY),0)</f>
        <v>0</v>
      </c>
      <c r="H1579" s="30">
        <f t="shared" si="168"/>
        <v>106.67199999999997</v>
      </c>
      <c r="I1579" s="30">
        <f ca="1">IFERROR(AVERAGEIF(OFFSET(F1579,0,0,MIN(Controls!$B$8,COUNTIF(B1579:B$1973,B1579)),1),"&gt;"&amp;0),0)</f>
        <v>0</v>
      </c>
      <c r="J1579" s="38">
        <f t="shared" ca="1" si="169"/>
        <v>999</v>
      </c>
      <c r="K1579" s="30">
        <f t="shared" ca="1" si="173"/>
        <v>0</v>
      </c>
      <c r="L1579" t="str">
        <f t="shared" ca="1" si="170"/>
        <v>Overstock</v>
      </c>
      <c r="M1579" s="39">
        <f>IFERROR(VLOOKUP("APG",Controls!A:I,7,0),6)</f>
        <v>4</v>
      </c>
      <c r="N1579" s="39">
        <f>IFERROR(VLOOKUP("APG",Controls!A:I,8,0),3)</f>
        <v>3</v>
      </c>
      <c r="O1579" s="39">
        <f>IFERROR(VLOOKUP("APG",Controls!A:I,9,0),18)</f>
        <v>12</v>
      </c>
      <c r="P1579" s="40">
        <f>IFERROR(VLOOKUP("APG",Controls!A:J,5,0),0)</f>
        <v>95</v>
      </c>
      <c r="Q1579" s="39">
        <f>IFERROR(VLOOKUP("APG",Controls!A:J,6,0),3)</f>
        <v>4</v>
      </c>
      <c r="R1579" s="21" t="str">
        <f>IFERROR(VLOOKUP("APG",Controls!A:K,10,0),"")</f>
        <v>ST Pharm</v>
      </c>
      <c r="S1579" s="41">
        <f t="shared" si="171"/>
        <v>50284</v>
      </c>
      <c r="T1579" s="30">
        <f t="shared" si="172"/>
        <v>0</v>
      </c>
      <c r="AB1579">
        <f t="shared" si="174"/>
        <v>308.84000000000003</v>
      </c>
    </row>
    <row r="1580" spans="1:28" ht="13" customHeight="1" x14ac:dyDescent="0.35">
      <c r="A1580" s="153">
        <v>50437</v>
      </c>
      <c r="B1580" s="36" t="s">
        <v>57</v>
      </c>
      <c r="C1580" s="15" t="s">
        <v>52</v>
      </c>
      <c r="D1580" s="15" t="s">
        <v>48</v>
      </c>
      <c r="E1580" s="30">
        <f>H1579</f>
        <v>106.67199999999997</v>
      </c>
      <c r="F1580" s="37">
        <f>IFERROR('Production Inputs'!$EZ$37*Dependencies!$D$17,0)</f>
        <v>0</v>
      </c>
      <c r="G1580" s="37">
        <f t="array" ref="G1580">IFERROR(SUMPRODUCT(('Production Inputs'!$A:$A="APG")*('Production Inputs'!$B:$B="TOTAL ACTIVE")*'Production Inputs'!$EZ:$EZ),0)</f>
        <v>0</v>
      </c>
      <c r="H1580" s="30">
        <f t="shared" si="168"/>
        <v>106.67199999999997</v>
      </c>
      <c r="I1580" s="30">
        <f ca="1">IFERROR(AVERAGEIF(OFFSET(F1580,0,0,MIN(Controls!$B$8,COUNTIF(B1580:B$1973,B1580)),1),"&gt;"&amp;0),0)</f>
        <v>0</v>
      </c>
      <c r="J1580" s="38">
        <f t="shared" ca="1" si="169"/>
        <v>999</v>
      </c>
      <c r="K1580" s="30">
        <f t="shared" ca="1" si="173"/>
        <v>0</v>
      </c>
      <c r="L1580" t="str">
        <f t="shared" ca="1" si="170"/>
        <v>Overstock</v>
      </c>
      <c r="M1580" s="39">
        <f>IFERROR(VLOOKUP("APG",Controls!A:I,7,0),6)</f>
        <v>4</v>
      </c>
      <c r="N1580" s="39">
        <f>IFERROR(VLOOKUP("APG",Controls!A:I,8,0),3)</f>
        <v>3</v>
      </c>
      <c r="O1580" s="39">
        <f>IFERROR(VLOOKUP("APG",Controls!A:I,9,0),18)</f>
        <v>12</v>
      </c>
      <c r="P1580" s="40">
        <f>IFERROR(VLOOKUP("APG",Controls!A:J,5,0),0)</f>
        <v>95</v>
      </c>
      <c r="Q1580" s="39">
        <f>IFERROR(VLOOKUP("APG",Controls!A:J,6,0),3)</f>
        <v>4</v>
      </c>
      <c r="R1580" s="21" t="str">
        <f>IFERROR(VLOOKUP("APG",Controls!A:K,10,0),"")</f>
        <v>ST Pharm</v>
      </c>
      <c r="S1580" s="41">
        <f t="shared" si="171"/>
        <v>50314</v>
      </c>
      <c r="T1580" s="30">
        <f t="shared" si="172"/>
        <v>0</v>
      </c>
      <c r="AB1580">
        <f t="shared" si="174"/>
        <v>308.84000000000003</v>
      </c>
    </row>
    <row r="1581" spans="1:28" ht="13" customHeight="1" x14ac:dyDescent="0.35">
      <c r="A1581" s="153">
        <v>50465</v>
      </c>
      <c r="B1581" s="36" t="s">
        <v>57</v>
      </c>
      <c r="C1581" s="15" t="s">
        <v>52</v>
      </c>
      <c r="D1581" s="15" t="s">
        <v>48</v>
      </c>
      <c r="E1581" s="30">
        <f>H1580</f>
        <v>106.67199999999997</v>
      </c>
      <c r="F1581" s="37">
        <f>IFERROR('Production Inputs'!$FA$37*Dependencies!$D$17,0)</f>
        <v>0</v>
      </c>
      <c r="G1581" s="37">
        <f t="array" ref="G1581">IFERROR(SUMPRODUCT(('Production Inputs'!$A:$A="APG")*('Production Inputs'!$B:$B="TOTAL ACTIVE")*'Production Inputs'!$FA:$FA),0)</f>
        <v>0</v>
      </c>
      <c r="H1581" s="30">
        <f t="shared" si="168"/>
        <v>106.67199999999997</v>
      </c>
      <c r="I1581" s="30">
        <f ca="1">IFERROR(AVERAGEIF(OFFSET(F1581,0,0,MIN(Controls!$B$8,COUNTIF(B1581:B$1973,B1581)),1),"&gt;"&amp;0),0)</f>
        <v>0</v>
      </c>
      <c r="J1581" s="38">
        <f t="shared" ca="1" si="169"/>
        <v>999</v>
      </c>
      <c r="K1581" s="30">
        <f t="shared" ca="1" si="173"/>
        <v>0</v>
      </c>
      <c r="L1581" t="str">
        <f t="shared" ca="1" si="170"/>
        <v>Overstock</v>
      </c>
      <c r="M1581" s="39">
        <f>IFERROR(VLOOKUP("APG",Controls!A:I,7,0),6)</f>
        <v>4</v>
      </c>
      <c r="N1581" s="39">
        <f>IFERROR(VLOOKUP("APG",Controls!A:I,8,0),3)</f>
        <v>3</v>
      </c>
      <c r="O1581" s="39">
        <f>IFERROR(VLOOKUP("APG",Controls!A:I,9,0),18)</f>
        <v>12</v>
      </c>
      <c r="P1581" s="40">
        <f>IFERROR(VLOOKUP("APG",Controls!A:J,5,0),0)</f>
        <v>95</v>
      </c>
      <c r="Q1581" s="39">
        <f>IFERROR(VLOOKUP("APG",Controls!A:J,6,0),3)</f>
        <v>4</v>
      </c>
      <c r="R1581" s="21" t="str">
        <f>IFERROR(VLOOKUP("APG",Controls!A:K,10,0),"")</f>
        <v>ST Pharm</v>
      </c>
      <c r="S1581" s="41">
        <f t="shared" si="171"/>
        <v>50345</v>
      </c>
      <c r="T1581" s="30">
        <f t="shared" si="172"/>
        <v>0</v>
      </c>
      <c r="AB1581">
        <f t="shared" si="174"/>
        <v>308.84000000000003</v>
      </c>
    </row>
    <row r="1582" spans="1:28" ht="13" customHeight="1" x14ac:dyDescent="0.35">
      <c r="A1582" s="153">
        <v>50496</v>
      </c>
      <c r="B1582" s="36" t="s">
        <v>57</v>
      </c>
      <c r="C1582" s="15" t="s">
        <v>52</v>
      </c>
      <c r="D1582" s="15" t="s">
        <v>48</v>
      </c>
      <c r="E1582" s="30">
        <f>H1581</f>
        <v>106.67199999999997</v>
      </c>
      <c r="F1582" s="37">
        <f>IFERROR('Production Inputs'!$FB$37*Dependencies!$D$17,0)</f>
        <v>0</v>
      </c>
      <c r="G1582" s="37">
        <f t="array" ref="G1582">IFERROR(SUMPRODUCT(('Production Inputs'!$A:$A="APG")*('Production Inputs'!$B:$B="TOTAL ACTIVE")*'Production Inputs'!$FB:$FB),0)</f>
        <v>0</v>
      </c>
      <c r="H1582" s="30">
        <f t="shared" si="168"/>
        <v>106.67199999999997</v>
      </c>
      <c r="I1582" s="30">
        <f ca="1">IFERROR(AVERAGEIF(OFFSET(F1582,0,0,MIN(Controls!$B$8,COUNTIF(B1582:B$1973,B1582)),1),"&gt;"&amp;0),0)</f>
        <v>0</v>
      </c>
      <c r="J1582" s="38">
        <f t="shared" ca="1" si="169"/>
        <v>999</v>
      </c>
      <c r="K1582" s="30">
        <f t="shared" ca="1" si="173"/>
        <v>0</v>
      </c>
      <c r="L1582" t="str">
        <f t="shared" ca="1" si="170"/>
        <v>Overstock</v>
      </c>
      <c r="M1582" s="39">
        <f>IFERROR(VLOOKUP("APG",Controls!A:I,7,0),6)</f>
        <v>4</v>
      </c>
      <c r="N1582" s="39">
        <f>IFERROR(VLOOKUP("APG",Controls!A:I,8,0),3)</f>
        <v>3</v>
      </c>
      <c r="O1582" s="39">
        <f>IFERROR(VLOOKUP("APG",Controls!A:I,9,0),18)</f>
        <v>12</v>
      </c>
      <c r="P1582" s="40">
        <f>IFERROR(VLOOKUP("APG",Controls!A:J,5,0),0)</f>
        <v>95</v>
      </c>
      <c r="Q1582" s="39">
        <f>IFERROR(VLOOKUP("APG",Controls!A:J,6,0),3)</f>
        <v>4</v>
      </c>
      <c r="R1582" s="21" t="str">
        <f>IFERROR(VLOOKUP("APG",Controls!A:K,10,0),"")</f>
        <v>ST Pharm</v>
      </c>
      <c r="S1582" s="41">
        <f t="shared" si="171"/>
        <v>50375</v>
      </c>
      <c r="T1582" s="30">
        <f t="shared" si="172"/>
        <v>0</v>
      </c>
      <c r="AB1582">
        <f t="shared" si="174"/>
        <v>308.84000000000003</v>
      </c>
    </row>
    <row r="1583" spans="1:28" ht="13" customHeight="1" x14ac:dyDescent="0.35">
      <c r="A1583" s="153">
        <v>50526</v>
      </c>
      <c r="B1583" s="36" t="s">
        <v>57</v>
      </c>
      <c r="C1583" s="15" t="s">
        <v>52</v>
      </c>
      <c r="D1583" s="15" t="s">
        <v>48</v>
      </c>
      <c r="E1583" s="30">
        <f>H1582</f>
        <v>106.67199999999997</v>
      </c>
      <c r="F1583" s="37">
        <f>IFERROR('Production Inputs'!$FC$37*Dependencies!$D$17,0)</f>
        <v>0</v>
      </c>
      <c r="G1583" s="37">
        <f t="array" ref="G1583">IFERROR(SUMPRODUCT(('Production Inputs'!$A:$A="APG")*('Production Inputs'!$B:$B="TOTAL ACTIVE")*'Production Inputs'!$FC:$FC),0)</f>
        <v>0</v>
      </c>
      <c r="H1583" s="30">
        <f t="shared" si="168"/>
        <v>106.67199999999997</v>
      </c>
      <c r="I1583" s="30">
        <f ca="1">IFERROR(AVERAGEIF(OFFSET(F1583,0,0,MIN(Controls!$B$8,COUNTIF(B1583:B$1973,B1583)),1),"&gt;"&amp;0),0)</f>
        <v>0</v>
      </c>
      <c r="J1583" s="38">
        <f t="shared" ca="1" si="169"/>
        <v>999</v>
      </c>
      <c r="K1583" s="30">
        <f t="shared" ca="1" si="173"/>
        <v>0</v>
      </c>
      <c r="L1583" t="str">
        <f t="shared" ca="1" si="170"/>
        <v>Overstock</v>
      </c>
      <c r="M1583" s="39">
        <f>IFERROR(VLOOKUP("APG",Controls!A:I,7,0),6)</f>
        <v>4</v>
      </c>
      <c r="N1583" s="39">
        <f>IFERROR(VLOOKUP("APG",Controls!A:I,8,0),3)</f>
        <v>3</v>
      </c>
      <c r="O1583" s="39">
        <f>IFERROR(VLOOKUP("APG",Controls!A:I,9,0),18)</f>
        <v>12</v>
      </c>
      <c r="P1583" s="40">
        <f>IFERROR(VLOOKUP("APG",Controls!A:J,5,0),0)</f>
        <v>95</v>
      </c>
      <c r="Q1583" s="39">
        <f>IFERROR(VLOOKUP("APG",Controls!A:J,6,0),3)</f>
        <v>4</v>
      </c>
      <c r="R1583" s="21" t="str">
        <f>IFERROR(VLOOKUP("APG",Controls!A:K,10,0),"")</f>
        <v>ST Pharm</v>
      </c>
      <c r="S1583" s="41">
        <f t="shared" si="171"/>
        <v>50406</v>
      </c>
      <c r="T1583" s="30">
        <f t="shared" si="172"/>
        <v>0</v>
      </c>
      <c r="AB1583">
        <f t="shared" si="174"/>
        <v>308.84000000000003</v>
      </c>
    </row>
    <row r="1584" spans="1:28" ht="13" customHeight="1" x14ac:dyDescent="0.35">
      <c r="A1584" s="153">
        <v>50557</v>
      </c>
      <c r="B1584" s="36" t="s">
        <v>57</v>
      </c>
      <c r="C1584" s="15" t="s">
        <v>52</v>
      </c>
      <c r="D1584" s="15" t="s">
        <v>48</v>
      </c>
      <c r="E1584" s="30">
        <f>H1583</f>
        <v>106.67199999999997</v>
      </c>
      <c r="F1584" s="37">
        <f>IFERROR('Production Inputs'!$FD$37*Dependencies!$D$17,0)</f>
        <v>0</v>
      </c>
      <c r="G1584" s="37">
        <f t="array" ref="G1584">IFERROR(SUMPRODUCT(('Production Inputs'!$A:$A="APG")*('Production Inputs'!$B:$B="TOTAL ACTIVE")*'Production Inputs'!$FD:$FD),0)</f>
        <v>0</v>
      </c>
      <c r="H1584" s="30">
        <f t="shared" si="168"/>
        <v>106.67199999999997</v>
      </c>
      <c r="I1584" s="30">
        <f ca="1">IFERROR(AVERAGEIF(OFFSET(F1584,0,0,MIN(Controls!$B$8,COUNTIF(B1584:B$1973,B1584)),1),"&gt;"&amp;0),0)</f>
        <v>0</v>
      </c>
      <c r="J1584" s="38">
        <f t="shared" ca="1" si="169"/>
        <v>999</v>
      </c>
      <c r="K1584" s="30">
        <f t="shared" ca="1" si="173"/>
        <v>0</v>
      </c>
      <c r="L1584" t="str">
        <f t="shared" ca="1" si="170"/>
        <v>Overstock</v>
      </c>
      <c r="M1584" s="39">
        <f>IFERROR(VLOOKUP("APG",Controls!A:I,7,0),6)</f>
        <v>4</v>
      </c>
      <c r="N1584" s="39">
        <f>IFERROR(VLOOKUP("APG",Controls!A:I,8,0),3)</f>
        <v>3</v>
      </c>
      <c r="O1584" s="39">
        <f>IFERROR(VLOOKUP("APG",Controls!A:I,9,0),18)</f>
        <v>12</v>
      </c>
      <c r="P1584" s="40">
        <f>IFERROR(VLOOKUP("APG",Controls!A:J,5,0),0)</f>
        <v>95</v>
      </c>
      <c r="Q1584" s="39">
        <f>IFERROR(VLOOKUP("APG",Controls!A:J,6,0),3)</f>
        <v>4</v>
      </c>
      <c r="R1584" s="21" t="str">
        <f>IFERROR(VLOOKUP("APG",Controls!A:K,10,0),"")</f>
        <v>ST Pharm</v>
      </c>
      <c r="S1584" s="41">
        <f t="shared" si="171"/>
        <v>50437</v>
      </c>
      <c r="T1584" s="30">
        <f t="shared" si="172"/>
        <v>0</v>
      </c>
      <c r="AB1584">
        <f t="shared" si="174"/>
        <v>308.84000000000003</v>
      </c>
    </row>
    <row r="1585" spans="1:28" ht="13" customHeight="1" x14ac:dyDescent="0.35">
      <c r="A1585" s="153">
        <v>50587</v>
      </c>
      <c r="B1585" s="36" t="s">
        <v>57</v>
      </c>
      <c r="C1585" s="15" t="s">
        <v>52</v>
      </c>
      <c r="D1585" s="15" t="s">
        <v>48</v>
      </c>
      <c r="E1585" s="30">
        <f>H1584</f>
        <v>106.67199999999997</v>
      </c>
      <c r="F1585" s="37">
        <f>IFERROR('Production Inputs'!$FE$37*Dependencies!$D$17,0)</f>
        <v>0</v>
      </c>
      <c r="G1585" s="37">
        <f t="array" ref="G1585">IFERROR(SUMPRODUCT(('Production Inputs'!$A:$A="APG")*('Production Inputs'!$B:$B="TOTAL ACTIVE")*'Production Inputs'!$FE:$FE),0)</f>
        <v>0</v>
      </c>
      <c r="H1585" s="30">
        <f t="shared" si="168"/>
        <v>106.67199999999997</v>
      </c>
      <c r="I1585" s="30">
        <f ca="1">IFERROR(AVERAGEIF(OFFSET(F1585,0,0,MIN(Controls!$B$8,COUNTIF(B1585:B$1973,B1585)),1),"&gt;"&amp;0),0)</f>
        <v>0</v>
      </c>
      <c r="J1585" s="38">
        <f t="shared" ca="1" si="169"/>
        <v>999</v>
      </c>
      <c r="K1585" s="30">
        <f t="shared" ca="1" si="173"/>
        <v>0</v>
      </c>
      <c r="L1585" t="str">
        <f t="shared" ca="1" si="170"/>
        <v>Overstock</v>
      </c>
      <c r="M1585" s="39">
        <f>IFERROR(VLOOKUP("APG",Controls!A:I,7,0),6)</f>
        <v>4</v>
      </c>
      <c r="N1585" s="39">
        <f>IFERROR(VLOOKUP("APG",Controls!A:I,8,0),3)</f>
        <v>3</v>
      </c>
      <c r="O1585" s="39">
        <f>IFERROR(VLOOKUP("APG",Controls!A:I,9,0),18)</f>
        <v>12</v>
      </c>
      <c r="P1585" s="40">
        <f>IFERROR(VLOOKUP("APG",Controls!A:J,5,0),0)</f>
        <v>95</v>
      </c>
      <c r="Q1585" s="39">
        <f>IFERROR(VLOOKUP("APG",Controls!A:J,6,0),3)</f>
        <v>4</v>
      </c>
      <c r="R1585" s="21" t="str">
        <f>IFERROR(VLOOKUP("APG",Controls!A:K,10,0),"")</f>
        <v>ST Pharm</v>
      </c>
      <c r="S1585" s="41">
        <f t="shared" si="171"/>
        <v>50465</v>
      </c>
      <c r="T1585" s="30">
        <f t="shared" si="172"/>
        <v>0</v>
      </c>
      <c r="AB1585">
        <f t="shared" si="174"/>
        <v>308.84000000000003</v>
      </c>
    </row>
    <row r="1586" spans="1:28" ht="13" customHeight="1" x14ac:dyDescent="0.35">
      <c r="A1586" s="153">
        <v>50618</v>
      </c>
      <c r="B1586" s="36" t="s">
        <v>57</v>
      </c>
      <c r="C1586" s="15" t="s">
        <v>52</v>
      </c>
      <c r="D1586" s="15" t="s">
        <v>48</v>
      </c>
      <c r="E1586" s="30">
        <f>H1585</f>
        <v>106.67199999999997</v>
      </c>
      <c r="F1586" s="37">
        <f>IFERROR('Production Inputs'!$FF$37*Dependencies!$D$17,0)</f>
        <v>0</v>
      </c>
      <c r="G1586" s="37">
        <f t="array" ref="G1586">IFERROR(SUMPRODUCT(('Production Inputs'!$A:$A="APG")*('Production Inputs'!$B:$B="TOTAL ACTIVE")*'Production Inputs'!$FF:$FF),0)</f>
        <v>0</v>
      </c>
      <c r="H1586" s="30">
        <f t="shared" si="168"/>
        <v>106.67199999999997</v>
      </c>
      <c r="I1586" s="30">
        <f ca="1">IFERROR(AVERAGEIF(OFFSET(F1586,0,0,MIN(Controls!$B$8,COUNTIF(B1586:B$1973,B1586)),1),"&gt;"&amp;0),0)</f>
        <v>0</v>
      </c>
      <c r="J1586" s="38">
        <f t="shared" ca="1" si="169"/>
        <v>999</v>
      </c>
      <c r="K1586" s="30">
        <f t="shared" ca="1" si="173"/>
        <v>0</v>
      </c>
      <c r="L1586" t="str">
        <f t="shared" ca="1" si="170"/>
        <v>Overstock</v>
      </c>
      <c r="M1586" s="39">
        <f>IFERROR(VLOOKUP("APG",Controls!A:I,7,0),6)</f>
        <v>4</v>
      </c>
      <c r="N1586" s="39">
        <f>IFERROR(VLOOKUP("APG",Controls!A:I,8,0),3)</f>
        <v>3</v>
      </c>
      <c r="O1586" s="39">
        <f>IFERROR(VLOOKUP("APG",Controls!A:I,9,0),18)</f>
        <v>12</v>
      </c>
      <c r="P1586" s="40">
        <f>IFERROR(VLOOKUP("APG",Controls!A:J,5,0),0)</f>
        <v>95</v>
      </c>
      <c r="Q1586" s="39">
        <f>IFERROR(VLOOKUP("APG",Controls!A:J,6,0),3)</f>
        <v>4</v>
      </c>
      <c r="R1586" s="21" t="str">
        <f>IFERROR(VLOOKUP("APG",Controls!A:K,10,0),"")</f>
        <v>ST Pharm</v>
      </c>
      <c r="S1586" s="41">
        <f t="shared" si="171"/>
        <v>50496</v>
      </c>
      <c r="T1586" s="30">
        <f t="shared" si="172"/>
        <v>0</v>
      </c>
      <c r="AB1586">
        <f t="shared" si="174"/>
        <v>308.84000000000003</v>
      </c>
    </row>
    <row r="1587" spans="1:28" ht="13" customHeight="1" x14ac:dyDescent="0.35">
      <c r="A1587" s="153">
        <v>50649</v>
      </c>
      <c r="B1587" s="36" t="s">
        <v>57</v>
      </c>
      <c r="C1587" s="15" t="s">
        <v>52</v>
      </c>
      <c r="D1587" s="15" t="s">
        <v>48</v>
      </c>
      <c r="E1587" s="30">
        <f>H1586</f>
        <v>106.67199999999997</v>
      </c>
      <c r="F1587" s="37">
        <f>IFERROR('Production Inputs'!$FG$37*Dependencies!$D$17,0)</f>
        <v>0</v>
      </c>
      <c r="G1587" s="37">
        <f t="array" ref="G1587">IFERROR(SUMPRODUCT(('Production Inputs'!$A:$A="APG")*('Production Inputs'!$B:$B="TOTAL ACTIVE")*'Production Inputs'!$FG:$FG),0)</f>
        <v>0</v>
      </c>
      <c r="H1587" s="30">
        <f t="shared" si="168"/>
        <v>106.67199999999997</v>
      </c>
      <c r="I1587" s="30">
        <f ca="1">IFERROR(AVERAGEIF(OFFSET(F1587,0,0,MIN(Controls!$B$8,COUNTIF(B1587:B$1973,B1587)),1),"&gt;"&amp;0),0)</f>
        <v>0</v>
      </c>
      <c r="J1587" s="38">
        <f t="shared" ca="1" si="169"/>
        <v>999</v>
      </c>
      <c r="K1587" s="30">
        <f t="shared" ca="1" si="173"/>
        <v>0</v>
      </c>
      <c r="L1587" t="str">
        <f t="shared" ca="1" si="170"/>
        <v>Overstock</v>
      </c>
      <c r="M1587" s="39">
        <f>IFERROR(VLOOKUP("APG",Controls!A:I,7,0),6)</f>
        <v>4</v>
      </c>
      <c r="N1587" s="39">
        <f>IFERROR(VLOOKUP("APG",Controls!A:I,8,0),3)</f>
        <v>3</v>
      </c>
      <c r="O1587" s="39">
        <f>IFERROR(VLOOKUP("APG",Controls!A:I,9,0),18)</f>
        <v>12</v>
      </c>
      <c r="P1587" s="40">
        <f>IFERROR(VLOOKUP("APG",Controls!A:J,5,0),0)</f>
        <v>95</v>
      </c>
      <c r="Q1587" s="39">
        <f>IFERROR(VLOOKUP("APG",Controls!A:J,6,0),3)</f>
        <v>4</v>
      </c>
      <c r="R1587" s="21" t="str">
        <f>IFERROR(VLOOKUP("APG",Controls!A:K,10,0),"")</f>
        <v>ST Pharm</v>
      </c>
      <c r="S1587" s="41">
        <f t="shared" si="171"/>
        <v>50526</v>
      </c>
      <c r="T1587" s="30">
        <f t="shared" si="172"/>
        <v>0</v>
      </c>
      <c r="AB1587">
        <f t="shared" si="174"/>
        <v>308.84000000000003</v>
      </c>
    </row>
    <row r="1588" spans="1:28" ht="13" customHeight="1" x14ac:dyDescent="0.35">
      <c r="A1588" s="153">
        <v>50679</v>
      </c>
      <c r="B1588" s="36" t="s">
        <v>57</v>
      </c>
      <c r="C1588" s="15" t="s">
        <v>52</v>
      </c>
      <c r="D1588" s="15" t="s">
        <v>48</v>
      </c>
      <c r="E1588" s="30">
        <f>H1587</f>
        <v>106.67199999999997</v>
      </c>
      <c r="F1588" s="37">
        <f>IFERROR('Production Inputs'!$FH$37*Dependencies!$D$17,0)</f>
        <v>0</v>
      </c>
      <c r="G1588" s="37">
        <f t="array" ref="G1588">IFERROR(SUMPRODUCT(('Production Inputs'!$A:$A="APG")*('Production Inputs'!$B:$B="TOTAL ACTIVE")*'Production Inputs'!$FH:$FH),0)</f>
        <v>0</v>
      </c>
      <c r="H1588" s="30">
        <f t="shared" si="168"/>
        <v>106.67199999999997</v>
      </c>
      <c r="I1588" s="30">
        <f ca="1">IFERROR(AVERAGEIF(OFFSET(F1588,0,0,MIN(Controls!$B$8,COUNTIF(B1588:B$1973,B1588)),1),"&gt;"&amp;0),0)</f>
        <v>0</v>
      </c>
      <c r="J1588" s="38">
        <f t="shared" ca="1" si="169"/>
        <v>999</v>
      </c>
      <c r="K1588" s="30">
        <f t="shared" ca="1" si="173"/>
        <v>0</v>
      </c>
      <c r="L1588" t="str">
        <f t="shared" ca="1" si="170"/>
        <v>Overstock</v>
      </c>
      <c r="M1588" s="39">
        <f>IFERROR(VLOOKUP("APG",Controls!A:I,7,0),6)</f>
        <v>4</v>
      </c>
      <c r="N1588" s="39">
        <f>IFERROR(VLOOKUP("APG",Controls!A:I,8,0),3)</f>
        <v>3</v>
      </c>
      <c r="O1588" s="39">
        <f>IFERROR(VLOOKUP("APG",Controls!A:I,9,0),18)</f>
        <v>12</v>
      </c>
      <c r="P1588" s="40">
        <f>IFERROR(VLOOKUP("APG",Controls!A:J,5,0),0)</f>
        <v>95</v>
      </c>
      <c r="Q1588" s="39">
        <f>IFERROR(VLOOKUP("APG",Controls!A:J,6,0),3)</f>
        <v>4</v>
      </c>
      <c r="R1588" s="21" t="str">
        <f>IFERROR(VLOOKUP("APG",Controls!A:K,10,0),"")</f>
        <v>ST Pharm</v>
      </c>
      <c r="S1588" s="41">
        <f t="shared" si="171"/>
        <v>50557</v>
      </c>
      <c r="T1588" s="30">
        <f t="shared" si="172"/>
        <v>0</v>
      </c>
      <c r="AB1588">
        <f t="shared" si="174"/>
        <v>308.84000000000003</v>
      </c>
    </row>
    <row r="1589" spans="1:28" ht="13" customHeight="1" x14ac:dyDescent="0.35">
      <c r="A1589" s="153">
        <v>50710</v>
      </c>
      <c r="B1589" s="36" t="s">
        <v>57</v>
      </c>
      <c r="C1589" s="15" t="s">
        <v>52</v>
      </c>
      <c r="D1589" s="15" t="s">
        <v>48</v>
      </c>
      <c r="E1589" s="30">
        <f>H1588</f>
        <v>106.67199999999997</v>
      </c>
      <c r="F1589" s="37">
        <f>IFERROR('Production Inputs'!$FI$37*Dependencies!$D$17,0)</f>
        <v>0</v>
      </c>
      <c r="G1589" s="37">
        <f t="array" ref="G1589">IFERROR(SUMPRODUCT(('Production Inputs'!$A:$A="APG")*('Production Inputs'!$B:$B="TOTAL ACTIVE")*'Production Inputs'!$FI:$FI),0)</f>
        <v>0</v>
      </c>
      <c r="H1589" s="30">
        <f t="shared" si="168"/>
        <v>106.67199999999997</v>
      </c>
      <c r="I1589" s="30">
        <f ca="1">IFERROR(AVERAGEIF(OFFSET(F1589,0,0,MIN(Controls!$B$8,COUNTIF(B1589:B$1973,B1589)),1),"&gt;"&amp;0),0)</f>
        <v>0</v>
      </c>
      <c r="J1589" s="38">
        <f t="shared" ca="1" si="169"/>
        <v>999</v>
      </c>
      <c r="K1589" s="30">
        <f t="shared" ca="1" si="173"/>
        <v>0</v>
      </c>
      <c r="L1589" t="str">
        <f t="shared" ca="1" si="170"/>
        <v>Overstock</v>
      </c>
      <c r="M1589" s="39">
        <f>IFERROR(VLOOKUP("APG",Controls!A:I,7,0),6)</f>
        <v>4</v>
      </c>
      <c r="N1589" s="39">
        <f>IFERROR(VLOOKUP("APG",Controls!A:I,8,0),3)</f>
        <v>3</v>
      </c>
      <c r="O1589" s="39">
        <f>IFERROR(VLOOKUP("APG",Controls!A:I,9,0),18)</f>
        <v>12</v>
      </c>
      <c r="P1589" s="40">
        <f>IFERROR(VLOOKUP("APG",Controls!A:J,5,0),0)</f>
        <v>95</v>
      </c>
      <c r="Q1589" s="39">
        <f>IFERROR(VLOOKUP("APG",Controls!A:J,6,0),3)</f>
        <v>4</v>
      </c>
      <c r="R1589" s="21" t="str">
        <f>IFERROR(VLOOKUP("APG",Controls!A:K,10,0),"")</f>
        <v>ST Pharm</v>
      </c>
      <c r="S1589" s="41">
        <f t="shared" si="171"/>
        <v>50587</v>
      </c>
      <c r="T1589" s="30">
        <f t="shared" si="172"/>
        <v>0</v>
      </c>
      <c r="AB1589">
        <f t="shared" si="174"/>
        <v>308.84000000000003</v>
      </c>
    </row>
    <row r="1590" spans="1:28" ht="13" customHeight="1" x14ac:dyDescent="0.35">
      <c r="A1590" s="153">
        <v>50740</v>
      </c>
      <c r="B1590" s="36" t="s">
        <v>57</v>
      </c>
      <c r="C1590" s="15" t="s">
        <v>52</v>
      </c>
      <c r="D1590" s="15" t="s">
        <v>48</v>
      </c>
      <c r="E1590" s="30">
        <f>H1589</f>
        <v>106.67199999999997</v>
      </c>
      <c r="F1590" s="37">
        <f>IFERROR('Production Inputs'!$FJ$37*Dependencies!$D$17,0)</f>
        <v>0</v>
      </c>
      <c r="G1590" s="37">
        <f t="array" ref="G1590">IFERROR(SUMPRODUCT(('Production Inputs'!$A:$A="APG")*('Production Inputs'!$B:$B="TOTAL ACTIVE")*'Production Inputs'!$FJ:$FJ),0)</f>
        <v>0</v>
      </c>
      <c r="H1590" s="30">
        <f t="shared" si="168"/>
        <v>106.67199999999997</v>
      </c>
      <c r="I1590" s="30">
        <f ca="1">IFERROR(AVERAGEIF(OFFSET(F1590,0,0,MIN(Controls!$B$8,COUNTIF(B1590:B$1973,B1590)),1),"&gt;"&amp;0),0)</f>
        <v>0</v>
      </c>
      <c r="J1590" s="38">
        <f t="shared" ca="1" si="169"/>
        <v>999</v>
      </c>
      <c r="K1590" s="30">
        <f t="shared" ca="1" si="173"/>
        <v>0</v>
      </c>
      <c r="L1590" t="str">
        <f t="shared" ca="1" si="170"/>
        <v>Overstock</v>
      </c>
      <c r="M1590" s="39">
        <f>IFERROR(VLOOKUP("APG",Controls!A:I,7,0),6)</f>
        <v>4</v>
      </c>
      <c r="N1590" s="39">
        <f>IFERROR(VLOOKUP("APG",Controls!A:I,8,0),3)</f>
        <v>3</v>
      </c>
      <c r="O1590" s="39">
        <f>IFERROR(VLOOKUP("APG",Controls!A:I,9,0),18)</f>
        <v>12</v>
      </c>
      <c r="P1590" s="40">
        <f>IFERROR(VLOOKUP("APG",Controls!A:J,5,0),0)</f>
        <v>95</v>
      </c>
      <c r="Q1590" s="39">
        <f>IFERROR(VLOOKUP("APG",Controls!A:J,6,0),3)</f>
        <v>4</v>
      </c>
      <c r="R1590" s="21" t="str">
        <f>IFERROR(VLOOKUP("APG",Controls!A:K,10,0),"")</f>
        <v>ST Pharm</v>
      </c>
      <c r="S1590" s="41">
        <f t="shared" si="171"/>
        <v>50618</v>
      </c>
      <c r="T1590" s="30">
        <f t="shared" si="172"/>
        <v>0</v>
      </c>
      <c r="AB1590">
        <f t="shared" si="174"/>
        <v>308.84000000000003</v>
      </c>
    </row>
    <row r="1591" spans="1:28" ht="13" customHeight="1" x14ac:dyDescent="0.35">
      <c r="A1591" s="153">
        <v>50771</v>
      </c>
      <c r="B1591" s="36" t="s">
        <v>57</v>
      </c>
      <c r="C1591" s="15" t="s">
        <v>52</v>
      </c>
      <c r="D1591" s="15" t="s">
        <v>48</v>
      </c>
      <c r="E1591" s="30">
        <f>H1590</f>
        <v>106.67199999999997</v>
      </c>
      <c r="F1591" s="37">
        <f>IFERROR('Production Inputs'!$FK$37*Dependencies!$D$17,0)</f>
        <v>0</v>
      </c>
      <c r="G1591" s="37">
        <f t="array" ref="G1591">IFERROR(SUMPRODUCT(('Production Inputs'!$A:$A="APG")*('Production Inputs'!$B:$B="TOTAL ACTIVE")*'Production Inputs'!$FK:$FK),0)</f>
        <v>0</v>
      </c>
      <c r="H1591" s="30">
        <f t="shared" si="168"/>
        <v>106.67199999999997</v>
      </c>
      <c r="I1591" s="30">
        <f ca="1">IFERROR(AVERAGEIF(OFFSET(F1591,0,0,MIN(Controls!$B$8,COUNTIF(B1591:B$1973,B1591)),1),"&gt;"&amp;0),0)</f>
        <v>0</v>
      </c>
      <c r="J1591" s="38">
        <f t="shared" ca="1" si="169"/>
        <v>999</v>
      </c>
      <c r="K1591" s="30">
        <f t="shared" ca="1" si="173"/>
        <v>0</v>
      </c>
      <c r="L1591" t="str">
        <f t="shared" ca="1" si="170"/>
        <v>Overstock</v>
      </c>
      <c r="M1591" s="39">
        <f>IFERROR(VLOOKUP("APG",Controls!A:I,7,0),6)</f>
        <v>4</v>
      </c>
      <c r="N1591" s="39">
        <f>IFERROR(VLOOKUP("APG",Controls!A:I,8,0),3)</f>
        <v>3</v>
      </c>
      <c r="O1591" s="39">
        <f>IFERROR(VLOOKUP("APG",Controls!A:I,9,0),18)</f>
        <v>12</v>
      </c>
      <c r="P1591" s="40">
        <f>IFERROR(VLOOKUP("APG",Controls!A:J,5,0),0)</f>
        <v>95</v>
      </c>
      <c r="Q1591" s="39">
        <f>IFERROR(VLOOKUP("APG",Controls!A:J,6,0),3)</f>
        <v>4</v>
      </c>
      <c r="R1591" s="21" t="str">
        <f>IFERROR(VLOOKUP("APG",Controls!A:K,10,0),"")</f>
        <v>ST Pharm</v>
      </c>
      <c r="S1591" s="41">
        <f t="shared" si="171"/>
        <v>50649</v>
      </c>
      <c r="T1591" s="30">
        <f t="shared" si="172"/>
        <v>0</v>
      </c>
      <c r="AB1591">
        <f t="shared" si="174"/>
        <v>308.84000000000003</v>
      </c>
    </row>
    <row r="1592" spans="1:28" ht="13" customHeight="1" x14ac:dyDescent="0.35">
      <c r="A1592" s="153">
        <v>50802</v>
      </c>
      <c r="B1592" s="36" t="s">
        <v>57</v>
      </c>
      <c r="C1592" s="15" t="s">
        <v>52</v>
      </c>
      <c r="D1592" s="15" t="s">
        <v>48</v>
      </c>
      <c r="E1592" s="30">
        <f>H1591</f>
        <v>106.67199999999997</v>
      </c>
      <c r="F1592" s="37">
        <f>IFERROR('Production Inputs'!$FL$37*Dependencies!$D$17,0)</f>
        <v>0</v>
      </c>
      <c r="G1592" s="37">
        <f t="array" ref="G1592">IFERROR(SUMPRODUCT(('Production Inputs'!$A:$A="APG")*('Production Inputs'!$B:$B="TOTAL ACTIVE")*'Production Inputs'!$FL:$FL),0)</f>
        <v>0</v>
      </c>
      <c r="H1592" s="30">
        <f t="shared" si="168"/>
        <v>106.67199999999997</v>
      </c>
      <c r="I1592" s="30">
        <f ca="1">IFERROR(AVERAGEIF(OFFSET(F1592,0,0,MIN(Controls!$B$8,COUNTIF(B1592:B$1973,B1592)),1),"&gt;"&amp;0),0)</f>
        <v>0</v>
      </c>
      <c r="J1592" s="38">
        <f t="shared" ca="1" si="169"/>
        <v>999</v>
      </c>
      <c r="K1592" s="30">
        <f t="shared" ca="1" si="173"/>
        <v>0</v>
      </c>
      <c r="L1592" t="str">
        <f t="shared" ca="1" si="170"/>
        <v>Overstock</v>
      </c>
      <c r="M1592" s="39">
        <f>IFERROR(VLOOKUP("APG",Controls!A:I,7,0),6)</f>
        <v>4</v>
      </c>
      <c r="N1592" s="39">
        <f>IFERROR(VLOOKUP("APG",Controls!A:I,8,0),3)</f>
        <v>3</v>
      </c>
      <c r="O1592" s="39">
        <f>IFERROR(VLOOKUP("APG",Controls!A:I,9,0),18)</f>
        <v>12</v>
      </c>
      <c r="P1592" s="40">
        <f>IFERROR(VLOOKUP("APG",Controls!A:J,5,0),0)</f>
        <v>95</v>
      </c>
      <c r="Q1592" s="39">
        <f>IFERROR(VLOOKUP("APG",Controls!A:J,6,0),3)</f>
        <v>4</v>
      </c>
      <c r="R1592" s="21" t="str">
        <f>IFERROR(VLOOKUP("APG",Controls!A:K,10,0),"")</f>
        <v>ST Pharm</v>
      </c>
      <c r="S1592" s="41">
        <f t="shared" si="171"/>
        <v>50679</v>
      </c>
      <c r="T1592" s="30">
        <f t="shared" si="172"/>
        <v>0</v>
      </c>
      <c r="AB1592">
        <f t="shared" si="174"/>
        <v>308.84000000000003</v>
      </c>
    </row>
    <row r="1593" spans="1:28" ht="13" customHeight="1" x14ac:dyDescent="0.35">
      <c r="A1593" s="153">
        <v>50830</v>
      </c>
      <c r="B1593" s="36" t="s">
        <v>57</v>
      </c>
      <c r="C1593" s="15" t="s">
        <v>52</v>
      </c>
      <c r="D1593" s="15" t="s">
        <v>48</v>
      </c>
      <c r="E1593" s="30">
        <f>H1592</f>
        <v>106.67199999999997</v>
      </c>
      <c r="F1593" s="37">
        <f>IFERROR('Production Inputs'!$FM$37*Dependencies!$D$17,0)</f>
        <v>0</v>
      </c>
      <c r="G1593" s="37">
        <f t="array" ref="G1593">IFERROR(SUMPRODUCT(('Production Inputs'!$A:$A="APG")*('Production Inputs'!$B:$B="TOTAL ACTIVE")*'Production Inputs'!$FM:$FM),0)</f>
        <v>0</v>
      </c>
      <c r="H1593" s="30">
        <f t="shared" si="168"/>
        <v>106.67199999999997</v>
      </c>
      <c r="I1593" s="30">
        <f ca="1">IFERROR(AVERAGEIF(OFFSET(F1593,0,0,MIN(Controls!$B$8,COUNTIF(B1593:B$1973,B1593)),1),"&gt;"&amp;0),0)</f>
        <v>0</v>
      </c>
      <c r="J1593" s="38">
        <f t="shared" ca="1" si="169"/>
        <v>999</v>
      </c>
      <c r="K1593" s="30">
        <f t="shared" ca="1" si="173"/>
        <v>0</v>
      </c>
      <c r="L1593" t="str">
        <f t="shared" ca="1" si="170"/>
        <v>Overstock</v>
      </c>
      <c r="M1593" s="39">
        <f>IFERROR(VLOOKUP("APG",Controls!A:I,7,0),6)</f>
        <v>4</v>
      </c>
      <c r="N1593" s="39">
        <f>IFERROR(VLOOKUP("APG",Controls!A:I,8,0),3)</f>
        <v>3</v>
      </c>
      <c r="O1593" s="39">
        <f>IFERROR(VLOOKUP("APG",Controls!A:I,9,0),18)</f>
        <v>12</v>
      </c>
      <c r="P1593" s="40">
        <f>IFERROR(VLOOKUP("APG",Controls!A:J,5,0),0)</f>
        <v>95</v>
      </c>
      <c r="Q1593" s="39">
        <f>IFERROR(VLOOKUP("APG",Controls!A:J,6,0),3)</f>
        <v>4</v>
      </c>
      <c r="R1593" s="21" t="str">
        <f>IFERROR(VLOOKUP("APG",Controls!A:K,10,0),"")</f>
        <v>ST Pharm</v>
      </c>
      <c r="S1593" s="41">
        <f t="shared" si="171"/>
        <v>50710</v>
      </c>
      <c r="T1593" s="30">
        <f t="shared" si="172"/>
        <v>0</v>
      </c>
      <c r="AB1593">
        <f t="shared" si="174"/>
        <v>308.84000000000003</v>
      </c>
    </row>
    <row r="1594" spans="1:28" ht="13" customHeight="1" x14ac:dyDescent="0.35">
      <c r="A1594" s="153">
        <v>50861</v>
      </c>
      <c r="B1594" s="36" t="s">
        <v>57</v>
      </c>
      <c r="C1594" s="15" t="s">
        <v>52</v>
      </c>
      <c r="D1594" s="15" t="s">
        <v>48</v>
      </c>
      <c r="E1594" s="30">
        <f>H1593</f>
        <v>106.67199999999997</v>
      </c>
      <c r="F1594" s="37">
        <f>IFERROR('Production Inputs'!$FN$37*Dependencies!$D$17,0)</f>
        <v>0</v>
      </c>
      <c r="G1594" s="37">
        <f t="array" ref="G1594">IFERROR(SUMPRODUCT(('Production Inputs'!$A:$A="APG")*('Production Inputs'!$B:$B="TOTAL ACTIVE")*'Production Inputs'!$FN:$FN),0)</f>
        <v>0</v>
      </c>
      <c r="H1594" s="30">
        <f t="shared" si="168"/>
        <v>106.67199999999997</v>
      </c>
      <c r="I1594" s="30">
        <f ca="1">IFERROR(AVERAGEIF(OFFSET(F1594,0,0,MIN(Controls!$B$8,COUNTIF(B1594:B$1973,B1594)),1),"&gt;"&amp;0),0)</f>
        <v>0</v>
      </c>
      <c r="J1594" s="38">
        <f t="shared" ca="1" si="169"/>
        <v>999</v>
      </c>
      <c r="K1594" s="30">
        <f t="shared" ca="1" si="173"/>
        <v>0</v>
      </c>
      <c r="L1594" t="str">
        <f t="shared" ca="1" si="170"/>
        <v>Overstock</v>
      </c>
      <c r="M1594" s="39">
        <f>IFERROR(VLOOKUP("APG",Controls!A:I,7,0),6)</f>
        <v>4</v>
      </c>
      <c r="N1594" s="39">
        <f>IFERROR(VLOOKUP("APG",Controls!A:I,8,0),3)</f>
        <v>3</v>
      </c>
      <c r="O1594" s="39">
        <f>IFERROR(VLOOKUP("APG",Controls!A:I,9,0),18)</f>
        <v>12</v>
      </c>
      <c r="P1594" s="40">
        <f>IFERROR(VLOOKUP("APG",Controls!A:J,5,0),0)</f>
        <v>95</v>
      </c>
      <c r="Q1594" s="39">
        <f>IFERROR(VLOOKUP("APG",Controls!A:J,6,0),3)</f>
        <v>4</v>
      </c>
      <c r="R1594" s="21" t="str">
        <f>IFERROR(VLOOKUP("APG",Controls!A:K,10,0),"")</f>
        <v>ST Pharm</v>
      </c>
      <c r="S1594" s="41">
        <f t="shared" si="171"/>
        <v>50740</v>
      </c>
      <c r="T1594" s="30">
        <f t="shared" si="172"/>
        <v>0</v>
      </c>
      <c r="AB1594">
        <f t="shared" si="174"/>
        <v>308.84000000000003</v>
      </c>
    </row>
    <row r="1595" spans="1:28" ht="13" customHeight="1" x14ac:dyDescent="0.35">
      <c r="A1595" s="153">
        <v>50891</v>
      </c>
      <c r="B1595" s="36" t="s">
        <v>57</v>
      </c>
      <c r="C1595" s="15" t="s">
        <v>52</v>
      </c>
      <c r="D1595" s="15" t="s">
        <v>48</v>
      </c>
      <c r="E1595" s="30">
        <f>H1594</f>
        <v>106.67199999999997</v>
      </c>
      <c r="F1595" s="37">
        <f>IFERROR('Production Inputs'!$FO$37*Dependencies!$D$17,0)</f>
        <v>0</v>
      </c>
      <c r="G1595" s="37">
        <f t="array" ref="G1595">IFERROR(SUMPRODUCT(('Production Inputs'!$A:$A="APG")*('Production Inputs'!$B:$B="TOTAL ACTIVE")*'Production Inputs'!$FO:$FO),0)</f>
        <v>0</v>
      </c>
      <c r="H1595" s="30">
        <f t="shared" si="168"/>
        <v>106.67199999999997</v>
      </c>
      <c r="I1595" s="30">
        <f ca="1">IFERROR(AVERAGEIF(OFFSET(F1595,0,0,MIN(Controls!$B$8,COUNTIF(B1595:B$1973,B1595)),1),"&gt;"&amp;0),0)</f>
        <v>0</v>
      </c>
      <c r="J1595" s="38">
        <f t="shared" ca="1" si="169"/>
        <v>999</v>
      </c>
      <c r="K1595" s="30">
        <f t="shared" ca="1" si="173"/>
        <v>0</v>
      </c>
      <c r="L1595" t="str">
        <f t="shared" ca="1" si="170"/>
        <v>Overstock</v>
      </c>
      <c r="M1595" s="39">
        <f>IFERROR(VLOOKUP("APG",Controls!A:I,7,0),6)</f>
        <v>4</v>
      </c>
      <c r="N1595" s="39">
        <f>IFERROR(VLOOKUP("APG",Controls!A:I,8,0),3)</f>
        <v>3</v>
      </c>
      <c r="O1595" s="39">
        <f>IFERROR(VLOOKUP("APG",Controls!A:I,9,0),18)</f>
        <v>12</v>
      </c>
      <c r="P1595" s="40">
        <f>IFERROR(VLOOKUP("APG",Controls!A:J,5,0),0)</f>
        <v>95</v>
      </c>
      <c r="Q1595" s="39">
        <f>IFERROR(VLOOKUP("APG",Controls!A:J,6,0),3)</f>
        <v>4</v>
      </c>
      <c r="R1595" s="21" t="str">
        <f>IFERROR(VLOOKUP("APG",Controls!A:K,10,0),"")</f>
        <v>ST Pharm</v>
      </c>
      <c r="S1595" s="41">
        <f t="shared" si="171"/>
        <v>50771</v>
      </c>
      <c r="T1595" s="30">
        <f t="shared" si="172"/>
        <v>0</v>
      </c>
      <c r="AB1595">
        <f t="shared" si="174"/>
        <v>308.84000000000003</v>
      </c>
    </row>
    <row r="1596" spans="1:28" ht="13" customHeight="1" x14ac:dyDescent="0.35">
      <c r="A1596" s="153">
        <v>50922</v>
      </c>
      <c r="B1596" s="36" t="s">
        <v>57</v>
      </c>
      <c r="C1596" s="15" t="s">
        <v>52</v>
      </c>
      <c r="D1596" s="15" t="s">
        <v>48</v>
      </c>
      <c r="E1596" s="30">
        <f>H1595</f>
        <v>106.67199999999997</v>
      </c>
      <c r="F1596" s="37">
        <f>IFERROR('Production Inputs'!$FP$37*Dependencies!$D$17,0)</f>
        <v>0</v>
      </c>
      <c r="G1596" s="37">
        <f t="array" ref="G1596">IFERROR(SUMPRODUCT(('Production Inputs'!$A:$A="APG")*('Production Inputs'!$B:$B="TOTAL ACTIVE")*'Production Inputs'!$FP:$FP),0)</f>
        <v>0</v>
      </c>
      <c r="H1596" s="30">
        <f t="shared" si="168"/>
        <v>106.67199999999997</v>
      </c>
      <c r="I1596" s="30">
        <f ca="1">IFERROR(AVERAGEIF(OFFSET(F1596,0,0,MIN(Controls!$B$8,COUNTIF(B1596:B$1973,B1596)),1),"&gt;"&amp;0),0)</f>
        <v>0</v>
      </c>
      <c r="J1596" s="38">
        <f t="shared" ca="1" si="169"/>
        <v>999</v>
      </c>
      <c r="K1596" s="30">
        <f t="shared" ca="1" si="173"/>
        <v>0</v>
      </c>
      <c r="L1596" t="str">
        <f t="shared" ca="1" si="170"/>
        <v>Overstock</v>
      </c>
      <c r="M1596" s="39">
        <f>IFERROR(VLOOKUP("APG",Controls!A:I,7,0),6)</f>
        <v>4</v>
      </c>
      <c r="N1596" s="39">
        <f>IFERROR(VLOOKUP("APG",Controls!A:I,8,0),3)</f>
        <v>3</v>
      </c>
      <c r="O1596" s="39">
        <f>IFERROR(VLOOKUP("APG",Controls!A:I,9,0),18)</f>
        <v>12</v>
      </c>
      <c r="P1596" s="40">
        <f>IFERROR(VLOOKUP("APG",Controls!A:J,5,0),0)</f>
        <v>95</v>
      </c>
      <c r="Q1596" s="39">
        <f>IFERROR(VLOOKUP("APG",Controls!A:J,6,0),3)</f>
        <v>4</v>
      </c>
      <c r="R1596" s="21" t="str">
        <f>IFERROR(VLOOKUP("APG",Controls!A:K,10,0),"")</f>
        <v>ST Pharm</v>
      </c>
      <c r="S1596" s="41">
        <f t="shared" si="171"/>
        <v>50802</v>
      </c>
      <c r="T1596" s="30">
        <f t="shared" si="172"/>
        <v>0</v>
      </c>
      <c r="AB1596">
        <f t="shared" si="174"/>
        <v>308.84000000000003</v>
      </c>
    </row>
    <row r="1597" spans="1:28" ht="13" customHeight="1" x14ac:dyDescent="0.35">
      <c r="A1597" s="153">
        <v>50952</v>
      </c>
      <c r="B1597" s="36" t="s">
        <v>57</v>
      </c>
      <c r="C1597" s="15" t="s">
        <v>52</v>
      </c>
      <c r="D1597" s="15" t="s">
        <v>48</v>
      </c>
      <c r="E1597" s="30">
        <f>H1596</f>
        <v>106.67199999999997</v>
      </c>
      <c r="F1597" s="37">
        <f>IFERROR('Production Inputs'!$FQ$37*Dependencies!$D$17,0)</f>
        <v>0</v>
      </c>
      <c r="G1597" s="37">
        <f t="array" ref="G1597">IFERROR(SUMPRODUCT(('Production Inputs'!$A:$A="APG")*('Production Inputs'!$B:$B="TOTAL ACTIVE")*'Production Inputs'!$FQ:$FQ),0)</f>
        <v>0</v>
      </c>
      <c r="H1597" s="30">
        <f t="shared" si="168"/>
        <v>106.67199999999997</v>
      </c>
      <c r="I1597" s="30">
        <f ca="1">IFERROR(AVERAGEIF(OFFSET(F1597,0,0,MIN(Controls!$B$8,COUNTIF(B1597:B$1973,B1597)),1),"&gt;"&amp;0),0)</f>
        <v>0</v>
      </c>
      <c r="J1597" s="38">
        <f t="shared" ca="1" si="169"/>
        <v>999</v>
      </c>
      <c r="K1597" s="30">
        <f t="shared" ca="1" si="173"/>
        <v>0</v>
      </c>
      <c r="L1597" t="str">
        <f t="shared" ca="1" si="170"/>
        <v>Overstock</v>
      </c>
      <c r="M1597" s="39">
        <f>IFERROR(VLOOKUP("APG",Controls!A:I,7,0),6)</f>
        <v>4</v>
      </c>
      <c r="N1597" s="39">
        <f>IFERROR(VLOOKUP("APG",Controls!A:I,8,0),3)</f>
        <v>3</v>
      </c>
      <c r="O1597" s="39">
        <f>IFERROR(VLOOKUP("APG",Controls!A:I,9,0),18)</f>
        <v>12</v>
      </c>
      <c r="P1597" s="40">
        <f>IFERROR(VLOOKUP("APG",Controls!A:J,5,0),0)</f>
        <v>95</v>
      </c>
      <c r="Q1597" s="39">
        <f>IFERROR(VLOOKUP("APG",Controls!A:J,6,0),3)</f>
        <v>4</v>
      </c>
      <c r="R1597" s="21" t="str">
        <f>IFERROR(VLOOKUP("APG",Controls!A:K,10,0),"")</f>
        <v>ST Pharm</v>
      </c>
      <c r="S1597" s="41">
        <f t="shared" si="171"/>
        <v>50830</v>
      </c>
      <c r="T1597" s="30">
        <f t="shared" si="172"/>
        <v>0</v>
      </c>
      <c r="AB1597">
        <f t="shared" si="174"/>
        <v>308.84000000000003</v>
      </c>
    </row>
    <row r="1598" spans="1:28" ht="13" customHeight="1" x14ac:dyDescent="0.35">
      <c r="A1598" s="153">
        <v>50983</v>
      </c>
      <c r="B1598" s="36" t="s">
        <v>57</v>
      </c>
      <c r="C1598" s="15" t="s">
        <v>52</v>
      </c>
      <c r="D1598" s="15" t="s">
        <v>48</v>
      </c>
      <c r="E1598" s="30">
        <f>H1597</f>
        <v>106.67199999999997</v>
      </c>
      <c r="F1598" s="37">
        <f>IFERROR('Production Inputs'!$FR$37*Dependencies!$D$17,0)</f>
        <v>0</v>
      </c>
      <c r="G1598" s="37">
        <f t="array" ref="G1598">IFERROR(SUMPRODUCT(('Production Inputs'!$A:$A="APG")*('Production Inputs'!$B:$B="TOTAL ACTIVE")*'Production Inputs'!$FR:$FR),0)</f>
        <v>0</v>
      </c>
      <c r="H1598" s="30">
        <f t="shared" si="168"/>
        <v>106.67199999999997</v>
      </c>
      <c r="I1598" s="30">
        <f ca="1">IFERROR(AVERAGEIF(OFFSET(F1598,0,0,MIN(Controls!$B$8,COUNTIF(B1598:B$1973,B1598)),1),"&gt;"&amp;0),0)</f>
        <v>0</v>
      </c>
      <c r="J1598" s="38">
        <f t="shared" ca="1" si="169"/>
        <v>999</v>
      </c>
      <c r="K1598" s="30">
        <f t="shared" ca="1" si="173"/>
        <v>0</v>
      </c>
      <c r="L1598" t="str">
        <f t="shared" ca="1" si="170"/>
        <v>Overstock</v>
      </c>
      <c r="M1598" s="39">
        <f>IFERROR(VLOOKUP("APG",Controls!A:I,7,0),6)</f>
        <v>4</v>
      </c>
      <c r="N1598" s="39">
        <f>IFERROR(VLOOKUP("APG",Controls!A:I,8,0),3)</f>
        <v>3</v>
      </c>
      <c r="O1598" s="39">
        <f>IFERROR(VLOOKUP("APG",Controls!A:I,9,0),18)</f>
        <v>12</v>
      </c>
      <c r="P1598" s="40">
        <f>IFERROR(VLOOKUP("APG",Controls!A:J,5,0),0)</f>
        <v>95</v>
      </c>
      <c r="Q1598" s="39">
        <f>IFERROR(VLOOKUP("APG",Controls!A:J,6,0),3)</f>
        <v>4</v>
      </c>
      <c r="R1598" s="21" t="str">
        <f>IFERROR(VLOOKUP("APG",Controls!A:K,10,0),"")</f>
        <v>ST Pharm</v>
      </c>
      <c r="S1598" s="41">
        <f t="shared" si="171"/>
        <v>50861</v>
      </c>
      <c r="T1598" s="30">
        <f t="shared" si="172"/>
        <v>0</v>
      </c>
      <c r="AB1598">
        <f t="shared" si="174"/>
        <v>308.84000000000003</v>
      </c>
    </row>
    <row r="1599" spans="1:28" ht="13" customHeight="1" x14ac:dyDescent="0.35">
      <c r="A1599" s="153">
        <v>51014</v>
      </c>
      <c r="B1599" s="36" t="s">
        <v>57</v>
      </c>
      <c r="C1599" s="15" t="s">
        <v>52</v>
      </c>
      <c r="D1599" s="15" t="s">
        <v>48</v>
      </c>
      <c r="E1599" s="30">
        <f>H1598</f>
        <v>106.67199999999997</v>
      </c>
      <c r="F1599" s="37">
        <f>IFERROR('Production Inputs'!$FS$37*Dependencies!$D$17,0)</f>
        <v>0</v>
      </c>
      <c r="G1599" s="37">
        <f t="array" ref="G1599">IFERROR(SUMPRODUCT(('Production Inputs'!$A:$A="APG")*('Production Inputs'!$B:$B="TOTAL ACTIVE")*'Production Inputs'!$FS:$FS),0)</f>
        <v>0</v>
      </c>
      <c r="H1599" s="30">
        <f t="shared" si="168"/>
        <v>106.67199999999997</v>
      </c>
      <c r="I1599" s="30">
        <f ca="1">IFERROR(AVERAGEIF(OFFSET(F1599,0,0,MIN(Controls!$B$8,COUNTIF(B1599:B$1973,B1599)),1),"&gt;"&amp;0),0)</f>
        <v>0</v>
      </c>
      <c r="J1599" s="38">
        <f t="shared" ca="1" si="169"/>
        <v>999</v>
      </c>
      <c r="K1599" s="30">
        <f t="shared" ca="1" si="173"/>
        <v>0</v>
      </c>
      <c r="L1599" t="str">
        <f t="shared" ca="1" si="170"/>
        <v>Overstock</v>
      </c>
      <c r="M1599" s="39">
        <f>IFERROR(VLOOKUP("APG",Controls!A:I,7,0),6)</f>
        <v>4</v>
      </c>
      <c r="N1599" s="39">
        <f>IFERROR(VLOOKUP("APG",Controls!A:I,8,0),3)</f>
        <v>3</v>
      </c>
      <c r="O1599" s="39">
        <f>IFERROR(VLOOKUP("APG",Controls!A:I,9,0),18)</f>
        <v>12</v>
      </c>
      <c r="P1599" s="40">
        <f>IFERROR(VLOOKUP("APG",Controls!A:J,5,0),0)</f>
        <v>95</v>
      </c>
      <c r="Q1599" s="39">
        <f>IFERROR(VLOOKUP("APG",Controls!A:J,6,0),3)</f>
        <v>4</v>
      </c>
      <c r="R1599" s="21" t="str">
        <f>IFERROR(VLOOKUP("APG",Controls!A:K,10,0),"")</f>
        <v>ST Pharm</v>
      </c>
      <c r="S1599" s="41">
        <f t="shared" si="171"/>
        <v>50891</v>
      </c>
      <c r="T1599" s="30">
        <f t="shared" si="172"/>
        <v>0</v>
      </c>
      <c r="AB1599">
        <f t="shared" si="174"/>
        <v>308.84000000000003</v>
      </c>
    </row>
    <row r="1600" spans="1:28" ht="13" customHeight="1" x14ac:dyDescent="0.35">
      <c r="A1600" s="153">
        <v>51044</v>
      </c>
      <c r="B1600" s="36" t="s">
        <v>57</v>
      </c>
      <c r="C1600" s="15" t="s">
        <v>52</v>
      </c>
      <c r="D1600" s="15" t="s">
        <v>48</v>
      </c>
      <c r="E1600" s="30">
        <f>H1599</f>
        <v>106.67199999999997</v>
      </c>
      <c r="F1600" s="37">
        <f>IFERROR('Production Inputs'!$FT$37*Dependencies!$D$17,0)</f>
        <v>0</v>
      </c>
      <c r="G1600" s="37">
        <f t="array" ref="G1600">IFERROR(SUMPRODUCT(('Production Inputs'!$A:$A="APG")*('Production Inputs'!$B:$B="TOTAL ACTIVE")*'Production Inputs'!$FT:$FT),0)</f>
        <v>0</v>
      </c>
      <c r="H1600" s="30">
        <f t="shared" si="168"/>
        <v>106.67199999999997</v>
      </c>
      <c r="I1600" s="30">
        <f ca="1">IFERROR(AVERAGEIF(OFFSET(F1600,0,0,MIN(Controls!$B$8,COUNTIF(B1600:B$1973,B1600)),1),"&gt;"&amp;0),0)</f>
        <v>0</v>
      </c>
      <c r="J1600" s="38">
        <f t="shared" ca="1" si="169"/>
        <v>999</v>
      </c>
      <c r="K1600" s="30">
        <f t="shared" ca="1" si="173"/>
        <v>0</v>
      </c>
      <c r="L1600" t="str">
        <f t="shared" ca="1" si="170"/>
        <v>Overstock</v>
      </c>
      <c r="M1600" s="39">
        <f>IFERROR(VLOOKUP("APG",Controls!A:I,7,0),6)</f>
        <v>4</v>
      </c>
      <c r="N1600" s="39">
        <f>IFERROR(VLOOKUP("APG",Controls!A:I,8,0),3)</f>
        <v>3</v>
      </c>
      <c r="O1600" s="39">
        <f>IFERROR(VLOOKUP("APG",Controls!A:I,9,0),18)</f>
        <v>12</v>
      </c>
      <c r="P1600" s="40">
        <f>IFERROR(VLOOKUP("APG",Controls!A:J,5,0),0)</f>
        <v>95</v>
      </c>
      <c r="Q1600" s="39">
        <f>IFERROR(VLOOKUP("APG",Controls!A:J,6,0),3)</f>
        <v>4</v>
      </c>
      <c r="R1600" s="21" t="str">
        <f>IFERROR(VLOOKUP("APG",Controls!A:K,10,0),"")</f>
        <v>ST Pharm</v>
      </c>
      <c r="S1600" s="41">
        <f t="shared" si="171"/>
        <v>50922</v>
      </c>
      <c r="T1600" s="30">
        <f t="shared" si="172"/>
        <v>0</v>
      </c>
      <c r="AB1600">
        <f t="shared" si="174"/>
        <v>308.84000000000003</v>
      </c>
    </row>
    <row r="1601" spans="1:28" ht="13" customHeight="1" x14ac:dyDescent="0.35">
      <c r="A1601" s="153">
        <v>51075</v>
      </c>
      <c r="B1601" s="36" t="s">
        <v>57</v>
      </c>
      <c r="C1601" s="15" t="s">
        <v>52</v>
      </c>
      <c r="D1601" s="15" t="s">
        <v>48</v>
      </c>
      <c r="E1601" s="30">
        <f>H1600</f>
        <v>106.67199999999997</v>
      </c>
      <c r="F1601" s="37">
        <f>IFERROR('Production Inputs'!$FU$37*Dependencies!$D$17,0)</f>
        <v>0</v>
      </c>
      <c r="G1601" s="37">
        <f t="array" ref="G1601">IFERROR(SUMPRODUCT(('Production Inputs'!$A:$A="APG")*('Production Inputs'!$B:$B="TOTAL ACTIVE")*'Production Inputs'!$FU:$FU),0)</f>
        <v>0</v>
      </c>
      <c r="H1601" s="30">
        <f t="shared" si="168"/>
        <v>106.67199999999997</v>
      </c>
      <c r="I1601" s="30">
        <f ca="1">IFERROR(AVERAGEIF(OFFSET(F1601,0,0,MIN(Controls!$B$8,COUNTIF(B1601:B$1973,B1601)),1),"&gt;"&amp;0),0)</f>
        <v>0</v>
      </c>
      <c r="J1601" s="38">
        <f t="shared" ca="1" si="169"/>
        <v>999</v>
      </c>
      <c r="K1601" s="30">
        <f t="shared" ca="1" si="173"/>
        <v>0</v>
      </c>
      <c r="L1601" t="str">
        <f t="shared" ca="1" si="170"/>
        <v>Overstock</v>
      </c>
      <c r="M1601" s="39">
        <f>IFERROR(VLOOKUP("APG",Controls!A:I,7,0),6)</f>
        <v>4</v>
      </c>
      <c r="N1601" s="39">
        <f>IFERROR(VLOOKUP("APG",Controls!A:I,8,0),3)</f>
        <v>3</v>
      </c>
      <c r="O1601" s="39">
        <f>IFERROR(VLOOKUP("APG",Controls!A:I,9,0),18)</f>
        <v>12</v>
      </c>
      <c r="P1601" s="40">
        <f>IFERROR(VLOOKUP("APG",Controls!A:J,5,0),0)</f>
        <v>95</v>
      </c>
      <c r="Q1601" s="39">
        <f>IFERROR(VLOOKUP("APG",Controls!A:J,6,0),3)</f>
        <v>4</v>
      </c>
      <c r="R1601" s="21" t="str">
        <f>IFERROR(VLOOKUP("APG",Controls!A:K,10,0),"")</f>
        <v>ST Pharm</v>
      </c>
      <c r="S1601" s="41">
        <f t="shared" si="171"/>
        <v>50952</v>
      </c>
      <c r="T1601" s="30">
        <f t="shared" si="172"/>
        <v>0</v>
      </c>
      <c r="AB1601">
        <f t="shared" si="174"/>
        <v>308.84000000000003</v>
      </c>
    </row>
    <row r="1602" spans="1:28" ht="13" customHeight="1" x14ac:dyDescent="0.35">
      <c r="A1602" s="153">
        <v>51105</v>
      </c>
      <c r="B1602" s="36" t="s">
        <v>57</v>
      </c>
      <c r="C1602" s="15" t="s">
        <v>52</v>
      </c>
      <c r="D1602" s="15" t="s">
        <v>48</v>
      </c>
      <c r="E1602" s="30">
        <f>H1601</f>
        <v>106.67199999999997</v>
      </c>
      <c r="F1602" s="37">
        <f>IFERROR('Production Inputs'!$FV$37*Dependencies!$D$17,0)</f>
        <v>0</v>
      </c>
      <c r="G1602" s="37">
        <f t="array" ref="G1602">IFERROR(SUMPRODUCT(('Production Inputs'!$A:$A="APG")*('Production Inputs'!$B:$B="TOTAL ACTIVE")*'Production Inputs'!$FV:$FV),0)</f>
        <v>0</v>
      </c>
      <c r="H1602" s="30">
        <f t="shared" si="168"/>
        <v>106.67199999999997</v>
      </c>
      <c r="I1602" s="30">
        <f ca="1">IFERROR(AVERAGEIF(OFFSET(F1602,0,0,MIN(Controls!$B$8,COUNTIF(B1602:B$1973,B1602)),1),"&gt;"&amp;0),0)</f>
        <v>0</v>
      </c>
      <c r="J1602" s="38">
        <f t="shared" ca="1" si="169"/>
        <v>999</v>
      </c>
      <c r="K1602" s="30">
        <f t="shared" ca="1" si="173"/>
        <v>0</v>
      </c>
      <c r="L1602" t="str">
        <f t="shared" ca="1" si="170"/>
        <v>Overstock</v>
      </c>
      <c r="M1602" s="39">
        <f>IFERROR(VLOOKUP("APG",Controls!A:I,7,0),6)</f>
        <v>4</v>
      </c>
      <c r="N1602" s="39">
        <f>IFERROR(VLOOKUP("APG",Controls!A:I,8,0),3)</f>
        <v>3</v>
      </c>
      <c r="O1602" s="39">
        <f>IFERROR(VLOOKUP("APG",Controls!A:I,9,0),18)</f>
        <v>12</v>
      </c>
      <c r="P1602" s="40">
        <f>IFERROR(VLOOKUP("APG",Controls!A:J,5,0),0)</f>
        <v>95</v>
      </c>
      <c r="Q1602" s="39">
        <f>IFERROR(VLOOKUP("APG",Controls!A:J,6,0),3)</f>
        <v>4</v>
      </c>
      <c r="R1602" s="21" t="str">
        <f>IFERROR(VLOOKUP("APG",Controls!A:K,10,0),"")</f>
        <v>ST Pharm</v>
      </c>
      <c r="S1602" s="41">
        <f t="shared" si="171"/>
        <v>50983</v>
      </c>
      <c r="T1602" s="30">
        <f t="shared" si="172"/>
        <v>0</v>
      </c>
      <c r="AB1602">
        <f t="shared" si="174"/>
        <v>308.84000000000003</v>
      </c>
    </row>
    <row r="1603" spans="1:28" ht="13" customHeight="1" x14ac:dyDescent="0.35">
      <c r="A1603" s="153">
        <v>51136</v>
      </c>
      <c r="B1603" s="36" t="s">
        <v>57</v>
      </c>
      <c r="C1603" s="15" t="s">
        <v>52</v>
      </c>
      <c r="D1603" s="15" t="s">
        <v>48</v>
      </c>
      <c r="E1603" s="30">
        <f>H1602</f>
        <v>106.67199999999997</v>
      </c>
      <c r="F1603" s="37">
        <f>IFERROR('Production Inputs'!$FW$37*Dependencies!$D$17,0)</f>
        <v>0</v>
      </c>
      <c r="G1603" s="37">
        <f t="array" ref="G1603">IFERROR(SUMPRODUCT(('Production Inputs'!$A:$A="APG")*('Production Inputs'!$B:$B="TOTAL ACTIVE")*'Production Inputs'!$FW:$FW),0)</f>
        <v>0</v>
      </c>
      <c r="H1603" s="30">
        <f t="shared" si="168"/>
        <v>106.67199999999997</v>
      </c>
      <c r="I1603" s="30">
        <f ca="1">IFERROR(AVERAGEIF(OFFSET(F1603,0,0,MIN(Controls!$B$8,COUNTIF(B1603:B$1973,B1603)),1),"&gt;"&amp;0),0)</f>
        <v>0</v>
      </c>
      <c r="J1603" s="38">
        <f t="shared" ca="1" si="169"/>
        <v>999</v>
      </c>
      <c r="K1603" s="30">
        <f t="shared" ca="1" si="173"/>
        <v>0</v>
      </c>
      <c r="L1603" t="str">
        <f t="shared" ca="1" si="170"/>
        <v>Overstock</v>
      </c>
      <c r="M1603" s="39">
        <f>IFERROR(VLOOKUP("APG",Controls!A:I,7,0),6)</f>
        <v>4</v>
      </c>
      <c r="N1603" s="39">
        <f>IFERROR(VLOOKUP("APG",Controls!A:I,8,0),3)</f>
        <v>3</v>
      </c>
      <c r="O1603" s="39">
        <f>IFERROR(VLOOKUP("APG",Controls!A:I,9,0),18)</f>
        <v>12</v>
      </c>
      <c r="P1603" s="40">
        <f>IFERROR(VLOOKUP("APG",Controls!A:J,5,0),0)</f>
        <v>95</v>
      </c>
      <c r="Q1603" s="39">
        <f>IFERROR(VLOOKUP("APG",Controls!A:J,6,0),3)</f>
        <v>4</v>
      </c>
      <c r="R1603" s="21" t="str">
        <f>IFERROR(VLOOKUP("APG",Controls!A:K,10,0),"")</f>
        <v>ST Pharm</v>
      </c>
      <c r="S1603" s="41">
        <f t="shared" si="171"/>
        <v>51014</v>
      </c>
      <c r="T1603" s="30">
        <f t="shared" si="172"/>
        <v>0</v>
      </c>
      <c r="AB1603">
        <f t="shared" si="174"/>
        <v>308.84000000000003</v>
      </c>
    </row>
    <row r="1604" spans="1:28" ht="13" customHeight="1" x14ac:dyDescent="0.35">
      <c r="A1604" s="153">
        <v>51167</v>
      </c>
      <c r="B1604" s="36" t="s">
        <v>57</v>
      </c>
      <c r="C1604" s="15" t="s">
        <v>52</v>
      </c>
      <c r="D1604" s="15" t="s">
        <v>48</v>
      </c>
      <c r="E1604" s="30">
        <f>H1603</f>
        <v>106.67199999999997</v>
      </c>
      <c r="F1604" s="37">
        <f>IFERROR('Production Inputs'!$FX$37*Dependencies!$D$17,0)</f>
        <v>0</v>
      </c>
      <c r="G1604" s="37">
        <f t="array" ref="G1604">IFERROR(SUMPRODUCT(('Production Inputs'!$A:$A="APG")*('Production Inputs'!$B:$B="TOTAL ACTIVE")*'Production Inputs'!$FX:$FX),0)</f>
        <v>0</v>
      </c>
      <c r="H1604" s="30">
        <f t="shared" ref="H1604:H1667" si="175">E1604+G1604-F1604</f>
        <v>106.67199999999997</v>
      </c>
      <c r="I1604" s="30">
        <f ca="1">IFERROR(AVERAGEIF(OFFSET(F1604,0,0,MIN(Controls!$B$8,COUNTIF(B1604:B$1973,B1604)),1),"&gt;"&amp;0),0)</f>
        <v>0</v>
      </c>
      <c r="J1604" s="38">
        <f t="shared" ref="J1604:J1667" ca="1" si="176">IFERROR(H1604/I1604,IF(H1604&gt;0,999,0))</f>
        <v>999</v>
      </c>
      <c r="K1604" s="30">
        <f t="shared" ca="1" si="173"/>
        <v>0</v>
      </c>
      <c r="L1604" t="str">
        <f t="shared" ref="L1604:L1667" ca="1" si="177">IF(H1604&lt;=0,"High",IF(J1604&lt;N1604,"High",IF(J1604&lt;M1604,"Medium",IF(J1604&gt;O1604,"Overstock","Low"))))</f>
        <v>Overstock</v>
      </c>
      <c r="M1604" s="39">
        <f>IFERROR(VLOOKUP("APG",Controls!A:I,7,0),6)</f>
        <v>4</v>
      </c>
      <c r="N1604" s="39">
        <f>IFERROR(VLOOKUP("APG",Controls!A:I,8,0),3)</f>
        <v>3</v>
      </c>
      <c r="O1604" s="39">
        <f>IFERROR(VLOOKUP("APG",Controls!A:I,9,0),18)</f>
        <v>12</v>
      </c>
      <c r="P1604" s="40">
        <f>IFERROR(VLOOKUP("APG",Controls!A:J,5,0),0)</f>
        <v>95</v>
      </c>
      <c r="Q1604" s="39">
        <f>IFERROR(VLOOKUP("APG",Controls!A:J,6,0),3)</f>
        <v>4</v>
      </c>
      <c r="R1604" s="21" t="str">
        <f>IFERROR(VLOOKUP("APG",Controls!A:K,10,0),"")</f>
        <v>ST Pharm</v>
      </c>
      <c r="S1604" s="41">
        <f t="shared" ref="S1604:S1667" si="178">IFERROR(EDATE(A1604,-Q1604),"")</f>
        <v>51044</v>
      </c>
      <c r="T1604" s="30">
        <f t="shared" ref="T1604:T1667" si="179">G1604</f>
        <v>0</v>
      </c>
      <c r="AB1604">
        <f t="shared" si="174"/>
        <v>308.84000000000003</v>
      </c>
    </row>
    <row r="1605" spans="1:28" ht="13" customHeight="1" x14ac:dyDescent="0.35">
      <c r="A1605" s="153">
        <v>51196</v>
      </c>
      <c r="B1605" s="36" t="s">
        <v>57</v>
      </c>
      <c r="C1605" s="15" t="s">
        <v>52</v>
      </c>
      <c r="D1605" s="15" t="s">
        <v>48</v>
      </c>
      <c r="E1605" s="30">
        <f>H1604</f>
        <v>106.67199999999997</v>
      </c>
      <c r="F1605" s="37">
        <f>IFERROR('Production Inputs'!$FY$37*Dependencies!$D$17,0)</f>
        <v>0</v>
      </c>
      <c r="G1605" s="37">
        <f t="array" ref="G1605">IFERROR(SUMPRODUCT(('Production Inputs'!$A:$A="APG")*('Production Inputs'!$B:$B="TOTAL ACTIVE")*'Production Inputs'!$FY:$FY),0)</f>
        <v>0</v>
      </c>
      <c r="H1605" s="30">
        <f t="shared" si="175"/>
        <v>106.67199999999997</v>
      </c>
      <c r="I1605" s="30">
        <f ca="1">IFERROR(AVERAGEIF(OFFSET(F1605,0,0,MIN(Controls!$B$8,COUNTIF(B1605:B$1973,B1605)),1),"&gt;"&amp;0),0)</f>
        <v>0</v>
      </c>
      <c r="J1605" s="38">
        <f t="shared" ca="1" si="176"/>
        <v>999</v>
      </c>
      <c r="K1605" s="30">
        <f t="shared" ref="K1605:K1668" ca="1" si="180">IFERROR(IF(H1605&lt;(N1605*I1605), CEILING(MAX(0,ROUND((M1605*I1605-H1605)/P1605,0)*P1605),P1605), 0), 0)</f>
        <v>0</v>
      </c>
      <c r="L1605" t="str">
        <f t="shared" ca="1" si="177"/>
        <v>Overstock</v>
      </c>
      <c r="M1605" s="39">
        <f>IFERROR(VLOOKUP("APG",Controls!A:I,7,0),6)</f>
        <v>4</v>
      </c>
      <c r="N1605" s="39">
        <f>IFERROR(VLOOKUP("APG",Controls!A:I,8,0),3)</f>
        <v>3</v>
      </c>
      <c r="O1605" s="39">
        <f>IFERROR(VLOOKUP("APG",Controls!A:I,9,0),18)</f>
        <v>12</v>
      </c>
      <c r="P1605" s="40">
        <f>IFERROR(VLOOKUP("APG",Controls!A:J,5,0),0)</f>
        <v>95</v>
      </c>
      <c r="Q1605" s="39">
        <f>IFERROR(VLOOKUP("APG",Controls!A:J,6,0),3)</f>
        <v>4</v>
      </c>
      <c r="R1605" s="21" t="str">
        <f>IFERROR(VLOOKUP("APG",Controls!A:K,10,0),"")</f>
        <v>ST Pharm</v>
      </c>
      <c r="S1605" s="41">
        <f t="shared" si="178"/>
        <v>51075</v>
      </c>
      <c r="T1605" s="30">
        <f t="shared" si="179"/>
        <v>0</v>
      </c>
      <c r="AB1605">
        <f t="shared" ref="AB1605:AB1668" si="181">SUMIFS($F$4:$F$2331,$B$4:$B$2331,B1605,$A$4:$A$2331,"&lt;="&amp;A1605)</f>
        <v>308.84000000000003</v>
      </c>
    </row>
    <row r="1606" spans="1:28" ht="13" customHeight="1" x14ac:dyDescent="0.35">
      <c r="A1606" s="153">
        <v>51227</v>
      </c>
      <c r="B1606" s="36" t="s">
        <v>57</v>
      </c>
      <c r="C1606" s="15" t="s">
        <v>52</v>
      </c>
      <c r="D1606" s="15" t="s">
        <v>48</v>
      </c>
      <c r="E1606" s="30">
        <f>H1605</f>
        <v>106.67199999999997</v>
      </c>
      <c r="F1606" s="37">
        <f>IFERROR('Production Inputs'!$FZ$37*Dependencies!$D$17,0)</f>
        <v>0</v>
      </c>
      <c r="G1606" s="37">
        <f t="array" ref="G1606">IFERROR(SUMPRODUCT(('Production Inputs'!$A:$A="APG")*('Production Inputs'!$B:$B="TOTAL ACTIVE")*'Production Inputs'!$FZ:$FZ),0)</f>
        <v>0</v>
      </c>
      <c r="H1606" s="30">
        <f t="shared" si="175"/>
        <v>106.67199999999997</v>
      </c>
      <c r="I1606" s="30">
        <f ca="1">IFERROR(AVERAGEIF(OFFSET(F1606,0,0,MIN(Controls!$B$8,COUNTIF(B1606:B$1973,B1606)),1),"&gt;"&amp;0),0)</f>
        <v>0</v>
      </c>
      <c r="J1606" s="38">
        <f t="shared" ca="1" si="176"/>
        <v>999</v>
      </c>
      <c r="K1606" s="30">
        <f t="shared" ca="1" si="180"/>
        <v>0</v>
      </c>
      <c r="L1606" t="str">
        <f t="shared" ca="1" si="177"/>
        <v>Overstock</v>
      </c>
      <c r="M1606" s="39">
        <f>IFERROR(VLOOKUP("APG",Controls!A:I,7,0),6)</f>
        <v>4</v>
      </c>
      <c r="N1606" s="39">
        <f>IFERROR(VLOOKUP("APG",Controls!A:I,8,0),3)</f>
        <v>3</v>
      </c>
      <c r="O1606" s="39">
        <f>IFERROR(VLOOKUP("APG",Controls!A:I,9,0),18)</f>
        <v>12</v>
      </c>
      <c r="P1606" s="40">
        <f>IFERROR(VLOOKUP("APG",Controls!A:J,5,0),0)</f>
        <v>95</v>
      </c>
      <c r="Q1606" s="39">
        <f>IFERROR(VLOOKUP("APG",Controls!A:J,6,0),3)</f>
        <v>4</v>
      </c>
      <c r="R1606" s="21" t="str">
        <f>IFERROR(VLOOKUP("APG",Controls!A:K,10,0),"")</f>
        <v>ST Pharm</v>
      </c>
      <c r="S1606" s="41">
        <f t="shared" si="178"/>
        <v>51105</v>
      </c>
      <c r="T1606" s="30">
        <f t="shared" si="179"/>
        <v>0</v>
      </c>
      <c r="AB1606">
        <f t="shared" si="181"/>
        <v>308.84000000000003</v>
      </c>
    </row>
    <row r="1607" spans="1:28" ht="13" customHeight="1" x14ac:dyDescent="0.35">
      <c r="A1607" s="153">
        <v>51257</v>
      </c>
      <c r="B1607" s="36" t="s">
        <v>57</v>
      </c>
      <c r="C1607" s="15" t="s">
        <v>52</v>
      </c>
      <c r="D1607" s="15" t="s">
        <v>48</v>
      </c>
      <c r="E1607" s="30">
        <f>H1606</f>
        <v>106.67199999999997</v>
      </c>
      <c r="F1607" s="37">
        <f>IFERROR('Production Inputs'!$GA$37*Dependencies!$D$17,0)</f>
        <v>0</v>
      </c>
      <c r="G1607" s="37">
        <f t="array" ref="G1607">IFERROR(SUMPRODUCT(('Production Inputs'!$A:$A="APG")*('Production Inputs'!$B:$B="TOTAL ACTIVE")*'Production Inputs'!$GA:$GA),0)</f>
        <v>0</v>
      </c>
      <c r="H1607" s="30">
        <f t="shared" si="175"/>
        <v>106.67199999999997</v>
      </c>
      <c r="I1607" s="30">
        <f ca="1">IFERROR(AVERAGEIF(OFFSET(F1607,0,0,MIN(Controls!$B$8,COUNTIF(B1607:B$1973,B1607)),1),"&gt;"&amp;0),0)</f>
        <v>0</v>
      </c>
      <c r="J1607" s="38">
        <f t="shared" ca="1" si="176"/>
        <v>999</v>
      </c>
      <c r="K1607" s="30">
        <f t="shared" ca="1" si="180"/>
        <v>0</v>
      </c>
      <c r="L1607" t="str">
        <f t="shared" ca="1" si="177"/>
        <v>Overstock</v>
      </c>
      <c r="M1607" s="39">
        <f>IFERROR(VLOOKUP("APG",Controls!A:I,7,0),6)</f>
        <v>4</v>
      </c>
      <c r="N1607" s="39">
        <f>IFERROR(VLOOKUP("APG",Controls!A:I,8,0),3)</f>
        <v>3</v>
      </c>
      <c r="O1607" s="39">
        <f>IFERROR(VLOOKUP("APG",Controls!A:I,9,0),18)</f>
        <v>12</v>
      </c>
      <c r="P1607" s="40">
        <f>IFERROR(VLOOKUP("APG",Controls!A:J,5,0),0)</f>
        <v>95</v>
      </c>
      <c r="Q1607" s="39">
        <f>IFERROR(VLOOKUP("APG",Controls!A:J,6,0),3)</f>
        <v>4</v>
      </c>
      <c r="R1607" s="21" t="str">
        <f>IFERROR(VLOOKUP("APG",Controls!A:K,10,0),"")</f>
        <v>ST Pharm</v>
      </c>
      <c r="S1607" s="41">
        <f t="shared" si="178"/>
        <v>51136</v>
      </c>
      <c r="T1607" s="30">
        <f t="shared" si="179"/>
        <v>0</v>
      </c>
      <c r="AB1607">
        <f t="shared" si="181"/>
        <v>308.84000000000003</v>
      </c>
    </row>
    <row r="1608" spans="1:28" ht="13" customHeight="1" x14ac:dyDescent="0.35">
      <c r="A1608" s="153">
        <v>51288</v>
      </c>
      <c r="B1608" s="36" t="s">
        <v>57</v>
      </c>
      <c r="C1608" s="15" t="s">
        <v>52</v>
      </c>
      <c r="D1608" s="15" t="s">
        <v>48</v>
      </c>
      <c r="E1608" s="30">
        <f>H1607</f>
        <v>106.67199999999997</v>
      </c>
      <c r="F1608" s="37">
        <f>IFERROR('Production Inputs'!$GB$37*Dependencies!$D$17,0)</f>
        <v>0</v>
      </c>
      <c r="G1608" s="37">
        <f t="array" ref="G1608">IFERROR(SUMPRODUCT(('Production Inputs'!$A:$A="APG")*('Production Inputs'!$B:$B="TOTAL ACTIVE")*'Production Inputs'!$GB:$GB),0)</f>
        <v>0</v>
      </c>
      <c r="H1608" s="30">
        <f t="shared" si="175"/>
        <v>106.67199999999997</v>
      </c>
      <c r="I1608" s="30">
        <f ca="1">IFERROR(AVERAGEIF(OFFSET(F1608,0,0,MIN(Controls!$B$8,COUNTIF(B1608:B$1973,B1608)),1),"&gt;"&amp;0),0)</f>
        <v>0</v>
      </c>
      <c r="J1608" s="38">
        <f t="shared" ca="1" si="176"/>
        <v>999</v>
      </c>
      <c r="K1608" s="30">
        <f t="shared" ca="1" si="180"/>
        <v>0</v>
      </c>
      <c r="L1608" t="str">
        <f t="shared" ca="1" si="177"/>
        <v>Overstock</v>
      </c>
      <c r="M1608" s="39">
        <f>IFERROR(VLOOKUP("APG",Controls!A:I,7,0),6)</f>
        <v>4</v>
      </c>
      <c r="N1608" s="39">
        <f>IFERROR(VLOOKUP("APG",Controls!A:I,8,0),3)</f>
        <v>3</v>
      </c>
      <c r="O1608" s="39">
        <f>IFERROR(VLOOKUP("APG",Controls!A:I,9,0),18)</f>
        <v>12</v>
      </c>
      <c r="P1608" s="40">
        <f>IFERROR(VLOOKUP("APG",Controls!A:J,5,0),0)</f>
        <v>95</v>
      </c>
      <c r="Q1608" s="39">
        <f>IFERROR(VLOOKUP("APG",Controls!A:J,6,0),3)</f>
        <v>4</v>
      </c>
      <c r="R1608" s="21" t="str">
        <f>IFERROR(VLOOKUP("APG",Controls!A:K,10,0),"")</f>
        <v>ST Pharm</v>
      </c>
      <c r="S1608" s="41">
        <f t="shared" si="178"/>
        <v>51167</v>
      </c>
      <c r="T1608" s="30">
        <f t="shared" si="179"/>
        <v>0</v>
      </c>
      <c r="AB1608">
        <f t="shared" si="181"/>
        <v>308.84000000000003</v>
      </c>
    </row>
    <row r="1609" spans="1:28" ht="13" customHeight="1" x14ac:dyDescent="0.35">
      <c r="A1609" s="153">
        <v>51318</v>
      </c>
      <c r="B1609" s="36" t="s">
        <v>57</v>
      </c>
      <c r="C1609" s="15" t="s">
        <v>52</v>
      </c>
      <c r="D1609" s="15" t="s">
        <v>48</v>
      </c>
      <c r="E1609" s="30">
        <f>H1608</f>
        <v>106.67199999999997</v>
      </c>
      <c r="F1609" s="37">
        <f>IFERROR('Production Inputs'!$GC$37*Dependencies!$D$17,0)</f>
        <v>0</v>
      </c>
      <c r="G1609" s="37">
        <f t="array" ref="G1609">IFERROR(SUMPRODUCT(('Production Inputs'!$A:$A="APG")*('Production Inputs'!$B:$B="TOTAL ACTIVE")*'Production Inputs'!$GC:$GC),0)</f>
        <v>0</v>
      </c>
      <c r="H1609" s="30">
        <f t="shared" si="175"/>
        <v>106.67199999999997</v>
      </c>
      <c r="I1609" s="30">
        <f ca="1">IFERROR(AVERAGEIF(OFFSET(F1609,0,0,MIN(Controls!$B$8,COUNTIF(B1609:B$1973,B1609)),1),"&gt;"&amp;0),0)</f>
        <v>0</v>
      </c>
      <c r="J1609" s="38">
        <f t="shared" ca="1" si="176"/>
        <v>999</v>
      </c>
      <c r="K1609" s="30">
        <f t="shared" ca="1" si="180"/>
        <v>0</v>
      </c>
      <c r="L1609" t="str">
        <f t="shared" ca="1" si="177"/>
        <v>Overstock</v>
      </c>
      <c r="M1609" s="39">
        <f>IFERROR(VLOOKUP("APG",Controls!A:I,7,0),6)</f>
        <v>4</v>
      </c>
      <c r="N1609" s="39">
        <f>IFERROR(VLOOKUP("APG",Controls!A:I,8,0),3)</f>
        <v>3</v>
      </c>
      <c r="O1609" s="39">
        <f>IFERROR(VLOOKUP("APG",Controls!A:I,9,0),18)</f>
        <v>12</v>
      </c>
      <c r="P1609" s="40">
        <f>IFERROR(VLOOKUP("APG",Controls!A:J,5,0),0)</f>
        <v>95</v>
      </c>
      <c r="Q1609" s="39">
        <f>IFERROR(VLOOKUP("APG",Controls!A:J,6,0),3)</f>
        <v>4</v>
      </c>
      <c r="R1609" s="21" t="str">
        <f>IFERROR(VLOOKUP("APG",Controls!A:K,10,0),"")</f>
        <v>ST Pharm</v>
      </c>
      <c r="S1609" s="41">
        <f t="shared" si="178"/>
        <v>51196</v>
      </c>
      <c r="T1609" s="30">
        <f t="shared" si="179"/>
        <v>0</v>
      </c>
      <c r="AB1609">
        <f t="shared" si="181"/>
        <v>308.84000000000003</v>
      </c>
    </row>
    <row r="1610" spans="1:28" ht="13" customHeight="1" x14ac:dyDescent="0.35">
      <c r="A1610" s="153">
        <v>51349</v>
      </c>
      <c r="B1610" s="36" t="s">
        <v>57</v>
      </c>
      <c r="C1610" s="15" t="s">
        <v>52</v>
      </c>
      <c r="D1610" s="15" t="s">
        <v>48</v>
      </c>
      <c r="E1610" s="30">
        <f>H1609</f>
        <v>106.67199999999997</v>
      </c>
      <c r="F1610" s="37">
        <f>IFERROR('Production Inputs'!$GD$37*Dependencies!$D$17,0)</f>
        <v>0</v>
      </c>
      <c r="G1610" s="37">
        <f t="array" ref="G1610">IFERROR(SUMPRODUCT(('Production Inputs'!$A:$A="APG")*('Production Inputs'!$B:$B="TOTAL ACTIVE")*'Production Inputs'!$GD:$GD),0)</f>
        <v>0</v>
      </c>
      <c r="H1610" s="30">
        <f t="shared" si="175"/>
        <v>106.67199999999997</v>
      </c>
      <c r="I1610" s="30">
        <f ca="1">IFERROR(AVERAGEIF(OFFSET(F1610,0,0,MIN(Controls!$B$8,COUNTIF(B1610:B$1973,B1610)),1),"&gt;"&amp;0),0)</f>
        <v>0</v>
      </c>
      <c r="J1610" s="38">
        <f t="shared" ca="1" si="176"/>
        <v>999</v>
      </c>
      <c r="K1610" s="30">
        <f t="shared" ca="1" si="180"/>
        <v>0</v>
      </c>
      <c r="L1610" t="str">
        <f t="shared" ca="1" si="177"/>
        <v>Overstock</v>
      </c>
      <c r="M1610" s="39">
        <f>IFERROR(VLOOKUP("APG",Controls!A:I,7,0),6)</f>
        <v>4</v>
      </c>
      <c r="N1610" s="39">
        <f>IFERROR(VLOOKUP("APG",Controls!A:I,8,0),3)</f>
        <v>3</v>
      </c>
      <c r="O1610" s="39">
        <f>IFERROR(VLOOKUP("APG",Controls!A:I,9,0),18)</f>
        <v>12</v>
      </c>
      <c r="P1610" s="40">
        <f>IFERROR(VLOOKUP("APG",Controls!A:J,5,0),0)</f>
        <v>95</v>
      </c>
      <c r="Q1610" s="39">
        <f>IFERROR(VLOOKUP("APG",Controls!A:J,6,0),3)</f>
        <v>4</v>
      </c>
      <c r="R1610" s="21" t="str">
        <f>IFERROR(VLOOKUP("APG",Controls!A:K,10,0),"")</f>
        <v>ST Pharm</v>
      </c>
      <c r="S1610" s="41">
        <f t="shared" si="178"/>
        <v>51227</v>
      </c>
      <c r="T1610" s="30">
        <f t="shared" si="179"/>
        <v>0</v>
      </c>
      <c r="AB1610">
        <f t="shared" si="181"/>
        <v>308.84000000000003</v>
      </c>
    </row>
    <row r="1611" spans="1:28" ht="13" customHeight="1" x14ac:dyDescent="0.35">
      <c r="A1611" s="153">
        <v>51380</v>
      </c>
      <c r="B1611" s="36" t="s">
        <v>57</v>
      </c>
      <c r="C1611" s="15" t="s">
        <v>52</v>
      </c>
      <c r="D1611" s="15" t="s">
        <v>48</v>
      </c>
      <c r="E1611" s="30">
        <f>H1610</f>
        <v>106.67199999999997</v>
      </c>
      <c r="F1611" s="37">
        <f>IFERROR('Production Inputs'!$GE$37*Dependencies!$D$17,0)</f>
        <v>0</v>
      </c>
      <c r="G1611" s="37">
        <f t="array" ref="G1611">IFERROR(SUMPRODUCT(('Production Inputs'!$A:$A="APG")*('Production Inputs'!$B:$B="TOTAL ACTIVE")*'Production Inputs'!$GE:$GE),0)</f>
        <v>0</v>
      </c>
      <c r="H1611" s="30">
        <f t="shared" si="175"/>
        <v>106.67199999999997</v>
      </c>
      <c r="I1611" s="30">
        <f ca="1">IFERROR(AVERAGEIF(OFFSET(F1611,0,0,MIN(Controls!$B$8,COUNTIF(B1611:B$1973,B1611)),1),"&gt;"&amp;0),0)</f>
        <v>0</v>
      </c>
      <c r="J1611" s="38">
        <f t="shared" ca="1" si="176"/>
        <v>999</v>
      </c>
      <c r="K1611" s="30">
        <f t="shared" ca="1" si="180"/>
        <v>0</v>
      </c>
      <c r="L1611" t="str">
        <f t="shared" ca="1" si="177"/>
        <v>Overstock</v>
      </c>
      <c r="M1611" s="39">
        <f>IFERROR(VLOOKUP("APG",Controls!A:I,7,0),6)</f>
        <v>4</v>
      </c>
      <c r="N1611" s="39">
        <f>IFERROR(VLOOKUP("APG",Controls!A:I,8,0),3)</f>
        <v>3</v>
      </c>
      <c r="O1611" s="39">
        <f>IFERROR(VLOOKUP("APG",Controls!A:I,9,0),18)</f>
        <v>12</v>
      </c>
      <c r="P1611" s="40">
        <f>IFERROR(VLOOKUP("APG",Controls!A:J,5,0),0)</f>
        <v>95</v>
      </c>
      <c r="Q1611" s="39">
        <f>IFERROR(VLOOKUP("APG",Controls!A:J,6,0),3)</f>
        <v>4</v>
      </c>
      <c r="R1611" s="21" t="str">
        <f>IFERROR(VLOOKUP("APG",Controls!A:K,10,0),"")</f>
        <v>ST Pharm</v>
      </c>
      <c r="S1611" s="41">
        <f t="shared" si="178"/>
        <v>51257</v>
      </c>
      <c r="T1611" s="30">
        <f t="shared" si="179"/>
        <v>0</v>
      </c>
      <c r="AB1611">
        <f t="shared" si="181"/>
        <v>308.84000000000003</v>
      </c>
    </row>
    <row r="1612" spans="1:28" ht="13" customHeight="1" x14ac:dyDescent="0.35">
      <c r="A1612" s="153">
        <v>51410</v>
      </c>
      <c r="B1612" s="36" t="s">
        <v>57</v>
      </c>
      <c r="C1612" s="15" t="s">
        <v>52</v>
      </c>
      <c r="D1612" s="15" t="s">
        <v>48</v>
      </c>
      <c r="E1612" s="30">
        <f>H1611</f>
        <v>106.67199999999997</v>
      </c>
      <c r="F1612" s="37">
        <f>IFERROR('Production Inputs'!$GF$37*Dependencies!$D$17,0)</f>
        <v>0</v>
      </c>
      <c r="G1612" s="37">
        <f t="array" ref="G1612">IFERROR(SUMPRODUCT(('Production Inputs'!$A:$A="APG")*('Production Inputs'!$B:$B="TOTAL ACTIVE")*'Production Inputs'!$GF:$GF),0)</f>
        <v>0</v>
      </c>
      <c r="H1612" s="30">
        <f t="shared" si="175"/>
        <v>106.67199999999997</v>
      </c>
      <c r="I1612" s="30">
        <f ca="1">IFERROR(AVERAGEIF(OFFSET(F1612,0,0,MIN(Controls!$B$8,COUNTIF(B1612:B$1973,B1612)),1),"&gt;"&amp;0),0)</f>
        <v>0</v>
      </c>
      <c r="J1612" s="38">
        <f t="shared" ca="1" si="176"/>
        <v>999</v>
      </c>
      <c r="K1612" s="30">
        <f t="shared" ca="1" si="180"/>
        <v>0</v>
      </c>
      <c r="L1612" t="str">
        <f t="shared" ca="1" si="177"/>
        <v>Overstock</v>
      </c>
      <c r="M1612" s="39">
        <f>IFERROR(VLOOKUP("APG",Controls!A:I,7,0),6)</f>
        <v>4</v>
      </c>
      <c r="N1612" s="39">
        <f>IFERROR(VLOOKUP("APG",Controls!A:I,8,0),3)</f>
        <v>3</v>
      </c>
      <c r="O1612" s="39">
        <f>IFERROR(VLOOKUP("APG",Controls!A:I,9,0),18)</f>
        <v>12</v>
      </c>
      <c r="P1612" s="40">
        <f>IFERROR(VLOOKUP("APG",Controls!A:J,5,0),0)</f>
        <v>95</v>
      </c>
      <c r="Q1612" s="39">
        <f>IFERROR(VLOOKUP("APG",Controls!A:J,6,0),3)</f>
        <v>4</v>
      </c>
      <c r="R1612" s="21" t="str">
        <f>IFERROR(VLOOKUP("APG",Controls!A:K,10,0),"")</f>
        <v>ST Pharm</v>
      </c>
      <c r="S1612" s="41">
        <f t="shared" si="178"/>
        <v>51288</v>
      </c>
      <c r="T1612" s="30">
        <f t="shared" si="179"/>
        <v>0</v>
      </c>
      <c r="AB1612">
        <f t="shared" si="181"/>
        <v>308.84000000000003</v>
      </c>
    </row>
    <row r="1613" spans="1:28" ht="13" customHeight="1" x14ac:dyDescent="0.35">
      <c r="A1613" s="153">
        <v>51441</v>
      </c>
      <c r="B1613" s="36" t="s">
        <v>57</v>
      </c>
      <c r="C1613" s="15" t="s">
        <v>52</v>
      </c>
      <c r="D1613" s="15" t="s">
        <v>48</v>
      </c>
      <c r="E1613" s="30">
        <f>H1612</f>
        <v>106.67199999999997</v>
      </c>
      <c r="F1613" s="37">
        <f>IFERROR('Production Inputs'!$GG$37*Dependencies!$D$17,0)</f>
        <v>0</v>
      </c>
      <c r="G1613" s="37">
        <f t="array" ref="G1613">IFERROR(SUMPRODUCT(('Production Inputs'!$A:$A="APG")*('Production Inputs'!$B:$B="TOTAL ACTIVE")*'Production Inputs'!$GG:$GG),0)</f>
        <v>0</v>
      </c>
      <c r="H1613" s="30">
        <f t="shared" si="175"/>
        <v>106.67199999999997</v>
      </c>
      <c r="I1613" s="30">
        <f ca="1">IFERROR(AVERAGEIF(OFFSET(F1613,0,0,MIN(Controls!$B$8,COUNTIF(B1613:B$1973,B1613)),1),"&gt;"&amp;0),0)</f>
        <v>0</v>
      </c>
      <c r="J1613" s="38">
        <f t="shared" ca="1" si="176"/>
        <v>999</v>
      </c>
      <c r="K1613" s="30">
        <f t="shared" ca="1" si="180"/>
        <v>0</v>
      </c>
      <c r="L1613" t="str">
        <f t="shared" ca="1" si="177"/>
        <v>Overstock</v>
      </c>
      <c r="M1613" s="39">
        <f>IFERROR(VLOOKUP("APG",Controls!A:I,7,0),6)</f>
        <v>4</v>
      </c>
      <c r="N1613" s="39">
        <f>IFERROR(VLOOKUP("APG",Controls!A:I,8,0),3)</f>
        <v>3</v>
      </c>
      <c r="O1613" s="39">
        <f>IFERROR(VLOOKUP("APG",Controls!A:I,9,0),18)</f>
        <v>12</v>
      </c>
      <c r="P1613" s="40">
        <f>IFERROR(VLOOKUP("APG",Controls!A:J,5,0),0)</f>
        <v>95</v>
      </c>
      <c r="Q1613" s="39">
        <f>IFERROR(VLOOKUP("APG",Controls!A:J,6,0),3)</f>
        <v>4</v>
      </c>
      <c r="R1613" s="21" t="str">
        <f>IFERROR(VLOOKUP("APG",Controls!A:K,10,0),"")</f>
        <v>ST Pharm</v>
      </c>
      <c r="S1613" s="41">
        <f t="shared" si="178"/>
        <v>51318</v>
      </c>
      <c r="T1613" s="30">
        <f t="shared" si="179"/>
        <v>0</v>
      </c>
      <c r="AB1613">
        <f t="shared" si="181"/>
        <v>308.84000000000003</v>
      </c>
    </row>
    <row r="1614" spans="1:28" ht="13" customHeight="1" x14ac:dyDescent="0.35">
      <c r="A1614" s="153">
        <v>51471</v>
      </c>
      <c r="B1614" s="36" t="s">
        <v>57</v>
      </c>
      <c r="C1614" s="15" t="s">
        <v>52</v>
      </c>
      <c r="D1614" s="15" t="s">
        <v>48</v>
      </c>
      <c r="E1614" s="30">
        <f>H1613</f>
        <v>106.67199999999997</v>
      </c>
      <c r="F1614" s="37">
        <f>IFERROR('Production Inputs'!$GH$37*Dependencies!$D$17,0)</f>
        <v>0</v>
      </c>
      <c r="G1614" s="37">
        <f t="array" ref="G1614">IFERROR(SUMPRODUCT(('Production Inputs'!$A:$A="APG")*('Production Inputs'!$B:$B="TOTAL ACTIVE")*'Production Inputs'!$GH:$GH),0)</f>
        <v>0</v>
      </c>
      <c r="H1614" s="30">
        <f t="shared" si="175"/>
        <v>106.67199999999997</v>
      </c>
      <c r="I1614" s="30">
        <f ca="1">IFERROR(AVERAGEIF(OFFSET(F1614,0,0,MIN(Controls!$B$8,COUNTIF(B1614:B$1973,B1614)),1),"&gt;"&amp;0),0)</f>
        <v>0</v>
      </c>
      <c r="J1614" s="38">
        <f t="shared" ca="1" si="176"/>
        <v>999</v>
      </c>
      <c r="K1614" s="30">
        <f t="shared" ca="1" si="180"/>
        <v>0</v>
      </c>
      <c r="L1614" t="str">
        <f t="shared" ca="1" si="177"/>
        <v>Overstock</v>
      </c>
      <c r="M1614" s="39">
        <f>IFERROR(VLOOKUP("APG",Controls!A:I,7,0),6)</f>
        <v>4</v>
      </c>
      <c r="N1614" s="39">
        <f>IFERROR(VLOOKUP("APG",Controls!A:I,8,0),3)</f>
        <v>3</v>
      </c>
      <c r="O1614" s="39">
        <f>IFERROR(VLOOKUP("APG",Controls!A:I,9,0),18)</f>
        <v>12</v>
      </c>
      <c r="P1614" s="40">
        <f>IFERROR(VLOOKUP("APG",Controls!A:J,5,0),0)</f>
        <v>95</v>
      </c>
      <c r="Q1614" s="39">
        <f>IFERROR(VLOOKUP("APG",Controls!A:J,6,0),3)</f>
        <v>4</v>
      </c>
      <c r="R1614" s="21" t="str">
        <f>IFERROR(VLOOKUP("APG",Controls!A:K,10,0),"")</f>
        <v>ST Pharm</v>
      </c>
      <c r="S1614" s="41">
        <f t="shared" si="178"/>
        <v>51349</v>
      </c>
      <c r="T1614" s="30">
        <f t="shared" si="179"/>
        <v>0</v>
      </c>
      <c r="AB1614">
        <f t="shared" si="181"/>
        <v>308.84000000000003</v>
      </c>
    </row>
    <row r="1615" spans="1:28" ht="13" customHeight="1" x14ac:dyDescent="0.35">
      <c r="A1615" s="153">
        <v>46054</v>
      </c>
      <c r="B1615" s="36" t="s">
        <v>58</v>
      </c>
      <c r="C1615" s="15" t="s">
        <v>52</v>
      </c>
      <c r="D1615" s="15" t="s">
        <v>48</v>
      </c>
      <c r="E1615" s="199">
        <f>IFERROR(VLOOKUP("APT",Controls!A:D,4,0),0)</f>
        <v>195.85</v>
      </c>
      <c r="F1615" s="199">
        <f>IFERROR('Production Inputs'!$L$37*Dependencies!$D$19,0)</f>
        <v>0</v>
      </c>
      <c r="G1615" s="199">
        <f t="array" ref="G1615">IFERROR(SUMPRODUCT(('Production Inputs'!$A:$A="APT")*('Production Inputs'!$B:$B="TOTAL ACTIVE")*'Production Inputs'!$L:$L),0)</f>
        <v>0</v>
      </c>
      <c r="H1615" s="199">
        <f t="shared" si="175"/>
        <v>195.85</v>
      </c>
      <c r="I1615" s="30">
        <f ca="1">IFERROR(AVERAGEIF(OFFSET(F1615,0,0,MIN(Controls!$B$8,COUNTIF(B1615:B$1973,B1615)),1),"&gt;"&amp;0),0)</f>
        <v>38.72</v>
      </c>
      <c r="J1615" s="38">
        <f t="shared" ca="1" si="176"/>
        <v>5.058109504132231</v>
      </c>
      <c r="K1615" s="30">
        <f t="shared" ca="1" si="180"/>
        <v>0</v>
      </c>
      <c r="L1615" t="str">
        <f t="shared" ca="1" si="177"/>
        <v>Low</v>
      </c>
      <c r="M1615" s="39">
        <f>IFERROR(VLOOKUP("APT",Controls!A:I,7,0),6)</f>
        <v>4</v>
      </c>
      <c r="N1615" s="39">
        <f>IFERROR(VLOOKUP("APT",Controls!A:I,8,0),3)</f>
        <v>3</v>
      </c>
      <c r="O1615" s="39">
        <f>IFERROR(VLOOKUP("APT",Controls!A:I,9,0),18)</f>
        <v>12</v>
      </c>
      <c r="P1615" s="40">
        <f>IFERROR(VLOOKUP("APT",Controls!A:J,5,0),0)</f>
        <v>165</v>
      </c>
      <c r="Q1615" s="39">
        <f>IFERROR(VLOOKUP("APT",Controls!A:J,6,0),3)</f>
        <v>4</v>
      </c>
      <c r="R1615" s="21" t="str">
        <f>IFERROR(VLOOKUP("APT",Controls!A:K,10,0),"")</f>
        <v>ST Pharm</v>
      </c>
      <c r="S1615" s="41">
        <f t="shared" si="178"/>
        <v>45931</v>
      </c>
      <c r="T1615" s="30">
        <f t="shared" si="179"/>
        <v>0</v>
      </c>
      <c r="W1615" s="205" cm="1">
        <f t="array" ref="W1615">IF(0&lt;Controls!$B$7,INDEX(A1615:A1793,MATCH(Controls!$B$5,A1615:A1793,1)+0),"")</f>
        <v>46113</v>
      </c>
      <c r="X1615" cm="1">
        <f t="array" ref="X1615">IF(0&lt;Controls!$B$7,INDEX(F1615:F1793,MATCH(Controls!$B$5,A1615:A1793,1)+0),"")</f>
        <v>0</v>
      </c>
      <c r="Y1615" cm="1">
        <f t="array" ref="Y1615">IF(0&lt;Controls!$B$7,INDEX(G1615:G1793,MATCH(Controls!$B$5,A1615:A1793,1)+0),"")</f>
        <v>0</v>
      </c>
      <c r="Z1615" cm="1">
        <f t="array" ref="Z1615">IF(0&lt;Controls!$B$7,INDEX(H1615:H1793,MATCH(Controls!$B$5,A1615:A1793,1)+0),"")</f>
        <v>195.85</v>
      </c>
      <c r="AA1615" cm="1">
        <f t="array" aca="1" ref="AA1615" ca="1">IF(0&lt;Controls!$B$7,INDEX(M1615:M1793,MATCH(Controls!$B$5,A1615:A1793,1)+0)*INDEX(I1615:I1793,MATCH(Controls!$B$5,A1615:A1793,1)+0),"")</f>
        <v>154.88</v>
      </c>
      <c r="AB1615">
        <f t="shared" si="181"/>
        <v>0</v>
      </c>
    </row>
    <row r="1616" spans="1:28" ht="13" customHeight="1" x14ac:dyDescent="0.35">
      <c r="A1616" s="153">
        <v>46082</v>
      </c>
      <c r="B1616" s="36" t="s">
        <v>58</v>
      </c>
      <c r="C1616" s="15" t="s">
        <v>52</v>
      </c>
      <c r="D1616" s="15" t="s">
        <v>48</v>
      </c>
      <c r="E1616" s="199">
        <f>H1615</f>
        <v>195.85</v>
      </c>
      <c r="F1616" s="199">
        <f>IFERROR('Production Inputs'!$M$37*Dependencies!$D$19,0)</f>
        <v>0</v>
      </c>
      <c r="G1616" s="199">
        <f t="array" ref="G1616">IFERROR(SUMPRODUCT(('Production Inputs'!$A:$A="APT")*('Production Inputs'!$B:$B="TOTAL ACTIVE")*'Production Inputs'!$M:$M),0)</f>
        <v>0</v>
      </c>
      <c r="H1616" s="199">
        <v>195.85</v>
      </c>
      <c r="I1616" s="30">
        <f ca="1">IFERROR(AVERAGEIF(OFFSET(F1616,0,0,MIN(Controls!$B$8,COUNTIF(B1616:B$1973,B1616)),1),"&gt;"&amp;0),0)</f>
        <v>38.72</v>
      </c>
      <c r="J1616" s="38">
        <f t="shared" ca="1" si="176"/>
        <v>5.058109504132231</v>
      </c>
      <c r="K1616" s="30">
        <f t="shared" ca="1" si="180"/>
        <v>0</v>
      </c>
      <c r="L1616" t="str">
        <f t="shared" ca="1" si="177"/>
        <v>Low</v>
      </c>
      <c r="M1616" s="39">
        <f>IFERROR(VLOOKUP("APT",Controls!A:I,7,0),6)</f>
        <v>4</v>
      </c>
      <c r="N1616" s="39">
        <f>IFERROR(VLOOKUP("APT",Controls!A:I,8,0),3)</f>
        <v>3</v>
      </c>
      <c r="O1616" s="39">
        <f>IFERROR(VLOOKUP("APT",Controls!A:I,9,0),18)</f>
        <v>12</v>
      </c>
      <c r="P1616" s="40">
        <f>IFERROR(VLOOKUP("APT",Controls!A:J,5,0),0)</f>
        <v>165</v>
      </c>
      <c r="Q1616" s="39">
        <f>IFERROR(VLOOKUP("APT",Controls!A:J,6,0),3)</f>
        <v>4</v>
      </c>
      <c r="R1616" s="21" t="str">
        <f>IFERROR(VLOOKUP("APT",Controls!A:K,10,0),"")</f>
        <v>ST Pharm</v>
      </c>
      <c r="S1616" s="41">
        <f t="shared" si="178"/>
        <v>45962</v>
      </c>
      <c r="T1616" s="30">
        <f t="shared" si="179"/>
        <v>0</v>
      </c>
      <c r="W1616" s="205" cm="1">
        <f t="array" ref="W1616">IF(1&lt;Controls!$B$7,INDEX(A1615:A1793,MATCH(Controls!$B$5,A1615:A1793,1)+1),"")</f>
        <v>46143</v>
      </c>
      <c r="X1616" cm="1">
        <f t="array" ref="X1616">IF(1&lt;Controls!$B$7,INDEX(F1615:F1793,MATCH(Controls!$B$5,A1615:A1793,1)+1),"")</f>
        <v>38.72</v>
      </c>
      <c r="Y1616" cm="1">
        <f t="array" ref="Y1616">IF(1&lt;Controls!$B$7,INDEX(G1615:G1793,MATCH(Controls!$B$5,A1615:A1793,1)+1),"")</f>
        <v>0</v>
      </c>
      <c r="Z1616" cm="1">
        <f t="array" ref="Z1616">IF(1&lt;Controls!$B$7,INDEX(H1615:H1793,MATCH(Controls!$B$5,A1615:A1793,1)+1),"")</f>
        <v>157.13</v>
      </c>
      <c r="AA1616" cm="1">
        <f t="array" aca="1" ref="AA1616" ca="1">IF(1&lt;Controls!$B$7,INDEX(M1615:M1793,MATCH(Controls!$B$5,A1615:A1793,1)+1)*INDEX(I1615:I1793,MATCH(Controls!$B$5,A1615:A1793,1)+1),"")</f>
        <v>154.88</v>
      </c>
      <c r="AB1616">
        <f t="shared" si="181"/>
        <v>0</v>
      </c>
    </row>
    <row r="1617" spans="1:28" ht="13" customHeight="1" x14ac:dyDescent="0.35">
      <c r="A1617" s="153">
        <v>46113</v>
      </c>
      <c r="B1617" s="36" t="s">
        <v>58</v>
      </c>
      <c r="C1617" s="15" t="s">
        <v>52</v>
      </c>
      <c r="D1617" s="15" t="s">
        <v>48</v>
      </c>
      <c r="E1617" s="30">
        <f>H1616</f>
        <v>195.85</v>
      </c>
      <c r="F1617" s="37">
        <f>IFERROR('Production Inputs'!$N$37*Dependencies!$D$19,0)</f>
        <v>0</v>
      </c>
      <c r="G1617" s="37">
        <f t="array" ref="G1617">IFERROR(SUMPRODUCT(('Production Inputs'!$A:$A="APT")*('Production Inputs'!$B:$B="TOTAL ACTIVE")*'Production Inputs'!$N:$N),0)</f>
        <v>0</v>
      </c>
      <c r="H1617" s="30">
        <f t="shared" si="175"/>
        <v>195.85</v>
      </c>
      <c r="I1617" s="30">
        <f ca="1">IFERROR(AVERAGEIF(OFFSET(F1617,0,0,MIN(Controls!$B$8,COUNTIF(B1617:B$1973,B1617)),1),"&gt;"&amp;0),0)</f>
        <v>38.72</v>
      </c>
      <c r="J1617" s="38">
        <f t="shared" ca="1" si="176"/>
        <v>5.058109504132231</v>
      </c>
      <c r="K1617" s="30">
        <f t="shared" ca="1" si="180"/>
        <v>0</v>
      </c>
      <c r="L1617" t="str">
        <f t="shared" ca="1" si="177"/>
        <v>Low</v>
      </c>
      <c r="M1617" s="39">
        <f>IFERROR(VLOOKUP("APT",Controls!A:I,7,0),6)</f>
        <v>4</v>
      </c>
      <c r="N1617" s="39">
        <f>IFERROR(VLOOKUP("APT",Controls!A:I,8,0),3)</f>
        <v>3</v>
      </c>
      <c r="O1617" s="39">
        <f>IFERROR(VLOOKUP("APT",Controls!A:I,9,0),18)</f>
        <v>12</v>
      </c>
      <c r="P1617" s="40">
        <f>IFERROR(VLOOKUP("APT",Controls!A:J,5,0),0)</f>
        <v>165</v>
      </c>
      <c r="Q1617" s="39">
        <f>IFERROR(VLOOKUP("APT",Controls!A:J,6,0),3)</f>
        <v>4</v>
      </c>
      <c r="R1617" s="21" t="str">
        <f>IFERROR(VLOOKUP("APT",Controls!A:K,10,0),"")</f>
        <v>ST Pharm</v>
      </c>
      <c r="S1617" s="41">
        <f t="shared" si="178"/>
        <v>45992</v>
      </c>
      <c r="T1617" s="30">
        <f t="shared" si="179"/>
        <v>0</v>
      </c>
      <c r="W1617" s="205" cm="1">
        <f t="array" ref="W1617">IF(2&lt;Controls!$B$7,INDEX(A1615:A1793,MATCH(Controls!$B$5,A1615:A1793,1)+2),"")</f>
        <v>46174</v>
      </c>
      <c r="X1617" cm="1">
        <f t="array" ref="X1617">IF(2&lt;Controls!$B$7,INDEX(F1615:F1793,MATCH(Controls!$B$5,A1615:A1793,1)+2),"")</f>
        <v>58.08</v>
      </c>
      <c r="Y1617" cm="1">
        <f t="array" ref="Y1617">IF(2&lt;Controls!$B$7,INDEX(G1615:G1793,MATCH(Controls!$B$5,A1615:A1793,1)+2),"")</f>
        <v>0</v>
      </c>
      <c r="Z1617" cm="1">
        <f t="array" ref="Z1617">IF(2&lt;Controls!$B$7,INDEX(H1615:H1793,MATCH(Controls!$B$5,A1615:A1793,1)+2),"")</f>
        <v>99.05</v>
      </c>
      <c r="AA1617" cm="1">
        <f t="array" aca="1" ref="AA1617" ca="1">IF(2&lt;Controls!$B$7,INDEX(M1615:M1793,MATCH(Controls!$B$5,A1615:A1793,1)+2)*INDEX(I1615:I1793,MATCH(Controls!$B$5,A1615:A1793,1)+2),"")</f>
        <v>154.88</v>
      </c>
      <c r="AB1617">
        <f t="shared" si="181"/>
        <v>0</v>
      </c>
    </row>
    <row r="1618" spans="1:28" ht="13" customHeight="1" x14ac:dyDescent="0.35">
      <c r="A1618" s="153">
        <v>46143</v>
      </c>
      <c r="B1618" s="36" t="s">
        <v>58</v>
      </c>
      <c r="C1618" s="15" t="s">
        <v>52</v>
      </c>
      <c r="D1618" s="15" t="s">
        <v>48</v>
      </c>
      <c r="E1618" s="30">
        <f>H1617</f>
        <v>195.85</v>
      </c>
      <c r="F1618" s="37">
        <f>IFERROR('Production Inputs'!$O$37*Dependencies!$D$19,0)</f>
        <v>38.72</v>
      </c>
      <c r="G1618" s="37">
        <f t="array" ref="G1618">IFERROR(SUMPRODUCT(('Production Inputs'!$A:$A="APT")*('Production Inputs'!$B:$B="TOTAL ACTIVE")*'Production Inputs'!$O:$O),0)</f>
        <v>0</v>
      </c>
      <c r="H1618" s="30">
        <f t="shared" si="175"/>
        <v>157.13</v>
      </c>
      <c r="I1618" s="30">
        <f ca="1">IFERROR(AVERAGEIF(OFFSET(F1618,0,0,MIN(Controls!$B$8,COUNTIF(B1618:B$1973,B1618)),1),"&gt;"&amp;0),0)</f>
        <v>38.72</v>
      </c>
      <c r="J1618" s="38">
        <f t="shared" ca="1" si="176"/>
        <v>4.058109504132231</v>
      </c>
      <c r="K1618" s="30">
        <f t="shared" ca="1" si="180"/>
        <v>0</v>
      </c>
      <c r="L1618" t="str">
        <f t="shared" ca="1" si="177"/>
        <v>Low</v>
      </c>
      <c r="M1618" s="39">
        <f>IFERROR(VLOOKUP("APT",Controls!A:I,7,0),6)</f>
        <v>4</v>
      </c>
      <c r="N1618" s="39">
        <f>IFERROR(VLOOKUP("APT",Controls!A:I,8,0),3)</f>
        <v>3</v>
      </c>
      <c r="O1618" s="39">
        <f>IFERROR(VLOOKUP("APT",Controls!A:I,9,0),18)</f>
        <v>12</v>
      </c>
      <c r="P1618" s="40">
        <f>IFERROR(VLOOKUP("APT",Controls!A:J,5,0),0)</f>
        <v>165</v>
      </c>
      <c r="Q1618" s="39">
        <f>IFERROR(VLOOKUP("APT",Controls!A:J,6,0),3)</f>
        <v>4</v>
      </c>
      <c r="R1618" s="21" t="str">
        <f>IFERROR(VLOOKUP("APT",Controls!A:K,10,0),"")</f>
        <v>ST Pharm</v>
      </c>
      <c r="S1618" s="41">
        <f t="shared" si="178"/>
        <v>46023</v>
      </c>
      <c r="T1618" s="30">
        <f t="shared" si="179"/>
        <v>0</v>
      </c>
      <c r="W1618" s="205" cm="1">
        <f t="array" ref="W1618">IF(3&lt;Controls!$B$7,INDEX(A1615:A1793,MATCH(Controls!$B$5,A1615:A1793,1)+3),"")</f>
        <v>46204</v>
      </c>
      <c r="X1618" cm="1">
        <f t="array" ref="X1618">IF(3&lt;Controls!$B$7,INDEX(F1615:F1793,MATCH(Controls!$B$5,A1615:A1793,1)+3),"")</f>
        <v>19.36</v>
      </c>
      <c r="Y1618" cm="1">
        <f t="array" ref="Y1618">IF(3&lt;Controls!$B$7,INDEX(G1615:G1793,MATCH(Controls!$B$5,A1615:A1793,1)+3),"")</f>
        <v>0</v>
      </c>
      <c r="Z1618" cm="1">
        <f t="array" ref="Z1618">IF(3&lt;Controls!$B$7,INDEX(H1615:H1793,MATCH(Controls!$B$5,A1615:A1793,1)+3),"")</f>
        <v>79.69</v>
      </c>
      <c r="AA1618" cm="1">
        <f t="array" aca="1" ref="AA1618" ca="1">IF(3&lt;Controls!$B$7,INDEX(M1615:M1793,MATCH(Controls!$B$5,A1615:A1793,1)+3)*INDEX(I1615:I1793,MATCH(Controls!$B$5,A1615:A1793,1)+3),"")</f>
        <v>77.44</v>
      </c>
      <c r="AB1618">
        <f t="shared" si="181"/>
        <v>38.72</v>
      </c>
    </row>
    <row r="1619" spans="1:28" ht="13" customHeight="1" x14ac:dyDescent="0.35">
      <c r="A1619" s="153">
        <v>46174</v>
      </c>
      <c r="B1619" s="36" t="s">
        <v>58</v>
      </c>
      <c r="C1619" s="15" t="s">
        <v>52</v>
      </c>
      <c r="D1619" s="15" t="s">
        <v>48</v>
      </c>
      <c r="E1619" s="30">
        <f>H1618</f>
        <v>157.13</v>
      </c>
      <c r="F1619" s="37">
        <f>IFERROR('Production Inputs'!$P$37*Dependencies!$D$19,0)</f>
        <v>58.08</v>
      </c>
      <c r="G1619" s="37">
        <f t="array" ref="G1619">IFERROR(SUMPRODUCT(('Production Inputs'!$A:$A="APT")*('Production Inputs'!$B:$B="TOTAL ACTIVE")*'Production Inputs'!$P:$P),0)</f>
        <v>0</v>
      </c>
      <c r="H1619" s="30">
        <f t="shared" si="175"/>
        <v>99.05</v>
      </c>
      <c r="I1619" s="30">
        <f ca="1">IFERROR(AVERAGEIF(OFFSET(F1619,0,0,MIN(Controls!$B$8,COUNTIF(B1619:B$1973,B1619)),1),"&gt;"&amp;0),0)</f>
        <v>38.72</v>
      </c>
      <c r="J1619" s="38">
        <f t="shared" ca="1" si="176"/>
        <v>2.5581095041322315</v>
      </c>
      <c r="K1619" s="30">
        <f t="shared" ca="1" si="180"/>
        <v>0</v>
      </c>
      <c r="L1619" t="str">
        <f t="shared" ca="1" si="177"/>
        <v>High</v>
      </c>
      <c r="M1619" s="39">
        <f>IFERROR(VLOOKUP("APT",Controls!A:I,7,0),6)</f>
        <v>4</v>
      </c>
      <c r="N1619" s="39">
        <f>IFERROR(VLOOKUP("APT",Controls!A:I,8,0),3)</f>
        <v>3</v>
      </c>
      <c r="O1619" s="39">
        <f>IFERROR(VLOOKUP("APT",Controls!A:I,9,0),18)</f>
        <v>12</v>
      </c>
      <c r="P1619" s="40">
        <f>IFERROR(VLOOKUP("APT",Controls!A:J,5,0),0)</f>
        <v>165</v>
      </c>
      <c r="Q1619" s="39">
        <f>IFERROR(VLOOKUP("APT",Controls!A:J,6,0),3)</f>
        <v>4</v>
      </c>
      <c r="R1619" s="21" t="str">
        <f>IFERROR(VLOOKUP("APT",Controls!A:K,10,0),"")</f>
        <v>ST Pharm</v>
      </c>
      <c r="S1619" s="41">
        <f t="shared" si="178"/>
        <v>46054</v>
      </c>
      <c r="T1619" s="30">
        <f t="shared" si="179"/>
        <v>0</v>
      </c>
      <c r="W1619" s="205" cm="1">
        <f t="array" ref="W1619">IF(4&lt;Controls!$B$7,INDEX(A1615:A1793,MATCH(Controls!$B$5,A1615:A1793,1)+4),"")</f>
        <v>46235</v>
      </c>
      <c r="X1619" cm="1">
        <f t="array" ref="X1619">IF(4&lt;Controls!$B$7,INDEX(F1615:F1793,MATCH(Controls!$B$5,A1615:A1793,1)+4),"")</f>
        <v>0</v>
      </c>
      <c r="Y1619" cm="1">
        <f t="array" ref="Y1619">IF(4&lt;Controls!$B$7,INDEX(G1615:G1793,MATCH(Controls!$B$5,A1615:A1793,1)+4),"")</f>
        <v>0</v>
      </c>
      <c r="Z1619" cm="1">
        <f t="array" ref="Z1619">IF(4&lt;Controls!$B$7,INDEX(H1615:H1793,MATCH(Controls!$B$5,A1615:A1793,1)+4),"")</f>
        <v>79.69</v>
      </c>
      <c r="AA1619" cm="1">
        <f t="array" aca="1" ref="AA1619" ca="1">IF(4&lt;Controls!$B$7,INDEX(M1615:M1793,MATCH(Controls!$B$5,A1615:A1793,1)+4)*INDEX(I1615:I1793,MATCH(Controls!$B$5,A1615:A1793,1)+4),"")</f>
        <v>154.88</v>
      </c>
      <c r="AB1619">
        <f t="shared" si="181"/>
        <v>96.8</v>
      </c>
    </row>
    <row r="1620" spans="1:28" ht="13" customHeight="1" x14ac:dyDescent="0.35">
      <c r="A1620" s="153">
        <v>46204</v>
      </c>
      <c r="B1620" s="36" t="s">
        <v>58</v>
      </c>
      <c r="C1620" s="15" t="s">
        <v>52</v>
      </c>
      <c r="D1620" s="15" t="s">
        <v>48</v>
      </c>
      <c r="E1620" s="30">
        <f>H1619</f>
        <v>99.05</v>
      </c>
      <c r="F1620" s="37">
        <f>IFERROR('Production Inputs'!$Q$37*Dependencies!$D$19,0)</f>
        <v>19.36</v>
      </c>
      <c r="G1620" s="37">
        <f t="array" ref="G1620">IFERROR(SUMPRODUCT(('Production Inputs'!$A:$A="APT")*('Production Inputs'!$B:$B="TOTAL ACTIVE")*'Production Inputs'!$Q:$Q),0)</f>
        <v>0</v>
      </c>
      <c r="H1620" s="30">
        <f t="shared" si="175"/>
        <v>79.69</v>
      </c>
      <c r="I1620" s="30">
        <f ca="1">IFERROR(AVERAGEIF(OFFSET(F1620,0,0,MIN(Controls!$B$8,COUNTIF(B1620:B$1973,B1620)),1),"&gt;"&amp;0),0)</f>
        <v>19.36</v>
      </c>
      <c r="J1620" s="38">
        <f t="shared" ca="1" si="176"/>
        <v>4.116219008264463</v>
      </c>
      <c r="K1620" s="30">
        <f t="shared" ca="1" si="180"/>
        <v>0</v>
      </c>
      <c r="L1620" t="str">
        <f t="shared" ca="1" si="177"/>
        <v>Low</v>
      </c>
      <c r="M1620" s="39">
        <f>IFERROR(VLOOKUP("APT",Controls!A:I,7,0),6)</f>
        <v>4</v>
      </c>
      <c r="N1620" s="39">
        <f>IFERROR(VLOOKUP("APT",Controls!A:I,8,0),3)</f>
        <v>3</v>
      </c>
      <c r="O1620" s="39">
        <f>IFERROR(VLOOKUP("APT",Controls!A:I,9,0),18)</f>
        <v>12</v>
      </c>
      <c r="P1620" s="40">
        <f>IFERROR(VLOOKUP("APT",Controls!A:J,5,0),0)</f>
        <v>165</v>
      </c>
      <c r="Q1620" s="39">
        <f>IFERROR(VLOOKUP("APT",Controls!A:J,6,0),3)</f>
        <v>4</v>
      </c>
      <c r="R1620" s="21" t="str">
        <f>IFERROR(VLOOKUP("APT",Controls!A:K,10,0),"")</f>
        <v>ST Pharm</v>
      </c>
      <c r="S1620" s="41">
        <f t="shared" si="178"/>
        <v>46082</v>
      </c>
      <c r="T1620" s="30">
        <f t="shared" si="179"/>
        <v>0</v>
      </c>
      <c r="W1620" s="205" cm="1">
        <f t="array" ref="W1620">IF(5&lt;Controls!$B$7,INDEX(A1615:A1793,MATCH(Controls!$B$5,A1615:A1793,1)+5),"")</f>
        <v>46266</v>
      </c>
      <c r="X1620" cm="1">
        <f t="array" ref="X1620">IF(5&lt;Controls!$B$7,INDEX(F1615:F1793,MATCH(Controls!$B$5,A1615:A1793,1)+5),"")</f>
        <v>0</v>
      </c>
      <c r="Y1620" cm="1">
        <f t="array" ref="Y1620">IF(5&lt;Controls!$B$7,INDEX(G1615:G1793,MATCH(Controls!$B$5,A1615:A1793,1)+5),"")</f>
        <v>0</v>
      </c>
      <c r="Z1620" cm="1">
        <f t="array" ref="Z1620">IF(5&lt;Controls!$B$7,INDEX(H1615:H1793,MATCH(Controls!$B$5,A1615:A1793,1)+5),"")</f>
        <v>79.69</v>
      </c>
      <c r="AA1620" cm="1">
        <f t="array" aca="1" ref="AA1620" ca="1">IF(5&lt;Controls!$B$7,INDEX(M1615:M1793,MATCH(Controls!$B$5,A1615:A1793,1)+5)*INDEX(I1615:I1793,MATCH(Controls!$B$5,A1615:A1793,1)+5),"")</f>
        <v>154.88</v>
      </c>
      <c r="AB1620">
        <f t="shared" si="181"/>
        <v>116.16</v>
      </c>
    </row>
    <row r="1621" spans="1:28" ht="13" customHeight="1" x14ac:dyDescent="0.35">
      <c r="A1621" s="153">
        <v>46235</v>
      </c>
      <c r="B1621" s="36" t="s">
        <v>58</v>
      </c>
      <c r="C1621" s="15" t="s">
        <v>52</v>
      </c>
      <c r="D1621" s="15" t="s">
        <v>48</v>
      </c>
      <c r="E1621" s="30">
        <f>H1620</f>
        <v>79.69</v>
      </c>
      <c r="F1621" s="37">
        <f>IFERROR('Production Inputs'!$R$37*Dependencies!$D$19,0)</f>
        <v>0</v>
      </c>
      <c r="G1621" s="37">
        <f t="array" ref="G1621">IFERROR(SUMPRODUCT(('Production Inputs'!$A:$A="APT")*('Production Inputs'!$B:$B="TOTAL ACTIVE")*'Production Inputs'!$R:$R),0)</f>
        <v>0</v>
      </c>
      <c r="H1621" s="30">
        <f t="shared" si="175"/>
        <v>79.69</v>
      </c>
      <c r="I1621" s="30">
        <f ca="1">IFERROR(AVERAGEIF(OFFSET(F1621,0,0,MIN(Controls!$B$8,COUNTIF(B1621:B$1973,B1621)),1),"&gt;"&amp;0),0)</f>
        <v>38.72</v>
      </c>
      <c r="J1621" s="38">
        <f t="shared" ca="1" si="176"/>
        <v>2.0581095041322315</v>
      </c>
      <c r="K1621" s="30">
        <f t="shared" ca="1" si="180"/>
        <v>0</v>
      </c>
      <c r="L1621" t="str">
        <f t="shared" ca="1" si="177"/>
        <v>High</v>
      </c>
      <c r="M1621" s="39">
        <f>IFERROR(VLOOKUP("APT",Controls!A:I,7,0),6)</f>
        <v>4</v>
      </c>
      <c r="N1621" s="39">
        <f>IFERROR(VLOOKUP("APT",Controls!A:I,8,0),3)</f>
        <v>3</v>
      </c>
      <c r="O1621" s="39">
        <f>IFERROR(VLOOKUP("APT",Controls!A:I,9,0),18)</f>
        <v>12</v>
      </c>
      <c r="P1621" s="40">
        <f>IFERROR(VLOOKUP("APT",Controls!A:J,5,0),0)</f>
        <v>165</v>
      </c>
      <c r="Q1621" s="39">
        <f>IFERROR(VLOOKUP("APT",Controls!A:J,6,0),3)</f>
        <v>4</v>
      </c>
      <c r="R1621" s="21" t="str">
        <f>IFERROR(VLOOKUP("APT",Controls!A:K,10,0),"")</f>
        <v>ST Pharm</v>
      </c>
      <c r="S1621" s="41">
        <f t="shared" si="178"/>
        <v>46113</v>
      </c>
      <c r="T1621" s="30">
        <f t="shared" si="179"/>
        <v>0</v>
      </c>
      <c r="W1621" s="205" cm="1">
        <f t="array" ref="W1621">IF(6&lt;Controls!$B$7,INDEX(A1615:A1793,MATCH(Controls!$B$5,A1615:A1793,1)+6),"")</f>
        <v>46296</v>
      </c>
      <c r="X1621" cm="1">
        <f t="array" ref="X1621">IF(6&lt;Controls!$B$7,INDEX(F1615:F1793,MATCH(Controls!$B$5,A1615:A1793,1)+6),"")</f>
        <v>0</v>
      </c>
      <c r="Y1621" cm="1">
        <f t="array" ref="Y1621">IF(6&lt;Controls!$B$7,INDEX(G1615:G1793,MATCH(Controls!$B$5,A1615:A1793,1)+6),"")</f>
        <v>0</v>
      </c>
      <c r="Z1621" cm="1">
        <f t="array" ref="Z1621">IF(6&lt;Controls!$B$7,INDEX(H1615:H1793,MATCH(Controls!$B$5,A1615:A1793,1)+6),"")</f>
        <v>79.69</v>
      </c>
      <c r="AA1621" cm="1">
        <f t="array" aca="1" ref="AA1621" ca="1">IF(6&lt;Controls!$B$7,INDEX(M1615:M1793,MATCH(Controls!$B$5,A1615:A1793,1)+6)*INDEX(I1615:I1793,MATCH(Controls!$B$5,A1615:A1793,1)+6),"")</f>
        <v>154.88</v>
      </c>
      <c r="AB1621">
        <f t="shared" si="181"/>
        <v>116.16</v>
      </c>
    </row>
    <row r="1622" spans="1:28" ht="13" customHeight="1" x14ac:dyDescent="0.35">
      <c r="A1622" s="153">
        <v>46266</v>
      </c>
      <c r="B1622" s="36" t="s">
        <v>58</v>
      </c>
      <c r="C1622" s="15" t="s">
        <v>52</v>
      </c>
      <c r="D1622" s="15" t="s">
        <v>48</v>
      </c>
      <c r="E1622" s="30">
        <f>H1621</f>
        <v>79.69</v>
      </c>
      <c r="F1622" s="37">
        <f>IFERROR('Production Inputs'!$S$37*Dependencies!$D$19,0)</f>
        <v>0</v>
      </c>
      <c r="G1622" s="37">
        <f t="array" ref="G1622">IFERROR(SUMPRODUCT(('Production Inputs'!$A:$A="APT")*('Production Inputs'!$B:$B="TOTAL ACTIVE")*'Production Inputs'!$S:$S),0)</f>
        <v>0</v>
      </c>
      <c r="H1622" s="30">
        <f t="shared" si="175"/>
        <v>79.69</v>
      </c>
      <c r="I1622" s="30">
        <f ca="1">IFERROR(AVERAGEIF(OFFSET(F1622,0,0,MIN(Controls!$B$8,COUNTIF(B1622:B$1973,B1622)),1),"&gt;"&amp;0),0)</f>
        <v>38.72</v>
      </c>
      <c r="J1622" s="38">
        <f t="shared" ca="1" si="176"/>
        <v>2.0581095041322315</v>
      </c>
      <c r="K1622" s="30">
        <f t="shared" ca="1" si="180"/>
        <v>0</v>
      </c>
      <c r="L1622" t="str">
        <f t="shared" ca="1" si="177"/>
        <v>High</v>
      </c>
      <c r="M1622" s="39">
        <f>IFERROR(VLOOKUP("APT",Controls!A:I,7,0),6)</f>
        <v>4</v>
      </c>
      <c r="N1622" s="39">
        <f>IFERROR(VLOOKUP("APT",Controls!A:I,8,0),3)</f>
        <v>3</v>
      </c>
      <c r="O1622" s="39">
        <f>IFERROR(VLOOKUP("APT",Controls!A:I,9,0),18)</f>
        <v>12</v>
      </c>
      <c r="P1622" s="40">
        <f>IFERROR(VLOOKUP("APT",Controls!A:J,5,0),0)</f>
        <v>165</v>
      </c>
      <c r="Q1622" s="39">
        <f>IFERROR(VLOOKUP("APT",Controls!A:J,6,0),3)</f>
        <v>4</v>
      </c>
      <c r="R1622" s="21" t="str">
        <f>IFERROR(VLOOKUP("APT",Controls!A:K,10,0),"")</f>
        <v>ST Pharm</v>
      </c>
      <c r="S1622" s="41">
        <f t="shared" si="178"/>
        <v>46143</v>
      </c>
      <c r="T1622" s="30">
        <f t="shared" si="179"/>
        <v>0</v>
      </c>
      <c r="W1622" s="205" cm="1">
        <f t="array" ref="W1622">IF(7&lt;Controls!$B$7,INDEX(A1615:A1793,MATCH(Controls!$B$5,A1615:A1793,1)+7),"")</f>
        <v>46327</v>
      </c>
      <c r="X1622" cm="1">
        <f t="array" ref="X1622">IF(7&lt;Controls!$B$7,INDEX(F1615:F1793,MATCH(Controls!$B$5,A1615:A1793,1)+7),"")</f>
        <v>0</v>
      </c>
      <c r="Y1622" cm="1">
        <f t="array" ref="Y1622">IF(7&lt;Controls!$B$7,INDEX(G1615:G1793,MATCH(Controls!$B$5,A1615:A1793,1)+7),"")</f>
        <v>0</v>
      </c>
      <c r="Z1622" cm="1">
        <f t="array" ref="Z1622">IF(7&lt;Controls!$B$7,INDEX(H1615:H1793,MATCH(Controls!$B$5,A1615:A1793,1)+7),"")</f>
        <v>79.69</v>
      </c>
      <c r="AA1622" cm="1">
        <f t="array" aca="1" ref="AA1622" ca="1">IF(7&lt;Controls!$B$7,INDEX(M1615:M1793,MATCH(Controls!$B$5,A1615:A1793,1)+7)*INDEX(I1615:I1793,MATCH(Controls!$B$5,A1615:A1793,1)+7),"")</f>
        <v>154.88</v>
      </c>
      <c r="AB1622">
        <f t="shared" si="181"/>
        <v>116.16</v>
      </c>
    </row>
    <row r="1623" spans="1:28" ht="13" customHeight="1" x14ac:dyDescent="0.35">
      <c r="A1623" s="153">
        <v>46296</v>
      </c>
      <c r="B1623" s="36" t="s">
        <v>58</v>
      </c>
      <c r="C1623" s="15" t="s">
        <v>52</v>
      </c>
      <c r="D1623" s="15" t="s">
        <v>48</v>
      </c>
      <c r="E1623" s="30">
        <f>H1622</f>
        <v>79.69</v>
      </c>
      <c r="F1623" s="37">
        <f>IFERROR('Production Inputs'!$T$37*Dependencies!$D$19,0)</f>
        <v>0</v>
      </c>
      <c r="G1623" s="37">
        <f t="array" ref="G1623">IFERROR(SUMPRODUCT(('Production Inputs'!$A:$A="APT")*('Production Inputs'!$B:$B="TOTAL ACTIVE")*'Production Inputs'!$T:$T),0)</f>
        <v>0</v>
      </c>
      <c r="H1623" s="30">
        <f t="shared" si="175"/>
        <v>79.69</v>
      </c>
      <c r="I1623" s="30">
        <f ca="1">IFERROR(AVERAGEIF(OFFSET(F1623,0,0,MIN(Controls!$B$8,COUNTIF(B1623:B$1973,B1623)),1),"&gt;"&amp;0),0)</f>
        <v>38.72</v>
      </c>
      <c r="J1623" s="38">
        <f t="shared" ca="1" si="176"/>
        <v>2.0581095041322315</v>
      </c>
      <c r="K1623" s="30">
        <f t="shared" ca="1" si="180"/>
        <v>0</v>
      </c>
      <c r="L1623" t="str">
        <f t="shared" ca="1" si="177"/>
        <v>High</v>
      </c>
      <c r="M1623" s="39">
        <f>IFERROR(VLOOKUP("APT",Controls!A:I,7,0),6)</f>
        <v>4</v>
      </c>
      <c r="N1623" s="39">
        <f>IFERROR(VLOOKUP("APT",Controls!A:I,8,0),3)</f>
        <v>3</v>
      </c>
      <c r="O1623" s="39">
        <f>IFERROR(VLOOKUP("APT",Controls!A:I,9,0),18)</f>
        <v>12</v>
      </c>
      <c r="P1623" s="40">
        <f>IFERROR(VLOOKUP("APT",Controls!A:J,5,0),0)</f>
        <v>165</v>
      </c>
      <c r="Q1623" s="39">
        <f>IFERROR(VLOOKUP("APT",Controls!A:J,6,0),3)</f>
        <v>4</v>
      </c>
      <c r="R1623" s="21" t="str">
        <f>IFERROR(VLOOKUP("APT",Controls!A:K,10,0),"")</f>
        <v>ST Pharm</v>
      </c>
      <c r="S1623" s="41">
        <f t="shared" si="178"/>
        <v>46174</v>
      </c>
      <c r="T1623" s="30">
        <f t="shared" si="179"/>
        <v>0</v>
      </c>
      <c r="W1623" s="205" cm="1">
        <f t="array" ref="W1623">IF(8&lt;Controls!$B$7,INDEX(A1615:A1793,MATCH(Controls!$B$5,A1615:A1793,1)+8),"")</f>
        <v>46357</v>
      </c>
      <c r="X1623" cm="1">
        <f t="array" ref="X1623">IF(8&lt;Controls!$B$7,INDEX(F1615:F1793,MATCH(Controls!$B$5,A1615:A1793,1)+8),"")</f>
        <v>0</v>
      </c>
      <c r="Y1623" cm="1">
        <f t="array" ref="Y1623">IF(8&lt;Controls!$B$7,INDEX(G1615:G1793,MATCH(Controls!$B$5,A1615:A1793,1)+8),"")</f>
        <v>0</v>
      </c>
      <c r="Z1623" cm="1">
        <f t="array" ref="Z1623">IF(8&lt;Controls!$B$7,INDEX(H1615:H1793,MATCH(Controls!$B$5,A1615:A1793,1)+8),"")</f>
        <v>79.69</v>
      </c>
      <c r="AA1623" cm="1">
        <f t="array" aca="1" ref="AA1623" ca="1">IF(8&lt;Controls!$B$7,INDEX(M1615:M1793,MATCH(Controls!$B$5,A1615:A1793,1)+8)*INDEX(I1615:I1793,MATCH(Controls!$B$5,A1615:A1793,1)+8),"")</f>
        <v>154.88</v>
      </c>
      <c r="AB1623">
        <f t="shared" si="181"/>
        <v>116.16</v>
      </c>
    </row>
    <row r="1624" spans="1:28" ht="13" customHeight="1" x14ac:dyDescent="0.35">
      <c r="A1624" s="153">
        <v>46327</v>
      </c>
      <c r="B1624" s="36" t="s">
        <v>58</v>
      </c>
      <c r="C1624" s="15" t="s">
        <v>52</v>
      </c>
      <c r="D1624" s="15" t="s">
        <v>48</v>
      </c>
      <c r="E1624" s="30">
        <f>H1623</f>
        <v>79.69</v>
      </c>
      <c r="F1624" s="37">
        <f>IFERROR('Production Inputs'!$U$37*Dependencies!$D$19,0)</f>
        <v>0</v>
      </c>
      <c r="G1624" s="37">
        <f t="array" ref="G1624">IFERROR(SUMPRODUCT(('Production Inputs'!$A:$A="APT")*('Production Inputs'!$B:$B="TOTAL ACTIVE")*'Production Inputs'!$U:$U),0)</f>
        <v>0</v>
      </c>
      <c r="H1624" s="30">
        <f t="shared" si="175"/>
        <v>79.69</v>
      </c>
      <c r="I1624" s="30">
        <f ca="1">IFERROR(AVERAGEIF(OFFSET(F1624,0,0,MIN(Controls!$B$8,COUNTIF(B1624:B$1973,B1624)),1),"&gt;"&amp;0),0)</f>
        <v>38.72</v>
      </c>
      <c r="J1624" s="38">
        <f t="shared" ca="1" si="176"/>
        <v>2.0581095041322315</v>
      </c>
      <c r="K1624" s="30">
        <f t="shared" ca="1" si="180"/>
        <v>0</v>
      </c>
      <c r="L1624" t="str">
        <f t="shared" ca="1" si="177"/>
        <v>High</v>
      </c>
      <c r="M1624" s="39">
        <f>IFERROR(VLOOKUP("APT",Controls!A:I,7,0),6)</f>
        <v>4</v>
      </c>
      <c r="N1624" s="39">
        <f>IFERROR(VLOOKUP("APT",Controls!A:I,8,0),3)</f>
        <v>3</v>
      </c>
      <c r="O1624" s="39">
        <f>IFERROR(VLOOKUP("APT",Controls!A:I,9,0),18)</f>
        <v>12</v>
      </c>
      <c r="P1624" s="40">
        <f>IFERROR(VLOOKUP("APT",Controls!A:J,5,0),0)</f>
        <v>165</v>
      </c>
      <c r="Q1624" s="39">
        <f>IFERROR(VLOOKUP("APT",Controls!A:J,6,0),3)</f>
        <v>4</v>
      </c>
      <c r="R1624" s="21" t="str">
        <f>IFERROR(VLOOKUP("APT",Controls!A:K,10,0),"")</f>
        <v>ST Pharm</v>
      </c>
      <c r="S1624" s="41">
        <f t="shared" si="178"/>
        <v>46204</v>
      </c>
      <c r="T1624" s="30">
        <f t="shared" si="179"/>
        <v>0</v>
      </c>
      <c r="W1624" s="205" cm="1">
        <f t="array" ref="W1624">IF(9&lt;Controls!$B$7,INDEX(A1615:A1793,MATCH(Controls!$B$5,A1615:A1793,1)+9),"")</f>
        <v>46388</v>
      </c>
      <c r="X1624" cm="1">
        <f t="array" ref="X1624">IF(9&lt;Controls!$B$7,INDEX(F1615:F1793,MATCH(Controls!$B$5,A1615:A1793,1)+9),"")</f>
        <v>0</v>
      </c>
      <c r="Y1624" cm="1">
        <f t="array" ref="Y1624">IF(9&lt;Controls!$B$7,INDEX(G1615:G1793,MATCH(Controls!$B$5,A1615:A1793,1)+9),"")</f>
        <v>165</v>
      </c>
      <c r="Z1624" cm="1">
        <f t="array" ref="Z1624">IF(9&lt;Controls!$B$7,INDEX(H1615:H1793,MATCH(Controls!$B$5,A1615:A1793,1)+9),"")</f>
        <v>244.69</v>
      </c>
      <c r="AA1624" cm="1">
        <f t="array" aca="1" ref="AA1624" ca="1">IF(9&lt;Controls!$B$7,INDEX(M1615:M1793,MATCH(Controls!$B$5,A1615:A1793,1)+9)*INDEX(I1615:I1793,MATCH(Controls!$B$5,A1615:A1793,1)+9),"")</f>
        <v>154.88</v>
      </c>
      <c r="AB1624">
        <f t="shared" si="181"/>
        <v>116.16</v>
      </c>
    </row>
    <row r="1625" spans="1:28" ht="13" customHeight="1" x14ac:dyDescent="0.35">
      <c r="A1625" s="153">
        <v>46357</v>
      </c>
      <c r="B1625" s="36" t="s">
        <v>58</v>
      </c>
      <c r="C1625" s="15" t="s">
        <v>52</v>
      </c>
      <c r="D1625" s="15" t="s">
        <v>48</v>
      </c>
      <c r="E1625" s="30">
        <f>H1624</f>
        <v>79.69</v>
      </c>
      <c r="F1625" s="37">
        <f>IFERROR('Production Inputs'!$V$37*Dependencies!$D$19,0)</f>
        <v>0</v>
      </c>
      <c r="G1625" s="37">
        <f t="array" ref="G1625">IFERROR(SUMPRODUCT(('Production Inputs'!$A:$A="APT")*('Production Inputs'!$B:$B="TOTAL ACTIVE")*'Production Inputs'!$V:$V),0)</f>
        <v>0</v>
      </c>
      <c r="H1625" s="30">
        <f t="shared" si="175"/>
        <v>79.69</v>
      </c>
      <c r="I1625" s="30">
        <f ca="1">IFERROR(AVERAGEIF(OFFSET(F1625,0,0,MIN(Controls!$B$8,COUNTIF(B1625:B$1973,B1625)),1),"&gt;"&amp;0),0)</f>
        <v>38.72</v>
      </c>
      <c r="J1625" s="38">
        <f t="shared" ca="1" si="176"/>
        <v>2.0581095041322315</v>
      </c>
      <c r="K1625" s="30">
        <f t="shared" ca="1" si="180"/>
        <v>0</v>
      </c>
      <c r="L1625" t="str">
        <f t="shared" ca="1" si="177"/>
        <v>High</v>
      </c>
      <c r="M1625" s="39">
        <f>IFERROR(VLOOKUP("APT",Controls!A:I,7,0),6)</f>
        <v>4</v>
      </c>
      <c r="N1625" s="39">
        <f>IFERROR(VLOOKUP("APT",Controls!A:I,8,0),3)</f>
        <v>3</v>
      </c>
      <c r="O1625" s="39">
        <f>IFERROR(VLOOKUP("APT",Controls!A:I,9,0),18)</f>
        <v>12</v>
      </c>
      <c r="P1625" s="40">
        <f>IFERROR(VLOOKUP("APT",Controls!A:J,5,0),0)</f>
        <v>165</v>
      </c>
      <c r="Q1625" s="39">
        <f>IFERROR(VLOOKUP("APT",Controls!A:J,6,0),3)</f>
        <v>4</v>
      </c>
      <c r="R1625" s="21" t="str">
        <f>IFERROR(VLOOKUP("APT",Controls!A:K,10,0),"")</f>
        <v>ST Pharm</v>
      </c>
      <c r="S1625" s="41">
        <f t="shared" si="178"/>
        <v>46235</v>
      </c>
      <c r="T1625" s="30">
        <f t="shared" si="179"/>
        <v>0</v>
      </c>
      <c r="W1625" s="205" cm="1">
        <f t="array" ref="W1625">IF(10&lt;Controls!$B$7,INDEX(A1615:A1793,MATCH(Controls!$B$5,A1615:A1793,1)+10),"")</f>
        <v>46419</v>
      </c>
      <c r="X1625" cm="1">
        <f t="array" ref="X1625">IF(10&lt;Controls!$B$7,INDEX(F1615:F1793,MATCH(Controls!$B$5,A1615:A1793,1)+10),"")</f>
        <v>0</v>
      </c>
      <c r="Y1625" cm="1">
        <f t="array" ref="Y1625">IF(10&lt;Controls!$B$7,INDEX(G1615:G1793,MATCH(Controls!$B$5,A1615:A1793,1)+10),"")</f>
        <v>0</v>
      </c>
      <c r="Z1625" cm="1">
        <f t="array" ref="Z1625">IF(10&lt;Controls!$B$7,INDEX(H1615:H1793,MATCH(Controls!$B$5,A1615:A1793,1)+10),"")</f>
        <v>244.69</v>
      </c>
      <c r="AA1625" cm="1">
        <f t="array" aca="1" ref="AA1625" ca="1">IF(10&lt;Controls!$B$7,INDEX(M1615:M1793,MATCH(Controls!$B$5,A1615:A1793,1)+10)*INDEX(I1615:I1793,MATCH(Controls!$B$5,A1615:A1793,1)+10),"")</f>
        <v>154.88</v>
      </c>
      <c r="AB1625">
        <f t="shared" si="181"/>
        <v>116.16</v>
      </c>
    </row>
    <row r="1626" spans="1:28" ht="13" customHeight="1" x14ac:dyDescent="0.35">
      <c r="A1626" s="153">
        <v>46388</v>
      </c>
      <c r="B1626" s="36" t="s">
        <v>58</v>
      </c>
      <c r="C1626" s="15" t="s">
        <v>52</v>
      </c>
      <c r="D1626" s="15" t="s">
        <v>48</v>
      </c>
      <c r="E1626" s="30">
        <f>H1625</f>
        <v>79.69</v>
      </c>
      <c r="F1626" s="37">
        <f>IFERROR('Production Inputs'!$W$37*Dependencies!$D$19,0)</f>
        <v>0</v>
      </c>
      <c r="G1626" s="37">
        <f t="array" ref="G1626">IFERROR(SUMPRODUCT(('Production Inputs'!$A:$A="APT")*('Production Inputs'!$B:$B="TOTAL ACTIVE")*'Production Inputs'!$W:$W),0)</f>
        <v>165</v>
      </c>
      <c r="H1626" s="30">
        <f t="shared" si="175"/>
        <v>244.69</v>
      </c>
      <c r="I1626" s="30">
        <f ca="1">IFERROR(AVERAGEIF(OFFSET(F1626,0,0,MIN(Controls!$B$8,COUNTIF(B1626:B$1973,B1626)),1),"&gt;"&amp;0),0)</f>
        <v>38.72</v>
      </c>
      <c r="J1626" s="38">
        <f t="shared" ca="1" si="176"/>
        <v>6.3194731404958677</v>
      </c>
      <c r="K1626" s="30">
        <f t="shared" ca="1" si="180"/>
        <v>0</v>
      </c>
      <c r="L1626" t="str">
        <f t="shared" ca="1" si="177"/>
        <v>Low</v>
      </c>
      <c r="M1626" s="39">
        <f>IFERROR(VLOOKUP("APT",Controls!A:I,7,0),6)</f>
        <v>4</v>
      </c>
      <c r="N1626" s="39">
        <f>IFERROR(VLOOKUP("APT",Controls!A:I,8,0),3)</f>
        <v>3</v>
      </c>
      <c r="O1626" s="39">
        <f>IFERROR(VLOOKUP("APT",Controls!A:I,9,0),18)</f>
        <v>12</v>
      </c>
      <c r="P1626" s="40">
        <f>IFERROR(VLOOKUP("APT",Controls!A:J,5,0),0)</f>
        <v>165</v>
      </c>
      <c r="Q1626" s="39">
        <f>IFERROR(VLOOKUP("APT",Controls!A:J,6,0),3)</f>
        <v>4</v>
      </c>
      <c r="R1626" s="21" t="str">
        <f>IFERROR(VLOOKUP("APT",Controls!A:K,10,0),"")</f>
        <v>ST Pharm</v>
      </c>
      <c r="S1626" s="41">
        <f t="shared" si="178"/>
        <v>46266</v>
      </c>
      <c r="T1626" s="30">
        <f t="shared" si="179"/>
        <v>165</v>
      </c>
      <c r="W1626" s="205" cm="1">
        <f t="array" ref="W1626">IF(11&lt;Controls!$B$7,INDEX(A1615:A1793,MATCH(Controls!$B$5,A1615:A1793,1)+11),"")</f>
        <v>46447</v>
      </c>
      <c r="X1626" cm="1">
        <f t="array" ref="X1626">IF(11&lt;Controls!$B$7,INDEX(F1615:F1793,MATCH(Controls!$B$5,A1615:A1793,1)+11),"")</f>
        <v>0</v>
      </c>
      <c r="Y1626" cm="1">
        <f t="array" ref="Y1626">IF(11&lt;Controls!$B$7,INDEX(G1615:G1793,MATCH(Controls!$B$5,A1615:A1793,1)+11),"")</f>
        <v>0</v>
      </c>
      <c r="Z1626" cm="1">
        <f t="array" ref="Z1626">IF(11&lt;Controls!$B$7,INDEX(H1615:H1793,MATCH(Controls!$B$5,A1615:A1793,1)+11),"")</f>
        <v>244.69</v>
      </c>
      <c r="AA1626" cm="1">
        <f t="array" aca="1" ref="AA1626" ca="1">IF(11&lt;Controls!$B$7,INDEX(M1615:M1793,MATCH(Controls!$B$5,A1615:A1793,1)+11)*INDEX(I1615:I1793,MATCH(Controls!$B$5,A1615:A1793,1)+11),"")</f>
        <v>154.88</v>
      </c>
      <c r="AB1626">
        <f t="shared" si="181"/>
        <v>116.16</v>
      </c>
    </row>
    <row r="1627" spans="1:28" ht="13" customHeight="1" x14ac:dyDescent="0.35">
      <c r="A1627" s="153">
        <v>46419</v>
      </c>
      <c r="B1627" s="36" t="s">
        <v>58</v>
      </c>
      <c r="C1627" s="15" t="s">
        <v>52</v>
      </c>
      <c r="D1627" s="15" t="s">
        <v>48</v>
      </c>
      <c r="E1627" s="30">
        <f>H1626</f>
        <v>244.69</v>
      </c>
      <c r="F1627" s="37">
        <f>IFERROR('Production Inputs'!$X$37*Dependencies!$D$19,0)</f>
        <v>0</v>
      </c>
      <c r="G1627" s="37">
        <f t="array" ref="G1627">IFERROR(SUMPRODUCT(('Production Inputs'!$A:$A="APT")*('Production Inputs'!$B:$B="TOTAL ACTIVE")*'Production Inputs'!$X:$X),0)</f>
        <v>0</v>
      </c>
      <c r="H1627" s="30">
        <f t="shared" si="175"/>
        <v>244.69</v>
      </c>
      <c r="I1627" s="30">
        <f ca="1">IFERROR(AVERAGEIF(OFFSET(F1627,0,0,MIN(Controls!$B$8,COUNTIF(B1627:B$1973,B1627)),1),"&gt;"&amp;0),0)</f>
        <v>38.72</v>
      </c>
      <c r="J1627" s="38">
        <f t="shared" ca="1" si="176"/>
        <v>6.3194731404958677</v>
      </c>
      <c r="K1627" s="30">
        <f t="shared" ca="1" si="180"/>
        <v>0</v>
      </c>
      <c r="L1627" t="str">
        <f t="shared" ca="1" si="177"/>
        <v>Low</v>
      </c>
      <c r="M1627" s="39">
        <f>IFERROR(VLOOKUP("APT",Controls!A:I,7,0),6)</f>
        <v>4</v>
      </c>
      <c r="N1627" s="39">
        <f>IFERROR(VLOOKUP("APT",Controls!A:I,8,0),3)</f>
        <v>3</v>
      </c>
      <c r="O1627" s="39">
        <f>IFERROR(VLOOKUP("APT",Controls!A:I,9,0),18)</f>
        <v>12</v>
      </c>
      <c r="P1627" s="40">
        <f>IFERROR(VLOOKUP("APT",Controls!A:J,5,0),0)</f>
        <v>165</v>
      </c>
      <c r="Q1627" s="39">
        <f>IFERROR(VLOOKUP("APT",Controls!A:J,6,0),3)</f>
        <v>4</v>
      </c>
      <c r="R1627" s="21" t="str">
        <f>IFERROR(VLOOKUP("APT",Controls!A:K,10,0),"")</f>
        <v>ST Pharm</v>
      </c>
      <c r="S1627" s="41">
        <f t="shared" si="178"/>
        <v>46296</v>
      </c>
      <c r="T1627" s="30">
        <f t="shared" si="179"/>
        <v>0</v>
      </c>
      <c r="W1627" s="205" cm="1">
        <f t="array" ref="W1627">IF(12&lt;Controls!$B$7,INDEX(A1615:A1793,MATCH(Controls!$B$5,A1615:A1793,1)+12),"")</f>
        <v>46478</v>
      </c>
      <c r="X1627" cm="1">
        <f t="array" ref="X1627">IF(12&lt;Controls!$B$7,INDEX(F1615:F1793,MATCH(Controls!$B$5,A1615:A1793,1)+12),"")</f>
        <v>38.72</v>
      </c>
      <c r="Y1627" cm="1">
        <f t="array" ref="Y1627">IF(12&lt;Controls!$B$7,INDEX(G1615:G1793,MATCH(Controls!$B$5,A1615:A1793,1)+12),"")</f>
        <v>0</v>
      </c>
      <c r="Z1627" cm="1">
        <f t="array" ref="Z1627">IF(12&lt;Controls!$B$7,INDEX(H1615:H1793,MATCH(Controls!$B$5,A1615:A1793,1)+12),"")</f>
        <v>205.97</v>
      </c>
      <c r="AA1627" cm="1">
        <f t="array" aca="1" ref="AA1627" ca="1">IF(12&lt;Controls!$B$7,INDEX(M1615:M1793,MATCH(Controls!$B$5,A1615:A1793,1)+12)*INDEX(I1615:I1793,MATCH(Controls!$B$5,A1615:A1793,1)+12),"")</f>
        <v>154.88</v>
      </c>
      <c r="AB1627">
        <f t="shared" si="181"/>
        <v>116.16</v>
      </c>
    </row>
    <row r="1628" spans="1:28" ht="13" customHeight="1" x14ac:dyDescent="0.35">
      <c r="A1628" s="153">
        <v>46447</v>
      </c>
      <c r="B1628" s="36" t="s">
        <v>58</v>
      </c>
      <c r="C1628" s="15" t="s">
        <v>52</v>
      </c>
      <c r="D1628" s="15" t="s">
        <v>48</v>
      </c>
      <c r="E1628" s="30">
        <f>H1627</f>
        <v>244.69</v>
      </c>
      <c r="F1628" s="37">
        <f>IFERROR('Production Inputs'!$Y$37*Dependencies!$D$19,0)</f>
        <v>0</v>
      </c>
      <c r="G1628" s="37">
        <f t="array" ref="G1628">IFERROR(SUMPRODUCT(('Production Inputs'!$A:$A="APT")*('Production Inputs'!$B:$B="TOTAL ACTIVE")*'Production Inputs'!$Y:$Y),0)</f>
        <v>0</v>
      </c>
      <c r="H1628" s="30">
        <f t="shared" si="175"/>
        <v>244.69</v>
      </c>
      <c r="I1628" s="30">
        <f ca="1">IFERROR(AVERAGEIF(OFFSET(F1628,0,0,MIN(Controls!$B$8,COUNTIF(B1628:B$1973,B1628)),1),"&gt;"&amp;0),0)</f>
        <v>38.72</v>
      </c>
      <c r="J1628" s="38">
        <f t="shared" ca="1" si="176"/>
        <v>6.3194731404958677</v>
      </c>
      <c r="K1628" s="30">
        <f t="shared" ca="1" si="180"/>
        <v>0</v>
      </c>
      <c r="L1628" t="str">
        <f t="shared" ca="1" si="177"/>
        <v>Low</v>
      </c>
      <c r="M1628" s="39">
        <f>IFERROR(VLOOKUP("APT",Controls!A:I,7,0),6)</f>
        <v>4</v>
      </c>
      <c r="N1628" s="39">
        <f>IFERROR(VLOOKUP("APT",Controls!A:I,8,0),3)</f>
        <v>3</v>
      </c>
      <c r="O1628" s="39">
        <f>IFERROR(VLOOKUP("APT",Controls!A:I,9,0),18)</f>
        <v>12</v>
      </c>
      <c r="P1628" s="40">
        <f>IFERROR(VLOOKUP("APT",Controls!A:J,5,0),0)</f>
        <v>165</v>
      </c>
      <c r="Q1628" s="39">
        <f>IFERROR(VLOOKUP("APT",Controls!A:J,6,0),3)</f>
        <v>4</v>
      </c>
      <c r="R1628" s="21" t="str">
        <f>IFERROR(VLOOKUP("APT",Controls!A:K,10,0),"")</f>
        <v>ST Pharm</v>
      </c>
      <c r="S1628" s="41">
        <f t="shared" si="178"/>
        <v>46327</v>
      </c>
      <c r="T1628" s="30">
        <f t="shared" si="179"/>
        <v>0</v>
      </c>
      <c r="W1628" s="205" cm="1">
        <f t="array" ref="W1628">IF(13&lt;Controls!$B$7,INDEX(A1615:A1793,MATCH(Controls!$B$5,A1615:A1793,1)+13),"")</f>
        <v>46508</v>
      </c>
      <c r="X1628" cm="1">
        <f t="array" ref="X1628">IF(13&lt;Controls!$B$7,INDEX(F1615:F1793,MATCH(Controls!$B$5,A1615:A1793,1)+13),"")</f>
        <v>38.72</v>
      </c>
      <c r="Y1628" cm="1">
        <f t="array" ref="Y1628">IF(13&lt;Controls!$B$7,INDEX(G1615:G1793,MATCH(Controls!$B$5,A1615:A1793,1)+13),"")</f>
        <v>0</v>
      </c>
      <c r="Z1628" cm="1">
        <f t="array" ref="Z1628">IF(13&lt;Controls!$B$7,INDEX(H1615:H1793,MATCH(Controls!$B$5,A1615:A1793,1)+13),"")</f>
        <v>167.25</v>
      </c>
      <c r="AA1628" cm="1">
        <f t="array" aca="1" ref="AA1628" ca="1">IF(13&lt;Controls!$B$7,INDEX(M1615:M1793,MATCH(Controls!$B$5,A1615:A1793,1)+13)*INDEX(I1615:I1793,MATCH(Controls!$B$5,A1615:A1793,1)+13),"")</f>
        <v>154.88</v>
      </c>
      <c r="AB1628">
        <f t="shared" si="181"/>
        <v>116.16</v>
      </c>
    </row>
    <row r="1629" spans="1:28" ht="13" customHeight="1" x14ac:dyDescent="0.35">
      <c r="A1629" s="153">
        <v>46478</v>
      </c>
      <c r="B1629" s="36" t="s">
        <v>58</v>
      </c>
      <c r="C1629" s="15" t="s">
        <v>52</v>
      </c>
      <c r="D1629" s="15" t="s">
        <v>48</v>
      </c>
      <c r="E1629" s="30">
        <f>H1628</f>
        <v>244.69</v>
      </c>
      <c r="F1629" s="37">
        <f>IFERROR('Production Inputs'!$Z$37*Dependencies!$D$19,0)</f>
        <v>38.72</v>
      </c>
      <c r="G1629" s="37">
        <f t="array" ref="G1629">IFERROR(SUMPRODUCT(('Production Inputs'!$A:$A="APT")*('Production Inputs'!$B:$B="TOTAL ACTIVE")*'Production Inputs'!$Z:$Z),0)</f>
        <v>0</v>
      </c>
      <c r="H1629" s="30">
        <f t="shared" si="175"/>
        <v>205.97</v>
      </c>
      <c r="I1629" s="30">
        <f ca="1">IFERROR(AVERAGEIF(OFFSET(F1629,0,0,MIN(Controls!$B$8,COUNTIF(B1629:B$1973,B1629)),1),"&gt;"&amp;0),0)</f>
        <v>38.72</v>
      </c>
      <c r="J1629" s="38">
        <f t="shared" ca="1" si="176"/>
        <v>5.3194731404958677</v>
      </c>
      <c r="K1629" s="30">
        <f t="shared" ca="1" si="180"/>
        <v>0</v>
      </c>
      <c r="L1629" t="str">
        <f t="shared" ca="1" si="177"/>
        <v>Low</v>
      </c>
      <c r="M1629" s="39">
        <f>IFERROR(VLOOKUP("APT",Controls!A:I,7,0),6)</f>
        <v>4</v>
      </c>
      <c r="N1629" s="39">
        <f>IFERROR(VLOOKUP("APT",Controls!A:I,8,0),3)</f>
        <v>3</v>
      </c>
      <c r="O1629" s="39">
        <f>IFERROR(VLOOKUP("APT",Controls!A:I,9,0),18)</f>
        <v>12</v>
      </c>
      <c r="P1629" s="40">
        <f>IFERROR(VLOOKUP("APT",Controls!A:J,5,0),0)</f>
        <v>165</v>
      </c>
      <c r="Q1629" s="39">
        <f>IFERROR(VLOOKUP("APT",Controls!A:J,6,0),3)</f>
        <v>4</v>
      </c>
      <c r="R1629" s="21" t="str">
        <f>IFERROR(VLOOKUP("APT",Controls!A:K,10,0),"")</f>
        <v>ST Pharm</v>
      </c>
      <c r="S1629" s="41">
        <f t="shared" si="178"/>
        <v>46357</v>
      </c>
      <c r="T1629" s="30">
        <f t="shared" si="179"/>
        <v>0</v>
      </c>
      <c r="W1629" s="205" cm="1">
        <f t="array" ref="W1629">IF(14&lt;Controls!$B$7,INDEX(A1615:A1793,MATCH(Controls!$B$5,A1615:A1793,1)+14),"")</f>
        <v>46539</v>
      </c>
      <c r="X1629" cm="1">
        <f t="array" ref="X1629">IF(14&lt;Controls!$B$7,INDEX(F1615:F1793,MATCH(Controls!$B$5,A1615:A1793,1)+14),"")</f>
        <v>38.72</v>
      </c>
      <c r="Y1629" cm="1">
        <f t="array" ref="Y1629">IF(14&lt;Controls!$B$7,INDEX(G1615:G1793,MATCH(Controls!$B$5,A1615:A1793,1)+14),"")</f>
        <v>0</v>
      </c>
      <c r="Z1629" cm="1">
        <f t="array" ref="Z1629">IF(14&lt;Controls!$B$7,INDEX(H1615:H1793,MATCH(Controls!$B$5,A1615:A1793,1)+14),"")</f>
        <v>128.53</v>
      </c>
      <c r="AA1629" cm="1">
        <f t="array" aca="1" ref="AA1629" ca="1">IF(14&lt;Controls!$B$7,INDEX(M1615:M1793,MATCH(Controls!$B$5,A1615:A1793,1)+14)*INDEX(I1615:I1793,MATCH(Controls!$B$5,A1615:A1793,1)+14),"")</f>
        <v>154.88</v>
      </c>
      <c r="AB1629">
        <f t="shared" si="181"/>
        <v>154.88</v>
      </c>
    </row>
    <row r="1630" spans="1:28" ht="13" customHeight="1" x14ac:dyDescent="0.35">
      <c r="A1630" s="153">
        <v>46508</v>
      </c>
      <c r="B1630" s="36" t="s">
        <v>58</v>
      </c>
      <c r="C1630" s="15" t="s">
        <v>52</v>
      </c>
      <c r="D1630" s="15" t="s">
        <v>48</v>
      </c>
      <c r="E1630" s="30">
        <f>H1629</f>
        <v>205.97</v>
      </c>
      <c r="F1630" s="37">
        <f>IFERROR('Production Inputs'!$AA$37*Dependencies!$D$19,0)</f>
        <v>38.72</v>
      </c>
      <c r="G1630" s="37">
        <f t="array" ref="G1630">IFERROR(SUMPRODUCT(('Production Inputs'!$A:$A="APT")*('Production Inputs'!$B:$B="TOTAL ACTIVE")*'Production Inputs'!$AA:$AA),0)</f>
        <v>0</v>
      </c>
      <c r="H1630" s="30">
        <f t="shared" si="175"/>
        <v>167.25</v>
      </c>
      <c r="I1630" s="30">
        <f ca="1">IFERROR(AVERAGEIF(OFFSET(F1630,0,0,MIN(Controls!$B$8,COUNTIF(B1630:B$1973,B1630)),1),"&gt;"&amp;0),0)</f>
        <v>38.72</v>
      </c>
      <c r="J1630" s="38">
        <f t="shared" ca="1" si="176"/>
        <v>4.3194731404958677</v>
      </c>
      <c r="K1630" s="30">
        <f t="shared" ca="1" si="180"/>
        <v>0</v>
      </c>
      <c r="L1630" t="str">
        <f t="shared" ca="1" si="177"/>
        <v>Low</v>
      </c>
      <c r="M1630" s="39">
        <f>IFERROR(VLOOKUP("APT",Controls!A:I,7,0),6)</f>
        <v>4</v>
      </c>
      <c r="N1630" s="39">
        <f>IFERROR(VLOOKUP("APT",Controls!A:I,8,0),3)</f>
        <v>3</v>
      </c>
      <c r="O1630" s="39">
        <f>IFERROR(VLOOKUP("APT",Controls!A:I,9,0),18)</f>
        <v>12</v>
      </c>
      <c r="P1630" s="40">
        <f>IFERROR(VLOOKUP("APT",Controls!A:J,5,0),0)</f>
        <v>165</v>
      </c>
      <c r="Q1630" s="39">
        <f>IFERROR(VLOOKUP("APT",Controls!A:J,6,0),3)</f>
        <v>4</v>
      </c>
      <c r="R1630" s="21" t="str">
        <f>IFERROR(VLOOKUP("APT",Controls!A:K,10,0),"")</f>
        <v>ST Pharm</v>
      </c>
      <c r="S1630" s="41">
        <f t="shared" si="178"/>
        <v>46388</v>
      </c>
      <c r="T1630" s="30">
        <f t="shared" si="179"/>
        <v>0</v>
      </c>
      <c r="W1630" s="205" cm="1">
        <f t="array" ref="W1630">IF(15&lt;Controls!$B$7,INDEX(A1615:A1793,MATCH(Controls!$B$5,A1615:A1793,1)+15),"")</f>
        <v>46569</v>
      </c>
      <c r="X1630" cm="1">
        <f t="array" ref="X1630">IF(15&lt;Controls!$B$7,INDEX(F1615:F1793,MATCH(Controls!$B$5,A1615:A1793,1)+15),"")</f>
        <v>38.72</v>
      </c>
      <c r="Y1630" cm="1">
        <f t="array" ref="Y1630">IF(15&lt;Controls!$B$7,INDEX(G1615:G1793,MATCH(Controls!$B$5,A1615:A1793,1)+15),"")</f>
        <v>0</v>
      </c>
      <c r="Z1630" cm="1">
        <f t="array" ref="Z1630">IF(15&lt;Controls!$B$7,INDEX(H1615:H1793,MATCH(Controls!$B$5,A1615:A1793,1)+15),"")</f>
        <v>89.81</v>
      </c>
      <c r="AA1630" cm="1">
        <f t="array" aca="1" ref="AA1630" ca="1">IF(15&lt;Controls!$B$7,INDEX(M1615:M1793,MATCH(Controls!$B$5,A1615:A1793,1)+15)*INDEX(I1615:I1793,MATCH(Controls!$B$5,A1615:A1793,1)+15),"")</f>
        <v>154.88</v>
      </c>
      <c r="AB1630">
        <f t="shared" si="181"/>
        <v>193.6</v>
      </c>
    </row>
    <row r="1631" spans="1:28" ht="13" customHeight="1" x14ac:dyDescent="0.35">
      <c r="A1631" s="153">
        <v>46539</v>
      </c>
      <c r="B1631" s="36" t="s">
        <v>58</v>
      </c>
      <c r="C1631" s="15" t="s">
        <v>52</v>
      </c>
      <c r="D1631" s="15" t="s">
        <v>48</v>
      </c>
      <c r="E1631" s="30">
        <f>H1630</f>
        <v>167.25</v>
      </c>
      <c r="F1631" s="37">
        <f>IFERROR('Production Inputs'!$AB$37*Dependencies!$D$19,0)</f>
        <v>38.72</v>
      </c>
      <c r="G1631" s="37">
        <f t="array" ref="G1631">IFERROR(SUMPRODUCT(('Production Inputs'!$A:$A="APT")*('Production Inputs'!$B:$B="TOTAL ACTIVE")*'Production Inputs'!$AB:$AB),0)</f>
        <v>0</v>
      </c>
      <c r="H1631" s="30">
        <f t="shared" si="175"/>
        <v>128.53</v>
      </c>
      <c r="I1631" s="30">
        <f ca="1">IFERROR(AVERAGEIF(OFFSET(F1631,0,0,MIN(Controls!$B$8,COUNTIF(B1631:B$1973,B1631)),1),"&gt;"&amp;0),0)</f>
        <v>38.72</v>
      </c>
      <c r="J1631" s="38">
        <f t="shared" ca="1" si="176"/>
        <v>3.3194731404958677</v>
      </c>
      <c r="K1631" s="30">
        <f t="shared" ca="1" si="180"/>
        <v>0</v>
      </c>
      <c r="L1631" t="str">
        <f t="shared" ca="1" si="177"/>
        <v>Medium</v>
      </c>
      <c r="M1631" s="39">
        <f>IFERROR(VLOOKUP("APT",Controls!A:I,7,0),6)</f>
        <v>4</v>
      </c>
      <c r="N1631" s="39">
        <f>IFERROR(VLOOKUP("APT",Controls!A:I,8,0),3)</f>
        <v>3</v>
      </c>
      <c r="O1631" s="39">
        <f>IFERROR(VLOOKUP("APT",Controls!A:I,9,0),18)</f>
        <v>12</v>
      </c>
      <c r="P1631" s="40">
        <f>IFERROR(VLOOKUP("APT",Controls!A:J,5,0),0)</f>
        <v>165</v>
      </c>
      <c r="Q1631" s="39">
        <f>IFERROR(VLOOKUP("APT",Controls!A:J,6,0),3)</f>
        <v>4</v>
      </c>
      <c r="R1631" s="21" t="str">
        <f>IFERROR(VLOOKUP("APT",Controls!A:K,10,0),"")</f>
        <v>ST Pharm</v>
      </c>
      <c r="S1631" s="41">
        <f t="shared" si="178"/>
        <v>46419</v>
      </c>
      <c r="T1631" s="30">
        <f t="shared" si="179"/>
        <v>0</v>
      </c>
      <c r="W1631" s="205" cm="1">
        <f t="array" ref="W1631">IF(16&lt;Controls!$B$7,INDEX(A1615:A1793,MATCH(Controls!$B$5,A1615:A1793,1)+16),"")</f>
        <v>46600</v>
      </c>
      <c r="X1631" cm="1">
        <f t="array" ref="X1631">IF(16&lt;Controls!$B$7,INDEX(F1615:F1793,MATCH(Controls!$B$5,A1615:A1793,1)+16),"")</f>
        <v>0</v>
      </c>
      <c r="Y1631" cm="1">
        <f t="array" ref="Y1631">IF(16&lt;Controls!$B$7,INDEX(G1615:G1793,MATCH(Controls!$B$5,A1615:A1793,1)+16),"")</f>
        <v>0</v>
      </c>
      <c r="Z1631" cm="1">
        <f t="array" ref="Z1631">IF(16&lt;Controls!$B$7,INDEX(H1615:H1793,MATCH(Controls!$B$5,A1615:A1793,1)+16),"")</f>
        <v>89.81</v>
      </c>
      <c r="AA1631" cm="1">
        <f t="array" aca="1" ref="AA1631" ca="1">IF(16&lt;Controls!$B$7,INDEX(M1615:M1793,MATCH(Controls!$B$5,A1615:A1793,1)+16)*INDEX(I1615:I1793,MATCH(Controls!$B$5,A1615:A1793,1)+16),"")</f>
        <v>0</v>
      </c>
      <c r="AB1631">
        <f t="shared" si="181"/>
        <v>232.32</v>
      </c>
    </row>
    <row r="1632" spans="1:28" ht="13" customHeight="1" x14ac:dyDescent="0.35">
      <c r="A1632" s="153">
        <v>46569</v>
      </c>
      <c r="B1632" s="36" t="s">
        <v>58</v>
      </c>
      <c r="C1632" s="15" t="s">
        <v>52</v>
      </c>
      <c r="D1632" s="15" t="s">
        <v>48</v>
      </c>
      <c r="E1632" s="30">
        <f>H1631</f>
        <v>128.53</v>
      </c>
      <c r="F1632" s="37">
        <f>IFERROR('Production Inputs'!$AC$37*Dependencies!$D$19,0)</f>
        <v>38.72</v>
      </c>
      <c r="G1632" s="37">
        <f t="array" ref="G1632">IFERROR(SUMPRODUCT(('Production Inputs'!$A:$A="APT")*('Production Inputs'!$B:$B="TOTAL ACTIVE")*'Production Inputs'!$AC:$AC),0)</f>
        <v>0</v>
      </c>
      <c r="H1632" s="30">
        <f t="shared" si="175"/>
        <v>89.81</v>
      </c>
      <c r="I1632" s="30">
        <f ca="1">IFERROR(AVERAGEIF(OFFSET(F1632,0,0,MIN(Controls!$B$8,COUNTIF(B1632:B$1973,B1632)),1),"&gt;"&amp;0),0)</f>
        <v>38.72</v>
      </c>
      <c r="J1632" s="38">
        <f t="shared" ca="1" si="176"/>
        <v>2.3194731404958677</v>
      </c>
      <c r="K1632" s="30">
        <f t="shared" ca="1" si="180"/>
        <v>0</v>
      </c>
      <c r="L1632" t="str">
        <f t="shared" ca="1" si="177"/>
        <v>High</v>
      </c>
      <c r="M1632" s="39">
        <f>IFERROR(VLOOKUP("APT",Controls!A:I,7,0),6)</f>
        <v>4</v>
      </c>
      <c r="N1632" s="39">
        <f>IFERROR(VLOOKUP("APT",Controls!A:I,8,0),3)</f>
        <v>3</v>
      </c>
      <c r="O1632" s="39">
        <f>IFERROR(VLOOKUP("APT",Controls!A:I,9,0),18)</f>
        <v>12</v>
      </c>
      <c r="P1632" s="40">
        <f>IFERROR(VLOOKUP("APT",Controls!A:J,5,0),0)</f>
        <v>165</v>
      </c>
      <c r="Q1632" s="39">
        <f>IFERROR(VLOOKUP("APT",Controls!A:J,6,0),3)</f>
        <v>4</v>
      </c>
      <c r="R1632" s="21" t="str">
        <f>IFERROR(VLOOKUP("APT",Controls!A:K,10,0),"")</f>
        <v>ST Pharm</v>
      </c>
      <c r="S1632" s="41">
        <f t="shared" si="178"/>
        <v>46447</v>
      </c>
      <c r="T1632" s="30">
        <f t="shared" si="179"/>
        <v>0</v>
      </c>
      <c r="W1632" s="205" cm="1">
        <f t="array" ref="W1632">IF(17&lt;Controls!$B$7,INDEX(A1615:A1793,MATCH(Controls!$B$5,A1615:A1793,1)+17),"")</f>
        <v>46631</v>
      </c>
      <c r="X1632" cm="1">
        <f t="array" ref="X1632">IF(17&lt;Controls!$B$7,INDEX(F1615:F1793,MATCH(Controls!$B$5,A1615:A1793,1)+17),"")</f>
        <v>0</v>
      </c>
      <c r="Y1632" cm="1">
        <f t="array" ref="Y1632">IF(17&lt;Controls!$B$7,INDEX(G1615:G1793,MATCH(Controls!$B$5,A1615:A1793,1)+17),"")</f>
        <v>0</v>
      </c>
      <c r="Z1632" cm="1">
        <f t="array" ref="Z1632">IF(17&lt;Controls!$B$7,INDEX(H1615:H1793,MATCH(Controls!$B$5,A1615:A1793,1)+17),"")</f>
        <v>89.81</v>
      </c>
      <c r="AA1632" cm="1">
        <f t="array" aca="1" ref="AA1632" ca="1">IF(17&lt;Controls!$B$7,INDEX(M1615:M1793,MATCH(Controls!$B$5,A1615:A1793,1)+17)*INDEX(I1615:I1793,MATCH(Controls!$B$5,A1615:A1793,1)+17),"")</f>
        <v>0</v>
      </c>
      <c r="AB1632">
        <f t="shared" si="181"/>
        <v>271.03999999999996</v>
      </c>
    </row>
    <row r="1633" spans="1:28" ht="13" customHeight="1" x14ac:dyDescent="0.35">
      <c r="A1633" s="153">
        <v>46600</v>
      </c>
      <c r="B1633" s="36" t="s">
        <v>58</v>
      </c>
      <c r="C1633" s="15" t="s">
        <v>52</v>
      </c>
      <c r="D1633" s="15" t="s">
        <v>48</v>
      </c>
      <c r="E1633" s="30">
        <f>H1632</f>
        <v>89.81</v>
      </c>
      <c r="F1633" s="37">
        <f>IFERROR('Production Inputs'!$AD$37*Dependencies!$D$19,0)</f>
        <v>0</v>
      </c>
      <c r="G1633" s="37">
        <f t="array" ref="G1633">IFERROR(SUMPRODUCT(('Production Inputs'!$A:$A="APT")*('Production Inputs'!$B:$B="TOTAL ACTIVE")*'Production Inputs'!$AD:$AD),0)</f>
        <v>0</v>
      </c>
      <c r="H1633" s="30">
        <f t="shared" si="175"/>
        <v>89.81</v>
      </c>
      <c r="I1633" s="30">
        <f ca="1">IFERROR(AVERAGEIF(OFFSET(F1633,0,0,MIN(Controls!$B$8,COUNTIF(B1633:B$1973,B1633)),1),"&gt;"&amp;0),0)</f>
        <v>0</v>
      </c>
      <c r="J1633" s="38">
        <f t="shared" ca="1" si="176"/>
        <v>999</v>
      </c>
      <c r="K1633" s="30">
        <f t="shared" ca="1" si="180"/>
        <v>0</v>
      </c>
      <c r="L1633" t="str">
        <f t="shared" ca="1" si="177"/>
        <v>Overstock</v>
      </c>
      <c r="M1633" s="39">
        <f>IFERROR(VLOOKUP("APT",Controls!A:I,7,0),6)</f>
        <v>4</v>
      </c>
      <c r="N1633" s="39">
        <f>IFERROR(VLOOKUP("APT",Controls!A:I,8,0),3)</f>
        <v>3</v>
      </c>
      <c r="O1633" s="39">
        <f>IFERROR(VLOOKUP("APT",Controls!A:I,9,0),18)</f>
        <v>12</v>
      </c>
      <c r="P1633" s="40">
        <f>IFERROR(VLOOKUP("APT",Controls!A:J,5,0),0)</f>
        <v>165</v>
      </c>
      <c r="Q1633" s="39">
        <f>IFERROR(VLOOKUP("APT",Controls!A:J,6,0),3)</f>
        <v>4</v>
      </c>
      <c r="R1633" s="21" t="str">
        <f>IFERROR(VLOOKUP("APT",Controls!A:K,10,0),"")</f>
        <v>ST Pharm</v>
      </c>
      <c r="S1633" s="41">
        <f t="shared" si="178"/>
        <v>46478</v>
      </c>
      <c r="T1633" s="30">
        <f t="shared" si="179"/>
        <v>0</v>
      </c>
      <c r="W1633" s="205" t="str" cm="1">
        <f t="array" ref="W1633">IF(18&lt;Controls!$B$7,INDEX(A1615:A1793,MATCH(Controls!$B$5,A1615:A1793,1)+18),"")</f>
        <v/>
      </c>
      <c r="X1633" t="str" cm="1">
        <f t="array" ref="X1633">IF(18&lt;Controls!$B$7,INDEX(F1615:F1793,MATCH(Controls!$B$5,A1615:A1793,1)+18),"")</f>
        <v/>
      </c>
      <c r="Y1633" t="str" cm="1">
        <f t="array" ref="Y1633">IF(18&lt;Controls!$B$7,INDEX(G1615:G1793,MATCH(Controls!$B$5,A1615:A1793,1)+18),"")</f>
        <v/>
      </c>
      <c r="Z1633" t="str" cm="1">
        <f t="array" ref="Z1633">IF(18&lt;Controls!$B$7,INDEX(H1615:H1793,MATCH(Controls!$B$5,A1615:A1793,1)+18),"")</f>
        <v/>
      </c>
      <c r="AA1633" t="str" cm="1">
        <f t="array" ref="AA1633">IF(18&lt;Controls!$B$7,INDEX(M1615:M1793,MATCH(Controls!$B$5,A1615:A1793,1)+18)*INDEX(I1615:I1793,MATCH(Controls!$B$5,A1615:A1793,1)+18),"")</f>
        <v/>
      </c>
      <c r="AB1633">
        <f t="shared" si="181"/>
        <v>271.03999999999996</v>
      </c>
    </row>
    <row r="1634" spans="1:28" ht="13" customHeight="1" x14ac:dyDescent="0.35">
      <c r="A1634" s="153">
        <v>46631</v>
      </c>
      <c r="B1634" s="36" t="s">
        <v>58</v>
      </c>
      <c r="C1634" s="15" t="s">
        <v>52</v>
      </c>
      <c r="D1634" s="15" t="s">
        <v>48</v>
      </c>
      <c r="E1634" s="30">
        <f>H1633</f>
        <v>89.81</v>
      </c>
      <c r="F1634" s="37">
        <f>IFERROR('Production Inputs'!$AE$37*Dependencies!$D$19,0)</f>
        <v>0</v>
      </c>
      <c r="G1634" s="37">
        <f t="array" ref="G1634">IFERROR(SUMPRODUCT(('Production Inputs'!$A:$A="APT")*('Production Inputs'!$B:$B="TOTAL ACTIVE")*'Production Inputs'!$AE:$AE),0)</f>
        <v>0</v>
      </c>
      <c r="H1634" s="30">
        <f t="shared" si="175"/>
        <v>89.81</v>
      </c>
      <c r="I1634" s="30">
        <f ca="1">IFERROR(AVERAGEIF(OFFSET(F1634,0,0,MIN(Controls!$B$8,COUNTIF(B1634:B$1973,B1634)),1),"&gt;"&amp;0),0)</f>
        <v>0</v>
      </c>
      <c r="J1634" s="38">
        <f t="shared" ca="1" si="176"/>
        <v>999</v>
      </c>
      <c r="K1634" s="30">
        <f t="shared" ca="1" si="180"/>
        <v>0</v>
      </c>
      <c r="L1634" t="str">
        <f t="shared" ca="1" si="177"/>
        <v>Overstock</v>
      </c>
      <c r="M1634" s="39">
        <f>IFERROR(VLOOKUP("APT",Controls!A:I,7,0),6)</f>
        <v>4</v>
      </c>
      <c r="N1634" s="39">
        <f>IFERROR(VLOOKUP("APT",Controls!A:I,8,0),3)</f>
        <v>3</v>
      </c>
      <c r="O1634" s="39">
        <f>IFERROR(VLOOKUP("APT",Controls!A:I,9,0),18)</f>
        <v>12</v>
      </c>
      <c r="P1634" s="40">
        <f>IFERROR(VLOOKUP("APT",Controls!A:J,5,0),0)</f>
        <v>165</v>
      </c>
      <c r="Q1634" s="39">
        <f>IFERROR(VLOOKUP("APT",Controls!A:J,6,0),3)</f>
        <v>4</v>
      </c>
      <c r="R1634" s="21" t="str">
        <f>IFERROR(VLOOKUP("APT",Controls!A:K,10,0),"")</f>
        <v>ST Pharm</v>
      </c>
      <c r="S1634" s="41">
        <f t="shared" si="178"/>
        <v>46508</v>
      </c>
      <c r="T1634" s="30">
        <f t="shared" si="179"/>
        <v>0</v>
      </c>
      <c r="W1634" s="205" t="str" cm="1">
        <f t="array" ref="W1634">IF(19&lt;Controls!$B$7,INDEX(A1615:A1793,MATCH(Controls!$B$5,A1615:A1793,1)+19),"")</f>
        <v/>
      </c>
      <c r="X1634" t="str" cm="1">
        <f t="array" ref="X1634">IF(19&lt;Controls!$B$7,INDEX(F1615:F1793,MATCH(Controls!$B$5,A1615:A1793,1)+19),"")</f>
        <v/>
      </c>
      <c r="Y1634" t="str" cm="1">
        <f t="array" ref="Y1634">IF(19&lt;Controls!$B$7,INDEX(G1615:G1793,MATCH(Controls!$B$5,A1615:A1793,1)+19),"")</f>
        <v/>
      </c>
      <c r="Z1634" t="str" cm="1">
        <f t="array" ref="Z1634">IF(19&lt;Controls!$B$7,INDEX(H1615:H1793,MATCH(Controls!$B$5,A1615:A1793,1)+19),"")</f>
        <v/>
      </c>
      <c r="AA1634" t="str" cm="1">
        <f t="array" ref="AA1634">IF(19&lt;Controls!$B$7,INDEX(M1615:M1793,MATCH(Controls!$B$5,A1615:A1793,1)+19)*INDEX(I1615:I1793,MATCH(Controls!$B$5,A1615:A1793,1)+19),"")</f>
        <v/>
      </c>
      <c r="AB1634">
        <f t="shared" si="181"/>
        <v>271.03999999999996</v>
      </c>
    </row>
    <row r="1635" spans="1:28" ht="13" customHeight="1" x14ac:dyDescent="0.35">
      <c r="A1635" s="153">
        <v>46661</v>
      </c>
      <c r="B1635" s="36" t="s">
        <v>58</v>
      </c>
      <c r="C1635" s="15" t="s">
        <v>52</v>
      </c>
      <c r="D1635" s="15" t="s">
        <v>48</v>
      </c>
      <c r="E1635" s="30">
        <f>H1634</f>
        <v>89.81</v>
      </c>
      <c r="F1635" s="37">
        <f>IFERROR('Production Inputs'!$AF$37*Dependencies!$D$19,0)</f>
        <v>0</v>
      </c>
      <c r="G1635" s="37">
        <f t="array" ref="G1635">IFERROR(SUMPRODUCT(('Production Inputs'!$A:$A="APT")*('Production Inputs'!$B:$B="TOTAL ACTIVE")*'Production Inputs'!$AF:$AF),0)</f>
        <v>0</v>
      </c>
      <c r="H1635" s="30">
        <f t="shared" si="175"/>
        <v>89.81</v>
      </c>
      <c r="I1635" s="30">
        <f ca="1">IFERROR(AVERAGEIF(OFFSET(F1635,0,0,MIN(Controls!$B$8,COUNTIF(B1635:B$1973,B1635)),1),"&gt;"&amp;0),0)</f>
        <v>0</v>
      </c>
      <c r="J1635" s="38">
        <f t="shared" ca="1" si="176"/>
        <v>999</v>
      </c>
      <c r="K1635" s="30">
        <f t="shared" ca="1" si="180"/>
        <v>0</v>
      </c>
      <c r="L1635" t="str">
        <f t="shared" ca="1" si="177"/>
        <v>Overstock</v>
      </c>
      <c r="M1635" s="39">
        <f>IFERROR(VLOOKUP("APT",Controls!A:I,7,0),6)</f>
        <v>4</v>
      </c>
      <c r="N1635" s="39">
        <f>IFERROR(VLOOKUP("APT",Controls!A:I,8,0),3)</f>
        <v>3</v>
      </c>
      <c r="O1635" s="39">
        <f>IFERROR(VLOOKUP("APT",Controls!A:I,9,0),18)</f>
        <v>12</v>
      </c>
      <c r="P1635" s="40">
        <f>IFERROR(VLOOKUP("APT",Controls!A:J,5,0),0)</f>
        <v>165</v>
      </c>
      <c r="Q1635" s="39">
        <f>IFERROR(VLOOKUP("APT",Controls!A:J,6,0),3)</f>
        <v>4</v>
      </c>
      <c r="R1635" s="21" t="str">
        <f>IFERROR(VLOOKUP("APT",Controls!A:K,10,0),"")</f>
        <v>ST Pharm</v>
      </c>
      <c r="S1635" s="41">
        <f t="shared" si="178"/>
        <v>46539</v>
      </c>
      <c r="T1635" s="30">
        <f t="shared" si="179"/>
        <v>0</v>
      </c>
      <c r="W1635" s="205" t="str" cm="1">
        <f t="array" ref="W1635">IF(20&lt;Controls!$B$7,INDEX(A1615:A1793,MATCH(Controls!$B$5,A1615:A1793,1)+20),"")</f>
        <v/>
      </c>
      <c r="X1635" t="str" cm="1">
        <f t="array" ref="X1635">IF(20&lt;Controls!$B$7,INDEX(F1615:F1793,MATCH(Controls!$B$5,A1615:A1793,1)+20),"")</f>
        <v/>
      </c>
      <c r="Y1635" t="str" cm="1">
        <f t="array" ref="Y1635">IF(20&lt;Controls!$B$7,INDEX(G1615:G1793,MATCH(Controls!$B$5,A1615:A1793,1)+20),"")</f>
        <v/>
      </c>
      <c r="Z1635" t="str" cm="1">
        <f t="array" ref="Z1635">IF(20&lt;Controls!$B$7,INDEX(H1615:H1793,MATCH(Controls!$B$5,A1615:A1793,1)+20),"")</f>
        <v/>
      </c>
      <c r="AA1635" t="str" cm="1">
        <f t="array" ref="AA1635">IF(20&lt;Controls!$B$7,INDEX(M1615:M1793,MATCH(Controls!$B$5,A1615:A1793,1)+20)*INDEX(I1615:I1793,MATCH(Controls!$B$5,A1615:A1793,1)+20),"")</f>
        <v/>
      </c>
      <c r="AB1635">
        <f t="shared" si="181"/>
        <v>271.03999999999996</v>
      </c>
    </row>
    <row r="1636" spans="1:28" ht="13" customHeight="1" x14ac:dyDescent="0.35">
      <c r="A1636" s="153">
        <v>46692</v>
      </c>
      <c r="B1636" s="36" t="s">
        <v>58</v>
      </c>
      <c r="C1636" s="15" t="s">
        <v>52</v>
      </c>
      <c r="D1636" s="15" t="s">
        <v>48</v>
      </c>
      <c r="E1636" s="30">
        <f>H1635</f>
        <v>89.81</v>
      </c>
      <c r="F1636" s="37">
        <f>IFERROR('Production Inputs'!$AG$37*Dependencies!$D$19,0)</f>
        <v>0</v>
      </c>
      <c r="G1636" s="37">
        <f t="array" ref="G1636">IFERROR(SUMPRODUCT(('Production Inputs'!$A:$A="APT")*('Production Inputs'!$B:$B="TOTAL ACTIVE")*'Production Inputs'!$AG:$AG),0)</f>
        <v>0</v>
      </c>
      <c r="H1636" s="30">
        <f t="shared" si="175"/>
        <v>89.81</v>
      </c>
      <c r="I1636" s="30">
        <f ca="1">IFERROR(AVERAGEIF(OFFSET(F1636,0,0,MIN(Controls!$B$8,COUNTIF(B1636:B$1973,B1636)),1),"&gt;"&amp;0),0)</f>
        <v>0</v>
      </c>
      <c r="J1636" s="38">
        <f t="shared" ca="1" si="176"/>
        <v>999</v>
      </c>
      <c r="K1636" s="30">
        <f t="shared" ca="1" si="180"/>
        <v>0</v>
      </c>
      <c r="L1636" t="str">
        <f t="shared" ca="1" si="177"/>
        <v>Overstock</v>
      </c>
      <c r="M1636" s="39">
        <f>IFERROR(VLOOKUP("APT",Controls!A:I,7,0),6)</f>
        <v>4</v>
      </c>
      <c r="N1636" s="39">
        <f>IFERROR(VLOOKUP("APT",Controls!A:I,8,0),3)</f>
        <v>3</v>
      </c>
      <c r="O1636" s="39">
        <f>IFERROR(VLOOKUP("APT",Controls!A:I,9,0),18)</f>
        <v>12</v>
      </c>
      <c r="P1636" s="40">
        <f>IFERROR(VLOOKUP("APT",Controls!A:J,5,0),0)</f>
        <v>165</v>
      </c>
      <c r="Q1636" s="39">
        <f>IFERROR(VLOOKUP("APT",Controls!A:J,6,0),3)</f>
        <v>4</v>
      </c>
      <c r="R1636" s="21" t="str">
        <f>IFERROR(VLOOKUP("APT",Controls!A:K,10,0),"")</f>
        <v>ST Pharm</v>
      </c>
      <c r="S1636" s="41">
        <f t="shared" si="178"/>
        <v>46569</v>
      </c>
      <c r="T1636" s="30">
        <f t="shared" si="179"/>
        <v>0</v>
      </c>
      <c r="W1636" s="205" t="str" cm="1">
        <f t="array" ref="W1636">IF(21&lt;Controls!$B$7,INDEX(A1615:A1793,MATCH(Controls!$B$5,A1615:A1793,1)+21),"")</f>
        <v/>
      </c>
      <c r="X1636" t="str" cm="1">
        <f t="array" ref="X1636">IF(21&lt;Controls!$B$7,INDEX(F1615:F1793,MATCH(Controls!$B$5,A1615:A1793,1)+21),"")</f>
        <v/>
      </c>
      <c r="Y1636" t="str" cm="1">
        <f t="array" ref="Y1636">IF(21&lt;Controls!$B$7,INDEX(G1615:G1793,MATCH(Controls!$B$5,A1615:A1793,1)+21),"")</f>
        <v/>
      </c>
      <c r="Z1636" t="str" cm="1">
        <f t="array" ref="Z1636">IF(21&lt;Controls!$B$7,INDEX(H1615:H1793,MATCH(Controls!$B$5,A1615:A1793,1)+21),"")</f>
        <v/>
      </c>
      <c r="AA1636" t="str" cm="1">
        <f t="array" ref="AA1636">IF(21&lt;Controls!$B$7,INDEX(M1615:M1793,MATCH(Controls!$B$5,A1615:A1793,1)+21)*INDEX(I1615:I1793,MATCH(Controls!$B$5,A1615:A1793,1)+21),"")</f>
        <v/>
      </c>
      <c r="AB1636">
        <f t="shared" si="181"/>
        <v>271.03999999999996</v>
      </c>
    </row>
    <row r="1637" spans="1:28" ht="13" customHeight="1" x14ac:dyDescent="0.35">
      <c r="A1637" s="153">
        <v>46722</v>
      </c>
      <c r="B1637" s="36" t="s">
        <v>58</v>
      </c>
      <c r="C1637" s="15" t="s">
        <v>52</v>
      </c>
      <c r="D1637" s="15" t="s">
        <v>48</v>
      </c>
      <c r="E1637" s="30">
        <f>H1636</f>
        <v>89.81</v>
      </c>
      <c r="F1637" s="37">
        <f>IFERROR('Production Inputs'!$AH$37*Dependencies!$D$19,0)</f>
        <v>0</v>
      </c>
      <c r="G1637" s="37">
        <f t="array" ref="G1637">IFERROR(SUMPRODUCT(('Production Inputs'!$A:$A="APT")*('Production Inputs'!$B:$B="TOTAL ACTIVE")*'Production Inputs'!$AH:$AH),0)</f>
        <v>0</v>
      </c>
      <c r="H1637" s="30">
        <f t="shared" si="175"/>
        <v>89.81</v>
      </c>
      <c r="I1637" s="30">
        <f ca="1">IFERROR(AVERAGEIF(OFFSET(F1637,0,0,MIN(Controls!$B$8,COUNTIF(B1637:B$1973,B1637)),1),"&gt;"&amp;0),0)</f>
        <v>0</v>
      </c>
      <c r="J1637" s="38">
        <f t="shared" ca="1" si="176"/>
        <v>999</v>
      </c>
      <c r="K1637" s="30">
        <f t="shared" ca="1" si="180"/>
        <v>0</v>
      </c>
      <c r="L1637" t="str">
        <f t="shared" ca="1" si="177"/>
        <v>Overstock</v>
      </c>
      <c r="M1637" s="39">
        <f>IFERROR(VLOOKUP("APT",Controls!A:I,7,0),6)</f>
        <v>4</v>
      </c>
      <c r="N1637" s="39">
        <f>IFERROR(VLOOKUP("APT",Controls!A:I,8,0),3)</f>
        <v>3</v>
      </c>
      <c r="O1637" s="39">
        <f>IFERROR(VLOOKUP("APT",Controls!A:I,9,0),18)</f>
        <v>12</v>
      </c>
      <c r="P1637" s="40">
        <f>IFERROR(VLOOKUP("APT",Controls!A:J,5,0),0)</f>
        <v>165</v>
      </c>
      <c r="Q1637" s="39">
        <f>IFERROR(VLOOKUP("APT",Controls!A:J,6,0),3)</f>
        <v>4</v>
      </c>
      <c r="R1637" s="21" t="str">
        <f>IFERROR(VLOOKUP("APT",Controls!A:K,10,0),"")</f>
        <v>ST Pharm</v>
      </c>
      <c r="S1637" s="41">
        <f t="shared" si="178"/>
        <v>46600</v>
      </c>
      <c r="T1637" s="30">
        <f t="shared" si="179"/>
        <v>0</v>
      </c>
      <c r="W1637" s="205" t="str" cm="1">
        <f t="array" ref="W1637">IF(22&lt;Controls!$B$7,INDEX(A1615:A1793,MATCH(Controls!$B$5,A1615:A1793,1)+22),"")</f>
        <v/>
      </c>
      <c r="X1637" t="str" cm="1">
        <f t="array" ref="X1637">IF(22&lt;Controls!$B$7,INDEX(F1615:F1793,MATCH(Controls!$B$5,A1615:A1793,1)+22),"")</f>
        <v/>
      </c>
      <c r="Y1637" t="str" cm="1">
        <f t="array" ref="Y1637">IF(22&lt;Controls!$B$7,INDEX(G1615:G1793,MATCH(Controls!$B$5,A1615:A1793,1)+22),"")</f>
        <v/>
      </c>
      <c r="Z1637" t="str" cm="1">
        <f t="array" ref="Z1637">IF(22&lt;Controls!$B$7,INDEX(H1615:H1793,MATCH(Controls!$B$5,A1615:A1793,1)+22),"")</f>
        <v/>
      </c>
      <c r="AA1637" t="str" cm="1">
        <f t="array" ref="AA1637">IF(22&lt;Controls!$B$7,INDEX(M1615:M1793,MATCH(Controls!$B$5,A1615:A1793,1)+22)*INDEX(I1615:I1793,MATCH(Controls!$B$5,A1615:A1793,1)+22),"")</f>
        <v/>
      </c>
      <c r="AB1637">
        <f t="shared" si="181"/>
        <v>271.03999999999996</v>
      </c>
    </row>
    <row r="1638" spans="1:28" ht="13" customHeight="1" x14ac:dyDescent="0.35">
      <c r="A1638" s="153">
        <v>46753</v>
      </c>
      <c r="B1638" s="36" t="s">
        <v>58</v>
      </c>
      <c r="C1638" s="15" t="s">
        <v>52</v>
      </c>
      <c r="D1638" s="15" t="s">
        <v>48</v>
      </c>
      <c r="E1638" s="30">
        <f>H1637</f>
        <v>89.81</v>
      </c>
      <c r="F1638" s="37">
        <f>IFERROR('Production Inputs'!$AI$37*Dependencies!$D$19,0)</f>
        <v>0</v>
      </c>
      <c r="G1638" s="37">
        <f t="array" ref="G1638">IFERROR(SUMPRODUCT(('Production Inputs'!$A:$A="APT")*('Production Inputs'!$B:$B="TOTAL ACTIVE")*'Production Inputs'!$AI:$AI),0)</f>
        <v>0</v>
      </c>
      <c r="H1638" s="30">
        <f t="shared" si="175"/>
        <v>89.81</v>
      </c>
      <c r="I1638" s="30">
        <f ca="1">IFERROR(AVERAGEIF(OFFSET(F1638,0,0,MIN(Controls!$B$8,COUNTIF(B1638:B$1973,B1638)),1),"&gt;"&amp;0),0)</f>
        <v>0</v>
      </c>
      <c r="J1638" s="38">
        <f t="shared" ca="1" si="176"/>
        <v>999</v>
      </c>
      <c r="K1638" s="30">
        <f t="shared" ca="1" si="180"/>
        <v>0</v>
      </c>
      <c r="L1638" t="str">
        <f t="shared" ca="1" si="177"/>
        <v>Overstock</v>
      </c>
      <c r="M1638" s="39">
        <f>IFERROR(VLOOKUP("APT",Controls!A:I,7,0),6)</f>
        <v>4</v>
      </c>
      <c r="N1638" s="39">
        <f>IFERROR(VLOOKUP("APT",Controls!A:I,8,0),3)</f>
        <v>3</v>
      </c>
      <c r="O1638" s="39">
        <f>IFERROR(VLOOKUP("APT",Controls!A:I,9,0),18)</f>
        <v>12</v>
      </c>
      <c r="P1638" s="40">
        <f>IFERROR(VLOOKUP("APT",Controls!A:J,5,0),0)</f>
        <v>165</v>
      </c>
      <c r="Q1638" s="39">
        <f>IFERROR(VLOOKUP("APT",Controls!A:J,6,0),3)</f>
        <v>4</v>
      </c>
      <c r="R1638" s="21" t="str">
        <f>IFERROR(VLOOKUP("APT",Controls!A:K,10,0),"")</f>
        <v>ST Pharm</v>
      </c>
      <c r="S1638" s="41">
        <f t="shared" si="178"/>
        <v>46631</v>
      </c>
      <c r="T1638" s="30">
        <f t="shared" si="179"/>
        <v>0</v>
      </c>
      <c r="W1638" s="205" t="str" cm="1">
        <f t="array" ref="W1638">IF(23&lt;Controls!$B$7,INDEX(A1615:A1793,MATCH(Controls!$B$5,A1615:A1793,1)+23),"")</f>
        <v/>
      </c>
      <c r="X1638" t="str" cm="1">
        <f t="array" ref="X1638">IF(23&lt;Controls!$B$7,INDEX(F1615:F1793,MATCH(Controls!$B$5,A1615:A1793,1)+23),"")</f>
        <v/>
      </c>
      <c r="Y1638" t="str" cm="1">
        <f t="array" ref="Y1638">IF(23&lt;Controls!$B$7,INDEX(G1615:G1793,MATCH(Controls!$B$5,A1615:A1793,1)+23),"")</f>
        <v/>
      </c>
      <c r="Z1638" t="str" cm="1">
        <f t="array" ref="Z1638">IF(23&lt;Controls!$B$7,INDEX(H1615:H1793,MATCH(Controls!$B$5,A1615:A1793,1)+23),"")</f>
        <v/>
      </c>
      <c r="AA1638" t="str" cm="1">
        <f t="array" ref="AA1638">IF(23&lt;Controls!$B$7,INDEX(M1615:M1793,MATCH(Controls!$B$5,A1615:A1793,1)+23)*INDEX(I1615:I1793,MATCH(Controls!$B$5,A1615:A1793,1)+23),"")</f>
        <v/>
      </c>
      <c r="AB1638">
        <f t="shared" si="181"/>
        <v>271.03999999999996</v>
      </c>
    </row>
    <row r="1639" spans="1:28" ht="13" customHeight="1" x14ac:dyDescent="0.35">
      <c r="A1639" s="153">
        <v>46784</v>
      </c>
      <c r="B1639" s="36" t="s">
        <v>58</v>
      </c>
      <c r="C1639" s="15" t="s">
        <v>52</v>
      </c>
      <c r="D1639" s="15" t="s">
        <v>48</v>
      </c>
      <c r="E1639" s="30">
        <f>H1638</f>
        <v>89.81</v>
      </c>
      <c r="F1639" s="37">
        <f>IFERROR('Production Inputs'!$AJ$37*Dependencies!$D$19,0)</f>
        <v>0</v>
      </c>
      <c r="G1639" s="37">
        <f t="array" ref="G1639">IFERROR(SUMPRODUCT(('Production Inputs'!$A:$A="APT")*('Production Inputs'!$B:$B="TOTAL ACTIVE")*'Production Inputs'!$AJ:$AJ),0)</f>
        <v>0</v>
      </c>
      <c r="H1639" s="30">
        <f t="shared" si="175"/>
        <v>89.81</v>
      </c>
      <c r="I1639" s="30">
        <f ca="1">IFERROR(AVERAGEIF(OFFSET(F1639,0,0,MIN(Controls!$B$8,COUNTIF(B1639:B$1973,B1639)),1),"&gt;"&amp;0),0)</f>
        <v>0</v>
      </c>
      <c r="J1639" s="38">
        <f t="shared" ca="1" si="176"/>
        <v>999</v>
      </c>
      <c r="K1639" s="30">
        <f t="shared" ca="1" si="180"/>
        <v>0</v>
      </c>
      <c r="L1639" t="str">
        <f t="shared" ca="1" si="177"/>
        <v>Overstock</v>
      </c>
      <c r="M1639" s="39">
        <f>IFERROR(VLOOKUP("APT",Controls!A:I,7,0),6)</f>
        <v>4</v>
      </c>
      <c r="N1639" s="39">
        <f>IFERROR(VLOOKUP("APT",Controls!A:I,8,0),3)</f>
        <v>3</v>
      </c>
      <c r="O1639" s="39">
        <f>IFERROR(VLOOKUP("APT",Controls!A:I,9,0),18)</f>
        <v>12</v>
      </c>
      <c r="P1639" s="40">
        <f>IFERROR(VLOOKUP("APT",Controls!A:J,5,0),0)</f>
        <v>165</v>
      </c>
      <c r="Q1639" s="39">
        <f>IFERROR(VLOOKUP("APT",Controls!A:J,6,0),3)</f>
        <v>4</v>
      </c>
      <c r="R1639" s="21" t="str">
        <f>IFERROR(VLOOKUP("APT",Controls!A:K,10,0),"")</f>
        <v>ST Pharm</v>
      </c>
      <c r="S1639" s="41">
        <f t="shared" si="178"/>
        <v>46661</v>
      </c>
      <c r="T1639" s="30">
        <f t="shared" si="179"/>
        <v>0</v>
      </c>
      <c r="W1639" s="205" t="str" cm="1">
        <f t="array" ref="W1639">IF(24&lt;Controls!$B$7,INDEX(A1615:A1793,MATCH(Controls!$B$5,A1615:A1793,1)+24),"")</f>
        <v/>
      </c>
      <c r="X1639" t="str" cm="1">
        <f t="array" ref="X1639">IF(24&lt;Controls!$B$7,INDEX(F1615:F1793,MATCH(Controls!$B$5,A1615:A1793,1)+24),"")</f>
        <v/>
      </c>
      <c r="Y1639" t="str" cm="1">
        <f t="array" ref="Y1639">IF(24&lt;Controls!$B$7,INDEX(G1615:G1793,MATCH(Controls!$B$5,A1615:A1793,1)+24),"")</f>
        <v/>
      </c>
      <c r="Z1639" t="str" cm="1">
        <f t="array" ref="Z1639">IF(24&lt;Controls!$B$7,INDEX(H1615:H1793,MATCH(Controls!$B$5,A1615:A1793,1)+24),"")</f>
        <v/>
      </c>
      <c r="AA1639" t="str" cm="1">
        <f t="array" ref="AA1639">IF(24&lt;Controls!$B$7,INDEX(M1615:M1793,MATCH(Controls!$B$5,A1615:A1793,1)+24)*INDEX(I1615:I1793,MATCH(Controls!$B$5,A1615:A1793,1)+24),"")</f>
        <v/>
      </c>
      <c r="AB1639">
        <f t="shared" si="181"/>
        <v>271.03999999999996</v>
      </c>
    </row>
    <row r="1640" spans="1:28" ht="13" customHeight="1" x14ac:dyDescent="0.35">
      <c r="A1640" s="153">
        <v>46813</v>
      </c>
      <c r="B1640" s="36" t="s">
        <v>58</v>
      </c>
      <c r="C1640" s="15" t="s">
        <v>52</v>
      </c>
      <c r="D1640" s="15" t="s">
        <v>48</v>
      </c>
      <c r="E1640" s="30">
        <f>H1639</f>
        <v>89.81</v>
      </c>
      <c r="F1640" s="37">
        <f>IFERROR('Production Inputs'!$AK$37*Dependencies!$D$19,0)</f>
        <v>0</v>
      </c>
      <c r="G1640" s="37">
        <f t="array" ref="G1640">IFERROR(SUMPRODUCT(('Production Inputs'!$A:$A="APT")*('Production Inputs'!$B:$B="TOTAL ACTIVE")*'Production Inputs'!$AK:$AK),0)</f>
        <v>0</v>
      </c>
      <c r="H1640" s="30">
        <f t="shared" si="175"/>
        <v>89.81</v>
      </c>
      <c r="I1640" s="30">
        <f ca="1">IFERROR(AVERAGEIF(OFFSET(F1640,0,0,MIN(Controls!$B$8,COUNTIF(B1640:B$1973,B1640)),1),"&gt;"&amp;0),0)</f>
        <v>0</v>
      </c>
      <c r="J1640" s="38">
        <f t="shared" ca="1" si="176"/>
        <v>999</v>
      </c>
      <c r="K1640" s="30">
        <f t="shared" ca="1" si="180"/>
        <v>0</v>
      </c>
      <c r="L1640" t="str">
        <f t="shared" ca="1" si="177"/>
        <v>Overstock</v>
      </c>
      <c r="M1640" s="39">
        <f>IFERROR(VLOOKUP("APT",Controls!A:I,7,0),6)</f>
        <v>4</v>
      </c>
      <c r="N1640" s="39">
        <f>IFERROR(VLOOKUP("APT",Controls!A:I,8,0),3)</f>
        <v>3</v>
      </c>
      <c r="O1640" s="39">
        <f>IFERROR(VLOOKUP("APT",Controls!A:I,9,0),18)</f>
        <v>12</v>
      </c>
      <c r="P1640" s="40">
        <f>IFERROR(VLOOKUP("APT",Controls!A:J,5,0),0)</f>
        <v>165</v>
      </c>
      <c r="Q1640" s="39">
        <f>IFERROR(VLOOKUP("APT",Controls!A:J,6,0),3)</f>
        <v>4</v>
      </c>
      <c r="R1640" s="21" t="str">
        <f>IFERROR(VLOOKUP("APT",Controls!A:K,10,0),"")</f>
        <v>ST Pharm</v>
      </c>
      <c r="S1640" s="41">
        <f t="shared" si="178"/>
        <v>46692</v>
      </c>
      <c r="T1640" s="30">
        <f t="shared" si="179"/>
        <v>0</v>
      </c>
      <c r="W1640" s="205" t="str" cm="1">
        <f t="array" ref="W1640">IF(25&lt;Controls!$B$7,INDEX(A1615:A1793,MATCH(Controls!$B$5,A1615:A1793,1)+25),"")</f>
        <v/>
      </c>
      <c r="X1640" t="str" cm="1">
        <f t="array" ref="X1640">IF(25&lt;Controls!$B$7,INDEX(F1615:F1793,MATCH(Controls!$B$5,A1615:A1793,1)+25),"")</f>
        <v/>
      </c>
      <c r="Y1640" t="str" cm="1">
        <f t="array" ref="Y1640">IF(25&lt;Controls!$B$7,INDEX(G1615:G1793,MATCH(Controls!$B$5,A1615:A1793,1)+25),"")</f>
        <v/>
      </c>
      <c r="Z1640" t="str" cm="1">
        <f t="array" ref="Z1640">IF(25&lt;Controls!$B$7,INDEX(H1615:H1793,MATCH(Controls!$B$5,A1615:A1793,1)+25),"")</f>
        <v/>
      </c>
      <c r="AA1640" t="str" cm="1">
        <f t="array" ref="AA1640">IF(25&lt;Controls!$B$7,INDEX(M1615:M1793,MATCH(Controls!$B$5,A1615:A1793,1)+25)*INDEX(I1615:I1793,MATCH(Controls!$B$5,A1615:A1793,1)+25),"")</f>
        <v/>
      </c>
      <c r="AB1640">
        <f t="shared" si="181"/>
        <v>271.03999999999996</v>
      </c>
    </row>
    <row r="1641" spans="1:28" ht="13" customHeight="1" x14ac:dyDescent="0.35">
      <c r="A1641" s="153">
        <v>46844</v>
      </c>
      <c r="B1641" s="36" t="s">
        <v>58</v>
      </c>
      <c r="C1641" s="15" t="s">
        <v>52</v>
      </c>
      <c r="D1641" s="15" t="s">
        <v>48</v>
      </c>
      <c r="E1641" s="30">
        <f>H1640</f>
        <v>89.81</v>
      </c>
      <c r="F1641" s="37">
        <f>IFERROR('Production Inputs'!$AL$37*Dependencies!$D$19,0)</f>
        <v>0</v>
      </c>
      <c r="G1641" s="37">
        <f t="array" ref="G1641">IFERROR(SUMPRODUCT(('Production Inputs'!$A:$A="APT")*('Production Inputs'!$B:$B="TOTAL ACTIVE")*'Production Inputs'!$AL:$AL),0)</f>
        <v>0</v>
      </c>
      <c r="H1641" s="30">
        <f t="shared" si="175"/>
        <v>89.81</v>
      </c>
      <c r="I1641" s="30">
        <f ca="1">IFERROR(AVERAGEIF(OFFSET(F1641,0,0,MIN(Controls!$B$8,COUNTIF(B1641:B$1973,B1641)),1),"&gt;"&amp;0),0)</f>
        <v>0</v>
      </c>
      <c r="J1641" s="38">
        <f t="shared" ca="1" si="176"/>
        <v>999</v>
      </c>
      <c r="K1641" s="30">
        <f t="shared" ca="1" si="180"/>
        <v>0</v>
      </c>
      <c r="L1641" t="str">
        <f t="shared" ca="1" si="177"/>
        <v>Overstock</v>
      </c>
      <c r="M1641" s="39">
        <f>IFERROR(VLOOKUP("APT",Controls!A:I,7,0),6)</f>
        <v>4</v>
      </c>
      <c r="N1641" s="39">
        <f>IFERROR(VLOOKUP("APT",Controls!A:I,8,0),3)</f>
        <v>3</v>
      </c>
      <c r="O1641" s="39">
        <f>IFERROR(VLOOKUP("APT",Controls!A:I,9,0),18)</f>
        <v>12</v>
      </c>
      <c r="P1641" s="40">
        <f>IFERROR(VLOOKUP("APT",Controls!A:J,5,0),0)</f>
        <v>165</v>
      </c>
      <c r="Q1641" s="39">
        <f>IFERROR(VLOOKUP("APT",Controls!A:J,6,0),3)</f>
        <v>4</v>
      </c>
      <c r="R1641" s="21" t="str">
        <f>IFERROR(VLOOKUP("APT",Controls!A:K,10,0),"")</f>
        <v>ST Pharm</v>
      </c>
      <c r="S1641" s="41">
        <f t="shared" si="178"/>
        <v>46722</v>
      </c>
      <c r="T1641" s="30">
        <f t="shared" si="179"/>
        <v>0</v>
      </c>
      <c r="W1641" s="205" t="str" cm="1">
        <f t="array" ref="W1641">IF(26&lt;Controls!$B$7,INDEX(A1615:A1793,MATCH(Controls!$B$5,A1615:A1793,1)+26),"")</f>
        <v/>
      </c>
      <c r="X1641" t="str" cm="1">
        <f t="array" ref="X1641">IF(26&lt;Controls!$B$7,INDEX(F1615:F1793,MATCH(Controls!$B$5,A1615:A1793,1)+26),"")</f>
        <v/>
      </c>
      <c r="Y1641" t="str" cm="1">
        <f t="array" ref="Y1641">IF(26&lt;Controls!$B$7,INDEX(G1615:G1793,MATCH(Controls!$B$5,A1615:A1793,1)+26),"")</f>
        <v/>
      </c>
      <c r="Z1641" t="str" cm="1">
        <f t="array" ref="Z1641">IF(26&lt;Controls!$B$7,INDEX(H1615:H1793,MATCH(Controls!$B$5,A1615:A1793,1)+26),"")</f>
        <v/>
      </c>
      <c r="AA1641" t="str" cm="1">
        <f t="array" ref="AA1641">IF(26&lt;Controls!$B$7,INDEX(M1615:M1793,MATCH(Controls!$B$5,A1615:A1793,1)+26)*INDEX(I1615:I1793,MATCH(Controls!$B$5,A1615:A1793,1)+26),"")</f>
        <v/>
      </c>
      <c r="AB1641">
        <f t="shared" si="181"/>
        <v>271.03999999999996</v>
      </c>
    </row>
    <row r="1642" spans="1:28" ht="13" customHeight="1" x14ac:dyDescent="0.35">
      <c r="A1642" s="153">
        <v>46874</v>
      </c>
      <c r="B1642" s="36" t="s">
        <v>58</v>
      </c>
      <c r="C1642" s="15" t="s">
        <v>52</v>
      </c>
      <c r="D1642" s="15" t="s">
        <v>48</v>
      </c>
      <c r="E1642" s="30">
        <f>H1641</f>
        <v>89.81</v>
      </c>
      <c r="F1642" s="37">
        <f>IFERROR('Production Inputs'!$AM$37*Dependencies!$D$19,0)</f>
        <v>0</v>
      </c>
      <c r="G1642" s="37">
        <f t="array" ref="G1642">IFERROR(SUMPRODUCT(('Production Inputs'!$A:$A="APT")*('Production Inputs'!$B:$B="TOTAL ACTIVE")*'Production Inputs'!$AM:$AM),0)</f>
        <v>0</v>
      </c>
      <c r="H1642" s="30">
        <f t="shared" si="175"/>
        <v>89.81</v>
      </c>
      <c r="I1642" s="30">
        <f ca="1">IFERROR(AVERAGEIF(OFFSET(F1642,0,0,MIN(Controls!$B$8,COUNTIF(B1642:B$1973,B1642)),1),"&gt;"&amp;0),0)</f>
        <v>0</v>
      </c>
      <c r="J1642" s="38">
        <f t="shared" ca="1" si="176"/>
        <v>999</v>
      </c>
      <c r="K1642" s="30">
        <f t="shared" ca="1" si="180"/>
        <v>0</v>
      </c>
      <c r="L1642" t="str">
        <f t="shared" ca="1" si="177"/>
        <v>Overstock</v>
      </c>
      <c r="M1642" s="39">
        <f>IFERROR(VLOOKUP("APT",Controls!A:I,7,0),6)</f>
        <v>4</v>
      </c>
      <c r="N1642" s="39">
        <f>IFERROR(VLOOKUP("APT",Controls!A:I,8,0),3)</f>
        <v>3</v>
      </c>
      <c r="O1642" s="39">
        <f>IFERROR(VLOOKUP("APT",Controls!A:I,9,0),18)</f>
        <v>12</v>
      </c>
      <c r="P1642" s="40">
        <f>IFERROR(VLOOKUP("APT",Controls!A:J,5,0),0)</f>
        <v>165</v>
      </c>
      <c r="Q1642" s="39">
        <f>IFERROR(VLOOKUP("APT",Controls!A:J,6,0),3)</f>
        <v>4</v>
      </c>
      <c r="R1642" s="21" t="str">
        <f>IFERROR(VLOOKUP("APT",Controls!A:K,10,0),"")</f>
        <v>ST Pharm</v>
      </c>
      <c r="S1642" s="41">
        <f t="shared" si="178"/>
        <v>46753</v>
      </c>
      <c r="T1642" s="30">
        <f t="shared" si="179"/>
        <v>0</v>
      </c>
      <c r="W1642" s="205" t="str" cm="1">
        <f t="array" ref="W1642">IF(27&lt;Controls!$B$7,INDEX(A1615:A1793,MATCH(Controls!$B$5,A1615:A1793,1)+27),"")</f>
        <v/>
      </c>
      <c r="X1642" t="str" cm="1">
        <f t="array" ref="X1642">IF(27&lt;Controls!$B$7,INDEX(F1615:F1793,MATCH(Controls!$B$5,A1615:A1793,1)+27),"")</f>
        <v/>
      </c>
      <c r="Y1642" t="str" cm="1">
        <f t="array" ref="Y1642">IF(27&lt;Controls!$B$7,INDEX(G1615:G1793,MATCH(Controls!$B$5,A1615:A1793,1)+27),"")</f>
        <v/>
      </c>
      <c r="Z1642" t="str" cm="1">
        <f t="array" ref="Z1642">IF(27&lt;Controls!$B$7,INDEX(H1615:H1793,MATCH(Controls!$B$5,A1615:A1793,1)+27),"")</f>
        <v/>
      </c>
      <c r="AA1642" t="str" cm="1">
        <f t="array" ref="AA1642">IF(27&lt;Controls!$B$7,INDEX(M1615:M1793,MATCH(Controls!$B$5,A1615:A1793,1)+27)*INDEX(I1615:I1793,MATCH(Controls!$B$5,A1615:A1793,1)+27),"")</f>
        <v/>
      </c>
      <c r="AB1642">
        <f t="shared" si="181"/>
        <v>271.03999999999996</v>
      </c>
    </row>
    <row r="1643" spans="1:28" ht="13" customHeight="1" x14ac:dyDescent="0.35">
      <c r="A1643" s="153">
        <v>46905</v>
      </c>
      <c r="B1643" s="36" t="s">
        <v>58</v>
      </c>
      <c r="C1643" s="15" t="s">
        <v>52</v>
      </c>
      <c r="D1643" s="15" t="s">
        <v>48</v>
      </c>
      <c r="E1643" s="30">
        <f>H1642</f>
        <v>89.81</v>
      </c>
      <c r="F1643" s="37">
        <f>IFERROR('Production Inputs'!$AN$37*Dependencies!$D$19,0)</f>
        <v>0</v>
      </c>
      <c r="G1643" s="37">
        <f t="array" ref="G1643">IFERROR(SUMPRODUCT(('Production Inputs'!$A:$A="APT")*('Production Inputs'!$B:$B="TOTAL ACTIVE")*'Production Inputs'!$AN:$AN),0)</f>
        <v>0</v>
      </c>
      <c r="H1643" s="30">
        <f t="shared" si="175"/>
        <v>89.81</v>
      </c>
      <c r="I1643" s="30">
        <f ca="1">IFERROR(AVERAGEIF(OFFSET(F1643,0,0,MIN(Controls!$B$8,COUNTIF(B1643:B$1973,B1643)),1),"&gt;"&amp;0),0)</f>
        <v>0</v>
      </c>
      <c r="J1643" s="38">
        <f t="shared" ca="1" si="176"/>
        <v>999</v>
      </c>
      <c r="K1643" s="30">
        <f t="shared" ca="1" si="180"/>
        <v>0</v>
      </c>
      <c r="L1643" t="str">
        <f t="shared" ca="1" si="177"/>
        <v>Overstock</v>
      </c>
      <c r="M1643" s="39">
        <f>IFERROR(VLOOKUP("APT",Controls!A:I,7,0),6)</f>
        <v>4</v>
      </c>
      <c r="N1643" s="39">
        <f>IFERROR(VLOOKUP("APT",Controls!A:I,8,0),3)</f>
        <v>3</v>
      </c>
      <c r="O1643" s="39">
        <f>IFERROR(VLOOKUP("APT",Controls!A:I,9,0),18)</f>
        <v>12</v>
      </c>
      <c r="P1643" s="40">
        <f>IFERROR(VLOOKUP("APT",Controls!A:J,5,0),0)</f>
        <v>165</v>
      </c>
      <c r="Q1643" s="39">
        <f>IFERROR(VLOOKUP("APT",Controls!A:J,6,0),3)</f>
        <v>4</v>
      </c>
      <c r="R1643" s="21" t="str">
        <f>IFERROR(VLOOKUP("APT",Controls!A:K,10,0),"")</f>
        <v>ST Pharm</v>
      </c>
      <c r="S1643" s="41">
        <f t="shared" si="178"/>
        <v>46784</v>
      </c>
      <c r="T1643" s="30">
        <f t="shared" si="179"/>
        <v>0</v>
      </c>
      <c r="W1643" s="205" t="str" cm="1">
        <f t="array" ref="W1643">IF(28&lt;Controls!$B$7,INDEX(A1615:A1793,MATCH(Controls!$B$5,A1615:A1793,1)+28),"")</f>
        <v/>
      </c>
      <c r="X1643" t="str" cm="1">
        <f t="array" ref="X1643">IF(28&lt;Controls!$B$7,INDEX(F1615:F1793,MATCH(Controls!$B$5,A1615:A1793,1)+28),"")</f>
        <v/>
      </c>
      <c r="Y1643" t="str" cm="1">
        <f t="array" ref="Y1643">IF(28&lt;Controls!$B$7,INDEX(G1615:G1793,MATCH(Controls!$B$5,A1615:A1793,1)+28),"")</f>
        <v/>
      </c>
      <c r="Z1643" t="str" cm="1">
        <f t="array" ref="Z1643">IF(28&lt;Controls!$B$7,INDEX(H1615:H1793,MATCH(Controls!$B$5,A1615:A1793,1)+28),"")</f>
        <v/>
      </c>
      <c r="AA1643" t="str" cm="1">
        <f t="array" ref="AA1643">IF(28&lt;Controls!$B$7,INDEX(M1615:M1793,MATCH(Controls!$B$5,A1615:A1793,1)+28)*INDEX(I1615:I1793,MATCH(Controls!$B$5,A1615:A1793,1)+28),"")</f>
        <v/>
      </c>
      <c r="AB1643">
        <f t="shared" si="181"/>
        <v>271.03999999999996</v>
      </c>
    </row>
    <row r="1644" spans="1:28" ht="13" customHeight="1" x14ac:dyDescent="0.35">
      <c r="A1644" s="153">
        <v>46935</v>
      </c>
      <c r="B1644" s="36" t="s">
        <v>58</v>
      </c>
      <c r="C1644" s="15" t="s">
        <v>52</v>
      </c>
      <c r="D1644" s="15" t="s">
        <v>48</v>
      </c>
      <c r="E1644" s="30">
        <f>H1643</f>
        <v>89.81</v>
      </c>
      <c r="F1644" s="37">
        <f>IFERROR('Production Inputs'!$AO$37*Dependencies!$D$19,0)</f>
        <v>0</v>
      </c>
      <c r="G1644" s="37">
        <f t="array" ref="G1644">IFERROR(SUMPRODUCT(('Production Inputs'!$A:$A="APT")*('Production Inputs'!$B:$B="TOTAL ACTIVE")*'Production Inputs'!$AO:$AO),0)</f>
        <v>0</v>
      </c>
      <c r="H1644" s="30">
        <f t="shared" si="175"/>
        <v>89.81</v>
      </c>
      <c r="I1644" s="30">
        <f ca="1">IFERROR(AVERAGEIF(OFFSET(F1644,0,0,MIN(Controls!$B$8,COUNTIF(B1644:B$1973,B1644)),1),"&gt;"&amp;0),0)</f>
        <v>0</v>
      </c>
      <c r="J1644" s="38">
        <f t="shared" ca="1" si="176"/>
        <v>999</v>
      </c>
      <c r="K1644" s="30">
        <f t="shared" ca="1" si="180"/>
        <v>0</v>
      </c>
      <c r="L1644" t="str">
        <f t="shared" ca="1" si="177"/>
        <v>Overstock</v>
      </c>
      <c r="M1644" s="39">
        <f>IFERROR(VLOOKUP("APT",Controls!A:I,7,0),6)</f>
        <v>4</v>
      </c>
      <c r="N1644" s="39">
        <f>IFERROR(VLOOKUP("APT",Controls!A:I,8,0),3)</f>
        <v>3</v>
      </c>
      <c r="O1644" s="39">
        <f>IFERROR(VLOOKUP("APT",Controls!A:I,9,0),18)</f>
        <v>12</v>
      </c>
      <c r="P1644" s="40">
        <f>IFERROR(VLOOKUP("APT",Controls!A:J,5,0),0)</f>
        <v>165</v>
      </c>
      <c r="Q1644" s="39">
        <f>IFERROR(VLOOKUP("APT",Controls!A:J,6,0),3)</f>
        <v>4</v>
      </c>
      <c r="R1644" s="21" t="str">
        <f>IFERROR(VLOOKUP("APT",Controls!A:K,10,0),"")</f>
        <v>ST Pharm</v>
      </c>
      <c r="S1644" s="41">
        <f t="shared" si="178"/>
        <v>46813</v>
      </c>
      <c r="T1644" s="30">
        <f t="shared" si="179"/>
        <v>0</v>
      </c>
      <c r="W1644" s="205" t="str" cm="1">
        <f t="array" ref="W1644">IF(29&lt;Controls!$B$7,INDEX(A1615:A1793,MATCH(Controls!$B$5,A1615:A1793,1)+29),"")</f>
        <v/>
      </c>
      <c r="X1644" t="str" cm="1">
        <f t="array" ref="X1644">IF(29&lt;Controls!$B$7,INDEX(F1615:F1793,MATCH(Controls!$B$5,A1615:A1793,1)+29),"")</f>
        <v/>
      </c>
      <c r="Y1644" t="str" cm="1">
        <f t="array" ref="Y1644">IF(29&lt;Controls!$B$7,INDEX(G1615:G1793,MATCH(Controls!$B$5,A1615:A1793,1)+29),"")</f>
        <v/>
      </c>
      <c r="Z1644" t="str" cm="1">
        <f t="array" ref="Z1644">IF(29&lt;Controls!$B$7,INDEX(H1615:H1793,MATCH(Controls!$B$5,A1615:A1793,1)+29),"")</f>
        <v/>
      </c>
      <c r="AA1644" t="str" cm="1">
        <f t="array" ref="AA1644">IF(29&lt;Controls!$B$7,INDEX(M1615:M1793,MATCH(Controls!$B$5,A1615:A1793,1)+29)*INDEX(I1615:I1793,MATCH(Controls!$B$5,A1615:A1793,1)+29),"")</f>
        <v/>
      </c>
      <c r="AB1644">
        <f t="shared" si="181"/>
        <v>271.03999999999996</v>
      </c>
    </row>
    <row r="1645" spans="1:28" ht="13" customHeight="1" x14ac:dyDescent="0.35">
      <c r="A1645" s="153">
        <v>46966</v>
      </c>
      <c r="B1645" s="36" t="s">
        <v>58</v>
      </c>
      <c r="C1645" s="15" t="s">
        <v>52</v>
      </c>
      <c r="D1645" s="15" t="s">
        <v>48</v>
      </c>
      <c r="E1645" s="30">
        <f>H1644</f>
        <v>89.81</v>
      </c>
      <c r="F1645" s="37">
        <f>IFERROR('Production Inputs'!$AP$37*Dependencies!$D$19,0)</f>
        <v>0</v>
      </c>
      <c r="G1645" s="37">
        <f t="array" ref="G1645">IFERROR(SUMPRODUCT(('Production Inputs'!$A:$A="APT")*('Production Inputs'!$B:$B="TOTAL ACTIVE")*'Production Inputs'!$AP:$AP),0)</f>
        <v>0</v>
      </c>
      <c r="H1645" s="30">
        <f t="shared" si="175"/>
        <v>89.81</v>
      </c>
      <c r="I1645" s="30">
        <f ca="1">IFERROR(AVERAGEIF(OFFSET(F1645,0,0,MIN(Controls!$B$8,COUNTIF(B1645:B$1973,B1645)),1),"&gt;"&amp;0),0)</f>
        <v>0</v>
      </c>
      <c r="J1645" s="38">
        <f t="shared" ca="1" si="176"/>
        <v>999</v>
      </c>
      <c r="K1645" s="30">
        <f t="shared" ca="1" si="180"/>
        <v>0</v>
      </c>
      <c r="L1645" t="str">
        <f t="shared" ca="1" si="177"/>
        <v>Overstock</v>
      </c>
      <c r="M1645" s="39">
        <f>IFERROR(VLOOKUP("APT",Controls!A:I,7,0),6)</f>
        <v>4</v>
      </c>
      <c r="N1645" s="39">
        <f>IFERROR(VLOOKUP("APT",Controls!A:I,8,0),3)</f>
        <v>3</v>
      </c>
      <c r="O1645" s="39">
        <f>IFERROR(VLOOKUP("APT",Controls!A:I,9,0),18)</f>
        <v>12</v>
      </c>
      <c r="P1645" s="40">
        <f>IFERROR(VLOOKUP("APT",Controls!A:J,5,0),0)</f>
        <v>165</v>
      </c>
      <c r="Q1645" s="39">
        <f>IFERROR(VLOOKUP("APT",Controls!A:J,6,0),3)</f>
        <v>4</v>
      </c>
      <c r="R1645" s="21" t="str">
        <f>IFERROR(VLOOKUP("APT",Controls!A:K,10,0),"")</f>
        <v>ST Pharm</v>
      </c>
      <c r="S1645" s="41">
        <f t="shared" si="178"/>
        <v>46844</v>
      </c>
      <c r="T1645" s="30">
        <f t="shared" si="179"/>
        <v>0</v>
      </c>
      <c r="W1645" s="205" t="str" cm="1">
        <f t="array" ref="W1645">IF(30&lt;Controls!$B$7,INDEX(A1615:A1793,MATCH(Controls!$B$5,A1615:A1793,1)+30),"")</f>
        <v/>
      </c>
      <c r="X1645" t="str" cm="1">
        <f t="array" ref="X1645">IF(30&lt;Controls!$B$7,INDEX(F1615:F1793,MATCH(Controls!$B$5,A1615:A1793,1)+30),"")</f>
        <v/>
      </c>
      <c r="Y1645" t="str" cm="1">
        <f t="array" ref="Y1645">IF(30&lt;Controls!$B$7,INDEX(G1615:G1793,MATCH(Controls!$B$5,A1615:A1793,1)+30),"")</f>
        <v/>
      </c>
      <c r="Z1645" t="str" cm="1">
        <f t="array" ref="Z1645">IF(30&lt;Controls!$B$7,INDEX(H1615:H1793,MATCH(Controls!$B$5,A1615:A1793,1)+30),"")</f>
        <v/>
      </c>
      <c r="AA1645" t="str" cm="1">
        <f t="array" ref="AA1645">IF(30&lt;Controls!$B$7,INDEX(M1615:M1793,MATCH(Controls!$B$5,A1615:A1793,1)+30)*INDEX(I1615:I1793,MATCH(Controls!$B$5,A1615:A1793,1)+30),"")</f>
        <v/>
      </c>
      <c r="AB1645">
        <f t="shared" si="181"/>
        <v>271.03999999999996</v>
      </c>
    </row>
    <row r="1646" spans="1:28" ht="13" customHeight="1" x14ac:dyDescent="0.35">
      <c r="A1646" s="153">
        <v>46997</v>
      </c>
      <c r="B1646" s="36" t="s">
        <v>58</v>
      </c>
      <c r="C1646" s="15" t="s">
        <v>52</v>
      </c>
      <c r="D1646" s="15" t="s">
        <v>48</v>
      </c>
      <c r="E1646" s="30">
        <f>H1645</f>
        <v>89.81</v>
      </c>
      <c r="F1646" s="37">
        <f>IFERROR('Production Inputs'!$AQ$37*Dependencies!$D$19,0)</f>
        <v>0</v>
      </c>
      <c r="G1646" s="37">
        <f t="array" ref="G1646">IFERROR(SUMPRODUCT(('Production Inputs'!$A:$A="APT")*('Production Inputs'!$B:$B="TOTAL ACTIVE")*'Production Inputs'!$AQ:$AQ),0)</f>
        <v>0</v>
      </c>
      <c r="H1646" s="30">
        <f t="shared" si="175"/>
        <v>89.81</v>
      </c>
      <c r="I1646" s="30">
        <f ca="1">IFERROR(AVERAGEIF(OFFSET(F1646,0,0,MIN(Controls!$B$8,COUNTIF(B1646:B$1973,B1646)),1),"&gt;"&amp;0),0)</f>
        <v>0</v>
      </c>
      <c r="J1646" s="38">
        <f t="shared" ca="1" si="176"/>
        <v>999</v>
      </c>
      <c r="K1646" s="30">
        <f t="shared" ca="1" si="180"/>
        <v>0</v>
      </c>
      <c r="L1646" t="str">
        <f t="shared" ca="1" si="177"/>
        <v>Overstock</v>
      </c>
      <c r="M1646" s="39">
        <f>IFERROR(VLOOKUP("APT",Controls!A:I,7,0),6)</f>
        <v>4</v>
      </c>
      <c r="N1646" s="39">
        <f>IFERROR(VLOOKUP("APT",Controls!A:I,8,0),3)</f>
        <v>3</v>
      </c>
      <c r="O1646" s="39">
        <f>IFERROR(VLOOKUP("APT",Controls!A:I,9,0),18)</f>
        <v>12</v>
      </c>
      <c r="P1646" s="40">
        <f>IFERROR(VLOOKUP("APT",Controls!A:J,5,0),0)</f>
        <v>165</v>
      </c>
      <c r="Q1646" s="39">
        <f>IFERROR(VLOOKUP("APT",Controls!A:J,6,0),3)</f>
        <v>4</v>
      </c>
      <c r="R1646" s="21" t="str">
        <f>IFERROR(VLOOKUP("APT",Controls!A:K,10,0),"")</f>
        <v>ST Pharm</v>
      </c>
      <c r="S1646" s="41">
        <f t="shared" si="178"/>
        <v>46874</v>
      </c>
      <c r="T1646" s="30">
        <f t="shared" si="179"/>
        <v>0</v>
      </c>
      <c r="W1646" s="205" t="str" cm="1">
        <f t="array" ref="W1646">IF(31&lt;Controls!$B$7,INDEX(A1615:A1793,MATCH(Controls!$B$5,A1615:A1793,1)+31),"")</f>
        <v/>
      </c>
      <c r="X1646" t="str" cm="1">
        <f t="array" ref="X1646">IF(31&lt;Controls!$B$7,INDEX(F1615:F1793,MATCH(Controls!$B$5,A1615:A1793,1)+31),"")</f>
        <v/>
      </c>
      <c r="Y1646" t="str" cm="1">
        <f t="array" ref="Y1646">IF(31&lt;Controls!$B$7,INDEX(G1615:G1793,MATCH(Controls!$B$5,A1615:A1793,1)+31),"")</f>
        <v/>
      </c>
      <c r="Z1646" t="str" cm="1">
        <f t="array" ref="Z1646">IF(31&lt;Controls!$B$7,INDEX(H1615:H1793,MATCH(Controls!$B$5,A1615:A1793,1)+31),"")</f>
        <v/>
      </c>
      <c r="AA1646" t="str" cm="1">
        <f t="array" ref="AA1646">IF(31&lt;Controls!$B$7,INDEX(M1615:M1793,MATCH(Controls!$B$5,A1615:A1793,1)+31)*INDEX(I1615:I1793,MATCH(Controls!$B$5,A1615:A1793,1)+31),"")</f>
        <v/>
      </c>
      <c r="AB1646">
        <f t="shared" si="181"/>
        <v>271.03999999999996</v>
      </c>
    </row>
    <row r="1647" spans="1:28" ht="13" customHeight="1" x14ac:dyDescent="0.35">
      <c r="A1647" s="153">
        <v>47027</v>
      </c>
      <c r="B1647" s="36" t="s">
        <v>58</v>
      </c>
      <c r="C1647" s="15" t="s">
        <v>52</v>
      </c>
      <c r="D1647" s="15" t="s">
        <v>48</v>
      </c>
      <c r="E1647" s="30">
        <f>H1646</f>
        <v>89.81</v>
      </c>
      <c r="F1647" s="37">
        <f>IFERROR('Production Inputs'!$AR$37*Dependencies!$D$19,0)</f>
        <v>0</v>
      </c>
      <c r="G1647" s="37">
        <f t="array" ref="G1647">IFERROR(SUMPRODUCT(('Production Inputs'!$A:$A="APT")*('Production Inputs'!$B:$B="TOTAL ACTIVE")*'Production Inputs'!$AR:$AR),0)</f>
        <v>0</v>
      </c>
      <c r="H1647" s="30">
        <f t="shared" si="175"/>
        <v>89.81</v>
      </c>
      <c r="I1647" s="30">
        <f ca="1">IFERROR(AVERAGEIF(OFFSET(F1647,0,0,MIN(Controls!$B$8,COUNTIF(B1647:B$1973,B1647)),1),"&gt;"&amp;0),0)</f>
        <v>0</v>
      </c>
      <c r="J1647" s="38">
        <f t="shared" ca="1" si="176"/>
        <v>999</v>
      </c>
      <c r="K1647" s="30">
        <f t="shared" ca="1" si="180"/>
        <v>0</v>
      </c>
      <c r="L1647" t="str">
        <f t="shared" ca="1" si="177"/>
        <v>Overstock</v>
      </c>
      <c r="M1647" s="39">
        <f>IFERROR(VLOOKUP("APT",Controls!A:I,7,0),6)</f>
        <v>4</v>
      </c>
      <c r="N1647" s="39">
        <f>IFERROR(VLOOKUP("APT",Controls!A:I,8,0),3)</f>
        <v>3</v>
      </c>
      <c r="O1647" s="39">
        <f>IFERROR(VLOOKUP("APT",Controls!A:I,9,0),18)</f>
        <v>12</v>
      </c>
      <c r="P1647" s="40">
        <f>IFERROR(VLOOKUP("APT",Controls!A:J,5,0),0)</f>
        <v>165</v>
      </c>
      <c r="Q1647" s="39">
        <f>IFERROR(VLOOKUP("APT",Controls!A:J,6,0),3)</f>
        <v>4</v>
      </c>
      <c r="R1647" s="21" t="str">
        <f>IFERROR(VLOOKUP("APT",Controls!A:K,10,0),"")</f>
        <v>ST Pharm</v>
      </c>
      <c r="S1647" s="41">
        <f t="shared" si="178"/>
        <v>46905</v>
      </c>
      <c r="T1647" s="30">
        <f t="shared" si="179"/>
        <v>0</v>
      </c>
      <c r="W1647" s="205" t="str" cm="1">
        <f t="array" ref="W1647">IF(32&lt;Controls!$B$7,INDEX(A1615:A1793,MATCH(Controls!$B$5,A1615:A1793,1)+32),"")</f>
        <v/>
      </c>
      <c r="X1647" t="str" cm="1">
        <f t="array" ref="X1647">IF(32&lt;Controls!$B$7,INDEX(F1615:F1793,MATCH(Controls!$B$5,A1615:A1793,1)+32),"")</f>
        <v/>
      </c>
      <c r="Y1647" t="str" cm="1">
        <f t="array" ref="Y1647">IF(32&lt;Controls!$B$7,INDEX(G1615:G1793,MATCH(Controls!$B$5,A1615:A1793,1)+32),"")</f>
        <v/>
      </c>
      <c r="Z1647" t="str" cm="1">
        <f t="array" ref="Z1647">IF(32&lt;Controls!$B$7,INDEX(H1615:H1793,MATCH(Controls!$B$5,A1615:A1793,1)+32),"")</f>
        <v/>
      </c>
      <c r="AA1647" t="str" cm="1">
        <f t="array" ref="AA1647">IF(32&lt;Controls!$B$7,INDEX(M1615:M1793,MATCH(Controls!$B$5,A1615:A1793,1)+32)*INDEX(I1615:I1793,MATCH(Controls!$B$5,A1615:A1793,1)+32),"")</f>
        <v/>
      </c>
      <c r="AB1647">
        <f t="shared" si="181"/>
        <v>271.03999999999996</v>
      </c>
    </row>
    <row r="1648" spans="1:28" ht="13" customHeight="1" x14ac:dyDescent="0.35">
      <c r="A1648" s="153">
        <v>47058</v>
      </c>
      <c r="B1648" s="36" t="s">
        <v>58</v>
      </c>
      <c r="C1648" s="15" t="s">
        <v>52</v>
      </c>
      <c r="D1648" s="15" t="s">
        <v>48</v>
      </c>
      <c r="E1648" s="30">
        <f>H1647</f>
        <v>89.81</v>
      </c>
      <c r="F1648" s="37">
        <f>IFERROR('Production Inputs'!$AS$37*Dependencies!$D$19,0)</f>
        <v>0</v>
      </c>
      <c r="G1648" s="37">
        <f t="array" ref="G1648">IFERROR(SUMPRODUCT(('Production Inputs'!$A:$A="APT")*('Production Inputs'!$B:$B="TOTAL ACTIVE")*'Production Inputs'!$AS:$AS),0)</f>
        <v>0</v>
      </c>
      <c r="H1648" s="30">
        <f t="shared" si="175"/>
        <v>89.81</v>
      </c>
      <c r="I1648" s="30">
        <f ca="1">IFERROR(AVERAGEIF(OFFSET(F1648,0,0,MIN(Controls!$B$8,COUNTIF(B1648:B$1973,B1648)),1),"&gt;"&amp;0),0)</f>
        <v>0</v>
      </c>
      <c r="J1648" s="38">
        <f t="shared" ca="1" si="176"/>
        <v>999</v>
      </c>
      <c r="K1648" s="30">
        <f t="shared" ca="1" si="180"/>
        <v>0</v>
      </c>
      <c r="L1648" t="str">
        <f t="shared" ca="1" si="177"/>
        <v>Overstock</v>
      </c>
      <c r="M1648" s="39">
        <f>IFERROR(VLOOKUP("APT",Controls!A:I,7,0),6)</f>
        <v>4</v>
      </c>
      <c r="N1648" s="39">
        <f>IFERROR(VLOOKUP("APT",Controls!A:I,8,0),3)</f>
        <v>3</v>
      </c>
      <c r="O1648" s="39">
        <f>IFERROR(VLOOKUP("APT",Controls!A:I,9,0),18)</f>
        <v>12</v>
      </c>
      <c r="P1648" s="40">
        <f>IFERROR(VLOOKUP("APT",Controls!A:J,5,0),0)</f>
        <v>165</v>
      </c>
      <c r="Q1648" s="39">
        <f>IFERROR(VLOOKUP("APT",Controls!A:J,6,0),3)</f>
        <v>4</v>
      </c>
      <c r="R1648" s="21" t="str">
        <f>IFERROR(VLOOKUP("APT",Controls!A:K,10,0),"")</f>
        <v>ST Pharm</v>
      </c>
      <c r="S1648" s="41">
        <f t="shared" si="178"/>
        <v>46935</v>
      </c>
      <c r="T1648" s="30">
        <f t="shared" si="179"/>
        <v>0</v>
      </c>
      <c r="W1648" s="205" t="str" cm="1">
        <f t="array" ref="W1648">IF(33&lt;Controls!$B$7,INDEX(A1615:A1793,MATCH(Controls!$B$5,A1615:A1793,1)+33),"")</f>
        <v/>
      </c>
      <c r="X1648" t="str" cm="1">
        <f t="array" ref="X1648">IF(33&lt;Controls!$B$7,INDEX(F1615:F1793,MATCH(Controls!$B$5,A1615:A1793,1)+33),"")</f>
        <v/>
      </c>
      <c r="Y1648" t="str" cm="1">
        <f t="array" ref="Y1648">IF(33&lt;Controls!$B$7,INDEX(G1615:G1793,MATCH(Controls!$B$5,A1615:A1793,1)+33),"")</f>
        <v/>
      </c>
      <c r="Z1648" t="str" cm="1">
        <f t="array" ref="Z1648">IF(33&lt;Controls!$B$7,INDEX(H1615:H1793,MATCH(Controls!$B$5,A1615:A1793,1)+33),"")</f>
        <v/>
      </c>
      <c r="AA1648" t="str" cm="1">
        <f t="array" ref="AA1648">IF(33&lt;Controls!$B$7,INDEX(M1615:M1793,MATCH(Controls!$B$5,A1615:A1793,1)+33)*INDEX(I1615:I1793,MATCH(Controls!$B$5,A1615:A1793,1)+33),"")</f>
        <v/>
      </c>
      <c r="AB1648">
        <f t="shared" si="181"/>
        <v>271.03999999999996</v>
      </c>
    </row>
    <row r="1649" spans="1:28" ht="13" customHeight="1" x14ac:dyDescent="0.35">
      <c r="A1649" s="153">
        <v>47088</v>
      </c>
      <c r="B1649" s="36" t="s">
        <v>58</v>
      </c>
      <c r="C1649" s="15" t="s">
        <v>52</v>
      </c>
      <c r="D1649" s="15" t="s">
        <v>48</v>
      </c>
      <c r="E1649" s="30">
        <f>H1648</f>
        <v>89.81</v>
      </c>
      <c r="F1649" s="37">
        <f>IFERROR('Production Inputs'!$AT$37*Dependencies!$D$19,0)</f>
        <v>0</v>
      </c>
      <c r="G1649" s="37">
        <f t="array" ref="G1649">IFERROR(SUMPRODUCT(('Production Inputs'!$A:$A="APT")*('Production Inputs'!$B:$B="TOTAL ACTIVE")*'Production Inputs'!$AT:$AT),0)</f>
        <v>0</v>
      </c>
      <c r="H1649" s="30">
        <f t="shared" si="175"/>
        <v>89.81</v>
      </c>
      <c r="I1649" s="30">
        <f ca="1">IFERROR(AVERAGEIF(OFFSET(F1649,0,0,MIN(Controls!$B$8,COUNTIF(B1649:B$1973,B1649)),1),"&gt;"&amp;0),0)</f>
        <v>0</v>
      </c>
      <c r="J1649" s="38">
        <f t="shared" ca="1" si="176"/>
        <v>999</v>
      </c>
      <c r="K1649" s="30">
        <f t="shared" ca="1" si="180"/>
        <v>0</v>
      </c>
      <c r="L1649" t="str">
        <f t="shared" ca="1" si="177"/>
        <v>Overstock</v>
      </c>
      <c r="M1649" s="39">
        <f>IFERROR(VLOOKUP("APT",Controls!A:I,7,0),6)</f>
        <v>4</v>
      </c>
      <c r="N1649" s="39">
        <f>IFERROR(VLOOKUP("APT",Controls!A:I,8,0),3)</f>
        <v>3</v>
      </c>
      <c r="O1649" s="39">
        <f>IFERROR(VLOOKUP("APT",Controls!A:I,9,0),18)</f>
        <v>12</v>
      </c>
      <c r="P1649" s="40">
        <f>IFERROR(VLOOKUP("APT",Controls!A:J,5,0),0)</f>
        <v>165</v>
      </c>
      <c r="Q1649" s="39">
        <f>IFERROR(VLOOKUP("APT",Controls!A:J,6,0),3)</f>
        <v>4</v>
      </c>
      <c r="R1649" s="21" t="str">
        <f>IFERROR(VLOOKUP("APT",Controls!A:K,10,0),"")</f>
        <v>ST Pharm</v>
      </c>
      <c r="S1649" s="41">
        <f t="shared" si="178"/>
        <v>46966</v>
      </c>
      <c r="T1649" s="30">
        <f t="shared" si="179"/>
        <v>0</v>
      </c>
      <c r="W1649" s="205" t="str" cm="1">
        <f t="array" ref="W1649">IF(34&lt;Controls!$B$7,INDEX(A1615:A1793,MATCH(Controls!$B$5,A1615:A1793,1)+34),"")</f>
        <v/>
      </c>
      <c r="X1649" t="str" cm="1">
        <f t="array" ref="X1649">IF(34&lt;Controls!$B$7,INDEX(F1615:F1793,MATCH(Controls!$B$5,A1615:A1793,1)+34),"")</f>
        <v/>
      </c>
      <c r="Y1649" t="str" cm="1">
        <f t="array" ref="Y1649">IF(34&lt;Controls!$B$7,INDEX(G1615:G1793,MATCH(Controls!$B$5,A1615:A1793,1)+34),"")</f>
        <v/>
      </c>
      <c r="Z1649" t="str" cm="1">
        <f t="array" ref="Z1649">IF(34&lt;Controls!$B$7,INDEX(H1615:H1793,MATCH(Controls!$B$5,A1615:A1793,1)+34),"")</f>
        <v/>
      </c>
      <c r="AA1649" t="str" cm="1">
        <f t="array" ref="AA1649">IF(34&lt;Controls!$B$7,INDEX(M1615:M1793,MATCH(Controls!$B$5,A1615:A1793,1)+34)*INDEX(I1615:I1793,MATCH(Controls!$B$5,A1615:A1793,1)+34),"")</f>
        <v/>
      </c>
      <c r="AB1649">
        <f t="shared" si="181"/>
        <v>271.03999999999996</v>
      </c>
    </row>
    <row r="1650" spans="1:28" ht="13" customHeight="1" x14ac:dyDescent="0.35">
      <c r="A1650" s="153">
        <v>47119</v>
      </c>
      <c r="B1650" s="36" t="s">
        <v>58</v>
      </c>
      <c r="C1650" s="15" t="s">
        <v>52</v>
      </c>
      <c r="D1650" s="15" t="s">
        <v>48</v>
      </c>
      <c r="E1650" s="30">
        <f>H1649</f>
        <v>89.81</v>
      </c>
      <c r="F1650" s="37">
        <f>IFERROR('Production Inputs'!$AU$37*Dependencies!$D$19,0)</f>
        <v>0</v>
      </c>
      <c r="G1650" s="37">
        <f t="array" ref="G1650">IFERROR(SUMPRODUCT(('Production Inputs'!$A:$A="APT")*('Production Inputs'!$B:$B="TOTAL ACTIVE")*'Production Inputs'!$AU:$AU),0)</f>
        <v>0</v>
      </c>
      <c r="H1650" s="30">
        <f t="shared" si="175"/>
        <v>89.81</v>
      </c>
      <c r="I1650" s="30">
        <f ca="1">IFERROR(AVERAGEIF(OFFSET(F1650,0,0,MIN(Controls!$B$8,COUNTIF(B1650:B$1973,B1650)),1),"&gt;"&amp;0),0)</f>
        <v>0</v>
      </c>
      <c r="J1650" s="38">
        <f t="shared" ca="1" si="176"/>
        <v>999</v>
      </c>
      <c r="K1650" s="30">
        <f t="shared" ca="1" si="180"/>
        <v>0</v>
      </c>
      <c r="L1650" t="str">
        <f t="shared" ca="1" si="177"/>
        <v>Overstock</v>
      </c>
      <c r="M1650" s="39">
        <f>IFERROR(VLOOKUP("APT",Controls!A:I,7,0),6)</f>
        <v>4</v>
      </c>
      <c r="N1650" s="39">
        <f>IFERROR(VLOOKUP("APT",Controls!A:I,8,0),3)</f>
        <v>3</v>
      </c>
      <c r="O1650" s="39">
        <f>IFERROR(VLOOKUP("APT",Controls!A:I,9,0),18)</f>
        <v>12</v>
      </c>
      <c r="P1650" s="40">
        <f>IFERROR(VLOOKUP("APT",Controls!A:J,5,0),0)</f>
        <v>165</v>
      </c>
      <c r="Q1650" s="39">
        <f>IFERROR(VLOOKUP("APT",Controls!A:J,6,0),3)</f>
        <v>4</v>
      </c>
      <c r="R1650" s="21" t="str">
        <f>IFERROR(VLOOKUP("APT",Controls!A:K,10,0),"")</f>
        <v>ST Pharm</v>
      </c>
      <c r="S1650" s="41">
        <f t="shared" si="178"/>
        <v>46997</v>
      </c>
      <c r="T1650" s="30">
        <f t="shared" si="179"/>
        <v>0</v>
      </c>
      <c r="W1650" s="205" t="str" cm="1">
        <f t="array" ref="W1650">IF(35&lt;Controls!$B$7,INDEX(A1615:A1793,MATCH(Controls!$B$5,A1615:A1793,1)+35),"")</f>
        <v/>
      </c>
      <c r="X1650" t="str" cm="1">
        <f t="array" ref="X1650">IF(35&lt;Controls!$B$7,INDEX(F1615:F1793,MATCH(Controls!$B$5,A1615:A1793,1)+35),"")</f>
        <v/>
      </c>
      <c r="Y1650" t="str" cm="1">
        <f t="array" ref="Y1650">IF(35&lt;Controls!$B$7,INDEX(G1615:G1793,MATCH(Controls!$B$5,A1615:A1793,1)+35),"")</f>
        <v/>
      </c>
      <c r="Z1650" t="str" cm="1">
        <f t="array" ref="Z1650">IF(35&lt;Controls!$B$7,INDEX(H1615:H1793,MATCH(Controls!$B$5,A1615:A1793,1)+35),"")</f>
        <v/>
      </c>
      <c r="AA1650" t="str" cm="1">
        <f t="array" ref="AA1650">IF(35&lt;Controls!$B$7,INDEX(M1615:M1793,MATCH(Controls!$B$5,A1615:A1793,1)+35)*INDEX(I1615:I1793,MATCH(Controls!$B$5,A1615:A1793,1)+35),"")</f>
        <v/>
      </c>
      <c r="AB1650">
        <f t="shared" si="181"/>
        <v>271.03999999999996</v>
      </c>
    </row>
    <row r="1651" spans="1:28" ht="13" customHeight="1" x14ac:dyDescent="0.35">
      <c r="A1651" s="153">
        <v>47150</v>
      </c>
      <c r="B1651" s="36" t="s">
        <v>58</v>
      </c>
      <c r="C1651" s="15" t="s">
        <v>52</v>
      </c>
      <c r="D1651" s="15" t="s">
        <v>48</v>
      </c>
      <c r="E1651" s="30">
        <f>H1650</f>
        <v>89.81</v>
      </c>
      <c r="F1651" s="37">
        <f>IFERROR('Production Inputs'!$AV$37*Dependencies!$D$19,0)</f>
        <v>0</v>
      </c>
      <c r="G1651" s="37">
        <f t="array" ref="G1651">IFERROR(SUMPRODUCT(('Production Inputs'!$A:$A="APT")*('Production Inputs'!$B:$B="TOTAL ACTIVE")*'Production Inputs'!$AV:$AV),0)</f>
        <v>0</v>
      </c>
      <c r="H1651" s="30">
        <f t="shared" si="175"/>
        <v>89.81</v>
      </c>
      <c r="I1651" s="30">
        <f ca="1">IFERROR(AVERAGEIF(OFFSET(F1651,0,0,MIN(Controls!$B$8,COUNTIF(B1651:B$1973,B1651)),1),"&gt;"&amp;0),0)</f>
        <v>0</v>
      </c>
      <c r="J1651" s="38">
        <f t="shared" ca="1" si="176"/>
        <v>999</v>
      </c>
      <c r="K1651" s="30">
        <f t="shared" ca="1" si="180"/>
        <v>0</v>
      </c>
      <c r="L1651" t="str">
        <f t="shared" ca="1" si="177"/>
        <v>Overstock</v>
      </c>
      <c r="M1651" s="39">
        <f>IFERROR(VLOOKUP("APT",Controls!A:I,7,0),6)</f>
        <v>4</v>
      </c>
      <c r="N1651" s="39">
        <f>IFERROR(VLOOKUP("APT",Controls!A:I,8,0),3)</f>
        <v>3</v>
      </c>
      <c r="O1651" s="39">
        <f>IFERROR(VLOOKUP("APT",Controls!A:I,9,0),18)</f>
        <v>12</v>
      </c>
      <c r="P1651" s="40">
        <f>IFERROR(VLOOKUP("APT",Controls!A:J,5,0),0)</f>
        <v>165</v>
      </c>
      <c r="Q1651" s="39">
        <f>IFERROR(VLOOKUP("APT",Controls!A:J,6,0),3)</f>
        <v>4</v>
      </c>
      <c r="R1651" s="21" t="str">
        <f>IFERROR(VLOOKUP("APT",Controls!A:K,10,0),"")</f>
        <v>ST Pharm</v>
      </c>
      <c r="S1651" s="41">
        <f t="shared" si="178"/>
        <v>47027</v>
      </c>
      <c r="T1651" s="30">
        <f t="shared" si="179"/>
        <v>0</v>
      </c>
      <c r="AB1651">
        <f t="shared" si="181"/>
        <v>271.03999999999996</v>
      </c>
    </row>
    <row r="1652" spans="1:28" ht="13" customHeight="1" x14ac:dyDescent="0.35">
      <c r="A1652" s="153">
        <v>47178</v>
      </c>
      <c r="B1652" s="36" t="s">
        <v>58</v>
      </c>
      <c r="C1652" s="15" t="s">
        <v>52</v>
      </c>
      <c r="D1652" s="15" t="s">
        <v>48</v>
      </c>
      <c r="E1652" s="30">
        <f>H1651</f>
        <v>89.81</v>
      </c>
      <c r="F1652" s="37">
        <f>IFERROR('Production Inputs'!$AW$37*Dependencies!$D$19,0)</f>
        <v>0</v>
      </c>
      <c r="G1652" s="37">
        <f t="array" ref="G1652">IFERROR(SUMPRODUCT(('Production Inputs'!$A:$A="APT")*('Production Inputs'!$B:$B="TOTAL ACTIVE")*'Production Inputs'!$AW:$AW),0)</f>
        <v>0</v>
      </c>
      <c r="H1652" s="30">
        <f t="shared" si="175"/>
        <v>89.81</v>
      </c>
      <c r="I1652" s="30">
        <f ca="1">IFERROR(AVERAGEIF(OFFSET(F1652,0,0,MIN(Controls!$B$8,COUNTIF(B1652:B$1973,B1652)),1),"&gt;"&amp;0),0)</f>
        <v>0</v>
      </c>
      <c r="J1652" s="38">
        <f t="shared" ca="1" si="176"/>
        <v>999</v>
      </c>
      <c r="K1652" s="30">
        <f t="shared" ca="1" si="180"/>
        <v>0</v>
      </c>
      <c r="L1652" t="str">
        <f t="shared" ca="1" si="177"/>
        <v>Overstock</v>
      </c>
      <c r="M1652" s="39">
        <f>IFERROR(VLOOKUP("APT",Controls!A:I,7,0),6)</f>
        <v>4</v>
      </c>
      <c r="N1652" s="39">
        <f>IFERROR(VLOOKUP("APT",Controls!A:I,8,0),3)</f>
        <v>3</v>
      </c>
      <c r="O1652" s="39">
        <f>IFERROR(VLOOKUP("APT",Controls!A:I,9,0),18)</f>
        <v>12</v>
      </c>
      <c r="P1652" s="40">
        <f>IFERROR(VLOOKUP("APT",Controls!A:J,5,0),0)</f>
        <v>165</v>
      </c>
      <c r="Q1652" s="39">
        <f>IFERROR(VLOOKUP("APT",Controls!A:J,6,0),3)</f>
        <v>4</v>
      </c>
      <c r="R1652" s="21" t="str">
        <f>IFERROR(VLOOKUP("APT",Controls!A:K,10,0),"")</f>
        <v>ST Pharm</v>
      </c>
      <c r="S1652" s="41">
        <f t="shared" si="178"/>
        <v>47058</v>
      </c>
      <c r="T1652" s="30">
        <f t="shared" si="179"/>
        <v>0</v>
      </c>
      <c r="AB1652">
        <f t="shared" si="181"/>
        <v>271.03999999999996</v>
      </c>
    </row>
    <row r="1653" spans="1:28" ht="13" customHeight="1" x14ac:dyDescent="0.35">
      <c r="A1653" s="153">
        <v>47209</v>
      </c>
      <c r="B1653" s="36" t="s">
        <v>58</v>
      </c>
      <c r="C1653" s="15" t="s">
        <v>52</v>
      </c>
      <c r="D1653" s="15" t="s">
        <v>48</v>
      </c>
      <c r="E1653" s="30">
        <f>H1652</f>
        <v>89.81</v>
      </c>
      <c r="F1653" s="37">
        <f>IFERROR('Production Inputs'!$AX$37*Dependencies!$D$19,0)</f>
        <v>0</v>
      </c>
      <c r="G1653" s="37">
        <f t="array" ref="G1653">IFERROR(SUMPRODUCT(('Production Inputs'!$A:$A="APT")*('Production Inputs'!$B:$B="TOTAL ACTIVE")*'Production Inputs'!$AX:$AX),0)</f>
        <v>0</v>
      </c>
      <c r="H1653" s="30">
        <f t="shared" si="175"/>
        <v>89.81</v>
      </c>
      <c r="I1653" s="30">
        <f ca="1">IFERROR(AVERAGEIF(OFFSET(F1653,0,0,MIN(Controls!$B$8,COUNTIF(B1653:B$1973,B1653)),1),"&gt;"&amp;0),0)</f>
        <v>0</v>
      </c>
      <c r="J1653" s="38">
        <f t="shared" ca="1" si="176"/>
        <v>999</v>
      </c>
      <c r="K1653" s="30">
        <f t="shared" ca="1" si="180"/>
        <v>0</v>
      </c>
      <c r="L1653" t="str">
        <f t="shared" ca="1" si="177"/>
        <v>Overstock</v>
      </c>
      <c r="M1653" s="39">
        <f>IFERROR(VLOOKUP("APT",Controls!A:I,7,0),6)</f>
        <v>4</v>
      </c>
      <c r="N1653" s="39">
        <f>IFERROR(VLOOKUP("APT",Controls!A:I,8,0),3)</f>
        <v>3</v>
      </c>
      <c r="O1653" s="39">
        <f>IFERROR(VLOOKUP("APT",Controls!A:I,9,0),18)</f>
        <v>12</v>
      </c>
      <c r="P1653" s="40">
        <f>IFERROR(VLOOKUP("APT",Controls!A:J,5,0),0)</f>
        <v>165</v>
      </c>
      <c r="Q1653" s="39">
        <f>IFERROR(VLOOKUP("APT",Controls!A:J,6,0),3)</f>
        <v>4</v>
      </c>
      <c r="R1653" s="21" t="str">
        <f>IFERROR(VLOOKUP("APT",Controls!A:K,10,0),"")</f>
        <v>ST Pharm</v>
      </c>
      <c r="S1653" s="41">
        <f t="shared" si="178"/>
        <v>47088</v>
      </c>
      <c r="T1653" s="30">
        <f t="shared" si="179"/>
        <v>0</v>
      </c>
      <c r="AB1653">
        <f t="shared" si="181"/>
        <v>271.03999999999996</v>
      </c>
    </row>
    <row r="1654" spans="1:28" ht="13" customHeight="1" x14ac:dyDescent="0.35">
      <c r="A1654" s="153">
        <v>47239</v>
      </c>
      <c r="B1654" s="36" t="s">
        <v>58</v>
      </c>
      <c r="C1654" s="15" t="s">
        <v>52</v>
      </c>
      <c r="D1654" s="15" t="s">
        <v>48</v>
      </c>
      <c r="E1654" s="30">
        <f>H1653</f>
        <v>89.81</v>
      </c>
      <c r="F1654" s="37">
        <f>IFERROR('Production Inputs'!$AY$37*Dependencies!$D$19,0)</f>
        <v>0</v>
      </c>
      <c r="G1654" s="37">
        <f t="array" ref="G1654">IFERROR(SUMPRODUCT(('Production Inputs'!$A:$A="APT")*('Production Inputs'!$B:$B="TOTAL ACTIVE")*'Production Inputs'!$AY:$AY),0)</f>
        <v>0</v>
      </c>
      <c r="H1654" s="30">
        <f t="shared" si="175"/>
        <v>89.81</v>
      </c>
      <c r="I1654" s="30">
        <f ca="1">IFERROR(AVERAGEIF(OFFSET(F1654,0,0,MIN(Controls!$B$8,COUNTIF(B1654:B$1973,B1654)),1),"&gt;"&amp;0),0)</f>
        <v>0</v>
      </c>
      <c r="J1654" s="38">
        <f t="shared" ca="1" si="176"/>
        <v>999</v>
      </c>
      <c r="K1654" s="30">
        <f t="shared" ca="1" si="180"/>
        <v>0</v>
      </c>
      <c r="L1654" t="str">
        <f t="shared" ca="1" si="177"/>
        <v>Overstock</v>
      </c>
      <c r="M1654" s="39">
        <f>IFERROR(VLOOKUP("APT",Controls!A:I,7,0),6)</f>
        <v>4</v>
      </c>
      <c r="N1654" s="39">
        <f>IFERROR(VLOOKUP("APT",Controls!A:I,8,0),3)</f>
        <v>3</v>
      </c>
      <c r="O1654" s="39">
        <f>IFERROR(VLOOKUP("APT",Controls!A:I,9,0),18)</f>
        <v>12</v>
      </c>
      <c r="P1654" s="40">
        <f>IFERROR(VLOOKUP("APT",Controls!A:J,5,0),0)</f>
        <v>165</v>
      </c>
      <c r="Q1654" s="39">
        <f>IFERROR(VLOOKUP("APT",Controls!A:J,6,0),3)</f>
        <v>4</v>
      </c>
      <c r="R1654" s="21" t="str">
        <f>IFERROR(VLOOKUP("APT",Controls!A:K,10,0),"")</f>
        <v>ST Pharm</v>
      </c>
      <c r="S1654" s="41">
        <f t="shared" si="178"/>
        <v>47119</v>
      </c>
      <c r="T1654" s="30">
        <f t="shared" si="179"/>
        <v>0</v>
      </c>
      <c r="AB1654">
        <f t="shared" si="181"/>
        <v>271.03999999999996</v>
      </c>
    </row>
    <row r="1655" spans="1:28" ht="13" customHeight="1" x14ac:dyDescent="0.35">
      <c r="A1655" s="153">
        <v>47270</v>
      </c>
      <c r="B1655" s="36" t="s">
        <v>58</v>
      </c>
      <c r="C1655" s="15" t="s">
        <v>52</v>
      </c>
      <c r="D1655" s="15" t="s">
        <v>48</v>
      </c>
      <c r="E1655" s="30">
        <f>H1654</f>
        <v>89.81</v>
      </c>
      <c r="F1655" s="37">
        <f>IFERROR('Production Inputs'!$AZ$37*Dependencies!$D$19,0)</f>
        <v>0</v>
      </c>
      <c r="G1655" s="37">
        <f t="array" ref="G1655">IFERROR(SUMPRODUCT(('Production Inputs'!$A:$A="APT")*('Production Inputs'!$B:$B="TOTAL ACTIVE")*'Production Inputs'!$AZ:$AZ),0)</f>
        <v>0</v>
      </c>
      <c r="H1655" s="30">
        <f t="shared" si="175"/>
        <v>89.81</v>
      </c>
      <c r="I1655" s="30">
        <f ca="1">IFERROR(AVERAGEIF(OFFSET(F1655,0,0,MIN(Controls!$B$8,COUNTIF(B1655:B$1973,B1655)),1),"&gt;"&amp;0),0)</f>
        <v>0</v>
      </c>
      <c r="J1655" s="38">
        <f t="shared" ca="1" si="176"/>
        <v>999</v>
      </c>
      <c r="K1655" s="30">
        <f t="shared" ca="1" si="180"/>
        <v>0</v>
      </c>
      <c r="L1655" t="str">
        <f t="shared" ca="1" si="177"/>
        <v>Overstock</v>
      </c>
      <c r="M1655" s="39">
        <f>IFERROR(VLOOKUP("APT",Controls!A:I,7,0),6)</f>
        <v>4</v>
      </c>
      <c r="N1655" s="39">
        <f>IFERROR(VLOOKUP("APT",Controls!A:I,8,0),3)</f>
        <v>3</v>
      </c>
      <c r="O1655" s="39">
        <f>IFERROR(VLOOKUP("APT",Controls!A:I,9,0),18)</f>
        <v>12</v>
      </c>
      <c r="P1655" s="40">
        <f>IFERROR(VLOOKUP("APT",Controls!A:J,5,0),0)</f>
        <v>165</v>
      </c>
      <c r="Q1655" s="39">
        <f>IFERROR(VLOOKUP("APT",Controls!A:J,6,0),3)</f>
        <v>4</v>
      </c>
      <c r="R1655" s="21" t="str">
        <f>IFERROR(VLOOKUP("APT",Controls!A:K,10,0),"")</f>
        <v>ST Pharm</v>
      </c>
      <c r="S1655" s="41">
        <f t="shared" si="178"/>
        <v>47150</v>
      </c>
      <c r="T1655" s="30">
        <f t="shared" si="179"/>
        <v>0</v>
      </c>
      <c r="AB1655">
        <f t="shared" si="181"/>
        <v>271.03999999999996</v>
      </c>
    </row>
    <row r="1656" spans="1:28" ht="13" customHeight="1" x14ac:dyDescent="0.35">
      <c r="A1656" s="153">
        <v>47300</v>
      </c>
      <c r="B1656" s="36" t="s">
        <v>58</v>
      </c>
      <c r="C1656" s="15" t="s">
        <v>52</v>
      </c>
      <c r="D1656" s="15" t="s">
        <v>48</v>
      </c>
      <c r="E1656" s="30">
        <f>H1655</f>
        <v>89.81</v>
      </c>
      <c r="F1656" s="37">
        <f>IFERROR('Production Inputs'!$BA$37*Dependencies!$D$19,0)</f>
        <v>0</v>
      </c>
      <c r="G1656" s="37">
        <f t="array" ref="G1656">IFERROR(SUMPRODUCT(('Production Inputs'!$A:$A="APT")*('Production Inputs'!$B:$B="TOTAL ACTIVE")*'Production Inputs'!$BA:$BA),0)</f>
        <v>0</v>
      </c>
      <c r="H1656" s="30">
        <f t="shared" si="175"/>
        <v>89.81</v>
      </c>
      <c r="I1656" s="30">
        <f ca="1">IFERROR(AVERAGEIF(OFFSET(F1656,0,0,MIN(Controls!$B$8,COUNTIF(B1656:B$1973,B1656)),1),"&gt;"&amp;0),0)</f>
        <v>0</v>
      </c>
      <c r="J1656" s="38">
        <f t="shared" ca="1" si="176"/>
        <v>999</v>
      </c>
      <c r="K1656" s="30">
        <f t="shared" ca="1" si="180"/>
        <v>0</v>
      </c>
      <c r="L1656" t="str">
        <f t="shared" ca="1" si="177"/>
        <v>Overstock</v>
      </c>
      <c r="M1656" s="39">
        <f>IFERROR(VLOOKUP("APT",Controls!A:I,7,0),6)</f>
        <v>4</v>
      </c>
      <c r="N1656" s="39">
        <f>IFERROR(VLOOKUP("APT",Controls!A:I,8,0),3)</f>
        <v>3</v>
      </c>
      <c r="O1656" s="39">
        <f>IFERROR(VLOOKUP("APT",Controls!A:I,9,0),18)</f>
        <v>12</v>
      </c>
      <c r="P1656" s="40">
        <f>IFERROR(VLOOKUP("APT",Controls!A:J,5,0),0)</f>
        <v>165</v>
      </c>
      <c r="Q1656" s="39">
        <f>IFERROR(VLOOKUP("APT",Controls!A:J,6,0),3)</f>
        <v>4</v>
      </c>
      <c r="R1656" s="21" t="str">
        <f>IFERROR(VLOOKUP("APT",Controls!A:K,10,0),"")</f>
        <v>ST Pharm</v>
      </c>
      <c r="S1656" s="41">
        <f t="shared" si="178"/>
        <v>47178</v>
      </c>
      <c r="T1656" s="30">
        <f t="shared" si="179"/>
        <v>0</v>
      </c>
      <c r="AB1656">
        <f t="shared" si="181"/>
        <v>271.03999999999996</v>
      </c>
    </row>
    <row r="1657" spans="1:28" ht="13" customHeight="1" x14ac:dyDescent="0.35">
      <c r="A1657" s="153">
        <v>47331</v>
      </c>
      <c r="B1657" s="36" t="s">
        <v>58</v>
      </c>
      <c r="C1657" s="15" t="s">
        <v>52</v>
      </c>
      <c r="D1657" s="15" t="s">
        <v>48</v>
      </c>
      <c r="E1657" s="30">
        <f>H1656</f>
        <v>89.81</v>
      </c>
      <c r="F1657" s="37">
        <f>IFERROR('Production Inputs'!$BB$37*Dependencies!$D$19,0)</f>
        <v>0</v>
      </c>
      <c r="G1657" s="37">
        <f t="array" ref="G1657">IFERROR(SUMPRODUCT(('Production Inputs'!$A:$A="APT")*('Production Inputs'!$B:$B="TOTAL ACTIVE")*'Production Inputs'!$BB:$BB),0)</f>
        <v>0</v>
      </c>
      <c r="H1657" s="30">
        <f t="shared" si="175"/>
        <v>89.81</v>
      </c>
      <c r="I1657" s="30">
        <f ca="1">IFERROR(AVERAGEIF(OFFSET(F1657,0,0,MIN(Controls!$B$8,COUNTIF(B1657:B$1973,B1657)),1),"&gt;"&amp;0),0)</f>
        <v>0</v>
      </c>
      <c r="J1657" s="38">
        <f t="shared" ca="1" si="176"/>
        <v>999</v>
      </c>
      <c r="K1657" s="30">
        <f t="shared" ca="1" si="180"/>
        <v>0</v>
      </c>
      <c r="L1657" t="str">
        <f t="shared" ca="1" si="177"/>
        <v>Overstock</v>
      </c>
      <c r="M1657" s="39">
        <f>IFERROR(VLOOKUP("APT",Controls!A:I,7,0),6)</f>
        <v>4</v>
      </c>
      <c r="N1657" s="39">
        <f>IFERROR(VLOOKUP("APT",Controls!A:I,8,0),3)</f>
        <v>3</v>
      </c>
      <c r="O1657" s="39">
        <f>IFERROR(VLOOKUP("APT",Controls!A:I,9,0),18)</f>
        <v>12</v>
      </c>
      <c r="P1657" s="40">
        <f>IFERROR(VLOOKUP("APT",Controls!A:J,5,0),0)</f>
        <v>165</v>
      </c>
      <c r="Q1657" s="39">
        <f>IFERROR(VLOOKUP("APT",Controls!A:J,6,0),3)</f>
        <v>4</v>
      </c>
      <c r="R1657" s="21" t="str">
        <f>IFERROR(VLOOKUP("APT",Controls!A:K,10,0),"")</f>
        <v>ST Pharm</v>
      </c>
      <c r="S1657" s="41">
        <f t="shared" si="178"/>
        <v>47209</v>
      </c>
      <c r="T1657" s="30">
        <f t="shared" si="179"/>
        <v>0</v>
      </c>
      <c r="AB1657">
        <f t="shared" si="181"/>
        <v>271.03999999999996</v>
      </c>
    </row>
    <row r="1658" spans="1:28" ht="13" customHeight="1" x14ac:dyDescent="0.35">
      <c r="A1658" s="153">
        <v>47362</v>
      </c>
      <c r="B1658" s="36" t="s">
        <v>58</v>
      </c>
      <c r="C1658" s="15" t="s">
        <v>52</v>
      </c>
      <c r="D1658" s="15" t="s">
        <v>48</v>
      </c>
      <c r="E1658" s="30">
        <f>H1657</f>
        <v>89.81</v>
      </c>
      <c r="F1658" s="37">
        <f>IFERROR('Production Inputs'!$BC$37*Dependencies!$D$19,0)</f>
        <v>0</v>
      </c>
      <c r="G1658" s="37">
        <f t="array" ref="G1658">IFERROR(SUMPRODUCT(('Production Inputs'!$A:$A="APT")*('Production Inputs'!$B:$B="TOTAL ACTIVE")*'Production Inputs'!$BC:$BC),0)</f>
        <v>0</v>
      </c>
      <c r="H1658" s="30">
        <f t="shared" si="175"/>
        <v>89.81</v>
      </c>
      <c r="I1658" s="30">
        <f ca="1">IFERROR(AVERAGEIF(OFFSET(F1658,0,0,MIN(Controls!$B$8,COUNTIF(B1658:B$1973,B1658)),1),"&gt;"&amp;0),0)</f>
        <v>0</v>
      </c>
      <c r="J1658" s="38">
        <f t="shared" ca="1" si="176"/>
        <v>999</v>
      </c>
      <c r="K1658" s="30">
        <f t="shared" ca="1" si="180"/>
        <v>0</v>
      </c>
      <c r="L1658" t="str">
        <f t="shared" ca="1" si="177"/>
        <v>Overstock</v>
      </c>
      <c r="M1658" s="39">
        <f>IFERROR(VLOOKUP("APT",Controls!A:I,7,0),6)</f>
        <v>4</v>
      </c>
      <c r="N1658" s="39">
        <f>IFERROR(VLOOKUP("APT",Controls!A:I,8,0),3)</f>
        <v>3</v>
      </c>
      <c r="O1658" s="39">
        <f>IFERROR(VLOOKUP("APT",Controls!A:I,9,0),18)</f>
        <v>12</v>
      </c>
      <c r="P1658" s="40">
        <f>IFERROR(VLOOKUP("APT",Controls!A:J,5,0),0)</f>
        <v>165</v>
      </c>
      <c r="Q1658" s="39">
        <f>IFERROR(VLOOKUP("APT",Controls!A:J,6,0),3)</f>
        <v>4</v>
      </c>
      <c r="R1658" s="21" t="str">
        <f>IFERROR(VLOOKUP("APT",Controls!A:K,10,0),"")</f>
        <v>ST Pharm</v>
      </c>
      <c r="S1658" s="41">
        <f t="shared" si="178"/>
        <v>47239</v>
      </c>
      <c r="T1658" s="30">
        <f t="shared" si="179"/>
        <v>0</v>
      </c>
      <c r="AB1658">
        <f t="shared" si="181"/>
        <v>271.03999999999996</v>
      </c>
    </row>
    <row r="1659" spans="1:28" ht="13" customHeight="1" x14ac:dyDescent="0.35">
      <c r="A1659" s="153">
        <v>47392</v>
      </c>
      <c r="B1659" s="36" t="s">
        <v>58</v>
      </c>
      <c r="C1659" s="15" t="s">
        <v>52</v>
      </c>
      <c r="D1659" s="15" t="s">
        <v>48</v>
      </c>
      <c r="E1659" s="30">
        <f>H1658</f>
        <v>89.81</v>
      </c>
      <c r="F1659" s="37">
        <f>IFERROR('Production Inputs'!$BD$37*Dependencies!$D$19,0)</f>
        <v>0</v>
      </c>
      <c r="G1659" s="37">
        <f t="array" ref="G1659">IFERROR(SUMPRODUCT(('Production Inputs'!$A:$A="APT")*('Production Inputs'!$B:$B="TOTAL ACTIVE")*'Production Inputs'!$BD:$BD),0)</f>
        <v>0</v>
      </c>
      <c r="H1659" s="30">
        <f t="shared" si="175"/>
        <v>89.81</v>
      </c>
      <c r="I1659" s="30">
        <f ca="1">IFERROR(AVERAGEIF(OFFSET(F1659,0,0,MIN(Controls!$B$8,COUNTIF(B1659:B$1973,B1659)),1),"&gt;"&amp;0),0)</f>
        <v>0</v>
      </c>
      <c r="J1659" s="38">
        <f t="shared" ca="1" si="176"/>
        <v>999</v>
      </c>
      <c r="K1659" s="30">
        <f t="shared" ca="1" si="180"/>
        <v>0</v>
      </c>
      <c r="L1659" t="str">
        <f t="shared" ca="1" si="177"/>
        <v>Overstock</v>
      </c>
      <c r="M1659" s="39">
        <f>IFERROR(VLOOKUP("APT",Controls!A:I,7,0),6)</f>
        <v>4</v>
      </c>
      <c r="N1659" s="39">
        <f>IFERROR(VLOOKUP("APT",Controls!A:I,8,0),3)</f>
        <v>3</v>
      </c>
      <c r="O1659" s="39">
        <f>IFERROR(VLOOKUP("APT",Controls!A:I,9,0),18)</f>
        <v>12</v>
      </c>
      <c r="P1659" s="40">
        <f>IFERROR(VLOOKUP("APT",Controls!A:J,5,0),0)</f>
        <v>165</v>
      </c>
      <c r="Q1659" s="39">
        <f>IFERROR(VLOOKUP("APT",Controls!A:J,6,0),3)</f>
        <v>4</v>
      </c>
      <c r="R1659" s="21" t="str">
        <f>IFERROR(VLOOKUP("APT",Controls!A:K,10,0),"")</f>
        <v>ST Pharm</v>
      </c>
      <c r="S1659" s="41">
        <f t="shared" si="178"/>
        <v>47270</v>
      </c>
      <c r="T1659" s="30">
        <f t="shared" si="179"/>
        <v>0</v>
      </c>
      <c r="AB1659">
        <f t="shared" si="181"/>
        <v>271.03999999999996</v>
      </c>
    </row>
    <row r="1660" spans="1:28" ht="13" customHeight="1" x14ac:dyDescent="0.35">
      <c r="A1660" s="153">
        <v>47423</v>
      </c>
      <c r="B1660" s="36" t="s">
        <v>58</v>
      </c>
      <c r="C1660" s="15" t="s">
        <v>52</v>
      </c>
      <c r="D1660" s="15" t="s">
        <v>48</v>
      </c>
      <c r="E1660" s="30">
        <f>H1659</f>
        <v>89.81</v>
      </c>
      <c r="F1660" s="37">
        <f>IFERROR('Production Inputs'!$BE$37*Dependencies!$D$19,0)</f>
        <v>0</v>
      </c>
      <c r="G1660" s="37">
        <f t="array" ref="G1660">IFERROR(SUMPRODUCT(('Production Inputs'!$A:$A="APT")*('Production Inputs'!$B:$B="TOTAL ACTIVE")*'Production Inputs'!$BE:$BE),0)</f>
        <v>0</v>
      </c>
      <c r="H1660" s="30">
        <f t="shared" si="175"/>
        <v>89.81</v>
      </c>
      <c r="I1660" s="30">
        <f ca="1">IFERROR(AVERAGEIF(OFFSET(F1660,0,0,MIN(Controls!$B$8,COUNTIF(B1660:B$1973,B1660)),1),"&gt;"&amp;0),0)</f>
        <v>0</v>
      </c>
      <c r="J1660" s="38">
        <f t="shared" ca="1" si="176"/>
        <v>999</v>
      </c>
      <c r="K1660" s="30">
        <f t="shared" ca="1" si="180"/>
        <v>0</v>
      </c>
      <c r="L1660" t="str">
        <f t="shared" ca="1" si="177"/>
        <v>Overstock</v>
      </c>
      <c r="M1660" s="39">
        <f>IFERROR(VLOOKUP("APT",Controls!A:I,7,0),6)</f>
        <v>4</v>
      </c>
      <c r="N1660" s="39">
        <f>IFERROR(VLOOKUP("APT",Controls!A:I,8,0),3)</f>
        <v>3</v>
      </c>
      <c r="O1660" s="39">
        <f>IFERROR(VLOOKUP("APT",Controls!A:I,9,0),18)</f>
        <v>12</v>
      </c>
      <c r="P1660" s="40">
        <f>IFERROR(VLOOKUP("APT",Controls!A:J,5,0),0)</f>
        <v>165</v>
      </c>
      <c r="Q1660" s="39">
        <f>IFERROR(VLOOKUP("APT",Controls!A:J,6,0),3)</f>
        <v>4</v>
      </c>
      <c r="R1660" s="21" t="str">
        <f>IFERROR(VLOOKUP("APT",Controls!A:K,10,0),"")</f>
        <v>ST Pharm</v>
      </c>
      <c r="S1660" s="41">
        <f t="shared" si="178"/>
        <v>47300</v>
      </c>
      <c r="T1660" s="30">
        <f t="shared" si="179"/>
        <v>0</v>
      </c>
      <c r="AB1660">
        <f t="shared" si="181"/>
        <v>271.03999999999996</v>
      </c>
    </row>
    <row r="1661" spans="1:28" ht="13" customHeight="1" x14ac:dyDescent="0.35">
      <c r="A1661" s="153">
        <v>47453</v>
      </c>
      <c r="B1661" s="36" t="s">
        <v>58</v>
      </c>
      <c r="C1661" s="15" t="s">
        <v>52</v>
      </c>
      <c r="D1661" s="15" t="s">
        <v>48</v>
      </c>
      <c r="E1661" s="30">
        <f>H1660</f>
        <v>89.81</v>
      </c>
      <c r="F1661" s="37">
        <f>IFERROR('Production Inputs'!$BF$37*Dependencies!$D$19,0)</f>
        <v>0</v>
      </c>
      <c r="G1661" s="37">
        <f t="array" ref="G1661">IFERROR(SUMPRODUCT(('Production Inputs'!$A:$A="APT")*('Production Inputs'!$B:$B="TOTAL ACTIVE")*'Production Inputs'!$BF:$BF),0)</f>
        <v>0</v>
      </c>
      <c r="H1661" s="30">
        <f t="shared" si="175"/>
        <v>89.81</v>
      </c>
      <c r="I1661" s="30">
        <f ca="1">IFERROR(AVERAGEIF(OFFSET(F1661,0,0,MIN(Controls!$B$8,COUNTIF(B1661:B$1973,B1661)),1),"&gt;"&amp;0),0)</f>
        <v>0</v>
      </c>
      <c r="J1661" s="38">
        <f t="shared" ca="1" si="176"/>
        <v>999</v>
      </c>
      <c r="K1661" s="30">
        <f t="shared" ca="1" si="180"/>
        <v>0</v>
      </c>
      <c r="L1661" t="str">
        <f t="shared" ca="1" si="177"/>
        <v>Overstock</v>
      </c>
      <c r="M1661" s="39">
        <f>IFERROR(VLOOKUP("APT",Controls!A:I,7,0),6)</f>
        <v>4</v>
      </c>
      <c r="N1661" s="39">
        <f>IFERROR(VLOOKUP("APT",Controls!A:I,8,0),3)</f>
        <v>3</v>
      </c>
      <c r="O1661" s="39">
        <f>IFERROR(VLOOKUP("APT",Controls!A:I,9,0),18)</f>
        <v>12</v>
      </c>
      <c r="P1661" s="40">
        <f>IFERROR(VLOOKUP("APT",Controls!A:J,5,0),0)</f>
        <v>165</v>
      </c>
      <c r="Q1661" s="39">
        <f>IFERROR(VLOOKUP("APT",Controls!A:J,6,0),3)</f>
        <v>4</v>
      </c>
      <c r="R1661" s="21" t="str">
        <f>IFERROR(VLOOKUP("APT",Controls!A:K,10,0),"")</f>
        <v>ST Pharm</v>
      </c>
      <c r="S1661" s="41">
        <f t="shared" si="178"/>
        <v>47331</v>
      </c>
      <c r="T1661" s="30">
        <f t="shared" si="179"/>
        <v>0</v>
      </c>
      <c r="AB1661">
        <f t="shared" si="181"/>
        <v>271.03999999999996</v>
      </c>
    </row>
    <row r="1662" spans="1:28" ht="13" customHeight="1" x14ac:dyDescent="0.35">
      <c r="A1662" s="153">
        <v>47484</v>
      </c>
      <c r="B1662" s="36" t="s">
        <v>58</v>
      </c>
      <c r="C1662" s="15" t="s">
        <v>52</v>
      </c>
      <c r="D1662" s="15" t="s">
        <v>48</v>
      </c>
      <c r="E1662" s="30">
        <f>H1661</f>
        <v>89.81</v>
      </c>
      <c r="F1662" s="37">
        <f>IFERROR('Production Inputs'!$BG$37*Dependencies!$D$19,0)</f>
        <v>0</v>
      </c>
      <c r="G1662" s="37">
        <f t="array" ref="G1662">IFERROR(SUMPRODUCT(('Production Inputs'!$A:$A="APT")*('Production Inputs'!$B:$B="TOTAL ACTIVE")*'Production Inputs'!$BG:$BG),0)</f>
        <v>0</v>
      </c>
      <c r="H1662" s="30">
        <f t="shared" si="175"/>
        <v>89.81</v>
      </c>
      <c r="I1662" s="30">
        <f ca="1">IFERROR(AVERAGEIF(OFFSET(F1662,0,0,MIN(Controls!$B$8,COUNTIF(B1662:B$1973,B1662)),1),"&gt;"&amp;0),0)</f>
        <v>0</v>
      </c>
      <c r="J1662" s="38">
        <f t="shared" ca="1" si="176"/>
        <v>999</v>
      </c>
      <c r="K1662" s="30">
        <f t="shared" ca="1" si="180"/>
        <v>0</v>
      </c>
      <c r="L1662" t="str">
        <f t="shared" ca="1" si="177"/>
        <v>Overstock</v>
      </c>
      <c r="M1662" s="39">
        <f>IFERROR(VLOOKUP("APT",Controls!A:I,7,0),6)</f>
        <v>4</v>
      </c>
      <c r="N1662" s="39">
        <f>IFERROR(VLOOKUP("APT",Controls!A:I,8,0),3)</f>
        <v>3</v>
      </c>
      <c r="O1662" s="39">
        <f>IFERROR(VLOOKUP("APT",Controls!A:I,9,0),18)</f>
        <v>12</v>
      </c>
      <c r="P1662" s="40">
        <f>IFERROR(VLOOKUP("APT",Controls!A:J,5,0),0)</f>
        <v>165</v>
      </c>
      <c r="Q1662" s="39">
        <f>IFERROR(VLOOKUP("APT",Controls!A:J,6,0),3)</f>
        <v>4</v>
      </c>
      <c r="R1662" s="21" t="str">
        <f>IFERROR(VLOOKUP("APT",Controls!A:K,10,0),"")</f>
        <v>ST Pharm</v>
      </c>
      <c r="S1662" s="41">
        <f t="shared" si="178"/>
        <v>47362</v>
      </c>
      <c r="T1662" s="30">
        <f t="shared" si="179"/>
        <v>0</v>
      </c>
      <c r="AB1662">
        <f t="shared" si="181"/>
        <v>271.03999999999996</v>
      </c>
    </row>
    <row r="1663" spans="1:28" ht="13" customHeight="1" x14ac:dyDescent="0.35">
      <c r="A1663" s="153">
        <v>47515</v>
      </c>
      <c r="B1663" s="36" t="s">
        <v>58</v>
      </c>
      <c r="C1663" s="15" t="s">
        <v>52</v>
      </c>
      <c r="D1663" s="15" t="s">
        <v>48</v>
      </c>
      <c r="E1663" s="30">
        <f>H1662</f>
        <v>89.81</v>
      </c>
      <c r="F1663" s="37">
        <f>IFERROR('Production Inputs'!$BH$37*Dependencies!$D$19,0)</f>
        <v>0</v>
      </c>
      <c r="G1663" s="37">
        <f t="array" ref="G1663">IFERROR(SUMPRODUCT(('Production Inputs'!$A:$A="APT")*('Production Inputs'!$B:$B="TOTAL ACTIVE")*'Production Inputs'!$BH:$BH),0)</f>
        <v>0</v>
      </c>
      <c r="H1663" s="30">
        <f t="shared" si="175"/>
        <v>89.81</v>
      </c>
      <c r="I1663" s="30">
        <f ca="1">IFERROR(AVERAGEIF(OFFSET(F1663,0,0,MIN(Controls!$B$8,COUNTIF(B1663:B$1973,B1663)),1),"&gt;"&amp;0),0)</f>
        <v>0</v>
      </c>
      <c r="J1663" s="38">
        <f t="shared" ca="1" si="176"/>
        <v>999</v>
      </c>
      <c r="K1663" s="30">
        <f t="shared" ca="1" si="180"/>
        <v>0</v>
      </c>
      <c r="L1663" t="str">
        <f t="shared" ca="1" si="177"/>
        <v>Overstock</v>
      </c>
      <c r="M1663" s="39">
        <f>IFERROR(VLOOKUP("APT",Controls!A:I,7,0),6)</f>
        <v>4</v>
      </c>
      <c r="N1663" s="39">
        <f>IFERROR(VLOOKUP("APT",Controls!A:I,8,0),3)</f>
        <v>3</v>
      </c>
      <c r="O1663" s="39">
        <f>IFERROR(VLOOKUP("APT",Controls!A:I,9,0),18)</f>
        <v>12</v>
      </c>
      <c r="P1663" s="40">
        <f>IFERROR(VLOOKUP("APT",Controls!A:J,5,0),0)</f>
        <v>165</v>
      </c>
      <c r="Q1663" s="39">
        <f>IFERROR(VLOOKUP("APT",Controls!A:J,6,0),3)</f>
        <v>4</v>
      </c>
      <c r="R1663" s="21" t="str">
        <f>IFERROR(VLOOKUP("APT",Controls!A:K,10,0),"")</f>
        <v>ST Pharm</v>
      </c>
      <c r="S1663" s="41">
        <f t="shared" si="178"/>
        <v>47392</v>
      </c>
      <c r="T1663" s="30">
        <f t="shared" si="179"/>
        <v>0</v>
      </c>
      <c r="AB1663">
        <f t="shared" si="181"/>
        <v>271.03999999999996</v>
      </c>
    </row>
    <row r="1664" spans="1:28" ht="13" customHeight="1" x14ac:dyDescent="0.35">
      <c r="A1664" s="153">
        <v>47543</v>
      </c>
      <c r="B1664" s="36" t="s">
        <v>58</v>
      </c>
      <c r="C1664" s="15" t="s">
        <v>52</v>
      </c>
      <c r="D1664" s="15" t="s">
        <v>48</v>
      </c>
      <c r="E1664" s="30">
        <f>H1663</f>
        <v>89.81</v>
      </c>
      <c r="F1664" s="37">
        <f>IFERROR('Production Inputs'!$BI$37*Dependencies!$D$19,0)</f>
        <v>0</v>
      </c>
      <c r="G1664" s="37">
        <f t="array" ref="G1664">IFERROR(SUMPRODUCT(('Production Inputs'!$A:$A="APT")*('Production Inputs'!$B:$B="TOTAL ACTIVE")*'Production Inputs'!$BI:$BI),0)</f>
        <v>0</v>
      </c>
      <c r="H1664" s="30">
        <f t="shared" si="175"/>
        <v>89.81</v>
      </c>
      <c r="I1664" s="30">
        <f ca="1">IFERROR(AVERAGEIF(OFFSET(F1664,0,0,MIN(Controls!$B$8,COUNTIF(B1664:B$1973,B1664)),1),"&gt;"&amp;0),0)</f>
        <v>0</v>
      </c>
      <c r="J1664" s="38">
        <f t="shared" ca="1" si="176"/>
        <v>999</v>
      </c>
      <c r="K1664" s="30">
        <f t="shared" ca="1" si="180"/>
        <v>0</v>
      </c>
      <c r="L1664" t="str">
        <f t="shared" ca="1" si="177"/>
        <v>Overstock</v>
      </c>
      <c r="M1664" s="39">
        <f>IFERROR(VLOOKUP("APT",Controls!A:I,7,0),6)</f>
        <v>4</v>
      </c>
      <c r="N1664" s="39">
        <f>IFERROR(VLOOKUP("APT",Controls!A:I,8,0),3)</f>
        <v>3</v>
      </c>
      <c r="O1664" s="39">
        <f>IFERROR(VLOOKUP("APT",Controls!A:I,9,0),18)</f>
        <v>12</v>
      </c>
      <c r="P1664" s="40">
        <f>IFERROR(VLOOKUP("APT",Controls!A:J,5,0),0)</f>
        <v>165</v>
      </c>
      <c r="Q1664" s="39">
        <f>IFERROR(VLOOKUP("APT",Controls!A:J,6,0),3)</f>
        <v>4</v>
      </c>
      <c r="R1664" s="21" t="str">
        <f>IFERROR(VLOOKUP("APT",Controls!A:K,10,0),"")</f>
        <v>ST Pharm</v>
      </c>
      <c r="S1664" s="41">
        <f t="shared" si="178"/>
        <v>47423</v>
      </c>
      <c r="T1664" s="30">
        <f t="shared" si="179"/>
        <v>0</v>
      </c>
      <c r="AB1664">
        <f t="shared" si="181"/>
        <v>271.03999999999996</v>
      </c>
    </row>
    <row r="1665" spans="1:28" ht="13" customHeight="1" x14ac:dyDescent="0.35">
      <c r="A1665" s="153">
        <v>47574</v>
      </c>
      <c r="B1665" s="36" t="s">
        <v>58</v>
      </c>
      <c r="C1665" s="15" t="s">
        <v>52</v>
      </c>
      <c r="D1665" s="15" t="s">
        <v>48</v>
      </c>
      <c r="E1665" s="30">
        <f>H1664</f>
        <v>89.81</v>
      </c>
      <c r="F1665" s="37">
        <f>IFERROR('Production Inputs'!$BJ$37*Dependencies!$D$19,0)</f>
        <v>0</v>
      </c>
      <c r="G1665" s="37">
        <f t="array" ref="G1665">IFERROR(SUMPRODUCT(('Production Inputs'!$A:$A="APT")*('Production Inputs'!$B:$B="TOTAL ACTIVE")*'Production Inputs'!$BJ:$BJ),0)</f>
        <v>0</v>
      </c>
      <c r="H1665" s="30">
        <f t="shared" si="175"/>
        <v>89.81</v>
      </c>
      <c r="I1665" s="30">
        <f ca="1">IFERROR(AVERAGEIF(OFFSET(F1665,0,0,MIN(Controls!$B$8,COUNTIF(B1665:B$1973,B1665)),1),"&gt;"&amp;0),0)</f>
        <v>0</v>
      </c>
      <c r="J1665" s="38">
        <f t="shared" ca="1" si="176"/>
        <v>999</v>
      </c>
      <c r="K1665" s="30">
        <f t="shared" ca="1" si="180"/>
        <v>0</v>
      </c>
      <c r="L1665" t="str">
        <f t="shared" ca="1" si="177"/>
        <v>Overstock</v>
      </c>
      <c r="M1665" s="39">
        <f>IFERROR(VLOOKUP("APT",Controls!A:I,7,0),6)</f>
        <v>4</v>
      </c>
      <c r="N1665" s="39">
        <f>IFERROR(VLOOKUP("APT",Controls!A:I,8,0),3)</f>
        <v>3</v>
      </c>
      <c r="O1665" s="39">
        <f>IFERROR(VLOOKUP("APT",Controls!A:I,9,0),18)</f>
        <v>12</v>
      </c>
      <c r="P1665" s="40">
        <f>IFERROR(VLOOKUP("APT",Controls!A:J,5,0),0)</f>
        <v>165</v>
      </c>
      <c r="Q1665" s="39">
        <f>IFERROR(VLOOKUP("APT",Controls!A:J,6,0),3)</f>
        <v>4</v>
      </c>
      <c r="R1665" s="21" t="str">
        <f>IFERROR(VLOOKUP("APT",Controls!A:K,10,0),"")</f>
        <v>ST Pharm</v>
      </c>
      <c r="S1665" s="41">
        <f t="shared" si="178"/>
        <v>47453</v>
      </c>
      <c r="T1665" s="30">
        <f t="shared" si="179"/>
        <v>0</v>
      </c>
      <c r="AB1665">
        <f t="shared" si="181"/>
        <v>271.03999999999996</v>
      </c>
    </row>
    <row r="1666" spans="1:28" ht="13" customHeight="1" x14ac:dyDescent="0.35">
      <c r="A1666" s="153">
        <v>47604</v>
      </c>
      <c r="B1666" s="36" t="s">
        <v>58</v>
      </c>
      <c r="C1666" s="15" t="s">
        <v>52</v>
      </c>
      <c r="D1666" s="15" t="s">
        <v>48</v>
      </c>
      <c r="E1666" s="30">
        <f>H1665</f>
        <v>89.81</v>
      </c>
      <c r="F1666" s="37">
        <f>IFERROR('Production Inputs'!$BK$37*Dependencies!$D$19,0)</f>
        <v>0</v>
      </c>
      <c r="G1666" s="37">
        <f t="array" ref="G1666">IFERROR(SUMPRODUCT(('Production Inputs'!$A:$A="APT")*('Production Inputs'!$B:$B="TOTAL ACTIVE")*'Production Inputs'!$BK:$BK),0)</f>
        <v>0</v>
      </c>
      <c r="H1666" s="30">
        <f t="shared" si="175"/>
        <v>89.81</v>
      </c>
      <c r="I1666" s="30">
        <f ca="1">IFERROR(AVERAGEIF(OFFSET(F1666,0,0,MIN(Controls!$B$8,COUNTIF(B1666:B$1973,B1666)),1),"&gt;"&amp;0),0)</f>
        <v>0</v>
      </c>
      <c r="J1666" s="38">
        <f t="shared" ca="1" si="176"/>
        <v>999</v>
      </c>
      <c r="K1666" s="30">
        <f t="shared" ca="1" si="180"/>
        <v>0</v>
      </c>
      <c r="L1666" t="str">
        <f t="shared" ca="1" si="177"/>
        <v>Overstock</v>
      </c>
      <c r="M1666" s="39">
        <f>IFERROR(VLOOKUP("APT",Controls!A:I,7,0),6)</f>
        <v>4</v>
      </c>
      <c r="N1666" s="39">
        <f>IFERROR(VLOOKUP("APT",Controls!A:I,8,0),3)</f>
        <v>3</v>
      </c>
      <c r="O1666" s="39">
        <f>IFERROR(VLOOKUP("APT",Controls!A:I,9,0),18)</f>
        <v>12</v>
      </c>
      <c r="P1666" s="40">
        <f>IFERROR(VLOOKUP("APT",Controls!A:J,5,0),0)</f>
        <v>165</v>
      </c>
      <c r="Q1666" s="39">
        <f>IFERROR(VLOOKUP("APT",Controls!A:J,6,0),3)</f>
        <v>4</v>
      </c>
      <c r="R1666" s="21" t="str">
        <f>IFERROR(VLOOKUP("APT",Controls!A:K,10,0),"")</f>
        <v>ST Pharm</v>
      </c>
      <c r="S1666" s="41">
        <f t="shared" si="178"/>
        <v>47484</v>
      </c>
      <c r="T1666" s="30">
        <f t="shared" si="179"/>
        <v>0</v>
      </c>
      <c r="AB1666">
        <f t="shared" si="181"/>
        <v>271.03999999999996</v>
      </c>
    </row>
    <row r="1667" spans="1:28" ht="13" customHeight="1" x14ac:dyDescent="0.35">
      <c r="A1667" s="153">
        <v>47635</v>
      </c>
      <c r="B1667" s="36" t="s">
        <v>58</v>
      </c>
      <c r="C1667" s="15" t="s">
        <v>52</v>
      </c>
      <c r="D1667" s="15" t="s">
        <v>48</v>
      </c>
      <c r="E1667" s="30">
        <f>H1666</f>
        <v>89.81</v>
      </c>
      <c r="F1667" s="37">
        <f>IFERROR('Production Inputs'!$BL$37*Dependencies!$D$19,0)</f>
        <v>0</v>
      </c>
      <c r="G1667" s="37">
        <f t="array" ref="G1667">IFERROR(SUMPRODUCT(('Production Inputs'!$A:$A="APT")*('Production Inputs'!$B:$B="TOTAL ACTIVE")*'Production Inputs'!$BL:$BL),0)</f>
        <v>0</v>
      </c>
      <c r="H1667" s="30">
        <f t="shared" si="175"/>
        <v>89.81</v>
      </c>
      <c r="I1667" s="30">
        <f ca="1">IFERROR(AVERAGEIF(OFFSET(F1667,0,0,MIN(Controls!$B$8,COUNTIF(B1667:B$1973,B1667)),1),"&gt;"&amp;0),0)</f>
        <v>0</v>
      </c>
      <c r="J1667" s="38">
        <f t="shared" ca="1" si="176"/>
        <v>999</v>
      </c>
      <c r="K1667" s="30">
        <f t="shared" ca="1" si="180"/>
        <v>0</v>
      </c>
      <c r="L1667" t="str">
        <f t="shared" ca="1" si="177"/>
        <v>Overstock</v>
      </c>
      <c r="M1667" s="39">
        <f>IFERROR(VLOOKUP("APT",Controls!A:I,7,0),6)</f>
        <v>4</v>
      </c>
      <c r="N1667" s="39">
        <f>IFERROR(VLOOKUP("APT",Controls!A:I,8,0),3)</f>
        <v>3</v>
      </c>
      <c r="O1667" s="39">
        <f>IFERROR(VLOOKUP("APT",Controls!A:I,9,0),18)</f>
        <v>12</v>
      </c>
      <c r="P1667" s="40">
        <f>IFERROR(VLOOKUP("APT",Controls!A:J,5,0),0)</f>
        <v>165</v>
      </c>
      <c r="Q1667" s="39">
        <f>IFERROR(VLOOKUP("APT",Controls!A:J,6,0),3)</f>
        <v>4</v>
      </c>
      <c r="R1667" s="21" t="str">
        <f>IFERROR(VLOOKUP("APT",Controls!A:K,10,0),"")</f>
        <v>ST Pharm</v>
      </c>
      <c r="S1667" s="41">
        <f t="shared" si="178"/>
        <v>47515</v>
      </c>
      <c r="T1667" s="30">
        <f t="shared" si="179"/>
        <v>0</v>
      </c>
      <c r="AB1667">
        <f t="shared" si="181"/>
        <v>271.03999999999996</v>
      </c>
    </row>
    <row r="1668" spans="1:28" ht="13" customHeight="1" x14ac:dyDescent="0.35">
      <c r="A1668" s="153">
        <v>47665</v>
      </c>
      <c r="B1668" s="36" t="s">
        <v>58</v>
      </c>
      <c r="C1668" s="15" t="s">
        <v>52</v>
      </c>
      <c r="D1668" s="15" t="s">
        <v>48</v>
      </c>
      <c r="E1668" s="30">
        <f>H1667</f>
        <v>89.81</v>
      </c>
      <c r="F1668" s="37">
        <f>IFERROR('Production Inputs'!$BM$37*Dependencies!$D$19,0)</f>
        <v>0</v>
      </c>
      <c r="G1668" s="37">
        <f t="array" ref="G1668">IFERROR(SUMPRODUCT(('Production Inputs'!$A:$A="APT")*('Production Inputs'!$B:$B="TOTAL ACTIVE")*'Production Inputs'!$BM:$BM),0)</f>
        <v>0</v>
      </c>
      <c r="H1668" s="30">
        <f t="shared" ref="H1668:H1731" si="182">E1668+G1668-F1668</f>
        <v>89.81</v>
      </c>
      <c r="I1668" s="30">
        <f ca="1">IFERROR(AVERAGEIF(OFFSET(F1668,0,0,MIN(Controls!$B$8,COUNTIF(B1668:B$1973,B1668)),1),"&gt;"&amp;0),0)</f>
        <v>0</v>
      </c>
      <c r="J1668" s="38">
        <f t="shared" ref="J1668:J1731" ca="1" si="183">IFERROR(H1668/I1668,IF(H1668&gt;0,999,0))</f>
        <v>999</v>
      </c>
      <c r="K1668" s="30">
        <f t="shared" ca="1" si="180"/>
        <v>0</v>
      </c>
      <c r="L1668" t="str">
        <f t="shared" ref="L1668:L1731" ca="1" si="184">IF(H1668&lt;=0,"High",IF(J1668&lt;N1668,"High",IF(J1668&lt;M1668,"Medium",IF(J1668&gt;O1668,"Overstock","Low"))))</f>
        <v>Overstock</v>
      </c>
      <c r="M1668" s="39">
        <f>IFERROR(VLOOKUP("APT",Controls!A:I,7,0),6)</f>
        <v>4</v>
      </c>
      <c r="N1668" s="39">
        <f>IFERROR(VLOOKUP("APT",Controls!A:I,8,0),3)</f>
        <v>3</v>
      </c>
      <c r="O1668" s="39">
        <f>IFERROR(VLOOKUP("APT",Controls!A:I,9,0),18)</f>
        <v>12</v>
      </c>
      <c r="P1668" s="40">
        <f>IFERROR(VLOOKUP("APT",Controls!A:J,5,0),0)</f>
        <v>165</v>
      </c>
      <c r="Q1668" s="39">
        <f>IFERROR(VLOOKUP("APT",Controls!A:J,6,0),3)</f>
        <v>4</v>
      </c>
      <c r="R1668" s="21" t="str">
        <f>IFERROR(VLOOKUP("APT",Controls!A:K,10,0),"")</f>
        <v>ST Pharm</v>
      </c>
      <c r="S1668" s="41">
        <f t="shared" ref="S1668:S1731" si="185">IFERROR(EDATE(A1668,-Q1668),"")</f>
        <v>47543</v>
      </c>
      <c r="T1668" s="30">
        <f t="shared" ref="T1668:T1731" si="186">G1668</f>
        <v>0</v>
      </c>
      <c r="AB1668">
        <f t="shared" si="181"/>
        <v>271.03999999999996</v>
      </c>
    </row>
    <row r="1669" spans="1:28" ht="13" customHeight="1" x14ac:dyDescent="0.35">
      <c r="A1669" s="153">
        <v>47696</v>
      </c>
      <c r="B1669" s="36" t="s">
        <v>58</v>
      </c>
      <c r="C1669" s="15" t="s">
        <v>52</v>
      </c>
      <c r="D1669" s="15" t="s">
        <v>48</v>
      </c>
      <c r="E1669" s="30">
        <f>H1668</f>
        <v>89.81</v>
      </c>
      <c r="F1669" s="37">
        <f>IFERROR('Production Inputs'!$BN$37*Dependencies!$D$19,0)</f>
        <v>0</v>
      </c>
      <c r="G1669" s="37">
        <f t="array" ref="G1669">IFERROR(SUMPRODUCT(('Production Inputs'!$A:$A="APT")*('Production Inputs'!$B:$B="TOTAL ACTIVE")*'Production Inputs'!$BN:$BN),0)</f>
        <v>0</v>
      </c>
      <c r="H1669" s="30">
        <f t="shared" si="182"/>
        <v>89.81</v>
      </c>
      <c r="I1669" s="30">
        <f ca="1">IFERROR(AVERAGEIF(OFFSET(F1669,0,0,MIN(Controls!$B$8,COUNTIF(B1669:B$1973,B1669)),1),"&gt;"&amp;0),0)</f>
        <v>0</v>
      </c>
      <c r="J1669" s="38">
        <f t="shared" ca="1" si="183"/>
        <v>999</v>
      </c>
      <c r="K1669" s="30">
        <f t="shared" ref="K1669:K1732" ca="1" si="187">IFERROR(IF(H1669&lt;(N1669*I1669), CEILING(MAX(0,ROUND((M1669*I1669-H1669)/P1669,0)*P1669),P1669), 0), 0)</f>
        <v>0</v>
      </c>
      <c r="L1669" t="str">
        <f t="shared" ca="1" si="184"/>
        <v>Overstock</v>
      </c>
      <c r="M1669" s="39">
        <f>IFERROR(VLOOKUP("APT",Controls!A:I,7,0),6)</f>
        <v>4</v>
      </c>
      <c r="N1669" s="39">
        <f>IFERROR(VLOOKUP("APT",Controls!A:I,8,0),3)</f>
        <v>3</v>
      </c>
      <c r="O1669" s="39">
        <f>IFERROR(VLOOKUP("APT",Controls!A:I,9,0),18)</f>
        <v>12</v>
      </c>
      <c r="P1669" s="40">
        <f>IFERROR(VLOOKUP("APT",Controls!A:J,5,0),0)</f>
        <v>165</v>
      </c>
      <c r="Q1669" s="39">
        <f>IFERROR(VLOOKUP("APT",Controls!A:J,6,0),3)</f>
        <v>4</v>
      </c>
      <c r="R1669" s="21" t="str">
        <f>IFERROR(VLOOKUP("APT",Controls!A:K,10,0),"")</f>
        <v>ST Pharm</v>
      </c>
      <c r="S1669" s="41">
        <f t="shared" si="185"/>
        <v>47574</v>
      </c>
      <c r="T1669" s="30">
        <f t="shared" si="186"/>
        <v>0</v>
      </c>
      <c r="AB1669">
        <f t="shared" ref="AB1669:AB1732" si="188">SUMIFS($F$4:$F$2331,$B$4:$B$2331,B1669,$A$4:$A$2331,"&lt;="&amp;A1669)</f>
        <v>271.03999999999996</v>
      </c>
    </row>
    <row r="1670" spans="1:28" ht="13" customHeight="1" x14ac:dyDescent="0.35">
      <c r="A1670" s="153">
        <v>47727</v>
      </c>
      <c r="B1670" s="36" t="s">
        <v>58</v>
      </c>
      <c r="C1670" s="15" t="s">
        <v>52</v>
      </c>
      <c r="D1670" s="15" t="s">
        <v>48</v>
      </c>
      <c r="E1670" s="30">
        <f>H1669</f>
        <v>89.81</v>
      </c>
      <c r="F1670" s="37">
        <f>IFERROR('Production Inputs'!$BO$37*Dependencies!$D$19,0)</f>
        <v>0</v>
      </c>
      <c r="G1670" s="37">
        <f t="array" ref="G1670">IFERROR(SUMPRODUCT(('Production Inputs'!$A:$A="APT")*('Production Inputs'!$B:$B="TOTAL ACTIVE")*'Production Inputs'!$BO:$BO),0)</f>
        <v>0</v>
      </c>
      <c r="H1670" s="30">
        <f t="shared" si="182"/>
        <v>89.81</v>
      </c>
      <c r="I1670" s="30">
        <f ca="1">IFERROR(AVERAGEIF(OFFSET(F1670,0,0,MIN(Controls!$B$8,COUNTIF(B1670:B$1973,B1670)),1),"&gt;"&amp;0),0)</f>
        <v>0</v>
      </c>
      <c r="J1670" s="38">
        <f t="shared" ca="1" si="183"/>
        <v>999</v>
      </c>
      <c r="K1670" s="30">
        <f t="shared" ca="1" si="187"/>
        <v>0</v>
      </c>
      <c r="L1670" t="str">
        <f t="shared" ca="1" si="184"/>
        <v>Overstock</v>
      </c>
      <c r="M1670" s="39">
        <f>IFERROR(VLOOKUP("APT",Controls!A:I,7,0),6)</f>
        <v>4</v>
      </c>
      <c r="N1670" s="39">
        <f>IFERROR(VLOOKUP("APT",Controls!A:I,8,0),3)</f>
        <v>3</v>
      </c>
      <c r="O1670" s="39">
        <f>IFERROR(VLOOKUP("APT",Controls!A:I,9,0),18)</f>
        <v>12</v>
      </c>
      <c r="P1670" s="40">
        <f>IFERROR(VLOOKUP("APT",Controls!A:J,5,0),0)</f>
        <v>165</v>
      </c>
      <c r="Q1670" s="39">
        <f>IFERROR(VLOOKUP("APT",Controls!A:J,6,0),3)</f>
        <v>4</v>
      </c>
      <c r="R1670" s="21" t="str">
        <f>IFERROR(VLOOKUP("APT",Controls!A:K,10,0),"")</f>
        <v>ST Pharm</v>
      </c>
      <c r="S1670" s="41">
        <f t="shared" si="185"/>
        <v>47604</v>
      </c>
      <c r="T1670" s="30">
        <f t="shared" si="186"/>
        <v>0</v>
      </c>
      <c r="AB1670">
        <f t="shared" si="188"/>
        <v>271.03999999999996</v>
      </c>
    </row>
    <row r="1671" spans="1:28" ht="13" customHeight="1" x14ac:dyDescent="0.35">
      <c r="A1671" s="153">
        <v>47757</v>
      </c>
      <c r="B1671" s="36" t="s">
        <v>58</v>
      </c>
      <c r="C1671" s="15" t="s">
        <v>52</v>
      </c>
      <c r="D1671" s="15" t="s">
        <v>48</v>
      </c>
      <c r="E1671" s="30">
        <f>H1670</f>
        <v>89.81</v>
      </c>
      <c r="F1671" s="37">
        <f>IFERROR('Production Inputs'!$BP$37*Dependencies!$D$19,0)</f>
        <v>0</v>
      </c>
      <c r="G1671" s="37">
        <f t="array" ref="G1671">IFERROR(SUMPRODUCT(('Production Inputs'!$A:$A="APT")*('Production Inputs'!$B:$B="TOTAL ACTIVE")*'Production Inputs'!$BP:$BP),0)</f>
        <v>0</v>
      </c>
      <c r="H1671" s="30">
        <f t="shared" si="182"/>
        <v>89.81</v>
      </c>
      <c r="I1671" s="30">
        <f ca="1">IFERROR(AVERAGEIF(OFFSET(F1671,0,0,MIN(Controls!$B$8,COUNTIF(B1671:B$1973,B1671)),1),"&gt;"&amp;0),0)</f>
        <v>0</v>
      </c>
      <c r="J1671" s="38">
        <f t="shared" ca="1" si="183"/>
        <v>999</v>
      </c>
      <c r="K1671" s="30">
        <f t="shared" ca="1" si="187"/>
        <v>0</v>
      </c>
      <c r="L1671" t="str">
        <f t="shared" ca="1" si="184"/>
        <v>Overstock</v>
      </c>
      <c r="M1671" s="39">
        <f>IFERROR(VLOOKUP("APT",Controls!A:I,7,0),6)</f>
        <v>4</v>
      </c>
      <c r="N1671" s="39">
        <f>IFERROR(VLOOKUP("APT",Controls!A:I,8,0),3)</f>
        <v>3</v>
      </c>
      <c r="O1671" s="39">
        <f>IFERROR(VLOOKUP("APT",Controls!A:I,9,0),18)</f>
        <v>12</v>
      </c>
      <c r="P1671" s="40">
        <f>IFERROR(VLOOKUP("APT",Controls!A:J,5,0),0)</f>
        <v>165</v>
      </c>
      <c r="Q1671" s="39">
        <f>IFERROR(VLOOKUP("APT",Controls!A:J,6,0),3)</f>
        <v>4</v>
      </c>
      <c r="R1671" s="21" t="str">
        <f>IFERROR(VLOOKUP("APT",Controls!A:K,10,0),"")</f>
        <v>ST Pharm</v>
      </c>
      <c r="S1671" s="41">
        <f t="shared" si="185"/>
        <v>47635</v>
      </c>
      <c r="T1671" s="30">
        <f t="shared" si="186"/>
        <v>0</v>
      </c>
      <c r="AB1671">
        <f t="shared" si="188"/>
        <v>271.03999999999996</v>
      </c>
    </row>
    <row r="1672" spans="1:28" ht="13" customHeight="1" x14ac:dyDescent="0.35">
      <c r="A1672" s="153">
        <v>47788</v>
      </c>
      <c r="B1672" s="36" t="s">
        <v>58</v>
      </c>
      <c r="C1672" s="15" t="s">
        <v>52</v>
      </c>
      <c r="D1672" s="15" t="s">
        <v>48</v>
      </c>
      <c r="E1672" s="30">
        <f>H1671</f>
        <v>89.81</v>
      </c>
      <c r="F1672" s="37">
        <f>IFERROR('Production Inputs'!$BQ$37*Dependencies!$D$19,0)</f>
        <v>0</v>
      </c>
      <c r="G1672" s="37">
        <f t="array" ref="G1672">IFERROR(SUMPRODUCT(('Production Inputs'!$A:$A="APT")*('Production Inputs'!$B:$B="TOTAL ACTIVE")*'Production Inputs'!$BQ:$BQ),0)</f>
        <v>0</v>
      </c>
      <c r="H1672" s="30">
        <f t="shared" si="182"/>
        <v>89.81</v>
      </c>
      <c r="I1672" s="30">
        <f ca="1">IFERROR(AVERAGEIF(OFFSET(F1672,0,0,MIN(Controls!$B$8,COUNTIF(B1672:B$1973,B1672)),1),"&gt;"&amp;0),0)</f>
        <v>0</v>
      </c>
      <c r="J1672" s="38">
        <f t="shared" ca="1" si="183"/>
        <v>999</v>
      </c>
      <c r="K1672" s="30">
        <f t="shared" ca="1" si="187"/>
        <v>0</v>
      </c>
      <c r="L1672" t="str">
        <f t="shared" ca="1" si="184"/>
        <v>Overstock</v>
      </c>
      <c r="M1672" s="39">
        <f>IFERROR(VLOOKUP("APT",Controls!A:I,7,0),6)</f>
        <v>4</v>
      </c>
      <c r="N1672" s="39">
        <f>IFERROR(VLOOKUP("APT",Controls!A:I,8,0),3)</f>
        <v>3</v>
      </c>
      <c r="O1672" s="39">
        <f>IFERROR(VLOOKUP("APT",Controls!A:I,9,0),18)</f>
        <v>12</v>
      </c>
      <c r="P1672" s="40">
        <f>IFERROR(VLOOKUP("APT",Controls!A:J,5,0),0)</f>
        <v>165</v>
      </c>
      <c r="Q1672" s="39">
        <f>IFERROR(VLOOKUP("APT",Controls!A:J,6,0),3)</f>
        <v>4</v>
      </c>
      <c r="R1672" s="21" t="str">
        <f>IFERROR(VLOOKUP("APT",Controls!A:K,10,0),"")</f>
        <v>ST Pharm</v>
      </c>
      <c r="S1672" s="41">
        <f t="shared" si="185"/>
        <v>47665</v>
      </c>
      <c r="T1672" s="30">
        <f t="shared" si="186"/>
        <v>0</v>
      </c>
      <c r="AB1672">
        <f t="shared" si="188"/>
        <v>271.03999999999996</v>
      </c>
    </row>
    <row r="1673" spans="1:28" ht="13" customHeight="1" x14ac:dyDescent="0.35">
      <c r="A1673" s="153">
        <v>47818</v>
      </c>
      <c r="B1673" s="36" t="s">
        <v>58</v>
      </c>
      <c r="C1673" s="15" t="s">
        <v>52</v>
      </c>
      <c r="D1673" s="15" t="s">
        <v>48</v>
      </c>
      <c r="E1673" s="30">
        <f>H1672</f>
        <v>89.81</v>
      </c>
      <c r="F1673" s="37">
        <f>IFERROR('Production Inputs'!$BR$37*Dependencies!$D$19,0)</f>
        <v>0</v>
      </c>
      <c r="G1673" s="37">
        <f t="array" ref="G1673">IFERROR(SUMPRODUCT(('Production Inputs'!$A:$A="APT")*('Production Inputs'!$B:$B="TOTAL ACTIVE")*'Production Inputs'!$BR:$BR),0)</f>
        <v>0</v>
      </c>
      <c r="H1673" s="30">
        <f t="shared" si="182"/>
        <v>89.81</v>
      </c>
      <c r="I1673" s="30">
        <f ca="1">IFERROR(AVERAGEIF(OFFSET(F1673,0,0,MIN(Controls!$B$8,COUNTIF(B1673:B$1973,B1673)),1),"&gt;"&amp;0),0)</f>
        <v>0</v>
      </c>
      <c r="J1673" s="38">
        <f t="shared" ca="1" si="183"/>
        <v>999</v>
      </c>
      <c r="K1673" s="30">
        <f t="shared" ca="1" si="187"/>
        <v>0</v>
      </c>
      <c r="L1673" t="str">
        <f t="shared" ca="1" si="184"/>
        <v>Overstock</v>
      </c>
      <c r="M1673" s="39">
        <f>IFERROR(VLOOKUP("APT",Controls!A:I,7,0),6)</f>
        <v>4</v>
      </c>
      <c r="N1673" s="39">
        <f>IFERROR(VLOOKUP("APT",Controls!A:I,8,0),3)</f>
        <v>3</v>
      </c>
      <c r="O1673" s="39">
        <f>IFERROR(VLOOKUP("APT",Controls!A:I,9,0),18)</f>
        <v>12</v>
      </c>
      <c r="P1673" s="40">
        <f>IFERROR(VLOOKUP("APT",Controls!A:J,5,0),0)</f>
        <v>165</v>
      </c>
      <c r="Q1673" s="39">
        <f>IFERROR(VLOOKUP("APT",Controls!A:J,6,0),3)</f>
        <v>4</v>
      </c>
      <c r="R1673" s="21" t="str">
        <f>IFERROR(VLOOKUP("APT",Controls!A:K,10,0),"")</f>
        <v>ST Pharm</v>
      </c>
      <c r="S1673" s="41">
        <f t="shared" si="185"/>
        <v>47696</v>
      </c>
      <c r="T1673" s="30">
        <f t="shared" si="186"/>
        <v>0</v>
      </c>
      <c r="AB1673">
        <f t="shared" si="188"/>
        <v>271.03999999999996</v>
      </c>
    </row>
    <row r="1674" spans="1:28" ht="13" customHeight="1" x14ac:dyDescent="0.35">
      <c r="A1674" s="153">
        <v>47849</v>
      </c>
      <c r="B1674" s="36" t="s">
        <v>58</v>
      </c>
      <c r="C1674" s="15" t="s">
        <v>52</v>
      </c>
      <c r="D1674" s="15" t="s">
        <v>48</v>
      </c>
      <c r="E1674" s="30">
        <f>H1673</f>
        <v>89.81</v>
      </c>
      <c r="F1674" s="37">
        <f>IFERROR('Production Inputs'!$BS$37*Dependencies!$D$19,0)</f>
        <v>0</v>
      </c>
      <c r="G1674" s="37">
        <f t="array" ref="G1674">IFERROR(SUMPRODUCT(('Production Inputs'!$A:$A="APT")*('Production Inputs'!$B:$B="TOTAL ACTIVE")*'Production Inputs'!$BS:$BS),0)</f>
        <v>0</v>
      </c>
      <c r="H1674" s="30">
        <f t="shared" si="182"/>
        <v>89.81</v>
      </c>
      <c r="I1674" s="30">
        <f ca="1">IFERROR(AVERAGEIF(OFFSET(F1674,0,0,MIN(Controls!$B$8,COUNTIF(B1674:B$1973,B1674)),1),"&gt;"&amp;0),0)</f>
        <v>0</v>
      </c>
      <c r="J1674" s="38">
        <f t="shared" ca="1" si="183"/>
        <v>999</v>
      </c>
      <c r="K1674" s="30">
        <f t="shared" ca="1" si="187"/>
        <v>0</v>
      </c>
      <c r="L1674" t="str">
        <f t="shared" ca="1" si="184"/>
        <v>Overstock</v>
      </c>
      <c r="M1674" s="39">
        <f>IFERROR(VLOOKUP("APT",Controls!A:I,7,0),6)</f>
        <v>4</v>
      </c>
      <c r="N1674" s="39">
        <f>IFERROR(VLOOKUP("APT",Controls!A:I,8,0),3)</f>
        <v>3</v>
      </c>
      <c r="O1674" s="39">
        <f>IFERROR(VLOOKUP("APT",Controls!A:I,9,0),18)</f>
        <v>12</v>
      </c>
      <c r="P1674" s="40">
        <f>IFERROR(VLOOKUP("APT",Controls!A:J,5,0),0)</f>
        <v>165</v>
      </c>
      <c r="Q1674" s="39">
        <f>IFERROR(VLOOKUP("APT",Controls!A:J,6,0),3)</f>
        <v>4</v>
      </c>
      <c r="R1674" s="21" t="str">
        <f>IFERROR(VLOOKUP("APT",Controls!A:K,10,0),"")</f>
        <v>ST Pharm</v>
      </c>
      <c r="S1674" s="41">
        <f t="shared" si="185"/>
        <v>47727</v>
      </c>
      <c r="T1674" s="30">
        <f t="shared" si="186"/>
        <v>0</v>
      </c>
      <c r="AB1674">
        <f t="shared" si="188"/>
        <v>271.03999999999996</v>
      </c>
    </row>
    <row r="1675" spans="1:28" ht="13" customHeight="1" x14ac:dyDescent="0.35">
      <c r="A1675" s="153">
        <v>47880</v>
      </c>
      <c r="B1675" s="36" t="s">
        <v>58</v>
      </c>
      <c r="C1675" s="15" t="s">
        <v>52</v>
      </c>
      <c r="D1675" s="15" t="s">
        <v>48</v>
      </c>
      <c r="E1675" s="30">
        <f>H1674</f>
        <v>89.81</v>
      </c>
      <c r="F1675" s="37">
        <f>IFERROR('Production Inputs'!$BT$37*Dependencies!$D$19,0)</f>
        <v>0</v>
      </c>
      <c r="G1675" s="37">
        <f t="array" ref="G1675">IFERROR(SUMPRODUCT(('Production Inputs'!$A:$A="APT")*('Production Inputs'!$B:$B="TOTAL ACTIVE")*'Production Inputs'!$BT:$BT),0)</f>
        <v>0</v>
      </c>
      <c r="H1675" s="30">
        <f t="shared" si="182"/>
        <v>89.81</v>
      </c>
      <c r="I1675" s="30">
        <f ca="1">IFERROR(AVERAGEIF(OFFSET(F1675,0,0,MIN(Controls!$B$8,COUNTIF(B1675:B$1973,B1675)),1),"&gt;"&amp;0),0)</f>
        <v>0</v>
      </c>
      <c r="J1675" s="38">
        <f t="shared" ca="1" si="183"/>
        <v>999</v>
      </c>
      <c r="K1675" s="30">
        <f t="shared" ca="1" si="187"/>
        <v>0</v>
      </c>
      <c r="L1675" t="str">
        <f t="shared" ca="1" si="184"/>
        <v>Overstock</v>
      </c>
      <c r="M1675" s="39">
        <f>IFERROR(VLOOKUP("APT",Controls!A:I,7,0),6)</f>
        <v>4</v>
      </c>
      <c r="N1675" s="39">
        <f>IFERROR(VLOOKUP("APT",Controls!A:I,8,0),3)</f>
        <v>3</v>
      </c>
      <c r="O1675" s="39">
        <f>IFERROR(VLOOKUP("APT",Controls!A:I,9,0),18)</f>
        <v>12</v>
      </c>
      <c r="P1675" s="40">
        <f>IFERROR(VLOOKUP("APT",Controls!A:J,5,0),0)</f>
        <v>165</v>
      </c>
      <c r="Q1675" s="39">
        <f>IFERROR(VLOOKUP("APT",Controls!A:J,6,0),3)</f>
        <v>4</v>
      </c>
      <c r="R1675" s="21" t="str">
        <f>IFERROR(VLOOKUP("APT",Controls!A:K,10,0),"")</f>
        <v>ST Pharm</v>
      </c>
      <c r="S1675" s="41">
        <f t="shared" si="185"/>
        <v>47757</v>
      </c>
      <c r="T1675" s="30">
        <f t="shared" si="186"/>
        <v>0</v>
      </c>
      <c r="AB1675">
        <f t="shared" si="188"/>
        <v>271.03999999999996</v>
      </c>
    </row>
    <row r="1676" spans="1:28" ht="13" customHeight="1" x14ac:dyDescent="0.35">
      <c r="A1676" s="153">
        <v>47908</v>
      </c>
      <c r="B1676" s="36" t="s">
        <v>58</v>
      </c>
      <c r="C1676" s="15" t="s">
        <v>52</v>
      </c>
      <c r="D1676" s="15" t="s">
        <v>48</v>
      </c>
      <c r="E1676" s="30">
        <f>H1675</f>
        <v>89.81</v>
      </c>
      <c r="F1676" s="37">
        <f>IFERROR('Production Inputs'!$BU$37*Dependencies!$D$19,0)</f>
        <v>0</v>
      </c>
      <c r="G1676" s="37">
        <f t="array" ref="G1676">IFERROR(SUMPRODUCT(('Production Inputs'!$A:$A="APT")*('Production Inputs'!$B:$B="TOTAL ACTIVE")*'Production Inputs'!$BU:$BU),0)</f>
        <v>0</v>
      </c>
      <c r="H1676" s="30">
        <f t="shared" si="182"/>
        <v>89.81</v>
      </c>
      <c r="I1676" s="30">
        <f ca="1">IFERROR(AVERAGEIF(OFFSET(F1676,0,0,MIN(Controls!$B$8,COUNTIF(B1676:B$1973,B1676)),1),"&gt;"&amp;0),0)</f>
        <v>0</v>
      </c>
      <c r="J1676" s="38">
        <f t="shared" ca="1" si="183"/>
        <v>999</v>
      </c>
      <c r="K1676" s="30">
        <f t="shared" ca="1" si="187"/>
        <v>0</v>
      </c>
      <c r="L1676" t="str">
        <f t="shared" ca="1" si="184"/>
        <v>Overstock</v>
      </c>
      <c r="M1676" s="39">
        <f>IFERROR(VLOOKUP("APT",Controls!A:I,7,0),6)</f>
        <v>4</v>
      </c>
      <c r="N1676" s="39">
        <f>IFERROR(VLOOKUP("APT",Controls!A:I,8,0),3)</f>
        <v>3</v>
      </c>
      <c r="O1676" s="39">
        <f>IFERROR(VLOOKUP("APT",Controls!A:I,9,0),18)</f>
        <v>12</v>
      </c>
      <c r="P1676" s="40">
        <f>IFERROR(VLOOKUP("APT",Controls!A:J,5,0),0)</f>
        <v>165</v>
      </c>
      <c r="Q1676" s="39">
        <f>IFERROR(VLOOKUP("APT",Controls!A:J,6,0),3)</f>
        <v>4</v>
      </c>
      <c r="R1676" s="21" t="str">
        <f>IFERROR(VLOOKUP("APT",Controls!A:K,10,0),"")</f>
        <v>ST Pharm</v>
      </c>
      <c r="S1676" s="41">
        <f t="shared" si="185"/>
        <v>47788</v>
      </c>
      <c r="T1676" s="30">
        <f t="shared" si="186"/>
        <v>0</v>
      </c>
      <c r="AB1676">
        <f t="shared" si="188"/>
        <v>271.03999999999996</v>
      </c>
    </row>
    <row r="1677" spans="1:28" ht="13" customHeight="1" x14ac:dyDescent="0.35">
      <c r="A1677" s="153">
        <v>47939</v>
      </c>
      <c r="B1677" s="36" t="s">
        <v>58</v>
      </c>
      <c r="C1677" s="15" t="s">
        <v>52</v>
      </c>
      <c r="D1677" s="15" t="s">
        <v>48</v>
      </c>
      <c r="E1677" s="30">
        <f>H1676</f>
        <v>89.81</v>
      </c>
      <c r="F1677" s="37">
        <f>IFERROR('Production Inputs'!$BV$37*Dependencies!$D$19,0)</f>
        <v>0</v>
      </c>
      <c r="G1677" s="37">
        <f t="array" ref="G1677">IFERROR(SUMPRODUCT(('Production Inputs'!$A:$A="APT")*('Production Inputs'!$B:$B="TOTAL ACTIVE")*'Production Inputs'!$BV:$BV),0)</f>
        <v>0</v>
      </c>
      <c r="H1677" s="30">
        <f t="shared" si="182"/>
        <v>89.81</v>
      </c>
      <c r="I1677" s="30">
        <f ca="1">IFERROR(AVERAGEIF(OFFSET(F1677,0,0,MIN(Controls!$B$8,COUNTIF(B1677:B$1973,B1677)),1),"&gt;"&amp;0),0)</f>
        <v>0</v>
      </c>
      <c r="J1677" s="38">
        <f t="shared" ca="1" si="183"/>
        <v>999</v>
      </c>
      <c r="K1677" s="30">
        <f t="shared" ca="1" si="187"/>
        <v>0</v>
      </c>
      <c r="L1677" t="str">
        <f t="shared" ca="1" si="184"/>
        <v>Overstock</v>
      </c>
      <c r="M1677" s="39">
        <f>IFERROR(VLOOKUP("APT",Controls!A:I,7,0),6)</f>
        <v>4</v>
      </c>
      <c r="N1677" s="39">
        <f>IFERROR(VLOOKUP("APT",Controls!A:I,8,0),3)</f>
        <v>3</v>
      </c>
      <c r="O1677" s="39">
        <f>IFERROR(VLOOKUP("APT",Controls!A:I,9,0),18)</f>
        <v>12</v>
      </c>
      <c r="P1677" s="40">
        <f>IFERROR(VLOOKUP("APT",Controls!A:J,5,0),0)</f>
        <v>165</v>
      </c>
      <c r="Q1677" s="39">
        <f>IFERROR(VLOOKUP("APT",Controls!A:J,6,0),3)</f>
        <v>4</v>
      </c>
      <c r="R1677" s="21" t="str">
        <f>IFERROR(VLOOKUP("APT",Controls!A:K,10,0),"")</f>
        <v>ST Pharm</v>
      </c>
      <c r="S1677" s="41">
        <f t="shared" si="185"/>
        <v>47818</v>
      </c>
      <c r="T1677" s="30">
        <f t="shared" si="186"/>
        <v>0</v>
      </c>
      <c r="AB1677">
        <f t="shared" si="188"/>
        <v>271.03999999999996</v>
      </c>
    </row>
    <row r="1678" spans="1:28" ht="13" customHeight="1" x14ac:dyDescent="0.35">
      <c r="A1678" s="153">
        <v>47969</v>
      </c>
      <c r="B1678" s="36" t="s">
        <v>58</v>
      </c>
      <c r="C1678" s="15" t="s">
        <v>52</v>
      </c>
      <c r="D1678" s="15" t="s">
        <v>48</v>
      </c>
      <c r="E1678" s="30">
        <f>H1677</f>
        <v>89.81</v>
      </c>
      <c r="F1678" s="37">
        <f>IFERROR('Production Inputs'!$BW$37*Dependencies!$D$19,0)</f>
        <v>0</v>
      </c>
      <c r="G1678" s="37">
        <f t="array" ref="G1678">IFERROR(SUMPRODUCT(('Production Inputs'!$A:$A="APT")*('Production Inputs'!$B:$B="TOTAL ACTIVE")*'Production Inputs'!$BW:$BW),0)</f>
        <v>0</v>
      </c>
      <c r="H1678" s="30">
        <f t="shared" si="182"/>
        <v>89.81</v>
      </c>
      <c r="I1678" s="30">
        <f ca="1">IFERROR(AVERAGEIF(OFFSET(F1678,0,0,MIN(Controls!$B$8,COUNTIF(B1678:B$1973,B1678)),1),"&gt;"&amp;0),0)</f>
        <v>0</v>
      </c>
      <c r="J1678" s="38">
        <f t="shared" ca="1" si="183"/>
        <v>999</v>
      </c>
      <c r="K1678" s="30">
        <f t="shared" ca="1" si="187"/>
        <v>0</v>
      </c>
      <c r="L1678" t="str">
        <f t="shared" ca="1" si="184"/>
        <v>Overstock</v>
      </c>
      <c r="M1678" s="39">
        <f>IFERROR(VLOOKUP("APT",Controls!A:I,7,0),6)</f>
        <v>4</v>
      </c>
      <c r="N1678" s="39">
        <f>IFERROR(VLOOKUP("APT",Controls!A:I,8,0),3)</f>
        <v>3</v>
      </c>
      <c r="O1678" s="39">
        <f>IFERROR(VLOOKUP("APT",Controls!A:I,9,0),18)</f>
        <v>12</v>
      </c>
      <c r="P1678" s="40">
        <f>IFERROR(VLOOKUP("APT",Controls!A:J,5,0),0)</f>
        <v>165</v>
      </c>
      <c r="Q1678" s="39">
        <f>IFERROR(VLOOKUP("APT",Controls!A:J,6,0),3)</f>
        <v>4</v>
      </c>
      <c r="R1678" s="21" t="str">
        <f>IFERROR(VLOOKUP("APT",Controls!A:K,10,0),"")</f>
        <v>ST Pharm</v>
      </c>
      <c r="S1678" s="41">
        <f t="shared" si="185"/>
        <v>47849</v>
      </c>
      <c r="T1678" s="30">
        <f t="shared" si="186"/>
        <v>0</v>
      </c>
      <c r="AB1678">
        <f t="shared" si="188"/>
        <v>271.03999999999996</v>
      </c>
    </row>
    <row r="1679" spans="1:28" ht="13" customHeight="1" x14ac:dyDescent="0.35">
      <c r="A1679" s="153">
        <v>48000</v>
      </c>
      <c r="B1679" s="36" t="s">
        <v>58</v>
      </c>
      <c r="C1679" s="15" t="s">
        <v>52</v>
      </c>
      <c r="D1679" s="15" t="s">
        <v>48</v>
      </c>
      <c r="E1679" s="30">
        <f>H1678</f>
        <v>89.81</v>
      </c>
      <c r="F1679" s="37">
        <f>IFERROR('Production Inputs'!$BX$37*Dependencies!$D$19,0)</f>
        <v>0</v>
      </c>
      <c r="G1679" s="37">
        <f t="array" ref="G1679">IFERROR(SUMPRODUCT(('Production Inputs'!$A:$A="APT")*('Production Inputs'!$B:$B="TOTAL ACTIVE")*'Production Inputs'!$BX:$BX),0)</f>
        <v>0</v>
      </c>
      <c r="H1679" s="30">
        <f t="shared" si="182"/>
        <v>89.81</v>
      </c>
      <c r="I1679" s="30">
        <f ca="1">IFERROR(AVERAGEIF(OFFSET(F1679,0,0,MIN(Controls!$B$8,COUNTIF(B1679:B$1973,B1679)),1),"&gt;"&amp;0),0)</f>
        <v>0</v>
      </c>
      <c r="J1679" s="38">
        <f t="shared" ca="1" si="183"/>
        <v>999</v>
      </c>
      <c r="K1679" s="30">
        <f t="shared" ca="1" si="187"/>
        <v>0</v>
      </c>
      <c r="L1679" t="str">
        <f t="shared" ca="1" si="184"/>
        <v>Overstock</v>
      </c>
      <c r="M1679" s="39">
        <f>IFERROR(VLOOKUP("APT",Controls!A:I,7,0),6)</f>
        <v>4</v>
      </c>
      <c r="N1679" s="39">
        <f>IFERROR(VLOOKUP("APT",Controls!A:I,8,0),3)</f>
        <v>3</v>
      </c>
      <c r="O1679" s="39">
        <f>IFERROR(VLOOKUP("APT",Controls!A:I,9,0),18)</f>
        <v>12</v>
      </c>
      <c r="P1679" s="40">
        <f>IFERROR(VLOOKUP("APT",Controls!A:J,5,0),0)</f>
        <v>165</v>
      </c>
      <c r="Q1679" s="39">
        <f>IFERROR(VLOOKUP("APT",Controls!A:J,6,0),3)</f>
        <v>4</v>
      </c>
      <c r="R1679" s="21" t="str">
        <f>IFERROR(VLOOKUP("APT",Controls!A:K,10,0),"")</f>
        <v>ST Pharm</v>
      </c>
      <c r="S1679" s="41">
        <f t="shared" si="185"/>
        <v>47880</v>
      </c>
      <c r="T1679" s="30">
        <f t="shared" si="186"/>
        <v>0</v>
      </c>
      <c r="AB1679">
        <f t="shared" si="188"/>
        <v>271.03999999999996</v>
      </c>
    </row>
    <row r="1680" spans="1:28" ht="13" customHeight="1" x14ac:dyDescent="0.35">
      <c r="A1680" s="153">
        <v>48030</v>
      </c>
      <c r="B1680" s="36" t="s">
        <v>58</v>
      </c>
      <c r="C1680" s="15" t="s">
        <v>52</v>
      </c>
      <c r="D1680" s="15" t="s">
        <v>48</v>
      </c>
      <c r="E1680" s="30">
        <f>H1679</f>
        <v>89.81</v>
      </c>
      <c r="F1680" s="37">
        <f>IFERROR('Production Inputs'!$BY$37*Dependencies!$D$19,0)</f>
        <v>0</v>
      </c>
      <c r="G1680" s="37">
        <f t="array" ref="G1680">IFERROR(SUMPRODUCT(('Production Inputs'!$A:$A="APT")*('Production Inputs'!$B:$B="TOTAL ACTIVE")*'Production Inputs'!$BY:$BY),0)</f>
        <v>0</v>
      </c>
      <c r="H1680" s="30">
        <f t="shared" si="182"/>
        <v>89.81</v>
      </c>
      <c r="I1680" s="30">
        <f ca="1">IFERROR(AVERAGEIF(OFFSET(F1680,0,0,MIN(Controls!$B$8,COUNTIF(B1680:B$1973,B1680)),1),"&gt;"&amp;0),0)</f>
        <v>0</v>
      </c>
      <c r="J1680" s="38">
        <f t="shared" ca="1" si="183"/>
        <v>999</v>
      </c>
      <c r="K1680" s="30">
        <f t="shared" ca="1" si="187"/>
        <v>0</v>
      </c>
      <c r="L1680" t="str">
        <f t="shared" ca="1" si="184"/>
        <v>Overstock</v>
      </c>
      <c r="M1680" s="39">
        <f>IFERROR(VLOOKUP("APT",Controls!A:I,7,0),6)</f>
        <v>4</v>
      </c>
      <c r="N1680" s="39">
        <f>IFERROR(VLOOKUP("APT",Controls!A:I,8,0),3)</f>
        <v>3</v>
      </c>
      <c r="O1680" s="39">
        <f>IFERROR(VLOOKUP("APT",Controls!A:I,9,0),18)</f>
        <v>12</v>
      </c>
      <c r="P1680" s="40">
        <f>IFERROR(VLOOKUP("APT",Controls!A:J,5,0),0)</f>
        <v>165</v>
      </c>
      <c r="Q1680" s="39">
        <f>IFERROR(VLOOKUP("APT",Controls!A:J,6,0),3)</f>
        <v>4</v>
      </c>
      <c r="R1680" s="21" t="str">
        <f>IFERROR(VLOOKUP("APT",Controls!A:K,10,0),"")</f>
        <v>ST Pharm</v>
      </c>
      <c r="S1680" s="41">
        <f t="shared" si="185"/>
        <v>47908</v>
      </c>
      <c r="T1680" s="30">
        <f t="shared" si="186"/>
        <v>0</v>
      </c>
      <c r="AB1680">
        <f t="shared" si="188"/>
        <v>271.03999999999996</v>
      </c>
    </row>
    <row r="1681" spans="1:28" ht="13" customHeight="1" x14ac:dyDescent="0.35">
      <c r="A1681" s="153">
        <v>48061</v>
      </c>
      <c r="B1681" s="36" t="s">
        <v>58</v>
      </c>
      <c r="C1681" s="15" t="s">
        <v>52</v>
      </c>
      <c r="D1681" s="15" t="s">
        <v>48</v>
      </c>
      <c r="E1681" s="30">
        <f>H1680</f>
        <v>89.81</v>
      </c>
      <c r="F1681" s="37">
        <f>IFERROR('Production Inputs'!$BZ$37*Dependencies!$D$19,0)</f>
        <v>0</v>
      </c>
      <c r="G1681" s="37">
        <f t="array" ref="G1681">IFERROR(SUMPRODUCT(('Production Inputs'!$A:$A="APT")*('Production Inputs'!$B:$B="TOTAL ACTIVE")*'Production Inputs'!$BZ:$BZ),0)</f>
        <v>0</v>
      </c>
      <c r="H1681" s="30">
        <f t="shared" si="182"/>
        <v>89.81</v>
      </c>
      <c r="I1681" s="30">
        <f ca="1">IFERROR(AVERAGEIF(OFFSET(F1681,0,0,MIN(Controls!$B$8,COUNTIF(B1681:B$1973,B1681)),1),"&gt;"&amp;0),0)</f>
        <v>0</v>
      </c>
      <c r="J1681" s="38">
        <f t="shared" ca="1" si="183"/>
        <v>999</v>
      </c>
      <c r="K1681" s="30">
        <f t="shared" ca="1" si="187"/>
        <v>0</v>
      </c>
      <c r="L1681" t="str">
        <f t="shared" ca="1" si="184"/>
        <v>Overstock</v>
      </c>
      <c r="M1681" s="39">
        <f>IFERROR(VLOOKUP("APT",Controls!A:I,7,0),6)</f>
        <v>4</v>
      </c>
      <c r="N1681" s="39">
        <f>IFERROR(VLOOKUP("APT",Controls!A:I,8,0),3)</f>
        <v>3</v>
      </c>
      <c r="O1681" s="39">
        <f>IFERROR(VLOOKUP("APT",Controls!A:I,9,0),18)</f>
        <v>12</v>
      </c>
      <c r="P1681" s="40">
        <f>IFERROR(VLOOKUP("APT",Controls!A:J,5,0),0)</f>
        <v>165</v>
      </c>
      <c r="Q1681" s="39">
        <f>IFERROR(VLOOKUP("APT",Controls!A:J,6,0),3)</f>
        <v>4</v>
      </c>
      <c r="R1681" s="21" t="str">
        <f>IFERROR(VLOOKUP("APT",Controls!A:K,10,0),"")</f>
        <v>ST Pharm</v>
      </c>
      <c r="S1681" s="41">
        <f t="shared" si="185"/>
        <v>47939</v>
      </c>
      <c r="T1681" s="30">
        <f t="shared" si="186"/>
        <v>0</v>
      </c>
      <c r="AB1681">
        <f t="shared" si="188"/>
        <v>271.03999999999996</v>
      </c>
    </row>
    <row r="1682" spans="1:28" ht="13" customHeight="1" x14ac:dyDescent="0.35">
      <c r="A1682" s="153">
        <v>48092</v>
      </c>
      <c r="B1682" s="36" t="s">
        <v>58</v>
      </c>
      <c r="C1682" s="15" t="s">
        <v>52</v>
      </c>
      <c r="D1682" s="15" t="s">
        <v>48</v>
      </c>
      <c r="E1682" s="30">
        <f>H1681</f>
        <v>89.81</v>
      </c>
      <c r="F1682" s="37">
        <f>IFERROR('Production Inputs'!$CA$37*Dependencies!$D$19,0)</f>
        <v>0</v>
      </c>
      <c r="G1682" s="37">
        <f t="array" ref="G1682">IFERROR(SUMPRODUCT(('Production Inputs'!$A:$A="APT")*('Production Inputs'!$B:$B="TOTAL ACTIVE")*'Production Inputs'!$CA:$CA),0)</f>
        <v>0</v>
      </c>
      <c r="H1682" s="30">
        <f t="shared" si="182"/>
        <v>89.81</v>
      </c>
      <c r="I1682" s="30">
        <f ca="1">IFERROR(AVERAGEIF(OFFSET(F1682,0,0,MIN(Controls!$B$8,COUNTIF(B1682:B$1973,B1682)),1),"&gt;"&amp;0),0)</f>
        <v>0</v>
      </c>
      <c r="J1682" s="38">
        <f t="shared" ca="1" si="183"/>
        <v>999</v>
      </c>
      <c r="K1682" s="30">
        <f t="shared" ca="1" si="187"/>
        <v>0</v>
      </c>
      <c r="L1682" t="str">
        <f t="shared" ca="1" si="184"/>
        <v>Overstock</v>
      </c>
      <c r="M1682" s="39">
        <f>IFERROR(VLOOKUP("APT",Controls!A:I,7,0),6)</f>
        <v>4</v>
      </c>
      <c r="N1682" s="39">
        <f>IFERROR(VLOOKUP("APT",Controls!A:I,8,0),3)</f>
        <v>3</v>
      </c>
      <c r="O1682" s="39">
        <f>IFERROR(VLOOKUP("APT",Controls!A:I,9,0),18)</f>
        <v>12</v>
      </c>
      <c r="P1682" s="40">
        <f>IFERROR(VLOOKUP("APT",Controls!A:J,5,0),0)</f>
        <v>165</v>
      </c>
      <c r="Q1682" s="39">
        <f>IFERROR(VLOOKUP("APT",Controls!A:J,6,0),3)</f>
        <v>4</v>
      </c>
      <c r="R1682" s="21" t="str">
        <f>IFERROR(VLOOKUP("APT",Controls!A:K,10,0),"")</f>
        <v>ST Pharm</v>
      </c>
      <c r="S1682" s="41">
        <f t="shared" si="185"/>
        <v>47969</v>
      </c>
      <c r="T1682" s="30">
        <f t="shared" si="186"/>
        <v>0</v>
      </c>
      <c r="AB1682">
        <f t="shared" si="188"/>
        <v>271.03999999999996</v>
      </c>
    </row>
    <row r="1683" spans="1:28" ht="13" customHeight="1" x14ac:dyDescent="0.35">
      <c r="A1683" s="153">
        <v>48122</v>
      </c>
      <c r="B1683" s="36" t="s">
        <v>58</v>
      </c>
      <c r="C1683" s="15" t="s">
        <v>52</v>
      </c>
      <c r="D1683" s="15" t="s">
        <v>48</v>
      </c>
      <c r="E1683" s="30">
        <f>H1682</f>
        <v>89.81</v>
      </c>
      <c r="F1683" s="37">
        <f>IFERROR('Production Inputs'!$CB$37*Dependencies!$D$19,0)</f>
        <v>0</v>
      </c>
      <c r="G1683" s="37">
        <f t="array" ref="G1683">IFERROR(SUMPRODUCT(('Production Inputs'!$A:$A="APT")*('Production Inputs'!$B:$B="TOTAL ACTIVE")*'Production Inputs'!$CB:$CB),0)</f>
        <v>0</v>
      </c>
      <c r="H1683" s="30">
        <f t="shared" si="182"/>
        <v>89.81</v>
      </c>
      <c r="I1683" s="30">
        <f ca="1">IFERROR(AVERAGEIF(OFFSET(F1683,0,0,MIN(Controls!$B$8,COUNTIF(B1683:B$1973,B1683)),1),"&gt;"&amp;0),0)</f>
        <v>0</v>
      </c>
      <c r="J1683" s="38">
        <f t="shared" ca="1" si="183"/>
        <v>999</v>
      </c>
      <c r="K1683" s="30">
        <f t="shared" ca="1" si="187"/>
        <v>0</v>
      </c>
      <c r="L1683" t="str">
        <f t="shared" ca="1" si="184"/>
        <v>Overstock</v>
      </c>
      <c r="M1683" s="39">
        <f>IFERROR(VLOOKUP("APT",Controls!A:I,7,0),6)</f>
        <v>4</v>
      </c>
      <c r="N1683" s="39">
        <f>IFERROR(VLOOKUP("APT",Controls!A:I,8,0),3)</f>
        <v>3</v>
      </c>
      <c r="O1683" s="39">
        <f>IFERROR(VLOOKUP("APT",Controls!A:I,9,0),18)</f>
        <v>12</v>
      </c>
      <c r="P1683" s="40">
        <f>IFERROR(VLOOKUP("APT",Controls!A:J,5,0),0)</f>
        <v>165</v>
      </c>
      <c r="Q1683" s="39">
        <f>IFERROR(VLOOKUP("APT",Controls!A:J,6,0),3)</f>
        <v>4</v>
      </c>
      <c r="R1683" s="21" t="str">
        <f>IFERROR(VLOOKUP("APT",Controls!A:K,10,0),"")</f>
        <v>ST Pharm</v>
      </c>
      <c r="S1683" s="41">
        <f t="shared" si="185"/>
        <v>48000</v>
      </c>
      <c r="T1683" s="30">
        <f t="shared" si="186"/>
        <v>0</v>
      </c>
      <c r="AB1683">
        <f t="shared" si="188"/>
        <v>271.03999999999996</v>
      </c>
    </row>
    <row r="1684" spans="1:28" ht="13" customHeight="1" x14ac:dyDescent="0.35">
      <c r="A1684" s="153">
        <v>48153</v>
      </c>
      <c r="B1684" s="36" t="s">
        <v>58</v>
      </c>
      <c r="C1684" s="15" t="s">
        <v>52</v>
      </c>
      <c r="D1684" s="15" t="s">
        <v>48</v>
      </c>
      <c r="E1684" s="30">
        <f>H1683</f>
        <v>89.81</v>
      </c>
      <c r="F1684" s="37">
        <f>IFERROR('Production Inputs'!$CC$37*Dependencies!$D$19,0)</f>
        <v>0</v>
      </c>
      <c r="G1684" s="37">
        <f t="array" ref="G1684">IFERROR(SUMPRODUCT(('Production Inputs'!$A:$A="APT")*('Production Inputs'!$B:$B="TOTAL ACTIVE")*'Production Inputs'!$CC:$CC),0)</f>
        <v>0</v>
      </c>
      <c r="H1684" s="30">
        <f t="shared" si="182"/>
        <v>89.81</v>
      </c>
      <c r="I1684" s="30">
        <f ca="1">IFERROR(AVERAGEIF(OFFSET(F1684,0,0,MIN(Controls!$B$8,COUNTIF(B1684:B$1973,B1684)),1),"&gt;"&amp;0),0)</f>
        <v>0</v>
      </c>
      <c r="J1684" s="38">
        <f t="shared" ca="1" si="183"/>
        <v>999</v>
      </c>
      <c r="K1684" s="30">
        <f t="shared" ca="1" si="187"/>
        <v>0</v>
      </c>
      <c r="L1684" t="str">
        <f t="shared" ca="1" si="184"/>
        <v>Overstock</v>
      </c>
      <c r="M1684" s="39">
        <f>IFERROR(VLOOKUP("APT",Controls!A:I,7,0),6)</f>
        <v>4</v>
      </c>
      <c r="N1684" s="39">
        <f>IFERROR(VLOOKUP("APT",Controls!A:I,8,0),3)</f>
        <v>3</v>
      </c>
      <c r="O1684" s="39">
        <f>IFERROR(VLOOKUP("APT",Controls!A:I,9,0),18)</f>
        <v>12</v>
      </c>
      <c r="P1684" s="40">
        <f>IFERROR(VLOOKUP("APT",Controls!A:J,5,0),0)</f>
        <v>165</v>
      </c>
      <c r="Q1684" s="39">
        <f>IFERROR(VLOOKUP("APT",Controls!A:J,6,0),3)</f>
        <v>4</v>
      </c>
      <c r="R1684" s="21" t="str">
        <f>IFERROR(VLOOKUP("APT",Controls!A:K,10,0),"")</f>
        <v>ST Pharm</v>
      </c>
      <c r="S1684" s="41">
        <f t="shared" si="185"/>
        <v>48030</v>
      </c>
      <c r="T1684" s="30">
        <f t="shared" si="186"/>
        <v>0</v>
      </c>
      <c r="AB1684">
        <f t="shared" si="188"/>
        <v>271.03999999999996</v>
      </c>
    </row>
    <row r="1685" spans="1:28" ht="13" customHeight="1" x14ac:dyDescent="0.35">
      <c r="A1685" s="153">
        <v>48183</v>
      </c>
      <c r="B1685" s="36" t="s">
        <v>58</v>
      </c>
      <c r="C1685" s="15" t="s">
        <v>52</v>
      </c>
      <c r="D1685" s="15" t="s">
        <v>48</v>
      </c>
      <c r="E1685" s="30">
        <f>H1684</f>
        <v>89.81</v>
      </c>
      <c r="F1685" s="37">
        <f>IFERROR('Production Inputs'!$CD$37*Dependencies!$D$19,0)</f>
        <v>0</v>
      </c>
      <c r="G1685" s="37">
        <f t="array" ref="G1685">IFERROR(SUMPRODUCT(('Production Inputs'!$A:$A="APT")*('Production Inputs'!$B:$B="TOTAL ACTIVE")*'Production Inputs'!$CD:$CD),0)</f>
        <v>0</v>
      </c>
      <c r="H1685" s="30">
        <f t="shared" si="182"/>
        <v>89.81</v>
      </c>
      <c r="I1685" s="30">
        <f ca="1">IFERROR(AVERAGEIF(OFFSET(F1685,0,0,MIN(Controls!$B$8,COUNTIF(B1685:B$1973,B1685)),1),"&gt;"&amp;0),0)</f>
        <v>0</v>
      </c>
      <c r="J1685" s="38">
        <f t="shared" ca="1" si="183"/>
        <v>999</v>
      </c>
      <c r="K1685" s="30">
        <f t="shared" ca="1" si="187"/>
        <v>0</v>
      </c>
      <c r="L1685" t="str">
        <f t="shared" ca="1" si="184"/>
        <v>Overstock</v>
      </c>
      <c r="M1685" s="39">
        <f>IFERROR(VLOOKUP("APT",Controls!A:I,7,0),6)</f>
        <v>4</v>
      </c>
      <c r="N1685" s="39">
        <f>IFERROR(VLOOKUP("APT",Controls!A:I,8,0),3)</f>
        <v>3</v>
      </c>
      <c r="O1685" s="39">
        <f>IFERROR(VLOOKUP("APT",Controls!A:I,9,0),18)</f>
        <v>12</v>
      </c>
      <c r="P1685" s="40">
        <f>IFERROR(VLOOKUP("APT",Controls!A:J,5,0),0)</f>
        <v>165</v>
      </c>
      <c r="Q1685" s="39">
        <f>IFERROR(VLOOKUP("APT",Controls!A:J,6,0),3)</f>
        <v>4</v>
      </c>
      <c r="R1685" s="21" t="str">
        <f>IFERROR(VLOOKUP("APT",Controls!A:K,10,0),"")</f>
        <v>ST Pharm</v>
      </c>
      <c r="S1685" s="41">
        <f t="shared" si="185"/>
        <v>48061</v>
      </c>
      <c r="T1685" s="30">
        <f t="shared" si="186"/>
        <v>0</v>
      </c>
      <c r="AB1685">
        <f t="shared" si="188"/>
        <v>271.03999999999996</v>
      </c>
    </row>
    <row r="1686" spans="1:28" ht="13" customHeight="1" x14ac:dyDescent="0.35">
      <c r="A1686" s="153">
        <v>48214</v>
      </c>
      <c r="B1686" s="36" t="s">
        <v>58</v>
      </c>
      <c r="C1686" s="15" t="s">
        <v>52</v>
      </c>
      <c r="D1686" s="15" t="s">
        <v>48</v>
      </c>
      <c r="E1686" s="30">
        <f>H1685</f>
        <v>89.81</v>
      </c>
      <c r="F1686" s="37">
        <f>IFERROR('Production Inputs'!$CE$37*Dependencies!$D$19,0)</f>
        <v>0</v>
      </c>
      <c r="G1686" s="37">
        <f t="array" ref="G1686">IFERROR(SUMPRODUCT(('Production Inputs'!$A:$A="APT")*('Production Inputs'!$B:$B="TOTAL ACTIVE")*'Production Inputs'!$CE:$CE),0)</f>
        <v>0</v>
      </c>
      <c r="H1686" s="30">
        <f t="shared" si="182"/>
        <v>89.81</v>
      </c>
      <c r="I1686" s="30">
        <f ca="1">IFERROR(AVERAGEIF(OFFSET(F1686,0,0,MIN(Controls!$B$8,COUNTIF(B1686:B$1973,B1686)),1),"&gt;"&amp;0),0)</f>
        <v>0</v>
      </c>
      <c r="J1686" s="38">
        <f t="shared" ca="1" si="183"/>
        <v>999</v>
      </c>
      <c r="K1686" s="30">
        <f t="shared" ca="1" si="187"/>
        <v>0</v>
      </c>
      <c r="L1686" t="str">
        <f t="shared" ca="1" si="184"/>
        <v>Overstock</v>
      </c>
      <c r="M1686" s="39">
        <f>IFERROR(VLOOKUP("APT",Controls!A:I,7,0),6)</f>
        <v>4</v>
      </c>
      <c r="N1686" s="39">
        <f>IFERROR(VLOOKUP("APT",Controls!A:I,8,0),3)</f>
        <v>3</v>
      </c>
      <c r="O1686" s="39">
        <f>IFERROR(VLOOKUP("APT",Controls!A:I,9,0),18)</f>
        <v>12</v>
      </c>
      <c r="P1686" s="40">
        <f>IFERROR(VLOOKUP("APT",Controls!A:J,5,0),0)</f>
        <v>165</v>
      </c>
      <c r="Q1686" s="39">
        <f>IFERROR(VLOOKUP("APT",Controls!A:J,6,0),3)</f>
        <v>4</v>
      </c>
      <c r="R1686" s="21" t="str">
        <f>IFERROR(VLOOKUP("APT",Controls!A:K,10,0),"")</f>
        <v>ST Pharm</v>
      </c>
      <c r="S1686" s="41">
        <f t="shared" si="185"/>
        <v>48092</v>
      </c>
      <c r="T1686" s="30">
        <f t="shared" si="186"/>
        <v>0</v>
      </c>
      <c r="AB1686">
        <f t="shared" si="188"/>
        <v>271.03999999999996</v>
      </c>
    </row>
    <row r="1687" spans="1:28" ht="13" customHeight="1" x14ac:dyDescent="0.35">
      <c r="A1687" s="153">
        <v>48245</v>
      </c>
      <c r="B1687" s="36" t="s">
        <v>58</v>
      </c>
      <c r="C1687" s="15" t="s">
        <v>52</v>
      </c>
      <c r="D1687" s="15" t="s">
        <v>48</v>
      </c>
      <c r="E1687" s="30">
        <f>H1686</f>
        <v>89.81</v>
      </c>
      <c r="F1687" s="37">
        <f>IFERROR('Production Inputs'!$CF$37*Dependencies!$D$19,0)</f>
        <v>0</v>
      </c>
      <c r="G1687" s="37">
        <f t="array" ref="G1687">IFERROR(SUMPRODUCT(('Production Inputs'!$A:$A="APT")*('Production Inputs'!$B:$B="TOTAL ACTIVE")*'Production Inputs'!$CF:$CF),0)</f>
        <v>0</v>
      </c>
      <c r="H1687" s="30">
        <f t="shared" si="182"/>
        <v>89.81</v>
      </c>
      <c r="I1687" s="30">
        <f ca="1">IFERROR(AVERAGEIF(OFFSET(F1687,0,0,MIN(Controls!$B$8,COUNTIF(B1687:B$1973,B1687)),1),"&gt;"&amp;0),0)</f>
        <v>0</v>
      </c>
      <c r="J1687" s="38">
        <f t="shared" ca="1" si="183"/>
        <v>999</v>
      </c>
      <c r="K1687" s="30">
        <f t="shared" ca="1" si="187"/>
        <v>0</v>
      </c>
      <c r="L1687" t="str">
        <f t="shared" ca="1" si="184"/>
        <v>Overstock</v>
      </c>
      <c r="M1687" s="39">
        <f>IFERROR(VLOOKUP("APT",Controls!A:I,7,0),6)</f>
        <v>4</v>
      </c>
      <c r="N1687" s="39">
        <f>IFERROR(VLOOKUP("APT",Controls!A:I,8,0),3)</f>
        <v>3</v>
      </c>
      <c r="O1687" s="39">
        <f>IFERROR(VLOOKUP("APT",Controls!A:I,9,0),18)</f>
        <v>12</v>
      </c>
      <c r="P1687" s="40">
        <f>IFERROR(VLOOKUP("APT",Controls!A:J,5,0),0)</f>
        <v>165</v>
      </c>
      <c r="Q1687" s="39">
        <f>IFERROR(VLOOKUP("APT",Controls!A:J,6,0),3)</f>
        <v>4</v>
      </c>
      <c r="R1687" s="21" t="str">
        <f>IFERROR(VLOOKUP("APT",Controls!A:K,10,0),"")</f>
        <v>ST Pharm</v>
      </c>
      <c r="S1687" s="41">
        <f t="shared" si="185"/>
        <v>48122</v>
      </c>
      <c r="T1687" s="30">
        <f t="shared" si="186"/>
        <v>0</v>
      </c>
      <c r="AB1687">
        <f t="shared" si="188"/>
        <v>271.03999999999996</v>
      </c>
    </row>
    <row r="1688" spans="1:28" ht="13" customHeight="1" x14ac:dyDescent="0.35">
      <c r="A1688" s="153">
        <v>48274</v>
      </c>
      <c r="B1688" s="36" t="s">
        <v>58</v>
      </c>
      <c r="C1688" s="15" t="s">
        <v>52</v>
      </c>
      <c r="D1688" s="15" t="s">
        <v>48</v>
      </c>
      <c r="E1688" s="30">
        <f>H1687</f>
        <v>89.81</v>
      </c>
      <c r="F1688" s="37">
        <f>IFERROR('Production Inputs'!$CG$37*Dependencies!$D$19,0)</f>
        <v>0</v>
      </c>
      <c r="G1688" s="37">
        <f t="array" ref="G1688">IFERROR(SUMPRODUCT(('Production Inputs'!$A:$A="APT")*('Production Inputs'!$B:$B="TOTAL ACTIVE")*'Production Inputs'!$CG:$CG),0)</f>
        <v>0</v>
      </c>
      <c r="H1688" s="30">
        <f t="shared" si="182"/>
        <v>89.81</v>
      </c>
      <c r="I1688" s="30">
        <f ca="1">IFERROR(AVERAGEIF(OFFSET(F1688,0,0,MIN(Controls!$B$8,COUNTIF(B1688:B$1973,B1688)),1),"&gt;"&amp;0),0)</f>
        <v>0</v>
      </c>
      <c r="J1688" s="38">
        <f t="shared" ca="1" si="183"/>
        <v>999</v>
      </c>
      <c r="K1688" s="30">
        <f t="shared" ca="1" si="187"/>
        <v>0</v>
      </c>
      <c r="L1688" t="str">
        <f t="shared" ca="1" si="184"/>
        <v>Overstock</v>
      </c>
      <c r="M1688" s="39">
        <f>IFERROR(VLOOKUP("APT",Controls!A:I,7,0),6)</f>
        <v>4</v>
      </c>
      <c r="N1688" s="39">
        <f>IFERROR(VLOOKUP("APT",Controls!A:I,8,0),3)</f>
        <v>3</v>
      </c>
      <c r="O1688" s="39">
        <f>IFERROR(VLOOKUP("APT",Controls!A:I,9,0),18)</f>
        <v>12</v>
      </c>
      <c r="P1688" s="40">
        <f>IFERROR(VLOOKUP("APT",Controls!A:J,5,0),0)</f>
        <v>165</v>
      </c>
      <c r="Q1688" s="39">
        <f>IFERROR(VLOOKUP("APT",Controls!A:J,6,0),3)</f>
        <v>4</v>
      </c>
      <c r="R1688" s="21" t="str">
        <f>IFERROR(VLOOKUP("APT",Controls!A:K,10,0),"")</f>
        <v>ST Pharm</v>
      </c>
      <c r="S1688" s="41">
        <f t="shared" si="185"/>
        <v>48153</v>
      </c>
      <c r="T1688" s="30">
        <f t="shared" si="186"/>
        <v>0</v>
      </c>
      <c r="AB1688">
        <f t="shared" si="188"/>
        <v>271.03999999999996</v>
      </c>
    </row>
    <row r="1689" spans="1:28" ht="13" customHeight="1" x14ac:dyDescent="0.35">
      <c r="A1689" s="153">
        <v>48305</v>
      </c>
      <c r="B1689" s="36" t="s">
        <v>58</v>
      </c>
      <c r="C1689" s="15" t="s">
        <v>52</v>
      </c>
      <c r="D1689" s="15" t="s">
        <v>48</v>
      </c>
      <c r="E1689" s="30">
        <f>H1688</f>
        <v>89.81</v>
      </c>
      <c r="F1689" s="37">
        <f>IFERROR('Production Inputs'!$CH$37*Dependencies!$D$19,0)</f>
        <v>0</v>
      </c>
      <c r="G1689" s="37">
        <f t="array" ref="G1689">IFERROR(SUMPRODUCT(('Production Inputs'!$A:$A="APT")*('Production Inputs'!$B:$B="TOTAL ACTIVE")*'Production Inputs'!$CH:$CH),0)</f>
        <v>0</v>
      </c>
      <c r="H1689" s="30">
        <f t="shared" si="182"/>
        <v>89.81</v>
      </c>
      <c r="I1689" s="30">
        <f ca="1">IFERROR(AVERAGEIF(OFFSET(F1689,0,0,MIN(Controls!$B$8,COUNTIF(B1689:B$1973,B1689)),1),"&gt;"&amp;0),0)</f>
        <v>0</v>
      </c>
      <c r="J1689" s="38">
        <f t="shared" ca="1" si="183"/>
        <v>999</v>
      </c>
      <c r="K1689" s="30">
        <f t="shared" ca="1" si="187"/>
        <v>0</v>
      </c>
      <c r="L1689" t="str">
        <f t="shared" ca="1" si="184"/>
        <v>Overstock</v>
      </c>
      <c r="M1689" s="39">
        <f>IFERROR(VLOOKUP("APT",Controls!A:I,7,0),6)</f>
        <v>4</v>
      </c>
      <c r="N1689" s="39">
        <f>IFERROR(VLOOKUP("APT",Controls!A:I,8,0),3)</f>
        <v>3</v>
      </c>
      <c r="O1689" s="39">
        <f>IFERROR(VLOOKUP("APT",Controls!A:I,9,0),18)</f>
        <v>12</v>
      </c>
      <c r="P1689" s="40">
        <f>IFERROR(VLOOKUP("APT",Controls!A:J,5,0),0)</f>
        <v>165</v>
      </c>
      <c r="Q1689" s="39">
        <f>IFERROR(VLOOKUP("APT",Controls!A:J,6,0),3)</f>
        <v>4</v>
      </c>
      <c r="R1689" s="21" t="str">
        <f>IFERROR(VLOOKUP("APT",Controls!A:K,10,0),"")</f>
        <v>ST Pharm</v>
      </c>
      <c r="S1689" s="41">
        <f t="shared" si="185"/>
        <v>48183</v>
      </c>
      <c r="T1689" s="30">
        <f t="shared" si="186"/>
        <v>0</v>
      </c>
      <c r="AB1689">
        <f t="shared" si="188"/>
        <v>271.03999999999996</v>
      </c>
    </row>
    <row r="1690" spans="1:28" ht="13" customHeight="1" x14ac:dyDescent="0.35">
      <c r="A1690" s="153">
        <v>48335</v>
      </c>
      <c r="B1690" s="36" t="s">
        <v>58</v>
      </c>
      <c r="C1690" s="15" t="s">
        <v>52</v>
      </c>
      <c r="D1690" s="15" t="s">
        <v>48</v>
      </c>
      <c r="E1690" s="30">
        <f>H1689</f>
        <v>89.81</v>
      </c>
      <c r="F1690" s="37">
        <f>IFERROR('Production Inputs'!$CI$37*Dependencies!$D$19,0)</f>
        <v>0</v>
      </c>
      <c r="G1690" s="37">
        <f t="array" ref="G1690">IFERROR(SUMPRODUCT(('Production Inputs'!$A:$A="APT")*('Production Inputs'!$B:$B="TOTAL ACTIVE")*'Production Inputs'!$CI:$CI),0)</f>
        <v>0</v>
      </c>
      <c r="H1690" s="30">
        <f t="shared" si="182"/>
        <v>89.81</v>
      </c>
      <c r="I1690" s="30">
        <f ca="1">IFERROR(AVERAGEIF(OFFSET(F1690,0,0,MIN(Controls!$B$8,COUNTIF(B1690:B$1973,B1690)),1),"&gt;"&amp;0),0)</f>
        <v>0</v>
      </c>
      <c r="J1690" s="38">
        <f t="shared" ca="1" si="183"/>
        <v>999</v>
      </c>
      <c r="K1690" s="30">
        <f t="shared" ca="1" si="187"/>
        <v>0</v>
      </c>
      <c r="L1690" t="str">
        <f t="shared" ca="1" si="184"/>
        <v>Overstock</v>
      </c>
      <c r="M1690" s="39">
        <f>IFERROR(VLOOKUP("APT",Controls!A:I,7,0),6)</f>
        <v>4</v>
      </c>
      <c r="N1690" s="39">
        <f>IFERROR(VLOOKUP("APT",Controls!A:I,8,0),3)</f>
        <v>3</v>
      </c>
      <c r="O1690" s="39">
        <f>IFERROR(VLOOKUP("APT",Controls!A:I,9,0),18)</f>
        <v>12</v>
      </c>
      <c r="P1690" s="40">
        <f>IFERROR(VLOOKUP("APT",Controls!A:J,5,0),0)</f>
        <v>165</v>
      </c>
      <c r="Q1690" s="39">
        <f>IFERROR(VLOOKUP("APT",Controls!A:J,6,0),3)</f>
        <v>4</v>
      </c>
      <c r="R1690" s="21" t="str">
        <f>IFERROR(VLOOKUP("APT",Controls!A:K,10,0),"")</f>
        <v>ST Pharm</v>
      </c>
      <c r="S1690" s="41">
        <f t="shared" si="185"/>
        <v>48214</v>
      </c>
      <c r="T1690" s="30">
        <f t="shared" si="186"/>
        <v>0</v>
      </c>
      <c r="AB1690">
        <f t="shared" si="188"/>
        <v>271.03999999999996</v>
      </c>
    </row>
    <row r="1691" spans="1:28" ht="13" customHeight="1" x14ac:dyDescent="0.35">
      <c r="A1691" s="153">
        <v>48366</v>
      </c>
      <c r="B1691" s="36" t="s">
        <v>58</v>
      </c>
      <c r="C1691" s="15" t="s">
        <v>52</v>
      </c>
      <c r="D1691" s="15" t="s">
        <v>48</v>
      </c>
      <c r="E1691" s="30">
        <f>H1690</f>
        <v>89.81</v>
      </c>
      <c r="F1691" s="37">
        <f>IFERROR('Production Inputs'!$CJ$37*Dependencies!$D$19,0)</f>
        <v>0</v>
      </c>
      <c r="G1691" s="37">
        <f t="array" ref="G1691">IFERROR(SUMPRODUCT(('Production Inputs'!$A:$A="APT")*('Production Inputs'!$B:$B="TOTAL ACTIVE")*'Production Inputs'!$CJ:$CJ),0)</f>
        <v>0</v>
      </c>
      <c r="H1691" s="30">
        <f t="shared" si="182"/>
        <v>89.81</v>
      </c>
      <c r="I1691" s="30">
        <f ca="1">IFERROR(AVERAGEIF(OFFSET(F1691,0,0,MIN(Controls!$B$8,COUNTIF(B1691:B$1973,B1691)),1),"&gt;"&amp;0),0)</f>
        <v>0</v>
      </c>
      <c r="J1691" s="38">
        <f t="shared" ca="1" si="183"/>
        <v>999</v>
      </c>
      <c r="K1691" s="30">
        <f t="shared" ca="1" si="187"/>
        <v>0</v>
      </c>
      <c r="L1691" t="str">
        <f t="shared" ca="1" si="184"/>
        <v>Overstock</v>
      </c>
      <c r="M1691" s="39">
        <f>IFERROR(VLOOKUP("APT",Controls!A:I,7,0),6)</f>
        <v>4</v>
      </c>
      <c r="N1691" s="39">
        <f>IFERROR(VLOOKUP("APT",Controls!A:I,8,0),3)</f>
        <v>3</v>
      </c>
      <c r="O1691" s="39">
        <f>IFERROR(VLOOKUP("APT",Controls!A:I,9,0),18)</f>
        <v>12</v>
      </c>
      <c r="P1691" s="40">
        <f>IFERROR(VLOOKUP("APT",Controls!A:J,5,0),0)</f>
        <v>165</v>
      </c>
      <c r="Q1691" s="39">
        <f>IFERROR(VLOOKUP("APT",Controls!A:J,6,0),3)</f>
        <v>4</v>
      </c>
      <c r="R1691" s="21" t="str">
        <f>IFERROR(VLOOKUP("APT",Controls!A:K,10,0),"")</f>
        <v>ST Pharm</v>
      </c>
      <c r="S1691" s="41">
        <f t="shared" si="185"/>
        <v>48245</v>
      </c>
      <c r="T1691" s="30">
        <f t="shared" si="186"/>
        <v>0</v>
      </c>
      <c r="AB1691">
        <f t="shared" si="188"/>
        <v>271.03999999999996</v>
      </c>
    </row>
    <row r="1692" spans="1:28" ht="13" customHeight="1" x14ac:dyDescent="0.35">
      <c r="A1692" s="153">
        <v>48396</v>
      </c>
      <c r="B1692" s="36" t="s">
        <v>58</v>
      </c>
      <c r="C1692" s="15" t="s">
        <v>52</v>
      </c>
      <c r="D1692" s="15" t="s">
        <v>48</v>
      </c>
      <c r="E1692" s="30">
        <f>H1691</f>
        <v>89.81</v>
      </c>
      <c r="F1692" s="37">
        <f>IFERROR('Production Inputs'!$CK$37*Dependencies!$D$19,0)</f>
        <v>0</v>
      </c>
      <c r="G1692" s="37">
        <f t="array" ref="G1692">IFERROR(SUMPRODUCT(('Production Inputs'!$A:$A="APT")*('Production Inputs'!$B:$B="TOTAL ACTIVE")*'Production Inputs'!$CK:$CK),0)</f>
        <v>0</v>
      </c>
      <c r="H1692" s="30">
        <f t="shared" si="182"/>
        <v>89.81</v>
      </c>
      <c r="I1692" s="30">
        <f ca="1">IFERROR(AVERAGEIF(OFFSET(F1692,0,0,MIN(Controls!$B$8,COUNTIF(B1692:B$1973,B1692)),1),"&gt;"&amp;0),0)</f>
        <v>0</v>
      </c>
      <c r="J1692" s="38">
        <f t="shared" ca="1" si="183"/>
        <v>999</v>
      </c>
      <c r="K1692" s="30">
        <f t="shared" ca="1" si="187"/>
        <v>0</v>
      </c>
      <c r="L1692" t="str">
        <f t="shared" ca="1" si="184"/>
        <v>Overstock</v>
      </c>
      <c r="M1692" s="39">
        <f>IFERROR(VLOOKUP("APT",Controls!A:I,7,0),6)</f>
        <v>4</v>
      </c>
      <c r="N1692" s="39">
        <f>IFERROR(VLOOKUP("APT",Controls!A:I,8,0),3)</f>
        <v>3</v>
      </c>
      <c r="O1692" s="39">
        <f>IFERROR(VLOOKUP("APT",Controls!A:I,9,0),18)</f>
        <v>12</v>
      </c>
      <c r="P1692" s="40">
        <f>IFERROR(VLOOKUP("APT",Controls!A:J,5,0),0)</f>
        <v>165</v>
      </c>
      <c r="Q1692" s="39">
        <f>IFERROR(VLOOKUP("APT",Controls!A:J,6,0),3)</f>
        <v>4</v>
      </c>
      <c r="R1692" s="21" t="str">
        <f>IFERROR(VLOOKUP("APT",Controls!A:K,10,0),"")</f>
        <v>ST Pharm</v>
      </c>
      <c r="S1692" s="41">
        <f t="shared" si="185"/>
        <v>48274</v>
      </c>
      <c r="T1692" s="30">
        <f t="shared" si="186"/>
        <v>0</v>
      </c>
      <c r="AB1692">
        <f t="shared" si="188"/>
        <v>271.03999999999996</v>
      </c>
    </row>
    <row r="1693" spans="1:28" ht="13" customHeight="1" x14ac:dyDescent="0.35">
      <c r="A1693" s="153">
        <v>48427</v>
      </c>
      <c r="B1693" s="36" t="s">
        <v>58</v>
      </c>
      <c r="C1693" s="15" t="s">
        <v>52</v>
      </c>
      <c r="D1693" s="15" t="s">
        <v>48</v>
      </c>
      <c r="E1693" s="30">
        <f>H1692</f>
        <v>89.81</v>
      </c>
      <c r="F1693" s="37">
        <f>IFERROR('Production Inputs'!$CL$37*Dependencies!$D$19,0)</f>
        <v>0</v>
      </c>
      <c r="G1693" s="37">
        <f t="array" ref="G1693">IFERROR(SUMPRODUCT(('Production Inputs'!$A:$A="APT")*('Production Inputs'!$B:$B="TOTAL ACTIVE")*'Production Inputs'!$CL:$CL),0)</f>
        <v>0</v>
      </c>
      <c r="H1693" s="30">
        <f t="shared" si="182"/>
        <v>89.81</v>
      </c>
      <c r="I1693" s="30">
        <f ca="1">IFERROR(AVERAGEIF(OFFSET(F1693,0,0,MIN(Controls!$B$8,COUNTIF(B1693:B$1973,B1693)),1),"&gt;"&amp;0),0)</f>
        <v>0</v>
      </c>
      <c r="J1693" s="38">
        <f t="shared" ca="1" si="183"/>
        <v>999</v>
      </c>
      <c r="K1693" s="30">
        <f t="shared" ca="1" si="187"/>
        <v>0</v>
      </c>
      <c r="L1693" t="str">
        <f t="shared" ca="1" si="184"/>
        <v>Overstock</v>
      </c>
      <c r="M1693" s="39">
        <f>IFERROR(VLOOKUP("APT",Controls!A:I,7,0),6)</f>
        <v>4</v>
      </c>
      <c r="N1693" s="39">
        <f>IFERROR(VLOOKUP("APT",Controls!A:I,8,0),3)</f>
        <v>3</v>
      </c>
      <c r="O1693" s="39">
        <f>IFERROR(VLOOKUP("APT",Controls!A:I,9,0),18)</f>
        <v>12</v>
      </c>
      <c r="P1693" s="40">
        <f>IFERROR(VLOOKUP("APT",Controls!A:J,5,0),0)</f>
        <v>165</v>
      </c>
      <c r="Q1693" s="39">
        <f>IFERROR(VLOOKUP("APT",Controls!A:J,6,0),3)</f>
        <v>4</v>
      </c>
      <c r="R1693" s="21" t="str">
        <f>IFERROR(VLOOKUP("APT",Controls!A:K,10,0),"")</f>
        <v>ST Pharm</v>
      </c>
      <c r="S1693" s="41">
        <f t="shared" si="185"/>
        <v>48305</v>
      </c>
      <c r="T1693" s="30">
        <f t="shared" si="186"/>
        <v>0</v>
      </c>
      <c r="AB1693">
        <f t="shared" si="188"/>
        <v>271.03999999999996</v>
      </c>
    </row>
    <row r="1694" spans="1:28" ht="13" customHeight="1" x14ac:dyDescent="0.35">
      <c r="A1694" s="153">
        <v>48458</v>
      </c>
      <c r="B1694" s="36" t="s">
        <v>58</v>
      </c>
      <c r="C1694" s="15" t="s">
        <v>52</v>
      </c>
      <c r="D1694" s="15" t="s">
        <v>48</v>
      </c>
      <c r="E1694" s="30">
        <f>H1693</f>
        <v>89.81</v>
      </c>
      <c r="F1694" s="37">
        <f>IFERROR('Production Inputs'!$CM$37*Dependencies!$D$19,0)</f>
        <v>0</v>
      </c>
      <c r="G1694" s="37">
        <f t="array" ref="G1694">IFERROR(SUMPRODUCT(('Production Inputs'!$A:$A="APT")*('Production Inputs'!$B:$B="TOTAL ACTIVE")*'Production Inputs'!$CM:$CM),0)</f>
        <v>0</v>
      </c>
      <c r="H1694" s="30">
        <f t="shared" si="182"/>
        <v>89.81</v>
      </c>
      <c r="I1694" s="30">
        <f ca="1">IFERROR(AVERAGEIF(OFFSET(F1694,0,0,MIN(Controls!$B$8,COUNTIF(B1694:B$1973,B1694)),1),"&gt;"&amp;0),0)</f>
        <v>0</v>
      </c>
      <c r="J1694" s="38">
        <f t="shared" ca="1" si="183"/>
        <v>999</v>
      </c>
      <c r="K1694" s="30">
        <f t="shared" ca="1" si="187"/>
        <v>0</v>
      </c>
      <c r="L1694" t="str">
        <f t="shared" ca="1" si="184"/>
        <v>Overstock</v>
      </c>
      <c r="M1694" s="39">
        <f>IFERROR(VLOOKUP("APT",Controls!A:I,7,0),6)</f>
        <v>4</v>
      </c>
      <c r="N1694" s="39">
        <f>IFERROR(VLOOKUP("APT",Controls!A:I,8,0),3)</f>
        <v>3</v>
      </c>
      <c r="O1694" s="39">
        <f>IFERROR(VLOOKUP("APT",Controls!A:I,9,0),18)</f>
        <v>12</v>
      </c>
      <c r="P1694" s="40">
        <f>IFERROR(VLOOKUP("APT",Controls!A:J,5,0),0)</f>
        <v>165</v>
      </c>
      <c r="Q1694" s="39">
        <f>IFERROR(VLOOKUP("APT",Controls!A:J,6,0),3)</f>
        <v>4</v>
      </c>
      <c r="R1694" s="21" t="str">
        <f>IFERROR(VLOOKUP("APT",Controls!A:K,10,0),"")</f>
        <v>ST Pharm</v>
      </c>
      <c r="S1694" s="41">
        <f t="shared" si="185"/>
        <v>48335</v>
      </c>
      <c r="T1694" s="30">
        <f t="shared" si="186"/>
        <v>0</v>
      </c>
      <c r="AB1694">
        <f t="shared" si="188"/>
        <v>271.03999999999996</v>
      </c>
    </row>
    <row r="1695" spans="1:28" ht="13" customHeight="1" x14ac:dyDescent="0.35">
      <c r="A1695" s="153">
        <v>48488</v>
      </c>
      <c r="B1695" s="36" t="s">
        <v>58</v>
      </c>
      <c r="C1695" s="15" t="s">
        <v>52</v>
      </c>
      <c r="D1695" s="15" t="s">
        <v>48</v>
      </c>
      <c r="E1695" s="30">
        <f>H1694</f>
        <v>89.81</v>
      </c>
      <c r="F1695" s="37">
        <f>IFERROR('Production Inputs'!$CN$37*Dependencies!$D$19,0)</f>
        <v>0</v>
      </c>
      <c r="G1695" s="37">
        <f t="array" ref="G1695">IFERROR(SUMPRODUCT(('Production Inputs'!$A:$A="APT")*('Production Inputs'!$B:$B="TOTAL ACTIVE")*'Production Inputs'!$CN:$CN),0)</f>
        <v>0</v>
      </c>
      <c r="H1695" s="30">
        <f t="shared" si="182"/>
        <v>89.81</v>
      </c>
      <c r="I1695" s="30">
        <f ca="1">IFERROR(AVERAGEIF(OFFSET(F1695,0,0,MIN(Controls!$B$8,COUNTIF(B1695:B$1973,B1695)),1),"&gt;"&amp;0),0)</f>
        <v>0</v>
      </c>
      <c r="J1695" s="38">
        <f t="shared" ca="1" si="183"/>
        <v>999</v>
      </c>
      <c r="K1695" s="30">
        <f t="shared" ca="1" si="187"/>
        <v>0</v>
      </c>
      <c r="L1695" t="str">
        <f t="shared" ca="1" si="184"/>
        <v>Overstock</v>
      </c>
      <c r="M1695" s="39">
        <f>IFERROR(VLOOKUP("APT",Controls!A:I,7,0),6)</f>
        <v>4</v>
      </c>
      <c r="N1695" s="39">
        <f>IFERROR(VLOOKUP("APT",Controls!A:I,8,0),3)</f>
        <v>3</v>
      </c>
      <c r="O1695" s="39">
        <f>IFERROR(VLOOKUP("APT",Controls!A:I,9,0),18)</f>
        <v>12</v>
      </c>
      <c r="P1695" s="40">
        <f>IFERROR(VLOOKUP("APT",Controls!A:J,5,0),0)</f>
        <v>165</v>
      </c>
      <c r="Q1695" s="39">
        <f>IFERROR(VLOOKUP("APT",Controls!A:J,6,0),3)</f>
        <v>4</v>
      </c>
      <c r="R1695" s="21" t="str">
        <f>IFERROR(VLOOKUP("APT",Controls!A:K,10,0),"")</f>
        <v>ST Pharm</v>
      </c>
      <c r="S1695" s="41">
        <f t="shared" si="185"/>
        <v>48366</v>
      </c>
      <c r="T1695" s="30">
        <f t="shared" si="186"/>
        <v>0</v>
      </c>
      <c r="AB1695">
        <f t="shared" si="188"/>
        <v>271.03999999999996</v>
      </c>
    </row>
    <row r="1696" spans="1:28" ht="13" customHeight="1" x14ac:dyDescent="0.35">
      <c r="A1696" s="153">
        <v>48519</v>
      </c>
      <c r="B1696" s="36" t="s">
        <v>58</v>
      </c>
      <c r="C1696" s="15" t="s">
        <v>52</v>
      </c>
      <c r="D1696" s="15" t="s">
        <v>48</v>
      </c>
      <c r="E1696" s="30">
        <f>H1695</f>
        <v>89.81</v>
      </c>
      <c r="F1696" s="37">
        <f>IFERROR('Production Inputs'!$CO$37*Dependencies!$D$19,0)</f>
        <v>0</v>
      </c>
      <c r="G1696" s="37">
        <f t="array" ref="G1696">IFERROR(SUMPRODUCT(('Production Inputs'!$A:$A="APT")*('Production Inputs'!$B:$B="TOTAL ACTIVE")*'Production Inputs'!$CO:$CO),0)</f>
        <v>0</v>
      </c>
      <c r="H1696" s="30">
        <f t="shared" si="182"/>
        <v>89.81</v>
      </c>
      <c r="I1696" s="30">
        <f ca="1">IFERROR(AVERAGEIF(OFFSET(F1696,0,0,MIN(Controls!$B$8,COUNTIF(B1696:B$1973,B1696)),1),"&gt;"&amp;0),0)</f>
        <v>0</v>
      </c>
      <c r="J1696" s="38">
        <f t="shared" ca="1" si="183"/>
        <v>999</v>
      </c>
      <c r="K1696" s="30">
        <f t="shared" ca="1" si="187"/>
        <v>0</v>
      </c>
      <c r="L1696" t="str">
        <f t="shared" ca="1" si="184"/>
        <v>Overstock</v>
      </c>
      <c r="M1696" s="39">
        <f>IFERROR(VLOOKUP("APT",Controls!A:I,7,0),6)</f>
        <v>4</v>
      </c>
      <c r="N1696" s="39">
        <f>IFERROR(VLOOKUP("APT",Controls!A:I,8,0),3)</f>
        <v>3</v>
      </c>
      <c r="O1696" s="39">
        <f>IFERROR(VLOOKUP("APT",Controls!A:I,9,0),18)</f>
        <v>12</v>
      </c>
      <c r="P1696" s="40">
        <f>IFERROR(VLOOKUP("APT",Controls!A:J,5,0),0)</f>
        <v>165</v>
      </c>
      <c r="Q1696" s="39">
        <f>IFERROR(VLOOKUP("APT",Controls!A:J,6,0),3)</f>
        <v>4</v>
      </c>
      <c r="R1696" s="21" t="str">
        <f>IFERROR(VLOOKUP("APT",Controls!A:K,10,0),"")</f>
        <v>ST Pharm</v>
      </c>
      <c r="S1696" s="41">
        <f t="shared" si="185"/>
        <v>48396</v>
      </c>
      <c r="T1696" s="30">
        <f t="shared" si="186"/>
        <v>0</v>
      </c>
      <c r="AB1696">
        <f t="shared" si="188"/>
        <v>271.03999999999996</v>
      </c>
    </row>
    <row r="1697" spans="1:28" ht="13" customHeight="1" x14ac:dyDescent="0.35">
      <c r="A1697" s="153">
        <v>48549</v>
      </c>
      <c r="B1697" s="36" t="s">
        <v>58</v>
      </c>
      <c r="C1697" s="15" t="s">
        <v>52</v>
      </c>
      <c r="D1697" s="15" t="s">
        <v>48</v>
      </c>
      <c r="E1697" s="30">
        <f>H1696</f>
        <v>89.81</v>
      </c>
      <c r="F1697" s="37">
        <f>IFERROR('Production Inputs'!$CP$37*Dependencies!$D$19,0)</f>
        <v>0</v>
      </c>
      <c r="G1697" s="37">
        <f t="array" ref="G1697">IFERROR(SUMPRODUCT(('Production Inputs'!$A:$A="APT")*('Production Inputs'!$B:$B="TOTAL ACTIVE")*'Production Inputs'!$CP:$CP),0)</f>
        <v>0</v>
      </c>
      <c r="H1697" s="30">
        <f t="shared" si="182"/>
        <v>89.81</v>
      </c>
      <c r="I1697" s="30">
        <f ca="1">IFERROR(AVERAGEIF(OFFSET(F1697,0,0,MIN(Controls!$B$8,COUNTIF(B1697:B$1973,B1697)),1),"&gt;"&amp;0),0)</f>
        <v>0</v>
      </c>
      <c r="J1697" s="38">
        <f t="shared" ca="1" si="183"/>
        <v>999</v>
      </c>
      <c r="K1697" s="30">
        <f t="shared" ca="1" si="187"/>
        <v>0</v>
      </c>
      <c r="L1697" t="str">
        <f t="shared" ca="1" si="184"/>
        <v>Overstock</v>
      </c>
      <c r="M1697" s="39">
        <f>IFERROR(VLOOKUP("APT",Controls!A:I,7,0),6)</f>
        <v>4</v>
      </c>
      <c r="N1697" s="39">
        <f>IFERROR(VLOOKUP("APT",Controls!A:I,8,0),3)</f>
        <v>3</v>
      </c>
      <c r="O1697" s="39">
        <f>IFERROR(VLOOKUP("APT",Controls!A:I,9,0),18)</f>
        <v>12</v>
      </c>
      <c r="P1697" s="40">
        <f>IFERROR(VLOOKUP("APT",Controls!A:J,5,0),0)</f>
        <v>165</v>
      </c>
      <c r="Q1697" s="39">
        <f>IFERROR(VLOOKUP("APT",Controls!A:J,6,0),3)</f>
        <v>4</v>
      </c>
      <c r="R1697" s="21" t="str">
        <f>IFERROR(VLOOKUP("APT",Controls!A:K,10,0),"")</f>
        <v>ST Pharm</v>
      </c>
      <c r="S1697" s="41">
        <f t="shared" si="185"/>
        <v>48427</v>
      </c>
      <c r="T1697" s="30">
        <f t="shared" si="186"/>
        <v>0</v>
      </c>
      <c r="AB1697">
        <f t="shared" si="188"/>
        <v>271.03999999999996</v>
      </c>
    </row>
    <row r="1698" spans="1:28" ht="13" customHeight="1" x14ac:dyDescent="0.35">
      <c r="A1698" s="153">
        <v>48580</v>
      </c>
      <c r="B1698" s="36" t="s">
        <v>58</v>
      </c>
      <c r="C1698" s="15" t="s">
        <v>52</v>
      </c>
      <c r="D1698" s="15" t="s">
        <v>48</v>
      </c>
      <c r="E1698" s="30">
        <f>H1697</f>
        <v>89.81</v>
      </c>
      <c r="F1698" s="37">
        <f>IFERROR('Production Inputs'!$CQ$37*Dependencies!$D$19,0)</f>
        <v>0</v>
      </c>
      <c r="G1698" s="37">
        <f t="array" ref="G1698">IFERROR(SUMPRODUCT(('Production Inputs'!$A:$A="APT")*('Production Inputs'!$B:$B="TOTAL ACTIVE")*'Production Inputs'!$CQ:$CQ),0)</f>
        <v>0</v>
      </c>
      <c r="H1698" s="30">
        <f t="shared" si="182"/>
        <v>89.81</v>
      </c>
      <c r="I1698" s="30">
        <f ca="1">IFERROR(AVERAGEIF(OFFSET(F1698,0,0,MIN(Controls!$B$8,COUNTIF(B1698:B$1973,B1698)),1),"&gt;"&amp;0),0)</f>
        <v>0</v>
      </c>
      <c r="J1698" s="38">
        <f t="shared" ca="1" si="183"/>
        <v>999</v>
      </c>
      <c r="K1698" s="30">
        <f t="shared" ca="1" si="187"/>
        <v>0</v>
      </c>
      <c r="L1698" t="str">
        <f t="shared" ca="1" si="184"/>
        <v>Overstock</v>
      </c>
      <c r="M1698" s="39">
        <f>IFERROR(VLOOKUP("APT",Controls!A:I,7,0),6)</f>
        <v>4</v>
      </c>
      <c r="N1698" s="39">
        <f>IFERROR(VLOOKUP("APT",Controls!A:I,8,0),3)</f>
        <v>3</v>
      </c>
      <c r="O1698" s="39">
        <f>IFERROR(VLOOKUP("APT",Controls!A:I,9,0),18)</f>
        <v>12</v>
      </c>
      <c r="P1698" s="40">
        <f>IFERROR(VLOOKUP("APT",Controls!A:J,5,0),0)</f>
        <v>165</v>
      </c>
      <c r="Q1698" s="39">
        <f>IFERROR(VLOOKUP("APT",Controls!A:J,6,0),3)</f>
        <v>4</v>
      </c>
      <c r="R1698" s="21" t="str">
        <f>IFERROR(VLOOKUP("APT",Controls!A:K,10,0),"")</f>
        <v>ST Pharm</v>
      </c>
      <c r="S1698" s="41">
        <f t="shared" si="185"/>
        <v>48458</v>
      </c>
      <c r="T1698" s="30">
        <f t="shared" si="186"/>
        <v>0</v>
      </c>
      <c r="AB1698">
        <f t="shared" si="188"/>
        <v>271.03999999999996</v>
      </c>
    </row>
    <row r="1699" spans="1:28" ht="13" customHeight="1" x14ac:dyDescent="0.35">
      <c r="A1699" s="153">
        <v>48611</v>
      </c>
      <c r="B1699" s="36" t="s">
        <v>58</v>
      </c>
      <c r="C1699" s="15" t="s">
        <v>52</v>
      </c>
      <c r="D1699" s="15" t="s">
        <v>48</v>
      </c>
      <c r="E1699" s="30">
        <f>H1698</f>
        <v>89.81</v>
      </c>
      <c r="F1699" s="37">
        <f>IFERROR('Production Inputs'!$CR$37*Dependencies!$D$19,0)</f>
        <v>0</v>
      </c>
      <c r="G1699" s="37">
        <f t="array" ref="G1699">IFERROR(SUMPRODUCT(('Production Inputs'!$A:$A="APT")*('Production Inputs'!$B:$B="TOTAL ACTIVE")*'Production Inputs'!$CR:$CR),0)</f>
        <v>0</v>
      </c>
      <c r="H1699" s="30">
        <f t="shared" si="182"/>
        <v>89.81</v>
      </c>
      <c r="I1699" s="30">
        <f ca="1">IFERROR(AVERAGEIF(OFFSET(F1699,0,0,MIN(Controls!$B$8,COUNTIF(B1699:B$1973,B1699)),1),"&gt;"&amp;0),0)</f>
        <v>0</v>
      </c>
      <c r="J1699" s="38">
        <f t="shared" ca="1" si="183"/>
        <v>999</v>
      </c>
      <c r="K1699" s="30">
        <f t="shared" ca="1" si="187"/>
        <v>0</v>
      </c>
      <c r="L1699" t="str">
        <f t="shared" ca="1" si="184"/>
        <v>Overstock</v>
      </c>
      <c r="M1699" s="39">
        <f>IFERROR(VLOOKUP("APT",Controls!A:I,7,0),6)</f>
        <v>4</v>
      </c>
      <c r="N1699" s="39">
        <f>IFERROR(VLOOKUP("APT",Controls!A:I,8,0),3)</f>
        <v>3</v>
      </c>
      <c r="O1699" s="39">
        <f>IFERROR(VLOOKUP("APT",Controls!A:I,9,0),18)</f>
        <v>12</v>
      </c>
      <c r="P1699" s="40">
        <f>IFERROR(VLOOKUP("APT",Controls!A:J,5,0),0)</f>
        <v>165</v>
      </c>
      <c r="Q1699" s="39">
        <f>IFERROR(VLOOKUP("APT",Controls!A:J,6,0),3)</f>
        <v>4</v>
      </c>
      <c r="R1699" s="21" t="str">
        <f>IFERROR(VLOOKUP("APT",Controls!A:K,10,0),"")</f>
        <v>ST Pharm</v>
      </c>
      <c r="S1699" s="41">
        <f t="shared" si="185"/>
        <v>48488</v>
      </c>
      <c r="T1699" s="30">
        <f t="shared" si="186"/>
        <v>0</v>
      </c>
      <c r="AB1699">
        <f t="shared" si="188"/>
        <v>271.03999999999996</v>
      </c>
    </row>
    <row r="1700" spans="1:28" ht="13" customHeight="1" x14ac:dyDescent="0.35">
      <c r="A1700" s="153">
        <v>48639</v>
      </c>
      <c r="B1700" s="36" t="s">
        <v>58</v>
      </c>
      <c r="C1700" s="15" t="s">
        <v>52</v>
      </c>
      <c r="D1700" s="15" t="s">
        <v>48</v>
      </c>
      <c r="E1700" s="30">
        <f>H1699</f>
        <v>89.81</v>
      </c>
      <c r="F1700" s="37">
        <f>IFERROR('Production Inputs'!$CS$37*Dependencies!$D$19,0)</f>
        <v>0</v>
      </c>
      <c r="G1700" s="37">
        <f t="array" ref="G1700">IFERROR(SUMPRODUCT(('Production Inputs'!$A:$A="APT")*('Production Inputs'!$B:$B="TOTAL ACTIVE")*'Production Inputs'!$CS:$CS),0)</f>
        <v>0</v>
      </c>
      <c r="H1700" s="30">
        <f t="shared" si="182"/>
        <v>89.81</v>
      </c>
      <c r="I1700" s="30">
        <f ca="1">IFERROR(AVERAGEIF(OFFSET(F1700,0,0,MIN(Controls!$B$8,COUNTIF(B1700:B$1973,B1700)),1),"&gt;"&amp;0),0)</f>
        <v>0</v>
      </c>
      <c r="J1700" s="38">
        <f t="shared" ca="1" si="183"/>
        <v>999</v>
      </c>
      <c r="K1700" s="30">
        <f t="shared" ca="1" si="187"/>
        <v>0</v>
      </c>
      <c r="L1700" t="str">
        <f t="shared" ca="1" si="184"/>
        <v>Overstock</v>
      </c>
      <c r="M1700" s="39">
        <f>IFERROR(VLOOKUP("APT",Controls!A:I,7,0),6)</f>
        <v>4</v>
      </c>
      <c r="N1700" s="39">
        <f>IFERROR(VLOOKUP("APT",Controls!A:I,8,0),3)</f>
        <v>3</v>
      </c>
      <c r="O1700" s="39">
        <f>IFERROR(VLOOKUP("APT",Controls!A:I,9,0),18)</f>
        <v>12</v>
      </c>
      <c r="P1700" s="40">
        <f>IFERROR(VLOOKUP("APT",Controls!A:J,5,0),0)</f>
        <v>165</v>
      </c>
      <c r="Q1700" s="39">
        <f>IFERROR(VLOOKUP("APT",Controls!A:J,6,0),3)</f>
        <v>4</v>
      </c>
      <c r="R1700" s="21" t="str">
        <f>IFERROR(VLOOKUP("APT",Controls!A:K,10,0),"")</f>
        <v>ST Pharm</v>
      </c>
      <c r="S1700" s="41">
        <f t="shared" si="185"/>
        <v>48519</v>
      </c>
      <c r="T1700" s="30">
        <f t="shared" si="186"/>
        <v>0</v>
      </c>
      <c r="AB1700">
        <f t="shared" si="188"/>
        <v>271.03999999999996</v>
      </c>
    </row>
    <row r="1701" spans="1:28" ht="13" customHeight="1" x14ac:dyDescent="0.35">
      <c r="A1701" s="153">
        <v>48670</v>
      </c>
      <c r="B1701" s="36" t="s">
        <v>58</v>
      </c>
      <c r="C1701" s="15" t="s">
        <v>52</v>
      </c>
      <c r="D1701" s="15" t="s">
        <v>48</v>
      </c>
      <c r="E1701" s="30">
        <f>H1700</f>
        <v>89.81</v>
      </c>
      <c r="F1701" s="37">
        <f>IFERROR('Production Inputs'!$CT$37*Dependencies!$D$19,0)</f>
        <v>0</v>
      </c>
      <c r="G1701" s="37">
        <f t="array" ref="G1701">IFERROR(SUMPRODUCT(('Production Inputs'!$A:$A="APT")*('Production Inputs'!$B:$B="TOTAL ACTIVE")*'Production Inputs'!$CT:$CT),0)</f>
        <v>0</v>
      </c>
      <c r="H1701" s="30">
        <f t="shared" si="182"/>
        <v>89.81</v>
      </c>
      <c r="I1701" s="30">
        <f ca="1">IFERROR(AVERAGEIF(OFFSET(F1701,0,0,MIN(Controls!$B$8,COUNTIF(B1701:B$1973,B1701)),1),"&gt;"&amp;0),0)</f>
        <v>0</v>
      </c>
      <c r="J1701" s="38">
        <f t="shared" ca="1" si="183"/>
        <v>999</v>
      </c>
      <c r="K1701" s="30">
        <f t="shared" ca="1" si="187"/>
        <v>0</v>
      </c>
      <c r="L1701" t="str">
        <f t="shared" ca="1" si="184"/>
        <v>Overstock</v>
      </c>
      <c r="M1701" s="39">
        <f>IFERROR(VLOOKUP("APT",Controls!A:I,7,0),6)</f>
        <v>4</v>
      </c>
      <c r="N1701" s="39">
        <f>IFERROR(VLOOKUP("APT",Controls!A:I,8,0),3)</f>
        <v>3</v>
      </c>
      <c r="O1701" s="39">
        <f>IFERROR(VLOOKUP("APT",Controls!A:I,9,0),18)</f>
        <v>12</v>
      </c>
      <c r="P1701" s="40">
        <f>IFERROR(VLOOKUP("APT",Controls!A:J,5,0),0)</f>
        <v>165</v>
      </c>
      <c r="Q1701" s="39">
        <f>IFERROR(VLOOKUP("APT",Controls!A:J,6,0),3)</f>
        <v>4</v>
      </c>
      <c r="R1701" s="21" t="str">
        <f>IFERROR(VLOOKUP("APT",Controls!A:K,10,0),"")</f>
        <v>ST Pharm</v>
      </c>
      <c r="S1701" s="41">
        <f t="shared" si="185"/>
        <v>48549</v>
      </c>
      <c r="T1701" s="30">
        <f t="shared" si="186"/>
        <v>0</v>
      </c>
      <c r="AB1701">
        <f t="shared" si="188"/>
        <v>271.03999999999996</v>
      </c>
    </row>
    <row r="1702" spans="1:28" ht="13" customHeight="1" x14ac:dyDescent="0.35">
      <c r="A1702" s="153">
        <v>48700</v>
      </c>
      <c r="B1702" s="36" t="s">
        <v>58</v>
      </c>
      <c r="C1702" s="15" t="s">
        <v>52</v>
      </c>
      <c r="D1702" s="15" t="s">
        <v>48</v>
      </c>
      <c r="E1702" s="30">
        <f>H1701</f>
        <v>89.81</v>
      </c>
      <c r="F1702" s="37">
        <f>IFERROR('Production Inputs'!$CU$37*Dependencies!$D$19,0)</f>
        <v>0</v>
      </c>
      <c r="G1702" s="37">
        <f t="array" ref="G1702">IFERROR(SUMPRODUCT(('Production Inputs'!$A:$A="APT")*('Production Inputs'!$B:$B="TOTAL ACTIVE")*'Production Inputs'!$CU:$CU),0)</f>
        <v>0</v>
      </c>
      <c r="H1702" s="30">
        <f t="shared" si="182"/>
        <v>89.81</v>
      </c>
      <c r="I1702" s="30">
        <f ca="1">IFERROR(AVERAGEIF(OFFSET(F1702,0,0,MIN(Controls!$B$8,COUNTIF(B1702:B$1973,B1702)),1),"&gt;"&amp;0),0)</f>
        <v>0</v>
      </c>
      <c r="J1702" s="38">
        <f t="shared" ca="1" si="183"/>
        <v>999</v>
      </c>
      <c r="K1702" s="30">
        <f t="shared" ca="1" si="187"/>
        <v>0</v>
      </c>
      <c r="L1702" t="str">
        <f t="shared" ca="1" si="184"/>
        <v>Overstock</v>
      </c>
      <c r="M1702" s="39">
        <f>IFERROR(VLOOKUP("APT",Controls!A:I,7,0),6)</f>
        <v>4</v>
      </c>
      <c r="N1702" s="39">
        <f>IFERROR(VLOOKUP("APT",Controls!A:I,8,0),3)</f>
        <v>3</v>
      </c>
      <c r="O1702" s="39">
        <f>IFERROR(VLOOKUP("APT",Controls!A:I,9,0),18)</f>
        <v>12</v>
      </c>
      <c r="P1702" s="40">
        <f>IFERROR(VLOOKUP("APT",Controls!A:J,5,0),0)</f>
        <v>165</v>
      </c>
      <c r="Q1702" s="39">
        <f>IFERROR(VLOOKUP("APT",Controls!A:J,6,0),3)</f>
        <v>4</v>
      </c>
      <c r="R1702" s="21" t="str">
        <f>IFERROR(VLOOKUP("APT",Controls!A:K,10,0),"")</f>
        <v>ST Pharm</v>
      </c>
      <c r="S1702" s="41">
        <f t="shared" si="185"/>
        <v>48580</v>
      </c>
      <c r="T1702" s="30">
        <f t="shared" si="186"/>
        <v>0</v>
      </c>
      <c r="AB1702">
        <f t="shared" si="188"/>
        <v>271.03999999999996</v>
      </c>
    </row>
    <row r="1703" spans="1:28" ht="13" customHeight="1" x14ac:dyDescent="0.35">
      <c r="A1703" s="153">
        <v>48731</v>
      </c>
      <c r="B1703" s="36" t="s">
        <v>58</v>
      </c>
      <c r="C1703" s="15" t="s">
        <v>52</v>
      </c>
      <c r="D1703" s="15" t="s">
        <v>48</v>
      </c>
      <c r="E1703" s="30">
        <f>H1702</f>
        <v>89.81</v>
      </c>
      <c r="F1703" s="37">
        <f>IFERROR('Production Inputs'!$CV$37*Dependencies!$D$19,0)</f>
        <v>0</v>
      </c>
      <c r="G1703" s="37">
        <f t="array" ref="G1703">IFERROR(SUMPRODUCT(('Production Inputs'!$A:$A="APT")*('Production Inputs'!$B:$B="TOTAL ACTIVE")*'Production Inputs'!$CV:$CV),0)</f>
        <v>0</v>
      </c>
      <c r="H1703" s="30">
        <f t="shared" si="182"/>
        <v>89.81</v>
      </c>
      <c r="I1703" s="30">
        <f ca="1">IFERROR(AVERAGEIF(OFFSET(F1703,0,0,MIN(Controls!$B$8,COUNTIF(B1703:B$1973,B1703)),1),"&gt;"&amp;0),0)</f>
        <v>0</v>
      </c>
      <c r="J1703" s="38">
        <f t="shared" ca="1" si="183"/>
        <v>999</v>
      </c>
      <c r="K1703" s="30">
        <f t="shared" ca="1" si="187"/>
        <v>0</v>
      </c>
      <c r="L1703" t="str">
        <f t="shared" ca="1" si="184"/>
        <v>Overstock</v>
      </c>
      <c r="M1703" s="39">
        <f>IFERROR(VLOOKUP("APT",Controls!A:I,7,0),6)</f>
        <v>4</v>
      </c>
      <c r="N1703" s="39">
        <f>IFERROR(VLOOKUP("APT",Controls!A:I,8,0),3)</f>
        <v>3</v>
      </c>
      <c r="O1703" s="39">
        <f>IFERROR(VLOOKUP("APT",Controls!A:I,9,0),18)</f>
        <v>12</v>
      </c>
      <c r="P1703" s="40">
        <f>IFERROR(VLOOKUP("APT",Controls!A:J,5,0),0)</f>
        <v>165</v>
      </c>
      <c r="Q1703" s="39">
        <f>IFERROR(VLOOKUP("APT",Controls!A:J,6,0),3)</f>
        <v>4</v>
      </c>
      <c r="R1703" s="21" t="str">
        <f>IFERROR(VLOOKUP("APT",Controls!A:K,10,0),"")</f>
        <v>ST Pharm</v>
      </c>
      <c r="S1703" s="41">
        <f t="shared" si="185"/>
        <v>48611</v>
      </c>
      <c r="T1703" s="30">
        <f t="shared" si="186"/>
        <v>0</v>
      </c>
      <c r="AB1703">
        <f t="shared" si="188"/>
        <v>271.03999999999996</v>
      </c>
    </row>
    <row r="1704" spans="1:28" ht="13" customHeight="1" x14ac:dyDescent="0.35">
      <c r="A1704" s="153">
        <v>48761</v>
      </c>
      <c r="B1704" s="36" t="s">
        <v>58</v>
      </c>
      <c r="C1704" s="15" t="s">
        <v>52</v>
      </c>
      <c r="D1704" s="15" t="s">
        <v>48</v>
      </c>
      <c r="E1704" s="30">
        <f>H1703</f>
        <v>89.81</v>
      </c>
      <c r="F1704" s="37">
        <f>IFERROR('Production Inputs'!$CW$37*Dependencies!$D$19,0)</f>
        <v>0</v>
      </c>
      <c r="G1704" s="37">
        <f t="array" ref="G1704">IFERROR(SUMPRODUCT(('Production Inputs'!$A:$A="APT")*('Production Inputs'!$B:$B="TOTAL ACTIVE")*'Production Inputs'!$CW:$CW),0)</f>
        <v>0</v>
      </c>
      <c r="H1704" s="30">
        <f t="shared" si="182"/>
        <v>89.81</v>
      </c>
      <c r="I1704" s="30">
        <f ca="1">IFERROR(AVERAGEIF(OFFSET(F1704,0,0,MIN(Controls!$B$8,COUNTIF(B1704:B$1973,B1704)),1),"&gt;"&amp;0),0)</f>
        <v>0</v>
      </c>
      <c r="J1704" s="38">
        <f t="shared" ca="1" si="183"/>
        <v>999</v>
      </c>
      <c r="K1704" s="30">
        <f t="shared" ca="1" si="187"/>
        <v>0</v>
      </c>
      <c r="L1704" t="str">
        <f t="shared" ca="1" si="184"/>
        <v>Overstock</v>
      </c>
      <c r="M1704" s="39">
        <f>IFERROR(VLOOKUP("APT",Controls!A:I,7,0),6)</f>
        <v>4</v>
      </c>
      <c r="N1704" s="39">
        <f>IFERROR(VLOOKUP("APT",Controls!A:I,8,0),3)</f>
        <v>3</v>
      </c>
      <c r="O1704" s="39">
        <f>IFERROR(VLOOKUP("APT",Controls!A:I,9,0),18)</f>
        <v>12</v>
      </c>
      <c r="P1704" s="40">
        <f>IFERROR(VLOOKUP("APT",Controls!A:J,5,0),0)</f>
        <v>165</v>
      </c>
      <c r="Q1704" s="39">
        <f>IFERROR(VLOOKUP("APT",Controls!A:J,6,0),3)</f>
        <v>4</v>
      </c>
      <c r="R1704" s="21" t="str">
        <f>IFERROR(VLOOKUP("APT",Controls!A:K,10,0),"")</f>
        <v>ST Pharm</v>
      </c>
      <c r="S1704" s="41">
        <f t="shared" si="185"/>
        <v>48639</v>
      </c>
      <c r="T1704" s="30">
        <f t="shared" si="186"/>
        <v>0</v>
      </c>
      <c r="AB1704">
        <f t="shared" si="188"/>
        <v>271.03999999999996</v>
      </c>
    </row>
    <row r="1705" spans="1:28" ht="13" customHeight="1" x14ac:dyDescent="0.35">
      <c r="A1705" s="153">
        <v>48792</v>
      </c>
      <c r="B1705" s="36" t="s">
        <v>58</v>
      </c>
      <c r="C1705" s="15" t="s">
        <v>52</v>
      </c>
      <c r="D1705" s="15" t="s">
        <v>48</v>
      </c>
      <c r="E1705" s="30">
        <f>H1704</f>
        <v>89.81</v>
      </c>
      <c r="F1705" s="37">
        <f>IFERROR('Production Inputs'!$CX$37*Dependencies!$D$19,0)</f>
        <v>0</v>
      </c>
      <c r="G1705" s="37">
        <f t="array" ref="G1705">IFERROR(SUMPRODUCT(('Production Inputs'!$A:$A="APT")*('Production Inputs'!$B:$B="TOTAL ACTIVE")*'Production Inputs'!$CX:$CX),0)</f>
        <v>0</v>
      </c>
      <c r="H1705" s="30">
        <f t="shared" si="182"/>
        <v>89.81</v>
      </c>
      <c r="I1705" s="30">
        <f ca="1">IFERROR(AVERAGEIF(OFFSET(F1705,0,0,MIN(Controls!$B$8,COUNTIF(B1705:B$1973,B1705)),1),"&gt;"&amp;0),0)</f>
        <v>0</v>
      </c>
      <c r="J1705" s="38">
        <f t="shared" ca="1" si="183"/>
        <v>999</v>
      </c>
      <c r="K1705" s="30">
        <f t="shared" ca="1" si="187"/>
        <v>0</v>
      </c>
      <c r="L1705" t="str">
        <f t="shared" ca="1" si="184"/>
        <v>Overstock</v>
      </c>
      <c r="M1705" s="39">
        <f>IFERROR(VLOOKUP("APT",Controls!A:I,7,0),6)</f>
        <v>4</v>
      </c>
      <c r="N1705" s="39">
        <f>IFERROR(VLOOKUP("APT",Controls!A:I,8,0),3)</f>
        <v>3</v>
      </c>
      <c r="O1705" s="39">
        <f>IFERROR(VLOOKUP("APT",Controls!A:I,9,0),18)</f>
        <v>12</v>
      </c>
      <c r="P1705" s="40">
        <f>IFERROR(VLOOKUP("APT",Controls!A:J,5,0),0)</f>
        <v>165</v>
      </c>
      <c r="Q1705" s="39">
        <f>IFERROR(VLOOKUP("APT",Controls!A:J,6,0),3)</f>
        <v>4</v>
      </c>
      <c r="R1705" s="21" t="str">
        <f>IFERROR(VLOOKUP("APT",Controls!A:K,10,0),"")</f>
        <v>ST Pharm</v>
      </c>
      <c r="S1705" s="41">
        <f t="shared" si="185"/>
        <v>48670</v>
      </c>
      <c r="T1705" s="30">
        <f t="shared" si="186"/>
        <v>0</v>
      </c>
      <c r="AB1705">
        <f t="shared" si="188"/>
        <v>271.03999999999996</v>
      </c>
    </row>
    <row r="1706" spans="1:28" ht="13" customHeight="1" x14ac:dyDescent="0.35">
      <c r="A1706" s="153">
        <v>48823</v>
      </c>
      <c r="B1706" s="36" t="s">
        <v>58</v>
      </c>
      <c r="C1706" s="15" t="s">
        <v>52</v>
      </c>
      <c r="D1706" s="15" t="s">
        <v>48</v>
      </c>
      <c r="E1706" s="30">
        <f>H1705</f>
        <v>89.81</v>
      </c>
      <c r="F1706" s="37">
        <f>IFERROR('Production Inputs'!$CY$37*Dependencies!$D$19,0)</f>
        <v>0</v>
      </c>
      <c r="G1706" s="37">
        <f t="array" ref="G1706">IFERROR(SUMPRODUCT(('Production Inputs'!$A:$A="APT")*('Production Inputs'!$B:$B="TOTAL ACTIVE")*'Production Inputs'!$CY:$CY),0)</f>
        <v>0</v>
      </c>
      <c r="H1706" s="30">
        <f t="shared" si="182"/>
        <v>89.81</v>
      </c>
      <c r="I1706" s="30">
        <f ca="1">IFERROR(AVERAGEIF(OFFSET(F1706,0,0,MIN(Controls!$B$8,COUNTIF(B1706:B$1973,B1706)),1),"&gt;"&amp;0),0)</f>
        <v>0</v>
      </c>
      <c r="J1706" s="38">
        <f t="shared" ca="1" si="183"/>
        <v>999</v>
      </c>
      <c r="K1706" s="30">
        <f t="shared" ca="1" si="187"/>
        <v>0</v>
      </c>
      <c r="L1706" t="str">
        <f t="shared" ca="1" si="184"/>
        <v>Overstock</v>
      </c>
      <c r="M1706" s="39">
        <f>IFERROR(VLOOKUP("APT",Controls!A:I,7,0),6)</f>
        <v>4</v>
      </c>
      <c r="N1706" s="39">
        <f>IFERROR(VLOOKUP("APT",Controls!A:I,8,0),3)</f>
        <v>3</v>
      </c>
      <c r="O1706" s="39">
        <f>IFERROR(VLOOKUP("APT",Controls!A:I,9,0),18)</f>
        <v>12</v>
      </c>
      <c r="P1706" s="40">
        <f>IFERROR(VLOOKUP("APT",Controls!A:J,5,0),0)</f>
        <v>165</v>
      </c>
      <c r="Q1706" s="39">
        <f>IFERROR(VLOOKUP("APT",Controls!A:J,6,0),3)</f>
        <v>4</v>
      </c>
      <c r="R1706" s="21" t="str">
        <f>IFERROR(VLOOKUP("APT",Controls!A:K,10,0),"")</f>
        <v>ST Pharm</v>
      </c>
      <c r="S1706" s="41">
        <f t="shared" si="185"/>
        <v>48700</v>
      </c>
      <c r="T1706" s="30">
        <f t="shared" si="186"/>
        <v>0</v>
      </c>
      <c r="AB1706">
        <f t="shared" si="188"/>
        <v>271.03999999999996</v>
      </c>
    </row>
    <row r="1707" spans="1:28" ht="13" customHeight="1" x14ac:dyDescent="0.35">
      <c r="A1707" s="153">
        <v>48853</v>
      </c>
      <c r="B1707" s="36" t="s">
        <v>58</v>
      </c>
      <c r="C1707" s="15" t="s">
        <v>52</v>
      </c>
      <c r="D1707" s="15" t="s">
        <v>48</v>
      </c>
      <c r="E1707" s="30">
        <f>H1706</f>
        <v>89.81</v>
      </c>
      <c r="F1707" s="37">
        <f>IFERROR('Production Inputs'!$CZ$37*Dependencies!$D$19,0)</f>
        <v>0</v>
      </c>
      <c r="G1707" s="37">
        <f t="array" ref="G1707">IFERROR(SUMPRODUCT(('Production Inputs'!$A:$A="APT")*('Production Inputs'!$B:$B="TOTAL ACTIVE")*'Production Inputs'!$CZ:$CZ),0)</f>
        <v>0</v>
      </c>
      <c r="H1707" s="30">
        <f t="shared" si="182"/>
        <v>89.81</v>
      </c>
      <c r="I1707" s="30">
        <f ca="1">IFERROR(AVERAGEIF(OFFSET(F1707,0,0,MIN(Controls!$B$8,COUNTIF(B1707:B$1973,B1707)),1),"&gt;"&amp;0),0)</f>
        <v>0</v>
      </c>
      <c r="J1707" s="38">
        <f t="shared" ca="1" si="183"/>
        <v>999</v>
      </c>
      <c r="K1707" s="30">
        <f t="shared" ca="1" si="187"/>
        <v>0</v>
      </c>
      <c r="L1707" t="str">
        <f t="shared" ca="1" si="184"/>
        <v>Overstock</v>
      </c>
      <c r="M1707" s="39">
        <f>IFERROR(VLOOKUP("APT",Controls!A:I,7,0),6)</f>
        <v>4</v>
      </c>
      <c r="N1707" s="39">
        <f>IFERROR(VLOOKUP("APT",Controls!A:I,8,0),3)</f>
        <v>3</v>
      </c>
      <c r="O1707" s="39">
        <f>IFERROR(VLOOKUP("APT",Controls!A:I,9,0),18)</f>
        <v>12</v>
      </c>
      <c r="P1707" s="40">
        <f>IFERROR(VLOOKUP("APT",Controls!A:J,5,0),0)</f>
        <v>165</v>
      </c>
      <c r="Q1707" s="39">
        <f>IFERROR(VLOOKUP("APT",Controls!A:J,6,0),3)</f>
        <v>4</v>
      </c>
      <c r="R1707" s="21" t="str">
        <f>IFERROR(VLOOKUP("APT",Controls!A:K,10,0),"")</f>
        <v>ST Pharm</v>
      </c>
      <c r="S1707" s="41">
        <f t="shared" si="185"/>
        <v>48731</v>
      </c>
      <c r="T1707" s="30">
        <f t="shared" si="186"/>
        <v>0</v>
      </c>
      <c r="AB1707">
        <f t="shared" si="188"/>
        <v>271.03999999999996</v>
      </c>
    </row>
    <row r="1708" spans="1:28" ht="13" customHeight="1" x14ac:dyDescent="0.35">
      <c r="A1708" s="153">
        <v>48884</v>
      </c>
      <c r="B1708" s="36" t="s">
        <v>58</v>
      </c>
      <c r="C1708" s="15" t="s">
        <v>52</v>
      </c>
      <c r="D1708" s="15" t="s">
        <v>48</v>
      </c>
      <c r="E1708" s="30">
        <f>H1707</f>
        <v>89.81</v>
      </c>
      <c r="F1708" s="37">
        <f>IFERROR('Production Inputs'!$DA$37*Dependencies!$D$19,0)</f>
        <v>0</v>
      </c>
      <c r="G1708" s="37">
        <f t="array" ref="G1708">IFERROR(SUMPRODUCT(('Production Inputs'!$A:$A="APT")*('Production Inputs'!$B:$B="TOTAL ACTIVE")*'Production Inputs'!$DA:$DA),0)</f>
        <v>0</v>
      </c>
      <c r="H1708" s="30">
        <f t="shared" si="182"/>
        <v>89.81</v>
      </c>
      <c r="I1708" s="30">
        <f ca="1">IFERROR(AVERAGEIF(OFFSET(F1708,0,0,MIN(Controls!$B$8,COUNTIF(B1708:B$1973,B1708)),1),"&gt;"&amp;0),0)</f>
        <v>0</v>
      </c>
      <c r="J1708" s="38">
        <f t="shared" ca="1" si="183"/>
        <v>999</v>
      </c>
      <c r="K1708" s="30">
        <f t="shared" ca="1" si="187"/>
        <v>0</v>
      </c>
      <c r="L1708" t="str">
        <f t="shared" ca="1" si="184"/>
        <v>Overstock</v>
      </c>
      <c r="M1708" s="39">
        <f>IFERROR(VLOOKUP("APT",Controls!A:I,7,0),6)</f>
        <v>4</v>
      </c>
      <c r="N1708" s="39">
        <f>IFERROR(VLOOKUP("APT",Controls!A:I,8,0),3)</f>
        <v>3</v>
      </c>
      <c r="O1708" s="39">
        <f>IFERROR(VLOOKUP("APT",Controls!A:I,9,0),18)</f>
        <v>12</v>
      </c>
      <c r="P1708" s="40">
        <f>IFERROR(VLOOKUP("APT",Controls!A:J,5,0),0)</f>
        <v>165</v>
      </c>
      <c r="Q1708" s="39">
        <f>IFERROR(VLOOKUP("APT",Controls!A:J,6,0),3)</f>
        <v>4</v>
      </c>
      <c r="R1708" s="21" t="str">
        <f>IFERROR(VLOOKUP("APT",Controls!A:K,10,0),"")</f>
        <v>ST Pharm</v>
      </c>
      <c r="S1708" s="41">
        <f t="shared" si="185"/>
        <v>48761</v>
      </c>
      <c r="T1708" s="30">
        <f t="shared" si="186"/>
        <v>0</v>
      </c>
      <c r="AB1708">
        <f t="shared" si="188"/>
        <v>271.03999999999996</v>
      </c>
    </row>
    <row r="1709" spans="1:28" ht="13" customHeight="1" x14ac:dyDescent="0.35">
      <c r="A1709" s="153">
        <v>48914</v>
      </c>
      <c r="B1709" s="36" t="s">
        <v>58</v>
      </c>
      <c r="C1709" s="15" t="s">
        <v>52</v>
      </c>
      <c r="D1709" s="15" t="s">
        <v>48</v>
      </c>
      <c r="E1709" s="30">
        <f>H1708</f>
        <v>89.81</v>
      </c>
      <c r="F1709" s="37">
        <f>IFERROR('Production Inputs'!$DB$37*Dependencies!$D$19,0)</f>
        <v>0</v>
      </c>
      <c r="G1709" s="37">
        <f t="array" ref="G1709">IFERROR(SUMPRODUCT(('Production Inputs'!$A:$A="APT")*('Production Inputs'!$B:$B="TOTAL ACTIVE")*'Production Inputs'!$DB:$DB),0)</f>
        <v>0</v>
      </c>
      <c r="H1709" s="30">
        <f t="shared" si="182"/>
        <v>89.81</v>
      </c>
      <c r="I1709" s="30">
        <f ca="1">IFERROR(AVERAGEIF(OFFSET(F1709,0,0,MIN(Controls!$B$8,COUNTIF(B1709:B$1973,B1709)),1),"&gt;"&amp;0),0)</f>
        <v>0</v>
      </c>
      <c r="J1709" s="38">
        <f t="shared" ca="1" si="183"/>
        <v>999</v>
      </c>
      <c r="K1709" s="30">
        <f t="shared" ca="1" si="187"/>
        <v>0</v>
      </c>
      <c r="L1709" t="str">
        <f t="shared" ca="1" si="184"/>
        <v>Overstock</v>
      </c>
      <c r="M1709" s="39">
        <f>IFERROR(VLOOKUP("APT",Controls!A:I,7,0),6)</f>
        <v>4</v>
      </c>
      <c r="N1709" s="39">
        <f>IFERROR(VLOOKUP("APT",Controls!A:I,8,0),3)</f>
        <v>3</v>
      </c>
      <c r="O1709" s="39">
        <f>IFERROR(VLOOKUP("APT",Controls!A:I,9,0),18)</f>
        <v>12</v>
      </c>
      <c r="P1709" s="40">
        <f>IFERROR(VLOOKUP("APT",Controls!A:J,5,0),0)</f>
        <v>165</v>
      </c>
      <c r="Q1709" s="39">
        <f>IFERROR(VLOOKUP("APT",Controls!A:J,6,0),3)</f>
        <v>4</v>
      </c>
      <c r="R1709" s="21" t="str">
        <f>IFERROR(VLOOKUP("APT",Controls!A:K,10,0),"")</f>
        <v>ST Pharm</v>
      </c>
      <c r="S1709" s="41">
        <f t="shared" si="185"/>
        <v>48792</v>
      </c>
      <c r="T1709" s="30">
        <f t="shared" si="186"/>
        <v>0</v>
      </c>
      <c r="AB1709">
        <f t="shared" si="188"/>
        <v>271.03999999999996</v>
      </c>
    </row>
    <row r="1710" spans="1:28" ht="13" customHeight="1" x14ac:dyDescent="0.35">
      <c r="A1710" s="153">
        <v>48945</v>
      </c>
      <c r="B1710" s="36" t="s">
        <v>58</v>
      </c>
      <c r="C1710" s="15" t="s">
        <v>52</v>
      </c>
      <c r="D1710" s="15" t="s">
        <v>48</v>
      </c>
      <c r="E1710" s="30">
        <f>H1709</f>
        <v>89.81</v>
      </c>
      <c r="F1710" s="37">
        <f>IFERROR('Production Inputs'!$DC$37*Dependencies!$D$19,0)</f>
        <v>0</v>
      </c>
      <c r="G1710" s="37">
        <f t="array" ref="G1710">IFERROR(SUMPRODUCT(('Production Inputs'!$A:$A="APT")*('Production Inputs'!$B:$B="TOTAL ACTIVE")*'Production Inputs'!$DC:$DC),0)</f>
        <v>0</v>
      </c>
      <c r="H1710" s="30">
        <f t="shared" si="182"/>
        <v>89.81</v>
      </c>
      <c r="I1710" s="30">
        <f ca="1">IFERROR(AVERAGEIF(OFFSET(F1710,0,0,MIN(Controls!$B$8,COUNTIF(B1710:B$1973,B1710)),1),"&gt;"&amp;0),0)</f>
        <v>0</v>
      </c>
      <c r="J1710" s="38">
        <f t="shared" ca="1" si="183"/>
        <v>999</v>
      </c>
      <c r="K1710" s="30">
        <f t="shared" ca="1" si="187"/>
        <v>0</v>
      </c>
      <c r="L1710" t="str">
        <f t="shared" ca="1" si="184"/>
        <v>Overstock</v>
      </c>
      <c r="M1710" s="39">
        <f>IFERROR(VLOOKUP("APT",Controls!A:I,7,0),6)</f>
        <v>4</v>
      </c>
      <c r="N1710" s="39">
        <f>IFERROR(VLOOKUP("APT",Controls!A:I,8,0),3)</f>
        <v>3</v>
      </c>
      <c r="O1710" s="39">
        <f>IFERROR(VLOOKUP("APT",Controls!A:I,9,0),18)</f>
        <v>12</v>
      </c>
      <c r="P1710" s="40">
        <f>IFERROR(VLOOKUP("APT",Controls!A:J,5,0),0)</f>
        <v>165</v>
      </c>
      <c r="Q1710" s="39">
        <f>IFERROR(VLOOKUP("APT",Controls!A:J,6,0),3)</f>
        <v>4</v>
      </c>
      <c r="R1710" s="21" t="str">
        <f>IFERROR(VLOOKUP("APT",Controls!A:K,10,0),"")</f>
        <v>ST Pharm</v>
      </c>
      <c r="S1710" s="41">
        <f t="shared" si="185"/>
        <v>48823</v>
      </c>
      <c r="T1710" s="30">
        <f t="shared" si="186"/>
        <v>0</v>
      </c>
      <c r="AB1710">
        <f t="shared" si="188"/>
        <v>271.03999999999996</v>
      </c>
    </row>
    <row r="1711" spans="1:28" ht="13" customHeight="1" x14ac:dyDescent="0.35">
      <c r="A1711" s="153">
        <v>48976</v>
      </c>
      <c r="B1711" s="36" t="s">
        <v>58</v>
      </c>
      <c r="C1711" s="15" t="s">
        <v>52</v>
      </c>
      <c r="D1711" s="15" t="s">
        <v>48</v>
      </c>
      <c r="E1711" s="30">
        <f>H1710</f>
        <v>89.81</v>
      </c>
      <c r="F1711" s="37">
        <f>IFERROR('Production Inputs'!$DD$37*Dependencies!$D$19,0)</f>
        <v>0</v>
      </c>
      <c r="G1711" s="37">
        <f t="array" ref="G1711">IFERROR(SUMPRODUCT(('Production Inputs'!$A:$A="APT")*('Production Inputs'!$B:$B="TOTAL ACTIVE")*'Production Inputs'!$DD:$DD),0)</f>
        <v>0</v>
      </c>
      <c r="H1711" s="30">
        <f t="shared" si="182"/>
        <v>89.81</v>
      </c>
      <c r="I1711" s="30">
        <f ca="1">IFERROR(AVERAGEIF(OFFSET(F1711,0,0,MIN(Controls!$B$8,COUNTIF(B1711:B$1973,B1711)),1),"&gt;"&amp;0),0)</f>
        <v>0</v>
      </c>
      <c r="J1711" s="38">
        <f t="shared" ca="1" si="183"/>
        <v>999</v>
      </c>
      <c r="K1711" s="30">
        <f t="shared" ca="1" si="187"/>
        <v>0</v>
      </c>
      <c r="L1711" t="str">
        <f t="shared" ca="1" si="184"/>
        <v>Overstock</v>
      </c>
      <c r="M1711" s="39">
        <f>IFERROR(VLOOKUP("APT",Controls!A:I,7,0),6)</f>
        <v>4</v>
      </c>
      <c r="N1711" s="39">
        <f>IFERROR(VLOOKUP("APT",Controls!A:I,8,0),3)</f>
        <v>3</v>
      </c>
      <c r="O1711" s="39">
        <f>IFERROR(VLOOKUP("APT",Controls!A:I,9,0),18)</f>
        <v>12</v>
      </c>
      <c r="P1711" s="40">
        <f>IFERROR(VLOOKUP("APT",Controls!A:J,5,0),0)</f>
        <v>165</v>
      </c>
      <c r="Q1711" s="39">
        <f>IFERROR(VLOOKUP("APT",Controls!A:J,6,0),3)</f>
        <v>4</v>
      </c>
      <c r="R1711" s="21" t="str">
        <f>IFERROR(VLOOKUP("APT",Controls!A:K,10,0),"")</f>
        <v>ST Pharm</v>
      </c>
      <c r="S1711" s="41">
        <f t="shared" si="185"/>
        <v>48853</v>
      </c>
      <c r="T1711" s="30">
        <f t="shared" si="186"/>
        <v>0</v>
      </c>
      <c r="AB1711">
        <f t="shared" si="188"/>
        <v>271.03999999999996</v>
      </c>
    </row>
    <row r="1712" spans="1:28" ht="13" customHeight="1" x14ac:dyDescent="0.35">
      <c r="A1712" s="153">
        <v>49004</v>
      </c>
      <c r="B1712" s="36" t="s">
        <v>58</v>
      </c>
      <c r="C1712" s="15" t="s">
        <v>52</v>
      </c>
      <c r="D1712" s="15" t="s">
        <v>48</v>
      </c>
      <c r="E1712" s="30">
        <f>H1711</f>
        <v>89.81</v>
      </c>
      <c r="F1712" s="37">
        <f>IFERROR('Production Inputs'!$DE$37*Dependencies!$D$19,0)</f>
        <v>0</v>
      </c>
      <c r="G1712" s="37">
        <f t="array" ref="G1712">IFERROR(SUMPRODUCT(('Production Inputs'!$A:$A="APT")*('Production Inputs'!$B:$B="TOTAL ACTIVE")*'Production Inputs'!$DE:$DE),0)</f>
        <v>0</v>
      </c>
      <c r="H1712" s="30">
        <f t="shared" si="182"/>
        <v>89.81</v>
      </c>
      <c r="I1712" s="30">
        <f ca="1">IFERROR(AVERAGEIF(OFFSET(F1712,0,0,MIN(Controls!$B$8,COUNTIF(B1712:B$1973,B1712)),1),"&gt;"&amp;0),0)</f>
        <v>0</v>
      </c>
      <c r="J1712" s="38">
        <f t="shared" ca="1" si="183"/>
        <v>999</v>
      </c>
      <c r="K1712" s="30">
        <f t="shared" ca="1" si="187"/>
        <v>0</v>
      </c>
      <c r="L1712" t="str">
        <f t="shared" ca="1" si="184"/>
        <v>Overstock</v>
      </c>
      <c r="M1712" s="39">
        <f>IFERROR(VLOOKUP("APT",Controls!A:I,7,0),6)</f>
        <v>4</v>
      </c>
      <c r="N1712" s="39">
        <f>IFERROR(VLOOKUP("APT",Controls!A:I,8,0),3)</f>
        <v>3</v>
      </c>
      <c r="O1712" s="39">
        <f>IFERROR(VLOOKUP("APT",Controls!A:I,9,0),18)</f>
        <v>12</v>
      </c>
      <c r="P1712" s="40">
        <f>IFERROR(VLOOKUP("APT",Controls!A:J,5,0),0)</f>
        <v>165</v>
      </c>
      <c r="Q1712" s="39">
        <f>IFERROR(VLOOKUP("APT",Controls!A:J,6,0),3)</f>
        <v>4</v>
      </c>
      <c r="R1712" s="21" t="str">
        <f>IFERROR(VLOOKUP("APT",Controls!A:K,10,0),"")</f>
        <v>ST Pharm</v>
      </c>
      <c r="S1712" s="41">
        <f t="shared" si="185"/>
        <v>48884</v>
      </c>
      <c r="T1712" s="30">
        <f t="shared" si="186"/>
        <v>0</v>
      </c>
      <c r="AB1712">
        <f t="shared" si="188"/>
        <v>271.03999999999996</v>
      </c>
    </row>
    <row r="1713" spans="1:28" ht="13" customHeight="1" x14ac:dyDescent="0.35">
      <c r="A1713" s="153">
        <v>49035</v>
      </c>
      <c r="B1713" s="36" t="s">
        <v>58</v>
      </c>
      <c r="C1713" s="15" t="s">
        <v>52</v>
      </c>
      <c r="D1713" s="15" t="s">
        <v>48</v>
      </c>
      <c r="E1713" s="30">
        <f>H1712</f>
        <v>89.81</v>
      </c>
      <c r="F1713" s="37">
        <f>IFERROR('Production Inputs'!$DF$37*Dependencies!$D$19,0)</f>
        <v>0</v>
      </c>
      <c r="G1713" s="37">
        <f t="array" ref="G1713">IFERROR(SUMPRODUCT(('Production Inputs'!$A:$A="APT")*('Production Inputs'!$B:$B="TOTAL ACTIVE")*'Production Inputs'!$DF:$DF),0)</f>
        <v>0</v>
      </c>
      <c r="H1713" s="30">
        <f t="shared" si="182"/>
        <v>89.81</v>
      </c>
      <c r="I1713" s="30">
        <f ca="1">IFERROR(AVERAGEIF(OFFSET(F1713,0,0,MIN(Controls!$B$8,COUNTIF(B1713:B$1973,B1713)),1),"&gt;"&amp;0),0)</f>
        <v>0</v>
      </c>
      <c r="J1713" s="38">
        <f t="shared" ca="1" si="183"/>
        <v>999</v>
      </c>
      <c r="K1713" s="30">
        <f t="shared" ca="1" si="187"/>
        <v>0</v>
      </c>
      <c r="L1713" t="str">
        <f t="shared" ca="1" si="184"/>
        <v>Overstock</v>
      </c>
      <c r="M1713" s="39">
        <f>IFERROR(VLOOKUP("APT",Controls!A:I,7,0),6)</f>
        <v>4</v>
      </c>
      <c r="N1713" s="39">
        <f>IFERROR(VLOOKUP("APT",Controls!A:I,8,0),3)</f>
        <v>3</v>
      </c>
      <c r="O1713" s="39">
        <f>IFERROR(VLOOKUP("APT",Controls!A:I,9,0),18)</f>
        <v>12</v>
      </c>
      <c r="P1713" s="40">
        <f>IFERROR(VLOOKUP("APT",Controls!A:J,5,0),0)</f>
        <v>165</v>
      </c>
      <c r="Q1713" s="39">
        <f>IFERROR(VLOOKUP("APT",Controls!A:J,6,0),3)</f>
        <v>4</v>
      </c>
      <c r="R1713" s="21" t="str">
        <f>IFERROR(VLOOKUP("APT",Controls!A:K,10,0),"")</f>
        <v>ST Pharm</v>
      </c>
      <c r="S1713" s="41">
        <f t="shared" si="185"/>
        <v>48914</v>
      </c>
      <c r="T1713" s="30">
        <f t="shared" si="186"/>
        <v>0</v>
      </c>
      <c r="AB1713">
        <f t="shared" si="188"/>
        <v>271.03999999999996</v>
      </c>
    </row>
    <row r="1714" spans="1:28" ht="13" customHeight="1" x14ac:dyDescent="0.35">
      <c r="A1714" s="153">
        <v>49065</v>
      </c>
      <c r="B1714" s="36" t="s">
        <v>58</v>
      </c>
      <c r="C1714" s="15" t="s">
        <v>52</v>
      </c>
      <c r="D1714" s="15" t="s">
        <v>48</v>
      </c>
      <c r="E1714" s="30">
        <f>H1713</f>
        <v>89.81</v>
      </c>
      <c r="F1714" s="37">
        <f>IFERROR('Production Inputs'!$DG$37*Dependencies!$D$19,0)</f>
        <v>0</v>
      </c>
      <c r="G1714" s="37">
        <f t="array" ref="G1714">IFERROR(SUMPRODUCT(('Production Inputs'!$A:$A="APT")*('Production Inputs'!$B:$B="TOTAL ACTIVE")*'Production Inputs'!$DG:$DG),0)</f>
        <v>0</v>
      </c>
      <c r="H1714" s="30">
        <f t="shared" si="182"/>
        <v>89.81</v>
      </c>
      <c r="I1714" s="30">
        <f ca="1">IFERROR(AVERAGEIF(OFFSET(F1714,0,0,MIN(Controls!$B$8,COUNTIF(B1714:B$1973,B1714)),1),"&gt;"&amp;0),0)</f>
        <v>0</v>
      </c>
      <c r="J1714" s="38">
        <f t="shared" ca="1" si="183"/>
        <v>999</v>
      </c>
      <c r="K1714" s="30">
        <f t="shared" ca="1" si="187"/>
        <v>0</v>
      </c>
      <c r="L1714" t="str">
        <f t="shared" ca="1" si="184"/>
        <v>Overstock</v>
      </c>
      <c r="M1714" s="39">
        <f>IFERROR(VLOOKUP("APT",Controls!A:I,7,0),6)</f>
        <v>4</v>
      </c>
      <c r="N1714" s="39">
        <f>IFERROR(VLOOKUP("APT",Controls!A:I,8,0),3)</f>
        <v>3</v>
      </c>
      <c r="O1714" s="39">
        <f>IFERROR(VLOOKUP("APT",Controls!A:I,9,0),18)</f>
        <v>12</v>
      </c>
      <c r="P1714" s="40">
        <f>IFERROR(VLOOKUP("APT",Controls!A:J,5,0),0)</f>
        <v>165</v>
      </c>
      <c r="Q1714" s="39">
        <f>IFERROR(VLOOKUP("APT",Controls!A:J,6,0),3)</f>
        <v>4</v>
      </c>
      <c r="R1714" s="21" t="str">
        <f>IFERROR(VLOOKUP("APT",Controls!A:K,10,0),"")</f>
        <v>ST Pharm</v>
      </c>
      <c r="S1714" s="41">
        <f t="shared" si="185"/>
        <v>48945</v>
      </c>
      <c r="T1714" s="30">
        <f t="shared" si="186"/>
        <v>0</v>
      </c>
      <c r="AB1714">
        <f t="shared" si="188"/>
        <v>271.03999999999996</v>
      </c>
    </row>
    <row r="1715" spans="1:28" ht="13" customHeight="1" x14ac:dyDescent="0.35">
      <c r="A1715" s="153">
        <v>49096</v>
      </c>
      <c r="B1715" s="36" t="s">
        <v>58</v>
      </c>
      <c r="C1715" s="15" t="s">
        <v>52</v>
      </c>
      <c r="D1715" s="15" t="s">
        <v>48</v>
      </c>
      <c r="E1715" s="30">
        <f>H1714</f>
        <v>89.81</v>
      </c>
      <c r="F1715" s="37">
        <f>IFERROR('Production Inputs'!$DH$37*Dependencies!$D$19,0)</f>
        <v>0</v>
      </c>
      <c r="G1715" s="37">
        <f t="array" ref="G1715">IFERROR(SUMPRODUCT(('Production Inputs'!$A:$A="APT")*('Production Inputs'!$B:$B="TOTAL ACTIVE")*'Production Inputs'!$DH:$DH),0)</f>
        <v>0</v>
      </c>
      <c r="H1715" s="30">
        <f t="shared" si="182"/>
        <v>89.81</v>
      </c>
      <c r="I1715" s="30">
        <f ca="1">IFERROR(AVERAGEIF(OFFSET(F1715,0,0,MIN(Controls!$B$8,COUNTIF(B1715:B$1973,B1715)),1),"&gt;"&amp;0),0)</f>
        <v>0</v>
      </c>
      <c r="J1715" s="38">
        <f t="shared" ca="1" si="183"/>
        <v>999</v>
      </c>
      <c r="K1715" s="30">
        <f t="shared" ca="1" si="187"/>
        <v>0</v>
      </c>
      <c r="L1715" t="str">
        <f t="shared" ca="1" si="184"/>
        <v>Overstock</v>
      </c>
      <c r="M1715" s="39">
        <f>IFERROR(VLOOKUP("APT",Controls!A:I,7,0),6)</f>
        <v>4</v>
      </c>
      <c r="N1715" s="39">
        <f>IFERROR(VLOOKUP("APT",Controls!A:I,8,0),3)</f>
        <v>3</v>
      </c>
      <c r="O1715" s="39">
        <f>IFERROR(VLOOKUP("APT",Controls!A:I,9,0),18)</f>
        <v>12</v>
      </c>
      <c r="P1715" s="40">
        <f>IFERROR(VLOOKUP("APT",Controls!A:J,5,0),0)</f>
        <v>165</v>
      </c>
      <c r="Q1715" s="39">
        <f>IFERROR(VLOOKUP("APT",Controls!A:J,6,0),3)</f>
        <v>4</v>
      </c>
      <c r="R1715" s="21" t="str">
        <f>IFERROR(VLOOKUP("APT",Controls!A:K,10,0),"")</f>
        <v>ST Pharm</v>
      </c>
      <c r="S1715" s="41">
        <f t="shared" si="185"/>
        <v>48976</v>
      </c>
      <c r="T1715" s="30">
        <f t="shared" si="186"/>
        <v>0</v>
      </c>
      <c r="AB1715">
        <f t="shared" si="188"/>
        <v>271.03999999999996</v>
      </c>
    </row>
    <row r="1716" spans="1:28" ht="13" customHeight="1" x14ac:dyDescent="0.35">
      <c r="A1716" s="153">
        <v>49126</v>
      </c>
      <c r="B1716" s="36" t="s">
        <v>58</v>
      </c>
      <c r="C1716" s="15" t="s">
        <v>52</v>
      </c>
      <c r="D1716" s="15" t="s">
        <v>48</v>
      </c>
      <c r="E1716" s="30">
        <f>H1715</f>
        <v>89.81</v>
      </c>
      <c r="F1716" s="37">
        <f>IFERROR('Production Inputs'!$DI$37*Dependencies!$D$19,0)</f>
        <v>0</v>
      </c>
      <c r="G1716" s="37">
        <f t="array" ref="G1716">IFERROR(SUMPRODUCT(('Production Inputs'!$A:$A="APT")*('Production Inputs'!$B:$B="TOTAL ACTIVE")*'Production Inputs'!$DI:$DI),0)</f>
        <v>0</v>
      </c>
      <c r="H1716" s="30">
        <f t="shared" si="182"/>
        <v>89.81</v>
      </c>
      <c r="I1716" s="30">
        <f ca="1">IFERROR(AVERAGEIF(OFFSET(F1716,0,0,MIN(Controls!$B$8,COUNTIF(B1716:B$1973,B1716)),1),"&gt;"&amp;0),0)</f>
        <v>0</v>
      </c>
      <c r="J1716" s="38">
        <f t="shared" ca="1" si="183"/>
        <v>999</v>
      </c>
      <c r="K1716" s="30">
        <f t="shared" ca="1" si="187"/>
        <v>0</v>
      </c>
      <c r="L1716" t="str">
        <f t="shared" ca="1" si="184"/>
        <v>Overstock</v>
      </c>
      <c r="M1716" s="39">
        <f>IFERROR(VLOOKUP("APT",Controls!A:I,7,0),6)</f>
        <v>4</v>
      </c>
      <c r="N1716" s="39">
        <f>IFERROR(VLOOKUP("APT",Controls!A:I,8,0),3)</f>
        <v>3</v>
      </c>
      <c r="O1716" s="39">
        <f>IFERROR(VLOOKUP("APT",Controls!A:I,9,0),18)</f>
        <v>12</v>
      </c>
      <c r="P1716" s="40">
        <f>IFERROR(VLOOKUP("APT",Controls!A:J,5,0),0)</f>
        <v>165</v>
      </c>
      <c r="Q1716" s="39">
        <f>IFERROR(VLOOKUP("APT",Controls!A:J,6,0),3)</f>
        <v>4</v>
      </c>
      <c r="R1716" s="21" t="str">
        <f>IFERROR(VLOOKUP("APT",Controls!A:K,10,0),"")</f>
        <v>ST Pharm</v>
      </c>
      <c r="S1716" s="41">
        <f t="shared" si="185"/>
        <v>49004</v>
      </c>
      <c r="T1716" s="30">
        <f t="shared" si="186"/>
        <v>0</v>
      </c>
      <c r="AB1716">
        <f t="shared" si="188"/>
        <v>271.03999999999996</v>
      </c>
    </row>
    <row r="1717" spans="1:28" ht="13" customHeight="1" x14ac:dyDescent="0.35">
      <c r="A1717" s="153">
        <v>49157</v>
      </c>
      <c r="B1717" s="36" t="s">
        <v>58</v>
      </c>
      <c r="C1717" s="15" t="s">
        <v>52</v>
      </c>
      <c r="D1717" s="15" t="s">
        <v>48</v>
      </c>
      <c r="E1717" s="30">
        <f>H1716</f>
        <v>89.81</v>
      </c>
      <c r="F1717" s="37">
        <f>IFERROR('Production Inputs'!$DJ$37*Dependencies!$D$19,0)</f>
        <v>0</v>
      </c>
      <c r="G1717" s="37">
        <f t="array" ref="G1717">IFERROR(SUMPRODUCT(('Production Inputs'!$A:$A="APT")*('Production Inputs'!$B:$B="TOTAL ACTIVE")*'Production Inputs'!$DJ:$DJ),0)</f>
        <v>0</v>
      </c>
      <c r="H1717" s="30">
        <f t="shared" si="182"/>
        <v>89.81</v>
      </c>
      <c r="I1717" s="30">
        <f ca="1">IFERROR(AVERAGEIF(OFFSET(F1717,0,0,MIN(Controls!$B$8,COUNTIF(B1717:B$1973,B1717)),1),"&gt;"&amp;0),0)</f>
        <v>0</v>
      </c>
      <c r="J1717" s="38">
        <f t="shared" ca="1" si="183"/>
        <v>999</v>
      </c>
      <c r="K1717" s="30">
        <f t="shared" ca="1" si="187"/>
        <v>0</v>
      </c>
      <c r="L1717" t="str">
        <f t="shared" ca="1" si="184"/>
        <v>Overstock</v>
      </c>
      <c r="M1717" s="39">
        <f>IFERROR(VLOOKUP("APT",Controls!A:I,7,0),6)</f>
        <v>4</v>
      </c>
      <c r="N1717" s="39">
        <f>IFERROR(VLOOKUP("APT",Controls!A:I,8,0),3)</f>
        <v>3</v>
      </c>
      <c r="O1717" s="39">
        <f>IFERROR(VLOOKUP("APT",Controls!A:I,9,0),18)</f>
        <v>12</v>
      </c>
      <c r="P1717" s="40">
        <f>IFERROR(VLOOKUP("APT",Controls!A:J,5,0),0)</f>
        <v>165</v>
      </c>
      <c r="Q1717" s="39">
        <f>IFERROR(VLOOKUP("APT",Controls!A:J,6,0),3)</f>
        <v>4</v>
      </c>
      <c r="R1717" s="21" t="str">
        <f>IFERROR(VLOOKUP("APT",Controls!A:K,10,0),"")</f>
        <v>ST Pharm</v>
      </c>
      <c r="S1717" s="41">
        <f t="shared" si="185"/>
        <v>49035</v>
      </c>
      <c r="T1717" s="30">
        <f t="shared" si="186"/>
        <v>0</v>
      </c>
      <c r="AB1717">
        <f t="shared" si="188"/>
        <v>271.03999999999996</v>
      </c>
    </row>
    <row r="1718" spans="1:28" ht="13" customHeight="1" x14ac:dyDescent="0.35">
      <c r="A1718" s="153">
        <v>49188</v>
      </c>
      <c r="B1718" s="36" t="s">
        <v>58</v>
      </c>
      <c r="C1718" s="15" t="s">
        <v>52</v>
      </c>
      <c r="D1718" s="15" t="s">
        <v>48</v>
      </c>
      <c r="E1718" s="30">
        <f>H1717</f>
        <v>89.81</v>
      </c>
      <c r="F1718" s="37">
        <f>IFERROR('Production Inputs'!$DK$37*Dependencies!$D$19,0)</f>
        <v>0</v>
      </c>
      <c r="G1718" s="37">
        <f t="array" ref="G1718">IFERROR(SUMPRODUCT(('Production Inputs'!$A:$A="APT")*('Production Inputs'!$B:$B="TOTAL ACTIVE")*'Production Inputs'!$DK:$DK),0)</f>
        <v>0</v>
      </c>
      <c r="H1718" s="30">
        <f t="shared" si="182"/>
        <v>89.81</v>
      </c>
      <c r="I1718" s="30">
        <f ca="1">IFERROR(AVERAGEIF(OFFSET(F1718,0,0,MIN(Controls!$B$8,COUNTIF(B1718:B$1973,B1718)),1),"&gt;"&amp;0),0)</f>
        <v>0</v>
      </c>
      <c r="J1718" s="38">
        <f t="shared" ca="1" si="183"/>
        <v>999</v>
      </c>
      <c r="K1718" s="30">
        <f t="shared" ca="1" si="187"/>
        <v>0</v>
      </c>
      <c r="L1718" t="str">
        <f t="shared" ca="1" si="184"/>
        <v>Overstock</v>
      </c>
      <c r="M1718" s="39">
        <f>IFERROR(VLOOKUP("APT",Controls!A:I,7,0),6)</f>
        <v>4</v>
      </c>
      <c r="N1718" s="39">
        <f>IFERROR(VLOOKUP("APT",Controls!A:I,8,0),3)</f>
        <v>3</v>
      </c>
      <c r="O1718" s="39">
        <f>IFERROR(VLOOKUP("APT",Controls!A:I,9,0),18)</f>
        <v>12</v>
      </c>
      <c r="P1718" s="40">
        <f>IFERROR(VLOOKUP("APT",Controls!A:J,5,0),0)</f>
        <v>165</v>
      </c>
      <c r="Q1718" s="39">
        <f>IFERROR(VLOOKUP("APT",Controls!A:J,6,0),3)</f>
        <v>4</v>
      </c>
      <c r="R1718" s="21" t="str">
        <f>IFERROR(VLOOKUP("APT",Controls!A:K,10,0),"")</f>
        <v>ST Pharm</v>
      </c>
      <c r="S1718" s="41">
        <f t="shared" si="185"/>
        <v>49065</v>
      </c>
      <c r="T1718" s="30">
        <f t="shared" si="186"/>
        <v>0</v>
      </c>
      <c r="AB1718">
        <f t="shared" si="188"/>
        <v>271.03999999999996</v>
      </c>
    </row>
    <row r="1719" spans="1:28" ht="13" customHeight="1" x14ac:dyDescent="0.35">
      <c r="A1719" s="153">
        <v>49218</v>
      </c>
      <c r="B1719" s="36" t="s">
        <v>58</v>
      </c>
      <c r="C1719" s="15" t="s">
        <v>52</v>
      </c>
      <c r="D1719" s="15" t="s">
        <v>48</v>
      </c>
      <c r="E1719" s="30">
        <f>H1718</f>
        <v>89.81</v>
      </c>
      <c r="F1719" s="37">
        <f>IFERROR('Production Inputs'!$DL$37*Dependencies!$D$19,0)</f>
        <v>0</v>
      </c>
      <c r="G1719" s="37">
        <f t="array" ref="G1719">IFERROR(SUMPRODUCT(('Production Inputs'!$A:$A="APT")*('Production Inputs'!$B:$B="TOTAL ACTIVE")*'Production Inputs'!$DL:$DL),0)</f>
        <v>0</v>
      </c>
      <c r="H1719" s="30">
        <f t="shared" si="182"/>
        <v>89.81</v>
      </c>
      <c r="I1719" s="30">
        <f ca="1">IFERROR(AVERAGEIF(OFFSET(F1719,0,0,MIN(Controls!$B$8,COUNTIF(B1719:B$1973,B1719)),1),"&gt;"&amp;0),0)</f>
        <v>0</v>
      </c>
      <c r="J1719" s="38">
        <f t="shared" ca="1" si="183"/>
        <v>999</v>
      </c>
      <c r="K1719" s="30">
        <f t="shared" ca="1" si="187"/>
        <v>0</v>
      </c>
      <c r="L1719" t="str">
        <f t="shared" ca="1" si="184"/>
        <v>Overstock</v>
      </c>
      <c r="M1719" s="39">
        <f>IFERROR(VLOOKUP("APT",Controls!A:I,7,0),6)</f>
        <v>4</v>
      </c>
      <c r="N1719" s="39">
        <f>IFERROR(VLOOKUP("APT",Controls!A:I,8,0),3)</f>
        <v>3</v>
      </c>
      <c r="O1719" s="39">
        <f>IFERROR(VLOOKUP("APT",Controls!A:I,9,0),18)</f>
        <v>12</v>
      </c>
      <c r="P1719" s="40">
        <f>IFERROR(VLOOKUP("APT",Controls!A:J,5,0),0)</f>
        <v>165</v>
      </c>
      <c r="Q1719" s="39">
        <f>IFERROR(VLOOKUP("APT",Controls!A:J,6,0),3)</f>
        <v>4</v>
      </c>
      <c r="R1719" s="21" t="str">
        <f>IFERROR(VLOOKUP("APT",Controls!A:K,10,0),"")</f>
        <v>ST Pharm</v>
      </c>
      <c r="S1719" s="41">
        <f t="shared" si="185"/>
        <v>49096</v>
      </c>
      <c r="T1719" s="30">
        <f t="shared" si="186"/>
        <v>0</v>
      </c>
      <c r="AB1719">
        <f t="shared" si="188"/>
        <v>271.03999999999996</v>
      </c>
    </row>
    <row r="1720" spans="1:28" ht="13" customHeight="1" x14ac:dyDescent="0.35">
      <c r="A1720" s="153">
        <v>49249</v>
      </c>
      <c r="B1720" s="36" t="s">
        <v>58</v>
      </c>
      <c r="C1720" s="15" t="s">
        <v>52</v>
      </c>
      <c r="D1720" s="15" t="s">
        <v>48</v>
      </c>
      <c r="E1720" s="30">
        <f>H1719</f>
        <v>89.81</v>
      </c>
      <c r="F1720" s="37">
        <f>IFERROR('Production Inputs'!$DM$37*Dependencies!$D$19,0)</f>
        <v>0</v>
      </c>
      <c r="G1720" s="37">
        <f t="array" ref="G1720">IFERROR(SUMPRODUCT(('Production Inputs'!$A:$A="APT")*('Production Inputs'!$B:$B="TOTAL ACTIVE")*'Production Inputs'!$DM:$DM),0)</f>
        <v>0</v>
      </c>
      <c r="H1720" s="30">
        <f t="shared" si="182"/>
        <v>89.81</v>
      </c>
      <c r="I1720" s="30">
        <f ca="1">IFERROR(AVERAGEIF(OFFSET(F1720,0,0,MIN(Controls!$B$8,COUNTIF(B1720:B$1973,B1720)),1),"&gt;"&amp;0),0)</f>
        <v>0</v>
      </c>
      <c r="J1720" s="38">
        <f t="shared" ca="1" si="183"/>
        <v>999</v>
      </c>
      <c r="K1720" s="30">
        <f t="shared" ca="1" si="187"/>
        <v>0</v>
      </c>
      <c r="L1720" t="str">
        <f t="shared" ca="1" si="184"/>
        <v>Overstock</v>
      </c>
      <c r="M1720" s="39">
        <f>IFERROR(VLOOKUP("APT",Controls!A:I,7,0),6)</f>
        <v>4</v>
      </c>
      <c r="N1720" s="39">
        <f>IFERROR(VLOOKUP("APT",Controls!A:I,8,0),3)</f>
        <v>3</v>
      </c>
      <c r="O1720" s="39">
        <f>IFERROR(VLOOKUP("APT",Controls!A:I,9,0),18)</f>
        <v>12</v>
      </c>
      <c r="P1720" s="40">
        <f>IFERROR(VLOOKUP("APT",Controls!A:J,5,0),0)</f>
        <v>165</v>
      </c>
      <c r="Q1720" s="39">
        <f>IFERROR(VLOOKUP("APT",Controls!A:J,6,0),3)</f>
        <v>4</v>
      </c>
      <c r="R1720" s="21" t="str">
        <f>IFERROR(VLOOKUP("APT",Controls!A:K,10,0),"")</f>
        <v>ST Pharm</v>
      </c>
      <c r="S1720" s="41">
        <f t="shared" si="185"/>
        <v>49126</v>
      </c>
      <c r="T1720" s="30">
        <f t="shared" si="186"/>
        <v>0</v>
      </c>
      <c r="AB1720">
        <f t="shared" si="188"/>
        <v>271.03999999999996</v>
      </c>
    </row>
    <row r="1721" spans="1:28" ht="13" customHeight="1" x14ac:dyDescent="0.35">
      <c r="A1721" s="153">
        <v>49279</v>
      </c>
      <c r="B1721" s="36" t="s">
        <v>58</v>
      </c>
      <c r="C1721" s="15" t="s">
        <v>52</v>
      </c>
      <c r="D1721" s="15" t="s">
        <v>48</v>
      </c>
      <c r="E1721" s="30">
        <f>H1720</f>
        <v>89.81</v>
      </c>
      <c r="F1721" s="37">
        <f>IFERROR('Production Inputs'!$DN$37*Dependencies!$D$19,0)</f>
        <v>0</v>
      </c>
      <c r="G1721" s="37">
        <f t="array" ref="G1721">IFERROR(SUMPRODUCT(('Production Inputs'!$A:$A="APT")*('Production Inputs'!$B:$B="TOTAL ACTIVE")*'Production Inputs'!$DN:$DN),0)</f>
        <v>0</v>
      </c>
      <c r="H1721" s="30">
        <f t="shared" si="182"/>
        <v>89.81</v>
      </c>
      <c r="I1721" s="30">
        <f ca="1">IFERROR(AVERAGEIF(OFFSET(F1721,0,0,MIN(Controls!$B$8,COUNTIF(B1721:B$1973,B1721)),1),"&gt;"&amp;0),0)</f>
        <v>0</v>
      </c>
      <c r="J1721" s="38">
        <f t="shared" ca="1" si="183"/>
        <v>999</v>
      </c>
      <c r="K1721" s="30">
        <f t="shared" ca="1" si="187"/>
        <v>0</v>
      </c>
      <c r="L1721" t="str">
        <f t="shared" ca="1" si="184"/>
        <v>Overstock</v>
      </c>
      <c r="M1721" s="39">
        <f>IFERROR(VLOOKUP("APT",Controls!A:I,7,0),6)</f>
        <v>4</v>
      </c>
      <c r="N1721" s="39">
        <f>IFERROR(VLOOKUP("APT",Controls!A:I,8,0),3)</f>
        <v>3</v>
      </c>
      <c r="O1721" s="39">
        <f>IFERROR(VLOOKUP("APT",Controls!A:I,9,0),18)</f>
        <v>12</v>
      </c>
      <c r="P1721" s="40">
        <f>IFERROR(VLOOKUP("APT",Controls!A:J,5,0),0)</f>
        <v>165</v>
      </c>
      <c r="Q1721" s="39">
        <f>IFERROR(VLOOKUP("APT",Controls!A:J,6,0),3)</f>
        <v>4</v>
      </c>
      <c r="R1721" s="21" t="str">
        <f>IFERROR(VLOOKUP("APT",Controls!A:K,10,0),"")</f>
        <v>ST Pharm</v>
      </c>
      <c r="S1721" s="41">
        <f t="shared" si="185"/>
        <v>49157</v>
      </c>
      <c r="T1721" s="30">
        <f t="shared" si="186"/>
        <v>0</v>
      </c>
      <c r="AB1721">
        <f t="shared" si="188"/>
        <v>271.03999999999996</v>
      </c>
    </row>
    <row r="1722" spans="1:28" ht="13" customHeight="1" x14ac:dyDescent="0.35">
      <c r="A1722" s="153">
        <v>49310</v>
      </c>
      <c r="B1722" s="36" t="s">
        <v>58</v>
      </c>
      <c r="C1722" s="15" t="s">
        <v>52</v>
      </c>
      <c r="D1722" s="15" t="s">
        <v>48</v>
      </c>
      <c r="E1722" s="30">
        <f>H1721</f>
        <v>89.81</v>
      </c>
      <c r="F1722" s="37">
        <f>IFERROR('Production Inputs'!$DO$37*Dependencies!$D$19,0)</f>
        <v>0</v>
      </c>
      <c r="G1722" s="37">
        <f t="array" ref="G1722">IFERROR(SUMPRODUCT(('Production Inputs'!$A:$A="APT")*('Production Inputs'!$B:$B="TOTAL ACTIVE")*'Production Inputs'!$DO:$DO),0)</f>
        <v>0</v>
      </c>
      <c r="H1722" s="30">
        <f t="shared" si="182"/>
        <v>89.81</v>
      </c>
      <c r="I1722" s="30">
        <f ca="1">IFERROR(AVERAGEIF(OFFSET(F1722,0,0,MIN(Controls!$B$8,COUNTIF(B1722:B$1973,B1722)),1),"&gt;"&amp;0),0)</f>
        <v>0</v>
      </c>
      <c r="J1722" s="38">
        <f t="shared" ca="1" si="183"/>
        <v>999</v>
      </c>
      <c r="K1722" s="30">
        <f t="shared" ca="1" si="187"/>
        <v>0</v>
      </c>
      <c r="L1722" t="str">
        <f t="shared" ca="1" si="184"/>
        <v>Overstock</v>
      </c>
      <c r="M1722" s="39">
        <f>IFERROR(VLOOKUP("APT",Controls!A:I,7,0),6)</f>
        <v>4</v>
      </c>
      <c r="N1722" s="39">
        <f>IFERROR(VLOOKUP("APT",Controls!A:I,8,0),3)</f>
        <v>3</v>
      </c>
      <c r="O1722" s="39">
        <f>IFERROR(VLOOKUP("APT",Controls!A:I,9,0),18)</f>
        <v>12</v>
      </c>
      <c r="P1722" s="40">
        <f>IFERROR(VLOOKUP("APT",Controls!A:J,5,0),0)</f>
        <v>165</v>
      </c>
      <c r="Q1722" s="39">
        <f>IFERROR(VLOOKUP("APT",Controls!A:J,6,0),3)</f>
        <v>4</v>
      </c>
      <c r="R1722" s="21" t="str">
        <f>IFERROR(VLOOKUP("APT",Controls!A:K,10,0),"")</f>
        <v>ST Pharm</v>
      </c>
      <c r="S1722" s="41">
        <f t="shared" si="185"/>
        <v>49188</v>
      </c>
      <c r="T1722" s="30">
        <f t="shared" si="186"/>
        <v>0</v>
      </c>
      <c r="AB1722">
        <f t="shared" si="188"/>
        <v>271.03999999999996</v>
      </c>
    </row>
    <row r="1723" spans="1:28" ht="13" customHeight="1" x14ac:dyDescent="0.35">
      <c r="A1723" s="153">
        <v>49341</v>
      </c>
      <c r="B1723" s="36" t="s">
        <v>58</v>
      </c>
      <c r="C1723" s="15" t="s">
        <v>52</v>
      </c>
      <c r="D1723" s="15" t="s">
        <v>48</v>
      </c>
      <c r="E1723" s="30">
        <f>H1722</f>
        <v>89.81</v>
      </c>
      <c r="F1723" s="37">
        <f>IFERROR('Production Inputs'!$DP$37*Dependencies!$D$19,0)</f>
        <v>0</v>
      </c>
      <c r="G1723" s="37">
        <f t="array" ref="G1723">IFERROR(SUMPRODUCT(('Production Inputs'!$A:$A="APT")*('Production Inputs'!$B:$B="TOTAL ACTIVE")*'Production Inputs'!$DP:$DP),0)</f>
        <v>0</v>
      </c>
      <c r="H1723" s="30">
        <f t="shared" si="182"/>
        <v>89.81</v>
      </c>
      <c r="I1723" s="30">
        <f ca="1">IFERROR(AVERAGEIF(OFFSET(F1723,0,0,MIN(Controls!$B$8,COUNTIF(B1723:B$1973,B1723)),1),"&gt;"&amp;0),0)</f>
        <v>0</v>
      </c>
      <c r="J1723" s="38">
        <f t="shared" ca="1" si="183"/>
        <v>999</v>
      </c>
      <c r="K1723" s="30">
        <f t="shared" ca="1" si="187"/>
        <v>0</v>
      </c>
      <c r="L1723" t="str">
        <f t="shared" ca="1" si="184"/>
        <v>Overstock</v>
      </c>
      <c r="M1723" s="39">
        <f>IFERROR(VLOOKUP("APT",Controls!A:I,7,0),6)</f>
        <v>4</v>
      </c>
      <c r="N1723" s="39">
        <f>IFERROR(VLOOKUP("APT",Controls!A:I,8,0),3)</f>
        <v>3</v>
      </c>
      <c r="O1723" s="39">
        <f>IFERROR(VLOOKUP("APT",Controls!A:I,9,0),18)</f>
        <v>12</v>
      </c>
      <c r="P1723" s="40">
        <f>IFERROR(VLOOKUP("APT",Controls!A:J,5,0),0)</f>
        <v>165</v>
      </c>
      <c r="Q1723" s="39">
        <f>IFERROR(VLOOKUP("APT",Controls!A:J,6,0),3)</f>
        <v>4</v>
      </c>
      <c r="R1723" s="21" t="str">
        <f>IFERROR(VLOOKUP("APT",Controls!A:K,10,0),"")</f>
        <v>ST Pharm</v>
      </c>
      <c r="S1723" s="41">
        <f t="shared" si="185"/>
        <v>49218</v>
      </c>
      <c r="T1723" s="30">
        <f t="shared" si="186"/>
        <v>0</v>
      </c>
      <c r="AB1723">
        <f t="shared" si="188"/>
        <v>271.03999999999996</v>
      </c>
    </row>
    <row r="1724" spans="1:28" ht="13" customHeight="1" x14ac:dyDescent="0.35">
      <c r="A1724" s="153">
        <v>49369</v>
      </c>
      <c r="B1724" s="36" t="s">
        <v>58</v>
      </c>
      <c r="C1724" s="15" t="s">
        <v>52</v>
      </c>
      <c r="D1724" s="15" t="s">
        <v>48</v>
      </c>
      <c r="E1724" s="30">
        <f>H1723</f>
        <v>89.81</v>
      </c>
      <c r="F1724" s="37">
        <f>IFERROR('Production Inputs'!$DQ$37*Dependencies!$D$19,0)</f>
        <v>0</v>
      </c>
      <c r="G1724" s="37">
        <f t="array" ref="G1724">IFERROR(SUMPRODUCT(('Production Inputs'!$A:$A="APT")*('Production Inputs'!$B:$B="TOTAL ACTIVE")*'Production Inputs'!$DQ:$DQ),0)</f>
        <v>0</v>
      </c>
      <c r="H1724" s="30">
        <f t="shared" si="182"/>
        <v>89.81</v>
      </c>
      <c r="I1724" s="30">
        <f ca="1">IFERROR(AVERAGEIF(OFFSET(F1724,0,0,MIN(Controls!$B$8,COUNTIF(B1724:B$1973,B1724)),1),"&gt;"&amp;0),0)</f>
        <v>0</v>
      </c>
      <c r="J1724" s="38">
        <f t="shared" ca="1" si="183"/>
        <v>999</v>
      </c>
      <c r="K1724" s="30">
        <f t="shared" ca="1" si="187"/>
        <v>0</v>
      </c>
      <c r="L1724" t="str">
        <f t="shared" ca="1" si="184"/>
        <v>Overstock</v>
      </c>
      <c r="M1724" s="39">
        <f>IFERROR(VLOOKUP("APT",Controls!A:I,7,0),6)</f>
        <v>4</v>
      </c>
      <c r="N1724" s="39">
        <f>IFERROR(VLOOKUP("APT",Controls!A:I,8,0),3)</f>
        <v>3</v>
      </c>
      <c r="O1724" s="39">
        <f>IFERROR(VLOOKUP("APT",Controls!A:I,9,0),18)</f>
        <v>12</v>
      </c>
      <c r="P1724" s="40">
        <f>IFERROR(VLOOKUP("APT",Controls!A:J,5,0),0)</f>
        <v>165</v>
      </c>
      <c r="Q1724" s="39">
        <f>IFERROR(VLOOKUP("APT",Controls!A:J,6,0),3)</f>
        <v>4</v>
      </c>
      <c r="R1724" s="21" t="str">
        <f>IFERROR(VLOOKUP("APT",Controls!A:K,10,0),"")</f>
        <v>ST Pharm</v>
      </c>
      <c r="S1724" s="41">
        <f t="shared" si="185"/>
        <v>49249</v>
      </c>
      <c r="T1724" s="30">
        <f t="shared" si="186"/>
        <v>0</v>
      </c>
      <c r="AB1724">
        <f t="shared" si="188"/>
        <v>271.03999999999996</v>
      </c>
    </row>
    <row r="1725" spans="1:28" ht="13" customHeight="1" x14ac:dyDescent="0.35">
      <c r="A1725" s="153">
        <v>49400</v>
      </c>
      <c r="B1725" s="36" t="s">
        <v>58</v>
      </c>
      <c r="C1725" s="15" t="s">
        <v>52</v>
      </c>
      <c r="D1725" s="15" t="s">
        <v>48</v>
      </c>
      <c r="E1725" s="30">
        <f>H1724</f>
        <v>89.81</v>
      </c>
      <c r="F1725" s="37">
        <f>IFERROR('Production Inputs'!$DR$37*Dependencies!$D$19,0)</f>
        <v>0</v>
      </c>
      <c r="G1725" s="37">
        <f t="array" ref="G1725">IFERROR(SUMPRODUCT(('Production Inputs'!$A:$A="APT")*('Production Inputs'!$B:$B="TOTAL ACTIVE")*'Production Inputs'!$DR:$DR),0)</f>
        <v>0</v>
      </c>
      <c r="H1725" s="30">
        <f t="shared" si="182"/>
        <v>89.81</v>
      </c>
      <c r="I1725" s="30">
        <f ca="1">IFERROR(AVERAGEIF(OFFSET(F1725,0,0,MIN(Controls!$B$8,COUNTIF(B1725:B$1973,B1725)),1),"&gt;"&amp;0),0)</f>
        <v>0</v>
      </c>
      <c r="J1725" s="38">
        <f t="shared" ca="1" si="183"/>
        <v>999</v>
      </c>
      <c r="K1725" s="30">
        <f t="shared" ca="1" si="187"/>
        <v>0</v>
      </c>
      <c r="L1725" t="str">
        <f t="shared" ca="1" si="184"/>
        <v>Overstock</v>
      </c>
      <c r="M1725" s="39">
        <f>IFERROR(VLOOKUP("APT",Controls!A:I,7,0),6)</f>
        <v>4</v>
      </c>
      <c r="N1725" s="39">
        <f>IFERROR(VLOOKUP("APT",Controls!A:I,8,0),3)</f>
        <v>3</v>
      </c>
      <c r="O1725" s="39">
        <f>IFERROR(VLOOKUP("APT",Controls!A:I,9,0),18)</f>
        <v>12</v>
      </c>
      <c r="P1725" s="40">
        <f>IFERROR(VLOOKUP("APT",Controls!A:J,5,0),0)</f>
        <v>165</v>
      </c>
      <c r="Q1725" s="39">
        <f>IFERROR(VLOOKUP("APT",Controls!A:J,6,0),3)</f>
        <v>4</v>
      </c>
      <c r="R1725" s="21" t="str">
        <f>IFERROR(VLOOKUP("APT",Controls!A:K,10,0),"")</f>
        <v>ST Pharm</v>
      </c>
      <c r="S1725" s="41">
        <f t="shared" si="185"/>
        <v>49279</v>
      </c>
      <c r="T1725" s="30">
        <f t="shared" si="186"/>
        <v>0</v>
      </c>
      <c r="AB1725">
        <f t="shared" si="188"/>
        <v>271.03999999999996</v>
      </c>
    </row>
    <row r="1726" spans="1:28" ht="13" customHeight="1" x14ac:dyDescent="0.35">
      <c r="A1726" s="153">
        <v>49430</v>
      </c>
      <c r="B1726" s="36" t="s">
        <v>58</v>
      </c>
      <c r="C1726" s="15" t="s">
        <v>52</v>
      </c>
      <c r="D1726" s="15" t="s">
        <v>48</v>
      </c>
      <c r="E1726" s="30">
        <f>H1725</f>
        <v>89.81</v>
      </c>
      <c r="F1726" s="37">
        <f>IFERROR('Production Inputs'!$DS$37*Dependencies!$D$19,0)</f>
        <v>0</v>
      </c>
      <c r="G1726" s="37">
        <f t="array" ref="G1726">IFERROR(SUMPRODUCT(('Production Inputs'!$A:$A="APT")*('Production Inputs'!$B:$B="TOTAL ACTIVE")*'Production Inputs'!$DS:$DS),0)</f>
        <v>0</v>
      </c>
      <c r="H1726" s="30">
        <f t="shared" si="182"/>
        <v>89.81</v>
      </c>
      <c r="I1726" s="30">
        <f ca="1">IFERROR(AVERAGEIF(OFFSET(F1726,0,0,MIN(Controls!$B$8,COUNTIF(B1726:B$1973,B1726)),1),"&gt;"&amp;0),0)</f>
        <v>0</v>
      </c>
      <c r="J1726" s="38">
        <f t="shared" ca="1" si="183"/>
        <v>999</v>
      </c>
      <c r="K1726" s="30">
        <f t="shared" ca="1" si="187"/>
        <v>0</v>
      </c>
      <c r="L1726" t="str">
        <f t="shared" ca="1" si="184"/>
        <v>Overstock</v>
      </c>
      <c r="M1726" s="39">
        <f>IFERROR(VLOOKUP("APT",Controls!A:I,7,0),6)</f>
        <v>4</v>
      </c>
      <c r="N1726" s="39">
        <f>IFERROR(VLOOKUP("APT",Controls!A:I,8,0),3)</f>
        <v>3</v>
      </c>
      <c r="O1726" s="39">
        <f>IFERROR(VLOOKUP("APT",Controls!A:I,9,0),18)</f>
        <v>12</v>
      </c>
      <c r="P1726" s="40">
        <f>IFERROR(VLOOKUP("APT",Controls!A:J,5,0),0)</f>
        <v>165</v>
      </c>
      <c r="Q1726" s="39">
        <f>IFERROR(VLOOKUP("APT",Controls!A:J,6,0),3)</f>
        <v>4</v>
      </c>
      <c r="R1726" s="21" t="str">
        <f>IFERROR(VLOOKUP("APT",Controls!A:K,10,0),"")</f>
        <v>ST Pharm</v>
      </c>
      <c r="S1726" s="41">
        <f t="shared" si="185"/>
        <v>49310</v>
      </c>
      <c r="T1726" s="30">
        <f t="shared" si="186"/>
        <v>0</v>
      </c>
      <c r="AB1726">
        <f t="shared" si="188"/>
        <v>271.03999999999996</v>
      </c>
    </row>
    <row r="1727" spans="1:28" ht="13" customHeight="1" x14ac:dyDescent="0.35">
      <c r="A1727" s="153">
        <v>49461</v>
      </c>
      <c r="B1727" s="36" t="s">
        <v>58</v>
      </c>
      <c r="C1727" s="15" t="s">
        <v>52</v>
      </c>
      <c r="D1727" s="15" t="s">
        <v>48</v>
      </c>
      <c r="E1727" s="30">
        <f>H1726</f>
        <v>89.81</v>
      </c>
      <c r="F1727" s="37">
        <f>IFERROR('Production Inputs'!$DT$37*Dependencies!$D$19,0)</f>
        <v>0</v>
      </c>
      <c r="G1727" s="37">
        <f t="array" ref="G1727">IFERROR(SUMPRODUCT(('Production Inputs'!$A:$A="APT")*('Production Inputs'!$B:$B="TOTAL ACTIVE")*'Production Inputs'!$DT:$DT),0)</f>
        <v>0</v>
      </c>
      <c r="H1727" s="30">
        <f t="shared" si="182"/>
        <v>89.81</v>
      </c>
      <c r="I1727" s="30">
        <f ca="1">IFERROR(AVERAGEIF(OFFSET(F1727,0,0,MIN(Controls!$B$8,COUNTIF(B1727:B$1973,B1727)),1),"&gt;"&amp;0),0)</f>
        <v>0</v>
      </c>
      <c r="J1727" s="38">
        <f t="shared" ca="1" si="183"/>
        <v>999</v>
      </c>
      <c r="K1727" s="30">
        <f t="shared" ca="1" si="187"/>
        <v>0</v>
      </c>
      <c r="L1727" t="str">
        <f t="shared" ca="1" si="184"/>
        <v>Overstock</v>
      </c>
      <c r="M1727" s="39">
        <f>IFERROR(VLOOKUP("APT",Controls!A:I,7,0),6)</f>
        <v>4</v>
      </c>
      <c r="N1727" s="39">
        <f>IFERROR(VLOOKUP("APT",Controls!A:I,8,0),3)</f>
        <v>3</v>
      </c>
      <c r="O1727" s="39">
        <f>IFERROR(VLOOKUP("APT",Controls!A:I,9,0),18)</f>
        <v>12</v>
      </c>
      <c r="P1727" s="40">
        <f>IFERROR(VLOOKUP("APT",Controls!A:J,5,0),0)</f>
        <v>165</v>
      </c>
      <c r="Q1727" s="39">
        <f>IFERROR(VLOOKUP("APT",Controls!A:J,6,0),3)</f>
        <v>4</v>
      </c>
      <c r="R1727" s="21" t="str">
        <f>IFERROR(VLOOKUP("APT",Controls!A:K,10,0),"")</f>
        <v>ST Pharm</v>
      </c>
      <c r="S1727" s="41">
        <f t="shared" si="185"/>
        <v>49341</v>
      </c>
      <c r="T1727" s="30">
        <f t="shared" si="186"/>
        <v>0</v>
      </c>
      <c r="AB1727">
        <f t="shared" si="188"/>
        <v>271.03999999999996</v>
      </c>
    </row>
    <row r="1728" spans="1:28" ht="13" customHeight="1" x14ac:dyDescent="0.35">
      <c r="A1728" s="153">
        <v>49491</v>
      </c>
      <c r="B1728" s="36" t="s">
        <v>58</v>
      </c>
      <c r="C1728" s="15" t="s">
        <v>52</v>
      </c>
      <c r="D1728" s="15" t="s">
        <v>48</v>
      </c>
      <c r="E1728" s="30">
        <f>H1727</f>
        <v>89.81</v>
      </c>
      <c r="F1728" s="37">
        <f>IFERROR('Production Inputs'!$DU$37*Dependencies!$D$19,0)</f>
        <v>0</v>
      </c>
      <c r="G1728" s="37">
        <f t="array" ref="G1728">IFERROR(SUMPRODUCT(('Production Inputs'!$A:$A="APT")*('Production Inputs'!$B:$B="TOTAL ACTIVE")*'Production Inputs'!$DU:$DU),0)</f>
        <v>0</v>
      </c>
      <c r="H1728" s="30">
        <f t="shared" si="182"/>
        <v>89.81</v>
      </c>
      <c r="I1728" s="30">
        <f ca="1">IFERROR(AVERAGEIF(OFFSET(F1728,0,0,MIN(Controls!$B$8,COUNTIF(B1728:B$1973,B1728)),1),"&gt;"&amp;0),0)</f>
        <v>0</v>
      </c>
      <c r="J1728" s="38">
        <f t="shared" ca="1" si="183"/>
        <v>999</v>
      </c>
      <c r="K1728" s="30">
        <f t="shared" ca="1" si="187"/>
        <v>0</v>
      </c>
      <c r="L1728" t="str">
        <f t="shared" ca="1" si="184"/>
        <v>Overstock</v>
      </c>
      <c r="M1728" s="39">
        <f>IFERROR(VLOOKUP("APT",Controls!A:I,7,0),6)</f>
        <v>4</v>
      </c>
      <c r="N1728" s="39">
        <f>IFERROR(VLOOKUP("APT",Controls!A:I,8,0),3)</f>
        <v>3</v>
      </c>
      <c r="O1728" s="39">
        <f>IFERROR(VLOOKUP("APT",Controls!A:I,9,0),18)</f>
        <v>12</v>
      </c>
      <c r="P1728" s="40">
        <f>IFERROR(VLOOKUP("APT",Controls!A:J,5,0),0)</f>
        <v>165</v>
      </c>
      <c r="Q1728" s="39">
        <f>IFERROR(VLOOKUP("APT",Controls!A:J,6,0),3)</f>
        <v>4</v>
      </c>
      <c r="R1728" s="21" t="str">
        <f>IFERROR(VLOOKUP("APT",Controls!A:K,10,0),"")</f>
        <v>ST Pharm</v>
      </c>
      <c r="S1728" s="41">
        <f t="shared" si="185"/>
        <v>49369</v>
      </c>
      <c r="T1728" s="30">
        <f t="shared" si="186"/>
        <v>0</v>
      </c>
      <c r="AB1728">
        <f t="shared" si="188"/>
        <v>271.03999999999996</v>
      </c>
    </row>
    <row r="1729" spans="1:28" ht="13" customHeight="1" x14ac:dyDescent="0.35">
      <c r="A1729" s="153">
        <v>49522</v>
      </c>
      <c r="B1729" s="36" t="s">
        <v>58</v>
      </c>
      <c r="C1729" s="15" t="s">
        <v>52</v>
      </c>
      <c r="D1729" s="15" t="s">
        <v>48</v>
      </c>
      <c r="E1729" s="30">
        <f>H1728</f>
        <v>89.81</v>
      </c>
      <c r="F1729" s="37">
        <f>IFERROR('Production Inputs'!$DV$37*Dependencies!$D$19,0)</f>
        <v>0</v>
      </c>
      <c r="G1729" s="37">
        <f t="array" ref="G1729">IFERROR(SUMPRODUCT(('Production Inputs'!$A:$A="APT")*('Production Inputs'!$B:$B="TOTAL ACTIVE")*'Production Inputs'!$DV:$DV),0)</f>
        <v>0</v>
      </c>
      <c r="H1729" s="30">
        <f t="shared" si="182"/>
        <v>89.81</v>
      </c>
      <c r="I1729" s="30">
        <f ca="1">IFERROR(AVERAGEIF(OFFSET(F1729,0,0,MIN(Controls!$B$8,COUNTIF(B1729:B$1973,B1729)),1),"&gt;"&amp;0),0)</f>
        <v>0</v>
      </c>
      <c r="J1729" s="38">
        <f t="shared" ca="1" si="183"/>
        <v>999</v>
      </c>
      <c r="K1729" s="30">
        <f t="shared" ca="1" si="187"/>
        <v>0</v>
      </c>
      <c r="L1729" t="str">
        <f t="shared" ca="1" si="184"/>
        <v>Overstock</v>
      </c>
      <c r="M1729" s="39">
        <f>IFERROR(VLOOKUP("APT",Controls!A:I,7,0),6)</f>
        <v>4</v>
      </c>
      <c r="N1729" s="39">
        <f>IFERROR(VLOOKUP("APT",Controls!A:I,8,0),3)</f>
        <v>3</v>
      </c>
      <c r="O1729" s="39">
        <f>IFERROR(VLOOKUP("APT",Controls!A:I,9,0),18)</f>
        <v>12</v>
      </c>
      <c r="P1729" s="40">
        <f>IFERROR(VLOOKUP("APT",Controls!A:J,5,0),0)</f>
        <v>165</v>
      </c>
      <c r="Q1729" s="39">
        <f>IFERROR(VLOOKUP("APT",Controls!A:J,6,0),3)</f>
        <v>4</v>
      </c>
      <c r="R1729" s="21" t="str">
        <f>IFERROR(VLOOKUP("APT",Controls!A:K,10,0),"")</f>
        <v>ST Pharm</v>
      </c>
      <c r="S1729" s="41">
        <f t="shared" si="185"/>
        <v>49400</v>
      </c>
      <c r="T1729" s="30">
        <f t="shared" si="186"/>
        <v>0</v>
      </c>
      <c r="AB1729">
        <f t="shared" si="188"/>
        <v>271.03999999999996</v>
      </c>
    </row>
    <row r="1730" spans="1:28" ht="13" customHeight="1" x14ac:dyDescent="0.35">
      <c r="A1730" s="153">
        <v>49553</v>
      </c>
      <c r="B1730" s="36" t="s">
        <v>58</v>
      </c>
      <c r="C1730" s="15" t="s">
        <v>52</v>
      </c>
      <c r="D1730" s="15" t="s">
        <v>48</v>
      </c>
      <c r="E1730" s="30">
        <f>H1729</f>
        <v>89.81</v>
      </c>
      <c r="F1730" s="37">
        <f>IFERROR('Production Inputs'!$DW$37*Dependencies!$D$19,0)</f>
        <v>0</v>
      </c>
      <c r="G1730" s="37">
        <f t="array" ref="G1730">IFERROR(SUMPRODUCT(('Production Inputs'!$A:$A="APT")*('Production Inputs'!$B:$B="TOTAL ACTIVE")*'Production Inputs'!$DW:$DW),0)</f>
        <v>0</v>
      </c>
      <c r="H1730" s="30">
        <f t="shared" si="182"/>
        <v>89.81</v>
      </c>
      <c r="I1730" s="30">
        <f ca="1">IFERROR(AVERAGEIF(OFFSET(F1730,0,0,MIN(Controls!$B$8,COUNTIF(B1730:B$1973,B1730)),1),"&gt;"&amp;0),0)</f>
        <v>0</v>
      </c>
      <c r="J1730" s="38">
        <f t="shared" ca="1" si="183"/>
        <v>999</v>
      </c>
      <c r="K1730" s="30">
        <f t="shared" ca="1" si="187"/>
        <v>0</v>
      </c>
      <c r="L1730" t="str">
        <f t="shared" ca="1" si="184"/>
        <v>Overstock</v>
      </c>
      <c r="M1730" s="39">
        <f>IFERROR(VLOOKUP("APT",Controls!A:I,7,0),6)</f>
        <v>4</v>
      </c>
      <c r="N1730" s="39">
        <f>IFERROR(VLOOKUP("APT",Controls!A:I,8,0),3)</f>
        <v>3</v>
      </c>
      <c r="O1730" s="39">
        <f>IFERROR(VLOOKUP("APT",Controls!A:I,9,0),18)</f>
        <v>12</v>
      </c>
      <c r="P1730" s="40">
        <f>IFERROR(VLOOKUP("APT",Controls!A:J,5,0),0)</f>
        <v>165</v>
      </c>
      <c r="Q1730" s="39">
        <f>IFERROR(VLOOKUP("APT",Controls!A:J,6,0),3)</f>
        <v>4</v>
      </c>
      <c r="R1730" s="21" t="str">
        <f>IFERROR(VLOOKUP("APT",Controls!A:K,10,0),"")</f>
        <v>ST Pharm</v>
      </c>
      <c r="S1730" s="41">
        <f t="shared" si="185"/>
        <v>49430</v>
      </c>
      <c r="T1730" s="30">
        <f t="shared" si="186"/>
        <v>0</v>
      </c>
      <c r="AB1730">
        <f t="shared" si="188"/>
        <v>271.03999999999996</v>
      </c>
    </row>
    <row r="1731" spans="1:28" ht="13" customHeight="1" x14ac:dyDescent="0.35">
      <c r="A1731" s="153">
        <v>49583</v>
      </c>
      <c r="B1731" s="36" t="s">
        <v>58</v>
      </c>
      <c r="C1731" s="15" t="s">
        <v>52</v>
      </c>
      <c r="D1731" s="15" t="s">
        <v>48</v>
      </c>
      <c r="E1731" s="30">
        <f>H1730</f>
        <v>89.81</v>
      </c>
      <c r="F1731" s="37">
        <f>IFERROR('Production Inputs'!$DX$37*Dependencies!$D$19,0)</f>
        <v>0</v>
      </c>
      <c r="G1731" s="37">
        <f t="array" ref="G1731">IFERROR(SUMPRODUCT(('Production Inputs'!$A:$A="APT")*('Production Inputs'!$B:$B="TOTAL ACTIVE")*'Production Inputs'!$DX:$DX),0)</f>
        <v>0</v>
      </c>
      <c r="H1731" s="30">
        <f t="shared" si="182"/>
        <v>89.81</v>
      </c>
      <c r="I1731" s="30">
        <f ca="1">IFERROR(AVERAGEIF(OFFSET(F1731,0,0,MIN(Controls!$B$8,COUNTIF(B1731:B$1973,B1731)),1),"&gt;"&amp;0),0)</f>
        <v>0</v>
      </c>
      <c r="J1731" s="38">
        <f t="shared" ca="1" si="183"/>
        <v>999</v>
      </c>
      <c r="K1731" s="30">
        <f t="shared" ca="1" si="187"/>
        <v>0</v>
      </c>
      <c r="L1731" t="str">
        <f t="shared" ca="1" si="184"/>
        <v>Overstock</v>
      </c>
      <c r="M1731" s="39">
        <f>IFERROR(VLOOKUP("APT",Controls!A:I,7,0),6)</f>
        <v>4</v>
      </c>
      <c r="N1731" s="39">
        <f>IFERROR(VLOOKUP("APT",Controls!A:I,8,0),3)</f>
        <v>3</v>
      </c>
      <c r="O1731" s="39">
        <f>IFERROR(VLOOKUP("APT",Controls!A:I,9,0),18)</f>
        <v>12</v>
      </c>
      <c r="P1731" s="40">
        <f>IFERROR(VLOOKUP("APT",Controls!A:J,5,0),0)</f>
        <v>165</v>
      </c>
      <c r="Q1731" s="39">
        <f>IFERROR(VLOOKUP("APT",Controls!A:J,6,0),3)</f>
        <v>4</v>
      </c>
      <c r="R1731" s="21" t="str">
        <f>IFERROR(VLOOKUP("APT",Controls!A:K,10,0),"")</f>
        <v>ST Pharm</v>
      </c>
      <c r="S1731" s="41">
        <f t="shared" si="185"/>
        <v>49461</v>
      </c>
      <c r="T1731" s="30">
        <f t="shared" si="186"/>
        <v>0</v>
      </c>
      <c r="AB1731">
        <f t="shared" si="188"/>
        <v>271.03999999999996</v>
      </c>
    </row>
    <row r="1732" spans="1:28" ht="13" customHeight="1" x14ac:dyDescent="0.35">
      <c r="A1732" s="153">
        <v>49614</v>
      </c>
      <c r="B1732" s="36" t="s">
        <v>58</v>
      </c>
      <c r="C1732" s="15" t="s">
        <v>52</v>
      </c>
      <c r="D1732" s="15" t="s">
        <v>48</v>
      </c>
      <c r="E1732" s="30">
        <f>H1731</f>
        <v>89.81</v>
      </c>
      <c r="F1732" s="37">
        <f>IFERROR('Production Inputs'!$DY$37*Dependencies!$D$19,0)</f>
        <v>0</v>
      </c>
      <c r="G1732" s="37">
        <f t="array" ref="G1732">IFERROR(SUMPRODUCT(('Production Inputs'!$A:$A="APT")*('Production Inputs'!$B:$B="TOTAL ACTIVE")*'Production Inputs'!$DY:$DY),0)</f>
        <v>0</v>
      </c>
      <c r="H1732" s="30">
        <f t="shared" ref="H1732:H1793" si="189">E1732+G1732-F1732</f>
        <v>89.81</v>
      </c>
      <c r="I1732" s="30">
        <f ca="1">IFERROR(AVERAGEIF(OFFSET(F1732,0,0,MIN(Controls!$B$8,COUNTIF(B1732:B$1973,B1732)),1),"&gt;"&amp;0),0)</f>
        <v>0</v>
      </c>
      <c r="J1732" s="38">
        <f t="shared" ref="J1732:J1793" ca="1" si="190">IFERROR(H1732/I1732,IF(H1732&gt;0,999,0))</f>
        <v>999</v>
      </c>
      <c r="K1732" s="30">
        <f t="shared" ca="1" si="187"/>
        <v>0</v>
      </c>
      <c r="L1732" t="str">
        <f t="shared" ref="L1732:L1793" ca="1" si="191">IF(H1732&lt;=0,"High",IF(J1732&lt;N1732,"High",IF(J1732&lt;M1732,"Medium",IF(J1732&gt;O1732,"Overstock","Low"))))</f>
        <v>Overstock</v>
      </c>
      <c r="M1732" s="39">
        <f>IFERROR(VLOOKUP("APT",Controls!A:I,7,0),6)</f>
        <v>4</v>
      </c>
      <c r="N1732" s="39">
        <f>IFERROR(VLOOKUP("APT",Controls!A:I,8,0),3)</f>
        <v>3</v>
      </c>
      <c r="O1732" s="39">
        <f>IFERROR(VLOOKUP("APT",Controls!A:I,9,0),18)</f>
        <v>12</v>
      </c>
      <c r="P1732" s="40">
        <f>IFERROR(VLOOKUP("APT",Controls!A:J,5,0),0)</f>
        <v>165</v>
      </c>
      <c r="Q1732" s="39">
        <f>IFERROR(VLOOKUP("APT",Controls!A:J,6,0),3)</f>
        <v>4</v>
      </c>
      <c r="R1732" s="21" t="str">
        <f>IFERROR(VLOOKUP("APT",Controls!A:K,10,0),"")</f>
        <v>ST Pharm</v>
      </c>
      <c r="S1732" s="41">
        <f t="shared" ref="S1732:S1793" si="192">IFERROR(EDATE(A1732,-Q1732),"")</f>
        <v>49491</v>
      </c>
      <c r="T1732" s="30">
        <f t="shared" ref="T1732:T1793" si="193">G1732</f>
        <v>0</v>
      </c>
      <c r="AB1732">
        <f t="shared" si="188"/>
        <v>271.03999999999996</v>
      </c>
    </row>
    <row r="1733" spans="1:28" ht="13" customHeight="1" x14ac:dyDescent="0.35">
      <c r="A1733" s="153">
        <v>49644</v>
      </c>
      <c r="B1733" s="36" t="s">
        <v>58</v>
      </c>
      <c r="C1733" s="15" t="s">
        <v>52</v>
      </c>
      <c r="D1733" s="15" t="s">
        <v>48</v>
      </c>
      <c r="E1733" s="30">
        <f>H1732</f>
        <v>89.81</v>
      </c>
      <c r="F1733" s="37">
        <f>IFERROR('Production Inputs'!$DZ$37*Dependencies!$D$19,0)</f>
        <v>0</v>
      </c>
      <c r="G1733" s="37">
        <f t="array" ref="G1733">IFERROR(SUMPRODUCT(('Production Inputs'!$A:$A="APT")*('Production Inputs'!$B:$B="TOTAL ACTIVE")*'Production Inputs'!$DZ:$DZ),0)</f>
        <v>0</v>
      </c>
      <c r="H1733" s="30">
        <f t="shared" si="189"/>
        <v>89.81</v>
      </c>
      <c r="I1733" s="30">
        <f ca="1">IFERROR(AVERAGEIF(OFFSET(F1733,0,0,MIN(Controls!$B$8,COUNTIF(B1733:B$1973,B1733)),1),"&gt;"&amp;0),0)</f>
        <v>0</v>
      </c>
      <c r="J1733" s="38">
        <f t="shared" ca="1" si="190"/>
        <v>999</v>
      </c>
      <c r="K1733" s="30">
        <f t="shared" ref="K1733:K1793" ca="1" si="194">IFERROR(IF(H1733&lt;(N1733*I1733), CEILING(MAX(0,ROUND((M1733*I1733-H1733)/P1733,0)*P1733),P1733), 0), 0)</f>
        <v>0</v>
      </c>
      <c r="L1733" t="str">
        <f t="shared" ca="1" si="191"/>
        <v>Overstock</v>
      </c>
      <c r="M1733" s="39">
        <f>IFERROR(VLOOKUP("APT",Controls!A:I,7,0),6)</f>
        <v>4</v>
      </c>
      <c r="N1733" s="39">
        <f>IFERROR(VLOOKUP("APT",Controls!A:I,8,0),3)</f>
        <v>3</v>
      </c>
      <c r="O1733" s="39">
        <f>IFERROR(VLOOKUP("APT",Controls!A:I,9,0),18)</f>
        <v>12</v>
      </c>
      <c r="P1733" s="40">
        <f>IFERROR(VLOOKUP("APT",Controls!A:J,5,0),0)</f>
        <v>165</v>
      </c>
      <c r="Q1733" s="39">
        <f>IFERROR(VLOOKUP("APT",Controls!A:J,6,0),3)</f>
        <v>4</v>
      </c>
      <c r="R1733" s="21" t="str">
        <f>IFERROR(VLOOKUP("APT",Controls!A:K,10,0),"")</f>
        <v>ST Pharm</v>
      </c>
      <c r="S1733" s="41">
        <f t="shared" si="192"/>
        <v>49522</v>
      </c>
      <c r="T1733" s="30">
        <f t="shared" si="193"/>
        <v>0</v>
      </c>
      <c r="AB1733">
        <f t="shared" ref="AB1733:AB1796" si="195">SUMIFS($F$4:$F$2331,$B$4:$B$2331,B1733,$A$4:$A$2331,"&lt;="&amp;A1733)</f>
        <v>271.03999999999996</v>
      </c>
    </row>
    <row r="1734" spans="1:28" ht="13" customHeight="1" x14ac:dyDescent="0.35">
      <c r="A1734" s="153">
        <v>49675</v>
      </c>
      <c r="B1734" s="36" t="s">
        <v>58</v>
      </c>
      <c r="C1734" s="15" t="s">
        <v>52</v>
      </c>
      <c r="D1734" s="15" t="s">
        <v>48</v>
      </c>
      <c r="E1734" s="30">
        <f>H1733</f>
        <v>89.81</v>
      </c>
      <c r="F1734" s="37">
        <f>IFERROR('Production Inputs'!$EA$37*Dependencies!$D$19,0)</f>
        <v>0</v>
      </c>
      <c r="G1734" s="37">
        <f t="array" ref="G1734">IFERROR(SUMPRODUCT(('Production Inputs'!$A:$A="APT")*('Production Inputs'!$B:$B="TOTAL ACTIVE")*'Production Inputs'!$EA:$EA),0)</f>
        <v>0</v>
      </c>
      <c r="H1734" s="30">
        <f t="shared" si="189"/>
        <v>89.81</v>
      </c>
      <c r="I1734" s="30">
        <f ca="1">IFERROR(AVERAGEIF(OFFSET(F1734,0,0,MIN(Controls!$B$8,COUNTIF(B1734:B$1973,B1734)),1),"&gt;"&amp;0),0)</f>
        <v>0</v>
      </c>
      <c r="J1734" s="38">
        <f t="shared" ca="1" si="190"/>
        <v>999</v>
      </c>
      <c r="K1734" s="30">
        <f t="shared" ca="1" si="194"/>
        <v>0</v>
      </c>
      <c r="L1734" t="str">
        <f t="shared" ca="1" si="191"/>
        <v>Overstock</v>
      </c>
      <c r="M1734" s="39">
        <f>IFERROR(VLOOKUP("APT",Controls!A:I,7,0),6)</f>
        <v>4</v>
      </c>
      <c r="N1734" s="39">
        <f>IFERROR(VLOOKUP("APT",Controls!A:I,8,0),3)</f>
        <v>3</v>
      </c>
      <c r="O1734" s="39">
        <f>IFERROR(VLOOKUP("APT",Controls!A:I,9,0),18)</f>
        <v>12</v>
      </c>
      <c r="P1734" s="40">
        <f>IFERROR(VLOOKUP("APT",Controls!A:J,5,0),0)</f>
        <v>165</v>
      </c>
      <c r="Q1734" s="39">
        <f>IFERROR(VLOOKUP("APT",Controls!A:J,6,0),3)</f>
        <v>4</v>
      </c>
      <c r="R1734" s="21" t="str">
        <f>IFERROR(VLOOKUP("APT",Controls!A:K,10,0),"")</f>
        <v>ST Pharm</v>
      </c>
      <c r="S1734" s="41">
        <f t="shared" si="192"/>
        <v>49553</v>
      </c>
      <c r="T1734" s="30">
        <f t="shared" si="193"/>
        <v>0</v>
      </c>
      <c r="AB1734">
        <f t="shared" si="195"/>
        <v>271.03999999999996</v>
      </c>
    </row>
    <row r="1735" spans="1:28" ht="13" customHeight="1" x14ac:dyDescent="0.35">
      <c r="A1735" s="153">
        <v>49706</v>
      </c>
      <c r="B1735" s="36" t="s">
        <v>58</v>
      </c>
      <c r="C1735" s="15" t="s">
        <v>52</v>
      </c>
      <c r="D1735" s="15" t="s">
        <v>48</v>
      </c>
      <c r="E1735" s="30">
        <f>H1734</f>
        <v>89.81</v>
      </c>
      <c r="F1735" s="37">
        <f>IFERROR('Production Inputs'!$EB$37*Dependencies!$D$19,0)</f>
        <v>0</v>
      </c>
      <c r="G1735" s="37">
        <f t="array" ref="G1735">IFERROR(SUMPRODUCT(('Production Inputs'!$A:$A="APT")*('Production Inputs'!$B:$B="TOTAL ACTIVE")*'Production Inputs'!$EB:$EB),0)</f>
        <v>0</v>
      </c>
      <c r="H1735" s="30">
        <f t="shared" si="189"/>
        <v>89.81</v>
      </c>
      <c r="I1735" s="30">
        <f ca="1">IFERROR(AVERAGEIF(OFFSET(F1735,0,0,MIN(Controls!$B$8,COUNTIF(B1735:B$1973,B1735)),1),"&gt;"&amp;0),0)</f>
        <v>0</v>
      </c>
      <c r="J1735" s="38">
        <f t="shared" ca="1" si="190"/>
        <v>999</v>
      </c>
      <c r="K1735" s="30">
        <f t="shared" ca="1" si="194"/>
        <v>0</v>
      </c>
      <c r="L1735" t="str">
        <f t="shared" ca="1" si="191"/>
        <v>Overstock</v>
      </c>
      <c r="M1735" s="39">
        <f>IFERROR(VLOOKUP("APT",Controls!A:I,7,0),6)</f>
        <v>4</v>
      </c>
      <c r="N1735" s="39">
        <f>IFERROR(VLOOKUP("APT",Controls!A:I,8,0),3)</f>
        <v>3</v>
      </c>
      <c r="O1735" s="39">
        <f>IFERROR(VLOOKUP("APT",Controls!A:I,9,0),18)</f>
        <v>12</v>
      </c>
      <c r="P1735" s="40">
        <f>IFERROR(VLOOKUP("APT",Controls!A:J,5,0),0)</f>
        <v>165</v>
      </c>
      <c r="Q1735" s="39">
        <f>IFERROR(VLOOKUP("APT",Controls!A:J,6,0),3)</f>
        <v>4</v>
      </c>
      <c r="R1735" s="21" t="str">
        <f>IFERROR(VLOOKUP("APT",Controls!A:K,10,0),"")</f>
        <v>ST Pharm</v>
      </c>
      <c r="S1735" s="41">
        <f t="shared" si="192"/>
        <v>49583</v>
      </c>
      <c r="T1735" s="30">
        <f t="shared" si="193"/>
        <v>0</v>
      </c>
      <c r="AB1735">
        <f t="shared" si="195"/>
        <v>271.03999999999996</v>
      </c>
    </row>
    <row r="1736" spans="1:28" ht="13" customHeight="1" x14ac:dyDescent="0.35">
      <c r="A1736" s="153">
        <v>49735</v>
      </c>
      <c r="B1736" s="36" t="s">
        <v>58</v>
      </c>
      <c r="C1736" s="15" t="s">
        <v>52</v>
      </c>
      <c r="D1736" s="15" t="s">
        <v>48</v>
      </c>
      <c r="E1736" s="30">
        <f>H1735</f>
        <v>89.81</v>
      </c>
      <c r="F1736" s="37">
        <f>IFERROR('Production Inputs'!$EC$37*Dependencies!$D$19,0)</f>
        <v>0</v>
      </c>
      <c r="G1736" s="37">
        <f t="array" ref="G1736">IFERROR(SUMPRODUCT(('Production Inputs'!$A:$A="APT")*('Production Inputs'!$B:$B="TOTAL ACTIVE")*'Production Inputs'!$EC:$EC),0)</f>
        <v>0</v>
      </c>
      <c r="H1736" s="30">
        <f t="shared" si="189"/>
        <v>89.81</v>
      </c>
      <c r="I1736" s="30">
        <f ca="1">IFERROR(AVERAGEIF(OFFSET(F1736,0,0,MIN(Controls!$B$8,COUNTIF(B1736:B$1973,B1736)),1),"&gt;"&amp;0),0)</f>
        <v>0</v>
      </c>
      <c r="J1736" s="38">
        <f t="shared" ca="1" si="190"/>
        <v>999</v>
      </c>
      <c r="K1736" s="30">
        <f t="shared" ca="1" si="194"/>
        <v>0</v>
      </c>
      <c r="L1736" t="str">
        <f t="shared" ca="1" si="191"/>
        <v>Overstock</v>
      </c>
      <c r="M1736" s="39">
        <f>IFERROR(VLOOKUP("APT",Controls!A:I,7,0),6)</f>
        <v>4</v>
      </c>
      <c r="N1736" s="39">
        <f>IFERROR(VLOOKUP("APT",Controls!A:I,8,0),3)</f>
        <v>3</v>
      </c>
      <c r="O1736" s="39">
        <f>IFERROR(VLOOKUP("APT",Controls!A:I,9,0),18)</f>
        <v>12</v>
      </c>
      <c r="P1736" s="40">
        <f>IFERROR(VLOOKUP("APT",Controls!A:J,5,0),0)</f>
        <v>165</v>
      </c>
      <c r="Q1736" s="39">
        <f>IFERROR(VLOOKUP("APT",Controls!A:J,6,0),3)</f>
        <v>4</v>
      </c>
      <c r="R1736" s="21" t="str">
        <f>IFERROR(VLOOKUP("APT",Controls!A:K,10,0),"")</f>
        <v>ST Pharm</v>
      </c>
      <c r="S1736" s="41">
        <f t="shared" si="192"/>
        <v>49614</v>
      </c>
      <c r="T1736" s="30">
        <f t="shared" si="193"/>
        <v>0</v>
      </c>
      <c r="AB1736">
        <f t="shared" si="195"/>
        <v>271.03999999999996</v>
      </c>
    </row>
    <row r="1737" spans="1:28" ht="13" customHeight="1" x14ac:dyDescent="0.35">
      <c r="A1737" s="153">
        <v>49766</v>
      </c>
      <c r="B1737" s="36" t="s">
        <v>58</v>
      </c>
      <c r="C1737" s="15" t="s">
        <v>52</v>
      </c>
      <c r="D1737" s="15" t="s">
        <v>48</v>
      </c>
      <c r="E1737" s="30">
        <f>H1736</f>
        <v>89.81</v>
      </c>
      <c r="F1737" s="37">
        <f>IFERROR('Production Inputs'!$ED$37*Dependencies!$D$19,0)</f>
        <v>0</v>
      </c>
      <c r="G1737" s="37">
        <f t="array" ref="G1737">IFERROR(SUMPRODUCT(('Production Inputs'!$A:$A="APT")*('Production Inputs'!$B:$B="TOTAL ACTIVE")*'Production Inputs'!$ED:$ED),0)</f>
        <v>0</v>
      </c>
      <c r="H1737" s="30">
        <f t="shared" si="189"/>
        <v>89.81</v>
      </c>
      <c r="I1737" s="30">
        <f ca="1">IFERROR(AVERAGEIF(OFFSET(F1737,0,0,MIN(Controls!$B$8,COUNTIF(B1737:B$1973,B1737)),1),"&gt;"&amp;0),0)</f>
        <v>0</v>
      </c>
      <c r="J1737" s="38">
        <f t="shared" ca="1" si="190"/>
        <v>999</v>
      </c>
      <c r="K1737" s="30">
        <f t="shared" ca="1" si="194"/>
        <v>0</v>
      </c>
      <c r="L1737" t="str">
        <f t="shared" ca="1" si="191"/>
        <v>Overstock</v>
      </c>
      <c r="M1737" s="39">
        <f>IFERROR(VLOOKUP("APT",Controls!A:I,7,0),6)</f>
        <v>4</v>
      </c>
      <c r="N1737" s="39">
        <f>IFERROR(VLOOKUP("APT",Controls!A:I,8,0),3)</f>
        <v>3</v>
      </c>
      <c r="O1737" s="39">
        <f>IFERROR(VLOOKUP("APT",Controls!A:I,9,0),18)</f>
        <v>12</v>
      </c>
      <c r="P1737" s="40">
        <f>IFERROR(VLOOKUP("APT",Controls!A:J,5,0),0)</f>
        <v>165</v>
      </c>
      <c r="Q1737" s="39">
        <f>IFERROR(VLOOKUP("APT",Controls!A:J,6,0),3)</f>
        <v>4</v>
      </c>
      <c r="R1737" s="21" t="str">
        <f>IFERROR(VLOOKUP("APT",Controls!A:K,10,0),"")</f>
        <v>ST Pharm</v>
      </c>
      <c r="S1737" s="41">
        <f t="shared" si="192"/>
        <v>49644</v>
      </c>
      <c r="T1737" s="30">
        <f t="shared" si="193"/>
        <v>0</v>
      </c>
      <c r="AB1737">
        <f t="shared" si="195"/>
        <v>271.03999999999996</v>
      </c>
    </row>
    <row r="1738" spans="1:28" ht="13" customHeight="1" x14ac:dyDescent="0.35">
      <c r="A1738" s="153">
        <v>49796</v>
      </c>
      <c r="B1738" s="36" t="s">
        <v>58</v>
      </c>
      <c r="C1738" s="15" t="s">
        <v>52</v>
      </c>
      <c r="D1738" s="15" t="s">
        <v>48</v>
      </c>
      <c r="E1738" s="30">
        <f>H1737</f>
        <v>89.81</v>
      </c>
      <c r="F1738" s="37">
        <f>IFERROR('Production Inputs'!$EE$37*Dependencies!$D$19,0)</f>
        <v>0</v>
      </c>
      <c r="G1738" s="37">
        <f t="array" ref="G1738">IFERROR(SUMPRODUCT(('Production Inputs'!$A:$A="APT")*('Production Inputs'!$B:$B="TOTAL ACTIVE")*'Production Inputs'!$EE:$EE),0)</f>
        <v>0</v>
      </c>
      <c r="H1738" s="30">
        <f t="shared" si="189"/>
        <v>89.81</v>
      </c>
      <c r="I1738" s="30">
        <f ca="1">IFERROR(AVERAGEIF(OFFSET(F1738,0,0,MIN(Controls!$B$8,COUNTIF(B1738:B$1973,B1738)),1),"&gt;"&amp;0),0)</f>
        <v>0</v>
      </c>
      <c r="J1738" s="38">
        <f t="shared" ca="1" si="190"/>
        <v>999</v>
      </c>
      <c r="K1738" s="30">
        <f t="shared" ca="1" si="194"/>
        <v>0</v>
      </c>
      <c r="L1738" t="str">
        <f t="shared" ca="1" si="191"/>
        <v>Overstock</v>
      </c>
      <c r="M1738" s="39">
        <f>IFERROR(VLOOKUP("APT",Controls!A:I,7,0),6)</f>
        <v>4</v>
      </c>
      <c r="N1738" s="39">
        <f>IFERROR(VLOOKUP("APT",Controls!A:I,8,0),3)</f>
        <v>3</v>
      </c>
      <c r="O1738" s="39">
        <f>IFERROR(VLOOKUP("APT",Controls!A:I,9,0),18)</f>
        <v>12</v>
      </c>
      <c r="P1738" s="40">
        <f>IFERROR(VLOOKUP("APT",Controls!A:J,5,0),0)</f>
        <v>165</v>
      </c>
      <c r="Q1738" s="39">
        <f>IFERROR(VLOOKUP("APT",Controls!A:J,6,0),3)</f>
        <v>4</v>
      </c>
      <c r="R1738" s="21" t="str">
        <f>IFERROR(VLOOKUP("APT",Controls!A:K,10,0),"")</f>
        <v>ST Pharm</v>
      </c>
      <c r="S1738" s="41">
        <f t="shared" si="192"/>
        <v>49675</v>
      </c>
      <c r="T1738" s="30">
        <f t="shared" si="193"/>
        <v>0</v>
      </c>
      <c r="AB1738">
        <f t="shared" si="195"/>
        <v>271.03999999999996</v>
      </c>
    </row>
    <row r="1739" spans="1:28" ht="13" customHeight="1" x14ac:dyDescent="0.35">
      <c r="A1739" s="153">
        <v>49827</v>
      </c>
      <c r="B1739" s="36" t="s">
        <v>58</v>
      </c>
      <c r="C1739" s="15" t="s">
        <v>52</v>
      </c>
      <c r="D1739" s="15" t="s">
        <v>48</v>
      </c>
      <c r="E1739" s="30">
        <f>H1738</f>
        <v>89.81</v>
      </c>
      <c r="F1739" s="37">
        <f>IFERROR('Production Inputs'!$EF$37*Dependencies!$D$19,0)</f>
        <v>0</v>
      </c>
      <c r="G1739" s="37">
        <f t="array" ref="G1739">IFERROR(SUMPRODUCT(('Production Inputs'!$A:$A="APT")*('Production Inputs'!$B:$B="TOTAL ACTIVE")*'Production Inputs'!$EF:$EF),0)</f>
        <v>0</v>
      </c>
      <c r="H1739" s="30">
        <f t="shared" si="189"/>
        <v>89.81</v>
      </c>
      <c r="I1739" s="30">
        <f ca="1">IFERROR(AVERAGEIF(OFFSET(F1739,0,0,MIN(Controls!$B$8,COUNTIF(B1739:B$1973,B1739)),1),"&gt;"&amp;0),0)</f>
        <v>0</v>
      </c>
      <c r="J1739" s="38">
        <f t="shared" ca="1" si="190"/>
        <v>999</v>
      </c>
      <c r="K1739" s="30">
        <f t="shared" ca="1" si="194"/>
        <v>0</v>
      </c>
      <c r="L1739" t="str">
        <f t="shared" ca="1" si="191"/>
        <v>Overstock</v>
      </c>
      <c r="M1739" s="39">
        <f>IFERROR(VLOOKUP("APT",Controls!A:I,7,0),6)</f>
        <v>4</v>
      </c>
      <c r="N1739" s="39">
        <f>IFERROR(VLOOKUP("APT",Controls!A:I,8,0),3)</f>
        <v>3</v>
      </c>
      <c r="O1739" s="39">
        <f>IFERROR(VLOOKUP("APT",Controls!A:I,9,0),18)</f>
        <v>12</v>
      </c>
      <c r="P1739" s="40">
        <f>IFERROR(VLOOKUP("APT",Controls!A:J,5,0),0)</f>
        <v>165</v>
      </c>
      <c r="Q1739" s="39">
        <f>IFERROR(VLOOKUP("APT",Controls!A:J,6,0),3)</f>
        <v>4</v>
      </c>
      <c r="R1739" s="21" t="str">
        <f>IFERROR(VLOOKUP("APT",Controls!A:K,10,0),"")</f>
        <v>ST Pharm</v>
      </c>
      <c r="S1739" s="41">
        <f t="shared" si="192"/>
        <v>49706</v>
      </c>
      <c r="T1739" s="30">
        <f t="shared" si="193"/>
        <v>0</v>
      </c>
      <c r="AB1739">
        <f t="shared" si="195"/>
        <v>271.03999999999996</v>
      </c>
    </row>
    <row r="1740" spans="1:28" ht="13" customHeight="1" x14ac:dyDescent="0.35">
      <c r="A1740" s="153">
        <v>49857</v>
      </c>
      <c r="B1740" s="36" t="s">
        <v>58</v>
      </c>
      <c r="C1740" s="15" t="s">
        <v>52</v>
      </c>
      <c r="D1740" s="15" t="s">
        <v>48</v>
      </c>
      <c r="E1740" s="30">
        <f>H1739</f>
        <v>89.81</v>
      </c>
      <c r="F1740" s="37">
        <f>IFERROR('Production Inputs'!$EG$37*Dependencies!$D$19,0)</f>
        <v>0</v>
      </c>
      <c r="G1740" s="37">
        <f t="array" ref="G1740">IFERROR(SUMPRODUCT(('Production Inputs'!$A:$A="APT")*('Production Inputs'!$B:$B="TOTAL ACTIVE")*'Production Inputs'!$EG:$EG),0)</f>
        <v>0</v>
      </c>
      <c r="H1740" s="30">
        <f t="shared" si="189"/>
        <v>89.81</v>
      </c>
      <c r="I1740" s="30">
        <f ca="1">IFERROR(AVERAGEIF(OFFSET(F1740,0,0,MIN(Controls!$B$8,COUNTIF(B1740:B$1973,B1740)),1),"&gt;"&amp;0),0)</f>
        <v>0</v>
      </c>
      <c r="J1740" s="38">
        <f t="shared" ca="1" si="190"/>
        <v>999</v>
      </c>
      <c r="K1740" s="30">
        <f t="shared" ca="1" si="194"/>
        <v>0</v>
      </c>
      <c r="L1740" t="str">
        <f t="shared" ca="1" si="191"/>
        <v>Overstock</v>
      </c>
      <c r="M1740" s="39">
        <f>IFERROR(VLOOKUP("APT",Controls!A:I,7,0),6)</f>
        <v>4</v>
      </c>
      <c r="N1740" s="39">
        <f>IFERROR(VLOOKUP("APT",Controls!A:I,8,0),3)</f>
        <v>3</v>
      </c>
      <c r="O1740" s="39">
        <f>IFERROR(VLOOKUP("APT",Controls!A:I,9,0),18)</f>
        <v>12</v>
      </c>
      <c r="P1740" s="40">
        <f>IFERROR(VLOOKUP("APT",Controls!A:J,5,0),0)</f>
        <v>165</v>
      </c>
      <c r="Q1740" s="39">
        <f>IFERROR(VLOOKUP("APT",Controls!A:J,6,0),3)</f>
        <v>4</v>
      </c>
      <c r="R1740" s="21" t="str">
        <f>IFERROR(VLOOKUP("APT",Controls!A:K,10,0),"")</f>
        <v>ST Pharm</v>
      </c>
      <c r="S1740" s="41">
        <f t="shared" si="192"/>
        <v>49735</v>
      </c>
      <c r="T1740" s="30">
        <f t="shared" si="193"/>
        <v>0</v>
      </c>
      <c r="AB1740">
        <f t="shared" si="195"/>
        <v>271.03999999999996</v>
      </c>
    </row>
    <row r="1741" spans="1:28" ht="13" customHeight="1" x14ac:dyDescent="0.35">
      <c r="A1741" s="153">
        <v>49888</v>
      </c>
      <c r="B1741" s="36" t="s">
        <v>58</v>
      </c>
      <c r="C1741" s="15" t="s">
        <v>52</v>
      </c>
      <c r="D1741" s="15" t="s">
        <v>48</v>
      </c>
      <c r="E1741" s="30">
        <f>H1740</f>
        <v>89.81</v>
      </c>
      <c r="F1741" s="37">
        <f>IFERROR('Production Inputs'!$EH$37*Dependencies!$D$19,0)</f>
        <v>0</v>
      </c>
      <c r="G1741" s="37">
        <f t="array" ref="G1741">IFERROR(SUMPRODUCT(('Production Inputs'!$A:$A="APT")*('Production Inputs'!$B:$B="TOTAL ACTIVE")*'Production Inputs'!$EH:$EH),0)</f>
        <v>0</v>
      </c>
      <c r="H1741" s="30">
        <f t="shared" si="189"/>
        <v>89.81</v>
      </c>
      <c r="I1741" s="30">
        <f ca="1">IFERROR(AVERAGEIF(OFFSET(F1741,0,0,MIN(Controls!$B$8,COUNTIF(B1741:B$1973,B1741)),1),"&gt;"&amp;0),0)</f>
        <v>0</v>
      </c>
      <c r="J1741" s="38">
        <f t="shared" ca="1" si="190"/>
        <v>999</v>
      </c>
      <c r="K1741" s="30">
        <f t="shared" ca="1" si="194"/>
        <v>0</v>
      </c>
      <c r="L1741" t="str">
        <f t="shared" ca="1" si="191"/>
        <v>Overstock</v>
      </c>
      <c r="M1741" s="39">
        <f>IFERROR(VLOOKUP("APT",Controls!A:I,7,0),6)</f>
        <v>4</v>
      </c>
      <c r="N1741" s="39">
        <f>IFERROR(VLOOKUP("APT",Controls!A:I,8,0),3)</f>
        <v>3</v>
      </c>
      <c r="O1741" s="39">
        <f>IFERROR(VLOOKUP("APT",Controls!A:I,9,0),18)</f>
        <v>12</v>
      </c>
      <c r="P1741" s="40">
        <f>IFERROR(VLOOKUP("APT",Controls!A:J,5,0),0)</f>
        <v>165</v>
      </c>
      <c r="Q1741" s="39">
        <f>IFERROR(VLOOKUP("APT",Controls!A:J,6,0),3)</f>
        <v>4</v>
      </c>
      <c r="R1741" s="21" t="str">
        <f>IFERROR(VLOOKUP("APT",Controls!A:K,10,0),"")</f>
        <v>ST Pharm</v>
      </c>
      <c r="S1741" s="41">
        <f t="shared" si="192"/>
        <v>49766</v>
      </c>
      <c r="T1741" s="30">
        <f t="shared" si="193"/>
        <v>0</v>
      </c>
      <c r="AB1741">
        <f t="shared" si="195"/>
        <v>271.03999999999996</v>
      </c>
    </row>
    <row r="1742" spans="1:28" ht="13" customHeight="1" x14ac:dyDescent="0.35">
      <c r="A1742" s="153">
        <v>49919</v>
      </c>
      <c r="B1742" s="36" t="s">
        <v>58</v>
      </c>
      <c r="C1742" s="15" t="s">
        <v>52</v>
      </c>
      <c r="D1742" s="15" t="s">
        <v>48</v>
      </c>
      <c r="E1742" s="30">
        <f>H1741</f>
        <v>89.81</v>
      </c>
      <c r="F1742" s="37">
        <f>IFERROR('Production Inputs'!$EI$37*Dependencies!$D$19,0)</f>
        <v>0</v>
      </c>
      <c r="G1742" s="37">
        <f t="array" ref="G1742">IFERROR(SUMPRODUCT(('Production Inputs'!$A:$A="APT")*('Production Inputs'!$B:$B="TOTAL ACTIVE")*'Production Inputs'!$EI:$EI),0)</f>
        <v>0</v>
      </c>
      <c r="H1742" s="30">
        <f t="shared" si="189"/>
        <v>89.81</v>
      </c>
      <c r="I1742" s="30">
        <f ca="1">IFERROR(AVERAGEIF(OFFSET(F1742,0,0,MIN(Controls!$B$8,COUNTIF(B1742:B$1973,B1742)),1),"&gt;"&amp;0),0)</f>
        <v>0</v>
      </c>
      <c r="J1742" s="38">
        <f t="shared" ca="1" si="190"/>
        <v>999</v>
      </c>
      <c r="K1742" s="30">
        <f t="shared" ca="1" si="194"/>
        <v>0</v>
      </c>
      <c r="L1742" t="str">
        <f t="shared" ca="1" si="191"/>
        <v>Overstock</v>
      </c>
      <c r="M1742" s="39">
        <f>IFERROR(VLOOKUP("APT",Controls!A:I,7,0),6)</f>
        <v>4</v>
      </c>
      <c r="N1742" s="39">
        <f>IFERROR(VLOOKUP("APT",Controls!A:I,8,0),3)</f>
        <v>3</v>
      </c>
      <c r="O1742" s="39">
        <f>IFERROR(VLOOKUP("APT",Controls!A:I,9,0),18)</f>
        <v>12</v>
      </c>
      <c r="P1742" s="40">
        <f>IFERROR(VLOOKUP("APT",Controls!A:J,5,0),0)</f>
        <v>165</v>
      </c>
      <c r="Q1742" s="39">
        <f>IFERROR(VLOOKUP("APT",Controls!A:J,6,0),3)</f>
        <v>4</v>
      </c>
      <c r="R1742" s="21" t="str">
        <f>IFERROR(VLOOKUP("APT",Controls!A:K,10,0),"")</f>
        <v>ST Pharm</v>
      </c>
      <c r="S1742" s="41">
        <f t="shared" si="192"/>
        <v>49796</v>
      </c>
      <c r="T1742" s="30">
        <f t="shared" si="193"/>
        <v>0</v>
      </c>
      <c r="AB1742">
        <f t="shared" si="195"/>
        <v>271.03999999999996</v>
      </c>
    </row>
    <row r="1743" spans="1:28" ht="13" customHeight="1" x14ac:dyDescent="0.35">
      <c r="A1743" s="153">
        <v>49949</v>
      </c>
      <c r="B1743" s="36" t="s">
        <v>58</v>
      </c>
      <c r="C1743" s="15" t="s">
        <v>52</v>
      </c>
      <c r="D1743" s="15" t="s">
        <v>48</v>
      </c>
      <c r="E1743" s="30">
        <f>H1742</f>
        <v>89.81</v>
      </c>
      <c r="F1743" s="37">
        <f>IFERROR('Production Inputs'!$EJ$37*Dependencies!$D$19,0)</f>
        <v>0</v>
      </c>
      <c r="G1743" s="37">
        <f t="array" ref="G1743">IFERROR(SUMPRODUCT(('Production Inputs'!$A:$A="APT")*('Production Inputs'!$B:$B="TOTAL ACTIVE")*'Production Inputs'!$EJ:$EJ),0)</f>
        <v>0</v>
      </c>
      <c r="H1743" s="30">
        <f t="shared" si="189"/>
        <v>89.81</v>
      </c>
      <c r="I1743" s="30">
        <f ca="1">IFERROR(AVERAGEIF(OFFSET(F1743,0,0,MIN(Controls!$B$8,COUNTIF(B1743:B$1973,B1743)),1),"&gt;"&amp;0),0)</f>
        <v>0</v>
      </c>
      <c r="J1743" s="38">
        <f t="shared" ca="1" si="190"/>
        <v>999</v>
      </c>
      <c r="K1743" s="30">
        <f t="shared" ca="1" si="194"/>
        <v>0</v>
      </c>
      <c r="L1743" t="str">
        <f t="shared" ca="1" si="191"/>
        <v>Overstock</v>
      </c>
      <c r="M1743" s="39">
        <f>IFERROR(VLOOKUP("APT",Controls!A:I,7,0),6)</f>
        <v>4</v>
      </c>
      <c r="N1743" s="39">
        <f>IFERROR(VLOOKUP("APT",Controls!A:I,8,0),3)</f>
        <v>3</v>
      </c>
      <c r="O1743" s="39">
        <f>IFERROR(VLOOKUP("APT",Controls!A:I,9,0),18)</f>
        <v>12</v>
      </c>
      <c r="P1743" s="40">
        <f>IFERROR(VLOOKUP("APT",Controls!A:J,5,0),0)</f>
        <v>165</v>
      </c>
      <c r="Q1743" s="39">
        <f>IFERROR(VLOOKUP("APT",Controls!A:J,6,0),3)</f>
        <v>4</v>
      </c>
      <c r="R1743" s="21" t="str">
        <f>IFERROR(VLOOKUP("APT",Controls!A:K,10,0),"")</f>
        <v>ST Pharm</v>
      </c>
      <c r="S1743" s="41">
        <f t="shared" si="192"/>
        <v>49827</v>
      </c>
      <c r="T1743" s="30">
        <f t="shared" si="193"/>
        <v>0</v>
      </c>
      <c r="AB1743">
        <f t="shared" si="195"/>
        <v>271.03999999999996</v>
      </c>
    </row>
    <row r="1744" spans="1:28" ht="13" customHeight="1" x14ac:dyDescent="0.35">
      <c r="A1744" s="153">
        <v>49980</v>
      </c>
      <c r="B1744" s="36" t="s">
        <v>58</v>
      </c>
      <c r="C1744" s="15" t="s">
        <v>52</v>
      </c>
      <c r="D1744" s="15" t="s">
        <v>48</v>
      </c>
      <c r="E1744" s="30">
        <f>H1743</f>
        <v>89.81</v>
      </c>
      <c r="F1744" s="37">
        <f>IFERROR('Production Inputs'!$EK$37*Dependencies!$D$19,0)</f>
        <v>0</v>
      </c>
      <c r="G1744" s="37">
        <f t="array" ref="G1744">IFERROR(SUMPRODUCT(('Production Inputs'!$A:$A="APT")*('Production Inputs'!$B:$B="TOTAL ACTIVE")*'Production Inputs'!$EK:$EK),0)</f>
        <v>0</v>
      </c>
      <c r="H1744" s="30">
        <f t="shared" si="189"/>
        <v>89.81</v>
      </c>
      <c r="I1744" s="30">
        <f ca="1">IFERROR(AVERAGEIF(OFFSET(F1744,0,0,MIN(Controls!$B$8,COUNTIF(B1744:B$1973,B1744)),1),"&gt;"&amp;0),0)</f>
        <v>0</v>
      </c>
      <c r="J1744" s="38">
        <f t="shared" ca="1" si="190"/>
        <v>999</v>
      </c>
      <c r="K1744" s="30">
        <f t="shared" ca="1" si="194"/>
        <v>0</v>
      </c>
      <c r="L1744" t="str">
        <f t="shared" ca="1" si="191"/>
        <v>Overstock</v>
      </c>
      <c r="M1744" s="39">
        <f>IFERROR(VLOOKUP("APT",Controls!A:I,7,0),6)</f>
        <v>4</v>
      </c>
      <c r="N1744" s="39">
        <f>IFERROR(VLOOKUP("APT",Controls!A:I,8,0),3)</f>
        <v>3</v>
      </c>
      <c r="O1744" s="39">
        <f>IFERROR(VLOOKUP("APT",Controls!A:I,9,0),18)</f>
        <v>12</v>
      </c>
      <c r="P1744" s="40">
        <f>IFERROR(VLOOKUP("APT",Controls!A:J,5,0),0)</f>
        <v>165</v>
      </c>
      <c r="Q1744" s="39">
        <f>IFERROR(VLOOKUP("APT",Controls!A:J,6,0),3)</f>
        <v>4</v>
      </c>
      <c r="R1744" s="21" t="str">
        <f>IFERROR(VLOOKUP("APT",Controls!A:K,10,0),"")</f>
        <v>ST Pharm</v>
      </c>
      <c r="S1744" s="41">
        <f t="shared" si="192"/>
        <v>49857</v>
      </c>
      <c r="T1744" s="30">
        <f t="shared" si="193"/>
        <v>0</v>
      </c>
      <c r="AB1744">
        <f t="shared" si="195"/>
        <v>271.03999999999996</v>
      </c>
    </row>
    <row r="1745" spans="1:28" ht="13" customHeight="1" x14ac:dyDescent="0.35">
      <c r="A1745" s="153">
        <v>50010</v>
      </c>
      <c r="B1745" s="36" t="s">
        <v>58</v>
      </c>
      <c r="C1745" s="15" t="s">
        <v>52</v>
      </c>
      <c r="D1745" s="15" t="s">
        <v>48</v>
      </c>
      <c r="E1745" s="30">
        <f>H1744</f>
        <v>89.81</v>
      </c>
      <c r="F1745" s="37">
        <f>IFERROR('Production Inputs'!$EL$37*Dependencies!$D$19,0)</f>
        <v>0</v>
      </c>
      <c r="G1745" s="37">
        <f t="array" ref="G1745">IFERROR(SUMPRODUCT(('Production Inputs'!$A:$A="APT")*('Production Inputs'!$B:$B="TOTAL ACTIVE")*'Production Inputs'!$EL:$EL),0)</f>
        <v>0</v>
      </c>
      <c r="H1745" s="30">
        <f t="shared" si="189"/>
        <v>89.81</v>
      </c>
      <c r="I1745" s="30">
        <f ca="1">IFERROR(AVERAGEIF(OFFSET(F1745,0,0,MIN(Controls!$B$8,COUNTIF(B1745:B$1973,B1745)),1),"&gt;"&amp;0),0)</f>
        <v>0</v>
      </c>
      <c r="J1745" s="38">
        <f t="shared" ca="1" si="190"/>
        <v>999</v>
      </c>
      <c r="K1745" s="30">
        <f t="shared" ca="1" si="194"/>
        <v>0</v>
      </c>
      <c r="L1745" t="str">
        <f t="shared" ca="1" si="191"/>
        <v>Overstock</v>
      </c>
      <c r="M1745" s="39">
        <f>IFERROR(VLOOKUP("APT",Controls!A:I,7,0),6)</f>
        <v>4</v>
      </c>
      <c r="N1745" s="39">
        <f>IFERROR(VLOOKUP("APT",Controls!A:I,8,0),3)</f>
        <v>3</v>
      </c>
      <c r="O1745" s="39">
        <f>IFERROR(VLOOKUP("APT",Controls!A:I,9,0),18)</f>
        <v>12</v>
      </c>
      <c r="P1745" s="40">
        <f>IFERROR(VLOOKUP("APT",Controls!A:J,5,0),0)</f>
        <v>165</v>
      </c>
      <c r="Q1745" s="39">
        <f>IFERROR(VLOOKUP("APT",Controls!A:J,6,0),3)</f>
        <v>4</v>
      </c>
      <c r="R1745" s="21" t="str">
        <f>IFERROR(VLOOKUP("APT",Controls!A:K,10,0),"")</f>
        <v>ST Pharm</v>
      </c>
      <c r="S1745" s="41">
        <f t="shared" si="192"/>
        <v>49888</v>
      </c>
      <c r="T1745" s="30">
        <f t="shared" si="193"/>
        <v>0</v>
      </c>
      <c r="AB1745">
        <f t="shared" si="195"/>
        <v>271.03999999999996</v>
      </c>
    </row>
    <row r="1746" spans="1:28" ht="13" customHeight="1" x14ac:dyDescent="0.35">
      <c r="A1746" s="153">
        <v>50041</v>
      </c>
      <c r="B1746" s="36" t="s">
        <v>58</v>
      </c>
      <c r="C1746" s="15" t="s">
        <v>52</v>
      </c>
      <c r="D1746" s="15" t="s">
        <v>48</v>
      </c>
      <c r="E1746" s="30">
        <f>H1745</f>
        <v>89.81</v>
      </c>
      <c r="F1746" s="37">
        <f>IFERROR('Production Inputs'!$EM$37*Dependencies!$D$19,0)</f>
        <v>0</v>
      </c>
      <c r="G1746" s="37">
        <f t="array" ref="G1746">IFERROR(SUMPRODUCT(('Production Inputs'!$A:$A="APT")*('Production Inputs'!$B:$B="TOTAL ACTIVE")*'Production Inputs'!$EM:$EM),0)</f>
        <v>0</v>
      </c>
      <c r="H1746" s="30">
        <f t="shared" si="189"/>
        <v>89.81</v>
      </c>
      <c r="I1746" s="30">
        <f ca="1">IFERROR(AVERAGEIF(OFFSET(F1746,0,0,MIN(Controls!$B$8,COUNTIF(B1746:B$1973,B1746)),1),"&gt;"&amp;0),0)</f>
        <v>0</v>
      </c>
      <c r="J1746" s="38">
        <f t="shared" ca="1" si="190"/>
        <v>999</v>
      </c>
      <c r="K1746" s="30">
        <f t="shared" ca="1" si="194"/>
        <v>0</v>
      </c>
      <c r="L1746" t="str">
        <f t="shared" ca="1" si="191"/>
        <v>Overstock</v>
      </c>
      <c r="M1746" s="39">
        <f>IFERROR(VLOOKUP("APT",Controls!A:I,7,0),6)</f>
        <v>4</v>
      </c>
      <c r="N1746" s="39">
        <f>IFERROR(VLOOKUP("APT",Controls!A:I,8,0),3)</f>
        <v>3</v>
      </c>
      <c r="O1746" s="39">
        <f>IFERROR(VLOOKUP("APT",Controls!A:I,9,0),18)</f>
        <v>12</v>
      </c>
      <c r="P1746" s="40">
        <f>IFERROR(VLOOKUP("APT",Controls!A:J,5,0),0)</f>
        <v>165</v>
      </c>
      <c r="Q1746" s="39">
        <f>IFERROR(VLOOKUP("APT",Controls!A:J,6,0),3)</f>
        <v>4</v>
      </c>
      <c r="R1746" s="21" t="str">
        <f>IFERROR(VLOOKUP("APT",Controls!A:K,10,0),"")</f>
        <v>ST Pharm</v>
      </c>
      <c r="S1746" s="41">
        <f t="shared" si="192"/>
        <v>49919</v>
      </c>
      <c r="T1746" s="30">
        <f t="shared" si="193"/>
        <v>0</v>
      </c>
      <c r="AB1746">
        <f t="shared" si="195"/>
        <v>271.03999999999996</v>
      </c>
    </row>
    <row r="1747" spans="1:28" ht="13" customHeight="1" x14ac:dyDescent="0.35">
      <c r="A1747" s="153">
        <v>50072</v>
      </c>
      <c r="B1747" s="36" t="s">
        <v>58</v>
      </c>
      <c r="C1747" s="15" t="s">
        <v>52</v>
      </c>
      <c r="D1747" s="15" t="s">
        <v>48</v>
      </c>
      <c r="E1747" s="30">
        <f>H1746</f>
        <v>89.81</v>
      </c>
      <c r="F1747" s="37">
        <f>IFERROR('Production Inputs'!$EN$37*Dependencies!$D$19,0)</f>
        <v>0</v>
      </c>
      <c r="G1747" s="37">
        <f t="array" ref="G1747">IFERROR(SUMPRODUCT(('Production Inputs'!$A:$A="APT")*('Production Inputs'!$B:$B="TOTAL ACTIVE")*'Production Inputs'!$EN:$EN),0)</f>
        <v>0</v>
      </c>
      <c r="H1747" s="30">
        <f t="shared" si="189"/>
        <v>89.81</v>
      </c>
      <c r="I1747" s="30">
        <f ca="1">IFERROR(AVERAGEIF(OFFSET(F1747,0,0,MIN(Controls!$B$8,COUNTIF(B1747:B$1973,B1747)),1),"&gt;"&amp;0),0)</f>
        <v>0</v>
      </c>
      <c r="J1747" s="38">
        <f t="shared" ca="1" si="190"/>
        <v>999</v>
      </c>
      <c r="K1747" s="30">
        <f t="shared" ca="1" si="194"/>
        <v>0</v>
      </c>
      <c r="L1747" t="str">
        <f t="shared" ca="1" si="191"/>
        <v>Overstock</v>
      </c>
      <c r="M1747" s="39">
        <f>IFERROR(VLOOKUP("APT",Controls!A:I,7,0),6)</f>
        <v>4</v>
      </c>
      <c r="N1747" s="39">
        <f>IFERROR(VLOOKUP("APT",Controls!A:I,8,0),3)</f>
        <v>3</v>
      </c>
      <c r="O1747" s="39">
        <f>IFERROR(VLOOKUP("APT",Controls!A:I,9,0),18)</f>
        <v>12</v>
      </c>
      <c r="P1747" s="40">
        <f>IFERROR(VLOOKUP("APT",Controls!A:J,5,0),0)</f>
        <v>165</v>
      </c>
      <c r="Q1747" s="39">
        <f>IFERROR(VLOOKUP("APT",Controls!A:J,6,0),3)</f>
        <v>4</v>
      </c>
      <c r="R1747" s="21" t="str">
        <f>IFERROR(VLOOKUP("APT",Controls!A:K,10,0),"")</f>
        <v>ST Pharm</v>
      </c>
      <c r="S1747" s="41">
        <f t="shared" si="192"/>
        <v>49949</v>
      </c>
      <c r="T1747" s="30">
        <f t="shared" si="193"/>
        <v>0</v>
      </c>
      <c r="AB1747">
        <f t="shared" si="195"/>
        <v>271.03999999999996</v>
      </c>
    </row>
    <row r="1748" spans="1:28" ht="13" customHeight="1" x14ac:dyDescent="0.35">
      <c r="A1748" s="153">
        <v>50100</v>
      </c>
      <c r="B1748" s="36" t="s">
        <v>58</v>
      </c>
      <c r="C1748" s="15" t="s">
        <v>52</v>
      </c>
      <c r="D1748" s="15" t="s">
        <v>48</v>
      </c>
      <c r="E1748" s="30">
        <f>H1747</f>
        <v>89.81</v>
      </c>
      <c r="F1748" s="37">
        <f>IFERROR('Production Inputs'!$EO$37*Dependencies!$D$19,0)</f>
        <v>0</v>
      </c>
      <c r="G1748" s="37">
        <f t="array" ref="G1748">IFERROR(SUMPRODUCT(('Production Inputs'!$A:$A="APT")*('Production Inputs'!$B:$B="TOTAL ACTIVE")*'Production Inputs'!$EO:$EO),0)</f>
        <v>0</v>
      </c>
      <c r="H1748" s="30">
        <f t="shared" si="189"/>
        <v>89.81</v>
      </c>
      <c r="I1748" s="30">
        <f ca="1">IFERROR(AVERAGEIF(OFFSET(F1748,0,0,MIN(Controls!$B$8,COUNTIF(B1748:B$1973,B1748)),1),"&gt;"&amp;0),0)</f>
        <v>0</v>
      </c>
      <c r="J1748" s="38">
        <f t="shared" ca="1" si="190"/>
        <v>999</v>
      </c>
      <c r="K1748" s="30">
        <f t="shared" ca="1" si="194"/>
        <v>0</v>
      </c>
      <c r="L1748" t="str">
        <f t="shared" ca="1" si="191"/>
        <v>Overstock</v>
      </c>
      <c r="M1748" s="39">
        <f>IFERROR(VLOOKUP("APT",Controls!A:I,7,0),6)</f>
        <v>4</v>
      </c>
      <c r="N1748" s="39">
        <f>IFERROR(VLOOKUP("APT",Controls!A:I,8,0),3)</f>
        <v>3</v>
      </c>
      <c r="O1748" s="39">
        <f>IFERROR(VLOOKUP("APT",Controls!A:I,9,0),18)</f>
        <v>12</v>
      </c>
      <c r="P1748" s="40">
        <f>IFERROR(VLOOKUP("APT",Controls!A:J,5,0),0)</f>
        <v>165</v>
      </c>
      <c r="Q1748" s="39">
        <f>IFERROR(VLOOKUP("APT",Controls!A:J,6,0),3)</f>
        <v>4</v>
      </c>
      <c r="R1748" s="21" t="str">
        <f>IFERROR(VLOOKUP("APT",Controls!A:K,10,0),"")</f>
        <v>ST Pharm</v>
      </c>
      <c r="S1748" s="41">
        <f t="shared" si="192"/>
        <v>49980</v>
      </c>
      <c r="T1748" s="30">
        <f t="shared" si="193"/>
        <v>0</v>
      </c>
      <c r="AB1748">
        <f t="shared" si="195"/>
        <v>271.03999999999996</v>
      </c>
    </row>
    <row r="1749" spans="1:28" ht="13" customHeight="1" x14ac:dyDescent="0.35">
      <c r="A1749" s="153">
        <v>50131</v>
      </c>
      <c r="B1749" s="36" t="s">
        <v>58</v>
      </c>
      <c r="C1749" s="15" t="s">
        <v>52</v>
      </c>
      <c r="D1749" s="15" t="s">
        <v>48</v>
      </c>
      <c r="E1749" s="30">
        <f>H1748</f>
        <v>89.81</v>
      </c>
      <c r="F1749" s="37">
        <f>IFERROR('Production Inputs'!$EP$37*Dependencies!$D$19,0)</f>
        <v>0</v>
      </c>
      <c r="G1749" s="37">
        <f t="array" ref="G1749">IFERROR(SUMPRODUCT(('Production Inputs'!$A:$A="APT")*('Production Inputs'!$B:$B="TOTAL ACTIVE")*'Production Inputs'!$EP:$EP),0)</f>
        <v>0</v>
      </c>
      <c r="H1749" s="30">
        <f t="shared" si="189"/>
        <v>89.81</v>
      </c>
      <c r="I1749" s="30">
        <f ca="1">IFERROR(AVERAGEIF(OFFSET(F1749,0,0,MIN(Controls!$B$8,COUNTIF(B1749:B$1973,B1749)),1),"&gt;"&amp;0),0)</f>
        <v>0</v>
      </c>
      <c r="J1749" s="38">
        <f t="shared" ca="1" si="190"/>
        <v>999</v>
      </c>
      <c r="K1749" s="30">
        <f t="shared" ca="1" si="194"/>
        <v>0</v>
      </c>
      <c r="L1749" t="str">
        <f t="shared" ca="1" si="191"/>
        <v>Overstock</v>
      </c>
      <c r="M1749" s="39">
        <f>IFERROR(VLOOKUP("APT",Controls!A:I,7,0),6)</f>
        <v>4</v>
      </c>
      <c r="N1749" s="39">
        <f>IFERROR(VLOOKUP("APT",Controls!A:I,8,0),3)</f>
        <v>3</v>
      </c>
      <c r="O1749" s="39">
        <f>IFERROR(VLOOKUP("APT",Controls!A:I,9,0),18)</f>
        <v>12</v>
      </c>
      <c r="P1749" s="40">
        <f>IFERROR(VLOOKUP("APT",Controls!A:J,5,0),0)</f>
        <v>165</v>
      </c>
      <c r="Q1749" s="39">
        <f>IFERROR(VLOOKUP("APT",Controls!A:J,6,0),3)</f>
        <v>4</v>
      </c>
      <c r="R1749" s="21" t="str">
        <f>IFERROR(VLOOKUP("APT",Controls!A:K,10,0),"")</f>
        <v>ST Pharm</v>
      </c>
      <c r="S1749" s="41">
        <f t="shared" si="192"/>
        <v>50010</v>
      </c>
      <c r="T1749" s="30">
        <f t="shared" si="193"/>
        <v>0</v>
      </c>
      <c r="AB1749">
        <f t="shared" si="195"/>
        <v>271.03999999999996</v>
      </c>
    </row>
    <row r="1750" spans="1:28" ht="13" customHeight="1" x14ac:dyDescent="0.35">
      <c r="A1750" s="153">
        <v>50161</v>
      </c>
      <c r="B1750" s="36" t="s">
        <v>58</v>
      </c>
      <c r="C1750" s="15" t="s">
        <v>52</v>
      </c>
      <c r="D1750" s="15" t="s">
        <v>48</v>
      </c>
      <c r="E1750" s="30">
        <f>H1749</f>
        <v>89.81</v>
      </c>
      <c r="F1750" s="37">
        <f>IFERROR('Production Inputs'!$EQ$37*Dependencies!$D$19,0)</f>
        <v>0</v>
      </c>
      <c r="G1750" s="37">
        <f t="array" ref="G1750">IFERROR(SUMPRODUCT(('Production Inputs'!$A:$A="APT")*('Production Inputs'!$B:$B="TOTAL ACTIVE")*'Production Inputs'!$EQ:$EQ),0)</f>
        <v>0</v>
      </c>
      <c r="H1750" s="30">
        <f t="shared" si="189"/>
        <v>89.81</v>
      </c>
      <c r="I1750" s="30">
        <f ca="1">IFERROR(AVERAGEIF(OFFSET(F1750,0,0,MIN(Controls!$B$8,COUNTIF(B1750:B$1973,B1750)),1),"&gt;"&amp;0),0)</f>
        <v>0</v>
      </c>
      <c r="J1750" s="38">
        <f t="shared" ca="1" si="190"/>
        <v>999</v>
      </c>
      <c r="K1750" s="30">
        <f t="shared" ca="1" si="194"/>
        <v>0</v>
      </c>
      <c r="L1750" t="str">
        <f t="shared" ca="1" si="191"/>
        <v>Overstock</v>
      </c>
      <c r="M1750" s="39">
        <f>IFERROR(VLOOKUP("APT",Controls!A:I,7,0),6)</f>
        <v>4</v>
      </c>
      <c r="N1750" s="39">
        <f>IFERROR(VLOOKUP("APT",Controls!A:I,8,0),3)</f>
        <v>3</v>
      </c>
      <c r="O1750" s="39">
        <f>IFERROR(VLOOKUP("APT",Controls!A:I,9,0),18)</f>
        <v>12</v>
      </c>
      <c r="P1750" s="40">
        <f>IFERROR(VLOOKUP("APT",Controls!A:J,5,0),0)</f>
        <v>165</v>
      </c>
      <c r="Q1750" s="39">
        <f>IFERROR(VLOOKUP("APT",Controls!A:J,6,0),3)</f>
        <v>4</v>
      </c>
      <c r="R1750" s="21" t="str">
        <f>IFERROR(VLOOKUP("APT",Controls!A:K,10,0),"")</f>
        <v>ST Pharm</v>
      </c>
      <c r="S1750" s="41">
        <f t="shared" si="192"/>
        <v>50041</v>
      </c>
      <c r="T1750" s="30">
        <f t="shared" si="193"/>
        <v>0</v>
      </c>
      <c r="AB1750">
        <f t="shared" si="195"/>
        <v>271.03999999999996</v>
      </c>
    </row>
    <row r="1751" spans="1:28" ht="13" customHeight="1" x14ac:dyDescent="0.35">
      <c r="A1751" s="153">
        <v>50192</v>
      </c>
      <c r="B1751" s="36" t="s">
        <v>58</v>
      </c>
      <c r="C1751" s="15" t="s">
        <v>52</v>
      </c>
      <c r="D1751" s="15" t="s">
        <v>48</v>
      </c>
      <c r="E1751" s="30">
        <f>H1750</f>
        <v>89.81</v>
      </c>
      <c r="F1751" s="37">
        <f>IFERROR('Production Inputs'!$ER$37*Dependencies!$D$19,0)</f>
        <v>0</v>
      </c>
      <c r="G1751" s="37">
        <f t="array" ref="G1751">IFERROR(SUMPRODUCT(('Production Inputs'!$A:$A="APT")*('Production Inputs'!$B:$B="TOTAL ACTIVE")*'Production Inputs'!$ER:$ER),0)</f>
        <v>0</v>
      </c>
      <c r="H1751" s="30">
        <f t="shared" si="189"/>
        <v>89.81</v>
      </c>
      <c r="I1751" s="30">
        <f ca="1">IFERROR(AVERAGEIF(OFFSET(F1751,0,0,MIN(Controls!$B$8,COUNTIF(B1751:B$1973,B1751)),1),"&gt;"&amp;0),0)</f>
        <v>0</v>
      </c>
      <c r="J1751" s="38">
        <f t="shared" ca="1" si="190"/>
        <v>999</v>
      </c>
      <c r="K1751" s="30">
        <f t="shared" ca="1" si="194"/>
        <v>0</v>
      </c>
      <c r="L1751" t="str">
        <f t="shared" ca="1" si="191"/>
        <v>Overstock</v>
      </c>
      <c r="M1751" s="39">
        <f>IFERROR(VLOOKUP("APT",Controls!A:I,7,0),6)</f>
        <v>4</v>
      </c>
      <c r="N1751" s="39">
        <f>IFERROR(VLOOKUP("APT",Controls!A:I,8,0),3)</f>
        <v>3</v>
      </c>
      <c r="O1751" s="39">
        <f>IFERROR(VLOOKUP("APT",Controls!A:I,9,0),18)</f>
        <v>12</v>
      </c>
      <c r="P1751" s="40">
        <f>IFERROR(VLOOKUP("APT",Controls!A:J,5,0),0)</f>
        <v>165</v>
      </c>
      <c r="Q1751" s="39">
        <f>IFERROR(VLOOKUP("APT",Controls!A:J,6,0),3)</f>
        <v>4</v>
      </c>
      <c r="R1751" s="21" t="str">
        <f>IFERROR(VLOOKUP("APT",Controls!A:K,10,0),"")</f>
        <v>ST Pharm</v>
      </c>
      <c r="S1751" s="41">
        <f t="shared" si="192"/>
        <v>50072</v>
      </c>
      <c r="T1751" s="30">
        <f t="shared" si="193"/>
        <v>0</v>
      </c>
      <c r="AB1751">
        <f t="shared" si="195"/>
        <v>271.03999999999996</v>
      </c>
    </row>
    <row r="1752" spans="1:28" ht="13" customHeight="1" x14ac:dyDescent="0.35">
      <c r="A1752" s="153">
        <v>50222</v>
      </c>
      <c r="B1752" s="36" t="s">
        <v>58</v>
      </c>
      <c r="C1752" s="15" t="s">
        <v>52</v>
      </c>
      <c r="D1752" s="15" t="s">
        <v>48</v>
      </c>
      <c r="E1752" s="30">
        <f>H1751</f>
        <v>89.81</v>
      </c>
      <c r="F1752" s="37">
        <f>IFERROR('Production Inputs'!$ES$37*Dependencies!$D$19,0)</f>
        <v>0</v>
      </c>
      <c r="G1752" s="37">
        <f t="array" ref="G1752">IFERROR(SUMPRODUCT(('Production Inputs'!$A:$A="APT")*('Production Inputs'!$B:$B="TOTAL ACTIVE")*'Production Inputs'!$ES:$ES),0)</f>
        <v>0</v>
      </c>
      <c r="H1752" s="30">
        <f t="shared" si="189"/>
        <v>89.81</v>
      </c>
      <c r="I1752" s="30">
        <f ca="1">IFERROR(AVERAGEIF(OFFSET(F1752,0,0,MIN(Controls!$B$8,COUNTIF(B1752:B$1973,B1752)),1),"&gt;"&amp;0),0)</f>
        <v>0</v>
      </c>
      <c r="J1752" s="38">
        <f t="shared" ca="1" si="190"/>
        <v>999</v>
      </c>
      <c r="K1752" s="30">
        <f t="shared" ca="1" si="194"/>
        <v>0</v>
      </c>
      <c r="L1752" t="str">
        <f t="shared" ca="1" si="191"/>
        <v>Overstock</v>
      </c>
      <c r="M1752" s="39">
        <f>IFERROR(VLOOKUP("APT",Controls!A:I,7,0),6)</f>
        <v>4</v>
      </c>
      <c r="N1752" s="39">
        <f>IFERROR(VLOOKUP("APT",Controls!A:I,8,0),3)</f>
        <v>3</v>
      </c>
      <c r="O1752" s="39">
        <f>IFERROR(VLOOKUP("APT",Controls!A:I,9,0),18)</f>
        <v>12</v>
      </c>
      <c r="P1752" s="40">
        <f>IFERROR(VLOOKUP("APT",Controls!A:J,5,0),0)</f>
        <v>165</v>
      </c>
      <c r="Q1752" s="39">
        <f>IFERROR(VLOOKUP("APT",Controls!A:J,6,0),3)</f>
        <v>4</v>
      </c>
      <c r="R1752" s="21" t="str">
        <f>IFERROR(VLOOKUP("APT",Controls!A:K,10,0),"")</f>
        <v>ST Pharm</v>
      </c>
      <c r="S1752" s="41">
        <f t="shared" si="192"/>
        <v>50100</v>
      </c>
      <c r="T1752" s="30">
        <f t="shared" si="193"/>
        <v>0</v>
      </c>
      <c r="AB1752">
        <f t="shared" si="195"/>
        <v>271.03999999999996</v>
      </c>
    </row>
    <row r="1753" spans="1:28" ht="13" customHeight="1" x14ac:dyDescent="0.35">
      <c r="A1753" s="153">
        <v>50253</v>
      </c>
      <c r="B1753" s="36" t="s">
        <v>58</v>
      </c>
      <c r="C1753" s="15" t="s">
        <v>52</v>
      </c>
      <c r="D1753" s="15" t="s">
        <v>48</v>
      </c>
      <c r="E1753" s="30">
        <f>H1752</f>
        <v>89.81</v>
      </c>
      <c r="F1753" s="37">
        <f>IFERROR('Production Inputs'!$ET$37*Dependencies!$D$19,0)</f>
        <v>0</v>
      </c>
      <c r="G1753" s="37">
        <f t="array" ref="G1753">IFERROR(SUMPRODUCT(('Production Inputs'!$A:$A="APT")*('Production Inputs'!$B:$B="TOTAL ACTIVE")*'Production Inputs'!$ET:$ET),0)</f>
        <v>0</v>
      </c>
      <c r="H1753" s="30">
        <f t="shared" si="189"/>
        <v>89.81</v>
      </c>
      <c r="I1753" s="30">
        <f ca="1">IFERROR(AVERAGEIF(OFFSET(F1753,0,0,MIN(Controls!$B$8,COUNTIF(B1753:B$1973,B1753)),1),"&gt;"&amp;0),0)</f>
        <v>0</v>
      </c>
      <c r="J1753" s="38">
        <f t="shared" ca="1" si="190"/>
        <v>999</v>
      </c>
      <c r="K1753" s="30">
        <f t="shared" ca="1" si="194"/>
        <v>0</v>
      </c>
      <c r="L1753" t="str">
        <f t="shared" ca="1" si="191"/>
        <v>Overstock</v>
      </c>
      <c r="M1753" s="39">
        <f>IFERROR(VLOOKUP("APT",Controls!A:I,7,0),6)</f>
        <v>4</v>
      </c>
      <c r="N1753" s="39">
        <f>IFERROR(VLOOKUP("APT",Controls!A:I,8,0),3)</f>
        <v>3</v>
      </c>
      <c r="O1753" s="39">
        <f>IFERROR(VLOOKUP("APT",Controls!A:I,9,0),18)</f>
        <v>12</v>
      </c>
      <c r="P1753" s="40">
        <f>IFERROR(VLOOKUP("APT",Controls!A:J,5,0),0)</f>
        <v>165</v>
      </c>
      <c r="Q1753" s="39">
        <f>IFERROR(VLOOKUP("APT",Controls!A:J,6,0),3)</f>
        <v>4</v>
      </c>
      <c r="R1753" s="21" t="str">
        <f>IFERROR(VLOOKUP("APT",Controls!A:K,10,0),"")</f>
        <v>ST Pharm</v>
      </c>
      <c r="S1753" s="41">
        <f t="shared" si="192"/>
        <v>50131</v>
      </c>
      <c r="T1753" s="30">
        <f t="shared" si="193"/>
        <v>0</v>
      </c>
      <c r="AB1753">
        <f t="shared" si="195"/>
        <v>271.03999999999996</v>
      </c>
    </row>
    <row r="1754" spans="1:28" ht="13" customHeight="1" x14ac:dyDescent="0.35">
      <c r="A1754" s="153">
        <v>50284</v>
      </c>
      <c r="B1754" s="36" t="s">
        <v>58</v>
      </c>
      <c r="C1754" s="15" t="s">
        <v>52</v>
      </c>
      <c r="D1754" s="15" t="s">
        <v>48</v>
      </c>
      <c r="E1754" s="30">
        <f>H1753</f>
        <v>89.81</v>
      </c>
      <c r="F1754" s="37">
        <f>IFERROR('Production Inputs'!$EU$37*Dependencies!$D$19,0)</f>
        <v>0</v>
      </c>
      <c r="G1754" s="37">
        <f t="array" ref="G1754">IFERROR(SUMPRODUCT(('Production Inputs'!$A:$A="APT")*('Production Inputs'!$B:$B="TOTAL ACTIVE")*'Production Inputs'!$EU:$EU),0)</f>
        <v>0</v>
      </c>
      <c r="H1754" s="30">
        <f t="shared" si="189"/>
        <v>89.81</v>
      </c>
      <c r="I1754" s="30">
        <f ca="1">IFERROR(AVERAGEIF(OFFSET(F1754,0,0,MIN(Controls!$B$8,COUNTIF(B1754:B$1973,B1754)),1),"&gt;"&amp;0),0)</f>
        <v>0</v>
      </c>
      <c r="J1754" s="38">
        <f t="shared" ca="1" si="190"/>
        <v>999</v>
      </c>
      <c r="K1754" s="30">
        <f t="shared" ca="1" si="194"/>
        <v>0</v>
      </c>
      <c r="L1754" t="str">
        <f t="shared" ca="1" si="191"/>
        <v>Overstock</v>
      </c>
      <c r="M1754" s="39">
        <f>IFERROR(VLOOKUP("APT",Controls!A:I,7,0),6)</f>
        <v>4</v>
      </c>
      <c r="N1754" s="39">
        <f>IFERROR(VLOOKUP("APT",Controls!A:I,8,0),3)</f>
        <v>3</v>
      </c>
      <c r="O1754" s="39">
        <f>IFERROR(VLOOKUP("APT",Controls!A:I,9,0),18)</f>
        <v>12</v>
      </c>
      <c r="P1754" s="40">
        <f>IFERROR(VLOOKUP("APT",Controls!A:J,5,0),0)</f>
        <v>165</v>
      </c>
      <c r="Q1754" s="39">
        <f>IFERROR(VLOOKUP("APT",Controls!A:J,6,0),3)</f>
        <v>4</v>
      </c>
      <c r="R1754" s="21" t="str">
        <f>IFERROR(VLOOKUP("APT",Controls!A:K,10,0),"")</f>
        <v>ST Pharm</v>
      </c>
      <c r="S1754" s="41">
        <f t="shared" si="192"/>
        <v>50161</v>
      </c>
      <c r="T1754" s="30">
        <f t="shared" si="193"/>
        <v>0</v>
      </c>
      <c r="AB1754">
        <f t="shared" si="195"/>
        <v>271.03999999999996</v>
      </c>
    </row>
    <row r="1755" spans="1:28" ht="13" customHeight="1" x14ac:dyDescent="0.35">
      <c r="A1755" s="153">
        <v>50314</v>
      </c>
      <c r="B1755" s="36" t="s">
        <v>58</v>
      </c>
      <c r="C1755" s="15" t="s">
        <v>52</v>
      </c>
      <c r="D1755" s="15" t="s">
        <v>48</v>
      </c>
      <c r="E1755" s="30">
        <f>H1754</f>
        <v>89.81</v>
      </c>
      <c r="F1755" s="37">
        <f>IFERROR('Production Inputs'!$EV$37*Dependencies!$D$19,0)</f>
        <v>0</v>
      </c>
      <c r="G1755" s="37">
        <f t="array" ref="G1755">IFERROR(SUMPRODUCT(('Production Inputs'!$A:$A="APT")*('Production Inputs'!$B:$B="TOTAL ACTIVE")*'Production Inputs'!$EV:$EV),0)</f>
        <v>0</v>
      </c>
      <c r="H1755" s="30">
        <f t="shared" si="189"/>
        <v>89.81</v>
      </c>
      <c r="I1755" s="30">
        <f ca="1">IFERROR(AVERAGEIF(OFFSET(F1755,0,0,MIN(Controls!$B$8,COUNTIF(B1755:B$1973,B1755)),1),"&gt;"&amp;0),0)</f>
        <v>0</v>
      </c>
      <c r="J1755" s="38">
        <f t="shared" ca="1" si="190"/>
        <v>999</v>
      </c>
      <c r="K1755" s="30">
        <f t="shared" ca="1" si="194"/>
        <v>0</v>
      </c>
      <c r="L1755" t="str">
        <f t="shared" ca="1" si="191"/>
        <v>Overstock</v>
      </c>
      <c r="M1755" s="39">
        <f>IFERROR(VLOOKUP("APT",Controls!A:I,7,0),6)</f>
        <v>4</v>
      </c>
      <c r="N1755" s="39">
        <f>IFERROR(VLOOKUP("APT",Controls!A:I,8,0),3)</f>
        <v>3</v>
      </c>
      <c r="O1755" s="39">
        <f>IFERROR(VLOOKUP("APT",Controls!A:I,9,0),18)</f>
        <v>12</v>
      </c>
      <c r="P1755" s="40">
        <f>IFERROR(VLOOKUP("APT",Controls!A:J,5,0),0)</f>
        <v>165</v>
      </c>
      <c r="Q1755" s="39">
        <f>IFERROR(VLOOKUP("APT",Controls!A:J,6,0),3)</f>
        <v>4</v>
      </c>
      <c r="R1755" s="21" t="str">
        <f>IFERROR(VLOOKUP("APT",Controls!A:K,10,0),"")</f>
        <v>ST Pharm</v>
      </c>
      <c r="S1755" s="41">
        <f t="shared" si="192"/>
        <v>50192</v>
      </c>
      <c r="T1755" s="30">
        <f t="shared" si="193"/>
        <v>0</v>
      </c>
      <c r="AB1755">
        <f t="shared" si="195"/>
        <v>271.03999999999996</v>
      </c>
    </row>
    <row r="1756" spans="1:28" ht="13" customHeight="1" x14ac:dyDescent="0.35">
      <c r="A1756" s="153">
        <v>50345</v>
      </c>
      <c r="B1756" s="36" t="s">
        <v>58</v>
      </c>
      <c r="C1756" s="15" t="s">
        <v>52</v>
      </c>
      <c r="D1756" s="15" t="s">
        <v>48</v>
      </c>
      <c r="E1756" s="30">
        <f>H1755</f>
        <v>89.81</v>
      </c>
      <c r="F1756" s="37">
        <f>IFERROR('Production Inputs'!$EW$37*Dependencies!$D$19,0)</f>
        <v>0</v>
      </c>
      <c r="G1756" s="37">
        <f t="array" ref="G1756">IFERROR(SUMPRODUCT(('Production Inputs'!$A:$A="APT")*('Production Inputs'!$B:$B="TOTAL ACTIVE")*'Production Inputs'!$EW:$EW),0)</f>
        <v>0</v>
      </c>
      <c r="H1756" s="30">
        <f t="shared" si="189"/>
        <v>89.81</v>
      </c>
      <c r="I1756" s="30">
        <f ca="1">IFERROR(AVERAGEIF(OFFSET(F1756,0,0,MIN(Controls!$B$8,COUNTIF(B1756:B$1973,B1756)),1),"&gt;"&amp;0),0)</f>
        <v>0</v>
      </c>
      <c r="J1756" s="38">
        <f t="shared" ca="1" si="190"/>
        <v>999</v>
      </c>
      <c r="K1756" s="30">
        <f t="shared" ca="1" si="194"/>
        <v>0</v>
      </c>
      <c r="L1756" t="str">
        <f t="shared" ca="1" si="191"/>
        <v>Overstock</v>
      </c>
      <c r="M1756" s="39">
        <f>IFERROR(VLOOKUP("APT",Controls!A:I,7,0),6)</f>
        <v>4</v>
      </c>
      <c r="N1756" s="39">
        <f>IFERROR(VLOOKUP("APT",Controls!A:I,8,0),3)</f>
        <v>3</v>
      </c>
      <c r="O1756" s="39">
        <f>IFERROR(VLOOKUP("APT",Controls!A:I,9,0),18)</f>
        <v>12</v>
      </c>
      <c r="P1756" s="40">
        <f>IFERROR(VLOOKUP("APT",Controls!A:J,5,0),0)</f>
        <v>165</v>
      </c>
      <c r="Q1756" s="39">
        <f>IFERROR(VLOOKUP("APT",Controls!A:J,6,0),3)</f>
        <v>4</v>
      </c>
      <c r="R1756" s="21" t="str">
        <f>IFERROR(VLOOKUP("APT",Controls!A:K,10,0),"")</f>
        <v>ST Pharm</v>
      </c>
      <c r="S1756" s="41">
        <f t="shared" si="192"/>
        <v>50222</v>
      </c>
      <c r="T1756" s="30">
        <f t="shared" si="193"/>
        <v>0</v>
      </c>
      <c r="AB1756">
        <f t="shared" si="195"/>
        <v>271.03999999999996</v>
      </c>
    </row>
    <row r="1757" spans="1:28" ht="13" customHeight="1" x14ac:dyDescent="0.35">
      <c r="A1757" s="153">
        <v>50375</v>
      </c>
      <c r="B1757" s="36" t="s">
        <v>58</v>
      </c>
      <c r="C1757" s="15" t="s">
        <v>52</v>
      </c>
      <c r="D1757" s="15" t="s">
        <v>48</v>
      </c>
      <c r="E1757" s="30">
        <f>H1756</f>
        <v>89.81</v>
      </c>
      <c r="F1757" s="37">
        <f>IFERROR('Production Inputs'!$EX$37*Dependencies!$D$19,0)</f>
        <v>0</v>
      </c>
      <c r="G1757" s="37">
        <f t="array" ref="G1757">IFERROR(SUMPRODUCT(('Production Inputs'!$A:$A="APT")*('Production Inputs'!$B:$B="TOTAL ACTIVE")*'Production Inputs'!$EX:$EX),0)</f>
        <v>0</v>
      </c>
      <c r="H1757" s="30">
        <f t="shared" si="189"/>
        <v>89.81</v>
      </c>
      <c r="I1757" s="30">
        <f ca="1">IFERROR(AVERAGEIF(OFFSET(F1757,0,0,MIN(Controls!$B$8,COUNTIF(B1757:B$1973,B1757)),1),"&gt;"&amp;0),0)</f>
        <v>0</v>
      </c>
      <c r="J1757" s="38">
        <f t="shared" ca="1" si="190"/>
        <v>999</v>
      </c>
      <c r="K1757" s="30">
        <f t="shared" ca="1" si="194"/>
        <v>0</v>
      </c>
      <c r="L1757" t="str">
        <f t="shared" ca="1" si="191"/>
        <v>Overstock</v>
      </c>
      <c r="M1757" s="39">
        <f>IFERROR(VLOOKUP("APT",Controls!A:I,7,0),6)</f>
        <v>4</v>
      </c>
      <c r="N1757" s="39">
        <f>IFERROR(VLOOKUP("APT",Controls!A:I,8,0),3)</f>
        <v>3</v>
      </c>
      <c r="O1757" s="39">
        <f>IFERROR(VLOOKUP("APT",Controls!A:I,9,0),18)</f>
        <v>12</v>
      </c>
      <c r="P1757" s="40">
        <f>IFERROR(VLOOKUP("APT",Controls!A:J,5,0),0)</f>
        <v>165</v>
      </c>
      <c r="Q1757" s="39">
        <f>IFERROR(VLOOKUP("APT",Controls!A:J,6,0),3)</f>
        <v>4</v>
      </c>
      <c r="R1757" s="21" t="str">
        <f>IFERROR(VLOOKUP("APT",Controls!A:K,10,0),"")</f>
        <v>ST Pharm</v>
      </c>
      <c r="S1757" s="41">
        <f t="shared" si="192"/>
        <v>50253</v>
      </c>
      <c r="T1757" s="30">
        <f t="shared" si="193"/>
        <v>0</v>
      </c>
      <c r="AB1757">
        <f t="shared" si="195"/>
        <v>271.03999999999996</v>
      </c>
    </row>
    <row r="1758" spans="1:28" ht="13" customHeight="1" x14ac:dyDescent="0.35">
      <c r="A1758" s="153">
        <v>50406</v>
      </c>
      <c r="B1758" s="36" t="s">
        <v>58</v>
      </c>
      <c r="C1758" s="15" t="s">
        <v>52</v>
      </c>
      <c r="D1758" s="15" t="s">
        <v>48</v>
      </c>
      <c r="E1758" s="30">
        <f>H1757</f>
        <v>89.81</v>
      </c>
      <c r="F1758" s="37">
        <f>IFERROR('Production Inputs'!$EY$37*Dependencies!$D$19,0)</f>
        <v>0</v>
      </c>
      <c r="G1758" s="37">
        <f t="array" ref="G1758">IFERROR(SUMPRODUCT(('Production Inputs'!$A:$A="APT")*('Production Inputs'!$B:$B="TOTAL ACTIVE")*'Production Inputs'!$EY:$EY),0)</f>
        <v>0</v>
      </c>
      <c r="H1758" s="30">
        <f t="shared" si="189"/>
        <v>89.81</v>
      </c>
      <c r="I1758" s="30">
        <f ca="1">IFERROR(AVERAGEIF(OFFSET(F1758,0,0,MIN(Controls!$B$8,COUNTIF(B1758:B$1973,B1758)),1),"&gt;"&amp;0),0)</f>
        <v>0</v>
      </c>
      <c r="J1758" s="38">
        <f t="shared" ca="1" si="190"/>
        <v>999</v>
      </c>
      <c r="K1758" s="30">
        <f t="shared" ca="1" si="194"/>
        <v>0</v>
      </c>
      <c r="L1758" t="str">
        <f t="shared" ca="1" si="191"/>
        <v>Overstock</v>
      </c>
      <c r="M1758" s="39">
        <f>IFERROR(VLOOKUP("APT",Controls!A:I,7,0),6)</f>
        <v>4</v>
      </c>
      <c r="N1758" s="39">
        <f>IFERROR(VLOOKUP("APT",Controls!A:I,8,0),3)</f>
        <v>3</v>
      </c>
      <c r="O1758" s="39">
        <f>IFERROR(VLOOKUP("APT",Controls!A:I,9,0),18)</f>
        <v>12</v>
      </c>
      <c r="P1758" s="40">
        <f>IFERROR(VLOOKUP("APT",Controls!A:J,5,0),0)</f>
        <v>165</v>
      </c>
      <c r="Q1758" s="39">
        <f>IFERROR(VLOOKUP("APT",Controls!A:J,6,0),3)</f>
        <v>4</v>
      </c>
      <c r="R1758" s="21" t="str">
        <f>IFERROR(VLOOKUP("APT",Controls!A:K,10,0),"")</f>
        <v>ST Pharm</v>
      </c>
      <c r="S1758" s="41">
        <f t="shared" si="192"/>
        <v>50284</v>
      </c>
      <c r="T1758" s="30">
        <f t="shared" si="193"/>
        <v>0</v>
      </c>
      <c r="AB1758">
        <f t="shared" si="195"/>
        <v>271.03999999999996</v>
      </c>
    </row>
    <row r="1759" spans="1:28" ht="13" customHeight="1" x14ac:dyDescent="0.35">
      <c r="A1759" s="153">
        <v>50437</v>
      </c>
      <c r="B1759" s="36" t="s">
        <v>58</v>
      </c>
      <c r="C1759" s="15" t="s">
        <v>52</v>
      </c>
      <c r="D1759" s="15" t="s">
        <v>48</v>
      </c>
      <c r="E1759" s="30">
        <f>H1758</f>
        <v>89.81</v>
      </c>
      <c r="F1759" s="37">
        <f>IFERROR('Production Inputs'!$EZ$37*Dependencies!$D$19,0)</f>
        <v>0</v>
      </c>
      <c r="G1759" s="37">
        <f t="array" ref="G1759">IFERROR(SUMPRODUCT(('Production Inputs'!$A:$A="APT")*('Production Inputs'!$B:$B="TOTAL ACTIVE")*'Production Inputs'!$EZ:$EZ),0)</f>
        <v>0</v>
      </c>
      <c r="H1759" s="30">
        <f t="shared" si="189"/>
        <v>89.81</v>
      </c>
      <c r="I1759" s="30">
        <f ca="1">IFERROR(AVERAGEIF(OFFSET(F1759,0,0,MIN(Controls!$B$8,COUNTIF(B1759:B$1973,B1759)),1),"&gt;"&amp;0),0)</f>
        <v>0</v>
      </c>
      <c r="J1759" s="38">
        <f t="shared" ca="1" si="190"/>
        <v>999</v>
      </c>
      <c r="K1759" s="30">
        <f t="shared" ca="1" si="194"/>
        <v>0</v>
      </c>
      <c r="L1759" t="str">
        <f t="shared" ca="1" si="191"/>
        <v>Overstock</v>
      </c>
      <c r="M1759" s="39">
        <f>IFERROR(VLOOKUP("APT",Controls!A:I,7,0),6)</f>
        <v>4</v>
      </c>
      <c r="N1759" s="39">
        <f>IFERROR(VLOOKUP("APT",Controls!A:I,8,0),3)</f>
        <v>3</v>
      </c>
      <c r="O1759" s="39">
        <f>IFERROR(VLOOKUP("APT",Controls!A:I,9,0),18)</f>
        <v>12</v>
      </c>
      <c r="P1759" s="40">
        <f>IFERROR(VLOOKUP("APT",Controls!A:J,5,0),0)</f>
        <v>165</v>
      </c>
      <c r="Q1759" s="39">
        <f>IFERROR(VLOOKUP("APT",Controls!A:J,6,0),3)</f>
        <v>4</v>
      </c>
      <c r="R1759" s="21" t="str">
        <f>IFERROR(VLOOKUP("APT",Controls!A:K,10,0),"")</f>
        <v>ST Pharm</v>
      </c>
      <c r="S1759" s="41">
        <f t="shared" si="192"/>
        <v>50314</v>
      </c>
      <c r="T1759" s="30">
        <f t="shared" si="193"/>
        <v>0</v>
      </c>
      <c r="AB1759">
        <f t="shared" si="195"/>
        <v>271.03999999999996</v>
      </c>
    </row>
    <row r="1760" spans="1:28" ht="13" customHeight="1" x14ac:dyDescent="0.35">
      <c r="A1760" s="153">
        <v>50465</v>
      </c>
      <c r="B1760" s="36" t="s">
        <v>58</v>
      </c>
      <c r="C1760" s="15" t="s">
        <v>52</v>
      </c>
      <c r="D1760" s="15" t="s">
        <v>48</v>
      </c>
      <c r="E1760" s="30">
        <f>H1759</f>
        <v>89.81</v>
      </c>
      <c r="F1760" s="37">
        <f>IFERROR('Production Inputs'!$FA$37*Dependencies!$D$19,0)</f>
        <v>0</v>
      </c>
      <c r="G1760" s="37">
        <f t="array" ref="G1760">IFERROR(SUMPRODUCT(('Production Inputs'!$A:$A="APT")*('Production Inputs'!$B:$B="TOTAL ACTIVE")*'Production Inputs'!$FA:$FA),0)</f>
        <v>0</v>
      </c>
      <c r="H1760" s="30">
        <f t="shared" si="189"/>
        <v>89.81</v>
      </c>
      <c r="I1760" s="30">
        <f ca="1">IFERROR(AVERAGEIF(OFFSET(F1760,0,0,MIN(Controls!$B$8,COUNTIF(B1760:B$1973,B1760)),1),"&gt;"&amp;0),0)</f>
        <v>0</v>
      </c>
      <c r="J1760" s="38">
        <f t="shared" ca="1" si="190"/>
        <v>999</v>
      </c>
      <c r="K1760" s="30">
        <f t="shared" ca="1" si="194"/>
        <v>0</v>
      </c>
      <c r="L1760" t="str">
        <f t="shared" ca="1" si="191"/>
        <v>Overstock</v>
      </c>
      <c r="M1760" s="39">
        <f>IFERROR(VLOOKUP("APT",Controls!A:I,7,0),6)</f>
        <v>4</v>
      </c>
      <c r="N1760" s="39">
        <f>IFERROR(VLOOKUP("APT",Controls!A:I,8,0),3)</f>
        <v>3</v>
      </c>
      <c r="O1760" s="39">
        <f>IFERROR(VLOOKUP("APT",Controls!A:I,9,0),18)</f>
        <v>12</v>
      </c>
      <c r="P1760" s="40">
        <f>IFERROR(VLOOKUP("APT",Controls!A:J,5,0),0)</f>
        <v>165</v>
      </c>
      <c r="Q1760" s="39">
        <f>IFERROR(VLOOKUP("APT",Controls!A:J,6,0),3)</f>
        <v>4</v>
      </c>
      <c r="R1760" s="21" t="str">
        <f>IFERROR(VLOOKUP("APT",Controls!A:K,10,0),"")</f>
        <v>ST Pharm</v>
      </c>
      <c r="S1760" s="41">
        <f t="shared" si="192"/>
        <v>50345</v>
      </c>
      <c r="T1760" s="30">
        <f t="shared" si="193"/>
        <v>0</v>
      </c>
      <c r="AB1760">
        <f t="shared" si="195"/>
        <v>271.03999999999996</v>
      </c>
    </row>
    <row r="1761" spans="1:28" ht="13" customHeight="1" x14ac:dyDescent="0.35">
      <c r="A1761" s="153">
        <v>50496</v>
      </c>
      <c r="B1761" s="36" t="s">
        <v>58</v>
      </c>
      <c r="C1761" s="15" t="s">
        <v>52</v>
      </c>
      <c r="D1761" s="15" t="s">
        <v>48</v>
      </c>
      <c r="E1761" s="30">
        <f>H1760</f>
        <v>89.81</v>
      </c>
      <c r="F1761" s="37">
        <f>IFERROR('Production Inputs'!$FB$37*Dependencies!$D$19,0)</f>
        <v>0</v>
      </c>
      <c r="G1761" s="37">
        <f t="array" ref="G1761">IFERROR(SUMPRODUCT(('Production Inputs'!$A:$A="APT")*('Production Inputs'!$B:$B="TOTAL ACTIVE")*'Production Inputs'!$FB:$FB),0)</f>
        <v>0</v>
      </c>
      <c r="H1761" s="30">
        <f t="shared" si="189"/>
        <v>89.81</v>
      </c>
      <c r="I1761" s="30">
        <f ca="1">IFERROR(AVERAGEIF(OFFSET(F1761,0,0,MIN(Controls!$B$8,COUNTIF(B1761:B$1973,B1761)),1),"&gt;"&amp;0),0)</f>
        <v>0</v>
      </c>
      <c r="J1761" s="38">
        <f t="shared" ca="1" si="190"/>
        <v>999</v>
      </c>
      <c r="K1761" s="30">
        <f t="shared" ca="1" si="194"/>
        <v>0</v>
      </c>
      <c r="L1761" t="str">
        <f t="shared" ca="1" si="191"/>
        <v>Overstock</v>
      </c>
      <c r="M1761" s="39">
        <f>IFERROR(VLOOKUP("APT",Controls!A:I,7,0),6)</f>
        <v>4</v>
      </c>
      <c r="N1761" s="39">
        <f>IFERROR(VLOOKUP("APT",Controls!A:I,8,0),3)</f>
        <v>3</v>
      </c>
      <c r="O1761" s="39">
        <f>IFERROR(VLOOKUP("APT",Controls!A:I,9,0),18)</f>
        <v>12</v>
      </c>
      <c r="P1761" s="40">
        <f>IFERROR(VLOOKUP("APT",Controls!A:J,5,0),0)</f>
        <v>165</v>
      </c>
      <c r="Q1761" s="39">
        <f>IFERROR(VLOOKUP("APT",Controls!A:J,6,0),3)</f>
        <v>4</v>
      </c>
      <c r="R1761" s="21" t="str">
        <f>IFERROR(VLOOKUP("APT",Controls!A:K,10,0),"")</f>
        <v>ST Pharm</v>
      </c>
      <c r="S1761" s="41">
        <f t="shared" si="192"/>
        <v>50375</v>
      </c>
      <c r="T1761" s="30">
        <f t="shared" si="193"/>
        <v>0</v>
      </c>
      <c r="AB1761">
        <f t="shared" si="195"/>
        <v>271.03999999999996</v>
      </c>
    </row>
    <row r="1762" spans="1:28" ht="13" customHeight="1" x14ac:dyDescent="0.35">
      <c r="A1762" s="153">
        <v>50526</v>
      </c>
      <c r="B1762" s="36" t="s">
        <v>58</v>
      </c>
      <c r="C1762" s="15" t="s">
        <v>52</v>
      </c>
      <c r="D1762" s="15" t="s">
        <v>48</v>
      </c>
      <c r="E1762" s="30">
        <f>H1761</f>
        <v>89.81</v>
      </c>
      <c r="F1762" s="37">
        <f>IFERROR('Production Inputs'!$FC$37*Dependencies!$D$19,0)</f>
        <v>0</v>
      </c>
      <c r="G1762" s="37">
        <f t="array" ref="G1762">IFERROR(SUMPRODUCT(('Production Inputs'!$A:$A="APT")*('Production Inputs'!$B:$B="TOTAL ACTIVE")*'Production Inputs'!$FC:$FC),0)</f>
        <v>0</v>
      </c>
      <c r="H1762" s="30">
        <f t="shared" si="189"/>
        <v>89.81</v>
      </c>
      <c r="I1762" s="30">
        <f ca="1">IFERROR(AVERAGEIF(OFFSET(F1762,0,0,MIN(Controls!$B$8,COUNTIF(B1762:B$1973,B1762)),1),"&gt;"&amp;0),0)</f>
        <v>0</v>
      </c>
      <c r="J1762" s="38">
        <f t="shared" ca="1" si="190"/>
        <v>999</v>
      </c>
      <c r="K1762" s="30">
        <f t="shared" ca="1" si="194"/>
        <v>0</v>
      </c>
      <c r="L1762" t="str">
        <f t="shared" ca="1" si="191"/>
        <v>Overstock</v>
      </c>
      <c r="M1762" s="39">
        <f>IFERROR(VLOOKUP("APT",Controls!A:I,7,0),6)</f>
        <v>4</v>
      </c>
      <c r="N1762" s="39">
        <f>IFERROR(VLOOKUP("APT",Controls!A:I,8,0),3)</f>
        <v>3</v>
      </c>
      <c r="O1762" s="39">
        <f>IFERROR(VLOOKUP("APT",Controls!A:I,9,0),18)</f>
        <v>12</v>
      </c>
      <c r="P1762" s="40">
        <f>IFERROR(VLOOKUP("APT",Controls!A:J,5,0),0)</f>
        <v>165</v>
      </c>
      <c r="Q1762" s="39">
        <f>IFERROR(VLOOKUP("APT",Controls!A:J,6,0),3)</f>
        <v>4</v>
      </c>
      <c r="R1762" s="21" t="str">
        <f>IFERROR(VLOOKUP("APT",Controls!A:K,10,0),"")</f>
        <v>ST Pharm</v>
      </c>
      <c r="S1762" s="41">
        <f t="shared" si="192"/>
        <v>50406</v>
      </c>
      <c r="T1762" s="30">
        <f t="shared" si="193"/>
        <v>0</v>
      </c>
      <c r="AB1762">
        <f t="shared" si="195"/>
        <v>271.03999999999996</v>
      </c>
    </row>
    <row r="1763" spans="1:28" ht="13" customHeight="1" x14ac:dyDescent="0.35">
      <c r="A1763" s="153">
        <v>50557</v>
      </c>
      <c r="B1763" s="36" t="s">
        <v>58</v>
      </c>
      <c r="C1763" s="15" t="s">
        <v>52</v>
      </c>
      <c r="D1763" s="15" t="s">
        <v>48</v>
      </c>
      <c r="E1763" s="30">
        <f>H1762</f>
        <v>89.81</v>
      </c>
      <c r="F1763" s="37">
        <f>IFERROR('Production Inputs'!$FD$37*Dependencies!$D$19,0)</f>
        <v>0</v>
      </c>
      <c r="G1763" s="37">
        <f t="array" ref="G1763">IFERROR(SUMPRODUCT(('Production Inputs'!$A:$A="APT")*('Production Inputs'!$B:$B="TOTAL ACTIVE")*'Production Inputs'!$FD:$FD),0)</f>
        <v>0</v>
      </c>
      <c r="H1763" s="30">
        <f t="shared" si="189"/>
        <v>89.81</v>
      </c>
      <c r="I1763" s="30">
        <f ca="1">IFERROR(AVERAGEIF(OFFSET(F1763,0,0,MIN(Controls!$B$8,COUNTIF(B1763:B$1973,B1763)),1),"&gt;"&amp;0),0)</f>
        <v>0</v>
      </c>
      <c r="J1763" s="38">
        <f t="shared" ca="1" si="190"/>
        <v>999</v>
      </c>
      <c r="K1763" s="30">
        <f t="shared" ca="1" si="194"/>
        <v>0</v>
      </c>
      <c r="L1763" t="str">
        <f t="shared" ca="1" si="191"/>
        <v>Overstock</v>
      </c>
      <c r="M1763" s="39">
        <f>IFERROR(VLOOKUP("APT",Controls!A:I,7,0),6)</f>
        <v>4</v>
      </c>
      <c r="N1763" s="39">
        <f>IFERROR(VLOOKUP("APT",Controls!A:I,8,0),3)</f>
        <v>3</v>
      </c>
      <c r="O1763" s="39">
        <f>IFERROR(VLOOKUP("APT",Controls!A:I,9,0),18)</f>
        <v>12</v>
      </c>
      <c r="P1763" s="40">
        <f>IFERROR(VLOOKUP("APT",Controls!A:J,5,0),0)</f>
        <v>165</v>
      </c>
      <c r="Q1763" s="39">
        <f>IFERROR(VLOOKUP("APT",Controls!A:J,6,0),3)</f>
        <v>4</v>
      </c>
      <c r="R1763" s="21" t="str">
        <f>IFERROR(VLOOKUP("APT",Controls!A:K,10,0),"")</f>
        <v>ST Pharm</v>
      </c>
      <c r="S1763" s="41">
        <f t="shared" si="192"/>
        <v>50437</v>
      </c>
      <c r="T1763" s="30">
        <f t="shared" si="193"/>
        <v>0</v>
      </c>
      <c r="AB1763">
        <f t="shared" si="195"/>
        <v>271.03999999999996</v>
      </c>
    </row>
    <row r="1764" spans="1:28" ht="13" customHeight="1" x14ac:dyDescent="0.35">
      <c r="A1764" s="153">
        <v>50587</v>
      </c>
      <c r="B1764" s="36" t="s">
        <v>58</v>
      </c>
      <c r="C1764" s="15" t="s">
        <v>52</v>
      </c>
      <c r="D1764" s="15" t="s">
        <v>48</v>
      </c>
      <c r="E1764" s="30">
        <f>H1763</f>
        <v>89.81</v>
      </c>
      <c r="F1764" s="37">
        <f>IFERROR('Production Inputs'!$FE$37*Dependencies!$D$19,0)</f>
        <v>0</v>
      </c>
      <c r="G1764" s="37">
        <f t="array" ref="G1764">IFERROR(SUMPRODUCT(('Production Inputs'!$A:$A="APT")*('Production Inputs'!$B:$B="TOTAL ACTIVE")*'Production Inputs'!$FE:$FE),0)</f>
        <v>0</v>
      </c>
      <c r="H1764" s="30">
        <f t="shared" si="189"/>
        <v>89.81</v>
      </c>
      <c r="I1764" s="30">
        <f ca="1">IFERROR(AVERAGEIF(OFFSET(F1764,0,0,MIN(Controls!$B$8,COUNTIF(B1764:B$1973,B1764)),1),"&gt;"&amp;0),0)</f>
        <v>0</v>
      </c>
      <c r="J1764" s="38">
        <f t="shared" ca="1" si="190"/>
        <v>999</v>
      </c>
      <c r="K1764" s="30">
        <f t="shared" ca="1" si="194"/>
        <v>0</v>
      </c>
      <c r="L1764" t="str">
        <f t="shared" ca="1" si="191"/>
        <v>Overstock</v>
      </c>
      <c r="M1764" s="39">
        <f>IFERROR(VLOOKUP("APT",Controls!A:I,7,0),6)</f>
        <v>4</v>
      </c>
      <c r="N1764" s="39">
        <f>IFERROR(VLOOKUP("APT",Controls!A:I,8,0),3)</f>
        <v>3</v>
      </c>
      <c r="O1764" s="39">
        <f>IFERROR(VLOOKUP("APT",Controls!A:I,9,0),18)</f>
        <v>12</v>
      </c>
      <c r="P1764" s="40">
        <f>IFERROR(VLOOKUP("APT",Controls!A:J,5,0),0)</f>
        <v>165</v>
      </c>
      <c r="Q1764" s="39">
        <f>IFERROR(VLOOKUP("APT",Controls!A:J,6,0),3)</f>
        <v>4</v>
      </c>
      <c r="R1764" s="21" t="str">
        <f>IFERROR(VLOOKUP("APT",Controls!A:K,10,0),"")</f>
        <v>ST Pharm</v>
      </c>
      <c r="S1764" s="41">
        <f t="shared" si="192"/>
        <v>50465</v>
      </c>
      <c r="T1764" s="30">
        <f t="shared" si="193"/>
        <v>0</v>
      </c>
      <c r="AB1764">
        <f t="shared" si="195"/>
        <v>271.03999999999996</v>
      </c>
    </row>
    <row r="1765" spans="1:28" ht="13" customHeight="1" x14ac:dyDescent="0.35">
      <c r="A1765" s="153">
        <v>50618</v>
      </c>
      <c r="B1765" s="36" t="s">
        <v>58</v>
      </c>
      <c r="C1765" s="15" t="s">
        <v>52</v>
      </c>
      <c r="D1765" s="15" t="s">
        <v>48</v>
      </c>
      <c r="E1765" s="30">
        <f>H1764</f>
        <v>89.81</v>
      </c>
      <c r="F1765" s="37">
        <f>IFERROR('Production Inputs'!$FF$37*Dependencies!$D$19,0)</f>
        <v>0</v>
      </c>
      <c r="G1765" s="37">
        <f t="array" ref="G1765">IFERROR(SUMPRODUCT(('Production Inputs'!$A:$A="APT")*('Production Inputs'!$B:$B="TOTAL ACTIVE")*'Production Inputs'!$FF:$FF),0)</f>
        <v>0</v>
      </c>
      <c r="H1765" s="30">
        <f t="shared" si="189"/>
        <v>89.81</v>
      </c>
      <c r="I1765" s="30">
        <f ca="1">IFERROR(AVERAGEIF(OFFSET(F1765,0,0,MIN(Controls!$B$8,COUNTIF(B1765:B$1973,B1765)),1),"&gt;"&amp;0),0)</f>
        <v>0</v>
      </c>
      <c r="J1765" s="38">
        <f t="shared" ca="1" si="190"/>
        <v>999</v>
      </c>
      <c r="K1765" s="30">
        <f t="shared" ca="1" si="194"/>
        <v>0</v>
      </c>
      <c r="L1765" t="str">
        <f t="shared" ca="1" si="191"/>
        <v>Overstock</v>
      </c>
      <c r="M1765" s="39">
        <f>IFERROR(VLOOKUP("APT",Controls!A:I,7,0),6)</f>
        <v>4</v>
      </c>
      <c r="N1765" s="39">
        <f>IFERROR(VLOOKUP("APT",Controls!A:I,8,0),3)</f>
        <v>3</v>
      </c>
      <c r="O1765" s="39">
        <f>IFERROR(VLOOKUP("APT",Controls!A:I,9,0),18)</f>
        <v>12</v>
      </c>
      <c r="P1765" s="40">
        <f>IFERROR(VLOOKUP("APT",Controls!A:J,5,0),0)</f>
        <v>165</v>
      </c>
      <c r="Q1765" s="39">
        <f>IFERROR(VLOOKUP("APT",Controls!A:J,6,0),3)</f>
        <v>4</v>
      </c>
      <c r="R1765" s="21" t="str">
        <f>IFERROR(VLOOKUP("APT",Controls!A:K,10,0),"")</f>
        <v>ST Pharm</v>
      </c>
      <c r="S1765" s="41">
        <f t="shared" si="192"/>
        <v>50496</v>
      </c>
      <c r="T1765" s="30">
        <f t="shared" si="193"/>
        <v>0</v>
      </c>
      <c r="AB1765">
        <f t="shared" si="195"/>
        <v>271.03999999999996</v>
      </c>
    </row>
    <row r="1766" spans="1:28" ht="13" customHeight="1" x14ac:dyDescent="0.35">
      <c r="A1766" s="153">
        <v>50649</v>
      </c>
      <c r="B1766" s="36" t="s">
        <v>58</v>
      </c>
      <c r="C1766" s="15" t="s">
        <v>52</v>
      </c>
      <c r="D1766" s="15" t="s">
        <v>48</v>
      </c>
      <c r="E1766" s="30">
        <f>H1765</f>
        <v>89.81</v>
      </c>
      <c r="F1766" s="37">
        <f>IFERROR('Production Inputs'!$FG$37*Dependencies!$D$19,0)</f>
        <v>0</v>
      </c>
      <c r="G1766" s="37">
        <f t="array" ref="G1766">IFERROR(SUMPRODUCT(('Production Inputs'!$A:$A="APT")*('Production Inputs'!$B:$B="TOTAL ACTIVE")*'Production Inputs'!$FG:$FG),0)</f>
        <v>0</v>
      </c>
      <c r="H1766" s="30">
        <f t="shared" si="189"/>
        <v>89.81</v>
      </c>
      <c r="I1766" s="30">
        <f ca="1">IFERROR(AVERAGEIF(OFFSET(F1766,0,0,MIN(Controls!$B$8,COUNTIF(B1766:B$1973,B1766)),1),"&gt;"&amp;0),0)</f>
        <v>0</v>
      </c>
      <c r="J1766" s="38">
        <f t="shared" ca="1" si="190"/>
        <v>999</v>
      </c>
      <c r="K1766" s="30">
        <f t="shared" ca="1" si="194"/>
        <v>0</v>
      </c>
      <c r="L1766" t="str">
        <f t="shared" ca="1" si="191"/>
        <v>Overstock</v>
      </c>
      <c r="M1766" s="39">
        <f>IFERROR(VLOOKUP("APT",Controls!A:I,7,0),6)</f>
        <v>4</v>
      </c>
      <c r="N1766" s="39">
        <f>IFERROR(VLOOKUP("APT",Controls!A:I,8,0),3)</f>
        <v>3</v>
      </c>
      <c r="O1766" s="39">
        <f>IFERROR(VLOOKUP("APT",Controls!A:I,9,0),18)</f>
        <v>12</v>
      </c>
      <c r="P1766" s="40">
        <f>IFERROR(VLOOKUP("APT",Controls!A:J,5,0),0)</f>
        <v>165</v>
      </c>
      <c r="Q1766" s="39">
        <f>IFERROR(VLOOKUP("APT",Controls!A:J,6,0),3)</f>
        <v>4</v>
      </c>
      <c r="R1766" s="21" t="str">
        <f>IFERROR(VLOOKUP("APT",Controls!A:K,10,0),"")</f>
        <v>ST Pharm</v>
      </c>
      <c r="S1766" s="41">
        <f t="shared" si="192"/>
        <v>50526</v>
      </c>
      <c r="T1766" s="30">
        <f t="shared" si="193"/>
        <v>0</v>
      </c>
      <c r="AB1766">
        <f t="shared" si="195"/>
        <v>271.03999999999996</v>
      </c>
    </row>
    <row r="1767" spans="1:28" ht="13" customHeight="1" x14ac:dyDescent="0.35">
      <c r="A1767" s="153">
        <v>50679</v>
      </c>
      <c r="B1767" s="36" t="s">
        <v>58</v>
      </c>
      <c r="C1767" s="15" t="s">
        <v>52</v>
      </c>
      <c r="D1767" s="15" t="s">
        <v>48</v>
      </c>
      <c r="E1767" s="30">
        <f>H1766</f>
        <v>89.81</v>
      </c>
      <c r="F1767" s="37">
        <f>IFERROR('Production Inputs'!$FH$37*Dependencies!$D$19,0)</f>
        <v>0</v>
      </c>
      <c r="G1767" s="37">
        <f t="array" ref="G1767">IFERROR(SUMPRODUCT(('Production Inputs'!$A:$A="APT")*('Production Inputs'!$B:$B="TOTAL ACTIVE")*'Production Inputs'!$FH:$FH),0)</f>
        <v>0</v>
      </c>
      <c r="H1767" s="30">
        <f t="shared" si="189"/>
        <v>89.81</v>
      </c>
      <c r="I1767" s="30">
        <f ca="1">IFERROR(AVERAGEIF(OFFSET(F1767,0,0,MIN(Controls!$B$8,COUNTIF(B1767:B$1973,B1767)),1),"&gt;"&amp;0),0)</f>
        <v>0</v>
      </c>
      <c r="J1767" s="38">
        <f t="shared" ca="1" si="190"/>
        <v>999</v>
      </c>
      <c r="K1767" s="30">
        <f t="shared" ca="1" si="194"/>
        <v>0</v>
      </c>
      <c r="L1767" t="str">
        <f t="shared" ca="1" si="191"/>
        <v>Overstock</v>
      </c>
      <c r="M1767" s="39">
        <f>IFERROR(VLOOKUP("APT",Controls!A:I,7,0),6)</f>
        <v>4</v>
      </c>
      <c r="N1767" s="39">
        <f>IFERROR(VLOOKUP("APT",Controls!A:I,8,0),3)</f>
        <v>3</v>
      </c>
      <c r="O1767" s="39">
        <f>IFERROR(VLOOKUP("APT",Controls!A:I,9,0),18)</f>
        <v>12</v>
      </c>
      <c r="P1767" s="40">
        <f>IFERROR(VLOOKUP("APT",Controls!A:J,5,0),0)</f>
        <v>165</v>
      </c>
      <c r="Q1767" s="39">
        <f>IFERROR(VLOOKUP("APT",Controls!A:J,6,0),3)</f>
        <v>4</v>
      </c>
      <c r="R1767" s="21" t="str">
        <f>IFERROR(VLOOKUP("APT",Controls!A:K,10,0),"")</f>
        <v>ST Pharm</v>
      </c>
      <c r="S1767" s="41">
        <f t="shared" si="192"/>
        <v>50557</v>
      </c>
      <c r="T1767" s="30">
        <f t="shared" si="193"/>
        <v>0</v>
      </c>
      <c r="AB1767">
        <f t="shared" si="195"/>
        <v>271.03999999999996</v>
      </c>
    </row>
    <row r="1768" spans="1:28" ht="13" customHeight="1" x14ac:dyDescent="0.35">
      <c r="A1768" s="153">
        <v>50710</v>
      </c>
      <c r="B1768" s="36" t="s">
        <v>58</v>
      </c>
      <c r="C1768" s="15" t="s">
        <v>52</v>
      </c>
      <c r="D1768" s="15" t="s">
        <v>48</v>
      </c>
      <c r="E1768" s="30">
        <f>H1767</f>
        <v>89.81</v>
      </c>
      <c r="F1768" s="37">
        <f>IFERROR('Production Inputs'!$FI$37*Dependencies!$D$19,0)</f>
        <v>0</v>
      </c>
      <c r="G1768" s="37">
        <f t="array" ref="G1768">IFERROR(SUMPRODUCT(('Production Inputs'!$A:$A="APT")*('Production Inputs'!$B:$B="TOTAL ACTIVE")*'Production Inputs'!$FI:$FI),0)</f>
        <v>0</v>
      </c>
      <c r="H1768" s="30">
        <f t="shared" si="189"/>
        <v>89.81</v>
      </c>
      <c r="I1768" s="30">
        <f ca="1">IFERROR(AVERAGEIF(OFFSET(F1768,0,0,MIN(Controls!$B$8,COUNTIF(B1768:B$1973,B1768)),1),"&gt;"&amp;0),0)</f>
        <v>0</v>
      </c>
      <c r="J1768" s="38">
        <f t="shared" ca="1" si="190"/>
        <v>999</v>
      </c>
      <c r="K1768" s="30">
        <f t="shared" ca="1" si="194"/>
        <v>0</v>
      </c>
      <c r="L1768" t="str">
        <f t="shared" ca="1" si="191"/>
        <v>Overstock</v>
      </c>
      <c r="M1768" s="39">
        <f>IFERROR(VLOOKUP("APT",Controls!A:I,7,0),6)</f>
        <v>4</v>
      </c>
      <c r="N1768" s="39">
        <f>IFERROR(VLOOKUP("APT",Controls!A:I,8,0),3)</f>
        <v>3</v>
      </c>
      <c r="O1768" s="39">
        <f>IFERROR(VLOOKUP("APT",Controls!A:I,9,0),18)</f>
        <v>12</v>
      </c>
      <c r="P1768" s="40">
        <f>IFERROR(VLOOKUP("APT",Controls!A:J,5,0),0)</f>
        <v>165</v>
      </c>
      <c r="Q1768" s="39">
        <f>IFERROR(VLOOKUP("APT",Controls!A:J,6,0),3)</f>
        <v>4</v>
      </c>
      <c r="R1768" s="21" t="str">
        <f>IFERROR(VLOOKUP("APT",Controls!A:K,10,0),"")</f>
        <v>ST Pharm</v>
      </c>
      <c r="S1768" s="41">
        <f t="shared" si="192"/>
        <v>50587</v>
      </c>
      <c r="T1768" s="30">
        <f t="shared" si="193"/>
        <v>0</v>
      </c>
      <c r="AB1768">
        <f t="shared" si="195"/>
        <v>271.03999999999996</v>
      </c>
    </row>
    <row r="1769" spans="1:28" ht="13" customHeight="1" x14ac:dyDescent="0.35">
      <c r="A1769" s="153">
        <v>50740</v>
      </c>
      <c r="B1769" s="36" t="s">
        <v>58</v>
      </c>
      <c r="C1769" s="15" t="s">
        <v>52</v>
      </c>
      <c r="D1769" s="15" t="s">
        <v>48</v>
      </c>
      <c r="E1769" s="30">
        <f>H1768</f>
        <v>89.81</v>
      </c>
      <c r="F1769" s="37">
        <f>IFERROR('Production Inputs'!$FJ$37*Dependencies!$D$19,0)</f>
        <v>0</v>
      </c>
      <c r="G1769" s="37">
        <f t="array" ref="G1769">IFERROR(SUMPRODUCT(('Production Inputs'!$A:$A="APT")*('Production Inputs'!$B:$B="TOTAL ACTIVE")*'Production Inputs'!$FJ:$FJ),0)</f>
        <v>0</v>
      </c>
      <c r="H1769" s="30">
        <f t="shared" si="189"/>
        <v>89.81</v>
      </c>
      <c r="I1769" s="30">
        <f ca="1">IFERROR(AVERAGEIF(OFFSET(F1769,0,0,MIN(Controls!$B$8,COUNTIF(B1769:B$1973,B1769)),1),"&gt;"&amp;0),0)</f>
        <v>0</v>
      </c>
      <c r="J1769" s="38">
        <f t="shared" ca="1" si="190"/>
        <v>999</v>
      </c>
      <c r="K1769" s="30">
        <f t="shared" ca="1" si="194"/>
        <v>0</v>
      </c>
      <c r="L1769" t="str">
        <f t="shared" ca="1" si="191"/>
        <v>Overstock</v>
      </c>
      <c r="M1769" s="39">
        <f>IFERROR(VLOOKUP("APT",Controls!A:I,7,0),6)</f>
        <v>4</v>
      </c>
      <c r="N1769" s="39">
        <f>IFERROR(VLOOKUP("APT",Controls!A:I,8,0),3)</f>
        <v>3</v>
      </c>
      <c r="O1769" s="39">
        <f>IFERROR(VLOOKUP("APT",Controls!A:I,9,0),18)</f>
        <v>12</v>
      </c>
      <c r="P1769" s="40">
        <f>IFERROR(VLOOKUP("APT",Controls!A:J,5,0),0)</f>
        <v>165</v>
      </c>
      <c r="Q1769" s="39">
        <f>IFERROR(VLOOKUP("APT",Controls!A:J,6,0),3)</f>
        <v>4</v>
      </c>
      <c r="R1769" s="21" t="str">
        <f>IFERROR(VLOOKUP("APT",Controls!A:K,10,0),"")</f>
        <v>ST Pharm</v>
      </c>
      <c r="S1769" s="41">
        <f t="shared" si="192"/>
        <v>50618</v>
      </c>
      <c r="T1769" s="30">
        <f t="shared" si="193"/>
        <v>0</v>
      </c>
      <c r="AB1769">
        <f t="shared" si="195"/>
        <v>271.03999999999996</v>
      </c>
    </row>
    <row r="1770" spans="1:28" ht="13" customHeight="1" x14ac:dyDescent="0.35">
      <c r="A1770" s="153">
        <v>50771</v>
      </c>
      <c r="B1770" s="36" t="s">
        <v>58</v>
      </c>
      <c r="C1770" s="15" t="s">
        <v>52</v>
      </c>
      <c r="D1770" s="15" t="s">
        <v>48</v>
      </c>
      <c r="E1770" s="30">
        <f>H1769</f>
        <v>89.81</v>
      </c>
      <c r="F1770" s="37">
        <f>IFERROR('Production Inputs'!$FK$37*Dependencies!$D$19,0)</f>
        <v>0</v>
      </c>
      <c r="G1770" s="37">
        <f t="array" ref="G1770">IFERROR(SUMPRODUCT(('Production Inputs'!$A:$A="APT")*('Production Inputs'!$B:$B="TOTAL ACTIVE")*'Production Inputs'!$FK:$FK),0)</f>
        <v>0</v>
      </c>
      <c r="H1770" s="30">
        <f t="shared" si="189"/>
        <v>89.81</v>
      </c>
      <c r="I1770" s="30">
        <f ca="1">IFERROR(AVERAGEIF(OFFSET(F1770,0,0,MIN(Controls!$B$8,COUNTIF(B1770:B$1973,B1770)),1),"&gt;"&amp;0),0)</f>
        <v>0</v>
      </c>
      <c r="J1770" s="38">
        <f t="shared" ca="1" si="190"/>
        <v>999</v>
      </c>
      <c r="K1770" s="30">
        <f t="shared" ca="1" si="194"/>
        <v>0</v>
      </c>
      <c r="L1770" t="str">
        <f t="shared" ca="1" si="191"/>
        <v>Overstock</v>
      </c>
      <c r="M1770" s="39">
        <f>IFERROR(VLOOKUP("APT",Controls!A:I,7,0),6)</f>
        <v>4</v>
      </c>
      <c r="N1770" s="39">
        <f>IFERROR(VLOOKUP("APT",Controls!A:I,8,0),3)</f>
        <v>3</v>
      </c>
      <c r="O1770" s="39">
        <f>IFERROR(VLOOKUP("APT",Controls!A:I,9,0),18)</f>
        <v>12</v>
      </c>
      <c r="P1770" s="40">
        <f>IFERROR(VLOOKUP("APT",Controls!A:J,5,0),0)</f>
        <v>165</v>
      </c>
      <c r="Q1770" s="39">
        <f>IFERROR(VLOOKUP("APT",Controls!A:J,6,0),3)</f>
        <v>4</v>
      </c>
      <c r="R1770" s="21" t="str">
        <f>IFERROR(VLOOKUP("APT",Controls!A:K,10,0),"")</f>
        <v>ST Pharm</v>
      </c>
      <c r="S1770" s="41">
        <f t="shared" si="192"/>
        <v>50649</v>
      </c>
      <c r="T1770" s="30">
        <f t="shared" si="193"/>
        <v>0</v>
      </c>
      <c r="AB1770">
        <f t="shared" si="195"/>
        <v>271.03999999999996</v>
      </c>
    </row>
    <row r="1771" spans="1:28" ht="13" customHeight="1" x14ac:dyDescent="0.35">
      <c r="A1771" s="153">
        <v>50802</v>
      </c>
      <c r="B1771" s="36" t="s">
        <v>58</v>
      </c>
      <c r="C1771" s="15" t="s">
        <v>52</v>
      </c>
      <c r="D1771" s="15" t="s">
        <v>48</v>
      </c>
      <c r="E1771" s="30">
        <f>H1770</f>
        <v>89.81</v>
      </c>
      <c r="F1771" s="37">
        <f>IFERROR('Production Inputs'!$FL$37*Dependencies!$D$19,0)</f>
        <v>0</v>
      </c>
      <c r="G1771" s="37">
        <f t="array" ref="G1771">IFERROR(SUMPRODUCT(('Production Inputs'!$A:$A="APT")*('Production Inputs'!$B:$B="TOTAL ACTIVE")*'Production Inputs'!$FL:$FL),0)</f>
        <v>0</v>
      </c>
      <c r="H1771" s="30">
        <f t="shared" si="189"/>
        <v>89.81</v>
      </c>
      <c r="I1771" s="30">
        <f ca="1">IFERROR(AVERAGEIF(OFFSET(F1771,0,0,MIN(Controls!$B$8,COUNTIF(B1771:B$1973,B1771)),1),"&gt;"&amp;0),0)</f>
        <v>0</v>
      </c>
      <c r="J1771" s="38">
        <f t="shared" ca="1" si="190"/>
        <v>999</v>
      </c>
      <c r="K1771" s="30">
        <f t="shared" ca="1" si="194"/>
        <v>0</v>
      </c>
      <c r="L1771" t="str">
        <f t="shared" ca="1" si="191"/>
        <v>Overstock</v>
      </c>
      <c r="M1771" s="39">
        <f>IFERROR(VLOOKUP("APT",Controls!A:I,7,0),6)</f>
        <v>4</v>
      </c>
      <c r="N1771" s="39">
        <f>IFERROR(VLOOKUP("APT",Controls!A:I,8,0),3)</f>
        <v>3</v>
      </c>
      <c r="O1771" s="39">
        <f>IFERROR(VLOOKUP("APT",Controls!A:I,9,0),18)</f>
        <v>12</v>
      </c>
      <c r="P1771" s="40">
        <f>IFERROR(VLOOKUP("APT",Controls!A:J,5,0),0)</f>
        <v>165</v>
      </c>
      <c r="Q1771" s="39">
        <f>IFERROR(VLOOKUP("APT",Controls!A:J,6,0),3)</f>
        <v>4</v>
      </c>
      <c r="R1771" s="21" t="str">
        <f>IFERROR(VLOOKUP("APT",Controls!A:K,10,0),"")</f>
        <v>ST Pharm</v>
      </c>
      <c r="S1771" s="41">
        <f t="shared" si="192"/>
        <v>50679</v>
      </c>
      <c r="T1771" s="30">
        <f t="shared" si="193"/>
        <v>0</v>
      </c>
      <c r="AB1771">
        <f t="shared" si="195"/>
        <v>271.03999999999996</v>
      </c>
    </row>
    <row r="1772" spans="1:28" ht="13" customHeight="1" x14ac:dyDescent="0.35">
      <c r="A1772" s="153">
        <v>50830</v>
      </c>
      <c r="B1772" s="36" t="s">
        <v>58</v>
      </c>
      <c r="C1772" s="15" t="s">
        <v>52</v>
      </c>
      <c r="D1772" s="15" t="s">
        <v>48</v>
      </c>
      <c r="E1772" s="30">
        <f>H1771</f>
        <v>89.81</v>
      </c>
      <c r="F1772" s="37">
        <f>IFERROR('Production Inputs'!$FM$37*Dependencies!$D$19,0)</f>
        <v>0</v>
      </c>
      <c r="G1772" s="37">
        <f t="array" ref="G1772">IFERROR(SUMPRODUCT(('Production Inputs'!$A:$A="APT")*('Production Inputs'!$B:$B="TOTAL ACTIVE")*'Production Inputs'!$FM:$FM),0)</f>
        <v>0</v>
      </c>
      <c r="H1772" s="30">
        <f t="shared" si="189"/>
        <v>89.81</v>
      </c>
      <c r="I1772" s="30">
        <f ca="1">IFERROR(AVERAGEIF(OFFSET(F1772,0,0,MIN(Controls!$B$8,COUNTIF(B1772:B$1973,B1772)),1),"&gt;"&amp;0),0)</f>
        <v>0</v>
      </c>
      <c r="J1772" s="38">
        <f t="shared" ca="1" si="190"/>
        <v>999</v>
      </c>
      <c r="K1772" s="30">
        <f t="shared" ca="1" si="194"/>
        <v>0</v>
      </c>
      <c r="L1772" t="str">
        <f t="shared" ca="1" si="191"/>
        <v>Overstock</v>
      </c>
      <c r="M1772" s="39">
        <f>IFERROR(VLOOKUP("APT",Controls!A:I,7,0),6)</f>
        <v>4</v>
      </c>
      <c r="N1772" s="39">
        <f>IFERROR(VLOOKUP("APT",Controls!A:I,8,0),3)</f>
        <v>3</v>
      </c>
      <c r="O1772" s="39">
        <f>IFERROR(VLOOKUP("APT",Controls!A:I,9,0),18)</f>
        <v>12</v>
      </c>
      <c r="P1772" s="40">
        <f>IFERROR(VLOOKUP("APT",Controls!A:J,5,0),0)</f>
        <v>165</v>
      </c>
      <c r="Q1772" s="39">
        <f>IFERROR(VLOOKUP("APT",Controls!A:J,6,0),3)</f>
        <v>4</v>
      </c>
      <c r="R1772" s="21" t="str">
        <f>IFERROR(VLOOKUP("APT",Controls!A:K,10,0),"")</f>
        <v>ST Pharm</v>
      </c>
      <c r="S1772" s="41">
        <f t="shared" si="192"/>
        <v>50710</v>
      </c>
      <c r="T1772" s="30">
        <f t="shared" si="193"/>
        <v>0</v>
      </c>
      <c r="AB1772">
        <f t="shared" si="195"/>
        <v>271.03999999999996</v>
      </c>
    </row>
    <row r="1773" spans="1:28" ht="13" customHeight="1" x14ac:dyDescent="0.35">
      <c r="A1773" s="153">
        <v>50861</v>
      </c>
      <c r="B1773" s="36" t="s">
        <v>58</v>
      </c>
      <c r="C1773" s="15" t="s">
        <v>52</v>
      </c>
      <c r="D1773" s="15" t="s">
        <v>48</v>
      </c>
      <c r="E1773" s="30">
        <f>H1772</f>
        <v>89.81</v>
      </c>
      <c r="F1773" s="37">
        <f>IFERROR('Production Inputs'!$FN$37*Dependencies!$D$19,0)</f>
        <v>0</v>
      </c>
      <c r="G1773" s="37">
        <f t="array" ref="G1773">IFERROR(SUMPRODUCT(('Production Inputs'!$A:$A="APT")*('Production Inputs'!$B:$B="TOTAL ACTIVE")*'Production Inputs'!$FN:$FN),0)</f>
        <v>0</v>
      </c>
      <c r="H1773" s="30">
        <f t="shared" si="189"/>
        <v>89.81</v>
      </c>
      <c r="I1773" s="30">
        <f ca="1">IFERROR(AVERAGEIF(OFFSET(F1773,0,0,MIN(Controls!$B$8,COUNTIF(B1773:B$1973,B1773)),1),"&gt;"&amp;0),0)</f>
        <v>0</v>
      </c>
      <c r="J1773" s="38">
        <f t="shared" ca="1" si="190"/>
        <v>999</v>
      </c>
      <c r="K1773" s="30">
        <f t="shared" ca="1" si="194"/>
        <v>0</v>
      </c>
      <c r="L1773" t="str">
        <f t="shared" ca="1" si="191"/>
        <v>Overstock</v>
      </c>
      <c r="M1773" s="39">
        <f>IFERROR(VLOOKUP("APT",Controls!A:I,7,0),6)</f>
        <v>4</v>
      </c>
      <c r="N1773" s="39">
        <f>IFERROR(VLOOKUP("APT",Controls!A:I,8,0),3)</f>
        <v>3</v>
      </c>
      <c r="O1773" s="39">
        <f>IFERROR(VLOOKUP("APT",Controls!A:I,9,0),18)</f>
        <v>12</v>
      </c>
      <c r="P1773" s="40">
        <f>IFERROR(VLOOKUP("APT",Controls!A:J,5,0),0)</f>
        <v>165</v>
      </c>
      <c r="Q1773" s="39">
        <f>IFERROR(VLOOKUP("APT",Controls!A:J,6,0),3)</f>
        <v>4</v>
      </c>
      <c r="R1773" s="21" t="str">
        <f>IFERROR(VLOOKUP("APT",Controls!A:K,10,0),"")</f>
        <v>ST Pharm</v>
      </c>
      <c r="S1773" s="41">
        <f t="shared" si="192"/>
        <v>50740</v>
      </c>
      <c r="T1773" s="30">
        <f t="shared" si="193"/>
        <v>0</v>
      </c>
      <c r="AB1773">
        <f t="shared" si="195"/>
        <v>271.03999999999996</v>
      </c>
    </row>
    <row r="1774" spans="1:28" ht="13" customHeight="1" x14ac:dyDescent="0.35">
      <c r="A1774" s="153">
        <v>50891</v>
      </c>
      <c r="B1774" s="36" t="s">
        <v>58</v>
      </c>
      <c r="C1774" s="15" t="s">
        <v>52</v>
      </c>
      <c r="D1774" s="15" t="s">
        <v>48</v>
      </c>
      <c r="E1774" s="30">
        <f>H1773</f>
        <v>89.81</v>
      </c>
      <c r="F1774" s="37">
        <f>IFERROR('Production Inputs'!$FO$37*Dependencies!$D$19,0)</f>
        <v>0</v>
      </c>
      <c r="G1774" s="37">
        <f t="array" ref="G1774">IFERROR(SUMPRODUCT(('Production Inputs'!$A:$A="APT")*('Production Inputs'!$B:$B="TOTAL ACTIVE")*'Production Inputs'!$FO:$FO),0)</f>
        <v>0</v>
      </c>
      <c r="H1774" s="30">
        <f t="shared" si="189"/>
        <v>89.81</v>
      </c>
      <c r="I1774" s="30">
        <f ca="1">IFERROR(AVERAGEIF(OFFSET(F1774,0,0,MIN(Controls!$B$8,COUNTIF(B1774:B$1973,B1774)),1),"&gt;"&amp;0),0)</f>
        <v>0</v>
      </c>
      <c r="J1774" s="38">
        <f t="shared" ca="1" si="190"/>
        <v>999</v>
      </c>
      <c r="K1774" s="30">
        <f t="shared" ca="1" si="194"/>
        <v>0</v>
      </c>
      <c r="L1774" t="str">
        <f t="shared" ca="1" si="191"/>
        <v>Overstock</v>
      </c>
      <c r="M1774" s="39">
        <f>IFERROR(VLOOKUP("APT",Controls!A:I,7,0),6)</f>
        <v>4</v>
      </c>
      <c r="N1774" s="39">
        <f>IFERROR(VLOOKUP("APT",Controls!A:I,8,0),3)</f>
        <v>3</v>
      </c>
      <c r="O1774" s="39">
        <f>IFERROR(VLOOKUP("APT",Controls!A:I,9,0),18)</f>
        <v>12</v>
      </c>
      <c r="P1774" s="40">
        <f>IFERROR(VLOOKUP("APT",Controls!A:J,5,0),0)</f>
        <v>165</v>
      </c>
      <c r="Q1774" s="39">
        <f>IFERROR(VLOOKUP("APT",Controls!A:J,6,0),3)</f>
        <v>4</v>
      </c>
      <c r="R1774" s="21" t="str">
        <f>IFERROR(VLOOKUP("APT",Controls!A:K,10,0),"")</f>
        <v>ST Pharm</v>
      </c>
      <c r="S1774" s="41">
        <f t="shared" si="192"/>
        <v>50771</v>
      </c>
      <c r="T1774" s="30">
        <f t="shared" si="193"/>
        <v>0</v>
      </c>
      <c r="AB1774">
        <f t="shared" si="195"/>
        <v>271.03999999999996</v>
      </c>
    </row>
    <row r="1775" spans="1:28" ht="13" customHeight="1" x14ac:dyDescent="0.35">
      <c r="A1775" s="153">
        <v>50922</v>
      </c>
      <c r="B1775" s="36" t="s">
        <v>58</v>
      </c>
      <c r="C1775" s="15" t="s">
        <v>52</v>
      </c>
      <c r="D1775" s="15" t="s">
        <v>48</v>
      </c>
      <c r="E1775" s="30">
        <f>H1774</f>
        <v>89.81</v>
      </c>
      <c r="F1775" s="37">
        <f>IFERROR('Production Inputs'!$FP$37*Dependencies!$D$19,0)</f>
        <v>0</v>
      </c>
      <c r="G1775" s="37">
        <f t="array" ref="G1775">IFERROR(SUMPRODUCT(('Production Inputs'!$A:$A="APT")*('Production Inputs'!$B:$B="TOTAL ACTIVE")*'Production Inputs'!$FP:$FP),0)</f>
        <v>0</v>
      </c>
      <c r="H1775" s="30">
        <f t="shared" si="189"/>
        <v>89.81</v>
      </c>
      <c r="I1775" s="30">
        <f ca="1">IFERROR(AVERAGEIF(OFFSET(F1775,0,0,MIN(Controls!$B$8,COUNTIF(B1775:B$1973,B1775)),1),"&gt;"&amp;0),0)</f>
        <v>0</v>
      </c>
      <c r="J1775" s="38">
        <f t="shared" ca="1" si="190"/>
        <v>999</v>
      </c>
      <c r="K1775" s="30">
        <f t="shared" ca="1" si="194"/>
        <v>0</v>
      </c>
      <c r="L1775" t="str">
        <f t="shared" ca="1" si="191"/>
        <v>Overstock</v>
      </c>
      <c r="M1775" s="39">
        <f>IFERROR(VLOOKUP("APT",Controls!A:I,7,0),6)</f>
        <v>4</v>
      </c>
      <c r="N1775" s="39">
        <f>IFERROR(VLOOKUP("APT",Controls!A:I,8,0),3)</f>
        <v>3</v>
      </c>
      <c r="O1775" s="39">
        <f>IFERROR(VLOOKUP("APT",Controls!A:I,9,0),18)</f>
        <v>12</v>
      </c>
      <c r="P1775" s="40">
        <f>IFERROR(VLOOKUP("APT",Controls!A:J,5,0),0)</f>
        <v>165</v>
      </c>
      <c r="Q1775" s="39">
        <f>IFERROR(VLOOKUP("APT",Controls!A:J,6,0),3)</f>
        <v>4</v>
      </c>
      <c r="R1775" s="21" t="str">
        <f>IFERROR(VLOOKUP("APT",Controls!A:K,10,0),"")</f>
        <v>ST Pharm</v>
      </c>
      <c r="S1775" s="41">
        <f t="shared" si="192"/>
        <v>50802</v>
      </c>
      <c r="T1775" s="30">
        <f t="shared" si="193"/>
        <v>0</v>
      </c>
      <c r="AB1775">
        <f t="shared" si="195"/>
        <v>271.03999999999996</v>
      </c>
    </row>
    <row r="1776" spans="1:28" ht="13" customHeight="1" x14ac:dyDescent="0.35">
      <c r="A1776" s="153">
        <v>50952</v>
      </c>
      <c r="B1776" s="36" t="s">
        <v>58</v>
      </c>
      <c r="C1776" s="15" t="s">
        <v>52</v>
      </c>
      <c r="D1776" s="15" t="s">
        <v>48</v>
      </c>
      <c r="E1776" s="30">
        <f>H1775</f>
        <v>89.81</v>
      </c>
      <c r="F1776" s="37">
        <f>IFERROR('Production Inputs'!$FQ$37*Dependencies!$D$19,0)</f>
        <v>0</v>
      </c>
      <c r="G1776" s="37">
        <f t="array" ref="G1776">IFERROR(SUMPRODUCT(('Production Inputs'!$A:$A="APT")*('Production Inputs'!$B:$B="TOTAL ACTIVE")*'Production Inputs'!$FQ:$FQ),0)</f>
        <v>0</v>
      </c>
      <c r="H1776" s="30">
        <f t="shared" si="189"/>
        <v>89.81</v>
      </c>
      <c r="I1776" s="30">
        <f ca="1">IFERROR(AVERAGEIF(OFFSET(F1776,0,0,MIN(Controls!$B$8,COUNTIF(B1776:B$1973,B1776)),1),"&gt;"&amp;0),0)</f>
        <v>0</v>
      </c>
      <c r="J1776" s="38">
        <f t="shared" ca="1" si="190"/>
        <v>999</v>
      </c>
      <c r="K1776" s="30">
        <f t="shared" ca="1" si="194"/>
        <v>0</v>
      </c>
      <c r="L1776" t="str">
        <f t="shared" ca="1" si="191"/>
        <v>Overstock</v>
      </c>
      <c r="M1776" s="39">
        <f>IFERROR(VLOOKUP("APT",Controls!A:I,7,0),6)</f>
        <v>4</v>
      </c>
      <c r="N1776" s="39">
        <f>IFERROR(VLOOKUP("APT",Controls!A:I,8,0),3)</f>
        <v>3</v>
      </c>
      <c r="O1776" s="39">
        <f>IFERROR(VLOOKUP("APT",Controls!A:I,9,0),18)</f>
        <v>12</v>
      </c>
      <c r="P1776" s="40">
        <f>IFERROR(VLOOKUP("APT",Controls!A:J,5,0),0)</f>
        <v>165</v>
      </c>
      <c r="Q1776" s="39">
        <f>IFERROR(VLOOKUP("APT",Controls!A:J,6,0),3)</f>
        <v>4</v>
      </c>
      <c r="R1776" s="21" t="str">
        <f>IFERROR(VLOOKUP("APT",Controls!A:K,10,0),"")</f>
        <v>ST Pharm</v>
      </c>
      <c r="S1776" s="41">
        <f t="shared" si="192"/>
        <v>50830</v>
      </c>
      <c r="T1776" s="30">
        <f t="shared" si="193"/>
        <v>0</v>
      </c>
      <c r="AB1776">
        <f t="shared" si="195"/>
        <v>271.03999999999996</v>
      </c>
    </row>
    <row r="1777" spans="1:28" ht="13" customHeight="1" x14ac:dyDescent="0.35">
      <c r="A1777" s="153">
        <v>50983</v>
      </c>
      <c r="B1777" s="36" t="s">
        <v>58</v>
      </c>
      <c r="C1777" s="15" t="s">
        <v>52</v>
      </c>
      <c r="D1777" s="15" t="s">
        <v>48</v>
      </c>
      <c r="E1777" s="30">
        <f>H1776</f>
        <v>89.81</v>
      </c>
      <c r="F1777" s="37">
        <f>IFERROR('Production Inputs'!$FR$37*Dependencies!$D$19,0)</f>
        <v>0</v>
      </c>
      <c r="G1777" s="37">
        <f t="array" ref="G1777">IFERROR(SUMPRODUCT(('Production Inputs'!$A:$A="APT")*('Production Inputs'!$B:$B="TOTAL ACTIVE")*'Production Inputs'!$FR:$FR),0)</f>
        <v>0</v>
      </c>
      <c r="H1777" s="30">
        <f t="shared" si="189"/>
        <v>89.81</v>
      </c>
      <c r="I1777" s="30">
        <f ca="1">IFERROR(AVERAGEIF(OFFSET(F1777,0,0,MIN(Controls!$B$8,COUNTIF(B1777:B$1973,B1777)),1),"&gt;"&amp;0),0)</f>
        <v>0</v>
      </c>
      <c r="J1777" s="38">
        <f t="shared" ca="1" si="190"/>
        <v>999</v>
      </c>
      <c r="K1777" s="30">
        <f t="shared" ca="1" si="194"/>
        <v>0</v>
      </c>
      <c r="L1777" t="str">
        <f t="shared" ca="1" si="191"/>
        <v>Overstock</v>
      </c>
      <c r="M1777" s="39">
        <f>IFERROR(VLOOKUP("APT",Controls!A:I,7,0),6)</f>
        <v>4</v>
      </c>
      <c r="N1777" s="39">
        <f>IFERROR(VLOOKUP("APT",Controls!A:I,8,0),3)</f>
        <v>3</v>
      </c>
      <c r="O1777" s="39">
        <f>IFERROR(VLOOKUP("APT",Controls!A:I,9,0),18)</f>
        <v>12</v>
      </c>
      <c r="P1777" s="40">
        <f>IFERROR(VLOOKUP("APT",Controls!A:J,5,0),0)</f>
        <v>165</v>
      </c>
      <c r="Q1777" s="39">
        <f>IFERROR(VLOOKUP("APT",Controls!A:J,6,0),3)</f>
        <v>4</v>
      </c>
      <c r="R1777" s="21" t="str">
        <f>IFERROR(VLOOKUP("APT",Controls!A:K,10,0),"")</f>
        <v>ST Pharm</v>
      </c>
      <c r="S1777" s="41">
        <f t="shared" si="192"/>
        <v>50861</v>
      </c>
      <c r="T1777" s="30">
        <f t="shared" si="193"/>
        <v>0</v>
      </c>
      <c r="AB1777">
        <f t="shared" si="195"/>
        <v>271.03999999999996</v>
      </c>
    </row>
    <row r="1778" spans="1:28" ht="13" customHeight="1" x14ac:dyDescent="0.35">
      <c r="A1778" s="153">
        <v>51014</v>
      </c>
      <c r="B1778" s="36" t="s">
        <v>58</v>
      </c>
      <c r="C1778" s="15" t="s">
        <v>52</v>
      </c>
      <c r="D1778" s="15" t="s">
        <v>48</v>
      </c>
      <c r="E1778" s="30">
        <f>H1777</f>
        <v>89.81</v>
      </c>
      <c r="F1778" s="37">
        <f>IFERROR('Production Inputs'!$FS$37*Dependencies!$D$19,0)</f>
        <v>0</v>
      </c>
      <c r="G1778" s="37">
        <f t="array" ref="G1778">IFERROR(SUMPRODUCT(('Production Inputs'!$A:$A="APT")*('Production Inputs'!$B:$B="TOTAL ACTIVE")*'Production Inputs'!$FS:$FS),0)</f>
        <v>0</v>
      </c>
      <c r="H1778" s="30">
        <f t="shared" si="189"/>
        <v>89.81</v>
      </c>
      <c r="I1778" s="30">
        <f ca="1">IFERROR(AVERAGEIF(OFFSET(F1778,0,0,MIN(Controls!$B$8,COUNTIF(B1778:B$1973,B1778)),1),"&gt;"&amp;0),0)</f>
        <v>0</v>
      </c>
      <c r="J1778" s="38">
        <f t="shared" ca="1" si="190"/>
        <v>999</v>
      </c>
      <c r="K1778" s="30">
        <f t="shared" ca="1" si="194"/>
        <v>0</v>
      </c>
      <c r="L1778" t="str">
        <f t="shared" ca="1" si="191"/>
        <v>Overstock</v>
      </c>
      <c r="M1778" s="39">
        <f>IFERROR(VLOOKUP("APT",Controls!A:I,7,0),6)</f>
        <v>4</v>
      </c>
      <c r="N1778" s="39">
        <f>IFERROR(VLOOKUP("APT",Controls!A:I,8,0),3)</f>
        <v>3</v>
      </c>
      <c r="O1778" s="39">
        <f>IFERROR(VLOOKUP("APT",Controls!A:I,9,0),18)</f>
        <v>12</v>
      </c>
      <c r="P1778" s="40">
        <f>IFERROR(VLOOKUP("APT",Controls!A:J,5,0),0)</f>
        <v>165</v>
      </c>
      <c r="Q1778" s="39">
        <f>IFERROR(VLOOKUP("APT",Controls!A:J,6,0),3)</f>
        <v>4</v>
      </c>
      <c r="R1778" s="21" t="str">
        <f>IFERROR(VLOOKUP("APT",Controls!A:K,10,0),"")</f>
        <v>ST Pharm</v>
      </c>
      <c r="S1778" s="41">
        <f t="shared" si="192"/>
        <v>50891</v>
      </c>
      <c r="T1778" s="30">
        <f t="shared" si="193"/>
        <v>0</v>
      </c>
      <c r="AB1778">
        <f t="shared" si="195"/>
        <v>271.03999999999996</v>
      </c>
    </row>
    <row r="1779" spans="1:28" ht="13" customHeight="1" x14ac:dyDescent="0.35">
      <c r="A1779" s="153">
        <v>51044</v>
      </c>
      <c r="B1779" s="36" t="s">
        <v>58</v>
      </c>
      <c r="C1779" s="15" t="s">
        <v>52</v>
      </c>
      <c r="D1779" s="15" t="s">
        <v>48</v>
      </c>
      <c r="E1779" s="30">
        <f>H1778</f>
        <v>89.81</v>
      </c>
      <c r="F1779" s="37">
        <f>IFERROR('Production Inputs'!$FT$37*Dependencies!$D$19,0)</f>
        <v>0</v>
      </c>
      <c r="G1779" s="37">
        <f t="array" ref="G1779">IFERROR(SUMPRODUCT(('Production Inputs'!$A:$A="APT")*('Production Inputs'!$B:$B="TOTAL ACTIVE")*'Production Inputs'!$FT:$FT),0)</f>
        <v>0</v>
      </c>
      <c r="H1779" s="30">
        <f t="shared" si="189"/>
        <v>89.81</v>
      </c>
      <c r="I1779" s="30">
        <f ca="1">IFERROR(AVERAGEIF(OFFSET(F1779,0,0,MIN(Controls!$B$8,COUNTIF(B1779:B$1973,B1779)),1),"&gt;"&amp;0),0)</f>
        <v>0</v>
      </c>
      <c r="J1779" s="38">
        <f t="shared" ca="1" si="190"/>
        <v>999</v>
      </c>
      <c r="K1779" s="30">
        <f t="shared" ca="1" si="194"/>
        <v>0</v>
      </c>
      <c r="L1779" t="str">
        <f t="shared" ca="1" si="191"/>
        <v>Overstock</v>
      </c>
      <c r="M1779" s="39">
        <f>IFERROR(VLOOKUP("APT",Controls!A:I,7,0),6)</f>
        <v>4</v>
      </c>
      <c r="N1779" s="39">
        <f>IFERROR(VLOOKUP("APT",Controls!A:I,8,0),3)</f>
        <v>3</v>
      </c>
      <c r="O1779" s="39">
        <f>IFERROR(VLOOKUP("APT",Controls!A:I,9,0),18)</f>
        <v>12</v>
      </c>
      <c r="P1779" s="40">
        <f>IFERROR(VLOOKUP("APT",Controls!A:J,5,0),0)</f>
        <v>165</v>
      </c>
      <c r="Q1779" s="39">
        <f>IFERROR(VLOOKUP("APT",Controls!A:J,6,0),3)</f>
        <v>4</v>
      </c>
      <c r="R1779" s="21" t="str">
        <f>IFERROR(VLOOKUP("APT",Controls!A:K,10,0),"")</f>
        <v>ST Pharm</v>
      </c>
      <c r="S1779" s="41">
        <f t="shared" si="192"/>
        <v>50922</v>
      </c>
      <c r="T1779" s="30">
        <f t="shared" si="193"/>
        <v>0</v>
      </c>
      <c r="AB1779">
        <f t="shared" si="195"/>
        <v>271.03999999999996</v>
      </c>
    </row>
    <row r="1780" spans="1:28" ht="13" customHeight="1" x14ac:dyDescent="0.35">
      <c r="A1780" s="153">
        <v>51075</v>
      </c>
      <c r="B1780" s="36" t="s">
        <v>58</v>
      </c>
      <c r="C1780" s="15" t="s">
        <v>52</v>
      </c>
      <c r="D1780" s="15" t="s">
        <v>48</v>
      </c>
      <c r="E1780" s="30">
        <f>H1779</f>
        <v>89.81</v>
      </c>
      <c r="F1780" s="37">
        <f>IFERROR('Production Inputs'!$FU$37*Dependencies!$D$19,0)</f>
        <v>0</v>
      </c>
      <c r="G1780" s="37">
        <f t="array" ref="G1780">IFERROR(SUMPRODUCT(('Production Inputs'!$A:$A="APT")*('Production Inputs'!$B:$B="TOTAL ACTIVE")*'Production Inputs'!$FU:$FU),0)</f>
        <v>0</v>
      </c>
      <c r="H1780" s="30">
        <f t="shared" si="189"/>
        <v>89.81</v>
      </c>
      <c r="I1780" s="30">
        <f ca="1">IFERROR(AVERAGEIF(OFFSET(F1780,0,0,MIN(Controls!$B$8,COUNTIF(B1780:B$1973,B1780)),1),"&gt;"&amp;0),0)</f>
        <v>0</v>
      </c>
      <c r="J1780" s="38">
        <f t="shared" ca="1" si="190"/>
        <v>999</v>
      </c>
      <c r="K1780" s="30">
        <f t="shared" ca="1" si="194"/>
        <v>0</v>
      </c>
      <c r="L1780" t="str">
        <f t="shared" ca="1" si="191"/>
        <v>Overstock</v>
      </c>
      <c r="M1780" s="39">
        <f>IFERROR(VLOOKUP("APT",Controls!A:I,7,0),6)</f>
        <v>4</v>
      </c>
      <c r="N1780" s="39">
        <f>IFERROR(VLOOKUP("APT",Controls!A:I,8,0),3)</f>
        <v>3</v>
      </c>
      <c r="O1780" s="39">
        <f>IFERROR(VLOOKUP("APT",Controls!A:I,9,0),18)</f>
        <v>12</v>
      </c>
      <c r="P1780" s="40">
        <f>IFERROR(VLOOKUP("APT",Controls!A:J,5,0),0)</f>
        <v>165</v>
      </c>
      <c r="Q1780" s="39">
        <f>IFERROR(VLOOKUP("APT",Controls!A:J,6,0),3)</f>
        <v>4</v>
      </c>
      <c r="R1780" s="21" t="str">
        <f>IFERROR(VLOOKUP("APT",Controls!A:K,10,0),"")</f>
        <v>ST Pharm</v>
      </c>
      <c r="S1780" s="41">
        <f t="shared" si="192"/>
        <v>50952</v>
      </c>
      <c r="T1780" s="30">
        <f t="shared" si="193"/>
        <v>0</v>
      </c>
      <c r="AB1780">
        <f t="shared" si="195"/>
        <v>271.03999999999996</v>
      </c>
    </row>
    <row r="1781" spans="1:28" ht="13" customHeight="1" x14ac:dyDescent="0.35">
      <c r="A1781" s="153">
        <v>51105</v>
      </c>
      <c r="B1781" s="36" t="s">
        <v>58</v>
      </c>
      <c r="C1781" s="15" t="s">
        <v>52</v>
      </c>
      <c r="D1781" s="15" t="s">
        <v>48</v>
      </c>
      <c r="E1781" s="30">
        <f>H1780</f>
        <v>89.81</v>
      </c>
      <c r="F1781" s="37">
        <f>IFERROR('Production Inputs'!$FV$37*Dependencies!$D$19,0)</f>
        <v>0</v>
      </c>
      <c r="G1781" s="37">
        <f t="array" ref="G1781">IFERROR(SUMPRODUCT(('Production Inputs'!$A:$A="APT")*('Production Inputs'!$B:$B="TOTAL ACTIVE")*'Production Inputs'!$FV:$FV),0)</f>
        <v>0</v>
      </c>
      <c r="H1781" s="30">
        <f t="shared" si="189"/>
        <v>89.81</v>
      </c>
      <c r="I1781" s="30">
        <f ca="1">IFERROR(AVERAGEIF(OFFSET(F1781,0,0,MIN(Controls!$B$8,COUNTIF(B1781:B$1973,B1781)),1),"&gt;"&amp;0),0)</f>
        <v>0</v>
      </c>
      <c r="J1781" s="38">
        <f t="shared" ca="1" si="190"/>
        <v>999</v>
      </c>
      <c r="K1781" s="30">
        <f t="shared" ca="1" si="194"/>
        <v>0</v>
      </c>
      <c r="L1781" t="str">
        <f t="shared" ca="1" si="191"/>
        <v>Overstock</v>
      </c>
      <c r="M1781" s="39">
        <f>IFERROR(VLOOKUP("APT",Controls!A:I,7,0),6)</f>
        <v>4</v>
      </c>
      <c r="N1781" s="39">
        <f>IFERROR(VLOOKUP("APT",Controls!A:I,8,0),3)</f>
        <v>3</v>
      </c>
      <c r="O1781" s="39">
        <f>IFERROR(VLOOKUP("APT",Controls!A:I,9,0),18)</f>
        <v>12</v>
      </c>
      <c r="P1781" s="40">
        <f>IFERROR(VLOOKUP("APT",Controls!A:J,5,0),0)</f>
        <v>165</v>
      </c>
      <c r="Q1781" s="39">
        <f>IFERROR(VLOOKUP("APT",Controls!A:J,6,0),3)</f>
        <v>4</v>
      </c>
      <c r="R1781" s="21" t="str">
        <f>IFERROR(VLOOKUP("APT",Controls!A:K,10,0),"")</f>
        <v>ST Pharm</v>
      </c>
      <c r="S1781" s="41">
        <f t="shared" si="192"/>
        <v>50983</v>
      </c>
      <c r="T1781" s="30">
        <f t="shared" si="193"/>
        <v>0</v>
      </c>
      <c r="AB1781">
        <f t="shared" si="195"/>
        <v>271.03999999999996</v>
      </c>
    </row>
    <row r="1782" spans="1:28" ht="13" customHeight="1" x14ac:dyDescent="0.35">
      <c r="A1782" s="153">
        <v>51136</v>
      </c>
      <c r="B1782" s="36" t="s">
        <v>58</v>
      </c>
      <c r="C1782" s="15" t="s">
        <v>52</v>
      </c>
      <c r="D1782" s="15" t="s">
        <v>48</v>
      </c>
      <c r="E1782" s="30">
        <f>H1781</f>
        <v>89.81</v>
      </c>
      <c r="F1782" s="37">
        <f>IFERROR('Production Inputs'!$FW$37*Dependencies!$D$19,0)</f>
        <v>0</v>
      </c>
      <c r="G1782" s="37">
        <f t="array" ref="G1782">IFERROR(SUMPRODUCT(('Production Inputs'!$A:$A="APT")*('Production Inputs'!$B:$B="TOTAL ACTIVE")*'Production Inputs'!$FW:$FW),0)</f>
        <v>0</v>
      </c>
      <c r="H1782" s="30">
        <f t="shared" si="189"/>
        <v>89.81</v>
      </c>
      <c r="I1782" s="30">
        <f ca="1">IFERROR(AVERAGEIF(OFFSET(F1782,0,0,MIN(Controls!$B$8,COUNTIF(B1782:B$1973,B1782)),1),"&gt;"&amp;0),0)</f>
        <v>0</v>
      </c>
      <c r="J1782" s="38">
        <f t="shared" ca="1" si="190"/>
        <v>999</v>
      </c>
      <c r="K1782" s="30">
        <f t="shared" ca="1" si="194"/>
        <v>0</v>
      </c>
      <c r="L1782" t="str">
        <f t="shared" ca="1" si="191"/>
        <v>Overstock</v>
      </c>
      <c r="M1782" s="39">
        <f>IFERROR(VLOOKUP("APT",Controls!A:I,7,0),6)</f>
        <v>4</v>
      </c>
      <c r="N1782" s="39">
        <f>IFERROR(VLOOKUP("APT",Controls!A:I,8,0),3)</f>
        <v>3</v>
      </c>
      <c r="O1782" s="39">
        <f>IFERROR(VLOOKUP("APT",Controls!A:I,9,0),18)</f>
        <v>12</v>
      </c>
      <c r="P1782" s="40">
        <f>IFERROR(VLOOKUP("APT",Controls!A:J,5,0),0)</f>
        <v>165</v>
      </c>
      <c r="Q1782" s="39">
        <f>IFERROR(VLOOKUP("APT",Controls!A:J,6,0),3)</f>
        <v>4</v>
      </c>
      <c r="R1782" s="21" t="str">
        <f>IFERROR(VLOOKUP("APT",Controls!A:K,10,0),"")</f>
        <v>ST Pharm</v>
      </c>
      <c r="S1782" s="41">
        <f t="shared" si="192"/>
        <v>51014</v>
      </c>
      <c r="T1782" s="30">
        <f t="shared" si="193"/>
        <v>0</v>
      </c>
      <c r="AB1782">
        <f t="shared" si="195"/>
        <v>271.03999999999996</v>
      </c>
    </row>
    <row r="1783" spans="1:28" ht="13" customHeight="1" x14ac:dyDescent="0.35">
      <c r="A1783" s="153">
        <v>51167</v>
      </c>
      <c r="B1783" s="36" t="s">
        <v>58</v>
      </c>
      <c r="C1783" s="15" t="s">
        <v>52</v>
      </c>
      <c r="D1783" s="15" t="s">
        <v>48</v>
      </c>
      <c r="E1783" s="30">
        <f>H1782</f>
        <v>89.81</v>
      </c>
      <c r="F1783" s="37">
        <f>IFERROR('Production Inputs'!$FX$37*Dependencies!$D$19,0)</f>
        <v>0</v>
      </c>
      <c r="G1783" s="37">
        <f t="array" ref="G1783">IFERROR(SUMPRODUCT(('Production Inputs'!$A:$A="APT")*('Production Inputs'!$B:$B="TOTAL ACTIVE")*'Production Inputs'!$FX:$FX),0)</f>
        <v>0</v>
      </c>
      <c r="H1783" s="30">
        <f t="shared" si="189"/>
        <v>89.81</v>
      </c>
      <c r="I1783" s="30">
        <f ca="1">IFERROR(AVERAGEIF(OFFSET(F1783,0,0,MIN(Controls!$B$8,COUNTIF(B1783:B$1973,B1783)),1),"&gt;"&amp;0),0)</f>
        <v>0</v>
      </c>
      <c r="J1783" s="38">
        <f t="shared" ca="1" si="190"/>
        <v>999</v>
      </c>
      <c r="K1783" s="30">
        <f t="shared" ca="1" si="194"/>
        <v>0</v>
      </c>
      <c r="L1783" t="str">
        <f t="shared" ca="1" si="191"/>
        <v>Overstock</v>
      </c>
      <c r="M1783" s="39">
        <f>IFERROR(VLOOKUP("APT",Controls!A:I,7,0),6)</f>
        <v>4</v>
      </c>
      <c r="N1783" s="39">
        <f>IFERROR(VLOOKUP("APT",Controls!A:I,8,0),3)</f>
        <v>3</v>
      </c>
      <c r="O1783" s="39">
        <f>IFERROR(VLOOKUP("APT",Controls!A:I,9,0),18)</f>
        <v>12</v>
      </c>
      <c r="P1783" s="40">
        <f>IFERROR(VLOOKUP("APT",Controls!A:J,5,0),0)</f>
        <v>165</v>
      </c>
      <c r="Q1783" s="39">
        <f>IFERROR(VLOOKUP("APT",Controls!A:J,6,0),3)</f>
        <v>4</v>
      </c>
      <c r="R1783" s="21" t="str">
        <f>IFERROR(VLOOKUP("APT",Controls!A:K,10,0),"")</f>
        <v>ST Pharm</v>
      </c>
      <c r="S1783" s="41">
        <f t="shared" si="192"/>
        <v>51044</v>
      </c>
      <c r="T1783" s="30">
        <f t="shared" si="193"/>
        <v>0</v>
      </c>
      <c r="AB1783">
        <f t="shared" si="195"/>
        <v>271.03999999999996</v>
      </c>
    </row>
    <row r="1784" spans="1:28" ht="13" customHeight="1" x14ac:dyDescent="0.35">
      <c r="A1784" s="153">
        <v>51196</v>
      </c>
      <c r="B1784" s="36" t="s">
        <v>58</v>
      </c>
      <c r="C1784" s="15" t="s">
        <v>52</v>
      </c>
      <c r="D1784" s="15" t="s">
        <v>48</v>
      </c>
      <c r="E1784" s="30">
        <f>H1783</f>
        <v>89.81</v>
      </c>
      <c r="F1784" s="37">
        <f>IFERROR('Production Inputs'!$FY$37*Dependencies!$D$19,0)</f>
        <v>0</v>
      </c>
      <c r="G1784" s="37">
        <f t="array" ref="G1784">IFERROR(SUMPRODUCT(('Production Inputs'!$A:$A="APT")*('Production Inputs'!$B:$B="TOTAL ACTIVE")*'Production Inputs'!$FY:$FY),0)</f>
        <v>0</v>
      </c>
      <c r="H1784" s="30">
        <f t="shared" si="189"/>
        <v>89.81</v>
      </c>
      <c r="I1784" s="30">
        <f ca="1">IFERROR(AVERAGEIF(OFFSET(F1784,0,0,MIN(Controls!$B$8,COUNTIF(B1784:B$1973,B1784)),1),"&gt;"&amp;0),0)</f>
        <v>0</v>
      </c>
      <c r="J1784" s="38">
        <f t="shared" ca="1" si="190"/>
        <v>999</v>
      </c>
      <c r="K1784" s="30">
        <f t="shared" ca="1" si="194"/>
        <v>0</v>
      </c>
      <c r="L1784" t="str">
        <f t="shared" ca="1" si="191"/>
        <v>Overstock</v>
      </c>
      <c r="M1784" s="39">
        <f>IFERROR(VLOOKUP("APT",Controls!A:I,7,0),6)</f>
        <v>4</v>
      </c>
      <c r="N1784" s="39">
        <f>IFERROR(VLOOKUP("APT",Controls!A:I,8,0),3)</f>
        <v>3</v>
      </c>
      <c r="O1784" s="39">
        <f>IFERROR(VLOOKUP("APT",Controls!A:I,9,0),18)</f>
        <v>12</v>
      </c>
      <c r="P1784" s="40">
        <f>IFERROR(VLOOKUP("APT",Controls!A:J,5,0),0)</f>
        <v>165</v>
      </c>
      <c r="Q1784" s="39">
        <f>IFERROR(VLOOKUP("APT",Controls!A:J,6,0),3)</f>
        <v>4</v>
      </c>
      <c r="R1784" s="21" t="str">
        <f>IFERROR(VLOOKUP("APT",Controls!A:K,10,0),"")</f>
        <v>ST Pharm</v>
      </c>
      <c r="S1784" s="41">
        <f t="shared" si="192"/>
        <v>51075</v>
      </c>
      <c r="T1784" s="30">
        <f t="shared" si="193"/>
        <v>0</v>
      </c>
      <c r="AB1784">
        <f t="shared" si="195"/>
        <v>271.03999999999996</v>
      </c>
    </row>
    <row r="1785" spans="1:28" ht="13" customHeight="1" x14ac:dyDescent="0.35">
      <c r="A1785" s="153">
        <v>51227</v>
      </c>
      <c r="B1785" s="36" t="s">
        <v>58</v>
      </c>
      <c r="C1785" s="15" t="s">
        <v>52</v>
      </c>
      <c r="D1785" s="15" t="s">
        <v>48</v>
      </c>
      <c r="E1785" s="30">
        <f>H1784</f>
        <v>89.81</v>
      </c>
      <c r="F1785" s="37">
        <f>IFERROR('Production Inputs'!$FZ$37*Dependencies!$D$19,0)</f>
        <v>0</v>
      </c>
      <c r="G1785" s="37">
        <f t="array" ref="G1785">IFERROR(SUMPRODUCT(('Production Inputs'!$A:$A="APT")*('Production Inputs'!$B:$B="TOTAL ACTIVE")*'Production Inputs'!$FZ:$FZ),0)</f>
        <v>0</v>
      </c>
      <c r="H1785" s="30">
        <f t="shared" si="189"/>
        <v>89.81</v>
      </c>
      <c r="I1785" s="30">
        <f ca="1">IFERROR(AVERAGEIF(OFFSET(F1785,0,0,MIN(Controls!$B$8,COUNTIF(B1785:B$1973,B1785)),1),"&gt;"&amp;0),0)</f>
        <v>0</v>
      </c>
      <c r="J1785" s="38">
        <f t="shared" ca="1" si="190"/>
        <v>999</v>
      </c>
      <c r="K1785" s="30">
        <f t="shared" ca="1" si="194"/>
        <v>0</v>
      </c>
      <c r="L1785" t="str">
        <f t="shared" ca="1" si="191"/>
        <v>Overstock</v>
      </c>
      <c r="M1785" s="39">
        <f>IFERROR(VLOOKUP("APT",Controls!A:I,7,0),6)</f>
        <v>4</v>
      </c>
      <c r="N1785" s="39">
        <f>IFERROR(VLOOKUP("APT",Controls!A:I,8,0),3)</f>
        <v>3</v>
      </c>
      <c r="O1785" s="39">
        <f>IFERROR(VLOOKUP("APT",Controls!A:I,9,0),18)</f>
        <v>12</v>
      </c>
      <c r="P1785" s="40">
        <f>IFERROR(VLOOKUP("APT",Controls!A:J,5,0),0)</f>
        <v>165</v>
      </c>
      <c r="Q1785" s="39">
        <f>IFERROR(VLOOKUP("APT",Controls!A:J,6,0),3)</f>
        <v>4</v>
      </c>
      <c r="R1785" s="21" t="str">
        <f>IFERROR(VLOOKUP("APT",Controls!A:K,10,0),"")</f>
        <v>ST Pharm</v>
      </c>
      <c r="S1785" s="41">
        <f t="shared" si="192"/>
        <v>51105</v>
      </c>
      <c r="T1785" s="30">
        <f t="shared" si="193"/>
        <v>0</v>
      </c>
      <c r="AB1785">
        <f t="shared" si="195"/>
        <v>271.03999999999996</v>
      </c>
    </row>
    <row r="1786" spans="1:28" ht="13" customHeight="1" x14ac:dyDescent="0.35">
      <c r="A1786" s="153">
        <v>51257</v>
      </c>
      <c r="B1786" s="36" t="s">
        <v>58</v>
      </c>
      <c r="C1786" s="15" t="s">
        <v>52</v>
      </c>
      <c r="D1786" s="15" t="s">
        <v>48</v>
      </c>
      <c r="E1786" s="30">
        <f>H1785</f>
        <v>89.81</v>
      </c>
      <c r="F1786" s="37">
        <f>IFERROR('Production Inputs'!$GA$37*Dependencies!$D$19,0)</f>
        <v>0</v>
      </c>
      <c r="G1786" s="37">
        <f t="array" ref="G1786">IFERROR(SUMPRODUCT(('Production Inputs'!$A:$A="APT")*('Production Inputs'!$B:$B="TOTAL ACTIVE")*'Production Inputs'!$GA:$GA),0)</f>
        <v>0</v>
      </c>
      <c r="H1786" s="30">
        <f t="shared" si="189"/>
        <v>89.81</v>
      </c>
      <c r="I1786" s="30">
        <f ca="1">IFERROR(AVERAGEIF(OFFSET(F1786,0,0,MIN(Controls!$B$8,COUNTIF(B1786:B$1973,B1786)),1),"&gt;"&amp;0),0)</f>
        <v>0</v>
      </c>
      <c r="J1786" s="38">
        <f t="shared" ca="1" si="190"/>
        <v>999</v>
      </c>
      <c r="K1786" s="30">
        <f t="shared" ca="1" si="194"/>
        <v>0</v>
      </c>
      <c r="L1786" t="str">
        <f t="shared" ca="1" si="191"/>
        <v>Overstock</v>
      </c>
      <c r="M1786" s="39">
        <f>IFERROR(VLOOKUP("APT",Controls!A:I,7,0),6)</f>
        <v>4</v>
      </c>
      <c r="N1786" s="39">
        <f>IFERROR(VLOOKUP("APT",Controls!A:I,8,0),3)</f>
        <v>3</v>
      </c>
      <c r="O1786" s="39">
        <f>IFERROR(VLOOKUP("APT",Controls!A:I,9,0),18)</f>
        <v>12</v>
      </c>
      <c r="P1786" s="40">
        <f>IFERROR(VLOOKUP("APT",Controls!A:J,5,0),0)</f>
        <v>165</v>
      </c>
      <c r="Q1786" s="39">
        <f>IFERROR(VLOOKUP("APT",Controls!A:J,6,0),3)</f>
        <v>4</v>
      </c>
      <c r="R1786" s="21" t="str">
        <f>IFERROR(VLOOKUP("APT",Controls!A:K,10,0),"")</f>
        <v>ST Pharm</v>
      </c>
      <c r="S1786" s="41">
        <f t="shared" si="192"/>
        <v>51136</v>
      </c>
      <c r="T1786" s="30">
        <f t="shared" si="193"/>
        <v>0</v>
      </c>
      <c r="AB1786">
        <f t="shared" si="195"/>
        <v>271.03999999999996</v>
      </c>
    </row>
    <row r="1787" spans="1:28" ht="13" customHeight="1" x14ac:dyDescent="0.35">
      <c r="A1787" s="153">
        <v>51288</v>
      </c>
      <c r="B1787" s="36" t="s">
        <v>58</v>
      </c>
      <c r="C1787" s="15" t="s">
        <v>52</v>
      </c>
      <c r="D1787" s="15" t="s">
        <v>48</v>
      </c>
      <c r="E1787" s="30">
        <f>H1786</f>
        <v>89.81</v>
      </c>
      <c r="F1787" s="37">
        <f>IFERROR('Production Inputs'!$GB$37*Dependencies!$D$19,0)</f>
        <v>0</v>
      </c>
      <c r="G1787" s="37">
        <f t="array" ref="G1787">IFERROR(SUMPRODUCT(('Production Inputs'!$A:$A="APT")*('Production Inputs'!$B:$B="TOTAL ACTIVE")*'Production Inputs'!$GB:$GB),0)</f>
        <v>0</v>
      </c>
      <c r="H1787" s="30">
        <f t="shared" si="189"/>
        <v>89.81</v>
      </c>
      <c r="I1787" s="30">
        <f ca="1">IFERROR(AVERAGEIF(OFFSET(F1787,0,0,MIN(Controls!$B$8,COUNTIF(B1787:B$1973,B1787)),1),"&gt;"&amp;0),0)</f>
        <v>0</v>
      </c>
      <c r="J1787" s="38">
        <f t="shared" ca="1" si="190"/>
        <v>999</v>
      </c>
      <c r="K1787" s="30">
        <f t="shared" ca="1" si="194"/>
        <v>0</v>
      </c>
      <c r="L1787" t="str">
        <f t="shared" ca="1" si="191"/>
        <v>Overstock</v>
      </c>
      <c r="M1787" s="39">
        <f>IFERROR(VLOOKUP("APT",Controls!A:I,7,0),6)</f>
        <v>4</v>
      </c>
      <c r="N1787" s="39">
        <f>IFERROR(VLOOKUP("APT",Controls!A:I,8,0),3)</f>
        <v>3</v>
      </c>
      <c r="O1787" s="39">
        <f>IFERROR(VLOOKUP("APT",Controls!A:I,9,0),18)</f>
        <v>12</v>
      </c>
      <c r="P1787" s="40">
        <f>IFERROR(VLOOKUP("APT",Controls!A:J,5,0),0)</f>
        <v>165</v>
      </c>
      <c r="Q1787" s="39">
        <f>IFERROR(VLOOKUP("APT",Controls!A:J,6,0),3)</f>
        <v>4</v>
      </c>
      <c r="R1787" s="21" t="str">
        <f>IFERROR(VLOOKUP("APT",Controls!A:K,10,0),"")</f>
        <v>ST Pharm</v>
      </c>
      <c r="S1787" s="41">
        <f t="shared" si="192"/>
        <v>51167</v>
      </c>
      <c r="T1787" s="30">
        <f t="shared" si="193"/>
        <v>0</v>
      </c>
      <c r="AB1787">
        <f t="shared" si="195"/>
        <v>271.03999999999996</v>
      </c>
    </row>
    <row r="1788" spans="1:28" ht="13" customHeight="1" x14ac:dyDescent="0.35">
      <c r="A1788" s="153">
        <v>51318</v>
      </c>
      <c r="B1788" s="36" t="s">
        <v>58</v>
      </c>
      <c r="C1788" s="15" t="s">
        <v>52</v>
      </c>
      <c r="D1788" s="15" t="s">
        <v>48</v>
      </c>
      <c r="E1788" s="30">
        <f>H1787</f>
        <v>89.81</v>
      </c>
      <c r="F1788" s="37">
        <f>IFERROR('Production Inputs'!$GC$37*Dependencies!$D$19,0)</f>
        <v>0</v>
      </c>
      <c r="G1788" s="37">
        <f t="array" ref="G1788">IFERROR(SUMPRODUCT(('Production Inputs'!$A:$A="APT")*('Production Inputs'!$B:$B="TOTAL ACTIVE")*'Production Inputs'!$GC:$GC),0)</f>
        <v>0</v>
      </c>
      <c r="H1788" s="30">
        <f t="shared" si="189"/>
        <v>89.81</v>
      </c>
      <c r="I1788" s="30">
        <f ca="1">IFERROR(AVERAGEIF(OFFSET(F1788,0,0,MIN(Controls!$B$8,COUNTIF(B1788:B$1973,B1788)),1),"&gt;"&amp;0),0)</f>
        <v>0</v>
      </c>
      <c r="J1788" s="38">
        <f t="shared" ca="1" si="190"/>
        <v>999</v>
      </c>
      <c r="K1788" s="30">
        <f t="shared" ca="1" si="194"/>
        <v>0</v>
      </c>
      <c r="L1788" t="str">
        <f t="shared" ca="1" si="191"/>
        <v>Overstock</v>
      </c>
      <c r="M1788" s="39">
        <f>IFERROR(VLOOKUP("APT",Controls!A:I,7,0),6)</f>
        <v>4</v>
      </c>
      <c r="N1788" s="39">
        <f>IFERROR(VLOOKUP("APT",Controls!A:I,8,0),3)</f>
        <v>3</v>
      </c>
      <c r="O1788" s="39">
        <f>IFERROR(VLOOKUP("APT",Controls!A:I,9,0),18)</f>
        <v>12</v>
      </c>
      <c r="P1788" s="40">
        <f>IFERROR(VLOOKUP("APT",Controls!A:J,5,0),0)</f>
        <v>165</v>
      </c>
      <c r="Q1788" s="39">
        <f>IFERROR(VLOOKUP("APT",Controls!A:J,6,0),3)</f>
        <v>4</v>
      </c>
      <c r="R1788" s="21" t="str">
        <f>IFERROR(VLOOKUP("APT",Controls!A:K,10,0),"")</f>
        <v>ST Pharm</v>
      </c>
      <c r="S1788" s="41">
        <f t="shared" si="192"/>
        <v>51196</v>
      </c>
      <c r="T1788" s="30">
        <f t="shared" si="193"/>
        <v>0</v>
      </c>
      <c r="AB1788">
        <f t="shared" si="195"/>
        <v>271.03999999999996</v>
      </c>
    </row>
    <row r="1789" spans="1:28" ht="13" customHeight="1" x14ac:dyDescent="0.35">
      <c r="A1789" s="153">
        <v>51349</v>
      </c>
      <c r="B1789" s="36" t="s">
        <v>58</v>
      </c>
      <c r="C1789" s="15" t="s">
        <v>52</v>
      </c>
      <c r="D1789" s="15" t="s">
        <v>48</v>
      </c>
      <c r="E1789" s="30">
        <f>H1788</f>
        <v>89.81</v>
      </c>
      <c r="F1789" s="37">
        <f>IFERROR('Production Inputs'!$GD$37*Dependencies!$D$19,0)</f>
        <v>0</v>
      </c>
      <c r="G1789" s="37">
        <f t="array" ref="G1789">IFERROR(SUMPRODUCT(('Production Inputs'!$A:$A="APT")*('Production Inputs'!$B:$B="TOTAL ACTIVE")*'Production Inputs'!$GD:$GD),0)</f>
        <v>0</v>
      </c>
      <c r="H1789" s="30">
        <f t="shared" si="189"/>
        <v>89.81</v>
      </c>
      <c r="I1789" s="30">
        <f ca="1">IFERROR(AVERAGEIF(OFFSET(F1789,0,0,MIN(Controls!$B$8,COUNTIF(B1789:B$1973,B1789)),1),"&gt;"&amp;0),0)</f>
        <v>0</v>
      </c>
      <c r="J1789" s="38">
        <f t="shared" ca="1" si="190"/>
        <v>999</v>
      </c>
      <c r="K1789" s="30">
        <f t="shared" ca="1" si="194"/>
        <v>0</v>
      </c>
      <c r="L1789" t="str">
        <f t="shared" ca="1" si="191"/>
        <v>Overstock</v>
      </c>
      <c r="M1789" s="39">
        <f>IFERROR(VLOOKUP("APT",Controls!A:I,7,0),6)</f>
        <v>4</v>
      </c>
      <c r="N1789" s="39">
        <f>IFERROR(VLOOKUP("APT",Controls!A:I,8,0),3)</f>
        <v>3</v>
      </c>
      <c r="O1789" s="39">
        <f>IFERROR(VLOOKUP("APT",Controls!A:I,9,0),18)</f>
        <v>12</v>
      </c>
      <c r="P1789" s="40">
        <f>IFERROR(VLOOKUP("APT",Controls!A:J,5,0),0)</f>
        <v>165</v>
      </c>
      <c r="Q1789" s="39">
        <f>IFERROR(VLOOKUP("APT",Controls!A:J,6,0),3)</f>
        <v>4</v>
      </c>
      <c r="R1789" s="21" t="str">
        <f>IFERROR(VLOOKUP("APT",Controls!A:K,10,0),"")</f>
        <v>ST Pharm</v>
      </c>
      <c r="S1789" s="41">
        <f t="shared" si="192"/>
        <v>51227</v>
      </c>
      <c r="T1789" s="30">
        <f t="shared" si="193"/>
        <v>0</v>
      </c>
      <c r="AB1789">
        <f t="shared" si="195"/>
        <v>271.03999999999996</v>
      </c>
    </row>
    <row r="1790" spans="1:28" ht="13" customHeight="1" x14ac:dyDescent="0.35">
      <c r="A1790" s="153">
        <v>51380</v>
      </c>
      <c r="B1790" s="36" t="s">
        <v>58</v>
      </c>
      <c r="C1790" s="15" t="s">
        <v>52</v>
      </c>
      <c r="D1790" s="15" t="s">
        <v>48</v>
      </c>
      <c r="E1790" s="30">
        <f>H1789</f>
        <v>89.81</v>
      </c>
      <c r="F1790" s="37">
        <f>IFERROR('Production Inputs'!$GE$37*Dependencies!$D$19,0)</f>
        <v>0</v>
      </c>
      <c r="G1790" s="37">
        <f t="array" ref="G1790">IFERROR(SUMPRODUCT(('Production Inputs'!$A:$A="APT")*('Production Inputs'!$B:$B="TOTAL ACTIVE")*'Production Inputs'!$GE:$GE),0)</f>
        <v>0</v>
      </c>
      <c r="H1790" s="30">
        <f t="shared" si="189"/>
        <v>89.81</v>
      </c>
      <c r="I1790" s="30">
        <f ca="1">IFERROR(AVERAGEIF(OFFSET(F1790,0,0,MIN(Controls!$B$8,COUNTIF(B1790:B$1973,B1790)),1),"&gt;"&amp;0),0)</f>
        <v>0</v>
      </c>
      <c r="J1790" s="38">
        <f t="shared" ca="1" si="190"/>
        <v>999</v>
      </c>
      <c r="K1790" s="30">
        <f t="shared" ca="1" si="194"/>
        <v>0</v>
      </c>
      <c r="L1790" t="str">
        <f t="shared" ca="1" si="191"/>
        <v>Overstock</v>
      </c>
      <c r="M1790" s="39">
        <f>IFERROR(VLOOKUP("APT",Controls!A:I,7,0),6)</f>
        <v>4</v>
      </c>
      <c r="N1790" s="39">
        <f>IFERROR(VLOOKUP("APT",Controls!A:I,8,0),3)</f>
        <v>3</v>
      </c>
      <c r="O1790" s="39">
        <f>IFERROR(VLOOKUP("APT",Controls!A:I,9,0),18)</f>
        <v>12</v>
      </c>
      <c r="P1790" s="40">
        <f>IFERROR(VLOOKUP("APT",Controls!A:J,5,0),0)</f>
        <v>165</v>
      </c>
      <c r="Q1790" s="39">
        <f>IFERROR(VLOOKUP("APT",Controls!A:J,6,0),3)</f>
        <v>4</v>
      </c>
      <c r="R1790" s="21" t="str">
        <f>IFERROR(VLOOKUP("APT",Controls!A:K,10,0),"")</f>
        <v>ST Pharm</v>
      </c>
      <c r="S1790" s="41">
        <f t="shared" si="192"/>
        <v>51257</v>
      </c>
      <c r="T1790" s="30">
        <f t="shared" si="193"/>
        <v>0</v>
      </c>
      <c r="AB1790">
        <f t="shared" si="195"/>
        <v>271.03999999999996</v>
      </c>
    </row>
    <row r="1791" spans="1:28" ht="13" customHeight="1" x14ac:dyDescent="0.35">
      <c r="A1791" s="153">
        <v>51410</v>
      </c>
      <c r="B1791" s="36" t="s">
        <v>58</v>
      </c>
      <c r="C1791" s="15" t="s">
        <v>52</v>
      </c>
      <c r="D1791" s="15" t="s">
        <v>48</v>
      </c>
      <c r="E1791" s="30">
        <f>H1790</f>
        <v>89.81</v>
      </c>
      <c r="F1791" s="37">
        <f>IFERROR('Production Inputs'!$GF$37*Dependencies!$D$19,0)</f>
        <v>0</v>
      </c>
      <c r="G1791" s="37">
        <f t="array" ref="G1791">IFERROR(SUMPRODUCT(('Production Inputs'!$A:$A="APT")*('Production Inputs'!$B:$B="TOTAL ACTIVE")*'Production Inputs'!$GF:$GF),0)</f>
        <v>0</v>
      </c>
      <c r="H1791" s="30">
        <f t="shared" si="189"/>
        <v>89.81</v>
      </c>
      <c r="I1791" s="30">
        <f ca="1">IFERROR(AVERAGEIF(OFFSET(F1791,0,0,MIN(Controls!$B$8,COUNTIF(B1791:B$1973,B1791)),1),"&gt;"&amp;0),0)</f>
        <v>0</v>
      </c>
      <c r="J1791" s="38">
        <f t="shared" ca="1" si="190"/>
        <v>999</v>
      </c>
      <c r="K1791" s="30">
        <f t="shared" ca="1" si="194"/>
        <v>0</v>
      </c>
      <c r="L1791" t="str">
        <f t="shared" ca="1" si="191"/>
        <v>Overstock</v>
      </c>
      <c r="M1791" s="39">
        <f>IFERROR(VLOOKUP("APT",Controls!A:I,7,0),6)</f>
        <v>4</v>
      </c>
      <c r="N1791" s="39">
        <f>IFERROR(VLOOKUP("APT",Controls!A:I,8,0),3)</f>
        <v>3</v>
      </c>
      <c r="O1791" s="39">
        <f>IFERROR(VLOOKUP("APT",Controls!A:I,9,0),18)</f>
        <v>12</v>
      </c>
      <c r="P1791" s="40">
        <f>IFERROR(VLOOKUP("APT",Controls!A:J,5,0),0)</f>
        <v>165</v>
      </c>
      <c r="Q1791" s="39">
        <f>IFERROR(VLOOKUP("APT",Controls!A:J,6,0),3)</f>
        <v>4</v>
      </c>
      <c r="R1791" s="21" t="str">
        <f>IFERROR(VLOOKUP("APT",Controls!A:K,10,0),"")</f>
        <v>ST Pharm</v>
      </c>
      <c r="S1791" s="41">
        <f t="shared" si="192"/>
        <v>51288</v>
      </c>
      <c r="T1791" s="30">
        <f t="shared" si="193"/>
        <v>0</v>
      </c>
      <c r="AB1791">
        <f t="shared" si="195"/>
        <v>271.03999999999996</v>
      </c>
    </row>
    <row r="1792" spans="1:28" ht="13" customHeight="1" x14ac:dyDescent="0.35">
      <c r="A1792" s="153">
        <v>51441</v>
      </c>
      <c r="B1792" s="36" t="s">
        <v>58</v>
      </c>
      <c r="C1792" s="15" t="s">
        <v>52</v>
      </c>
      <c r="D1792" s="15" t="s">
        <v>48</v>
      </c>
      <c r="E1792" s="30">
        <f>H1791</f>
        <v>89.81</v>
      </c>
      <c r="F1792" s="37">
        <f>IFERROR('Production Inputs'!$GG$37*Dependencies!$D$19,0)</f>
        <v>0</v>
      </c>
      <c r="G1792" s="37">
        <f t="array" ref="G1792">IFERROR(SUMPRODUCT(('Production Inputs'!$A:$A="APT")*('Production Inputs'!$B:$B="TOTAL ACTIVE")*'Production Inputs'!$GG:$GG),0)</f>
        <v>0</v>
      </c>
      <c r="H1792" s="30">
        <f t="shared" si="189"/>
        <v>89.81</v>
      </c>
      <c r="I1792" s="30">
        <f ca="1">IFERROR(AVERAGEIF(OFFSET(F1792,0,0,MIN(Controls!$B$8,COUNTIF(B1792:B$1973,B1792)),1),"&gt;"&amp;0),0)</f>
        <v>0</v>
      </c>
      <c r="J1792" s="38">
        <f t="shared" ca="1" si="190"/>
        <v>999</v>
      </c>
      <c r="K1792" s="30">
        <f t="shared" ca="1" si="194"/>
        <v>0</v>
      </c>
      <c r="L1792" t="str">
        <f t="shared" ca="1" si="191"/>
        <v>Overstock</v>
      </c>
      <c r="M1792" s="39">
        <f>IFERROR(VLOOKUP("APT",Controls!A:I,7,0),6)</f>
        <v>4</v>
      </c>
      <c r="N1792" s="39">
        <f>IFERROR(VLOOKUP("APT",Controls!A:I,8,0),3)</f>
        <v>3</v>
      </c>
      <c r="O1792" s="39">
        <f>IFERROR(VLOOKUP("APT",Controls!A:I,9,0),18)</f>
        <v>12</v>
      </c>
      <c r="P1792" s="40">
        <f>IFERROR(VLOOKUP("APT",Controls!A:J,5,0),0)</f>
        <v>165</v>
      </c>
      <c r="Q1792" s="39">
        <f>IFERROR(VLOOKUP("APT",Controls!A:J,6,0),3)</f>
        <v>4</v>
      </c>
      <c r="R1792" s="21" t="str">
        <f>IFERROR(VLOOKUP("APT",Controls!A:K,10,0),"")</f>
        <v>ST Pharm</v>
      </c>
      <c r="S1792" s="41">
        <f t="shared" si="192"/>
        <v>51318</v>
      </c>
      <c r="T1792" s="30">
        <f t="shared" si="193"/>
        <v>0</v>
      </c>
      <c r="AB1792">
        <f t="shared" si="195"/>
        <v>271.03999999999996</v>
      </c>
    </row>
    <row r="1793" spans="1:28" ht="13" customHeight="1" x14ac:dyDescent="0.35">
      <c r="A1793" s="153">
        <v>51471</v>
      </c>
      <c r="B1793" s="36" t="s">
        <v>58</v>
      </c>
      <c r="C1793" s="15" t="s">
        <v>52</v>
      </c>
      <c r="D1793" s="15" t="s">
        <v>48</v>
      </c>
      <c r="E1793" s="30">
        <f>H1792</f>
        <v>89.81</v>
      </c>
      <c r="F1793" s="37">
        <f>IFERROR('Production Inputs'!$GH$37*Dependencies!$D$19,0)</f>
        <v>0</v>
      </c>
      <c r="G1793" s="37">
        <f t="array" ref="G1793">IFERROR(SUMPRODUCT(('Production Inputs'!$A:$A="APT")*('Production Inputs'!$B:$B="TOTAL ACTIVE")*'Production Inputs'!$GH:$GH),0)</f>
        <v>0</v>
      </c>
      <c r="H1793" s="30">
        <f t="shared" si="189"/>
        <v>89.81</v>
      </c>
      <c r="I1793" s="30">
        <f ca="1">IFERROR(AVERAGEIF(OFFSET(F1793,0,0,MIN(Controls!$B$8,COUNTIF(B1793:B$1973,B1793)),1),"&gt;"&amp;0),0)</f>
        <v>0</v>
      </c>
      <c r="J1793" s="38">
        <f t="shared" ca="1" si="190"/>
        <v>999</v>
      </c>
      <c r="K1793" s="30">
        <f t="shared" ca="1" si="194"/>
        <v>0</v>
      </c>
      <c r="L1793" t="str">
        <f t="shared" ca="1" si="191"/>
        <v>Overstock</v>
      </c>
      <c r="M1793" s="39">
        <f>IFERROR(VLOOKUP("APT",Controls!A:I,7,0),6)</f>
        <v>4</v>
      </c>
      <c r="N1793" s="39">
        <f>IFERROR(VLOOKUP("APT",Controls!A:I,8,0),3)</f>
        <v>3</v>
      </c>
      <c r="O1793" s="39">
        <f>IFERROR(VLOOKUP("APT",Controls!A:I,9,0),18)</f>
        <v>12</v>
      </c>
      <c r="P1793" s="40">
        <f>IFERROR(VLOOKUP("APT",Controls!A:J,5,0),0)</f>
        <v>165</v>
      </c>
      <c r="Q1793" s="39">
        <f>IFERROR(VLOOKUP("APT",Controls!A:J,6,0),3)</f>
        <v>4</v>
      </c>
      <c r="R1793" s="21" t="str">
        <f>IFERROR(VLOOKUP("APT",Controls!A:K,10,0),"")</f>
        <v>ST Pharm</v>
      </c>
      <c r="S1793" s="41">
        <f t="shared" si="192"/>
        <v>51349</v>
      </c>
      <c r="T1793" s="30">
        <f t="shared" si="193"/>
        <v>0</v>
      </c>
      <c r="AB1793">
        <f t="shared" si="195"/>
        <v>271.03999999999996</v>
      </c>
    </row>
    <row r="1794" spans="1:28" x14ac:dyDescent="0.35">
      <c r="A1794" s="201">
        <v>46023</v>
      </c>
      <c r="B1794" t="s">
        <v>923</v>
      </c>
      <c r="C1794" t="s">
        <v>28</v>
      </c>
      <c r="D1794" t="s">
        <v>29</v>
      </c>
      <c r="E1794">
        <f>IFERROR(VLOOKUP("47mg Clinical",Controls!A:D,4,0),0)</f>
        <v>3500</v>
      </c>
      <c r="F1794">
        <f>IFERROR(SUMIFS('Demand Inputs'!$K$5:$K$202,'Demand Inputs'!$A$5:$A$202,"47mg Clinical",'Demand Inputs'!$B$5:$B$202,"&lt;&gt;AGGREGATE",'Demand Inputs'!$E$5:$E$202,1),0)</f>
        <v>0</v>
      </c>
      <c r="G1794">
        <f>IFERROR(SUMPRODUCT(('Production Inputs'!$A:$A="47mg Clinical")*('Production Inputs'!$B:$B="TOTAL ACTIVE")*'Production Inputs'!$K:$K),0)</f>
        <v>0</v>
      </c>
      <c r="H1794">
        <f t="shared" ref="H1794:H1825" si="196">E1794+G1794-F1794</f>
        <v>3500</v>
      </c>
      <c r="I1794" s="30">
        <f ca="1">IFERROR(AVERAGEIF(OFFSET(F1794,0,0,MIN(Controls!$B$8,COUNTIF(B1794:B$1973,B1794)),1),"&gt;"&amp;0),0)</f>
        <v>0</v>
      </c>
      <c r="J1794">
        <f t="shared" ref="J1794:J1825" ca="1" si="197">IFERROR(H1794/I1794,IF(H1794&gt;0,999,0))</f>
        <v>999</v>
      </c>
      <c r="K1794">
        <f t="shared" ref="K1794:K1825" ca="1" si="198">IFERROR(IF(H1794&lt;(N1794*I1794),CEILING(MAX(0,ROUND((M1794*I1794-H1794)/P1794,0)*P1794),P1794),0),0)</f>
        <v>0</v>
      </c>
      <c r="L1794" t="str">
        <f t="shared" ref="L1794:L1825" ca="1" si="199">IF(H1794&lt;=0,"High",IF(J1794&lt;N1794,"High",IF(J1794&lt;M1794,"Medium",IF(J1794&gt;O1794,"Overstock","Low"))))</f>
        <v>Overstock</v>
      </c>
      <c r="M1794">
        <f>IFERROR(VLOOKUP("47mg Clinical",Controls!A:I,7,0),6)</f>
        <v>6</v>
      </c>
      <c r="N1794">
        <f>IFERROR(VLOOKUP("47mg Clinical",Controls!A:I,8,0),3)</f>
        <v>4</v>
      </c>
      <c r="O1794">
        <f>IFERROR(VLOOKUP("47mg Clinical",Controls!A:I,9,0),18)</f>
        <v>12</v>
      </c>
      <c r="P1794">
        <f>IFERROR(VLOOKUP("47mg Clinical",Controls!A:J,5,0),0)</f>
        <v>1</v>
      </c>
      <c r="Q1794">
        <f>IFERROR(VLOOKUP("47mg Clinical",Controls!A:J,6,0),3)</f>
        <v>3</v>
      </c>
      <c r="R1794" t="str">
        <f>IFERROR(VLOOKUP("47mg Clinical",Controls!A:K,10,0),"")</f>
        <v>Fisher Clinical</v>
      </c>
      <c r="S1794">
        <f t="shared" ref="S1794:S1825" si="200">IFERROR(EDATE(A1794,-Q1794),"")</f>
        <v>45931</v>
      </c>
      <c r="T1794">
        <f t="shared" ref="T1794:T1825" si="201">G1794</f>
        <v>0</v>
      </c>
      <c r="W1794" s="205" cm="1">
        <f t="array" ref="W1794">IF(0&lt;Controls!$B$7,INDEX(A1794:A1973,MATCH(Controls!$B$5,A1794:A1973,1)+0),"")</f>
        <v>46113</v>
      </c>
      <c r="X1794" cm="1">
        <f t="array" ref="X1794">IF(0&lt;Controls!$B$7,INDEX(F1794:F1973,MATCH(Controls!$B$5,A1794:A1973,1)+0),"")</f>
        <v>0</v>
      </c>
      <c r="Y1794" cm="1">
        <f t="array" ref="Y1794">IF(0&lt;Controls!$B$7,INDEX(G1794:G1973,MATCH(Controls!$B$5,A1794:A1973,1)+0),"")</f>
        <v>0</v>
      </c>
      <c r="Z1794" cm="1">
        <f t="array" ref="Z1794">IF(0&lt;Controls!$B$7,INDEX(H1794:H1973,MATCH(Controls!$B$5,A1794:A1973,1)+0),"")</f>
        <v>3500</v>
      </c>
      <c r="AA1794" cm="1">
        <f t="array" aca="1" ref="AA1794" ca="1">IF(0&lt;Controls!$B$7,INDEX(M1794:M1973,MATCH(Controls!$B$5,A1794:A1973,1)+0)*INDEX(I1794:I1973,MATCH(Controls!$B$5,A1794:A1973,1)+0),"")</f>
        <v>0</v>
      </c>
      <c r="AB1794">
        <f t="shared" si="195"/>
        <v>0</v>
      </c>
    </row>
    <row r="1795" spans="1:28" x14ac:dyDescent="0.35">
      <c r="A1795" s="201">
        <v>46054</v>
      </c>
      <c r="B1795" t="s">
        <v>923</v>
      </c>
      <c r="C1795" t="s">
        <v>28</v>
      </c>
      <c r="D1795" t="s">
        <v>29</v>
      </c>
      <c r="E1795">
        <f>H1794</f>
        <v>3500</v>
      </c>
      <c r="F1795">
        <f>IFERROR(SUMIFS('Demand Inputs'!$K$5:$K$202,'Demand Inputs'!$A$5:$A$202,"47mg Clinical",'Demand Inputs'!$B$5:$B$202,"&lt;&gt;AGGREGATE",'Demand Inputs'!$E$5:$E$202,1),0)</f>
        <v>0</v>
      </c>
      <c r="G1795">
        <f>IFERROR(SUMPRODUCT(('Production Inputs'!$A:$A="47mg Clinical")*('Production Inputs'!$B:$B="TOTAL ACTIVE")*'Production Inputs'!$L:$L),0)</f>
        <v>0</v>
      </c>
      <c r="H1795">
        <f t="shared" si="196"/>
        <v>3500</v>
      </c>
      <c r="I1795" s="30">
        <f ca="1">IFERROR(AVERAGEIF(OFFSET(F1795,0,0,MIN(Controls!$B$8,COUNTIF(B1795:B$1973,B1795)),1),"&gt;"&amp;0),0)</f>
        <v>0</v>
      </c>
      <c r="J1795">
        <f t="shared" ca="1" si="197"/>
        <v>999</v>
      </c>
      <c r="K1795">
        <f t="shared" ca="1" si="198"/>
        <v>0</v>
      </c>
      <c r="L1795" t="str">
        <f t="shared" ca="1" si="199"/>
        <v>Overstock</v>
      </c>
      <c r="M1795">
        <f>IFERROR(VLOOKUP("47mg Clinical",Controls!A:I,7,0),6)</f>
        <v>6</v>
      </c>
      <c r="N1795">
        <f>IFERROR(VLOOKUP("47mg Clinical",Controls!A:I,8,0),3)</f>
        <v>4</v>
      </c>
      <c r="O1795">
        <f>IFERROR(VLOOKUP("47mg Clinical",Controls!A:I,9,0),18)</f>
        <v>12</v>
      </c>
      <c r="P1795">
        <f>IFERROR(VLOOKUP("47mg Clinical",Controls!A:J,5,0),0)</f>
        <v>1</v>
      </c>
      <c r="Q1795">
        <f>IFERROR(VLOOKUP("47mg Clinical",Controls!A:J,6,0),3)</f>
        <v>3</v>
      </c>
      <c r="R1795" t="str">
        <f>IFERROR(VLOOKUP("47mg Clinical",Controls!A:K,10,0),"")</f>
        <v>Fisher Clinical</v>
      </c>
      <c r="S1795">
        <f t="shared" si="200"/>
        <v>45962</v>
      </c>
      <c r="T1795">
        <f t="shared" si="201"/>
        <v>0</v>
      </c>
      <c r="W1795" s="205" cm="1">
        <f t="array" ref="W1795">IF(1&lt;Controls!$B$7,INDEX(A1794:A1973,MATCH(Controls!$B$5,A1794:A1973,1)+1),"")</f>
        <v>46143</v>
      </c>
      <c r="X1795" cm="1">
        <f t="array" ref="X1795">IF(1&lt;Controls!$B$7,INDEX(F1794:F1973,MATCH(Controls!$B$5,A1794:A1973,1)+1),"")</f>
        <v>0</v>
      </c>
      <c r="Y1795" cm="1">
        <f t="array" ref="Y1795">IF(1&lt;Controls!$B$7,INDEX(G1794:G1973,MATCH(Controls!$B$5,A1794:A1973,1)+1),"")</f>
        <v>0</v>
      </c>
      <c r="Z1795" cm="1">
        <f t="array" ref="Z1795">IF(1&lt;Controls!$B$7,INDEX(H1794:H1973,MATCH(Controls!$B$5,A1794:A1973,1)+1),"")</f>
        <v>3500</v>
      </c>
      <c r="AA1795" cm="1">
        <f t="array" aca="1" ref="AA1795" ca="1">IF(1&lt;Controls!$B$7,INDEX(M1794:M1973,MATCH(Controls!$B$5,A1794:A1973,1)+1)*INDEX(I1794:I1973,MATCH(Controls!$B$5,A1794:A1973,1)+1),"")</f>
        <v>0</v>
      </c>
      <c r="AB1795">
        <f t="shared" si="195"/>
        <v>0</v>
      </c>
    </row>
    <row r="1796" spans="1:28" x14ac:dyDescent="0.35">
      <c r="A1796" s="201">
        <v>46082</v>
      </c>
      <c r="B1796" t="s">
        <v>923</v>
      </c>
      <c r="C1796" t="s">
        <v>28</v>
      </c>
      <c r="D1796" t="s">
        <v>29</v>
      </c>
      <c r="E1796">
        <f>H1795</f>
        <v>3500</v>
      </c>
      <c r="F1796">
        <f>IFERROR(SUMIFS('Demand Inputs'!$K$5:$K$202,'Demand Inputs'!$A$5:$A$202,"47mg Clinical",'Demand Inputs'!$B$5:$B$202,"&lt;&gt;AGGREGATE",'Demand Inputs'!$E$5:$E$202,1),0)</f>
        <v>0</v>
      </c>
      <c r="G1796">
        <f>IFERROR(SUMPRODUCT(('Production Inputs'!$A:$A="47mg Clinical")*('Production Inputs'!$B:$B="TOTAL ACTIVE")*'Production Inputs'!$M:$M),0)</f>
        <v>0</v>
      </c>
      <c r="H1796">
        <f t="shared" si="196"/>
        <v>3500</v>
      </c>
      <c r="I1796" s="30">
        <f ca="1">IFERROR(AVERAGEIF(OFFSET(F1796,0,0,MIN(Controls!$B$8,COUNTIF(B1796:B$1973,B1796)),1),"&gt;"&amp;0),0)</f>
        <v>0</v>
      </c>
      <c r="J1796">
        <f t="shared" ca="1" si="197"/>
        <v>999</v>
      </c>
      <c r="K1796">
        <f t="shared" ca="1" si="198"/>
        <v>0</v>
      </c>
      <c r="L1796" t="str">
        <f t="shared" ca="1" si="199"/>
        <v>Overstock</v>
      </c>
      <c r="M1796">
        <f>IFERROR(VLOOKUP("47mg Clinical",Controls!A:I,7,0),6)</f>
        <v>6</v>
      </c>
      <c r="N1796">
        <f>IFERROR(VLOOKUP("47mg Clinical",Controls!A:I,8,0),3)</f>
        <v>4</v>
      </c>
      <c r="O1796">
        <f>IFERROR(VLOOKUP("47mg Clinical",Controls!A:I,9,0),18)</f>
        <v>12</v>
      </c>
      <c r="P1796">
        <f>IFERROR(VLOOKUP("47mg Clinical",Controls!A:J,5,0),0)</f>
        <v>1</v>
      </c>
      <c r="Q1796">
        <f>IFERROR(VLOOKUP("47mg Clinical",Controls!A:J,6,0),3)</f>
        <v>3</v>
      </c>
      <c r="R1796" t="str">
        <f>IFERROR(VLOOKUP("47mg Clinical",Controls!A:K,10,0),"")</f>
        <v>Fisher Clinical</v>
      </c>
      <c r="S1796">
        <f t="shared" si="200"/>
        <v>45992</v>
      </c>
      <c r="T1796">
        <f t="shared" si="201"/>
        <v>0</v>
      </c>
      <c r="W1796" s="205" cm="1">
        <f t="array" ref="W1796">IF(2&lt;Controls!$B$7,INDEX(A1794:A1973,MATCH(Controls!$B$5,A1794:A1973,1)+2),"")</f>
        <v>46174</v>
      </c>
      <c r="X1796" cm="1">
        <f t="array" ref="X1796">IF(2&lt;Controls!$B$7,INDEX(F1794:F1973,MATCH(Controls!$B$5,A1794:A1973,1)+2),"")</f>
        <v>0</v>
      </c>
      <c r="Y1796" cm="1">
        <f t="array" ref="Y1796">IF(2&lt;Controls!$B$7,INDEX(G1794:G1973,MATCH(Controls!$B$5,A1794:A1973,1)+2),"")</f>
        <v>0</v>
      </c>
      <c r="Z1796" cm="1">
        <f t="array" ref="Z1796">IF(2&lt;Controls!$B$7,INDEX(H1794:H1973,MATCH(Controls!$B$5,A1794:A1973,1)+2),"")</f>
        <v>3500</v>
      </c>
      <c r="AA1796" cm="1">
        <f t="array" aca="1" ref="AA1796" ca="1">IF(2&lt;Controls!$B$7,INDEX(M1794:M1973,MATCH(Controls!$B$5,A1794:A1973,1)+2)*INDEX(I1794:I1973,MATCH(Controls!$B$5,A1794:A1973,1)+2),"")</f>
        <v>0</v>
      </c>
      <c r="AB1796">
        <f t="shared" si="195"/>
        <v>0</v>
      </c>
    </row>
    <row r="1797" spans="1:28" x14ac:dyDescent="0.35">
      <c r="A1797" s="201">
        <v>46113</v>
      </c>
      <c r="B1797" t="s">
        <v>923</v>
      </c>
      <c r="C1797" t="s">
        <v>28</v>
      </c>
      <c r="D1797" t="s">
        <v>29</v>
      </c>
      <c r="E1797">
        <f>H1796</f>
        <v>3500</v>
      </c>
      <c r="F1797">
        <f>IFERROR(SUMIFS('Demand Inputs'!$K$5:$K$202,'Demand Inputs'!$A$5:$A$202,"47mg Clinical",'Demand Inputs'!$B$5:$B$202,"&lt;&gt;AGGREGATE",'Demand Inputs'!$E$5:$E$202,1),0)</f>
        <v>0</v>
      </c>
      <c r="G1797">
        <f>IFERROR(SUMPRODUCT(('Production Inputs'!$A:$A="47mg Clinical")*('Production Inputs'!$B:$B="TOTAL ACTIVE")*'Production Inputs'!$N:$N),0)</f>
        <v>0</v>
      </c>
      <c r="H1797">
        <f t="shared" si="196"/>
        <v>3500</v>
      </c>
      <c r="I1797" s="30">
        <f ca="1">IFERROR(AVERAGEIF(OFFSET(F1797,0,0,MIN(Controls!$B$8,COUNTIF(B1797:B$1973,B1797)),1),"&gt;"&amp;0),0)</f>
        <v>0</v>
      </c>
      <c r="J1797">
        <f t="shared" ca="1" si="197"/>
        <v>999</v>
      </c>
      <c r="K1797">
        <f t="shared" ca="1" si="198"/>
        <v>0</v>
      </c>
      <c r="L1797" t="str">
        <f t="shared" ca="1" si="199"/>
        <v>Overstock</v>
      </c>
      <c r="M1797">
        <f>IFERROR(VLOOKUP("47mg Clinical",Controls!A:I,7,0),6)</f>
        <v>6</v>
      </c>
      <c r="N1797">
        <f>IFERROR(VLOOKUP("47mg Clinical",Controls!A:I,8,0),3)</f>
        <v>4</v>
      </c>
      <c r="O1797">
        <f>IFERROR(VLOOKUP("47mg Clinical",Controls!A:I,9,0),18)</f>
        <v>12</v>
      </c>
      <c r="P1797">
        <f>IFERROR(VLOOKUP("47mg Clinical",Controls!A:J,5,0),0)</f>
        <v>1</v>
      </c>
      <c r="Q1797">
        <f>IFERROR(VLOOKUP("47mg Clinical",Controls!A:J,6,0),3)</f>
        <v>3</v>
      </c>
      <c r="R1797" t="str">
        <f>IFERROR(VLOOKUP("47mg Clinical",Controls!A:K,10,0),"")</f>
        <v>Fisher Clinical</v>
      </c>
      <c r="S1797">
        <f t="shared" si="200"/>
        <v>46023</v>
      </c>
      <c r="T1797">
        <f t="shared" si="201"/>
        <v>0</v>
      </c>
      <c r="W1797" s="205" cm="1">
        <f t="array" ref="W1797">IF(3&lt;Controls!$B$7,INDEX(A1794:A1973,MATCH(Controls!$B$5,A1794:A1973,1)+3),"")</f>
        <v>46204</v>
      </c>
      <c r="X1797" cm="1">
        <f t="array" ref="X1797">IF(3&lt;Controls!$B$7,INDEX(F1794:F1973,MATCH(Controls!$B$5,A1794:A1973,1)+3),"")</f>
        <v>0</v>
      </c>
      <c r="Y1797" cm="1">
        <f t="array" ref="Y1797">IF(3&lt;Controls!$B$7,INDEX(G1794:G1973,MATCH(Controls!$B$5,A1794:A1973,1)+3),"")</f>
        <v>0</v>
      </c>
      <c r="Z1797" cm="1">
        <f t="array" ref="Z1797">IF(3&lt;Controls!$B$7,INDEX(H1794:H1973,MATCH(Controls!$B$5,A1794:A1973,1)+3),"")</f>
        <v>3500</v>
      </c>
      <c r="AA1797" cm="1">
        <f t="array" aca="1" ref="AA1797" ca="1">IF(3&lt;Controls!$B$7,INDEX(M1794:M1973,MATCH(Controls!$B$5,A1794:A1973,1)+3)*INDEX(I1794:I1973,MATCH(Controls!$B$5,A1794:A1973,1)+3),"")</f>
        <v>0</v>
      </c>
      <c r="AB1797">
        <f t="shared" ref="AB1797:AB1860" si="202">SUMIFS($F$4:$F$2331,$B$4:$B$2331,B1797,$A$4:$A$2331,"&lt;="&amp;A1797)</f>
        <v>0</v>
      </c>
    </row>
    <row r="1798" spans="1:28" x14ac:dyDescent="0.35">
      <c r="A1798" s="201">
        <v>46143</v>
      </c>
      <c r="B1798" t="s">
        <v>923</v>
      </c>
      <c r="C1798" t="s">
        <v>28</v>
      </c>
      <c r="D1798" t="s">
        <v>29</v>
      </c>
      <c r="E1798">
        <f>H1797</f>
        <v>3500</v>
      </c>
      <c r="F1798">
        <f>IFERROR(SUMIFS('Demand Inputs'!$K$5:$K$202,'Demand Inputs'!$A$5:$A$202,"47mg Clinical",'Demand Inputs'!$B$5:$B$202,"&lt;&gt;AGGREGATE",'Demand Inputs'!$E$5:$E$202,1),0)</f>
        <v>0</v>
      </c>
      <c r="G1798">
        <f>IFERROR(SUMPRODUCT(('Production Inputs'!$A:$A="47mg Clinical")*('Production Inputs'!$B:$B="TOTAL ACTIVE")*'Production Inputs'!$O:$O),0)</f>
        <v>0</v>
      </c>
      <c r="H1798">
        <f t="shared" si="196"/>
        <v>3500</v>
      </c>
      <c r="I1798" s="30">
        <f ca="1">IFERROR(AVERAGEIF(OFFSET(F1798,0,0,MIN(Controls!$B$8,COUNTIF(B1798:B$1973,B1798)),1),"&gt;"&amp;0),0)</f>
        <v>0</v>
      </c>
      <c r="J1798">
        <f t="shared" ca="1" si="197"/>
        <v>999</v>
      </c>
      <c r="K1798">
        <f t="shared" ca="1" si="198"/>
        <v>0</v>
      </c>
      <c r="L1798" t="str">
        <f t="shared" ca="1" si="199"/>
        <v>Overstock</v>
      </c>
      <c r="M1798">
        <f>IFERROR(VLOOKUP("47mg Clinical",Controls!A:I,7,0),6)</f>
        <v>6</v>
      </c>
      <c r="N1798">
        <f>IFERROR(VLOOKUP("47mg Clinical",Controls!A:I,8,0),3)</f>
        <v>4</v>
      </c>
      <c r="O1798">
        <f>IFERROR(VLOOKUP("47mg Clinical",Controls!A:I,9,0),18)</f>
        <v>12</v>
      </c>
      <c r="P1798">
        <f>IFERROR(VLOOKUP("47mg Clinical",Controls!A:J,5,0),0)</f>
        <v>1</v>
      </c>
      <c r="Q1798">
        <f>IFERROR(VLOOKUP("47mg Clinical",Controls!A:J,6,0),3)</f>
        <v>3</v>
      </c>
      <c r="R1798" t="str">
        <f>IFERROR(VLOOKUP("47mg Clinical",Controls!A:K,10,0),"")</f>
        <v>Fisher Clinical</v>
      </c>
      <c r="S1798">
        <f t="shared" si="200"/>
        <v>46054</v>
      </c>
      <c r="T1798">
        <f t="shared" si="201"/>
        <v>0</v>
      </c>
      <c r="W1798" s="205" cm="1">
        <f t="array" ref="W1798">IF(4&lt;Controls!$B$7,INDEX(A1794:A1973,MATCH(Controls!$B$5,A1794:A1973,1)+4),"")</f>
        <v>46235</v>
      </c>
      <c r="X1798" cm="1">
        <f t="array" ref="X1798">IF(4&lt;Controls!$B$7,INDEX(F1794:F1973,MATCH(Controls!$B$5,A1794:A1973,1)+4),"")</f>
        <v>0</v>
      </c>
      <c r="Y1798" cm="1">
        <f t="array" ref="Y1798">IF(4&lt;Controls!$B$7,INDEX(G1794:G1973,MATCH(Controls!$B$5,A1794:A1973,1)+4),"")</f>
        <v>0</v>
      </c>
      <c r="Z1798" cm="1">
        <f t="array" ref="Z1798">IF(4&lt;Controls!$B$7,INDEX(H1794:H1973,MATCH(Controls!$B$5,A1794:A1973,1)+4),"")</f>
        <v>3500</v>
      </c>
      <c r="AA1798" cm="1">
        <f t="array" aca="1" ref="AA1798" ca="1">IF(4&lt;Controls!$B$7,INDEX(M1794:M1973,MATCH(Controls!$B$5,A1794:A1973,1)+4)*INDEX(I1794:I1973,MATCH(Controls!$B$5,A1794:A1973,1)+4),"")</f>
        <v>0</v>
      </c>
      <c r="AB1798">
        <f t="shared" si="202"/>
        <v>0</v>
      </c>
    </row>
    <row r="1799" spans="1:28" x14ac:dyDescent="0.35">
      <c r="A1799" s="201">
        <v>46174</v>
      </c>
      <c r="B1799" t="s">
        <v>923</v>
      </c>
      <c r="C1799" t="s">
        <v>28</v>
      </c>
      <c r="D1799" t="s">
        <v>29</v>
      </c>
      <c r="E1799">
        <f>H1798</f>
        <v>3500</v>
      </c>
      <c r="F1799">
        <f>IFERROR(SUMIFS('Demand Inputs'!$K$5:$K$202,'Demand Inputs'!$A$5:$A$202,"47mg Clinical",'Demand Inputs'!$B$5:$B$202,"&lt;&gt;AGGREGATE",'Demand Inputs'!$E$5:$E$202,1),0)</f>
        <v>0</v>
      </c>
      <c r="G1799">
        <f>IFERROR(SUMPRODUCT(('Production Inputs'!$A:$A="47mg Clinical")*('Production Inputs'!$B:$B="TOTAL ACTIVE")*'Production Inputs'!$P:$P),0)</f>
        <v>0</v>
      </c>
      <c r="H1799">
        <f t="shared" si="196"/>
        <v>3500</v>
      </c>
      <c r="I1799" s="30">
        <f ca="1">IFERROR(AVERAGEIF(OFFSET(F1799,0,0,MIN(Controls!$B$8,COUNTIF(B1799:B$1973,B1799)),1),"&gt;"&amp;0),0)</f>
        <v>0</v>
      </c>
      <c r="J1799">
        <f t="shared" ca="1" si="197"/>
        <v>999</v>
      </c>
      <c r="K1799">
        <f t="shared" ca="1" si="198"/>
        <v>0</v>
      </c>
      <c r="L1799" t="str">
        <f t="shared" ca="1" si="199"/>
        <v>Overstock</v>
      </c>
      <c r="M1799">
        <f>IFERROR(VLOOKUP("47mg Clinical",Controls!A:I,7,0),6)</f>
        <v>6</v>
      </c>
      <c r="N1799">
        <f>IFERROR(VLOOKUP("47mg Clinical",Controls!A:I,8,0),3)</f>
        <v>4</v>
      </c>
      <c r="O1799">
        <f>IFERROR(VLOOKUP("47mg Clinical",Controls!A:I,9,0),18)</f>
        <v>12</v>
      </c>
      <c r="P1799">
        <f>IFERROR(VLOOKUP("47mg Clinical",Controls!A:J,5,0),0)</f>
        <v>1</v>
      </c>
      <c r="Q1799">
        <f>IFERROR(VLOOKUP("47mg Clinical",Controls!A:J,6,0),3)</f>
        <v>3</v>
      </c>
      <c r="R1799" t="str">
        <f>IFERROR(VLOOKUP("47mg Clinical",Controls!A:K,10,0),"")</f>
        <v>Fisher Clinical</v>
      </c>
      <c r="S1799">
        <f t="shared" si="200"/>
        <v>46082</v>
      </c>
      <c r="T1799">
        <f t="shared" si="201"/>
        <v>0</v>
      </c>
      <c r="W1799" s="205" cm="1">
        <f t="array" ref="W1799">IF(5&lt;Controls!$B$7,INDEX(A1794:A1973,MATCH(Controls!$B$5,A1794:A1973,1)+5),"")</f>
        <v>46266</v>
      </c>
      <c r="X1799" cm="1">
        <f t="array" ref="X1799">IF(5&lt;Controls!$B$7,INDEX(F1794:F1973,MATCH(Controls!$B$5,A1794:A1973,1)+5),"")</f>
        <v>0</v>
      </c>
      <c r="Y1799" cm="1">
        <f t="array" ref="Y1799">IF(5&lt;Controls!$B$7,INDEX(G1794:G1973,MATCH(Controls!$B$5,A1794:A1973,1)+5),"")</f>
        <v>0</v>
      </c>
      <c r="Z1799" cm="1">
        <f t="array" ref="Z1799">IF(5&lt;Controls!$B$7,INDEX(H1794:H1973,MATCH(Controls!$B$5,A1794:A1973,1)+5),"")</f>
        <v>3500</v>
      </c>
      <c r="AA1799" cm="1">
        <f t="array" aca="1" ref="AA1799" ca="1">IF(5&lt;Controls!$B$7,INDEX(M1794:M1973,MATCH(Controls!$B$5,A1794:A1973,1)+5)*INDEX(I1794:I1973,MATCH(Controls!$B$5,A1794:A1973,1)+5),"")</f>
        <v>0</v>
      </c>
      <c r="AB1799">
        <f t="shared" si="202"/>
        <v>0</v>
      </c>
    </row>
    <row r="1800" spans="1:28" x14ac:dyDescent="0.35">
      <c r="A1800" s="201">
        <v>46204</v>
      </c>
      <c r="B1800" t="s">
        <v>923</v>
      </c>
      <c r="C1800" t="s">
        <v>28</v>
      </c>
      <c r="D1800" t="s">
        <v>29</v>
      </c>
      <c r="E1800">
        <f>H1799</f>
        <v>3500</v>
      </c>
      <c r="F1800">
        <f>IFERROR(SUMIFS('Demand Inputs'!$K$5:$K$202,'Demand Inputs'!$A$5:$A$202,"47mg Clinical",'Demand Inputs'!$B$5:$B$202,"&lt;&gt;AGGREGATE",'Demand Inputs'!$E$5:$E$202,1),0)</f>
        <v>0</v>
      </c>
      <c r="G1800">
        <f>IFERROR(SUMPRODUCT(('Production Inputs'!$A:$A="47mg Clinical")*('Production Inputs'!$B:$B="TOTAL ACTIVE")*'Production Inputs'!$Q:$Q),0)</f>
        <v>0</v>
      </c>
      <c r="H1800">
        <f t="shared" si="196"/>
        <v>3500</v>
      </c>
      <c r="I1800" s="30">
        <f ca="1">IFERROR(AVERAGEIF(OFFSET(F1800,0,0,MIN(Controls!$B$8,COUNTIF(B1800:B$1973,B1800)),1),"&gt;"&amp;0),0)</f>
        <v>0</v>
      </c>
      <c r="J1800">
        <f t="shared" ca="1" si="197"/>
        <v>999</v>
      </c>
      <c r="K1800">
        <f t="shared" ca="1" si="198"/>
        <v>0</v>
      </c>
      <c r="L1800" t="str">
        <f t="shared" ca="1" si="199"/>
        <v>Overstock</v>
      </c>
      <c r="M1800">
        <f>IFERROR(VLOOKUP("47mg Clinical",Controls!A:I,7,0),6)</f>
        <v>6</v>
      </c>
      <c r="N1800">
        <f>IFERROR(VLOOKUP("47mg Clinical",Controls!A:I,8,0),3)</f>
        <v>4</v>
      </c>
      <c r="O1800">
        <f>IFERROR(VLOOKUP("47mg Clinical",Controls!A:I,9,0),18)</f>
        <v>12</v>
      </c>
      <c r="P1800">
        <f>IFERROR(VLOOKUP("47mg Clinical",Controls!A:J,5,0),0)</f>
        <v>1</v>
      </c>
      <c r="Q1800">
        <f>IFERROR(VLOOKUP("47mg Clinical",Controls!A:J,6,0),3)</f>
        <v>3</v>
      </c>
      <c r="R1800" t="str">
        <f>IFERROR(VLOOKUP("47mg Clinical",Controls!A:K,10,0),"")</f>
        <v>Fisher Clinical</v>
      </c>
      <c r="S1800">
        <f t="shared" si="200"/>
        <v>46113</v>
      </c>
      <c r="T1800">
        <f t="shared" si="201"/>
        <v>0</v>
      </c>
      <c r="W1800" s="205" cm="1">
        <f t="array" ref="W1800">IF(6&lt;Controls!$B$7,INDEX(A1794:A1973,MATCH(Controls!$B$5,A1794:A1973,1)+6),"")</f>
        <v>46296</v>
      </c>
      <c r="X1800" cm="1">
        <f t="array" ref="X1800">IF(6&lt;Controls!$B$7,INDEX(F1794:F1973,MATCH(Controls!$B$5,A1794:A1973,1)+6),"")</f>
        <v>0</v>
      </c>
      <c r="Y1800" cm="1">
        <f t="array" ref="Y1800">IF(6&lt;Controls!$B$7,INDEX(G1794:G1973,MATCH(Controls!$B$5,A1794:A1973,1)+6),"")</f>
        <v>0</v>
      </c>
      <c r="Z1800" cm="1">
        <f t="array" ref="Z1800">IF(6&lt;Controls!$B$7,INDEX(H1794:H1973,MATCH(Controls!$B$5,A1794:A1973,1)+6),"")</f>
        <v>3500</v>
      </c>
      <c r="AA1800" cm="1">
        <f t="array" aca="1" ref="AA1800" ca="1">IF(6&lt;Controls!$B$7,INDEX(M1794:M1973,MATCH(Controls!$B$5,A1794:A1973,1)+6)*INDEX(I1794:I1973,MATCH(Controls!$B$5,A1794:A1973,1)+6),"")</f>
        <v>0</v>
      </c>
      <c r="AB1800">
        <f t="shared" si="202"/>
        <v>0</v>
      </c>
    </row>
    <row r="1801" spans="1:28" x14ac:dyDescent="0.35">
      <c r="A1801" s="201">
        <v>46235</v>
      </c>
      <c r="B1801" t="s">
        <v>923</v>
      </c>
      <c r="C1801" t="s">
        <v>28</v>
      </c>
      <c r="D1801" t="s">
        <v>29</v>
      </c>
      <c r="E1801">
        <f>H1800</f>
        <v>3500</v>
      </c>
      <c r="F1801">
        <f>IFERROR(SUMIFS('Demand Inputs'!$K$5:$K$202,'Demand Inputs'!$A$5:$A$202,"47mg Clinical",'Demand Inputs'!$B$5:$B$202,"&lt;&gt;AGGREGATE",'Demand Inputs'!$E$5:$E$202,1),0)</f>
        <v>0</v>
      </c>
      <c r="G1801">
        <f>IFERROR(SUMPRODUCT(('Production Inputs'!$A:$A="47mg Clinical")*('Production Inputs'!$B:$B="TOTAL ACTIVE")*'Production Inputs'!$R:$R),0)</f>
        <v>0</v>
      </c>
      <c r="H1801">
        <f t="shared" si="196"/>
        <v>3500</v>
      </c>
      <c r="I1801" s="30">
        <f ca="1">IFERROR(AVERAGEIF(OFFSET(F1801,0,0,MIN(Controls!$B$8,COUNTIF(B1801:B$1973,B1801)),1),"&gt;"&amp;0),0)</f>
        <v>0</v>
      </c>
      <c r="J1801">
        <f t="shared" ca="1" si="197"/>
        <v>999</v>
      </c>
      <c r="K1801">
        <f t="shared" ca="1" si="198"/>
        <v>0</v>
      </c>
      <c r="L1801" t="str">
        <f t="shared" ca="1" si="199"/>
        <v>Overstock</v>
      </c>
      <c r="M1801">
        <f>IFERROR(VLOOKUP("47mg Clinical",Controls!A:I,7,0),6)</f>
        <v>6</v>
      </c>
      <c r="N1801">
        <f>IFERROR(VLOOKUP("47mg Clinical",Controls!A:I,8,0),3)</f>
        <v>4</v>
      </c>
      <c r="O1801">
        <f>IFERROR(VLOOKUP("47mg Clinical",Controls!A:I,9,0),18)</f>
        <v>12</v>
      </c>
      <c r="P1801">
        <f>IFERROR(VLOOKUP("47mg Clinical",Controls!A:J,5,0),0)</f>
        <v>1</v>
      </c>
      <c r="Q1801">
        <f>IFERROR(VLOOKUP("47mg Clinical",Controls!A:J,6,0),3)</f>
        <v>3</v>
      </c>
      <c r="R1801" t="str">
        <f>IFERROR(VLOOKUP("47mg Clinical",Controls!A:K,10,0),"")</f>
        <v>Fisher Clinical</v>
      </c>
      <c r="S1801">
        <f t="shared" si="200"/>
        <v>46143</v>
      </c>
      <c r="T1801">
        <f t="shared" si="201"/>
        <v>0</v>
      </c>
      <c r="W1801" s="205" cm="1">
        <f t="array" ref="W1801">IF(7&lt;Controls!$B$7,INDEX(A1794:A1973,MATCH(Controls!$B$5,A1794:A1973,1)+7),"")</f>
        <v>46327</v>
      </c>
      <c r="X1801" cm="1">
        <f t="array" ref="X1801">IF(7&lt;Controls!$B$7,INDEX(F1794:F1973,MATCH(Controls!$B$5,A1794:A1973,1)+7),"")</f>
        <v>0</v>
      </c>
      <c r="Y1801" cm="1">
        <f t="array" ref="Y1801">IF(7&lt;Controls!$B$7,INDEX(G1794:G1973,MATCH(Controls!$B$5,A1794:A1973,1)+7),"")</f>
        <v>0</v>
      </c>
      <c r="Z1801" cm="1">
        <f t="array" ref="Z1801">IF(7&lt;Controls!$B$7,INDEX(H1794:H1973,MATCH(Controls!$B$5,A1794:A1973,1)+7),"")</f>
        <v>3500</v>
      </c>
      <c r="AA1801" cm="1">
        <f t="array" aca="1" ref="AA1801" ca="1">IF(7&lt;Controls!$B$7,INDEX(M1794:M1973,MATCH(Controls!$B$5,A1794:A1973,1)+7)*INDEX(I1794:I1973,MATCH(Controls!$B$5,A1794:A1973,1)+7),"")</f>
        <v>0</v>
      </c>
      <c r="AB1801">
        <f t="shared" si="202"/>
        <v>0</v>
      </c>
    </row>
    <row r="1802" spans="1:28" x14ac:dyDescent="0.35">
      <c r="A1802" s="201">
        <v>46266</v>
      </c>
      <c r="B1802" t="s">
        <v>923</v>
      </c>
      <c r="C1802" t="s">
        <v>28</v>
      </c>
      <c r="D1802" t="s">
        <v>29</v>
      </c>
      <c r="E1802">
        <f>H1801</f>
        <v>3500</v>
      </c>
      <c r="F1802">
        <f>IFERROR(SUMIFS('Demand Inputs'!$K$5:$K$202,'Demand Inputs'!$A$5:$A$202,"47mg Clinical",'Demand Inputs'!$B$5:$B$202,"&lt;&gt;AGGREGATE",'Demand Inputs'!$E$5:$E$202,1),0)</f>
        <v>0</v>
      </c>
      <c r="G1802">
        <f>IFERROR(SUMPRODUCT(('Production Inputs'!$A:$A="47mg Clinical")*('Production Inputs'!$B:$B="TOTAL ACTIVE")*'Production Inputs'!$S:$S),0)</f>
        <v>0</v>
      </c>
      <c r="H1802">
        <f t="shared" si="196"/>
        <v>3500</v>
      </c>
      <c r="I1802" s="30">
        <f ca="1">IFERROR(AVERAGEIF(OFFSET(F1802,0,0,MIN(Controls!$B$8,COUNTIF(B1802:B$1973,B1802)),1),"&gt;"&amp;0),0)</f>
        <v>0</v>
      </c>
      <c r="J1802">
        <f t="shared" ca="1" si="197"/>
        <v>999</v>
      </c>
      <c r="K1802">
        <f t="shared" ca="1" si="198"/>
        <v>0</v>
      </c>
      <c r="L1802" t="str">
        <f t="shared" ca="1" si="199"/>
        <v>Overstock</v>
      </c>
      <c r="M1802">
        <f>IFERROR(VLOOKUP("47mg Clinical",Controls!A:I,7,0),6)</f>
        <v>6</v>
      </c>
      <c r="N1802">
        <f>IFERROR(VLOOKUP("47mg Clinical",Controls!A:I,8,0),3)</f>
        <v>4</v>
      </c>
      <c r="O1802">
        <f>IFERROR(VLOOKUP("47mg Clinical",Controls!A:I,9,0),18)</f>
        <v>12</v>
      </c>
      <c r="P1802">
        <f>IFERROR(VLOOKUP("47mg Clinical",Controls!A:J,5,0),0)</f>
        <v>1</v>
      </c>
      <c r="Q1802">
        <f>IFERROR(VLOOKUP("47mg Clinical",Controls!A:J,6,0),3)</f>
        <v>3</v>
      </c>
      <c r="R1802" t="str">
        <f>IFERROR(VLOOKUP("47mg Clinical",Controls!A:K,10,0),"")</f>
        <v>Fisher Clinical</v>
      </c>
      <c r="S1802">
        <f t="shared" si="200"/>
        <v>46174</v>
      </c>
      <c r="T1802">
        <f t="shared" si="201"/>
        <v>0</v>
      </c>
      <c r="W1802" s="205" cm="1">
        <f t="array" ref="W1802">IF(8&lt;Controls!$B$7,INDEX(A1794:A1973,MATCH(Controls!$B$5,A1794:A1973,1)+8),"")</f>
        <v>46357</v>
      </c>
      <c r="X1802" cm="1">
        <f t="array" ref="X1802">IF(8&lt;Controls!$B$7,INDEX(F1794:F1973,MATCH(Controls!$B$5,A1794:A1973,1)+8),"")</f>
        <v>0</v>
      </c>
      <c r="Y1802" cm="1">
        <f t="array" ref="Y1802">IF(8&lt;Controls!$B$7,INDEX(G1794:G1973,MATCH(Controls!$B$5,A1794:A1973,1)+8),"")</f>
        <v>0</v>
      </c>
      <c r="Z1802" cm="1">
        <f t="array" ref="Z1802">IF(8&lt;Controls!$B$7,INDEX(H1794:H1973,MATCH(Controls!$B$5,A1794:A1973,1)+8),"")</f>
        <v>3500</v>
      </c>
      <c r="AA1802" cm="1">
        <f t="array" aca="1" ref="AA1802" ca="1">IF(8&lt;Controls!$B$7,INDEX(M1794:M1973,MATCH(Controls!$B$5,A1794:A1973,1)+8)*INDEX(I1794:I1973,MATCH(Controls!$B$5,A1794:A1973,1)+8),"")</f>
        <v>0</v>
      </c>
      <c r="AB1802">
        <f t="shared" si="202"/>
        <v>0</v>
      </c>
    </row>
    <row r="1803" spans="1:28" x14ac:dyDescent="0.35">
      <c r="A1803" s="201">
        <v>46296</v>
      </c>
      <c r="B1803" t="s">
        <v>923</v>
      </c>
      <c r="C1803" t="s">
        <v>28</v>
      </c>
      <c r="D1803" t="s">
        <v>29</v>
      </c>
      <c r="E1803">
        <f>H1802</f>
        <v>3500</v>
      </c>
      <c r="F1803">
        <f>IFERROR(SUMIFS('Demand Inputs'!$K$5:$K$202,'Demand Inputs'!$A$5:$A$202,"47mg Clinical",'Demand Inputs'!$B$5:$B$202,"&lt;&gt;AGGREGATE",'Demand Inputs'!$E$5:$E$202,1),0)</f>
        <v>0</v>
      </c>
      <c r="G1803">
        <f>IFERROR(SUMPRODUCT(('Production Inputs'!$A:$A="47mg Clinical")*('Production Inputs'!$B:$B="TOTAL ACTIVE")*'Production Inputs'!$T:$T),0)</f>
        <v>0</v>
      </c>
      <c r="H1803">
        <f t="shared" si="196"/>
        <v>3500</v>
      </c>
      <c r="I1803" s="30">
        <f ca="1">IFERROR(AVERAGEIF(OFFSET(F1803,0,0,MIN(Controls!$B$8,COUNTIF(B1803:B$1973,B1803)),1),"&gt;"&amp;0),0)</f>
        <v>0</v>
      </c>
      <c r="J1803">
        <f t="shared" ca="1" si="197"/>
        <v>999</v>
      </c>
      <c r="K1803">
        <f t="shared" ca="1" si="198"/>
        <v>0</v>
      </c>
      <c r="L1803" t="str">
        <f t="shared" ca="1" si="199"/>
        <v>Overstock</v>
      </c>
      <c r="M1803">
        <f>IFERROR(VLOOKUP("47mg Clinical",Controls!A:I,7,0),6)</f>
        <v>6</v>
      </c>
      <c r="N1803">
        <f>IFERROR(VLOOKUP("47mg Clinical",Controls!A:I,8,0),3)</f>
        <v>4</v>
      </c>
      <c r="O1803">
        <f>IFERROR(VLOOKUP("47mg Clinical",Controls!A:I,9,0),18)</f>
        <v>12</v>
      </c>
      <c r="P1803">
        <f>IFERROR(VLOOKUP("47mg Clinical",Controls!A:J,5,0),0)</f>
        <v>1</v>
      </c>
      <c r="Q1803">
        <f>IFERROR(VLOOKUP("47mg Clinical",Controls!A:J,6,0),3)</f>
        <v>3</v>
      </c>
      <c r="R1803" t="str">
        <f>IFERROR(VLOOKUP("47mg Clinical",Controls!A:K,10,0),"")</f>
        <v>Fisher Clinical</v>
      </c>
      <c r="S1803">
        <f t="shared" si="200"/>
        <v>46204</v>
      </c>
      <c r="T1803">
        <f t="shared" si="201"/>
        <v>0</v>
      </c>
      <c r="W1803" s="205" cm="1">
        <f t="array" ref="W1803">IF(9&lt;Controls!$B$7,INDEX(A1794:A1973,MATCH(Controls!$B$5,A1794:A1973,1)+9),"")</f>
        <v>46388</v>
      </c>
      <c r="X1803" cm="1">
        <f t="array" ref="X1803">IF(9&lt;Controls!$B$7,INDEX(F1794:F1973,MATCH(Controls!$B$5,A1794:A1973,1)+9),"")</f>
        <v>0</v>
      </c>
      <c r="Y1803" cm="1">
        <f t="array" ref="Y1803">IF(9&lt;Controls!$B$7,INDEX(G1794:G1973,MATCH(Controls!$B$5,A1794:A1973,1)+9),"")</f>
        <v>0</v>
      </c>
      <c r="Z1803" cm="1">
        <f t="array" ref="Z1803">IF(9&lt;Controls!$B$7,INDEX(H1794:H1973,MATCH(Controls!$B$5,A1794:A1973,1)+9),"")</f>
        <v>3500</v>
      </c>
      <c r="AA1803" cm="1">
        <f t="array" aca="1" ref="AA1803" ca="1">IF(9&lt;Controls!$B$7,INDEX(M1794:M1973,MATCH(Controls!$B$5,A1794:A1973,1)+9)*INDEX(I1794:I1973,MATCH(Controls!$B$5,A1794:A1973,1)+9),"")</f>
        <v>0</v>
      </c>
      <c r="AB1803">
        <f t="shared" si="202"/>
        <v>0</v>
      </c>
    </row>
    <row r="1804" spans="1:28" x14ac:dyDescent="0.35">
      <c r="A1804" s="201">
        <v>46327</v>
      </c>
      <c r="B1804" t="s">
        <v>923</v>
      </c>
      <c r="C1804" t="s">
        <v>28</v>
      </c>
      <c r="D1804" t="s">
        <v>29</v>
      </c>
      <c r="E1804">
        <f>H1803</f>
        <v>3500</v>
      </c>
      <c r="F1804">
        <f>IFERROR(SUMIFS('Demand Inputs'!$K$5:$K$202,'Demand Inputs'!$A$5:$A$202,"47mg Clinical",'Demand Inputs'!$B$5:$B$202,"&lt;&gt;AGGREGATE",'Demand Inputs'!$E$5:$E$202,1),0)</f>
        <v>0</v>
      </c>
      <c r="G1804">
        <f>IFERROR(SUMPRODUCT(('Production Inputs'!$A:$A="47mg Clinical")*('Production Inputs'!$B:$B="TOTAL ACTIVE")*'Production Inputs'!$U:$U),0)</f>
        <v>0</v>
      </c>
      <c r="H1804">
        <f t="shared" si="196"/>
        <v>3500</v>
      </c>
      <c r="I1804" s="30">
        <f ca="1">IFERROR(AVERAGEIF(OFFSET(F1804,0,0,MIN(Controls!$B$8,COUNTIF(B1804:B$1973,B1804)),1),"&gt;"&amp;0),0)</f>
        <v>0</v>
      </c>
      <c r="J1804">
        <f t="shared" ca="1" si="197"/>
        <v>999</v>
      </c>
      <c r="K1804">
        <f t="shared" ca="1" si="198"/>
        <v>0</v>
      </c>
      <c r="L1804" t="str">
        <f t="shared" ca="1" si="199"/>
        <v>Overstock</v>
      </c>
      <c r="M1804">
        <f>IFERROR(VLOOKUP("47mg Clinical",Controls!A:I,7,0),6)</f>
        <v>6</v>
      </c>
      <c r="N1804">
        <f>IFERROR(VLOOKUP("47mg Clinical",Controls!A:I,8,0),3)</f>
        <v>4</v>
      </c>
      <c r="O1804">
        <f>IFERROR(VLOOKUP("47mg Clinical",Controls!A:I,9,0),18)</f>
        <v>12</v>
      </c>
      <c r="P1804">
        <f>IFERROR(VLOOKUP("47mg Clinical",Controls!A:J,5,0),0)</f>
        <v>1</v>
      </c>
      <c r="Q1804">
        <f>IFERROR(VLOOKUP("47mg Clinical",Controls!A:J,6,0),3)</f>
        <v>3</v>
      </c>
      <c r="R1804" t="str">
        <f>IFERROR(VLOOKUP("47mg Clinical",Controls!A:K,10,0),"")</f>
        <v>Fisher Clinical</v>
      </c>
      <c r="S1804">
        <f t="shared" si="200"/>
        <v>46235</v>
      </c>
      <c r="T1804">
        <f t="shared" si="201"/>
        <v>0</v>
      </c>
      <c r="W1804" s="205" cm="1">
        <f t="array" ref="W1804">IF(10&lt;Controls!$B$7,INDEX(A1794:A1973,MATCH(Controls!$B$5,A1794:A1973,1)+10),"")</f>
        <v>46419</v>
      </c>
      <c r="X1804" cm="1">
        <f t="array" ref="X1804">IF(10&lt;Controls!$B$7,INDEX(F1794:F1973,MATCH(Controls!$B$5,A1794:A1973,1)+10),"")</f>
        <v>0</v>
      </c>
      <c r="Y1804" cm="1">
        <f t="array" ref="Y1804">IF(10&lt;Controls!$B$7,INDEX(G1794:G1973,MATCH(Controls!$B$5,A1794:A1973,1)+10),"")</f>
        <v>0</v>
      </c>
      <c r="Z1804" cm="1">
        <f t="array" ref="Z1804">IF(10&lt;Controls!$B$7,INDEX(H1794:H1973,MATCH(Controls!$B$5,A1794:A1973,1)+10),"")</f>
        <v>3500</v>
      </c>
      <c r="AA1804" cm="1">
        <f t="array" aca="1" ref="AA1804" ca="1">IF(10&lt;Controls!$B$7,INDEX(M1794:M1973,MATCH(Controls!$B$5,A1794:A1973,1)+10)*INDEX(I1794:I1973,MATCH(Controls!$B$5,A1794:A1973,1)+10),"")</f>
        <v>0</v>
      </c>
      <c r="AB1804">
        <f t="shared" si="202"/>
        <v>0</v>
      </c>
    </row>
    <row r="1805" spans="1:28" x14ac:dyDescent="0.35">
      <c r="A1805" s="201">
        <v>46357</v>
      </c>
      <c r="B1805" t="s">
        <v>923</v>
      </c>
      <c r="C1805" t="s">
        <v>28</v>
      </c>
      <c r="D1805" t="s">
        <v>29</v>
      </c>
      <c r="E1805">
        <f>H1804</f>
        <v>3500</v>
      </c>
      <c r="F1805">
        <f>IFERROR(SUMIFS('Demand Inputs'!$K$5:$K$202,'Demand Inputs'!$A$5:$A$202,"47mg Clinical",'Demand Inputs'!$B$5:$B$202,"&lt;&gt;AGGREGATE",'Demand Inputs'!$E$5:$E$202,1),0)</f>
        <v>0</v>
      </c>
      <c r="G1805">
        <f>IFERROR(SUMPRODUCT(('Production Inputs'!$A:$A="47mg Clinical")*('Production Inputs'!$B:$B="TOTAL ACTIVE")*'Production Inputs'!$V:$V),0)</f>
        <v>0</v>
      </c>
      <c r="H1805">
        <f t="shared" si="196"/>
        <v>3500</v>
      </c>
      <c r="I1805" s="30">
        <f ca="1">IFERROR(AVERAGEIF(OFFSET(F1805,0,0,MIN(Controls!$B$8,COUNTIF(B1805:B$1973,B1805)),1),"&gt;"&amp;0),0)</f>
        <v>0</v>
      </c>
      <c r="J1805">
        <f t="shared" ca="1" si="197"/>
        <v>999</v>
      </c>
      <c r="K1805">
        <f t="shared" ca="1" si="198"/>
        <v>0</v>
      </c>
      <c r="L1805" t="str">
        <f t="shared" ca="1" si="199"/>
        <v>Overstock</v>
      </c>
      <c r="M1805">
        <f>IFERROR(VLOOKUP("47mg Clinical",Controls!A:I,7,0),6)</f>
        <v>6</v>
      </c>
      <c r="N1805">
        <f>IFERROR(VLOOKUP("47mg Clinical",Controls!A:I,8,0),3)</f>
        <v>4</v>
      </c>
      <c r="O1805">
        <f>IFERROR(VLOOKUP("47mg Clinical",Controls!A:I,9,0),18)</f>
        <v>12</v>
      </c>
      <c r="P1805">
        <f>IFERROR(VLOOKUP("47mg Clinical",Controls!A:J,5,0),0)</f>
        <v>1</v>
      </c>
      <c r="Q1805">
        <f>IFERROR(VLOOKUP("47mg Clinical",Controls!A:J,6,0),3)</f>
        <v>3</v>
      </c>
      <c r="R1805" t="str">
        <f>IFERROR(VLOOKUP("47mg Clinical",Controls!A:K,10,0),"")</f>
        <v>Fisher Clinical</v>
      </c>
      <c r="S1805">
        <f t="shared" si="200"/>
        <v>46266</v>
      </c>
      <c r="T1805">
        <f t="shared" si="201"/>
        <v>0</v>
      </c>
      <c r="W1805" s="205" cm="1">
        <f t="array" ref="W1805">IF(11&lt;Controls!$B$7,INDEX(A1794:A1973,MATCH(Controls!$B$5,A1794:A1973,1)+11),"")</f>
        <v>46447</v>
      </c>
      <c r="X1805" cm="1">
        <f t="array" ref="X1805">IF(11&lt;Controls!$B$7,INDEX(F1794:F1973,MATCH(Controls!$B$5,A1794:A1973,1)+11),"")</f>
        <v>0</v>
      </c>
      <c r="Y1805" cm="1">
        <f t="array" ref="Y1805">IF(11&lt;Controls!$B$7,INDEX(G1794:G1973,MATCH(Controls!$B$5,A1794:A1973,1)+11),"")</f>
        <v>0</v>
      </c>
      <c r="Z1805" cm="1">
        <f t="array" ref="Z1805">IF(11&lt;Controls!$B$7,INDEX(H1794:H1973,MATCH(Controls!$B$5,A1794:A1973,1)+11),"")</f>
        <v>3500</v>
      </c>
      <c r="AA1805" cm="1">
        <f t="array" aca="1" ref="AA1805" ca="1">IF(11&lt;Controls!$B$7,INDEX(M1794:M1973,MATCH(Controls!$B$5,A1794:A1973,1)+11)*INDEX(I1794:I1973,MATCH(Controls!$B$5,A1794:A1973,1)+11),"")</f>
        <v>0</v>
      </c>
      <c r="AB1805">
        <f t="shared" si="202"/>
        <v>0</v>
      </c>
    </row>
    <row r="1806" spans="1:28" x14ac:dyDescent="0.35">
      <c r="A1806" s="201">
        <v>46388</v>
      </c>
      <c r="B1806" t="s">
        <v>923</v>
      </c>
      <c r="C1806" t="s">
        <v>28</v>
      </c>
      <c r="D1806" t="s">
        <v>29</v>
      </c>
      <c r="E1806">
        <f>H1805</f>
        <v>3500</v>
      </c>
      <c r="F1806">
        <f>IFERROR(SUMIFS('Demand Inputs'!$K$5:$K$202,'Demand Inputs'!$A$5:$A$202,"47mg Clinical",'Demand Inputs'!$B$5:$B$202,"&lt;&gt;AGGREGATE",'Demand Inputs'!$E$5:$E$202,1),0)</f>
        <v>0</v>
      </c>
      <c r="G1806">
        <f>IFERROR(SUMPRODUCT(('Production Inputs'!$A:$A="47mg Clinical")*('Production Inputs'!$B:$B="TOTAL ACTIVE")*'Production Inputs'!$W:$W),0)</f>
        <v>0</v>
      </c>
      <c r="H1806">
        <f t="shared" si="196"/>
        <v>3500</v>
      </c>
      <c r="I1806" s="30">
        <f ca="1">IFERROR(AVERAGEIF(OFFSET(F1806,0,0,MIN(Controls!$B$8,COUNTIF(B1806:B$1973,B1806)),1),"&gt;"&amp;0),0)</f>
        <v>0</v>
      </c>
      <c r="J1806">
        <f t="shared" ca="1" si="197"/>
        <v>999</v>
      </c>
      <c r="K1806">
        <f t="shared" ca="1" si="198"/>
        <v>0</v>
      </c>
      <c r="L1806" t="str">
        <f t="shared" ca="1" si="199"/>
        <v>Overstock</v>
      </c>
      <c r="M1806">
        <f>IFERROR(VLOOKUP("47mg Clinical",Controls!A:I,7,0),6)</f>
        <v>6</v>
      </c>
      <c r="N1806">
        <f>IFERROR(VLOOKUP("47mg Clinical",Controls!A:I,8,0),3)</f>
        <v>4</v>
      </c>
      <c r="O1806">
        <f>IFERROR(VLOOKUP("47mg Clinical",Controls!A:I,9,0),18)</f>
        <v>12</v>
      </c>
      <c r="P1806">
        <f>IFERROR(VLOOKUP("47mg Clinical",Controls!A:J,5,0),0)</f>
        <v>1</v>
      </c>
      <c r="Q1806">
        <f>IFERROR(VLOOKUP("47mg Clinical",Controls!A:J,6,0),3)</f>
        <v>3</v>
      </c>
      <c r="R1806" t="str">
        <f>IFERROR(VLOOKUP("47mg Clinical",Controls!A:K,10,0),"")</f>
        <v>Fisher Clinical</v>
      </c>
      <c r="S1806">
        <f t="shared" si="200"/>
        <v>46296</v>
      </c>
      <c r="T1806">
        <f t="shared" si="201"/>
        <v>0</v>
      </c>
      <c r="W1806" s="205" cm="1">
        <f t="array" ref="W1806">IF(12&lt;Controls!$B$7,INDEX(A1794:A1973,MATCH(Controls!$B$5,A1794:A1973,1)+12),"")</f>
        <v>46478</v>
      </c>
      <c r="X1806" cm="1">
        <f t="array" ref="X1806">IF(12&lt;Controls!$B$7,INDEX(F1794:F1973,MATCH(Controls!$B$5,A1794:A1973,1)+12),"")</f>
        <v>0</v>
      </c>
      <c r="Y1806" cm="1">
        <f t="array" ref="Y1806">IF(12&lt;Controls!$B$7,INDEX(G1794:G1973,MATCH(Controls!$B$5,A1794:A1973,1)+12),"")</f>
        <v>0</v>
      </c>
      <c r="Z1806" cm="1">
        <f t="array" ref="Z1806">IF(12&lt;Controls!$B$7,INDEX(H1794:H1973,MATCH(Controls!$B$5,A1794:A1973,1)+12),"")</f>
        <v>3500</v>
      </c>
      <c r="AA1806" cm="1">
        <f t="array" aca="1" ref="AA1806" ca="1">IF(12&lt;Controls!$B$7,INDEX(M1794:M1973,MATCH(Controls!$B$5,A1794:A1973,1)+12)*INDEX(I1794:I1973,MATCH(Controls!$B$5,A1794:A1973,1)+12),"")</f>
        <v>0</v>
      </c>
      <c r="AB1806">
        <f t="shared" si="202"/>
        <v>0</v>
      </c>
    </row>
    <row r="1807" spans="1:28" x14ac:dyDescent="0.35">
      <c r="A1807" s="201">
        <v>46419</v>
      </c>
      <c r="B1807" t="s">
        <v>923</v>
      </c>
      <c r="C1807" t="s">
        <v>28</v>
      </c>
      <c r="D1807" t="s">
        <v>29</v>
      </c>
      <c r="E1807">
        <f>H1806</f>
        <v>3500</v>
      </c>
      <c r="F1807">
        <f>IFERROR(SUMIFS('Demand Inputs'!$K$5:$K$202,'Demand Inputs'!$A$5:$A$202,"47mg Clinical",'Demand Inputs'!$B$5:$B$202,"&lt;&gt;AGGREGATE",'Demand Inputs'!$E$5:$E$202,1),0)</f>
        <v>0</v>
      </c>
      <c r="G1807">
        <f>IFERROR(SUMPRODUCT(('Production Inputs'!$A:$A="47mg Clinical")*('Production Inputs'!$B:$B="TOTAL ACTIVE")*'Production Inputs'!$X:$X),0)</f>
        <v>0</v>
      </c>
      <c r="H1807">
        <f t="shared" si="196"/>
        <v>3500</v>
      </c>
      <c r="I1807" s="30">
        <f ca="1">IFERROR(AVERAGEIF(OFFSET(F1807,0,0,MIN(Controls!$B$8,COUNTIF(B1807:B$1973,B1807)),1),"&gt;"&amp;0),0)</f>
        <v>0</v>
      </c>
      <c r="J1807">
        <f t="shared" ca="1" si="197"/>
        <v>999</v>
      </c>
      <c r="K1807">
        <f t="shared" ca="1" si="198"/>
        <v>0</v>
      </c>
      <c r="L1807" t="str">
        <f t="shared" ca="1" si="199"/>
        <v>Overstock</v>
      </c>
      <c r="M1807">
        <f>IFERROR(VLOOKUP("47mg Clinical",Controls!A:I,7,0),6)</f>
        <v>6</v>
      </c>
      <c r="N1807">
        <f>IFERROR(VLOOKUP("47mg Clinical",Controls!A:I,8,0),3)</f>
        <v>4</v>
      </c>
      <c r="O1807">
        <f>IFERROR(VLOOKUP("47mg Clinical",Controls!A:I,9,0),18)</f>
        <v>12</v>
      </c>
      <c r="P1807">
        <f>IFERROR(VLOOKUP("47mg Clinical",Controls!A:J,5,0),0)</f>
        <v>1</v>
      </c>
      <c r="Q1807">
        <f>IFERROR(VLOOKUP("47mg Clinical",Controls!A:J,6,0),3)</f>
        <v>3</v>
      </c>
      <c r="R1807" t="str">
        <f>IFERROR(VLOOKUP("47mg Clinical",Controls!A:K,10,0),"")</f>
        <v>Fisher Clinical</v>
      </c>
      <c r="S1807">
        <f t="shared" si="200"/>
        <v>46327</v>
      </c>
      <c r="T1807">
        <f t="shared" si="201"/>
        <v>0</v>
      </c>
      <c r="W1807" s="205" cm="1">
        <f t="array" ref="W1807">IF(13&lt;Controls!$B$7,INDEX(A1794:A1973,MATCH(Controls!$B$5,A1794:A1973,1)+13),"")</f>
        <v>46508</v>
      </c>
      <c r="X1807" cm="1">
        <f t="array" ref="X1807">IF(13&lt;Controls!$B$7,INDEX(F1794:F1973,MATCH(Controls!$B$5,A1794:A1973,1)+13),"")</f>
        <v>0</v>
      </c>
      <c r="Y1807" cm="1">
        <f t="array" ref="Y1807">IF(13&lt;Controls!$B$7,INDEX(G1794:G1973,MATCH(Controls!$B$5,A1794:A1973,1)+13),"")</f>
        <v>0</v>
      </c>
      <c r="Z1807" cm="1">
        <f t="array" ref="Z1807">IF(13&lt;Controls!$B$7,INDEX(H1794:H1973,MATCH(Controls!$B$5,A1794:A1973,1)+13),"")</f>
        <v>3500</v>
      </c>
      <c r="AA1807" cm="1">
        <f t="array" aca="1" ref="AA1807" ca="1">IF(13&lt;Controls!$B$7,INDEX(M1794:M1973,MATCH(Controls!$B$5,A1794:A1973,1)+13)*INDEX(I1794:I1973,MATCH(Controls!$B$5,A1794:A1973,1)+13),"")</f>
        <v>0</v>
      </c>
      <c r="AB1807">
        <f t="shared" si="202"/>
        <v>0</v>
      </c>
    </row>
    <row r="1808" spans="1:28" x14ac:dyDescent="0.35">
      <c r="A1808" s="201">
        <v>46447</v>
      </c>
      <c r="B1808" t="s">
        <v>923</v>
      </c>
      <c r="C1808" t="s">
        <v>28</v>
      </c>
      <c r="D1808" t="s">
        <v>29</v>
      </c>
      <c r="E1808">
        <f>H1807</f>
        <v>3500</v>
      </c>
      <c r="F1808">
        <f>IFERROR(SUMIFS('Demand Inputs'!$K$5:$K$202,'Demand Inputs'!$A$5:$A$202,"47mg Clinical",'Demand Inputs'!$B$5:$B$202,"&lt;&gt;AGGREGATE",'Demand Inputs'!$E$5:$E$202,1),0)</f>
        <v>0</v>
      </c>
      <c r="G1808">
        <f>IFERROR(SUMPRODUCT(('Production Inputs'!$A:$A="47mg Clinical")*('Production Inputs'!$B:$B="TOTAL ACTIVE")*'Production Inputs'!$Y:$Y),0)</f>
        <v>0</v>
      </c>
      <c r="H1808">
        <f t="shared" si="196"/>
        <v>3500</v>
      </c>
      <c r="I1808" s="30">
        <f ca="1">IFERROR(AVERAGEIF(OFFSET(F1808,0,0,MIN(Controls!$B$8,COUNTIF(B1808:B$1973,B1808)),1),"&gt;"&amp;0),0)</f>
        <v>0</v>
      </c>
      <c r="J1808">
        <f t="shared" ca="1" si="197"/>
        <v>999</v>
      </c>
      <c r="K1808">
        <f t="shared" ca="1" si="198"/>
        <v>0</v>
      </c>
      <c r="L1808" t="str">
        <f t="shared" ca="1" si="199"/>
        <v>Overstock</v>
      </c>
      <c r="M1808">
        <f>IFERROR(VLOOKUP("47mg Clinical",Controls!A:I,7,0),6)</f>
        <v>6</v>
      </c>
      <c r="N1808">
        <f>IFERROR(VLOOKUP("47mg Clinical",Controls!A:I,8,0),3)</f>
        <v>4</v>
      </c>
      <c r="O1808">
        <f>IFERROR(VLOOKUP("47mg Clinical",Controls!A:I,9,0),18)</f>
        <v>12</v>
      </c>
      <c r="P1808">
        <f>IFERROR(VLOOKUP("47mg Clinical",Controls!A:J,5,0),0)</f>
        <v>1</v>
      </c>
      <c r="Q1808">
        <f>IFERROR(VLOOKUP("47mg Clinical",Controls!A:J,6,0),3)</f>
        <v>3</v>
      </c>
      <c r="R1808" t="str">
        <f>IFERROR(VLOOKUP("47mg Clinical",Controls!A:K,10,0),"")</f>
        <v>Fisher Clinical</v>
      </c>
      <c r="S1808">
        <f t="shared" si="200"/>
        <v>46357</v>
      </c>
      <c r="T1808">
        <f t="shared" si="201"/>
        <v>0</v>
      </c>
      <c r="W1808" s="205" cm="1">
        <f t="array" ref="W1808">IF(14&lt;Controls!$B$7,INDEX(A1794:A1973,MATCH(Controls!$B$5,A1794:A1973,1)+14),"")</f>
        <v>46539</v>
      </c>
      <c r="X1808" cm="1">
        <f t="array" ref="X1808">IF(14&lt;Controls!$B$7,INDEX(F1794:F1973,MATCH(Controls!$B$5,A1794:A1973,1)+14),"")</f>
        <v>0</v>
      </c>
      <c r="Y1808" cm="1">
        <f t="array" ref="Y1808">IF(14&lt;Controls!$B$7,INDEX(G1794:G1973,MATCH(Controls!$B$5,A1794:A1973,1)+14),"")</f>
        <v>0</v>
      </c>
      <c r="Z1808" cm="1">
        <f t="array" ref="Z1808">IF(14&lt;Controls!$B$7,INDEX(H1794:H1973,MATCH(Controls!$B$5,A1794:A1973,1)+14),"")</f>
        <v>3500</v>
      </c>
      <c r="AA1808" cm="1">
        <f t="array" aca="1" ref="AA1808" ca="1">IF(14&lt;Controls!$B$7,INDEX(M1794:M1973,MATCH(Controls!$B$5,A1794:A1973,1)+14)*INDEX(I1794:I1973,MATCH(Controls!$B$5,A1794:A1973,1)+14),"")</f>
        <v>0</v>
      </c>
      <c r="AB1808">
        <f t="shared" si="202"/>
        <v>0</v>
      </c>
    </row>
    <row r="1809" spans="1:28" x14ac:dyDescent="0.35">
      <c r="A1809" s="201">
        <v>46478</v>
      </c>
      <c r="B1809" t="s">
        <v>923</v>
      </c>
      <c r="C1809" t="s">
        <v>28</v>
      </c>
      <c r="D1809" t="s">
        <v>29</v>
      </c>
      <c r="E1809">
        <f>H1808</f>
        <v>3500</v>
      </c>
      <c r="F1809">
        <f>IFERROR(SUMIFS('Demand Inputs'!$K$5:$K$202,'Demand Inputs'!$A$5:$A$202,"47mg Clinical",'Demand Inputs'!$B$5:$B$202,"&lt;&gt;AGGREGATE",'Demand Inputs'!$E$5:$E$202,1),0)</f>
        <v>0</v>
      </c>
      <c r="G1809">
        <f>IFERROR(SUMPRODUCT(('Production Inputs'!$A:$A="47mg Clinical")*('Production Inputs'!$B:$B="TOTAL ACTIVE")*'Production Inputs'!$Z:$Z),0)</f>
        <v>0</v>
      </c>
      <c r="H1809">
        <f t="shared" si="196"/>
        <v>3500</v>
      </c>
      <c r="I1809" s="30">
        <f ca="1">IFERROR(AVERAGEIF(OFFSET(F1809,0,0,MIN(Controls!$B$8,COUNTIF(B1809:B$1973,B1809)),1),"&gt;"&amp;0),0)</f>
        <v>0</v>
      </c>
      <c r="J1809">
        <f t="shared" ca="1" si="197"/>
        <v>999</v>
      </c>
      <c r="K1809">
        <f t="shared" ca="1" si="198"/>
        <v>0</v>
      </c>
      <c r="L1809" t="str">
        <f t="shared" ca="1" si="199"/>
        <v>Overstock</v>
      </c>
      <c r="M1809">
        <f>IFERROR(VLOOKUP("47mg Clinical",Controls!A:I,7,0),6)</f>
        <v>6</v>
      </c>
      <c r="N1809">
        <f>IFERROR(VLOOKUP("47mg Clinical",Controls!A:I,8,0),3)</f>
        <v>4</v>
      </c>
      <c r="O1809">
        <f>IFERROR(VLOOKUP("47mg Clinical",Controls!A:I,9,0),18)</f>
        <v>12</v>
      </c>
      <c r="P1809">
        <f>IFERROR(VLOOKUP("47mg Clinical",Controls!A:J,5,0),0)</f>
        <v>1</v>
      </c>
      <c r="Q1809">
        <f>IFERROR(VLOOKUP("47mg Clinical",Controls!A:J,6,0),3)</f>
        <v>3</v>
      </c>
      <c r="R1809" t="str">
        <f>IFERROR(VLOOKUP("47mg Clinical",Controls!A:K,10,0),"")</f>
        <v>Fisher Clinical</v>
      </c>
      <c r="S1809">
        <f t="shared" si="200"/>
        <v>46388</v>
      </c>
      <c r="T1809">
        <f t="shared" si="201"/>
        <v>0</v>
      </c>
      <c r="W1809" s="205" cm="1">
        <f t="array" ref="W1809">IF(15&lt;Controls!$B$7,INDEX(A1794:A1973,MATCH(Controls!$B$5,A1794:A1973,1)+15),"")</f>
        <v>46569</v>
      </c>
      <c r="X1809" cm="1">
        <f t="array" ref="X1809">IF(15&lt;Controls!$B$7,INDEX(F1794:F1973,MATCH(Controls!$B$5,A1794:A1973,1)+15),"")</f>
        <v>0</v>
      </c>
      <c r="Y1809" cm="1">
        <f t="array" ref="Y1809">IF(15&lt;Controls!$B$7,INDEX(G1794:G1973,MATCH(Controls!$B$5,A1794:A1973,1)+15),"")</f>
        <v>0</v>
      </c>
      <c r="Z1809" cm="1">
        <f t="array" ref="Z1809">IF(15&lt;Controls!$B$7,INDEX(H1794:H1973,MATCH(Controls!$B$5,A1794:A1973,1)+15),"")</f>
        <v>3500</v>
      </c>
      <c r="AA1809" cm="1">
        <f t="array" aca="1" ref="AA1809" ca="1">IF(15&lt;Controls!$B$7,INDEX(M1794:M1973,MATCH(Controls!$B$5,A1794:A1973,1)+15)*INDEX(I1794:I1973,MATCH(Controls!$B$5,A1794:A1973,1)+15),"")</f>
        <v>0</v>
      </c>
      <c r="AB1809">
        <f t="shared" si="202"/>
        <v>0</v>
      </c>
    </row>
    <row r="1810" spans="1:28" x14ac:dyDescent="0.35">
      <c r="A1810" s="201">
        <v>46508</v>
      </c>
      <c r="B1810" t="s">
        <v>923</v>
      </c>
      <c r="C1810" t="s">
        <v>28</v>
      </c>
      <c r="D1810" t="s">
        <v>29</v>
      </c>
      <c r="E1810">
        <f>H1809</f>
        <v>3500</v>
      </c>
      <c r="F1810">
        <f>IFERROR(SUMIFS('Demand Inputs'!$K$5:$K$202,'Demand Inputs'!$A$5:$A$202,"47mg Clinical",'Demand Inputs'!$B$5:$B$202,"&lt;&gt;AGGREGATE",'Demand Inputs'!$E$5:$E$202,1),0)</f>
        <v>0</v>
      </c>
      <c r="G1810">
        <f>IFERROR(SUMPRODUCT(('Production Inputs'!$A:$A="47mg Clinical")*('Production Inputs'!$B:$B="TOTAL ACTIVE")*'Production Inputs'!$AA:$AA),0)</f>
        <v>0</v>
      </c>
      <c r="H1810">
        <f t="shared" si="196"/>
        <v>3500</v>
      </c>
      <c r="I1810" s="30">
        <f ca="1">IFERROR(AVERAGEIF(OFFSET(F1810,0,0,MIN(Controls!$B$8,COUNTIF(B1810:B$1973,B1810)),1),"&gt;"&amp;0),0)</f>
        <v>0</v>
      </c>
      <c r="J1810">
        <f t="shared" ca="1" si="197"/>
        <v>999</v>
      </c>
      <c r="K1810">
        <f t="shared" ca="1" si="198"/>
        <v>0</v>
      </c>
      <c r="L1810" t="str">
        <f t="shared" ca="1" si="199"/>
        <v>Overstock</v>
      </c>
      <c r="M1810">
        <f>IFERROR(VLOOKUP("47mg Clinical",Controls!A:I,7,0),6)</f>
        <v>6</v>
      </c>
      <c r="N1810">
        <f>IFERROR(VLOOKUP("47mg Clinical",Controls!A:I,8,0),3)</f>
        <v>4</v>
      </c>
      <c r="O1810">
        <f>IFERROR(VLOOKUP("47mg Clinical",Controls!A:I,9,0),18)</f>
        <v>12</v>
      </c>
      <c r="P1810">
        <f>IFERROR(VLOOKUP("47mg Clinical",Controls!A:J,5,0),0)</f>
        <v>1</v>
      </c>
      <c r="Q1810">
        <f>IFERROR(VLOOKUP("47mg Clinical",Controls!A:J,6,0),3)</f>
        <v>3</v>
      </c>
      <c r="R1810" t="str">
        <f>IFERROR(VLOOKUP("47mg Clinical",Controls!A:K,10,0),"")</f>
        <v>Fisher Clinical</v>
      </c>
      <c r="S1810">
        <f t="shared" si="200"/>
        <v>46419</v>
      </c>
      <c r="T1810">
        <f t="shared" si="201"/>
        <v>0</v>
      </c>
      <c r="W1810" s="205" cm="1">
        <f t="array" ref="W1810">IF(16&lt;Controls!$B$7,INDEX(A1794:A1973,MATCH(Controls!$B$5,A1794:A1973,1)+16),"")</f>
        <v>46600</v>
      </c>
      <c r="X1810" cm="1">
        <f t="array" ref="X1810">IF(16&lt;Controls!$B$7,INDEX(F1794:F1973,MATCH(Controls!$B$5,A1794:A1973,1)+16),"")</f>
        <v>0</v>
      </c>
      <c r="Y1810" cm="1">
        <f t="array" ref="Y1810">IF(16&lt;Controls!$B$7,INDEX(G1794:G1973,MATCH(Controls!$B$5,A1794:A1973,1)+16),"")</f>
        <v>0</v>
      </c>
      <c r="Z1810" cm="1">
        <f t="array" ref="Z1810">IF(16&lt;Controls!$B$7,INDEX(H1794:H1973,MATCH(Controls!$B$5,A1794:A1973,1)+16),"")</f>
        <v>3500</v>
      </c>
      <c r="AA1810" cm="1">
        <f t="array" aca="1" ref="AA1810" ca="1">IF(16&lt;Controls!$B$7,INDEX(M1794:M1973,MATCH(Controls!$B$5,A1794:A1973,1)+16)*INDEX(I1794:I1973,MATCH(Controls!$B$5,A1794:A1973,1)+16),"")</f>
        <v>0</v>
      </c>
      <c r="AB1810">
        <f t="shared" si="202"/>
        <v>0</v>
      </c>
    </row>
    <row r="1811" spans="1:28" x14ac:dyDescent="0.35">
      <c r="A1811" s="201">
        <v>46539</v>
      </c>
      <c r="B1811" t="s">
        <v>923</v>
      </c>
      <c r="C1811" t="s">
        <v>28</v>
      </c>
      <c r="D1811" t="s">
        <v>29</v>
      </c>
      <c r="E1811">
        <f>H1810</f>
        <v>3500</v>
      </c>
      <c r="F1811">
        <f>IFERROR(SUMIFS('Demand Inputs'!$K$5:$K$202,'Demand Inputs'!$A$5:$A$202,"47mg Clinical",'Demand Inputs'!$B$5:$B$202,"&lt;&gt;AGGREGATE",'Demand Inputs'!$E$5:$E$202,1),0)</f>
        <v>0</v>
      </c>
      <c r="G1811">
        <f>IFERROR(SUMPRODUCT(('Production Inputs'!$A:$A="47mg Clinical")*('Production Inputs'!$B:$B="TOTAL ACTIVE")*'Production Inputs'!$AB:$AB),0)</f>
        <v>0</v>
      </c>
      <c r="H1811">
        <f t="shared" si="196"/>
        <v>3500</v>
      </c>
      <c r="I1811" s="30">
        <f ca="1">IFERROR(AVERAGEIF(OFFSET(F1811,0,0,MIN(Controls!$B$8,COUNTIF(B1811:B$1973,B1811)),1),"&gt;"&amp;0),0)</f>
        <v>0</v>
      </c>
      <c r="J1811">
        <f t="shared" ca="1" si="197"/>
        <v>999</v>
      </c>
      <c r="K1811">
        <f t="shared" ca="1" si="198"/>
        <v>0</v>
      </c>
      <c r="L1811" t="str">
        <f t="shared" ca="1" si="199"/>
        <v>Overstock</v>
      </c>
      <c r="M1811">
        <f>IFERROR(VLOOKUP("47mg Clinical",Controls!A:I,7,0),6)</f>
        <v>6</v>
      </c>
      <c r="N1811">
        <f>IFERROR(VLOOKUP("47mg Clinical",Controls!A:I,8,0),3)</f>
        <v>4</v>
      </c>
      <c r="O1811">
        <f>IFERROR(VLOOKUP("47mg Clinical",Controls!A:I,9,0),18)</f>
        <v>12</v>
      </c>
      <c r="P1811">
        <f>IFERROR(VLOOKUP("47mg Clinical",Controls!A:J,5,0),0)</f>
        <v>1</v>
      </c>
      <c r="Q1811">
        <f>IFERROR(VLOOKUP("47mg Clinical",Controls!A:J,6,0),3)</f>
        <v>3</v>
      </c>
      <c r="R1811" t="str">
        <f>IFERROR(VLOOKUP("47mg Clinical",Controls!A:K,10,0),"")</f>
        <v>Fisher Clinical</v>
      </c>
      <c r="S1811">
        <f t="shared" si="200"/>
        <v>46447</v>
      </c>
      <c r="T1811">
        <f t="shared" si="201"/>
        <v>0</v>
      </c>
      <c r="W1811" s="205" cm="1">
        <f t="array" ref="W1811">IF(17&lt;Controls!$B$7,INDEX(A1794:A1973,MATCH(Controls!$B$5,A1794:A1973,1)+17),"")</f>
        <v>46631</v>
      </c>
      <c r="X1811" cm="1">
        <f t="array" ref="X1811">IF(17&lt;Controls!$B$7,INDEX(F1794:F1973,MATCH(Controls!$B$5,A1794:A1973,1)+17),"")</f>
        <v>0</v>
      </c>
      <c r="Y1811" cm="1">
        <f t="array" ref="Y1811">IF(17&lt;Controls!$B$7,INDEX(G1794:G1973,MATCH(Controls!$B$5,A1794:A1973,1)+17),"")</f>
        <v>0</v>
      </c>
      <c r="Z1811" cm="1">
        <f t="array" ref="Z1811">IF(17&lt;Controls!$B$7,INDEX(H1794:H1973,MATCH(Controls!$B$5,A1794:A1973,1)+17),"")</f>
        <v>3500</v>
      </c>
      <c r="AA1811" cm="1">
        <f t="array" aca="1" ref="AA1811" ca="1">IF(17&lt;Controls!$B$7,INDEX(M1794:M1973,MATCH(Controls!$B$5,A1794:A1973,1)+17)*INDEX(I1794:I1973,MATCH(Controls!$B$5,A1794:A1973,1)+17),"")</f>
        <v>0</v>
      </c>
      <c r="AB1811">
        <f t="shared" si="202"/>
        <v>0</v>
      </c>
    </row>
    <row r="1812" spans="1:28" x14ac:dyDescent="0.35">
      <c r="A1812" s="201">
        <v>46569</v>
      </c>
      <c r="B1812" t="s">
        <v>923</v>
      </c>
      <c r="C1812" t="s">
        <v>28</v>
      </c>
      <c r="D1812" t="s">
        <v>29</v>
      </c>
      <c r="E1812">
        <f>H1811</f>
        <v>3500</v>
      </c>
      <c r="F1812">
        <f>IFERROR(SUMIFS('Demand Inputs'!$K$5:$K$202,'Demand Inputs'!$A$5:$A$202,"47mg Clinical",'Demand Inputs'!$B$5:$B$202,"&lt;&gt;AGGREGATE",'Demand Inputs'!$E$5:$E$202,1),0)</f>
        <v>0</v>
      </c>
      <c r="G1812">
        <f>IFERROR(SUMPRODUCT(('Production Inputs'!$A:$A="47mg Clinical")*('Production Inputs'!$B:$B="TOTAL ACTIVE")*'Production Inputs'!$AC:$AC),0)</f>
        <v>0</v>
      </c>
      <c r="H1812">
        <f t="shared" si="196"/>
        <v>3500</v>
      </c>
      <c r="I1812" s="30">
        <f ca="1">IFERROR(AVERAGEIF(OFFSET(F1812,0,0,MIN(Controls!$B$8,COUNTIF(B1812:B$1973,B1812)),1),"&gt;"&amp;0),0)</f>
        <v>0</v>
      </c>
      <c r="J1812">
        <f t="shared" ca="1" si="197"/>
        <v>999</v>
      </c>
      <c r="K1812">
        <f t="shared" ca="1" si="198"/>
        <v>0</v>
      </c>
      <c r="L1812" t="str">
        <f t="shared" ca="1" si="199"/>
        <v>Overstock</v>
      </c>
      <c r="M1812">
        <f>IFERROR(VLOOKUP("47mg Clinical",Controls!A:I,7,0),6)</f>
        <v>6</v>
      </c>
      <c r="N1812">
        <f>IFERROR(VLOOKUP("47mg Clinical",Controls!A:I,8,0),3)</f>
        <v>4</v>
      </c>
      <c r="O1812">
        <f>IFERROR(VLOOKUP("47mg Clinical",Controls!A:I,9,0),18)</f>
        <v>12</v>
      </c>
      <c r="P1812">
        <f>IFERROR(VLOOKUP("47mg Clinical",Controls!A:J,5,0),0)</f>
        <v>1</v>
      </c>
      <c r="Q1812">
        <f>IFERROR(VLOOKUP("47mg Clinical",Controls!A:J,6,0),3)</f>
        <v>3</v>
      </c>
      <c r="R1812" t="str">
        <f>IFERROR(VLOOKUP("47mg Clinical",Controls!A:K,10,0),"")</f>
        <v>Fisher Clinical</v>
      </c>
      <c r="S1812">
        <f t="shared" si="200"/>
        <v>46478</v>
      </c>
      <c r="T1812">
        <f t="shared" si="201"/>
        <v>0</v>
      </c>
      <c r="W1812" s="205" t="str" cm="1">
        <f t="array" ref="W1812">IF(18&lt;Controls!$B$7,INDEX(A1794:A1973,MATCH(Controls!$B$5,A1794:A1973,1)+18),"")</f>
        <v/>
      </c>
      <c r="X1812" t="str" cm="1">
        <f t="array" ref="X1812">IF(18&lt;Controls!$B$7,INDEX(F1794:F1973,MATCH(Controls!$B$5,A1794:A1973,1)+18),"")</f>
        <v/>
      </c>
      <c r="Y1812" t="str" cm="1">
        <f t="array" ref="Y1812">IF(18&lt;Controls!$B$7,INDEX(G1794:G1973,MATCH(Controls!$B$5,A1794:A1973,1)+18),"")</f>
        <v/>
      </c>
      <c r="Z1812" t="str" cm="1">
        <f t="array" ref="Z1812">IF(18&lt;Controls!$B$7,INDEX(H1794:H1973,MATCH(Controls!$B$5,A1794:A1973,1)+18),"")</f>
        <v/>
      </c>
      <c r="AA1812" t="str" cm="1">
        <f t="array" ref="AA1812">IF(18&lt;Controls!$B$7,INDEX(M1794:M1973,MATCH(Controls!$B$5,A1794:A1973,1)+18)*INDEX(I1794:I1973,MATCH(Controls!$B$5,A1794:A1973,1)+18),"")</f>
        <v/>
      </c>
      <c r="AB1812">
        <f t="shared" si="202"/>
        <v>0</v>
      </c>
    </row>
    <row r="1813" spans="1:28" x14ac:dyDescent="0.35">
      <c r="A1813" s="201">
        <v>46600</v>
      </c>
      <c r="B1813" t="s">
        <v>923</v>
      </c>
      <c r="C1813" t="s">
        <v>28</v>
      </c>
      <c r="D1813" t="s">
        <v>29</v>
      </c>
      <c r="E1813">
        <f>H1812</f>
        <v>3500</v>
      </c>
      <c r="F1813">
        <f>IFERROR(SUMIFS('Demand Inputs'!$K$5:$K$202,'Demand Inputs'!$A$5:$A$202,"47mg Clinical",'Demand Inputs'!$B$5:$B$202,"&lt;&gt;AGGREGATE",'Demand Inputs'!$E$5:$E$202,1),0)</f>
        <v>0</v>
      </c>
      <c r="G1813">
        <f>IFERROR(SUMPRODUCT(('Production Inputs'!$A:$A="47mg Clinical")*('Production Inputs'!$B:$B="TOTAL ACTIVE")*'Production Inputs'!$AD:$AD),0)</f>
        <v>0</v>
      </c>
      <c r="H1813">
        <f t="shared" si="196"/>
        <v>3500</v>
      </c>
      <c r="I1813" s="30">
        <f ca="1">IFERROR(AVERAGEIF(OFFSET(F1813,0,0,MIN(Controls!$B$8,COUNTIF(B1813:B$1973,B1813)),1),"&gt;"&amp;0),0)</f>
        <v>0</v>
      </c>
      <c r="J1813">
        <f t="shared" ca="1" si="197"/>
        <v>999</v>
      </c>
      <c r="K1813">
        <f t="shared" ca="1" si="198"/>
        <v>0</v>
      </c>
      <c r="L1813" t="str">
        <f t="shared" ca="1" si="199"/>
        <v>Overstock</v>
      </c>
      <c r="M1813">
        <f>IFERROR(VLOOKUP("47mg Clinical",Controls!A:I,7,0),6)</f>
        <v>6</v>
      </c>
      <c r="N1813">
        <f>IFERROR(VLOOKUP("47mg Clinical",Controls!A:I,8,0),3)</f>
        <v>4</v>
      </c>
      <c r="O1813">
        <f>IFERROR(VLOOKUP("47mg Clinical",Controls!A:I,9,0),18)</f>
        <v>12</v>
      </c>
      <c r="P1813">
        <f>IFERROR(VLOOKUP("47mg Clinical",Controls!A:J,5,0),0)</f>
        <v>1</v>
      </c>
      <c r="Q1813">
        <f>IFERROR(VLOOKUP("47mg Clinical",Controls!A:J,6,0),3)</f>
        <v>3</v>
      </c>
      <c r="R1813" t="str">
        <f>IFERROR(VLOOKUP("47mg Clinical",Controls!A:K,10,0),"")</f>
        <v>Fisher Clinical</v>
      </c>
      <c r="S1813">
        <f t="shared" si="200"/>
        <v>46508</v>
      </c>
      <c r="T1813">
        <f t="shared" si="201"/>
        <v>0</v>
      </c>
      <c r="W1813" s="205" t="str" cm="1">
        <f t="array" ref="W1813">IF(19&lt;Controls!$B$7,INDEX(A1794:A1973,MATCH(Controls!$B$5,A1794:A1973,1)+19),"")</f>
        <v/>
      </c>
      <c r="X1813" t="str" cm="1">
        <f t="array" ref="X1813">IF(19&lt;Controls!$B$7,INDEX(F1794:F1973,MATCH(Controls!$B$5,A1794:A1973,1)+19),"")</f>
        <v/>
      </c>
      <c r="Y1813" t="str" cm="1">
        <f t="array" ref="Y1813">IF(19&lt;Controls!$B$7,INDEX(G1794:G1973,MATCH(Controls!$B$5,A1794:A1973,1)+19),"")</f>
        <v/>
      </c>
      <c r="Z1813" t="str" cm="1">
        <f t="array" ref="Z1813">IF(19&lt;Controls!$B$7,INDEX(H1794:H1973,MATCH(Controls!$B$5,A1794:A1973,1)+19),"")</f>
        <v/>
      </c>
      <c r="AA1813" t="str" cm="1">
        <f t="array" ref="AA1813">IF(19&lt;Controls!$B$7,INDEX(M1794:M1973,MATCH(Controls!$B$5,A1794:A1973,1)+19)*INDEX(I1794:I1973,MATCH(Controls!$B$5,A1794:A1973,1)+19),"")</f>
        <v/>
      </c>
      <c r="AB1813">
        <f t="shared" si="202"/>
        <v>0</v>
      </c>
    </row>
    <row r="1814" spans="1:28" x14ac:dyDescent="0.35">
      <c r="A1814" s="201">
        <v>46631</v>
      </c>
      <c r="B1814" t="s">
        <v>923</v>
      </c>
      <c r="C1814" t="s">
        <v>28</v>
      </c>
      <c r="D1814" t="s">
        <v>29</v>
      </c>
      <c r="E1814">
        <f>H1813</f>
        <v>3500</v>
      </c>
      <c r="F1814">
        <f>IFERROR(SUMIFS('Demand Inputs'!$K$5:$K$202,'Demand Inputs'!$A$5:$A$202,"47mg Clinical",'Demand Inputs'!$B$5:$B$202,"&lt;&gt;AGGREGATE",'Demand Inputs'!$E$5:$E$202,1),0)</f>
        <v>0</v>
      </c>
      <c r="G1814">
        <f>IFERROR(SUMPRODUCT(('Production Inputs'!$A:$A="47mg Clinical")*('Production Inputs'!$B:$B="TOTAL ACTIVE")*'Production Inputs'!$AE:$AE),0)</f>
        <v>0</v>
      </c>
      <c r="H1814">
        <f t="shared" si="196"/>
        <v>3500</v>
      </c>
      <c r="I1814" s="30">
        <f ca="1">IFERROR(AVERAGEIF(OFFSET(F1814,0,0,MIN(Controls!$B$8,COUNTIF(B1814:B$1973,B1814)),1),"&gt;"&amp;0),0)</f>
        <v>0</v>
      </c>
      <c r="J1814">
        <f t="shared" ca="1" si="197"/>
        <v>999</v>
      </c>
      <c r="K1814">
        <f t="shared" ca="1" si="198"/>
        <v>0</v>
      </c>
      <c r="L1814" t="str">
        <f t="shared" ca="1" si="199"/>
        <v>Overstock</v>
      </c>
      <c r="M1814">
        <f>IFERROR(VLOOKUP("47mg Clinical",Controls!A:I,7,0),6)</f>
        <v>6</v>
      </c>
      <c r="N1814">
        <f>IFERROR(VLOOKUP("47mg Clinical",Controls!A:I,8,0),3)</f>
        <v>4</v>
      </c>
      <c r="O1814">
        <f>IFERROR(VLOOKUP("47mg Clinical",Controls!A:I,9,0),18)</f>
        <v>12</v>
      </c>
      <c r="P1814">
        <f>IFERROR(VLOOKUP("47mg Clinical",Controls!A:J,5,0),0)</f>
        <v>1</v>
      </c>
      <c r="Q1814">
        <f>IFERROR(VLOOKUP("47mg Clinical",Controls!A:J,6,0),3)</f>
        <v>3</v>
      </c>
      <c r="R1814" t="str">
        <f>IFERROR(VLOOKUP("47mg Clinical",Controls!A:K,10,0),"")</f>
        <v>Fisher Clinical</v>
      </c>
      <c r="S1814">
        <f t="shared" si="200"/>
        <v>46539</v>
      </c>
      <c r="T1814">
        <f t="shared" si="201"/>
        <v>0</v>
      </c>
      <c r="W1814" s="205" t="str" cm="1">
        <f t="array" ref="W1814">IF(20&lt;Controls!$B$7,INDEX(A1794:A1973,MATCH(Controls!$B$5,A1794:A1973,1)+20),"")</f>
        <v/>
      </c>
      <c r="X1814" t="str" cm="1">
        <f t="array" ref="X1814">IF(20&lt;Controls!$B$7,INDEX(F1794:F1973,MATCH(Controls!$B$5,A1794:A1973,1)+20),"")</f>
        <v/>
      </c>
      <c r="Y1814" t="str" cm="1">
        <f t="array" ref="Y1814">IF(20&lt;Controls!$B$7,INDEX(G1794:G1973,MATCH(Controls!$B$5,A1794:A1973,1)+20),"")</f>
        <v/>
      </c>
      <c r="Z1814" t="str" cm="1">
        <f t="array" ref="Z1814">IF(20&lt;Controls!$B$7,INDEX(H1794:H1973,MATCH(Controls!$B$5,A1794:A1973,1)+20),"")</f>
        <v/>
      </c>
      <c r="AA1814" t="str" cm="1">
        <f t="array" ref="AA1814">IF(20&lt;Controls!$B$7,INDEX(M1794:M1973,MATCH(Controls!$B$5,A1794:A1973,1)+20)*INDEX(I1794:I1973,MATCH(Controls!$B$5,A1794:A1973,1)+20),"")</f>
        <v/>
      </c>
      <c r="AB1814">
        <f t="shared" si="202"/>
        <v>0</v>
      </c>
    </row>
    <row r="1815" spans="1:28" x14ac:dyDescent="0.35">
      <c r="A1815" s="201">
        <v>46661</v>
      </c>
      <c r="B1815" t="s">
        <v>923</v>
      </c>
      <c r="C1815" t="s">
        <v>28</v>
      </c>
      <c r="D1815" t="s">
        <v>29</v>
      </c>
      <c r="E1815">
        <f>H1814</f>
        <v>3500</v>
      </c>
      <c r="F1815">
        <f>IFERROR(SUMIFS('Demand Inputs'!$K$5:$K$202,'Demand Inputs'!$A$5:$A$202,"47mg Clinical",'Demand Inputs'!$B$5:$B$202,"&lt;&gt;AGGREGATE",'Demand Inputs'!$E$5:$E$202,1),0)</f>
        <v>0</v>
      </c>
      <c r="G1815">
        <f>IFERROR(SUMPRODUCT(('Production Inputs'!$A:$A="47mg Clinical")*('Production Inputs'!$B:$B="TOTAL ACTIVE")*'Production Inputs'!$AF:$AF),0)</f>
        <v>0</v>
      </c>
      <c r="H1815">
        <f t="shared" si="196"/>
        <v>3500</v>
      </c>
      <c r="I1815" s="30">
        <f ca="1">IFERROR(AVERAGEIF(OFFSET(F1815,0,0,MIN(Controls!$B$8,COUNTIF(B1815:B$1973,B1815)),1),"&gt;"&amp;0),0)</f>
        <v>0</v>
      </c>
      <c r="J1815">
        <f t="shared" ca="1" si="197"/>
        <v>999</v>
      </c>
      <c r="K1815">
        <f t="shared" ca="1" si="198"/>
        <v>0</v>
      </c>
      <c r="L1815" t="str">
        <f t="shared" ca="1" si="199"/>
        <v>Overstock</v>
      </c>
      <c r="M1815">
        <f>IFERROR(VLOOKUP("47mg Clinical",Controls!A:I,7,0),6)</f>
        <v>6</v>
      </c>
      <c r="N1815">
        <f>IFERROR(VLOOKUP("47mg Clinical",Controls!A:I,8,0),3)</f>
        <v>4</v>
      </c>
      <c r="O1815">
        <f>IFERROR(VLOOKUP("47mg Clinical",Controls!A:I,9,0),18)</f>
        <v>12</v>
      </c>
      <c r="P1815">
        <f>IFERROR(VLOOKUP("47mg Clinical",Controls!A:J,5,0),0)</f>
        <v>1</v>
      </c>
      <c r="Q1815">
        <f>IFERROR(VLOOKUP("47mg Clinical",Controls!A:J,6,0),3)</f>
        <v>3</v>
      </c>
      <c r="R1815" t="str">
        <f>IFERROR(VLOOKUP("47mg Clinical",Controls!A:K,10,0),"")</f>
        <v>Fisher Clinical</v>
      </c>
      <c r="S1815">
        <f t="shared" si="200"/>
        <v>46569</v>
      </c>
      <c r="T1815">
        <f t="shared" si="201"/>
        <v>0</v>
      </c>
      <c r="W1815" s="205" t="str" cm="1">
        <f t="array" ref="W1815">IF(21&lt;Controls!$B$7,INDEX(A1794:A1973,MATCH(Controls!$B$5,A1794:A1973,1)+21),"")</f>
        <v/>
      </c>
      <c r="X1815" t="str" cm="1">
        <f t="array" ref="X1815">IF(21&lt;Controls!$B$7,INDEX(F1794:F1973,MATCH(Controls!$B$5,A1794:A1973,1)+21),"")</f>
        <v/>
      </c>
      <c r="Y1815" t="str" cm="1">
        <f t="array" ref="Y1815">IF(21&lt;Controls!$B$7,INDEX(G1794:G1973,MATCH(Controls!$B$5,A1794:A1973,1)+21),"")</f>
        <v/>
      </c>
      <c r="Z1815" t="str" cm="1">
        <f t="array" ref="Z1815">IF(21&lt;Controls!$B$7,INDEX(H1794:H1973,MATCH(Controls!$B$5,A1794:A1973,1)+21),"")</f>
        <v/>
      </c>
      <c r="AA1815" t="str" cm="1">
        <f t="array" ref="AA1815">IF(21&lt;Controls!$B$7,INDEX(M1794:M1973,MATCH(Controls!$B$5,A1794:A1973,1)+21)*INDEX(I1794:I1973,MATCH(Controls!$B$5,A1794:A1973,1)+21),"")</f>
        <v/>
      </c>
      <c r="AB1815">
        <f t="shared" si="202"/>
        <v>0</v>
      </c>
    </row>
    <row r="1816" spans="1:28" x14ac:dyDescent="0.35">
      <c r="A1816" s="201">
        <v>46692</v>
      </c>
      <c r="B1816" t="s">
        <v>923</v>
      </c>
      <c r="C1816" t="s">
        <v>28</v>
      </c>
      <c r="D1816" t="s">
        <v>29</v>
      </c>
      <c r="E1816">
        <f>H1815</f>
        <v>3500</v>
      </c>
      <c r="F1816">
        <f>IFERROR(SUMIFS('Demand Inputs'!$K$5:$K$202,'Demand Inputs'!$A$5:$A$202,"47mg Clinical",'Demand Inputs'!$B$5:$B$202,"&lt;&gt;AGGREGATE",'Demand Inputs'!$E$5:$E$202,1),0)</f>
        <v>0</v>
      </c>
      <c r="G1816">
        <f>IFERROR(SUMPRODUCT(('Production Inputs'!$A:$A="47mg Clinical")*('Production Inputs'!$B:$B="TOTAL ACTIVE")*'Production Inputs'!$AG:$AG),0)</f>
        <v>0</v>
      </c>
      <c r="H1816">
        <f t="shared" si="196"/>
        <v>3500</v>
      </c>
      <c r="I1816" s="30">
        <f ca="1">IFERROR(AVERAGEIF(OFFSET(F1816,0,0,MIN(Controls!$B$8,COUNTIF(B1816:B$1973,B1816)),1),"&gt;"&amp;0),0)</f>
        <v>0</v>
      </c>
      <c r="J1816">
        <f t="shared" ca="1" si="197"/>
        <v>999</v>
      </c>
      <c r="K1816">
        <f t="shared" ca="1" si="198"/>
        <v>0</v>
      </c>
      <c r="L1816" t="str">
        <f t="shared" ca="1" si="199"/>
        <v>Overstock</v>
      </c>
      <c r="M1816">
        <f>IFERROR(VLOOKUP("47mg Clinical",Controls!A:I,7,0),6)</f>
        <v>6</v>
      </c>
      <c r="N1816">
        <f>IFERROR(VLOOKUP("47mg Clinical",Controls!A:I,8,0),3)</f>
        <v>4</v>
      </c>
      <c r="O1816">
        <f>IFERROR(VLOOKUP("47mg Clinical",Controls!A:I,9,0),18)</f>
        <v>12</v>
      </c>
      <c r="P1816">
        <f>IFERROR(VLOOKUP("47mg Clinical",Controls!A:J,5,0),0)</f>
        <v>1</v>
      </c>
      <c r="Q1816">
        <f>IFERROR(VLOOKUP("47mg Clinical",Controls!A:J,6,0),3)</f>
        <v>3</v>
      </c>
      <c r="R1816" t="str">
        <f>IFERROR(VLOOKUP("47mg Clinical",Controls!A:K,10,0),"")</f>
        <v>Fisher Clinical</v>
      </c>
      <c r="S1816">
        <f t="shared" si="200"/>
        <v>46600</v>
      </c>
      <c r="T1816">
        <f t="shared" si="201"/>
        <v>0</v>
      </c>
      <c r="W1816" s="205" t="str" cm="1">
        <f t="array" ref="W1816">IF(22&lt;Controls!$B$7,INDEX(A1794:A1973,MATCH(Controls!$B$5,A1794:A1973,1)+22),"")</f>
        <v/>
      </c>
      <c r="X1816" t="str" cm="1">
        <f t="array" ref="X1816">IF(22&lt;Controls!$B$7,INDEX(F1794:F1973,MATCH(Controls!$B$5,A1794:A1973,1)+22),"")</f>
        <v/>
      </c>
      <c r="Y1816" t="str" cm="1">
        <f t="array" ref="Y1816">IF(22&lt;Controls!$B$7,INDEX(G1794:G1973,MATCH(Controls!$B$5,A1794:A1973,1)+22),"")</f>
        <v/>
      </c>
      <c r="Z1816" t="str" cm="1">
        <f t="array" ref="Z1816">IF(22&lt;Controls!$B$7,INDEX(H1794:H1973,MATCH(Controls!$B$5,A1794:A1973,1)+22),"")</f>
        <v/>
      </c>
      <c r="AA1816" t="str" cm="1">
        <f t="array" ref="AA1816">IF(22&lt;Controls!$B$7,INDEX(M1794:M1973,MATCH(Controls!$B$5,A1794:A1973,1)+22)*INDEX(I1794:I1973,MATCH(Controls!$B$5,A1794:A1973,1)+22),"")</f>
        <v/>
      </c>
      <c r="AB1816">
        <f t="shared" si="202"/>
        <v>0</v>
      </c>
    </row>
    <row r="1817" spans="1:28" x14ac:dyDescent="0.35">
      <c r="A1817" s="201">
        <v>46722</v>
      </c>
      <c r="B1817" t="s">
        <v>923</v>
      </c>
      <c r="C1817" t="s">
        <v>28</v>
      </c>
      <c r="D1817" t="s">
        <v>29</v>
      </c>
      <c r="E1817">
        <f>H1816</f>
        <v>3500</v>
      </c>
      <c r="F1817">
        <f>IFERROR(SUMIFS('Demand Inputs'!$K$5:$K$202,'Demand Inputs'!$A$5:$A$202,"47mg Clinical",'Demand Inputs'!$B$5:$B$202,"&lt;&gt;AGGREGATE",'Demand Inputs'!$E$5:$E$202,1),0)</f>
        <v>0</v>
      </c>
      <c r="G1817">
        <f>IFERROR(SUMPRODUCT(('Production Inputs'!$A:$A="47mg Clinical")*('Production Inputs'!$B:$B="TOTAL ACTIVE")*'Production Inputs'!$AH:$AH),0)</f>
        <v>0</v>
      </c>
      <c r="H1817">
        <f t="shared" si="196"/>
        <v>3500</v>
      </c>
      <c r="I1817" s="30">
        <f ca="1">IFERROR(AVERAGEIF(OFFSET(F1817,0,0,MIN(Controls!$B$8,COUNTIF(B1817:B$1973,B1817)),1),"&gt;"&amp;0),0)</f>
        <v>0</v>
      </c>
      <c r="J1817">
        <f t="shared" ca="1" si="197"/>
        <v>999</v>
      </c>
      <c r="K1817">
        <f t="shared" ca="1" si="198"/>
        <v>0</v>
      </c>
      <c r="L1817" t="str">
        <f t="shared" ca="1" si="199"/>
        <v>Overstock</v>
      </c>
      <c r="M1817">
        <f>IFERROR(VLOOKUP("47mg Clinical",Controls!A:I,7,0),6)</f>
        <v>6</v>
      </c>
      <c r="N1817">
        <f>IFERROR(VLOOKUP("47mg Clinical",Controls!A:I,8,0),3)</f>
        <v>4</v>
      </c>
      <c r="O1817">
        <f>IFERROR(VLOOKUP("47mg Clinical",Controls!A:I,9,0),18)</f>
        <v>12</v>
      </c>
      <c r="P1817">
        <f>IFERROR(VLOOKUP("47mg Clinical",Controls!A:J,5,0),0)</f>
        <v>1</v>
      </c>
      <c r="Q1817">
        <f>IFERROR(VLOOKUP("47mg Clinical",Controls!A:J,6,0),3)</f>
        <v>3</v>
      </c>
      <c r="R1817" t="str">
        <f>IFERROR(VLOOKUP("47mg Clinical",Controls!A:K,10,0),"")</f>
        <v>Fisher Clinical</v>
      </c>
      <c r="S1817">
        <f t="shared" si="200"/>
        <v>46631</v>
      </c>
      <c r="T1817">
        <f t="shared" si="201"/>
        <v>0</v>
      </c>
      <c r="W1817" s="205" t="str" cm="1">
        <f t="array" ref="W1817">IF(23&lt;Controls!$B$7,INDEX(A1794:A1973,MATCH(Controls!$B$5,A1794:A1973,1)+23),"")</f>
        <v/>
      </c>
      <c r="X1817" t="str" cm="1">
        <f t="array" ref="X1817">IF(23&lt;Controls!$B$7,INDEX(F1794:F1973,MATCH(Controls!$B$5,A1794:A1973,1)+23),"")</f>
        <v/>
      </c>
      <c r="Y1817" t="str" cm="1">
        <f t="array" ref="Y1817">IF(23&lt;Controls!$B$7,INDEX(G1794:G1973,MATCH(Controls!$B$5,A1794:A1973,1)+23),"")</f>
        <v/>
      </c>
      <c r="Z1817" t="str" cm="1">
        <f t="array" ref="Z1817">IF(23&lt;Controls!$B$7,INDEX(H1794:H1973,MATCH(Controls!$B$5,A1794:A1973,1)+23),"")</f>
        <v/>
      </c>
      <c r="AA1817" t="str" cm="1">
        <f t="array" ref="AA1817">IF(23&lt;Controls!$B$7,INDEX(M1794:M1973,MATCH(Controls!$B$5,A1794:A1973,1)+23)*INDEX(I1794:I1973,MATCH(Controls!$B$5,A1794:A1973,1)+23),"")</f>
        <v/>
      </c>
      <c r="AB1817">
        <f t="shared" si="202"/>
        <v>0</v>
      </c>
    </row>
    <row r="1818" spans="1:28" x14ac:dyDescent="0.35">
      <c r="A1818" s="201">
        <v>46753</v>
      </c>
      <c r="B1818" t="s">
        <v>923</v>
      </c>
      <c r="C1818" t="s">
        <v>28</v>
      </c>
      <c r="D1818" t="s">
        <v>29</v>
      </c>
      <c r="E1818">
        <f>H1817</f>
        <v>3500</v>
      </c>
      <c r="F1818">
        <f>IFERROR(SUMIFS('Demand Inputs'!$K$5:$K$202,'Demand Inputs'!$A$5:$A$202,"47mg Clinical",'Demand Inputs'!$B$5:$B$202,"&lt;&gt;AGGREGATE",'Demand Inputs'!$E$5:$E$202,1),0)</f>
        <v>0</v>
      </c>
      <c r="G1818">
        <f>IFERROR(SUMPRODUCT(('Production Inputs'!$A:$A="47mg Clinical")*('Production Inputs'!$B:$B="TOTAL ACTIVE")*'Production Inputs'!$AI:$AI),0)</f>
        <v>0</v>
      </c>
      <c r="H1818">
        <f t="shared" si="196"/>
        <v>3500</v>
      </c>
      <c r="I1818" s="30">
        <f ca="1">IFERROR(AVERAGEIF(OFFSET(F1818,0,0,MIN(Controls!$B$8,COUNTIF(B1818:B$1973,B1818)),1),"&gt;"&amp;0),0)</f>
        <v>0</v>
      </c>
      <c r="J1818">
        <f t="shared" ca="1" si="197"/>
        <v>999</v>
      </c>
      <c r="K1818">
        <f t="shared" ca="1" si="198"/>
        <v>0</v>
      </c>
      <c r="L1818" t="str">
        <f t="shared" ca="1" si="199"/>
        <v>Overstock</v>
      </c>
      <c r="M1818">
        <f>IFERROR(VLOOKUP("47mg Clinical",Controls!A:I,7,0),6)</f>
        <v>6</v>
      </c>
      <c r="N1818">
        <f>IFERROR(VLOOKUP("47mg Clinical",Controls!A:I,8,0),3)</f>
        <v>4</v>
      </c>
      <c r="O1818">
        <f>IFERROR(VLOOKUP("47mg Clinical",Controls!A:I,9,0),18)</f>
        <v>12</v>
      </c>
      <c r="P1818">
        <f>IFERROR(VLOOKUP("47mg Clinical",Controls!A:J,5,0),0)</f>
        <v>1</v>
      </c>
      <c r="Q1818">
        <f>IFERROR(VLOOKUP("47mg Clinical",Controls!A:J,6,0),3)</f>
        <v>3</v>
      </c>
      <c r="R1818" t="str">
        <f>IFERROR(VLOOKUP("47mg Clinical",Controls!A:K,10,0),"")</f>
        <v>Fisher Clinical</v>
      </c>
      <c r="S1818">
        <f t="shared" si="200"/>
        <v>46661</v>
      </c>
      <c r="T1818">
        <f t="shared" si="201"/>
        <v>0</v>
      </c>
      <c r="W1818" s="205" t="str" cm="1">
        <f t="array" ref="W1818">IF(24&lt;Controls!$B$7,INDEX(A1794:A1973,MATCH(Controls!$B$5,A1794:A1973,1)+24),"")</f>
        <v/>
      </c>
      <c r="X1818" t="str" cm="1">
        <f t="array" ref="X1818">IF(24&lt;Controls!$B$7,INDEX(F1794:F1973,MATCH(Controls!$B$5,A1794:A1973,1)+24),"")</f>
        <v/>
      </c>
      <c r="Y1818" t="str" cm="1">
        <f t="array" ref="Y1818">IF(24&lt;Controls!$B$7,INDEX(G1794:G1973,MATCH(Controls!$B$5,A1794:A1973,1)+24),"")</f>
        <v/>
      </c>
      <c r="Z1818" t="str" cm="1">
        <f t="array" ref="Z1818">IF(24&lt;Controls!$B$7,INDEX(H1794:H1973,MATCH(Controls!$B$5,A1794:A1973,1)+24),"")</f>
        <v/>
      </c>
      <c r="AA1818" t="str" cm="1">
        <f t="array" ref="AA1818">IF(24&lt;Controls!$B$7,INDEX(M1794:M1973,MATCH(Controls!$B$5,A1794:A1973,1)+24)*INDEX(I1794:I1973,MATCH(Controls!$B$5,A1794:A1973,1)+24),"")</f>
        <v/>
      </c>
      <c r="AB1818">
        <f t="shared" si="202"/>
        <v>0</v>
      </c>
    </row>
    <row r="1819" spans="1:28" x14ac:dyDescent="0.35">
      <c r="A1819" s="201">
        <v>46784</v>
      </c>
      <c r="B1819" t="s">
        <v>923</v>
      </c>
      <c r="C1819" t="s">
        <v>28</v>
      </c>
      <c r="D1819" t="s">
        <v>29</v>
      </c>
      <c r="E1819">
        <f>H1818</f>
        <v>3500</v>
      </c>
      <c r="F1819">
        <f>IFERROR(SUMIFS('Demand Inputs'!$K$5:$K$202,'Demand Inputs'!$A$5:$A$202,"47mg Clinical",'Demand Inputs'!$B$5:$B$202,"&lt;&gt;AGGREGATE",'Demand Inputs'!$E$5:$E$202,1),0)</f>
        <v>0</v>
      </c>
      <c r="G1819">
        <f>IFERROR(SUMPRODUCT(('Production Inputs'!$A:$A="47mg Clinical")*('Production Inputs'!$B:$B="TOTAL ACTIVE")*'Production Inputs'!$AJ:$AJ),0)</f>
        <v>0</v>
      </c>
      <c r="H1819">
        <f t="shared" si="196"/>
        <v>3500</v>
      </c>
      <c r="I1819" s="30">
        <f ca="1">IFERROR(AVERAGEIF(OFFSET(F1819,0,0,MIN(Controls!$B$8,COUNTIF(B1819:B$1973,B1819)),1),"&gt;"&amp;0),0)</f>
        <v>0</v>
      </c>
      <c r="J1819">
        <f t="shared" ca="1" si="197"/>
        <v>999</v>
      </c>
      <c r="K1819">
        <f t="shared" ca="1" si="198"/>
        <v>0</v>
      </c>
      <c r="L1819" t="str">
        <f t="shared" ca="1" si="199"/>
        <v>Overstock</v>
      </c>
      <c r="M1819">
        <f>IFERROR(VLOOKUP("47mg Clinical",Controls!A:I,7,0),6)</f>
        <v>6</v>
      </c>
      <c r="N1819">
        <f>IFERROR(VLOOKUP("47mg Clinical",Controls!A:I,8,0),3)</f>
        <v>4</v>
      </c>
      <c r="O1819">
        <f>IFERROR(VLOOKUP("47mg Clinical",Controls!A:I,9,0),18)</f>
        <v>12</v>
      </c>
      <c r="P1819">
        <f>IFERROR(VLOOKUP("47mg Clinical",Controls!A:J,5,0),0)</f>
        <v>1</v>
      </c>
      <c r="Q1819">
        <f>IFERROR(VLOOKUP("47mg Clinical",Controls!A:J,6,0),3)</f>
        <v>3</v>
      </c>
      <c r="R1819" t="str">
        <f>IFERROR(VLOOKUP("47mg Clinical",Controls!A:K,10,0),"")</f>
        <v>Fisher Clinical</v>
      </c>
      <c r="S1819">
        <f t="shared" si="200"/>
        <v>46692</v>
      </c>
      <c r="T1819">
        <f t="shared" si="201"/>
        <v>0</v>
      </c>
      <c r="W1819" s="205" t="str" cm="1">
        <f t="array" ref="W1819">IF(25&lt;Controls!$B$7,INDEX(A1794:A1973,MATCH(Controls!$B$5,A1794:A1973,1)+25),"")</f>
        <v/>
      </c>
      <c r="X1819" t="str" cm="1">
        <f t="array" ref="X1819">IF(25&lt;Controls!$B$7,INDEX(F1794:F1973,MATCH(Controls!$B$5,A1794:A1973,1)+25),"")</f>
        <v/>
      </c>
      <c r="Y1819" t="str" cm="1">
        <f t="array" ref="Y1819">IF(25&lt;Controls!$B$7,INDEX(G1794:G1973,MATCH(Controls!$B$5,A1794:A1973,1)+25),"")</f>
        <v/>
      </c>
      <c r="Z1819" t="str" cm="1">
        <f t="array" ref="Z1819">IF(25&lt;Controls!$B$7,INDEX(H1794:H1973,MATCH(Controls!$B$5,A1794:A1973,1)+25),"")</f>
        <v/>
      </c>
      <c r="AA1819" t="str" cm="1">
        <f t="array" ref="AA1819">IF(25&lt;Controls!$B$7,INDEX(M1794:M1973,MATCH(Controls!$B$5,A1794:A1973,1)+25)*INDEX(I1794:I1973,MATCH(Controls!$B$5,A1794:A1973,1)+25),"")</f>
        <v/>
      </c>
      <c r="AB1819">
        <f t="shared" si="202"/>
        <v>0</v>
      </c>
    </row>
    <row r="1820" spans="1:28" x14ac:dyDescent="0.35">
      <c r="A1820" s="201">
        <v>46813</v>
      </c>
      <c r="B1820" t="s">
        <v>923</v>
      </c>
      <c r="C1820" t="s">
        <v>28</v>
      </c>
      <c r="D1820" t="s">
        <v>29</v>
      </c>
      <c r="E1820">
        <f>H1819</f>
        <v>3500</v>
      </c>
      <c r="F1820">
        <f>IFERROR(SUMIFS('Demand Inputs'!$K$5:$K$202,'Demand Inputs'!$A$5:$A$202,"47mg Clinical",'Demand Inputs'!$B$5:$B$202,"&lt;&gt;AGGREGATE",'Demand Inputs'!$E$5:$E$202,1),0)</f>
        <v>0</v>
      </c>
      <c r="G1820">
        <f>IFERROR(SUMPRODUCT(('Production Inputs'!$A:$A="47mg Clinical")*('Production Inputs'!$B:$B="TOTAL ACTIVE")*'Production Inputs'!$AK:$AK),0)</f>
        <v>0</v>
      </c>
      <c r="H1820">
        <f t="shared" si="196"/>
        <v>3500</v>
      </c>
      <c r="I1820" s="30">
        <f ca="1">IFERROR(AVERAGEIF(OFFSET(F1820,0,0,MIN(Controls!$B$8,COUNTIF(B1820:B$1973,B1820)),1),"&gt;"&amp;0),0)</f>
        <v>0</v>
      </c>
      <c r="J1820">
        <f t="shared" ca="1" si="197"/>
        <v>999</v>
      </c>
      <c r="K1820">
        <f t="shared" ca="1" si="198"/>
        <v>0</v>
      </c>
      <c r="L1820" t="str">
        <f t="shared" ca="1" si="199"/>
        <v>Overstock</v>
      </c>
      <c r="M1820">
        <f>IFERROR(VLOOKUP("47mg Clinical",Controls!A:I,7,0),6)</f>
        <v>6</v>
      </c>
      <c r="N1820">
        <f>IFERROR(VLOOKUP("47mg Clinical",Controls!A:I,8,0),3)</f>
        <v>4</v>
      </c>
      <c r="O1820">
        <f>IFERROR(VLOOKUP("47mg Clinical",Controls!A:I,9,0),18)</f>
        <v>12</v>
      </c>
      <c r="P1820">
        <f>IFERROR(VLOOKUP("47mg Clinical",Controls!A:J,5,0),0)</f>
        <v>1</v>
      </c>
      <c r="Q1820">
        <f>IFERROR(VLOOKUP("47mg Clinical",Controls!A:J,6,0),3)</f>
        <v>3</v>
      </c>
      <c r="R1820" t="str">
        <f>IFERROR(VLOOKUP("47mg Clinical",Controls!A:K,10,0),"")</f>
        <v>Fisher Clinical</v>
      </c>
      <c r="S1820">
        <f t="shared" si="200"/>
        <v>46722</v>
      </c>
      <c r="T1820">
        <f t="shared" si="201"/>
        <v>0</v>
      </c>
      <c r="W1820" s="205" t="str" cm="1">
        <f t="array" ref="W1820">IF(26&lt;Controls!$B$7,INDEX(A1794:A1973,MATCH(Controls!$B$5,A1794:A1973,1)+26),"")</f>
        <v/>
      </c>
      <c r="X1820" t="str" cm="1">
        <f t="array" ref="X1820">IF(26&lt;Controls!$B$7,INDEX(F1794:F1973,MATCH(Controls!$B$5,A1794:A1973,1)+26),"")</f>
        <v/>
      </c>
      <c r="Y1820" t="str" cm="1">
        <f t="array" ref="Y1820">IF(26&lt;Controls!$B$7,INDEX(G1794:G1973,MATCH(Controls!$B$5,A1794:A1973,1)+26),"")</f>
        <v/>
      </c>
      <c r="Z1820" t="str" cm="1">
        <f t="array" ref="Z1820">IF(26&lt;Controls!$B$7,INDEX(H1794:H1973,MATCH(Controls!$B$5,A1794:A1973,1)+26),"")</f>
        <v/>
      </c>
      <c r="AA1820" t="str" cm="1">
        <f t="array" ref="AA1820">IF(26&lt;Controls!$B$7,INDEX(M1794:M1973,MATCH(Controls!$B$5,A1794:A1973,1)+26)*INDEX(I1794:I1973,MATCH(Controls!$B$5,A1794:A1973,1)+26),"")</f>
        <v/>
      </c>
      <c r="AB1820">
        <f t="shared" si="202"/>
        <v>0</v>
      </c>
    </row>
    <row r="1821" spans="1:28" x14ac:dyDescent="0.35">
      <c r="A1821" s="201">
        <v>46844</v>
      </c>
      <c r="B1821" t="s">
        <v>923</v>
      </c>
      <c r="C1821" t="s">
        <v>28</v>
      </c>
      <c r="D1821" t="s">
        <v>29</v>
      </c>
      <c r="E1821">
        <f>H1820</f>
        <v>3500</v>
      </c>
      <c r="F1821">
        <f>IFERROR(SUMIFS('Demand Inputs'!$K$5:$K$202,'Demand Inputs'!$A$5:$A$202,"47mg Clinical",'Demand Inputs'!$B$5:$B$202,"&lt;&gt;AGGREGATE",'Demand Inputs'!$E$5:$E$202,1),0)</f>
        <v>0</v>
      </c>
      <c r="G1821">
        <f>IFERROR(SUMPRODUCT(('Production Inputs'!$A:$A="47mg Clinical")*('Production Inputs'!$B:$B="TOTAL ACTIVE")*'Production Inputs'!$AL:$AL),0)</f>
        <v>0</v>
      </c>
      <c r="H1821">
        <f t="shared" si="196"/>
        <v>3500</v>
      </c>
      <c r="I1821" s="30">
        <f ca="1">IFERROR(AVERAGEIF(OFFSET(F1821,0,0,MIN(Controls!$B$8,COUNTIF(B1821:B$1973,B1821)),1),"&gt;"&amp;0),0)</f>
        <v>0</v>
      </c>
      <c r="J1821">
        <f t="shared" ca="1" si="197"/>
        <v>999</v>
      </c>
      <c r="K1821">
        <f t="shared" ca="1" si="198"/>
        <v>0</v>
      </c>
      <c r="L1821" t="str">
        <f t="shared" ca="1" si="199"/>
        <v>Overstock</v>
      </c>
      <c r="M1821">
        <f>IFERROR(VLOOKUP("47mg Clinical",Controls!A:I,7,0),6)</f>
        <v>6</v>
      </c>
      <c r="N1821">
        <f>IFERROR(VLOOKUP("47mg Clinical",Controls!A:I,8,0),3)</f>
        <v>4</v>
      </c>
      <c r="O1821">
        <f>IFERROR(VLOOKUP("47mg Clinical",Controls!A:I,9,0),18)</f>
        <v>12</v>
      </c>
      <c r="P1821">
        <f>IFERROR(VLOOKUP("47mg Clinical",Controls!A:J,5,0),0)</f>
        <v>1</v>
      </c>
      <c r="Q1821">
        <f>IFERROR(VLOOKUP("47mg Clinical",Controls!A:J,6,0),3)</f>
        <v>3</v>
      </c>
      <c r="R1821" t="str">
        <f>IFERROR(VLOOKUP("47mg Clinical",Controls!A:K,10,0),"")</f>
        <v>Fisher Clinical</v>
      </c>
      <c r="S1821">
        <f t="shared" si="200"/>
        <v>46753</v>
      </c>
      <c r="T1821">
        <f t="shared" si="201"/>
        <v>0</v>
      </c>
      <c r="W1821" s="205" t="str" cm="1">
        <f t="array" ref="W1821">IF(27&lt;Controls!$B$7,INDEX(A1794:A1973,MATCH(Controls!$B$5,A1794:A1973,1)+27),"")</f>
        <v/>
      </c>
      <c r="X1821" t="str" cm="1">
        <f t="array" ref="X1821">IF(27&lt;Controls!$B$7,INDEX(F1794:F1973,MATCH(Controls!$B$5,A1794:A1973,1)+27),"")</f>
        <v/>
      </c>
      <c r="Y1821" t="str" cm="1">
        <f t="array" ref="Y1821">IF(27&lt;Controls!$B$7,INDEX(G1794:G1973,MATCH(Controls!$B$5,A1794:A1973,1)+27),"")</f>
        <v/>
      </c>
      <c r="Z1821" t="str" cm="1">
        <f t="array" ref="Z1821">IF(27&lt;Controls!$B$7,INDEX(H1794:H1973,MATCH(Controls!$B$5,A1794:A1973,1)+27),"")</f>
        <v/>
      </c>
      <c r="AA1821" t="str" cm="1">
        <f t="array" ref="AA1821">IF(27&lt;Controls!$B$7,INDEX(M1794:M1973,MATCH(Controls!$B$5,A1794:A1973,1)+27)*INDEX(I1794:I1973,MATCH(Controls!$B$5,A1794:A1973,1)+27),"")</f>
        <v/>
      </c>
      <c r="AB1821">
        <f t="shared" si="202"/>
        <v>0</v>
      </c>
    </row>
    <row r="1822" spans="1:28" x14ac:dyDescent="0.35">
      <c r="A1822" s="201">
        <v>46874</v>
      </c>
      <c r="B1822" t="s">
        <v>923</v>
      </c>
      <c r="C1822" t="s">
        <v>28</v>
      </c>
      <c r="D1822" t="s">
        <v>29</v>
      </c>
      <c r="E1822">
        <f>H1821</f>
        <v>3500</v>
      </c>
      <c r="F1822">
        <f>IFERROR(SUMIFS('Demand Inputs'!$K$5:$K$202,'Demand Inputs'!$A$5:$A$202,"47mg Clinical",'Demand Inputs'!$B$5:$B$202,"&lt;&gt;AGGREGATE",'Demand Inputs'!$E$5:$E$202,1),0)</f>
        <v>0</v>
      </c>
      <c r="G1822">
        <f>IFERROR(SUMPRODUCT(('Production Inputs'!$A:$A="47mg Clinical")*('Production Inputs'!$B:$B="TOTAL ACTIVE")*'Production Inputs'!$AM:$AM),0)</f>
        <v>0</v>
      </c>
      <c r="H1822">
        <f t="shared" si="196"/>
        <v>3500</v>
      </c>
      <c r="I1822" s="30">
        <f ca="1">IFERROR(AVERAGEIF(OFFSET(F1822,0,0,MIN(Controls!$B$8,COUNTIF(B1822:B$1973,B1822)),1),"&gt;"&amp;0),0)</f>
        <v>0</v>
      </c>
      <c r="J1822">
        <f t="shared" ca="1" si="197"/>
        <v>999</v>
      </c>
      <c r="K1822">
        <f t="shared" ca="1" si="198"/>
        <v>0</v>
      </c>
      <c r="L1822" t="str">
        <f t="shared" ca="1" si="199"/>
        <v>Overstock</v>
      </c>
      <c r="M1822">
        <f>IFERROR(VLOOKUP("47mg Clinical",Controls!A:I,7,0),6)</f>
        <v>6</v>
      </c>
      <c r="N1822">
        <f>IFERROR(VLOOKUP("47mg Clinical",Controls!A:I,8,0),3)</f>
        <v>4</v>
      </c>
      <c r="O1822">
        <f>IFERROR(VLOOKUP("47mg Clinical",Controls!A:I,9,0),18)</f>
        <v>12</v>
      </c>
      <c r="P1822">
        <f>IFERROR(VLOOKUP("47mg Clinical",Controls!A:J,5,0),0)</f>
        <v>1</v>
      </c>
      <c r="Q1822">
        <f>IFERROR(VLOOKUP("47mg Clinical",Controls!A:J,6,0),3)</f>
        <v>3</v>
      </c>
      <c r="R1822" t="str">
        <f>IFERROR(VLOOKUP("47mg Clinical",Controls!A:K,10,0),"")</f>
        <v>Fisher Clinical</v>
      </c>
      <c r="S1822">
        <f t="shared" si="200"/>
        <v>46784</v>
      </c>
      <c r="T1822">
        <f t="shared" si="201"/>
        <v>0</v>
      </c>
      <c r="W1822" s="205" t="str" cm="1">
        <f t="array" ref="W1822">IF(28&lt;Controls!$B$7,INDEX(A1794:A1973,MATCH(Controls!$B$5,A1794:A1973,1)+28),"")</f>
        <v/>
      </c>
      <c r="X1822" t="str" cm="1">
        <f t="array" ref="X1822">IF(28&lt;Controls!$B$7,INDEX(F1794:F1973,MATCH(Controls!$B$5,A1794:A1973,1)+28),"")</f>
        <v/>
      </c>
      <c r="Y1822" t="str" cm="1">
        <f t="array" ref="Y1822">IF(28&lt;Controls!$B$7,INDEX(G1794:G1973,MATCH(Controls!$B$5,A1794:A1973,1)+28),"")</f>
        <v/>
      </c>
      <c r="Z1822" t="str" cm="1">
        <f t="array" ref="Z1822">IF(28&lt;Controls!$B$7,INDEX(H1794:H1973,MATCH(Controls!$B$5,A1794:A1973,1)+28),"")</f>
        <v/>
      </c>
      <c r="AA1822" t="str" cm="1">
        <f t="array" ref="AA1822">IF(28&lt;Controls!$B$7,INDEX(M1794:M1973,MATCH(Controls!$B$5,A1794:A1973,1)+28)*INDEX(I1794:I1973,MATCH(Controls!$B$5,A1794:A1973,1)+28),"")</f>
        <v/>
      </c>
      <c r="AB1822">
        <f t="shared" si="202"/>
        <v>0</v>
      </c>
    </row>
    <row r="1823" spans="1:28" x14ac:dyDescent="0.35">
      <c r="A1823" s="201">
        <v>46905</v>
      </c>
      <c r="B1823" t="s">
        <v>923</v>
      </c>
      <c r="C1823" t="s">
        <v>28</v>
      </c>
      <c r="D1823" t="s">
        <v>29</v>
      </c>
      <c r="E1823">
        <f>H1822</f>
        <v>3500</v>
      </c>
      <c r="F1823">
        <f>IFERROR(SUMIFS('Demand Inputs'!$K$5:$K$202,'Demand Inputs'!$A$5:$A$202,"47mg Clinical",'Demand Inputs'!$B$5:$B$202,"&lt;&gt;AGGREGATE",'Demand Inputs'!$E$5:$E$202,1),0)</f>
        <v>0</v>
      </c>
      <c r="G1823">
        <f>IFERROR(SUMPRODUCT(('Production Inputs'!$A:$A="47mg Clinical")*('Production Inputs'!$B:$B="TOTAL ACTIVE")*'Production Inputs'!$AN:$AN),0)</f>
        <v>0</v>
      </c>
      <c r="H1823">
        <f t="shared" si="196"/>
        <v>3500</v>
      </c>
      <c r="I1823" s="30">
        <f ca="1">IFERROR(AVERAGEIF(OFFSET(F1823,0,0,MIN(Controls!$B$8,COUNTIF(B1823:B$1973,B1823)),1),"&gt;"&amp;0),0)</f>
        <v>0</v>
      </c>
      <c r="J1823">
        <f t="shared" ca="1" si="197"/>
        <v>999</v>
      </c>
      <c r="K1823">
        <f t="shared" ca="1" si="198"/>
        <v>0</v>
      </c>
      <c r="L1823" t="str">
        <f t="shared" ca="1" si="199"/>
        <v>Overstock</v>
      </c>
      <c r="M1823">
        <f>IFERROR(VLOOKUP("47mg Clinical",Controls!A:I,7,0),6)</f>
        <v>6</v>
      </c>
      <c r="N1823">
        <f>IFERROR(VLOOKUP("47mg Clinical",Controls!A:I,8,0),3)</f>
        <v>4</v>
      </c>
      <c r="O1823">
        <f>IFERROR(VLOOKUP("47mg Clinical",Controls!A:I,9,0),18)</f>
        <v>12</v>
      </c>
      <c r="P1823">
        <f>IFERROR(VLOOKUP("47mg Clinical",Controls!A:J,5,0),0)</f>
        <v>1</v>
      </c>
      <c r="Q1823">
        <f>IFERROR(VLOOKUP("47mg Clinical",Controls!A:J,6,0),3)</f>
        <v>3</v>
      </c>
      <c r="R1823" t="str">
        <f>IFERROR(VLOOKUP("47mg Clinical",Controls!A:K,10,0),"")</f>
        <v>Fisher Clinical</v>
      </c>
      <c r="S1823">
        <f t="shared" si="200"/>
        <v>46813</v>
      </c>
      <c r="T1823">
        <f t="shared" si="201"/>
        <v>0</v>
      </c>
      <c r="W1823" s="205" t="str" cm="1">
        <f t="array" ref="W1823">IF(29&lt;Controls!$B$7,INDEX(A1794:A1973,MATCH(Controls!$B$5,A1794:A1973,1)+29),"")</f>
        <v/>
      </c>
      <c r="X1823" t="str" cm="1">
        <f t="array" ref="X1823">IF(29&lt;Controls!$B$7,INDEX(F1794:F1973,MATCH(Controls!$B$5,A1794:A1973,1)+29),"")</f>
        <v/>
      </c>
      <c r="Y1823" t="str" cm="1">
        <f t="array" ref="Y1823">IF(29&lt;Controls!$B$7,INDEX(G1794:G1973,MATCH(Controls!$B$5,A1794:A1973,1)+29),"")</f>
        <v/>
      </c>
      <c r="Z1823" t="str" cm="1">
        <f t="array" ref="Z1823">IF(29&lt;Controls!$B$7,INDEX(H1794:H1973,MATCH(Controls!$B$5,A1794:A1973,1)+29),"")</f>
        <v/>
      </c>
      <c r="AA1823" t="str" cm="1">
        <f t="array" ref="AA1823">IF(29&lt;Controls!$B$7,INDEX(M1794:M1973,MATCH(Controls!$B$5,A1794:A1973,1)+29)*INDEX(I1794:I1973,MATCH(Controls!$B$5,A1794:A1973,1)+29),"")</f>
        <v/>
      </c>
      <c r="AB1823">
        <f t="shared" si="202"/>
        <v>0</v>
      </c>
    </row>
    <row r="1824" spans="1:28" x14ac:dyDescent="0.35">
      <c r="A1824" s="201">
        <v>46935</v>
      </c>
      <c r="B1824" t="s">
        <v>923</v>
      </c>
      <c r="C1824" t="s">
        <v>28</v>
      </c>
      <c r="D1824" t="s">
        <v>29</v>
      </c>
      <c r="E1824">
        <f>H1823</f>
        <v>3500</v>
      </c>
      <c r="F1824">
        <f>IFERROR(SUMIFS('Demand Inputs'!$K$5:$K$202,'Demand Inputs'!$A$5:$A$202,"47mg Clinical",'Demand Inputs'!$B$5:$B$202,"&lt;&gt;AGGREGATE",'Demand Inputs'!$E$5:$E$202,1),0)</f>
        <v>0</v>
      </c>
      <c r="G1824">
        <f>IFERROR(SUMPRODUCT(('Production Inputs'!$A:$A="47mg Clinical")*('Production Inputs'!$B:$B="TOTAL ACTIVE")*'Production Inputs'!$AO:$AO),0)</f>
        <v>0</v>
      </c>
      <c r="H1824">
        <f t="shared" si="196"/>
        <v>3500</v>
      </c>
      <c r="I1824" s="30">
        <f ca="1">IFERROR(AVERAGEIF(OFFSET(F1824,0,0,MIN(Controls!$B$8,COUNTIF(B1824:B$1973,B1824)),1),"&gt;"&amp;0),0)</f>
        <v>0</v>
      </c>
      <c r="J1824">
        <f t="shared" ca="1" si="197"/>
        <v>999</v>
      </c>
      <c r="K1824">
        <f t="shared" ca="1" si="198"/>
        <v>0</v>
      </c>
      <c r="L1824" t="str">
        <f t="shared" ca="1" si="199"/>
        <v>Overstock</v>
      </c>
      <c r="M1824">
        <f>IFERROR(VLOOKUP("47mg Clinical",Controls!A:I,7,0),6)</f>
        <v>6</v>
      </c>
      <c r="N1824">
        <f>IFERROR(VLOOKUP("47mg Clinical",Controls!A:I,8,0),3)</f>
        <v>4</v>
      </c>
      <c r="O1824">
        <f>IFERROR(VLOOKUP("47mg Clinical",Controls!A:I,9,0),18)</f>
        <v>12</v>
      </c>
      <c r="P1824">
        <f>IFERROR(VLOOKUP("47mg Clinical",Controls!A:J,5,0),0)</f>
        <v>1</v>
      </c>
      <c r="Q1824">
        <f>IFERROR(VLOOKUP("47mg Clinical",Controls!A:J,6,0),3)</f>
        <v>3</v>
      </c>
      <c r="R1824" t="str">
        <f>IFERROR(VLOOKUP("47mg Clinical",Controls!A:K,10,0),"")</f>
        <v>Fisher Clinical</v>
      </c>
      <c r="S1824">
        <f t="shared" si="200"/>
        <v>46844</v>
      </c>
      <c r="T1824">
        <f t="shared" si="201"/>
        <v>0</v>
      </c>
      <c r="W1824" s="205" t="str" cm="1">
        <f t="array" ref="W1824">IF(30&lt;Controls!$B$7,INDEX(A1794:A1973,MATCH(Controls!$B$5,A1794:A1973,1)+30),"")</f>
        <v/>
      </c>
      <c r="X1824" t="str" cm="1">
        <f t="array" ref="X1824">IF(30&lt;Controls!$B$7,INDEX(F1794:F1973,MATCH(Controls!$B$5,A1794:A1973,1)+30),"")</f>
        <v/>
      </c>
      <c r="Y1824" t="str" cm="1">
        <f t="array" ref="Y1824">IF(30&lt;Controls!$B$7,INDEX(G1794:G1973,MATCH(Controls!$B$5,A1794:A1973,1)+30),"")</f>
        <v/>
      </c>
      <c r="Z1824" t="str" cm="1">
        <f t="array" ref="Z1824">IF(30&lt;Controls!$B$7,INDEX(H1794:H1973,MATCH(Controls!$B$5,A1794:A1973,1)+30),"")</f>
        <v/>
      </c>
      <c r="AA1824" t="str" cm="1">
        <f t="array" ref="AA1824">IF(30&lt;Controls!$B$7,INDEX(M1794:M1973,MATCH(Controls!$B$5,A1794:A1973,1)+30)*INDEX(I1794:I1973,MATCH(Controls!$B$5,A1794:A1973,1)+30),"")</f>
        <v/>
      </c>
      <c r="AB1824">
        <f t="shared" si="202"/>
        <v>0</v>
      </c>
    </row>
    <row r="1825" spans="1:28" x14ac:dyDescent="0.35">
      <c r="A1825" s="201">
        <v>46966</v>
      </c>
      <c r="B1825" t="s">
        <v>923</v>
      </c>
      <c r="C1825" t="s">
        <v>28</v>
      </c>
      <c r="D1825" t="s">
        <v>29</v>
      </c>
      <c r="E1825">
        <f>H1824</f>
        <v>3500</v>
      </c>
      <c r="F1825">
        <f>IFERROR(SUMIFS('Demand Inputs'!$K$5:$K$202,'Demand Inputs'!$A$5:$A$202,"47mg Clinical",'Demand Inputs'!$B$5:$B$202,"&lt;&gt;AGGREGATE",'Demand Inputs'!$E$5:$E$202,1),0)</f>
        <v>0</v>
      </c>
      <c r="G1825">
        <f>IFERROR(SUMPRODUCT(('Production Inputs'!$A:$A="47mg Clinical")*('Production Inputs'!$B:$B="TOTAL ACTIVE")*'Production Inputs'!$AP:$AP),0)</f>
        <v>0</v>
      </c>
      <c r="H1825">
        <f t="shared" si="196"/>
        <v>3500</v>
      </c>
      <c r="I1825" s="30">
        <f ca="1">IFERROR(AVERAGEIF(OFFSET(F1825,0,0,MIN(Controls!$B$8,COUNTIF(B1825:B$1973,B1825)),1),"&gt;"&amp;0),0)</f>
        <v>0</v>
      </c>
      <c r="J1825">
        <f t="shared" ca="1" si="197"/>
        <v>999</v>
      </c>
      <c r="K1825">
        <f t="shared" ca="1" si="198"/>
        <v>0</v>
      </c>
      <c r="L1825" t="str">
        <f t="shared" ca="1" si="199"/>
        <v>Overstock</v>
      </c>
      <c r="M1825">
        <f>IFERROR(VLOOKUP("47mg Clinical",Controls!A:I,7,0),6)</f>
        <v>6</v>
      </c>
      <c r="N1825">
        <f>IFERROR(VLOOKUP("47mg Clinical",Controls!A:I,8,0),3)</f>
        <v>4</v>
      </c>
      <c r="O1825">
        <f>IFERROR(VLOOKUP("47mg Clinical",Controls!A:I,9,0),18)</f>
        <v>12</v>
      </c>
      <c r="P1825">
        <f>IFERROR(VLOOKUP("47mg Clinical",Controls!A:J,5,0),0)</f>
        <v>1</v>
      </c>
      <c r="Q1825">
        <f>IFERROR(VLOOKUP("47mg Clinical",Controls!A:J,6,0),3)</f>
        <v>3</v>
      </c>
      <c r="R1825" t="str">
        <f>IFERROR(VLOOKUP("47mg Clinical",Controls!A:K,10,0),"")</f>
        <v>Fisher Clinical</v>
      </c>
      <c r="S1825">
        <f t="shared" si="200"/>
        <v>46874</v>
      </c>
      <c r="T1825">
        <f t="shared" si="201"/>
        <v>0</v>
      </c>
      <c r="W1825" s="205" t="str" cm="1">
        <f t="array" ref="W1825">IF(31&lt;Controls!$B$7,INDEX(A1794:A1973,MATCH(Controls!$B$5,A1794:A1973,1)+31),"")</f>
        <v/>
      </c>
      <c r="X1825" t="str" cm="1">
        <f t="array" ref="X1825">IF(31&lt;Controls!$B$7,INDEX(F1794:F1973,MATCH(Controls!$B$5,A1794:A1973,1)+31),"")</f>
        <v/>
      </c>
      <c r="Y1825" t="str" cm="1">
        <f t="array" ref="Y1825">IF(31&lt;Controls!$B$7,INDEX(G1794:G1973,MATCH(Controls!$B$5,A1794:A1973,1)+31),"")</f>
        <v/>
      </c>
      <c r="Z1825" t="str" cm="1">
        <f t="array" ref="Z1825">IF(31&lt;Controls!$B$7,INDEX(H1794:H1973,MATCH(Controls!$B$5,A1794:A1973,1)+31),"")</f>
        <v/>
      </c>
      <c r="AA1825" t="str" cm="1">
        <f t="array" ref="AA1825">IF(31&lt;Controls!$B$7,INDEX(M1794:M1973,MATCH(Controls!$B$5,A1794:A1973,1)+31)*INDEX(I1794:I1973,MATCH(Controls!$B$5,A1794:A1973,1)+31),"")</f>
        <v/>
      </c>
      <c r="AB1825">
        <f t="shared" si="202"/>
        <v>0</v>
      </c>
    </row>
    <row r="1826" spans="1:28" x14ac:dyDescent="0.35">
      <c r="A1826" s="201">
        <v>46997</v>
      </c>
      <c r="B1826" t="s">
        <v>923</v>
      </c>
      <c r="C1826" t="s">
        <v>28</v>
      </c>
      <c r="D1826" t="s">
        <v>29</v>
      </c>
      <c r="E1826">
        <f>H1825</f>
        <v>3500</v>
      </c>
      <c r="F1826">
        <f>IFERROR(SUMIFS('Demand Inputs'!$K$5:$K$202,'Demand Inputs'!$A$5:$A$202,"47mg Clinical",'Demand Inputs'!$B$5:$B$202,"&lt;&gt;AGGREGATE",'Demand Inputs'!$E$5:$E$202,1),0)</f>
        <v>0</v>
      </c>
      <c r="G1826">
        <f>IFERROR(SUMPRODUCT(('Production Inputs'!$A:$A="47mg Clinical")*('Production Inputs'!$B:$B="TOTAL ACTIVE")*'Production Inputs'!$AQ:$AQ),0)</f>
        <v>0</v>
      </c>
      <c r="H1826">
        <f t="shared" ref="H1826:H1857" si="203">E1826+G1826-F1826</f>
        <v>3500</v>
      </c>
      <c r="I1826" s="30">
        <f ca="1">IFERROR(AVERAGEIF(OFFSET(F1826,0,0,MIN(Controls!$B$8,COUNTIF(B1826:B$1973,B1826)),1),"&gt;"&amp;0),0)</f>
        <v>0</v>
      </c>
      <c r="J1826">
        <f t="shared" ref="J1826:J1857" ca="1" si="204">IFERROR(H1826/I1826,IF(H1826&gt;0,999,0))</f>
        <v>999</v>
      </c>
      <c r="K1826">
        <f t="shared" ref="K1826:K1857" ca="1" si="205">IFERROR(IF(H1826&lt;(N1826*I1826),CEILING(MAX(0,ROUND((M1826*I1826-H1826)/P1826,0)*P1826),P1826),0),0)</f>
        <v>0</v>
      </c>
      <c r="L1826" t="str">
        <f t="shared" ref="L1826:L1857" ca="1" si="206">IF(H1826&lt;=0,"High",IF(J1826&lt;N1826,"High",IF(J1826&lt;M1826,"Medium",IF(J1826&gt;O1826,"Overstock","Low"))))</f>
        <v>Overstock</v>
      </c>
      <c r="M1826">
        <f>IFERROR(VLOOKUP("47mg Clinical",Controls!A:I,7,0),6)</f>
        <v>6</v>
      </c>
      <c r="N1826">
        <f>IFERROR(VLOOKUP("47mg Clinical",Controls!A:I,8,0),3)</f>
        <v>4</v>
      </c>
      <c r="O1826">
        <f>IFERROR(VLOOKUP("47mg Clinical",Controls!A:I,9,0),18)</f>
        <v>12</v>
      </c>
      <c r="P1826">
        <f>IFERROR(VLOOKUP("47mg Clinical",Controls!A:J,5,0),0)</f>
        <v>1</v>
      </c>
      <c r="Q1826">
        <f>IFERROR(VLOOKUP("47mg Clinical",Controls!A:J,6,0),3)</f>
        <v>3</v>
      </c>
      <c r="R1826" t="str">
        <f>IFERROR(VLOOKUP("47mg Clinical",Controls!A:K,10,0),"")</f>
        <v>Fisher Clinical</v>
      </c>
      <c r="S1826">
        <f t="shared" ref="S1826:S1857" si="207">IFERROR(EDATE(A1826,-Q1826),"")</f>
        <v>46905</v>
      </c>
      <c r="T1826">
        <f t="shared" ref="T1826:T1857" si="208">G1826</f>
        <v>0</v>
      </c>
      <c r="W1826" s="205" t="str" cm="1">
        <f t="array" ref="W1826">IF(32&lt;Controls!$B$7,INDEX(A1794:A1973,MATCH(Controls!$B$5,A1794:A1973,1)+32),"")</f>
        <v/>
      </c>
      <c r="X1826" t="str" cm="1">
        <f t="array" ref="X1826">IF(32&lt;Controls!$B$7,INDEX(F1794:F1973,MATCH(Controls!$B$5,A1794:A1973,1)+32),"")</f>
        <v/>
      </c>
      <c r="Y1826" t="str" cm="1">
        <f t="array" ref="Y1826">IF(32&lt;Controls!$B$7,INDEX(G1794:G1973,MATCH(Controls!$B$5,A1794:A1973,1)+32),"")</f>
        <v/>
      </c>
      <c r="Z1826" t="str" cm="1">
        <f t="array" ref="Z1826">IF(32&lt;Controls!$B$7,INDEX(H1794:H1973,MATCH(Controls!$B$5,A1794:A1973,1)+32),"")</f>
        <v/>
      </c>
      <c r="AA1826" t="str" cm="1">
        <f t="array" ref="AA1826">IF(32&lt;Controls!$B$7,INDEX(M1794:M1973,MATCH(Controls!$B$5,A1794:A1973,1)+32)*INDEX(I1794:I1973,MATCH(Controls!$B$5,A1794:A1973,1)+32),"")</f>
        <v/>
      </c>
      <c r="AB1826">
        <f t="shared" si="202"/>
        <v>0</v>
      </c>
    </row>
    <row r="1827" spans="1:28" x14ac:dyDescent="0.35">
      <c r="A1827" s="201">
        <v>47027</v>
      </c>
      <c r="B1827" t="s">
        <v>923</v>
      </c>
      <c r="C1827" t="s">
        <v>28</v>
      </c>
      <c r="D1827" t="s">
        <v>29</v>
      </c>
      <c r="E1827">
        <f>H1826</f>
        <v>3500</v>
      </c>
      <c r="F1827">
        <f>IFERROR(SUMIFS('Demand Inputs'!$K$5:$K$202,'Demand Inputs'!$A$5:$A$202,"47mg Clinical",'Demand Inputs'!$B$5:$B$202,"&lt;&gt;AGGREGATE",'Demand Inputs'!$E$5:$E$202,1),0)</f>
        <v>0</v>
      </c>
      <c r="G1827">
        <f>IFERROR(SUMPRODUCT(('Production Inputs'!$A:$A="47mg Clinical")*('Production Inputs'!$B:$B="TOTAL ACTIVE")*'Production Inputs'!$AR:$AR),0)</f>
        <v>0</v>
      </c>
      <c r="H1827">
        <f t="shared" si="203"/>
        <v>3500</v>
      </c>
      <c r="I1827" s="30">
        <f ca="1">IFERROR(AVERAGEIF(OFFSET(F1827,0,0,MIN(Controls!$B$8,COUNTIF(B1827:B$1973,B1827)),1),"&gt;"&amp;0),0)</f>
        <v>0</v>
      </c>
      <c r="J1827">
        <f t="shared" ca="1" si="204"/>
        <v>999</v>
      </c>
      <c r="K1827">
        <f t="shared" ca="1" si="205"/>
        <v>0</v>
      </c>
      <c r="L1827" t="str">
        <f t="shared" ca="1" si="206"/>
        <v>Overstock</v>
      </c>
      <c r="M1827">
        <f>IFERROR(VLOOKUP("47mg Clinical",Controls!A:I,7,0),6)</f>
        <v>6</v>
      </c>
      <c r="N1827">
        <f>IFERROR(VLOOKUP("47mg Clinical",Controls!A:I,8,0),3)</f>
        <v>4</v>
      </c>
      <c r="O1827">
        <f>IFERROR(VLOOKUP("47mg Clinical",Controls!A:I,9,0),18)</f>
        <v>12</v>
      </c>
      <c r="P1827">
        <f>IFERROR(VLOOKUP("47mg Clinical",Controls!A:J,5,0),0)</f>
        <v>1</v>
      </c>
      <c r="Q1827">
        <f>IFERROR(VLOOKUP("47mg Clinical",Controls!A:J,6,0),3)</f>
        <v>3</v>
      </c>
      <c r="R1827" t="str">
        <f>IFERROR(VLOOKUP("47mg Clinical",Controls!A:K,10,0),"")</f>
        <v>Fisher Clinical</v>
      </c>
      <c r="S1827">
        <f t="shared" si="207"/>
        <v>46935</v>
      </c>
      <c r="T1827">
        <f t="shared" si="208"/>
        <v>0</v>
      </c>
      <c r="W1827" s="205" t="str" cm="1">
        <f t="array" ref="W1827">IF(33&lt;Controls!$B$7,INDEX(A1794:A1973,MATCH(Controls!$B$5,A1794:A1973,1)+33),"")</f>
        <v/>
      </c>
      <c r="X1827" t="str" cm="1">
        <f t="array" ref="X1827">IF(33&lt;Controls!$B$7,INDEX(F1794:F1973,MATCH(Controls!$B$5,A1794:A1973,1)+33),"")</f>
        <v/>
      </c>
      <c r="Y1827" t="str" cm="1">
        <f t="array" ref="Y1827">IF(33&lt;Controls!$B$7,INDEX(G1794:G1973,MATCH(Controls!$B$5,A1794:A1973,1)+33),"")</f>
        <v/>
      </c>
      <c r="Z1827" t="str" cm="1">
        <f t="array" ref="Z1827">IF(33&lt;Controls!$B$7,INDEX(H1794:H1973,MATCH(Controls!$B$5,A1794:A1973,1)+33),"")</f>
        <v/>
      </c>
      <c r="AA1827" t="str" cm="1">
        <f t="array" ref="AA1827">IF(33&lt;Controls!$B$7,INDEX(M1794:M1973,MATCH(Controls!$B$5,A1794:A1973,1)+33)*INDEX(I1794:I1973,MATCH(Controls!$B$5,A1794:A1973,1)+33),"")</f>
        <v/>
      </c>
      <c r="AB1827">
        <f t="shared" si="202"/>
        <v>0</v>
      </c>
    </row>
    <row r="1828" spans="1:28" x14ac:dyDescent="0.35">
      <c r="A1828" s="201">
        <v>47058</v>
      </c>
      <c r="B1828" t="s">
        <v>923</v>
      </c>
      <c r="C1828" t="s">
        <v>28</v>
      </c>
      <c r="D1828" t="s">
        <v>29</v>
      </c>
      <c r="E1828">
        <f>H1827</f>
        <v>3500</v>
      </c>
      <c r="F1828">
        <f>IFERROR(SUMIFS('Demand Inputs'!$K$5:$K$202,'Demand Inputs'!$A$5:$A$202,"47mg Clinical",'Demand Inputs'!$B$5:$B$202,"&lt;&gt;AGGREGATE",'Demand Inputs'!$E$5:$E$202,1),0)</f>
        <v>0</v>
      </c>
      <c r="G1828">
        <f>IFERROR(SUMPRODUCT(('Production Inputs'!$A:$A="47mg Clinical")*('Production Inputs'!$B:$B="TOTAL ACTIVE")*'Production Inputs'!$AS:$AS),0)</f>
        <v>0</v>
      </c>
      <c r="H1828">
        <f t="shared" si="203"/>
        <v>3500</v>
      </c>
      <c r="I1828" s="30">
        <f ca="1">IFERROR(AVERAGEIF(OFFSET(F1828,0,0,MIN(Controls!$B$8,COUNTIF(B1828:B$1973,B1828)),1),"&gt;"&amp;0),0)</f>
        <v>0</v>
      </c>
      <c r="J1828">
        <f t="shared" ca="1" si="204"/>
        <v>999</v>
      </c>
      <c r="K1828">
        <f t="shared" ca="1" si="205"/>
        <v>0</v>
      </c>
      <c r="L1828" t="str">
        <f t="shared" ca="1" si="206"/>
        <v>Overstock</v>
      </c>
      <c r="M1828">
        <f>IFERROR(VLOOKUP("47mg Clinical",Controls!A:I,7,0),6)</f>
        <v>6</v>
      </c>
      <c r="N1828">
        <f>IFERROR(VLOOKUP("47mg Clinical",Controls!A:I,8,0),3)</f>
        <v>4</v>
      </c>
      <c r="O1828">
        <f>IFERROR(VLOOKUP("47mg Clinical",Controls!A:I,9,0),18)</f>
        <v>12</v>
      </c>
      <c r="P1828">
        <f>IFERROR(VLOOKUP("47mg Clinical",Controls!A:J,5,0),0)</f>
        <v>1</v>
      </c>
      <c r="Q1828">
        <f>IFERROR(VLOOKUP("47mg Clinical",Controls!A:J,6,0),3)</f>
        <v>3</v>
      </c>
      <c r="R1828" t="str">
        <f>IFERROR(VLOOKUP("47mg Clinical",Controls!A:K,10,0),"")</f>
        <v>Fisher Clinical</v>
      </c>
      <c r="S1828">
        <f t="shared" si="207"/>
        <v>46966</v>
      </c>
      <c r="T1828">
        <f t="shared" si="208"/>
        <v>0</v>
      </c>
      <c r="W1828" s="205" t="str" cm="1">
        <f t="array" ref="W1828">IF(34&lt;Controls!$B$7,INDEX(A1794:A1973,MATCH(Controls!$B$5,A1794:A1973,1)+34),"")</f>
        <v/>
      </c>
      <c r="X1828" t="str" cm="1">
        <f t="array" ref="X1828">IF(34&lt;Controls!$B$7,INDEX(F1794:F1973,MATCH(Controls!$B$5,A1794:A1973,1)+34),"")</f>
        <v/>
      </c>
      <c r="Y1828" t="str" cm="1">
        <f t="array" ref="Y1828">IF(34&lt;Controls!$B$7,INDEX(G1794:G1973,MATCH(Controls!$B$5,A1794:A1973,1)+34),"")</f>
        <v/>
      </c>
      <c r="Z1828" t="str" cm="1">
        <f t="array" ref="Z1828">IF(34&lt;Controls!$B$7,INDEX(H1794:H1973,MATCH(Controls!$B$5,A1794:A1973,1)+34),"")</f>
        <v/>
      </c>
      <c r="AA1828" t="str" cm="1">
        <f t="array" ref="AA1828">IF(34&lt;Controls!$B$7,INDEX(M1794:M1973,MATCH(Controls!$B$5,A1794:A1973,1)+34)*INDEX(I1794:I1973,MATCH(Controls!$B$5,A1794:A1973,1)+34),"")</f>
        <v/>
      </c>
      <c r="AB1828">
        <f t="shared" si="202"/>
        <v>0</v>
      </c>
    </row>
    <row r="1829" spans="1:28" x14ac:dyDescent="0.35">
      <c r="A1829" s="201">
        <v>47088</v>
      </c>
      <c r="B1829" t="s">
        <v>923</v>
      </c>
      <c r="C1829" t="s">
        <v>28</v>
      </c>
      <c r="D1829" t="s">
        <v>29</v>
      </c>
      <c r="E1829">
        <f>H1828</f>
        <v>3500</v>
      </c>
      <c r="F1829">
        <f>IFERROR(SUMIFS('Demand Inputs'!$K$5:$K$202,'Demand Inputs'!$A$5:$A$202,"47mg Clinical",'Demand Inputs'!$B$5:$B$202,"&lt;&gt;AGGREGATE",'Demand Inputs'!$E$5:$E$202,1),0)</f>
        <v>0</v>
      </c>
      <c r="G1829">
        <f>IFERROR(SUMPRODUCT(('Production Inputs'!$A:$A="47mg Clinical")*('Production Inputs'!$B:$B="TOTAL ACTIVE")*'Production Inputs'!$AT:$AT),0)</f>
        <v>0</v>
      </c>
      <c r="H1829">
        <f t="shared" si="203"/>
        <v>3500</v>
      </c>
      <c r="I1829" s="30">
        <f ca="1">IFERROR(AVERAGEIF(OFFSET(F1829,0,0,MIN(Controls!$B$8,COUNTIF(B1829:B$1973,B1829)),1),"&gt;"&amp;0),0)</f>
        <v>0</v>
      </c>
      <c r="J1829">
        <f t="shared" ca="1" si="204"/>
        <v>999</v>
      </c>
      <c r="K1829">
        <f t="shared" ca="1" si="205"/>
        <v>0</v>
      </c>
      <c r="L1829" t="str">
        <f t="shared" ca="1" si="206"/>
        <v>Overstock</v>
      </c>
      <c r="M1829">
        <f>IFERROR(VLOOKUP("47mg Clinical",Controls!A:I,7,0),6)</f>
        <v>6</v>
      </c>
      <c r="N1829">
        <f>IFERROR(VLOOKUP("47mg Clinical",Controls!A:I,8,0),3)</f>
        <v>4</v>
      </c>
      <c r="O1829">
        <f>IFERROR(VLOOKUP("47mg Clinical",Controls!A:I,9,0),18)</f>
        <v>12</v>
      </c>
      <c r="P1829">
        <f>IFERROR(VLOOKUP("47mg Clinical",Controls!A:J,5,0),0)</f>
        <v>1</v>
      </c>
      <c r="Q1829">
        <f>IFERROR(VLOOKUP("47mg Clinical",Controls!A:J,6,0),3)</f>
        <v>3</v>
      </c>
      <c r="R1829" t="str">
        <f>IFERROR(VLOOKUP("47mg Clinical",Controls!A:K,10,0),"")</f>
        <v>Fisher Clinical</v>
      </c>
      <c r="S1829">
        <f t="shared" si="207"/>
        <v>46997</v>
      </c>
      <c r="T1829">
        <f t="shared" si="208"/>
        <v>0</v>
      </c>
      <c r="W1829" s="205" t="str" cm="1">
        <f t="array" ref="W1829">IF(35&lt;Controls!$B$7,INDEX(A1794:A1973,MATCH(Controls!$B$5,A1794:A1973,1)+35),"")</f>
        <v/>
      </c>
      <c r="X1829" t="str" cm="1">
        <f t="array" ref="X1829">IF(35&lt;Controls!$B$7,INDEX(F1794:F1973,MATCH(Controls!$B$5,A1794:A1973,1)+35),"")</f>
        <v/>
      </c>
      <c r="Y1829" t="str" cm="1">
        <f t="array" ref="Y1829">IF(35&lt;Controls!$B$7,INDEX(G1794:G1973,MATCH(Controls!$B$5,A1794:A1973,1)+35),"")</f>
        <v/>
      </c>
      <c r="Z1829" t="str" cm="1">
        <f t="array" ref="Z1829">IF(35&lt;Controls!$B$7,INDEX(H1794:H1973,MATCH(Controls!$B$5,A1794:A1973,1)+35),"")</f>
        <v/>
      </c>
      <c r="AA1829" t="str" cm="1">
        <f t="array" ref="AA1829">IF(35&lt;Controls!$B$7,INDEX(M1794:M1973,MATCH(Controls!$B$5,A1794:A1973,1)+35)*INDEX(I1794:I1973,MATCH(Controls!$B$5,A1794:A1973,1)+35),"")</f>
        <v/>
      </c>
      <c r="AB1829">
        <f t="shared" si="202"/>
        <v>0</v>
      </c>
    </row>
    <row r="1830" spans="1:28" x14ac:dyDescent="0.35">
      <c r="A1830" s="201">
        <v>47119</v>
      </c>
      <c r="B1830" t="s">
        <v>923</v>
      </c>
      <c r="C1830" t="s">
        <v>28</v>
      </c>
      <c r="D1830" t="s">
        <v>29</v>
      </c>
      <c r="E1830">
        <f>H1829</f>
        <v>3500</v>
      </c>
      <c r="F1830">
        <f>IFERROR(SUMIFS('Demand Inputs'!$K$5:$K$202,'Demand Inputs'!$A$5:$A$202,"47mg Clinical",'Demand Inputs'!$B$5:$B$202,"&lt;&gt;AGGREGATE",'Demand Inputs'!$E$5:$E$202,1),0)</f>
        <v>0</v>
      </c>
      <c r="G1830">
        <f>IFERROR(SUMPRODUCT(('Production Inputs'!$A:$A="47mg Clinical")*('Production Inputs'!$B:$B="TOTAL ACTIVE")*'Production Inputs'!$AU:$AU),0)</f>
        <v>0</v>
      </c>
      <c r="H1830">
        <f t="shared" si="203"/>
        <v>3500</v>
      </c>
      <c r="I1830" s="30">
        <f ca="1">IFERROR(AVERAGEIF(OFFSET(F1830,0,0,MIN(Controls!$B$8,COUNTIF(B1830:B$1973,B1830)),1),"&gt;"&amp;0),0)</f>
        <v>0</v>
      </c>
      <c r="J1830">
        <f t="shared" ca="1" si="204"/>
        <v>999</v>
      </c>
      <c r="K1830">
        <f t="shared" ca="1" si="205"/>
        <v>0</v>
      </c>
      <c r="L1830" t="str">
        <f t="shared" ca="1" si="206"/>
        <v>Overstock</v>
      </c>
      <c r="M1830">
        <f>IFERROR(VLOOKUP("47mg Clinical",Controls!A:I,7,0),6)</f>
        <v>6</v>
      </c>
      <c r="N1830">
        <f>IFERROR(VLOOKUP("47mg Clinical",Controls!A:I,8,0),3)</f>
        <v>4</v>
      </c>
      <c r="O1830">
        <f>IFERROR(VLOOKUP("47mg Clinical",Controls!A:I,9,0),18)</f>
        <v>12</v>
      </c>
      <c r="P1830">
        <f>IFERROR(VLOOKUP("47mg Clinical",Controls!A:J,5,0),0)</f>
        <v>1</v>
      </c>
      <c r="Q1830">
        <f>IFERROR(VLOOKUP("47mg Clinical",Controls!A:J,6,0),3)</f>
        <v>3</v>
      </c>
      <c r="R1830" t="str">
        <f>IFERROR(VLOOKUP("47mg Clinical",Controls!A:K,10,0),"")</f>
        <v>Fisher Clinical</v>
      </c>
      <c r="S1830">
        <f t="shared" si="207"/>
        <v>47027</v>
      </c>
      <c r="T1830">
        <f t="shared" si="208"/>
        <v>0</v>
      </c>
      <c r="AB1830">
        <f t="shared" si="202"/>
        <v>0</v>
      </c>
    </row>
    <row r="1831" spans="1:28" x14ac:dyDescent="0.35">
      <c r="A1831" s="201">
        <v>47150</v>
      </c>
      <c r="B1831" t="s">
        <v>923</v>
      </c>
      <c r="C1831" t="s">
        <v>28</v>
      </c>
      <c r="D1831" t="s">
        <v>29</v>
      </c>
      <c r="E1831">
        <f>H1830</f>
        <v>3500</v>
      </c>
      <c r="F1831">
        <f>IFERROR(SUMIFS('Demand Inputs'!$K$5:$K$202,'Demand Inputs'!$A$5:$A$202,"47mg Clinical",'Demand Inputs'!$B$5:$B$202,"&lt;&gt;AGGREGATE",'Demand Inputs'!$E$5:$E$202,1),0)</f>
        <v>0</v>
      </c>
      <c r="G1831">
        <f>IFERROR(SUMPRODUCT(('Production Inputs'!$A:$A="47mg Clinical")*('Production Inputs'!$B:$B="TOTAL ACTIVE")*'Production Inputs'!$AV:$AV),0)</f>
        <v>0</v>
      </c>
      <c r="H1831">
        <f t="shared" si="203"/>
        <v>3500</v>
      </c>
      <c r="I1831" s="30">
        <f ca="1">IFERROR(AVERAGEIF(OFFSET(F1831,0,0,MIN(Controls!$B$8,COUNTIF(B1831:B$1973,B1831)),1),"&gt;"&amp;0),0)</f>
        <v>0</v>
      </c>
      <c r="J1831">
        <f t="shared" ca="1" si="204"/>
        <v>999</v>
      </c>
      <c r="K1831">
        <f t="shared" ca="1" si="205"/>
        <v>0</v>
      </c>
      <c r="L1831" t="str">
        <f t="shared" ca="1" si="206"/>
        <v>Overstock</v>
      </c>
      <c r="M1831">
        <f>IFERROR(VLOOKUP("47mg Clinical",Controls!A:I,7,0),6)</f>
        <v>6</v>
      </c>
      <c r="N1831">
        <f>IFERROR(VLOOKUP("47mg Clinical",Controls!A:I,8,0),3)</f>
        <v>4</v>
      </c>
      <c r="O1831">
        <f>IFERROR(VLOOKUP("47mg Clinical",Controls!A:I,9,0),18)</f>
        <v>12</v>
      </c>
      <c r="P1831">
        <f>IFERROR(VLOOKUP("47mg Clinical",Controls!A:J,5,0),0)</f>
        <v>1</v>
      </c>
      <c r="Q1831">
        <f>IFERROR(VLOOKUP("47mg Clinical",Controls!A:J,6,0),3)</f>
        <v>3</v>
      </c>
      <c r="R1831" t="str">
        <f>IFERROR(VLOOKUP("47mg Clinical",Controls!A:K,10,0),"")</f>
        <v>Fisher Clinical</v>
      </c>
      <c r="S1831">
        <f t="shared" si="207"/>
        <v>47058</v>
      </c>
      <c r="T1831">
        <f t="shared" si="208"/>
        <v>0</v>
      </c>
      <c r="AB1831">
        <f t="shared" si="202"/>
        <v>0</v>
      </c>
    </row>
    <row r="1832" spans="1:28" x14ac:dyDescent="0.35">
      <c r="A1832" s="201">
        <v>47178</v>
      </c>
      <c r="B1832" t="s">
        <v>923</v>
      </c>
      <c r="C1832" t="s">
        <v>28</v>
      </c>
      <c r="D1832" t="s">
        <v>29</v>
      </c>
      <c r="E1832">
        <f>H1831</f>
        <v>3500</v>
      </c>
      <c r="F1832">
        <f>IFERROR(SUMIFS('Demand Inputs'!$K$5:$K$202,'Demand Inputs'!$A$5:$A$202,"47mg Clinical",'Demand Inputs'!$B$5:$B$202,"&lt;&gt;AGGREGATE",'Demand Inputs'!$E$5:$E$202,1),0)</f>
        <v>0</v>
      </c>
      <c r="G1832">
        <f>IFERROR(SUMPRODUCT(('Production Inputs'!$A:$A="47mg Clinical")*('Production Inputs'!$B:$B="TOTAL ACTIVE")*'Production Inputs'!$AW:$AW),0)</f>
        <v>0</v>
      </c>
      <c r="H1832">
        <f t="shared" si="203"/>
        <v>3500</v>
      </c>
      <c r="I1832" s="30">
        <f ca="1">IFERROR(AVERAGEIF(OFFSET(F1832,0,0,MIN(Controls!$B$8,COUNTIF(B1832:B$1973,B1832)),1),"&gt;"&amp;0),0)</f>
        <v>0</v>
      </c>
      <c r="J1832">
        <f t="shared" ca="1" si="204"/>
        <v>999</v>
      </c>
      <c r="K1832">
        <f t="shared" ca="1" si="205"/>
        <v>0</v>
      </c>
      <c r="L1832" t="str">
        <f t="shared" ca="1" si="206"/>
        <v>Overstock</v>
      </c>
      <c r="M1832">
        <f>IFERROR(VLOOKUP("47mg Clinical",Controls!A:I,7,0),6)</f>
        <v>6</v>
      </c>
      <c r="N1832">
        <f>IFERROR(VLOOKUP("47mg Clinical",Controls!A:I,8,0),3)</f>
        <v>4</v>
      </c>
      <c r="O1832">
        <f>IFERROR(VLOOKUP("47mg Clinical",Controls!A:I,9,0),18)</f>
        <v>12</v>
      </c>
      <c r="P1832">
        <f>IFERROR(VLOOKUP("47mg Clinical",Controls!A:J,5,0),0)</f>
        <v>1</v>
      </c>
      <c r="Q1832">
        <f>IFERROR(VLOOKUP("47mg Clinical",Controls!A:J,6,0),3)</f>
        <v>3</v>
      </c>
      <c r="R1832" t="str">
        <f>IFERROR(VLOOKUP("47mg Clinical",Controls!A:K,10,0),"")</f>
        <v>Fisher Clinical</v>
      </c>
      <c r="S1832">
        <f t="shared" si="207"/>
        <v>47088</v>
      </c>
      <c r="T1832">
        <f t="shared" si="208"/>
        <v>0</v>
      </c>
      <c r="AB1832">
        <f t="shared" si="202"/>
        <v>0</v>
      </c>
    </row>
    <row r="1833" spans="1:28" x14ac:dyDescent="0.35">
      <c r="A1833" s="201">
        <v>47209</v>
      </c>
      <c r="B1833" t="s">
        <v>923</v>
      </c>
      <c r="C1833" t="s">
        <v>28</v>
      </c>
      <c r="D1833" t="s">
        <v>29</v>
      </c>
      <c r="E1833">
        <f>H1832</f>
        <v>3500</v>
      </c>
      <c r="F1833">
        <f>IFERROR(SUMIFS('Demand Inputs'!$K$5:$K$202,'Demand Inputs'!$A$5:$A$202,"47mg Clinical",'Demand Inputs'!$B$5:$B$202,"&lt;&gt;AGGREGATE",'Demand Inputs'!$E$5:$E$202,1),0)</f>
        <v>0</v>
      </c>
      <c r="G1833">
        <f>IFERROR(SUMPRODUCT(('Production Inputs'!$A:$A="47mg Clinical")*('Production Inputs'!$B:$B="TOTAL ACTIVE")*'Production Inputs'!$AX:$AX),0)</f>
        <v>0</v>
      </c>
      <c r="H1833">
        <f t="shared" si="203"/>
        <v>3500</v>
      </c>
      <c r="I1833" s="30">
        <f ca="1">IFERROR(AVERAGEIF(OFFSET(F1833,0,0,MIN(Controls!$B$8,COUNTIF(B1833:B$1973,B1833)),1),"&gt;"&amp;0),0)</f>
        <v>0</v>
      </c>
      <c r="J1833">
        <f t="shared" ca="1" si="204"/>
        <v>999</v>
      </c>
      <c r="K1833">
        <f t="shared" ca="1" si="205"/>
        <v>0</v>
      </c>
      <c r="L1833" t="str">
        <f t="shared" ca="1" si="206"/>
        <v>Overstock</v>
      </c>
      <c r="M1833">
        <f>IFERROR(VLOOKUP("47mg Clinical",Controls!A:I,7,0),6)</f>
        <v>6</v>
      </c>
      <c r="N1833">
        <f>IFERROR(VLOOKUP("47mg Clinical",Controls!A:I,8,0),3)</f>
        <v>4</v>
      </c>
      <c r="O1833">
        <f>IFERROR(VLOOKUP("47mg Clinical",Controls!A:I,9,0),18)</f>
        <v>12</v>
      </c>
      <c r="P1833">
        <f>IFERROR(VLOOKUP("47mg Clinical",Controls!A:J,5,0),0)</f>
        <v>1</v>
      </c>
      <c r="Q1833">
        <f>IFERROR(VLOOKUP("47mg Clinical",Controls!A:J,6,0),3)</f>
        <v>3</v>
      </c>
      <c r="R1833" t="str">
        <f>IFERROR(VLOOKUP("47mg Clinical",Controls!A:K,10,0),"")</f>
        <v>Fisher Clinical</v>
      </c>
      <c r="S1833">
        <f t="shared" si="207"/>
        <v>47119</v>
      </c>
      <c r="T1833">
        <f t="shared" si="208"/>
        <v>0</v>
      </c>
      <c r="AB1833">
        <f t="shared" si="202"/>
        <v>0</v>
      </c>
    </row>
    <row r="1834" spans="1:28" x14ac:dyDescent="0.35">
      <c r="A1834" s="201">
        <v>47239</v>
      </c>
      <c r="B1834" t="s">
        <v>923</v>
      </c>
      <c r="C1834" t="s">
        <v>28</v>
      </c>
      <c r="D1834" t="s">
        <v>29</v>
      </c>
      <c r="E1834">
        <f>H1833</f>
        <v>3500</v>
      </c>
      <c r="F1834">
        <f>IFERROR(SUMIFS('Demand Inputs'!$K$5:$K$202,'Demand Inputs'!$A$5:$A$202,"47mg Clinical",'Demand Inputs'!$B$5:$B$202,"&lt;&gt;AGGREGATE",'Demand Inputs'!$E$5:$E$202,1),0)</f>
        <v>0</v>
      </c>
      <c r="G1834">
        <f>IFERROR(SUMPRODUCT(('Production Inputs'!$A:$A="47mg Clinical")*('Production Inputs'!$B:$B="TOTAL ACTIVE")*'Production Inputs'!$AY:$AY),0)</f>
        <v>0</v>
      </c>
      <c r="H1834">
        <f t="shared" si="203"/>
        <v>3500</v>
      </c>
      <c r="I1834" s="30">
        <f ca="1">IFERROR(AVERAGEIF(OFFSET(F1834,0,0,MIN(Controls!$B$8,COUNTIF(B1834:B$1973,B1834)),1),"&gt;"&amp;0),0)</f>
        <v>0</v>
      </c>
      <c r="J1834">
        <f t="shared" ca="1" si="204"/>
        <v>999</v>
      </c>
      <c r="K1834">
        <f t="shared" ca="1" si="205"/>
        <v>0</v>
      </c>
      <c r="L1834" t="str">
        <f t="shared" ca="1" si="206"/>
        <v>Overstock</v>
      </c>
      <c r="M1834">
        <f>IFERROR(VLOOKUP("47mg Clinical",Controls!A:I,7,0),6)</f>
        <v>6</v>
      </c>
      <c r="N1834">
        <f>IFERROR(VLOOKUP("47mg Clinical",Controls!A:I,8,0),3)</f>
        <v>4</v>
      </c>
      <c r="O1834">
        <f>IFERROR(VLOOKUP("47mg Clinical",Controls!A:I,9,0),18)</f>
        <v>12</v>
      </c>
      <c r="P1834">
        <f>IFERROR(VLOOKUP("47mg Clinical",Controls!A:J,5,0),0)</f>
        <v>1</v>
      </c>
      <c r="Q1834">
        <f>IFERROR(VLOOKUP("47mg Clinical",Controls!A:J,6,0),3)</f>
        <v>3</v>
      </c>
      <c r="R1834" t="str">
        <f>IFERROR(VLOOKUP("47mg Clinical",Controls!A:K,10,0),"")</f>
        <v>Fisher Clinical</v>
      </c>
      <c r="S1834">
        <f t="shared" si="207"/>
        <v>47150</v>
      </c>
      <c r="T1834">
        <f t="shared" si="208"/>
        <v>0</v>
      </c>
      <c r="AB1834">
        <f t="shared" si="202"/>
        <v>0</v>
      </c>
    </row>
    <row r="1835" spans="1:28" x14ac:dyDescent="0.35">
      <c r="A1835" s="201">
        <v>47270</v>
      </c>
      <c r="B1835" t="s">
        <v>923</v>
      </c>
      <c r="C1835" t="s">
        <v>28</v>
      </c>
      <c r="D1835" t="s">
        <v>29</v>
      </c>
      <c r="E1835">
        <f>H1834</f>
        <v>3500</v>
      </c>
      <c r="F1835">
        <f>IFERROR(SUMIFS('Demand Inputs'!$K$5:$K$202,'Demand Inputs'!$A$5:$A$202,"47mg Clinical",'Demand Inputs'!$B$5:$B$202,"&lt;&gt;AGGREGATE",'Demand Inputs'!$E$5:$E$202,1),0)</f>
        <v>0</v>
      </c>
      <c r="G1835">
        <f>IFERROR(SUMPRODUCT(('Production Inputs'!$A:$A="47mg Clinical")*('Production Inputs'!$B:$B="TOTAL ACTIVE")*'Production Inputs'!$AZ:$AZ),0)</f>
        <v>0</v>
      </c>
      <c r="H1835">
        <f t="shared" si="203"/>
        <v>3500</v>
      </c>
      <c r="I1835" s="30">
        <f ca="1">IFERROR(AVERAGEIF(OFFSET(F1835,0,0,MIN(Controls!$B$8,COUNTIF(B1835:B$1973,B1835)),1),"&gt;"&amp;0),0)</f>
        <v>0</v>
      </c>
      <c r="J1835">
        <f t="shared" ca="1" si="204"/>
        <v>999</v>
      </c>
      <c r="K1835">
        <f t="shared" ca="1" si="205"/>
        <v>0</v>
      </c>
      <c r="L1835" t="str">
        <f t="shared" ca="1" si="206"/>
        <v>Overstock</v>
      </c>
      <c r="M1835">
        <f>IFERROR(VLOOKUP("47mg Clinical",Controls!A:I,7,0),6)</f>
        <v>6</v>
      </c>
      <c r="N1835">
        <f>IFERROR(VLOOKUP("47mg Clinical",Controls!A:I,8,0),3)</f>
        <v>4</v>
      </c>
      <c r="O1835">
        <f>IFERROR(VLOOKUP("47mg Clinical",Controls!A:I,9,0),18)</f>
        <v>12</v>
      </c>
      <c r="P1835">
        <f>IFERROR(VLOOKUP("47mg Clinical",Controls!A:J,5,0),0)</f>
        <v>1</v>
      </c>
      <c r="Q1835">
        <f>IFERROR(VLOOKUP("47mg Clinical",Controls!A:J,6,0),3)</f>
        <v>3</v>
      </c>
      <c r="R1835" t="str">
        <f>IFERROR(VLOOKUP("47mg Clinical",Controls!A:K,10,0),"")</f>
        <v>Fisher Clinical</v>
      </c>
      <c r="S1835">
        <f t="shared" si="207"/>
        <v>47178</v>
      </c>
      <c r="T1835">
        <f t="shared" si="208"/>
        <v>0</v>
      </c>
      <c r="AB1835">
        <f t="shared" si="202"/>
        <v>0</v>
      </c>
    </row>
    <row r="1836" spans="1:28" x14ac:dyDescent="0.35">
      <c r="A1836" s="201">
        <v>47300</v>
      </c>
      <c r="B1836" t="s">
        <v>923</v>
      </c>
      <c r="C1836" t="s">
        <v>28</v>
      </c>
      <c r="D1836" t="s">
        <v>29</v>
      </c>
      <c r="E1836">
        <f>H1835</f>
        <v>3500</v>
      </c>
      <c r="F1836">
        <f>IFERROR(SUMIFS('Demand Inputs'!$K$5:$K$202,'Demand Inputs'!$A$5:$A$202,"47mg Clinical",'Demand Inputs'!$B$5:$B$202,"&lt;&gt;AGGREGATE",'Demand Inputs'!$E$5:$E$202,1),0)</f>
        <v>0</v>
      </c>
      <c r="G1836">
        <f>IFERROR(SUMPRODUCT(('Production Inputs'!$A:$A="47mg Clinical")*('Production Inputs'!$B:$B="TOTAL ACTIVE")*'Production Inputs'!$BA:$BA),0)</f>
        <v>0</v>
      </c>
      <c r="H1836">
        <f t="shared" si="203"/>
        <v>3500</v>
      </c>
      <c r="I1836" s="30">
        <f ca="1">IFERROR(AVERAGEIF(OFFSET(F1836,0,0,MIN(Controls!$B$8,COUNTIF(B1836:B$1973,B1836)),1),"&gt;"&amp;0),0)</f>
        <v>0</v>
      </c>
      <c r="J1836">
        <f t="shared" ca="1" si="204"/>
        <v>999</v>
      </c>
      <c r="K1836">
        <f t="shared" ca="1" si="205"/>
        <v>0</v>
      </c>
      <c r="L1836" t="str">
        <f t="shared" ca="1" si="206"/>
        <v>Overstock</v>
      </c>
      <c r="M1836">
        <f>IFERROR(VLOOKUP("47mg Clinical",Controls!A:I,7,0),6)</f>
        <v>6</v>
      </c>
      <c r="N1836">
        <f>IFERROR(VLOOKUP("47mg Clinical",Controls!A:I,8,0),3)</f>
        <v>4</v>
      </c>
      <c r="O1836">
        <f>IFERROR(VLOOKUP("47mg Clinical",Controls!A:I,9,0),18)</f>
        <v>12</v>
      </c>
      <c r="P1836">
        <f>IFERROR(VLOOKUP("47mg Clinical",Controls!A:J,5,0),0)</f>
        <v>1</v>
      </c>
      <c r="Q1836">
        <f>IFERROR(VLOOKUP("47mg Clinical",Controls!A:J,6,0),3)</f>
        <v>3</v>
      </c>
      <c r="R1836" t="str">
        <f>IFERROR(VLOOKUP("47mg Clinical",Controls!A:K,10,0),"")</f>
        <v>Fisher Clinical</v>
      </c>
      <c r="S1836">
        <f t="shared" si="207"/>
        <v>47209</v>
      </c>
      <c r="T1836">
        <f t="shared" si="208"/>
        <v>0</v>
      </c>
      <c r="AB1836">
        <f t="shared" si="202"/>
        <v>0</v>
      </c>
    </row>
    <row r="1837" spans="1:28" x14ac:dyDescent="0.35">
      <c r="A1837" s="201">
        <v>47331</v>
      </c>
      <c r="B1837" t="s">
        <v>923</v>
      </c>
      <c r="C1837" t="s">
        <v>28</v>
      </c>
      <c r="D1837" t="s">
        <v>29</v>
      </c>
      <c r="E1837">
        <f>H1836</f>
        <v>3500</v>
      </c>
      <c r="F1837">
        <f>IFERROR(SUMIFS('Demand Inputs'!$K$5:$K$202,'Demand Inputs'!$A$5:$A$202,"47mg Clinical",'Demand Inputs'!$B$5:$B$202,"&lt;&gt;AGGREGATE",'Demand Inputs'!$E$5:$E$202,1),0)</f>
        <v>0</v>
      </c>
      <c r="G1837">
        <f>IFERROR(SUMPRODUCT(('Production Inputs'!$A:$A="47mg Clinical")*('Production Inputs'!$B:$B="TOTAL ACTIVE")*'Production Inputs'!$BB:$BB),0)</f>
        <v>0</v>
      </c>
      <c r="H1837">
        <f t="shared" si="203"/>
        <v>3500</v>
      </c>
      <c r="I1837" s="30">
        <f ca="1">IFERROR(AVERAGEIF(OFFSET(F1837,0,0,MIN(Controls!$B$8,COUNTIF(B1837:B$1973,B1837)),1),"&gt;"&amp;0),0)</f>
        <v>0</v>
      </c>
      <c r="J1837">
        <f t="shared" ca="1" si="204"/>
        <v>999</v>
      </c>
      <c r="K1837">
        <f t="shared" ca="1" si="205"/>
        <v>0</v>
      </c>
      <c r="L1837" t="str">
        <f t="shared" ca="1" si="206"/>
        <v>Overstock</v>
      </c>
      <c r="M1837">
        <f>IFERROR(VLOOKUP("47mg Clinical",Controls!A:I,7,0),6)</f>
        <v>6</v>
      </c>
      <c r="N1837">
        <f>IFERROR(VLOOKUP("47mg Clinical",Controls!A:I,8,0),3)</f>
        <v>4</v>
      </c>
      <c r="O1837">
        <f>IFERROR(VLOOKUP("47mg Clinical",Controls!A:I,9,0),18)</f>
        <v>12</v>
      </c>
      <c r="P1837">
        <f>IFERROR(VLOOKUP("47mg Clinical",Controls!A:J,5,0),0)</f>
        <v>1</v>
      </c>
      <c r="Q1837">
        <f>IFERROR(VLOOKUP("47mg Clinical",Controls!A:J,6,0),3)</f>
        <v>3</v>
      </c>
      <c r="R1837" t="str">
        <f>IFERROR(VLOOKUP("47mg Clinical",Controls!A:K,10,0),"")</f>
        <v>Fisher Clinical</v>
      </c>
      <c r="S1837">
        <f t="shared" si="207"/>
        <v>47239</v>
      </c>
      <c r="T1837">
        <f t="shared" si="208"/>
        <v>0</v>
      </c>
      <c r="AB1837">
        <f t="shared" si="202"/>
        <v>0</v>
      </c>
    </row>
    <row r="1838" spans="1:28" x14ac:dyDescent="0.35">
      <c r="A1838" s="201">
        <v>47362</v>
      </c>
      <c r="B1838" t="s">
        <v>923</v>
      </c>
      <c r="C1838" t="s">
        <v>28</v>
      </c>
      <c r="D1838" t="s">
        <v>29</v>
      </c>
      <c r="E1838">
        <f>H1837</f>
        <v>3500</v>
      </c>
      <c r="F1838">
        <f>IFERROR(SUMIFS('Demand Inputs'!$K$5:$K$202,'Demand Inputs'!$A$5:$A$202,"47mg Clinical",'Demand Inputs'!$B$5:$B$202,"&lt;&gt;AGGREGATE",'Demand Inputs'!$E$5:$E$202,1),0)</f>
        <v>0</v>
      </c>
      <c r="G1838">
        <f>IFERROR(SUMPRODUCT(('Production Inputs'!$A:$A="47mg Clinical")*('Production Inputs'!$B:$B="TOTAL ACTIVE")*'Production Inputs'!$BC:$BC),0)</f>
        <v>0</v>
      </c>
      <c r="H1838">
        <f t="shared" si="203"/>
        <v>3500</v>
      </c>
      <c r="I1838" s="30">
        <f ca="1">IFERROR(AVERAGEIF(OFFSET(F1838,0,0,MIN(Controls!$B$8,COUNTIF(B1838:B$1973,B1838)),1),"&gt;"&amp;0),0)</f>
        <v>0</v>
      </c>
      <c r="J1838">
        <f t="shared" ca="1" si="204"/>
        <v>999</v>
      </c>
      <c r="K1838">
        <f t="shared" ca="1" si="205"/>
        <v>0</v>
      </c>
      <c r="L1838" t="str">
        <f t="shared" ca="1" si="206"/>
        <v>Overstock</v>
      </c>
      <c r="M1838">
        <f>IFERROR(VLOOKUP("47mg Clinical",Controls!A:I,7,0),6)</f>
        <v>6</v>
      </c>
      <c r="N1838">
        <f>IFERROR(VLOOKUP("47mg Clinical",Controls!A:I,8,0),3)</f>
        <v>4</v>
      </c>
      <c r="O1838">
        <f>IFERROR(VLOOKUP("47mg Clinical",Controls!A:I,9,0),18)</f>
        <v>12</v>
      </c>
      <c r="P1838">
        <f>IFERROR(VLOOKUP("47mg Clinical",Controls!A:J,5,0),0)</f>
        <v>1</v>
      </c>
      <c r="Q1838">
        <f>IFERROR(VLOOKUP("47mg Clinical",Controls!A:J,6,0),3)</f>
        <v>3</v>
      </c>
      <c r="R1838" t="str">
        <f>IFERROR(VLOOKUP("47mg Clinical",Controls!A:K,10,0),"")</f>
        <v>Fisher Clinical</v>
      </c>
      <c r="S1838">
        <f t="shared" si="207"/>
        <v>47270</v>
      </c>
      <c r="T1838">
        <f t="shared" si="208"/>
        <v>0</v>
      </c>
      <c r="AB1838">
        <f t="shared" si="202"/>
        <v>0</v>
      </c>
    </row>
    <row r="1839" spans="1:28" x14ac:dyDescent="0.35">
      <c r="A1839" s="201">
        <v>47392</v>
      </c>
      <c r="B1839" t="s">
        <v>923</v>
      </c>
      <c r="C1839" t="s">
        <v>28</v>
      </c>
      <c r="D1839" t="s">
        <v>29</v>
      </c>
      <c r="E1839">
        <f>H1838</f>
        <v>3500</v>
      </c>
      <c r="F1839">
        <f>IFERROR(SUMIFS('Demand Inputs'!$K$5:$K$202,'Demand Inputs'!$A$5:$A$202,"47mg Clinical",'Demand Inputs'!$B$5:$B$202,"&lt;&gt;AGGREGATE",'Demand Inputs'!$E$5:$E$202,1),0)</f>
        <v>0</v>
      </c>
      <c r="G1839">
        <f>IFERROR(SUMPRODUCT(('Production Inputs'!$A:$A="47mg Clinical")*('Production Inputs'!$B:$B="TOTAL ACTIVE")*'Production Inputs'!$BD:$BD),0)</f>
        <v>0</v>
      </c>
      <c r="H1839">
        <f t="shared" si="203"/>
        <v>3500</v>
      </c>
      <c r="I1839" s="30">
        <f ca="1">IFERROR(AVERAGEIF(OFFSET(F1839,0,0,MIN(Controls!$B$8,COUNTIF(B1839:B$1973,B1839)),1),"&gt;"&amp;0),0)</f>
        <v>0</v>
      </c>
      <c r="J1839">
        <f t="shared" ca="1" si="204"/>
        <v>999</v>
      </c>
      <c r="K1839">
        <f t="shared" ca="1" si="205"/>
        <v>0</v>
      </c>
      <c r="L1839" t="str">
        <f t="shared" ca="1" si="206"/>
        <v>Overstock</v>
      </c>
      <c r="M1839">
        <f>IFERROR(VLOOKUP("47mg Clinical",Controls!A:I,7,0),6)</f>
        <v>6</v>
      </c>
      <c r="N1839">
        <f>IFERROR(VLOOKUP("47mg Clinical",Controls!A:I,8,0),3)</f>
        <v>4</v>
      </c>
      <c r="O1839">
        <f>IFERROR(VLOOKUP("47mg Clinical",Controls!A:I,9,0),18)</f>
        <v>12</v>
      </c>
      <c r="P1839">
        <f>IFERROR(VLOOKUP("47mg Clinical",Controls!A:J,5,0),0)</f>
        <v>1</v>
      </c>
      <c r="Q1839">
        <f>IFERROR(VLOOKUP("47mg Clinical",Controls!A:J,6,0),3)</f>
        <v>3</v>
      </c>
      <c r="R1839" t="str">
        <f>IFERROR(VLOOKUP("47mg Clinical",Controls!A:K,10,0),"")</f>
        <v>Fisher Clinical</v>
      </c>
      <c r="S1839">
        <f t="shared" si="207"/>
        <v>47300</v>
      </c>
      <c r="T1839">
        <f t="shared" si="208"/>
        <v>0</v>
      </c>
      <c r="AB1839">
        <f t="shared" si="202"/>
        <v>0</v>
      </c>
    </row>
    <row r="1840" spans="1:28" x14ac:dyDescent="0.35">
      <c r="A1840" s="201">
        <v>47423</v>
      </c>
      <c r="B1840" t="s">
        <v>923</v>
      </c>
      <c r="C1840" t="s">
        <v>28</v>
      </c>
      <c r="D1840" t="s">
        <v>29</v>
      </c>
      <c r="E1840">
        <f>H1839</f>
        <v>3500</v>
      </c>
      <c r="F1840">
        <f>IFERROR(SUMIFS('Demand Inputs'!$K$5:$K$202,'Demand Inputs'!$A$5:$A$202,"47mg Clinical",'Demand Inputs'!$B$5:$B$202,"&lt;&gt;AGGREGATE",'Demand Inputs'!$E$5:$E$202,1),0)</f>
        <v>0</v>
      </c>
      <c r="G1840">
        <f>IFERROR(SUMPRODUCT(('Production Inputs'!$A:$A="47mg Clinical")*('Production Inputs'!$B:$B="TOTAL ACTIVE")*'Production Inputs'!$BE:$BE),0)</f>
        <v>0</v>
      </c>
      <c r="H1840">
        <f t="shared" si="203"/>
        <v>3500</v>
      </c>
      <c r="I1840" s="30">
        <f ca="1">IFERROR(AVERAGEIF(OFFSET(F1840,0,0,MIN(Controls!$B$8,COUNTIF(B1840:B$1973,B1840)),1),"&gt;"&amp;0),0)</f>
        <v>0</v>
      </c>
      <c r="J1840">
        <f t="shared" ca="1" si="204"/>
        <v>999</v>
      </c>
      <c r="K1840">
        <f t="shared" ca="1" si="205"/>
        <v>0</v>
      </c>
      <c r="L1840" t="str">
        <f t="shared" ca="1" si="206"/>
        <v>Overstock</v>
      </c>
      <c r="M1840">
        <f>IFERROR(VLOOKUP("47mg Clinical",Controls!A:I,7,0),6)</f>
        <v>6</v>
      </c>
      <c r="N1840">
        <f>IFERROR(VLOOKUP("47mg Clinical",Controls!A:I,8,0),3)</f>
        <v>4</v>
      </c>
      <c r="O1840">
        <f>IFERROR(VLOOKUP("47mg Clinical",Controls!A:I,9,0),18)</f>
        <v>12</v>
      </c>
      <c r="P1840">
        <f>IFERROR(VLOOKUP("47mg Clinical",Controls!A:J,5,0),0)</f>
        <v>1</v>
      </c>
      <c r="Q1840">
        <f>IFERROR(VLOOKUP("47mg Clinical",Controls!A:J,6,0),3)</f>
        <v>3</v>
      </c>
      <c r="R1840" t="str">
        <f>IFERROR(VLOOKUP("47mg Clinical",Controls!A:K,10,0),"")</f>
        <v>Fisher Clinical</v>
      </c>
      <c r="S1840">
        <f t="shared" si="207"/>
        <v>47331</v>
      </c>
      <c r="T1840">
        <f t="shared" si="208"/>
        <v>0</v>
      </c>
      <c r="AB1840">
        <f t="shared" si="202"/>
        <v>0</v>
      </c>
    </row>
    <row r="1841" spans="1:28" x14ac:dyDescent="0.35">
      <c r="A1841" s="201">
        <v>47453</v>
      </c>
      <c r="B1841" t="s">
        <v>923</v>
      </c>
      <c r="C1841" t="s">
        <v>28</v>
      </c>
      <c r="D1841" t="s">
        <v>29</v>
      </c>
      <c r="E1841">
        <f>H1840</f>
        <v>3500</v>
      </c>
      <c r="F1841">
        <f>IFERROR(SUMIFS('Demand Inputs'!$K$5:$K$202,'Demand Inputs'!$A$5:$A$202,"47mg Clinical",'Demand Inputs'!$B$5:$B$202,"&lt;&gt;AGGREGATE",'Demand Inputs'!$E$5:$E$202,1),0)</f>
        <v>0</v>
      </c>
      <c r="G1841">
        <f>IFERROR(SUMPRODUCT(('Production Inputs'!$A:$A="47mg Clinical")*('Production Inputs'!$B:$B="TOTAL ACTIVE")*'Production Inputs'!$BF:$BF),0)</f>
        <v>0</v>
      </c>
      <c r="H1841">
        <f t="shared" si="203"/>
        <v>3500</v>
      </c>
      <c r="I1841" s="30">
        <f ca="1">IFERROR(AVERAGEIF(OFFSET(F1841,0,0,MIN(Controls!$B$8,COUNTIF(B1841:B$1973,B1841)),1),"&gt;"&amp;0),0)</f>
        <v>0</v>
      </c>
      <c r="J1841">
        <f t="shared" ca="1" si="204"/>
        <v>999</v>
      </c>
      <c r="K1841">
        <f t="shared" ca="1" si="205"/>
        <v>0</v>
      </c>
      <c r="L1841" t="str">
        <f t="shared" ca="1" si="206"/>
        <v>Overstock</v>
      </c>
      <c r="M1841">
        <f>IFERROR(VLOOKUP("47mg Clinical",Controls!A:I,7,0),6)</f>
        <v>6</v>
      </c>
      <c r="N1841">
        <f>IFERROR(VLOOKUP("47mg Clinical",Controls!A:I,8,0),3)</f>
        <v>4</v>
      </c>
      <c r="O1841">
        <f>IFERROR(VLOOKUP("47mg Clinical",Controls!A:I,9,0),18)</f>
        <v>12</v>
      </c>
      <c r="P1841">
        <f>IFERROR(VLOOKUP("47mg Clinical",Controls!A:J,5,0),0)</f>
        <v>1</v>
      </c>
      <c r="Q1841">
        <f>IFERROR(VLOOKUP("47mg Clinical",Controls!A:J,6,0),3)</f>
        <v>3</v>
      </c>
      <c r="R1841" t="str">
        <f>IFERROR(VLOOKUP("47mg Clinical",Controls!A:K,10,0),"")</f>
        <v>Fisher Clinical</v>
      </c>
      <c r="S1841">
        <f t="shared" si="207"/>
        <v>47362</v>
      </c>
      <c r="T1841">
        <f t="shared" si="208"/>
        <v>0</v>
      </c>
      <c r="AB1841">
        <f t="shared" si="202"/>
        <v>0</v>
      </c>
    </row>
    <row r="1842" spans="1:28" x14ac:dyDescent="0.35">
      <c r="A1842" s="201">
        <v>47484</v>
      </c>
      <c r="B1842" t="s">
        <v>923</v>
      </c>
      <c r="C1842" t="s">
        <v>28</v>
      </c>
      <c r="D1842" t="s">
        <v>29</v>
      </c>
      <c r="E1842">
        <f>H1841</f>
        <v>3500</v>
      </c>
      <c r="F1842">
        <f>IFERROR(SUMIFS('Demand Inputs'!$K$5:$K$202,'Demand Inputs'!$A$5:$A$202,"47mg Clinical",'Demand Inputs'!$B$5:$B$202,"&lt;&gt;AGGREGATE",'Demand Inputs'!$E$5:$E$202,1),0)</f>
        <v>0</v>
      </c>
      <c r="G1842">
        <f>IFERROR(SUMPRODUCT(('Production Inputs'!$A:$A="47mg Clinical")*('Production Inputs'!$B:$B="TOTAL ACTIVE")*'Production Inputs'!$BG:$BG),0)</f>
        <v>0</v>
      </c>
      <c r="H1842">
        <f t="shared" si="203"/>
        <v>3500</v>
      </c>
      <c r="I1842" s="30">
        <f ca="1">IFERROR(AVERAGEIF(OFFSET(F1842,0,0,MIN(Controls!$B$8,COUNTIF(B1842:B$1973,B1842)),1),"&gt;"&amp;0),0)</f>
        <v>0</v>
      </c>
      <c r="J1842">
        <f t="shared" ca="1" si="204"/>
        <v>999</v>
      </c>
      <c r="K1842">
        <f t="shared" ca="1" si="205"/>
        <v>0</v>
      </c>
      <c r="L1842" t="str">
        <f t="shared" ca="1" si="206"/>
        <v>Overstock</v>
      </c>
      <c r="M1842">
        <f>IFERROR(VLOOKUP("47mg Clinical",Controls!A:I,7,0),6)</f>
        <v>6</v>
      </c>
      <c r="N1842">
        <f>IFERROR(VLOOKUP("47mg Clinical",Controls!A:I,8,0),3)</f>
        <v>4</v>
      </c>
      <c r="O1842">
        <f>IFERROR(VLOOKUP("47mg Clinical",Controls!A:I,9,0),18)</f>
        <v>12</v>
      </c>
      <c r="P1842">
        <f>IFERROR(VLOOKUP("47mg Clinical",Controls!A:J,5,0),0)</f>
        <v>1</v>
      </c>
      <c r="Q1842">
        <f>IFERROR(VLOOKUP("47mg Clinical",Controls!A:J,6,0),3)</f>
        <v>3</v>
      </c>
      <c r="R1842" t="str">
        <f>IFERROR(VLOOKUP("47mg Clinical",Controls!A:K,10,0),"")</f>
        <v>Fisher Clinical</v>
      </c>
      <c r="S1842">
        <f t="shared" si="207"/>
        <v>47392</v>
      </c>
      <c r="T1842">
        <f t="shared" si="208"/>
        <v>0</v>
      </c>
      <c r="AB1842">
        <f t="shared" si="202"/>
        <v>0</v>
      </c>
    </row>
    <row r="1843" spans="1:28" x14ac:dyDescent="0.35">
      <c r="A1843" s="201">
        <v>47515</v>
      </c>
      <c r="B1843" t="s">
        <v>923</v>
      </c>
      <c r="C1843" t="s">
        <v>28</v>
      </c>
      <c r="D1843" t="s">
        <v>29</v>
      </c>
      <c r="E1843">
        <f>H1842</f>
        <v>3500</v>
      </c>
      <c r="F1843">
        <f>IFERROR(SUMIFS('Demand Inputs'!$K$5:$K$202,'Demand Inputs'!$A$5:$A$202,"47mg Clinical",'Demand Inputs'!$B$5:$B$202,"&lt;&gt;AGGREGATE",'Demand Inputs'!$E$5:$E$202,1),0)</f>
        <v>0</v>
      </c>
      <c r="G1843">
        <f>IFERROR(SUMPRODUCT(('Production Inputs'!$A:$A="47mg Clinical")*('Production Inputs'!$B:$B="TOTAL ACTIVE")*'Production Inputs'!$BH:$BH),0)</f>
        <v>0</v>
      </c>
      <c r="H1843">
        <f t="shared" si="203"/>
        <v>3500</v>
      </c>
      <c r="I1843" s="30">
        <f ca="1">IFERROR(AVERAGEIF(OFFSET(F1843,0,0,MIN(Controls!$B$8,COUNTIF(B1843:B$1973,B1843)),1),"&gt;"&amp;0),0)</f>
        <v>0</v>
      </c>
      <c r="J1843">
        <f t="shared" ca="1" si="204"/>
        <v>999</v>
      </c>
      <c r="K1843">
        <f t="shared" ca="1" si="205"/>
        <v>0</v>
      </c>
      <c r="L1843" t="str">
        <f t="shared" ca="1" si="206"/>
        <v>Overstock</v>
      </c>
      <c r="M1843">
        <f>IFERROR(VLOOKUP("47mg Clinical",Controls!A:I,7,0),6)</f>
        <v>6</v>
      </c>
      <c r="N1843">
        <f>IFERROR(VLOOKUP("47mg Clinical",Controls!A:I,8,0),3)</f>
        <v>4</v>
      </c>
      <c r="O1843">
        <f>IFERROR(VLOOKUP("47mg Clinical",Controls!A:I,9,0),18)</f>
        <v>12</v>
      </c>
      <c r="P1843">
        <f>IFERROR(VLOOKUP("47mg Clinical",Controls!A:J,5,0),0)</f>
        <v>1</v>
      </c>
      <c r="Q1843">
        <f>IFERROR(VLOOKUP("47mg Clinical",Controls!A:J,6,0),3)</f>
        <v>3</v>
      </c>
      <c r="R1843" t="str">
        <f>IFERROR(VLOOKUP("47mg Clinical",Controls!A:K,10,0),"")</f>
        <v>Fisher Clinical</v>
      </c>
      <c r="S1843">
        <f t="shared" si="207"/>
        <v>47423</v>
      </c>
      <c r="T1843">
        <f t="shared" si="208"/>
        <v>0</v>
      </c>
      <c r="AB1843">
        <f t="shared" si="202"/>
        <v>0</v>
      </c>
    </row>
    <row r="1844" spans="1:28" x14ac:dyDescent="0.35">
      <c r="A1844" s="201">
        <v>47543</v>
      </c>
      <c r="B1844" t="s">
        <v>923</v>
      </c>
      <c r="C1844" t="s">
        <v>28</v>
      </c>
      <c r="D1844" t="s">
        <v>29</v>
      </c>
      <c r="E1844">
        <f>H1843</f>
        <v>3500</v>
      </c>
      <c r="F1844">
        <f>IFERROR(SUMIFS('Demand Inputs'!$K$5:$K$202,'Demand Inputs'!$A$5:$A$202,"47mg Clinical",'Demand Inputs'!$B$5:$B$202,"&lt;&gt;AGGREGATE",'Demand Inputs'!$E$5:$E$202,1),0)</f>
        <v>0</v>
      </c>
      <c r="G1844">
        <f>IFERROR(SUMPRODUCT(('Production Inputs'!$A:$A="47mg Clinical")*('Production Inputs'!$B:$B="TOTAL ACTIVE")*'Production Inputs'!$BI:$BI),0)</f>
        <v>0</v>
      </c>
      <c r="H1844">
        <f t="shared" si="203"/>
        <v>3500</v>
      </c>
      <c r="I1844" s="30">
        <f ca="1">IFERROR(AVERAGEIF(OFFSET(F1844,0,0,MIN(Controls!$B$8,COUNTIF(B1844:B$1973,B1844)),1),"&gt;"&amp;0),0)</f>
        <v>0</v>
      </c>
      <c r="J1844">
        <f t="shared" ca="1" si="204"/>
        <v>999</v>
      </c>
      <c r="K1844">
        <f t="shared" ca="1" si="205"/>
        <v>0</v>
      </c>
      <c r="L1844" t="str">
        <f t="shared" ca="1" si="206"/>
        <v>Overstock</v>
      </c>
      <c r="M1844">
        <f>IFERROR(VLOOKUP("47mg Clinical",Controls!A:I,7,0),6)</f>
        <v>6</v>
      </c>
      <c r="N1844">
        <f>IFERROR(VLOOKUP("47mg Clinical",Controls!A:I,8,0),3)</f>
        <v>4</v>
      </c>
      <c r="O1844">
        <f>IFERROR(VLOOKUP("47mg Clinical",Controls!A:I,9,0),18)</f>
        <v>12</v>
      </c>
      <c r="P1844">
        <f>IFERROR(VLOOKUP("47mg Clinical",Controls!A:J,5,0),0)</f>
        <v>1</v>
      </c>
      <c r="Q1844">
        <f>IFERROR(VLOOKUP("47mg Clinical",Controls!A:J,6,0),3)</f>
        <v>3</v>
      </c>
      <c r="R1844" t="str">
        <f>IFERROR(VLOOKUP("47mg Clinical",Controls!A:K,10,0),"")</f>
        <v>Fisher Clinical</v>
      </c>
      <c r="S1844">
        <f t="shared" si="207"/>
        <v>47453</v>
      </c>
      <c r="T1844">
        <f t="shared" si="208"/>
        <v>0</v>
      </c>
      <c r="AB1844">
        <f t="shared" si="202"/>
        <v>0</v>
      </c>
    </row>
    <row r="1845" spans="1:28" x14ac:dyDescent="0.35">
      <c r="A1845" s="201">
        <v>47574</v>
      </c>
      <c r="B1845" t="s">
        <v>923</v>
      </c>
      <c r="C1845" t="s">
        <v>28</v>
      </c>
      <c r="D1845" t="s">
        <v>29</v>
      </c>
      <c r="E1845">
        <f>H1844</f>
        <v>3500</v>
      </c>
      <c r="F1845">
        <f>IFERROR(SUMIFS('Demand Inputs'!$K$5:$K$202,'Demand Inputs'!$A$5:$A$202,"47mg Clinical",'Demand Inputs'!$B$5:$B$202,"&lt;&gt;AGGREGATE",'Demand Inputs'!$E$5:$E$202,1),0)</f>
        <v>0</v>
      </c>
      <c r="G1845">
        <f>IFERROR(SUMPRODUCT(('Production Inputs'!$A:$A="47mg Clinical")*('Production Inputs'!$B:$B="TOTAL ACTIVE")*'Production Inputs'!$BJ:$BJ),0)</f>
        <v>0</v>
      </c>
      <c r="H1845">
        <f t="shared" si="203"/>
        <v>3500</v>
      </c>
      <c r="I1845" s="30">
        <f ca="1">IFERROR(AVERAGEIF(OFFSET(F1845,0,0,MIN(Controls!$B$8,COUNTIF(B1845:B$1973,B1845)),1),"&gt;"&amp;0),0)</f>
        <v>0</v>
      </c>
      <c r="J1845">
        <f t="shared" ca="1" si="204"/>
        <v>999</v>
      </c>
      <c r="K1845">
        <f t="shared" ca="1" si="205"/>
        <v>0</v>
      </c>
      <c r="L1845" t="str">
        <f t="shared" ca="1" si="206"/>
        <v>Overstock</v>
      </c>
      <c r="M1845">
        <f>IFERROR(VLOOKUP("47mg Clinical",Controls!A:I,7,0),6)</f>
        <v>6</v>
      </c>
      <c r="N1845">
        <f>IFERROR(VLOOKUP("47mg Clinical",Controls!A:I,8,0),3)</f>
        <v>4</v>
      </c>
      <c r="O1845">
        <f>IFERROR(VLOOKUP("47mg Clinical",Controls!A:I,9,0),18)</f>
        <v>12</v>
      </c>
      <c r="P1845">
        <f>IFERROR(VLOOKUP("47mg Clinical",Controls!A:J,5,0),0)</f>
        <v>1</v>
      </c>
      <c r="Q1845">
        <f>IFERROR(VLOOKUP("47mg Clinical",Controls!A:J,6,0),3)</f>
        <v>3</v>
      </c>
      <c r="R1845" t="str">
        <f>IFERROR(VLOOKUP("47mg Clinical",Controls!A:K,10,0),"")</f>
        <v>Fisher Clinical</v>
      </c>
      <c r="S1845">
        <f t="shared" si="207"/>
        <v>47484</v>
      </c>
      <c r="T1845">
        <f t="shared" si="208"/>
        <v>0</v>
      </c>
      <c r="AB1845">
        <f t="shared" si="202"/>
        <v>0</v>
      </c>
    </row>
    <row r="1846" spans="1:28" x14ac:dyDescent="0.35">
      <c r="A1846" s="201">
        <v>47604</v>
      </c>
      <c r="B1846" t="s">
        <v>923</v>
      </c>
      <c r="C1846" t="s">
        <v>28</v>
      </c>
      <c r="D1846" t="s">
        <v>29</v>
      </c>
      <c r="E1846">
        <f>H1845</f>
        <v>3500</v>
      </c>
      <c r="F1846">
        <f>IFERROR(SUMIFS('Demand Inputs'!$K$5:$K$202,'Demand Inputs'!$A$5:$A$202,"47mg Clinical",'Demand Inputs'!$B$5:$B$202,"&lt;&gt;AGGREGATE",'Demand Inputs'!$E$5:$E$202,1),0)</f>
        <v>0</v>
      </c>
      <c r="G1846">
        <f>IFERROR(SUMPRODUCT(('Production Inputs'!$A:$A="47mg Clinical")*('Production Inputs'!$B:$B="TOTAL ACTIVE")*'Production Inputs'!$BK:$BK),0)</f>
        <v>0</v>
      </c>
      <c r="H1846">
        <f t="shared" si="203"/>
        <v>3500</v>
      </c>
      <c r="I1846" s="30">
        <f ca="1">IFERROR(AVERAGEIF(OFFSET(F1846,0,0,MIN(Controls!$B$8,COUNTIF(B1846:B$1973,B1846)),1),"&gt;"&amp;0),0)</f>
        <v>0</v>
      </c>
      <c r="J1846">
        <f t="shared" ca="1" si="204"/>
        <v>999</v>
      </c>
      <c r="K1846">
        <f t="shared" ca="1" si="205"/>
        <v>0</v>
      </c>
      <c r="L1846" t="str">
        <f t="shared" ca="1" si="206"/>
        <v>Overstock</v>
      </c>
      <c r="M1846">
        <f>IFERROR(VLOOKUP("47mg Clinical",Controls!A:I,7,0),6)</f>
        <v>6</v>
      </c>
      <c r="N1846">
        <f>IFERROR(VLOOKUP("47mg Clinical",Controls!A:I,8,0),3)</f>
        <v>4</v>
      </c>
      <c r="O1846">
        <f>IFERROR(VLOOKUP("47mg Clinical",Controls!A:I,9,0),18)</f>
        <v>12</v>
      </c>
      <c r="P1846">
        <f>IFERROR(VLOOKUP("47mg Clinical",Controls!A:J,5,0),0)</f>
        <v>1</v>
      </c>
      <c r="Q1846">
        <f>IFERROR(VLOOKUP("47mg Clinical",Controls!A:J,6,0),3)</f>
        <v>3</v>
      </c>
      <c r="R1846" t="str">
        <f>IFERROR(VLOOKUP("47mg Clinical",Controls!A:K,10,0),"")</f>
        <v>Fisher Clinical</v>
      </c>
      <c r="S1846">
        <f t="shared" si="207"/>
        <v>47515</v>
      </c>
      <c r="T1846">
        <f t="shared" si="208"/>
        <v>0</v>
      </c>
      <c r="AB1846">
        <f t="shared" si="202"/>
        <v>0</v>
      </c>
    </row>
    <row r="1847" spans="1:28" x14ac:dyDescent="0.35">
      <c r="A1847" s="201">
        <v>47635</v>
      </c>
      <c r="B1847" t="s">
        <v>923</v>
      </c>
      <c r="C1847" t="s">
        <v>28</v>
      </c>
      <c r="D1847" t="s">
        <v>29</v>
      </c>
      <c r="E1847">
        <f>H1846</f>
        <v>3500</v>
      </c>
      <c r="F1847">
        <f>IFERROR(SUMIFS('Demand Inputs'!$K$5:$K$202,'Demand Inputs'!$A$5:$A$202,"47mg Clinical",'Demand Inputs'!$B$5:$B$202,"&lt;&gt;AGGREGATE",'Demand Inputs'!$E$5:$E$202,1),0)</f>
        <v>0</v>
      </c>
      <c r="G1847">
        <f>IFERROR(SUMPRODUCT(('Production Inputs'!$A:$A="47mg Clinical")*('Production Inputs'!$B:$B="TOTAL ACTIVE")*'Production Inputs'!$BL:$BL),0)</f>
        <v>0</v>
      </c>
      <c r="H1847">
        <f t="shared" si="203"/>
        <v>3500</v>
      </c>
      <c r="I1847" s="30">
        <f ca="1">IFERROR(AVERAGEIF(OFFSET(F1847,0,0,MIN(Controls!$B$8,COUNTIF(B1847:B$1973,B1847)),1),"&gt;"&amp;0),0)</f>
        <v>0</v>
      </c>
      <c r="J1847">
        <f t="shared" ca="1" si="204"/>
        <v>999</v>
      </c>
      <c r="K1847">
        <f t="shared" ca="1" si="205"/>
        <v>0</v>
      </c>
      <c r="L1847" t="str">
        <f t="shared" ca="1" si="206"/>
        <v>Overstock</v>
      </c>
      <c r="M1847">
        <f>IFERROR(VLOOKUP("47mg Clinical",Controls!A:I,7,0),6)</f>
        <v>6</v>
      </c>
      <c r="N1847">
        <f>IFERROR(VLOOKUP("47mg Clinical",Controls!A:I,8,0),3)</f>
        <v>4</v>
      </c>
      <c r="O1847">
        <f>IFERROR(VLOOKUP("47mg Clinical",Controls!A:I,9,0),18)</f>
        <v>12</v>
      </c>
      <c r="P1847">
        <f>IFERROR(VLOOKUP("47mg Clinical",Controls!A:J,5,0),0)</f>
        <v>1</v>
      </c>
      <c r="Q1847">
        <f>IFERROR(VLOOKUP("47mg Clinical",Controls!A:J,6,0),3)</f>
        <v>3</v>
      </c>
      <c r="R1847" t="str">
        <f>IFERROR(VLOOKUP("47mg Clinical",Controls!A:K,10,0),"")</f>
        <v>Fisher Clinical</v>
      </c>
      <c r="S1847">
        <f t="shared" si="207"/>
        <v>47543</v>
      </c>
      <c r="T1847">
        <f t="shared" si="208"/>
        <v>0</v>
      </c>
      <c r="AB1847">
        <f t="shared" si="202"/>
        <v>0</v>
      </c>
    </row>
    <row r="1848" spans="1:28" x14ac:dyDescent="0.35">
      <c r="A1848" s="201">
        <v>47665</v>
      </c>
      <c r="B1848" t="s">
        <v>923</v>
      </c>
      <c r="C1848" t="s">
        <v>28</v>
      </c>
      <c r="D1848" t="s">
        <v>29</v>
      </c>
      <c r="E1848">
        <f>H1847</f>
        <v>3500</v>
      </c>
      <c r="F1848">
        <f>IFERROR(SUMIFS('Demand Inputs'!$K$5:$K$202,'Demand Inputs'!$A$5:$A$202,"47mg Clinical",'Demand Inputs'!$B$5:$B$202,"&lt;&gt;AGGREGATE",'Demand Inputs'!$E$5:$E$202,1),0)</f>
        <v>0</v>
      </c>
      <c r="G1848">
        <f>IFERROR(SUMPRODUCT(('Production Inputs'!$A:$A="47mg Clinical")*('Production Inputs'!$B:$B="TOTAL ACTIVE")*'Production Inputs'!$BM:$BM),0)</f>
        <v>0</v>
      </c>
      <c r="H1848">
        <f t="shared" si="203"/>
        <v>3500</v>
      </c>
      <c r="I1848" s="30">
        <f ca="1">IFERROR(AVERAGEIF(OFFSET(F1848,0,0,MIN(Controls!$B$8,COUNTIF(B1848:B$1973,B1848)),1),"&gt;"&amp;0),0)</f>
        <v>0</v>
      </c>
      <c r="J1848">
        <f t="shared" ca="1" si="204"/>
        <v>999</v>
      </c>
      <c r="K1848">
        <f t="shared" ca="1" si="205"/>
        <v>0</v>
      </c>
      <c r="L1848" t="str">
        <f t="shared" ca="1" si="206"/>
        <v>Overstock</v>
      </c>
      <c r="M1848">
        <f>IFERROR(VLOOKUP("47mg Clinical",Controls!A:I,7,0),6)</f>
        <v>6</v>
      </c>
      <c r="N1848">
        <f>IFERROR(VLOOKUP("47mg Clinical",Controls!A:I,8,0),3)</f>
        <v>4</v>
      </c>
      <c r="O1848">
        <f>IFERROR(VLOOKUP("47mg Clinical",Controls!A:I,9,0),18)</f>
        <v>12</v>
      </c>
      <c r="P1848">
        <f>IFERROR(VLOOKUP("47mg Clinical",Controls!A:J,5,0),0)</f>
        <v>1</v>
      </c>
      <c r="Q1848">
        <f>IFERROR(VLOOKUP("47mg Clinical",Controls!A:J,6,0),3)</f>
        <v>3</v>
      </c>
      <c r="R1848" t="str">
        <f>IFERROR(VLOOKUP("47mg Clinical",Controls!A:K,10,0),"")</f>
        <v>Fisher Clinical</v>
      </c>
      <c r="S1848">
        <f t="shared" si="207"/>
        <v>47574</v>
      </c>
      <c r="T1848">
        <f t="shared" si="208"/>
        <v>0</v>
      </c>
      <c r="AB1848">
        <f t="shared" si="202"/>
        <v>0</v>
      </c>
    </row>
    <row r="1849" spans="1:28" x14ac:dyDescent="0.35">
      <c r="A1849" s="201">
        <v>47696</v>
      </c>
      <c r="B1849" t="s">
        <v>923</v>
      </c>
      <c r="C1849" t="s">
        <v>28</v>
      </c>
      <c r="D1849" t="s">
        <v>29</v>
      </c>
      <c r="E1849">
        <f>H1848</f>
        <v>3500</v>
      </c>
      <c r="F1849">
        <f>IFERROR(SUMIFS('Demand Inputs'!$K$5:$K$202,'Demand Inputs'!$A$5:$A$202,"47mg Clinical",'Demand Inputs'!$B$5:$B$202,"&lt;&gt;AGGREGATE",'Demand Inputs'!$E$5:$E$202,1),0)</f>
        <v>0</v>
      </c>
      <c r="G1849">
        <f>IFERROR(SUMPRODUCT(('Production Inputs'!$A:$A="47mg Clinical")*('Production Inputs'!$B:$B="TOTAL ACTIVE")*'Production Inputs'!$BN:$BN),0)</f>
        <v>0</v>
      </c>
      <c r="H1849">
        <f t="shared" si="203"/>
        <v>3500</v>
      </c>
      <c r="I1849" s="30">
        <f ca="1">IFERROR(AVERAGEIF(OFFSET(F1849,0,0,MIN(Controls!$B$8,COUNTIF(B1849:B$1973,B1849)),1),"&gt;"&amp;0),0)</f>
        <v>0</v>
      </c>
      <c r="J1849">
        <f t="shared" ca="1" si="204"/>
        <v>999</v>
      </c>
      <c r="K1849">
        <f t="shared" ca="1" si="205"/>
        <v>0</v>
      </c>
      <c r="L1849" t="str">
        <f t="shared" ca="1" si="206"/>
        <v>Overstock</v>
      </c>
      <c r="M1849">
        <f>IFERROR(VLOOKUP("47mg Clinical",Controls!A:I,7,0),6)</f>
        <v>6</v>
      </c>
      <c r="N1849">
        <f>IFERROR(VLOOKUP("47mg Clinical",Controls!A:I,8,0),3)</f>
        <v>4</v>
      </c>
      <c r="O1849">
        <f>IFERROR(VLOOKUP("47mg Clinical",Controls!A:I,9,0),18)</f>
        <v>12</v>
      </c>
      <c r="P1849">
        <f>IFERROR(VLOOKUP("47mg Clinical",Controls!A:J,5,0),0)</f>
        <v>1</v>
      </c>
      <c r="Q1849">
        <f>IFERROR(VLOOKUP("47mg Clinical",Controls!A:J,6,0),3)</f>
        <v>3</v>
      </c>
      <c r="R1849" t="str">
        <f>IFERROR(VLOOKUP("47mg Clinical",Controls!A:K,10,0),"")</f>
        <v>Fisher Clinical</v>
      </c>
      <c r="S1849">
        <f t="shared" si="207"/>
        <v>47604</v>
      </c>
      <c r="T1849">
        <f t="shared" si="208"/>
        <v>0</v>
      </c>
      <c r="AB1849">
        <f t="shared" si="202"/>
        <v>0</v>
      </c>
    </row>
    <row r="1850" spans="1:28" x14ac:dyDescent="0.35">
      <c r="A1850" s="201">
        <v>47727</v>
      </c>
      <c r="B1850" t="s">
        <v>923</v>
      </c>
      <c r="C1850" t="s">
        <v>28</v>
      </c>
      <c r="D1850" t="s">
        <v>29</v>
      </c>
      <c r="E1850">
        <f>H1849</f>
        <v>3500</v>
      </c>
      <c r="F1850">
        <f>IFERROR(SUMIFS('Demand Inputs'!$K$5:$K$202,'Demand Inputs'!$A$5:$A$202,"47mg Clinical",'Demand Inputs'!$B$5:$B$202,"&lt;&gt;AGGREGATE",'Demand Inputs'!$E$5:$E$202,1),0)</f>
        <v>0</v>
      </c>
      <c r="G1850">
        <f>IFERROR(SUMPRODUCT(('Production Inputs'!$A:$A="47mg Clinical")*('Production Inputs'!$B:$B="TOTAL ACTIVE")*'Production Inputs'!$BO:$BO),0)</f>
        <v>0</v>
      </c>
      <c r="H1850">
        <f t="shared" si="203"/>
        <v>3500</v>
      </c>
      <c r="I1850" s="30">
        <f ca="1">IFERROR(AVERAGEIF(OFFSET(F1850,0,0,MIN(Controls!$B$8,COUNTIF(B1850:B$1973,B1850)),1),"&gt;"&amp;0),0)</f>
        <v>0</v>
      </c>
      <c r="J1850">
        <f t="shared" ca="1" si="204"/>
        <v>999</v>
      </c>
      <c r="K1850">
        <f t="shared" ca="1" si="205"/>
        <v>0</v>
      </c>
      <c r="L1850" t="str">
        <f t="shared" ca="1" si="206"/>
        <v>Overstock</v>
      </c>
      <c r="M1850">
        <f>IFERROR(VLOOKUP("47mg Clinical",Controls!A:I,7,0),6)</f>
        <v>6</v>
      </c>
      <c r="N1850">
        <f>IFERROR(VLOOKUP("47mg Clinical",Controls!A:I,8,0),3)</f>
        <v>4</v>
      </c>
      <c r="O1850">
        <f>IFERROR(VLOOKUP("47mg Clinical",Controls!A:I,9,0),18)</f>
        <v>12</v>
      </c>
      <c r="P1850">
        <f>IFERROR(VLOOKUP("47mg Clinical",Controls!A:J,5,0),0)</f>
        <v>1</v>
      </c>
      <c r="Q1850">
        <f>IFERROR(VLOOKUP("47mg Clinical",Controls!A:J,6,0),3)</f>
        <v>3</v>
      </c>
      <c r="R1850" t="str">
        <f>IFERROR(VLOOKUP("47mg Clinical",Controls!A:K,10,0),"")</f>
        <v>Fisher Clinical</v>
      </c>
      <c r="S1850">
        <f t="shared" si="207"/>
        <v>47635</v>
      </c>
      <c r="T1850">
        <f t="shared" si="208"/>
        <v>0</v>
      </c>
      <c r="AB1850">
        <f t="shared" si="202"/>
        <v>0</v>
      </c>
    </row>
    <row r="1851" spans="1:28" x14ac:dyDescent="0.35">
      <c r="A1851" s="201">
        <v>47757</v>
      </c>
      <c r="B1851" t="s">
        <v>923</v>
      </c>
      <c r="C1851" t="s">
        <v>28</v>
      </c>
      <c r="D1851" t="s">
        <v>29</v>
      </c>
      <c r="E1851">
        <f>H1850</f>
        <v>3500</v>
      </c>
      <c r="F1851">
        <f>IFERROR(SUMIFS('Demand Inputs'!$K$5:$K$202,'Demand Inputs'!$A$5:$A$202,"47mg Clinical",'Demand Inputs'!$B$5:$B$202,"&lt;&gt;AGGREGATE",'Demand Inputs'!$E$5:$E$202,1),0)</f>
        <v>0</v>
      </c>
      <c r="G1851">
        <f>IFERROR(SUMPRODUCT(('Production Inputs'!$A:$A="47mg Clinical")*('Production Inputs'!$B:$B="TOTAL ACTIVE")*'Production Inputs'!$BP:$BP),0)</f>
        <v>0</v>
      </c>
      <c r="H1851">
        <f t="shared" si="203"/>
        <v>3500</v>
      </c>
      <c r="I1851" s="30">
        <f ca="1">IFERROR(AVERAGEIF(OFFSET(F1851,0,0,MIN(Controls!$B$8,COUNTIF(B1851:B$1973,B1851)),1),"&gt;"&amp;0),0)</f>
        <v>0</v>
      </c>
      <c r="J1851">
        <f t="shared" ca="1" si="204"/>
        <v>999</v>
      </c>
      <c r="K1851">
        <f t="shared" ca="1" si="205"/>
        <v>0</v>
      </c>
      <c r="L1851" t="str">
        <f t="shared" ca="1" si="206"/>
        <v>Overstock</v>
      </c>
      <c r="M1851">
        <f>IFERROR(VLOOKUP("47mg Clinical",Controls!A:I,7,0),6)</f>
        <v>6</v>
      </c>
      <c r="N1851">
        <f>IFERROR(VLOOKUP("47mg Clinical",Controls!A:I,8,0),3)</f>
        <v>4</v>
      </c>
      <c r="O1851">
        <f>IFERROR(VLOOKUP("47mg Clinical",Controls!A:I,9,0),18)</f>
        <v>12</v>
      </c>
      <c r="P1851">
        <f>IFERROR(VLOOKUP("47mg Clinical",Controls!A:J,5,0),0)</f>
        <v>1</v>
      </c>
      <c r="Q1851">
        <f>IFERROR(VLOOKUP("47mg Clinical",Controls!A:J,6,0),3)</f>
        <v>3</v>
      </c>
      <c r="R1851" t="str">
        <f>IFERROR(VLOOKUP("47mg Clinical",Controls!A:K,10,0),"")</f>
        <v>Fisher Clinical</v>
      </c>
      <c r="S1851">
        <f t="shared" si="207"/>
        <v>47665</v>
      </c>
      <c r="T1851">
        <f t="shared" si="208"/>
        <v>0</v>
      </c>
      <c r="AB1851">
        <f t="shared" si="202"/>
        <v>0</v>
      </c>
    </row>
    <row r="1852" spans="1:28" x14ac:dyDescent="0.35">
      <c r="A1852" s="201">
        <v>47788</v>
      </c>
      <c r="B1852" t="s">
        <v>923</v>
      </c>
      <c r="C1852" t="s">
        <v>28</v>
      </c>
      <c r="D1852" t="s">
        <v>29</v>
      </c>
      <c r="E1852">
        <f>H1851</f>
        <v>3500</v>
      </c>
      <c r="F1852">
        <f>IFERROR(SUMIFS('Demand Inputs'!$K$5:$K$202,'Demand Inputs'!$A$5:$A$202,"47mg Clinical",'Demand Inputs'!$B$5:$B$202,"&lt;&gt;AGGREGATE",'Demand Inputs'!$E$5:$E$202,1),0)</f>
        <v>0</v>
      </c>
      <c r="G1852">
        <f>IFERROR(SUMPRODUCT(('Production Inputs'!$A:$A="47mg Clinical")*('Production Inputs'!$B:$B="TOTAL ACTIVE")*'Production Inputs'!$BQ:$BQ),0)</f>
        <v>0</v>
      </c>
      <c r="H1852">
        <f t="shared" si="203"/>
        <v>3500</v>
      </c>
      <c r="I1852" s="30">
        <f ca="1">IFERROR(AVERAGEIF(OFFSET(F1852,0,0,MIN(Controls!$B$8,COUNTIF(B1852:B$1973,B1852)),1),"&gt;"&amp;0),0)</f>
        <v>0</v>
      </c>
      <c r="J1852">
        <f t="shared" ca="1" si="204"/>
        <v>999</v>
      </c>
      <c r="K1852">
        <f t="shared" ca="1" si="205"/>
        <v>0</v>
      </c>
      <c r="L1852" t="str">
        <f t="shared" ca="1" si="206"/>
        <v>Overstock</v>
      </c>
      <c r="M1852">
        <f>IFERROR(VLOOKUP("47mg Clinical",Controls!A:I,7,0),6)</f>
        <v>6</v>
      </c>
      <c r="N1852">
        <f>IFERROR(VLOOKUP("47mg Clinical",Controls!A:I,8,0),3)</f>
        <v>4</v>
      </c>
      <c r="O1852">
        <f>IFERROR(VLOOKUP("47mg Clinical",Controls!A:I,9,0),18)</f>
        <v>12</v>
      </c>
      <c r="P1852">
        <f>IFERROR(VLOOKUP("47mg Clinical",Controls!A:J,5,0),0)</f>
        <v>1</v>
      </c>
      <c r="Q1852">
        <f>IFERROR(VLOOKUP("47mg Clinical",Controls!A:J,6,0),3)</f>
        <v>3</v>
      </c>
      <c r="R1852" t="str">
        <f>IFERROR(VLOOKUP("47mg Clinical",Controls!A:K,10,0),"")</f>
        <v>Fisher Clinical</v>
      </c>
      <c r="S1852">
        <f t="shared" si="207"/>
        <v>47696</v>
      </c>
      <c r="T1852">
        <f t="shared" si="208"/>
        <v>0</v>
      </c>
      <c r="AB1852">
        <f t="shared" si="202"/>
        <v>0</v>
      </c>
    </row>
    <row r="1853" spans="1:28" x14ac:dyDescent="0.35">
      <c r="A1853" s="201">
        <v>47818</v>
      </c>
      <c r="B1853" t="s">
        <v>923</v>
      </c>
      <c r="C1853" t="s">
        <v>28</v>
      </c>
      <c r="D1853" t="s">
        <v>29</v>
      </c>
      <c r="E1853">
        <f>H1852</f>
        <v>3500</v>
      </c>
      <c r="F1853">
        <f>IFERROR(SUMIFS('Demand Inputs'!$K$5:$K$202,'Demand Inputs'!$A$5:$A$202,"47mg Clinical",'Demand Inputs'!$B$5:$B$202,"&lt;&gt;AGGREGATE",'Demand Inputs'!$E$5:$E$202,1),0)</f>
        <v>0</v>
      </c>
      <c r="G1853">
        <f>IFERROR(SUMPRODUCT(('Production Inputs'!$A:$A="47mg Clinical")*('Production Inputs'!$B:$B="TOTAL ACTIVE")*'Production Inputs'!$BR:$BR),0)</f>
        <v>0</v>
      </c>
      <c r="H1853">
        <f t="shared" si="203"/>
        <v>3500</v>
      </c>
      <c r="I1853" s="30">
        <f ca="1">IFERROR(AVERAGEIF(OFFSET(F1853,0,0,MIN(Controls!$B$8,COUNTIF(B1853:B$1973,B1853)),1),"&gt;"&amp;0),0)</f>
        <v>0</v>
      </c>
      <c r="J1853">
        <f t="shared" ca="1" si="204"/>
        <v>999</v>
      </c>
      <c r="K1853">
        <f t="shared" ca="1" si="205"/>
        <v>0</v>
      </c>
      <c r="L1853" t="str">
        <f t="shared" ca="1" si="206"/>
        <v>Overstock</v>
      </c>
      <c r="M1853">
        <f>IFERROR(VLOOKUP("47mg Clinical",Controls!A:I,7,0),6)</f>
        <v>6</v>
      </c>
      <c r="N1853">
        <f>IFERROR(VLOOKUP("47mg Clinical",Controls!A:I,8,0),3)</f>
        <v>4</v>
      </c>
      <c r="O1853">
        <f>IFERROR(VLOOKUP("47mg Clinical",Controls!A:I,9,0),18)</f>
        <v>12</v>
      </c>
      <c r="P1853">
        <f>IFERROR(VLOOKUP("47mg Clinical",Controls!A:J,5,0),0)</f>
        <v>1</v>
      </c>
      <c r="Q1853">
        <f>IFERROR(VLOOKUP("47mg Clinical",Controls!A:J,6,0),3)</f>
        <v>3</v>
      </c>
      <c r="R1853" t="str">
        <f>IFERROR(VLOOKUP("47mg Clinical",Controls!A:K,10,0),"")</f>
        <v>Fisher Clinical</v>
      </c>
      <c r="S1853">
        <f t="shared" si="207"/>
        <v>47727</v>
      </c>
      <c r="T1853">
        <f t="shared" si="208"/>
        <v>0</v>
      </c>
      <c r="AB1853">
        <f t="shared" si="202"/>
        <v>0</v>
      </c>
    </row>
    <row r="1854" spans="1:28" x14ac:dyDescent="0.35">
      <c r="A1854" s="201">
        <v>47849</v>
      </c>
      <c r="B1854" t="s">
        <v>923</v>
      </c>
      <c r="C1854" t="s">
        <v>28</v>
      </c>
      <c r="D1854" t="s">
        <v>29</v>
      </c>
      <c r="E1854">
        <f>H1853</f>
        <v>3500</v>
      </c>
      <c r="F1854">
        <f>IFERROR(SUMIFS('Demand Inputs'!$K$5:$K$202,'Demand Inputs'!$A$5:$A$202,"47mg Clinical",'Demand Inputs'!$B$5:$B$202,"&lt;&gt;AGGREGATE",'Demand Inputs'!$E$5:$E$202,1),0)</f>
        <v>0</v>
      </c>
      <c r="G1854">
        <f>IFERROR(SUMPRODUCT(('Production Inputs'!$A:$A="47mg Clinical")*('Production Inputs'!$B:$B="TOTAL ACTIVE")*'Production Inputs'!$BS:$BS),0)</f>
        <v>0</v>
      </c>
      <c r="H1854">
        <f t="shared" si="203"/>
        <v>3500</v>
      </c>
      <c r="I1854" s="30">
        <f ca="1">IFERROR(AVERAGEIF(OFFSET(F1854,0,0,MIN(Controls!$B$8,COUNTIF(B1854:B$1973,B1854)),1),"&gt;"&amp;0),0)</f>
        <v>0</v>
      </c>
      <c r="J1854">
        <f t="shared" ca="1" si="204"/>
        <v>999</v>
      </c>
      <c r="K1854">
        <f t="shared" ca="1" si="205"/>
        <v>0</v>
      </c>
      <c r="L1854" t="str">
        <f t="shared" ca="1" si="206"/>
        <v>Overstock</v>
      </c>
      <c r="M1854">
        <f>IFERROR(VLOOKUP("47mg Clinical",Controls!A:I,7,0),6)</f>
        <v>6</v>
      </c>
      <c r="N1854">
        <f>IFERROR(VLOOKUP("47mg Clinical",Controls!A:I,8,0),3)</f>
        <v>4</v>
      </c>
      <c r="O1854">
        <f>IFERROR(VLOOKUP("47mg Clinical",Controls!A:I,9,0),18)</f>
        <v>12</v>
      </c>
      <c r="P1854">
        <f>IFERROR(VLOOKUP("47mg Clinical",Controls!A:J,5,0),0)</f>
        <v>1</v>
      </c>
      <c r="Q1854">
        <f>IFERROR(VLOOKUP("47mg Clinical",Controls!A:J,6,0),3)</f>
        <v>3</v>
      </c>
      <c r="R1854" t="str">
        <f>IFERROR(VLOOKUP("47mg Clinical",Controls!A:K,10,0),"")</f>
        <v>Fisher Clinical</v>
      </c>
      <c r="S1854">
        <f t="shared" si="207"/>
        <v>47757</v>
      </c>
      <c r="T1854">
        <f t="shared" si="208"/>
        <v>0</v>
      </c>
      <c r="AB1854">
        <f t="shared" si="202"/>
        <v>0</v>
      </c>
    </row>
    <row r="1855" spans="1:28" x14ac:dyDescent="0.35">
      <c r="A1855" s="201">
        <v>47880</v>
      </c>
      <c r="B1855" t="s">
        <v>923</v>
      </c>
      <c r="C1855" t="s">
        <v>28</v>
      </c>
      <c r="D1855" t="s">
        <v>29</v>
      </c>
      <c r="E1855">
        <f>H1854</f>
        <v>3500</v>
      </c>
      <c r="F1855">
        <f>IFERROR(SUMIFS('Demand Inputs'!$K$5:$K$202,'Demand Inputs'!$A$5:$A$202,"47mg Clinical",'Demand Inputs'!$B$5:$B$202,"&lt;&gt;AGGREGATE",'Demand Inputs'!$E$5:$E$202,1),0)</f>
        <v>0</v>
      </c>
      <c r="G1855">
        <f>IFERROR(SUMPRODUCT(('Production Inputs'!$A:$A="47mg Clinical")*('Production Inputs'!$B:$B="TOTAL ACTIVE")*'Production Inputs'!$BT:$BT),0)</f>
        <v>0</v>
      </c>
      <c r="H1855">
        <f t="shared" si="203"/>
        <v>3500</v>
      </c>
      <c r="I1855" s="30">
        <f ca="1">IFERROR(AVERAGEIF(OFFSET(F1855,0,0,MIN(Controls!$B$8,COUNTIF(B1855:B$1973,B1855)),1),"&gt;"&amp;0),0)</f>
        <v>0</v>
      </c>
      <c r="J1855">
        <f t="shared" ca="1" si="204"/>
        <v>999</v>
      </c>
      <c r="K1855">
        <f t="shared" ca="1" si="205"/>
        <v>0</v>
      </c>
      <c r="L1855" t="str">
        <f t="shared" ca="1" si="206"/>
        <v>Overstock</v>
      </c>
      <c r="M1855">
        <f>IFERROR(VLOOKUP("47mg Clinical",Controls!A:I,7,0),6)</f>
        <v>6</v>
      </c>
      <c r="N1855">
        <f>IFERROR(VLOOKUP("47mg Clinical",Controls!A:I,8,0),3)</f>
        <v>4</v>
      </c>
      <c r="O1855">
        <f>IFERROR(VLOOKUP("47mg Clinical",Controls!A:I,9,0),18)</f>
        <v>12</v>
      </c>
      <c r="P1855">
        <f>IFERROR(VLOOKUP("47mg Clinical",Controls!A:J,5,0),0)</f>
        <v>1</v>
      </c>
      <c r="Q1855">
        <f>IFERROR(VLOOKUP("47mg Clinical",Controls!A:J,6,0),3)</f>
        <v>3</v>
      </c>
      <c r="R1855" t="str">
        <f>IFERROR(VLOOKUP("47mg Clinical",Controls!A:K,10,0),"")</f>
        <v>Fisher Clinical</v>
      </c>
      <c r="S1855">
        <f t="shared" si="207"/>
        <v>47788</v>
      </c>
      <c r="T1855">
        <f t="shared" si="208"/>
        <v>0</v>
      </c>
      <c r="AB1855">
        <f t="shared" si="202"/>
        <v>0</v>
      </c>
    </row>
    <row r="1856" spans="1:28" x14ac:dyDescent="0.35">
      <c r="A1856" s="201">
        <v>47908</v>
      </c>
      <c r="B1856" t="s">
        <v>923</v>
      </c>
      <c r="C1856" t="s">
        <v>28</v>
      </c>
      <c r="D1856" t="s">
        <v>29</v>
      </c>
      <c r="E1856">
        <f>H1855</f>
        <v>3500</v>
      </c>
      <c r="F1856">
        <f>IFERROR(SUMIFS('Demand Inputs'!$K$5:$K$202,'Demand Inputs'!$A$5:$A$202,"47mg Clinical",'Demand Inputs'!$B$5:$B$202,"&lt;&gt;AGGREGATE",'Demand Inputs'!$E$5:$E$202,1),0)</f>
        <v>0</v>
      </c>
      <c r="G1856">
        <f>IFERROR(SUMPRODUCT(('Production Inputs'!$A:$A="47mg Clinical")*('Production Inputs'!$B:$B="TOTAL ACTIVE")*'Production Inputs'!$BU:$BU),0)</f>
        <v>0</v>
      </c>
      <c r="H1856">
        <f t="shared" si="203"/>
        <v>3500</v>
      </c>
      <c r="I1856" s="30">
        <f ca="1">IFERROR(AVERAGEIF(OFFSET(F1856,0,0,MIN(Controls!$B$8,COUNTIF(B1856:B$1973,B1856)),1),"&gt;"&amp;0),0)</f>
        <v>0</v>
      </c>
      <c r="J1856">
        <f t="shared" ca="1" si="204"/>
        <v>999</v>
      </c>
      <c r="K1856">
        <f t="shared" ca="1" si="205"/>
        <v>0</v>
      </c>
      <c r="L1856" t="str">
        <f t="shared" ca="1" si="206"/>
        <v>Overstock</v>
      </c>
      <c r="M1856">
        <f>IFERROR(VLOOKUP("47mg Clinical",Controls!A:I,7,0),6)</f>
        <v>6</v>
      </c>
      <c r="N1856">
        <f>IFERROR(VLOOKUP("47mg Clinical",Controls!A:I,8,0),3)</f>
        <v>4</v>
      </c>
      <c r="O1856">
        <f>IFERROR(VLOOKUP("47mg Clinical",Controls!A:I,9,0),18)</f>
        <v>12</v>
      </c>
      <c r="P1856">
        <f>IFERROR(VLOOKUP("47mg Clinical",Controls!A:J,5,0),0)</f>
        <v>1</v>
      </c>
      <c r="Q1856">
        <f>IFERROR(VLOOKUP("47mg Clinical",Controls!A:J,6,0),3)</f>
        <v>3</v>
      </c>
      <c r="R1856" t="str">
        <f>IFERROR(VLOOKUP("47mg Clinical",Controls!A:K,10,0),"")</f>
        <v>Fisher Clinical</v>
      </c>
      <c r="S1856">
        <f t="shared" si="207"/>
        <v>47818</v>
      </c>
      <c r="T1856">
        <f t="shared" si="208"/>
        <v>0</v>
      </c>
      <c r="AB1856">
        <f t="shared" si="202"/>
        <v>0</v>
      </c>
    </row>
    <row r="1857" spans="1:28" x14ac:dyDescent="0.35">
      <c r="A1857" s="201">
        <v>47939</v>
      </c>
      <c r="B1857" t="s">
        <v>923</v>
      </c>
      <c r="C1857" t="s">
        <v>28</v>
      </c>
      <c r="D1857" t="s">
        <v>29</v>
      </c>
      <c r="E1857">
        <f>H1856</f>
        <v>3500</v>
      </c>
      <c r="F1857">
        <f>IFERROR(SUMIFS('Demand Inputs'!$K$5:$K$202,'Demand Inputs'!$A$5:$A$202,"47mg Clinical",'Demand Inputs'!$B$5:$B$202,"&lt;&gt;AGGREGATE",'Demand Inputs'!$E$5:$E$202,1),0)</f>
        <v>0</v>
      </c>
      <c r="G1857">
        <f>IFERROR(SUMPRODUCT(('Production Inputs'!$A:$A="47mg Clinical")*('Production Inputs'!$B:$B="TOTAL ACTIVE")*'Production Inputs'!$BV:$BV),0)</f>
        <v>0</v>
      </c>
      <c r="H1857">
        <f t="shared" si="203"/>
        <v>3500</v>
      </c>
      <c r="I1857" s="30">
        <f ca="1">IFERROR(AVERAGEIF(OFFSET(F1857,0,0,MIN(Controls!$B$8,COUNTIF(B1857:B$1973,B1857)),1),"&gt;"&amp;0),0)</f>
        <v>0</v>
      </c>
      <c r="J1857">
        <f t="shared" ca="1" si="204"/>
        <v>999</v>
      </c>
      <c r="K1857">
        <f t="shared" ca="1" si="205"/>
        <v>0</v>
      </c>
      <c r="L1857" t="str">
        <f t="shared" ca="1" si="206"/>
        <v>Overstock</v>
      </c>
      <c r="M1857">
        <f>IFERROR(VLOOKUP("47mg Clinical",Controls!A:I,7,0),6)</f>
        <v>6</v>
      </c>
      <c r="N1857">
        <f>IFERROR(VLOOKUP("47mg Clinical",Controls!A:I,8,0),3)</f>
        <v>4</v>
      </c>
      <c r="O1857">
        <f>IFERROR(VLOOKUP("47mg Clinical",Controls!A:I,9,0),18)</f>
        <v>12</v>
      </c>
      <c r="P1857">
        <f>IFERROR(VLOOKUP("47mg Clinical",Controls!A:J,5,0),0)</f>
        <v>1</v>
      </c>
      <c r="Q1857">
        <f>IFERROR(VLOOKUP("47mg Clinical",Controls!A:J,6,0),3)</f>
        <v>3</v>
      </c>
      <c r="R1857" t="str">
        <f>IFERROR(VLOOKUP("47mg Clinical",Controls!A:K,10,0),"")</f>
        <v>Fisher Clinical</v>
      </c>
      <c r="S1857">
        <f t="shared" si="207"/>
        <v>47849</v>
      </c>
      <c r="T1857">
        <f t="shared" si="208"/>
        <v>0</v>
      </c>
      <c r="AB1857">
        <f t="shared" si="202"/>
        <v>0</v>
      </c>
    </row>
    <row r="1858" spans="1:28" x14ac:dyDescent="0.35">
      <c r="A1858" s="201">
        <v>47969</v>
      </c>
      <c r="B1858" t="s">
        <v>923</v>
      </c>
      <c r="C1858" t="s">
        <v>28</v>
      </c>
      <c r="D1858" t="s">
        <v>29</v>
      </c>
      <c r="E1858">
        <f>H1857</f>
        <v>3500</v>
      </c>
      <c r="F1858">
        <f>IFERROR(SUMIFS('Demand Inputs'!$K$5:$K$202,'Demand Inputs'!$A$5:$A$202,"47mg Clinical",'Demand Inputs'!$B$5:$B$202,"&lt;&gt;AGGREGATE",'Demand Inputs'!$E$5:$E$202,1),0)</f>
        <v>0</v>
      </c>
      <c r="G1858">
        <f>IFERROR(SUMPRODUCT(('Production Inputs'!$A:$A="47mg Clinical")*('Production Inputs'!$B:$B="TOTAL ACTIVE")*'Production Inputs'!$BW:$BW),0)</f>
        <v>0</v>
      </c>
      <c r="H1858">
        <f t="shared" ref="H1858:H1889" si="209">E1858+G1858-F1858</f>
        <v>3500</v>
      </c>
      <c r="I1858" s="30">
        <f ca="1">IFERROR(AVERAGEIF(OFFSET(F1858,0,0,MIN(Controls!$B$8,COUNTIF(B1858:B$1973,B1858)),1),"&gt;"&amp;0),0)</f>
        <v>0</v>
      </c>
      <c r="J1858">
        <f t="shared" ref="J1858:J1889" ca="1" si="210">IFERROR(H1858/I1858,IF(H1858&gt;0,999,0))</f>
        <v>999</v>
      </c>
      <c r="K1858">
        <f t="shared" ref="K1858:K1889" ca="1" si="211">IFERROR(IF(H1858&lt;(N1858*I1858),CEILING(MAX(0,ROUND((M1858*I1858-H1858)/P1858,0)*P1858),P1858),0),0)</f>
        <v>0</v>
      </c>
      <c r="L1858" t="str">
        <f t="shared" ref="L1858:L1889" ca="1" si="212">IF(H1858&lt;=0,"High",IF(J1858&lt;N1858,"High",IF(J1858&lt;M1858,"Medium",IF(J1858&gt;O1858,"Overstock","Low"))))</f>
        <v>Overstock</v>
      </c>
      <c r="M1858">
        <f>IFERROR(VLOOKUP("47mg Clinical",Controls!A:I,7,0),6)</f>
        <v>6</v>
      </c>
      <c r="N1858">
        <f>IFERROR(VLOOKUP("47mg Clinical",Controls!A:I,8,0),3)</f>
        <v>4</v>
      </c>
      <c r="O1858">
        <f>IFERROR(VLOOKUP("47mg Clinical",Controls!A:I,9,0),18)</f>
        <v>12</v>
      </c>
      <c r="P1858">
        <f>IFERROR(VLOOKUP("47mg Clinical",Controls!A:J,5,0),0)</f>
        <v>1</v>
      </c>
      <c r="Q1858">
        <f>IFERROR(VLOOKUP("47mg Clinical",Controls!A:J,6,0),3)</f>
        <v>3</v>
      </c>
      <c r="R1858" t="str">
        <f>IFERROR(VLOOKUP("47mg Clinical",Controls!A:K,10,0),"")</f>
        <v>Fisher Clinical</v>
      </c>
      <c r="S1858">
        <f t="shared" ref="S1858:S1889" si="213">IFERROR(EDATE(A1858,-Q1858),"")</f>
        <v>47880</v>
      </c>
      <c r="T1858">
        <f t="shared" ref="T1858:T1889" si="214">G1858</f>
        <v>0</v>
      </c>
      <c r="AB1858">
        <f t="shared" si="202"/>
        <v>0</v>
      </c>
    </row>
    <row r="1859" spans="1:28" x14ac:dyDescent="0.35">
      <c r="A1859" s="201">
        <v>48000</v>
      </c>
      <c r="B1859" t="s">
        <v>923</v>
      </c>
      <c r="C1859" t="s">
        <v>28</v>
      </c>
      <c r="D1859" t="s">
        <v>29</v>
      </c>
      <c r="E1859">
        <f>H1858</f>
        <v>3500</v>
      </c>
      <c r="F1859">
        <f>IFERROR(SUMIFS('Demand Inputs'!$K$5:$K$202,'Demand Inputs'!$A$5:$A$202,"47mg Clinical",'Demand Inputs'!$B$5:$B$202,"&lt;&gt;AGGREGATE",'Demand Inputs'!$E$5:$E$202,1),0)</f>
        <v>0</v>
      </c>
      <c r="G1859">
        <f>IFERROR(SUMPRODUCT(('Production Inputs'!$A:$A="47mg Clinical")*('Production Inputs'!$B:$B="TOTAL ACTIVE")*'Production Inputs'!$BX:$BX),0)</f>
        <v>0</v>
      </c>
      <c r="H1859">
        <f t="shared" si="209"/>
        <v>3500</v>
      </c>
      <c r="I1859" s="30">
        <f ca="1">IFERROR(AVERAGEIF(OFFSET(F1859,0,0,MIN(Controls!$B$8,COUNTIF(B1859:B$1973,B1859)),1),"&gt;"&amp;0),0)</f>
        <v>0</v>
      </c>
      <c r="J1859">
        <f t="shared" ca="1" si="210"/>
        <v>999</v>
      </c>
      <c r="K1859">
        <f t="shared" ca="1" si="211"/>
        <v>0</v>
      </c>
      <c r="L1859" t="str">
        <f t="shared" ca="1" si="212"/>
        <v>Overstock</v>
      </c>
      <c r="M1859">
        <f>IFERROR(VLOOKUP("47mg Clinical",Controls!A:I,7,0),6)</f>
        <v>6</v>
      </c>
      <c r="N1859">
        <f>IFERROR(VLOOKUP("47mg Clinical",Controls!A:I,8,0),3)</f>
        <v>4</v>
      </c>
      <c r="O1859">
        <f>IFERROR(VLOOKUP("47mg Clinical",Controls!A:I,9,0),18)</f>
        <v>12</v>
      </c>
      <c r="P1859">
        <f>IFERROR(VLOOKUP("47mg Clinical",Controls!A:J,5,0),0)</f>
        <v>1</v>
      </c>
      <c r="Q1859">
        <f>IFERROR(VLOOKUP("47mg Clinical",Controls!A:J,6,0),3)</f>
        <v>3</v>
      </c>
      <c r="R1859" t="str">
        <f>IFERROR(VLOOKUP("47mg Clinical",Controls!A:K,10,0),"")</f>
        <v>Fisher Clinical</v>
      </c>
      <c r="S1859">
        <f t="shared" si="213"/>
        <v>47908</v>
      </c>
      <c r="T1859">
        <f t="shared" si="214"/>
        <v>0</v>
      </c>
      <c r="AB1859">
        <f t="shared" si="202"/>
        <v>0</v>
      </c>
    </row>
    <row r="1860" spans="1:28" x14ac:dyDescent="0.35">
      <c r="A1860" s="201">
        <v>48030</v>
      </c>
      <c r="B1860" t="s">
        <v>923</v>
      </c>
      <c r="C1860" t="s">
        <v>28</v>
      </c>
      <c r="D1860" t="s">
        <v>29</v>
      </c>
      <c r="E1860">
        <f>H1859</f>
        <v>3500</v>
      </c>
      <c r="F1860">
        <f>IFERROR(SUMIFS('Demand Inputs'!$K$5:$K$202,'Demand Inputs'!$A$5:$A$202,"47mg Clinical",'Demand Inputs'!$B$5:$B$202,"&lt;&gt;AGGREGATE",'Demand Inputs'!$E$5:$E$202,1),0)</f>
        <v>0</v>
      </c>
      <c r="G1860">
        <f>IFERROR(SUMPRODUCT(('Production Inputs'!$A:$A="47mg Clinical")*('Production Inputs'!$B:$B="TOTAL ACTIVE")*'Production Inputs'!$BY:$BY),0)</f>
        <v>0</v>
      </c>
      <c r="H1860">
        <f t="shared" si="209"/>
        <v>3500</v>
      </c>
      <c r="I1860" s="30">
        <f ca="1">IFERROR(AVERAGEIF(OFFSET(F1860,0,0,MIN(Controls!$B$8,COUNTIF(B1860:B$1973,B1860)),1),"&gt;"&amp;0),0)</f>
        <v>0</v>
      </c>
      <c r="J1860">
        <f t="shared" ca="1" si="210"/>
        <v>999</v>
      </c>
      <c r="K1860">
        <f t="shared" ca="1" si="211"/>
        <v>0</v>
      </c>
      <c r="L1860" t="str">
        <f t="shared" ca="1" si="212"/>
        <v>Overstock</v>
      </c>
      <c r="M1860">
        <f>IFERROR(VLOOKUP("47mg Clinical",Controls!A:I,7,0),6)</f>
        <v>6</v>
      </c>
      <c r="N1860">
        <f>IFERROR(VLOOKUP("47mg Clinical",Controls!A:I,8,0),3)</f>
        <v>4</v>
      </c>
      <c r="O1860">
        <f>IFERROR(VLOOKUP("47mg Clinical",Controls!A:I,9,0),18)</f>
        <v>12</v>
      </c>
      <c r="P1860">
        <f>IFERROR(VLOOKUP("47mg Clinical",Controls!A:J,5,0),0)</f>
        <v>1</v>
      </c>
      <c r="Q1860">
        <f>IFERROR(VLOOKUP("47mg Clinical",Controls!A:J,6,0),3)</f>
        <v>3</v>
      </c>
      <c r="R1860" t="str">
        <f>IFERROR(VLOOKUP("47mg Clinical",Controls!A:K,10,0),"")</f>
        <v>Fisher Clinical</v>
      </c>
      <c r="S1860">
        <f t="shared" si="213"/>
        <v>47939</v>
      </c>
      <c r="T1860">
        <f t="shared" si="214"/>
        <v>0</v>
      </c>
      <c r="AB1860">
        <f t="shared" si="202"/>
        <v>0</v>
      </c>
    </row>
    <row r="1861" spans="1:28" x14ac:dyDescent="0.35">
      <c r="A1861" s="201">
        <v>48061</v>
      </c>
      <c r="B1861" t="s">
        <v>923</v>
      </c>
      <c r="C1861" t="s">
        <v>28</v>
      </c>
      <c r="D1861" t="s">
        <v>29</v>
      </c>
      <c r="E1861">
        <f>H1860</f>
        <v>3500</v>
      </c>
      <c r="F1861">
        <f>IFERROR(SUMIFS('Demand Inputs'!$K$5:$K$202,'Demand Inputs'!$A$5:$A$202,"47mg Clinical",'Demand Inputs'!$B$5:$B$202,"&lt;&gt;AGGREGATE",'Demand Inputs'!$E$5:$E$202,1),0)</f>
        <v>0</v>
      </c>
      <c r="G1861">
        <f>IFERROR(SUMPRODUCT(('Production Inputs'!$A:$A="47mg Clinical")*('Production Inputs'!$B:$B="TOTAL ACTIVE")*'Production Inputs'!$BZ:$BZ),0)</f>
        <v>0</v>
      </c>
      <c r="H1861">
        <f t="shared" si="209"/>
        <v>3500</v>
      </c>
      <c r="I1861" s="30">
        <f ca="1">IFERROR(AVERAGEIF(OFFSET(F1861,0,0,MIN(Controls!$B$8,COUNTIF(B1861:B$1973,B1861)),1),"&gt;"&amp;0),0)</f>
        <v>0</v>
      </c>
      <c r="J1861">
        <f t="shared" ca="1" si="210"/>
        <v>999</v>
      </c>
      <c r="K1861">
        <f t="shared" ca="1" si="211"/>
        <v>0</v>
      </c>
      <c r="L1861" t="str">
        <f t="shared" ca="1" si="212"/>
        <v>Overstock</v>
      </c>
      <c r="M1861">
        <f>IFERROR(VLOOKUP("47mg Clinical",Controls!A:I,7,0),6)</f>
        <v>6</v>
      </c>
      <c r="N1861">
        <f>IFERROR(VLOOKUP("47mg Clinical",Controls!A:I,8,0),3)</f>
        <v>4</v>
      </c>
      <c r="O1861">
        <f>IFERROR(VLOOKUP("47mg Clinical",Controls!A:I,9,0),18)</f>
        <v>12</v>
      </c>
      <c r="P1861">
        <f>IFERROR(VLOOKUP("47mg Clinical",Controls!A:J,5,0),0)</f>
        <v>1</v>
      </c>
      <c r="Q1861">
        <f>IFERROR(VLOOKUP("47mg Clinical",Controls!A:J,6,0),3)</f>
        <v>3</v>
      </c>
      <c r="R1861" t="str">
        <f>IFERROR(VLOOKUP("47mg Clinical",Controls!A:K,10,0),"")</f>
        <v>Fisher Clinical</v>
      </c>
      <c r="S1861">
        <f t="shared" si="213"/>
        <v>47969</v>
      </c>
      <c r="T1861">
        <f t="shared" si="214"/>
        <v>0</v>
      </c>
      <c r="AB1861">
        <f t="shared" ref="AB1861:AB1924" si="215">SUMIFS($F$4:$F$2331,$B$4:$B$2331,B1861,$A$4:$A$2331,"&lt;="&amp;A1861)</f>
        <v>0</v>
      </c>
    </row>
    <row r="1862" spans="1:28" x14ac:dyDescent="0.35">
      <c r="A1862" s="201">
        <v>48092</v>
      </c>
      <c r="B1862" t="s">
        <v>923</v>
      </c>
      <c r="C1862" t="s">
        <v>28</v>
      </c>
      <c r="D1862" t="s">
        <v>29</v>
      </c>
      <c r="E1862">
        <f>H1861</f>
        <v>3500</v>
      </c>
      <c r="F1862">
        <f>IFERROR(SUMIFS('Demand Inputs'!$K$5:$K$202,'Demand Inputs'!$A$5:$A$202,"47mg Clinical",'Demand Inputs'!$B$5:$B$202,"&lt;&gt;AGGREGATE",'Demand Inputs'!$E$5:$E$202,1),0)</f>
        <v>0</v>
      </c>
      <c r="G1862">
        <f>IFERROR(SUMPRODUCT(('Production Inputs'!$A:$A="47mg Clinical")*('Production Inputs'!$B:$B="TOTAL ACTIVE")*'Production Inputs'!$CA:$CA),0)</f>
        <v>0</v>
      </c>
      <c r="H1862">
        <f t="shared" si="209"/>
        <v>3500</v>
      </c>
      <c r="I1862" s="30">
        <f ca="1">IFERROR(AVERAGEIF(OFFSET(F1862,0,0,MIN(Controls!$B$8,COUNTIF(B1862:B$1973,B1862)),1),"&gt;"&amp;0),0)</f>
        <v>0</v>
      </c>
      <c r="J1862">
        <f t="shared" ca="1" si="210"/>
        <v>999</v>
      </c>
      <c r="K1862">
        <f t="shared" ca="1" si="211"/>
        <v>0</v>
      </c>
      <c r="L1862" t="str">
        <f t="shared" ca="1" si="212"/>
        <v>Overstock</v>
      </c>
      <c r="M1862">
        <f>IFERROR(VLOOKUP("47mg Clinical",Controls!A:I,7,0),6)</f>
        <v>6</v>
      </c>
      <c r="N1862">
        <f>IFERROR(VLOOKUP("47mg Clinical",Controls!A:I,8,0),3)</f>
        <v>4</v>
      </c>
      <c r="O1862">
        <f>IFERROR(VLOOKUP("47mg Clinical",Controls!A:I,9,0),18)</f>
        <v>12</v>
      </c>
      <c r="P1862">
        <f>IFERROR(VLOOKUP("47mg Clinical",Controls!A:J,5,0),0)</f>
        <v>1</v>
      </c>
      <c r="Q1862">
        <f>IFERROR(VLOOKUP("47mg Clinical",Controls!A:J,6,0),3)</f>
        <v>3</v>
      </c>
      <c r="R1862" t="str">
        <f>IFERROR(VLOOKUP("47mg Clinical",Controls!A:K,10,0),"")</f>
        <v>Fisher Clinical</v>
      </c>
      <c r="S1862">
        <f t="shared" si="213"/>
        <v>48000</v>
      </c>
      <c r="T1862">
        <f t="shared" si="214"/>
        <v>0</v>
      </c>
      <c r="AB1862">
        <f t="shared" si="215"/>
        <v>0</v>
      </c>
    </row>
    <row r="1863" spans="1:28" x14ac:dyDescent="0.35">
      <c r="A1863" s="201">
        <v>48122</v>
      </c>
      <c r="B1863" t="s">
        <v>923</v>
      </c>
      <c r="C1863" t="s">
        <v>28</v>
      </c>
      <c r="D1863" t="s">
        <v>29</v>
      </c>
      <c r="E1863">
        <f>H1862</f>
        <v>3500</v>
      </c>
      <c r="F1863">
        <f>IFERROR(SUMIFS('Demand Inputs'!$K$5:$K$202,'Demand Inputs'!$A$5:$A$202,"47mg Clinical",'Demand Inputs'!$B$5:$B$202,"&lt;&gt;AGGREGATE",'Demand Inputs'!$E$5:$E$202,1),0)</f>
        <v>0</v>
      </c>
      <c r="G1863">
        <f>IFERROR(SUMPRODUCT(('Production Inputs'!$A:$A="47mg Clinical")*('Production Inputs'!$B:$B="TOTAL ACTIVE")*'Production Inputs'!$CB:$CB),0)</f>
        <v>0</v>
      </c>
      <c r="H1863">
        <f t="shared" si="209"/>
        <v>3500</v>
      </c>
      <c r="I1863" s="30">
        <f ca="1">IFERROR(AVERAGEIF(OFFSET(F1863,0,0,MIN(Controls!$B$8,COUNTIF(B1863:B$1973,B1863)),1),"&gt;"&amp;0),0)</f>
        <v>0</v>
      </c>
      <c r="J1863">
        <f t="shared" ca="1" si="210"/>
        <v>999</v>
      </c>
      <c r="K1863">
        <f t="shared" ca="1" si="211"/>
        <v>0</v>
      </c>
      <c r="L1863" t="str">
        <f t="shared" ca="1" si="212"/>
        <v>Overstock</v>
      </c>
      <c r="M1863">
        <f>IFERROR(VLOOKUP("47mg Clinical",Controls!A:I,7,0),6)</f>
        <v>6</v>
      </c>
      <c r="N1863">
        <f>IFERROR(VLOOKUP("47mg Clinical",Controls!A:I,8,0),3)</f>
        <v>4</v>
      </c>
      <c r="O1863">
        <f>IFERROR(VLOOKUP("47mg Clinical",Controls!A:I,9,0),18)</f>
        <v>12</v>
      </c>
      <c r="P1863">
        <f>IFERROR(VLOOKUP("47mg Clinical",Controls!A:J,5,0),0)</f>
        <v>1</v>
      </c>
      <c r="Q1863">
        <f>IFERROR(VLOOKUP("47mg Clinical",Controls!A:J,6,0),3)</f>
        <v>3</v>
      </c>
      <c r="R1863" t="str">
        <f>IFERROR(VLOOKUP("47mg Clinical",Controls!A:K,10,0),"")</f>
        <v>Fisher Clinical</v>
      </c>
      <c r="S1863">
        <f t="shared" si="213"/>
        <v>48030</v>
      </c>
      <c r="T1863">
        <f t="shared" si="214"/>
        <v>0</v>
      </c>
      <c r="AB1863">
        <f t="shared" si="215"/>
        <v>0</v>
      </c>
    </row>
    <row r="1864" spans="1:28" x14ac:dyDescent="0.35">
      <c r="A1864" s="201">
        <v>48153</v>
      </c>
      <c r="B1864" t="s">
        <v>923</v>
      </c>
      <c r="C1864" t="s">
        <v>28</v>
      </c>
      <c r="D1864" t="s">
        <v>29</v>
      </c>
      <c r="E1864">
        <f>H1863</f>
        <v>3500</v>
      </c>
      <c r="F1864">
        <f>IFERROR(SUMIFS('Demand Inputs'!$K$5:$K$202,'Demand Inputs'!$A$5:$A$202,"47mg Clinical",'Demand Inputs'!$B$5:$B$202,"&lt;&gt;AGGREGATE",'Demand Inputs'!$E$5:$E$202,1),0)</f>
        <v>0</v>
      </c>
      <c r="G1864">
        <f>IFERROR(SUMPRODUCT(('Production Inputs'!$A:$A="47mg Clinical")*('Production Inputs'!$B:$B="TOTAL ACTIVE")*'Production Inputs'!$CC:$CC),0)</f>
        <v>0</v>
      </c>
      <c r="H1864">
        <f t="shared" si="209"/>
        <v>3500</v>
      </c>
      <c r="I1864" s="30">
        <f ca="1">IFERROR(AVERAGEIF(OFFSET(F1864,0,0,MIN(Controls!$B$8,COUNTIF(B1864:B$1973,B1864)),1),"&gt;"&amp;0),0)</f>
        <v>0</v>
      </c>
      <c r="J1864">
        <f t="shared" ca="1" si="210"/>
        <v>999</v>
      </c>
      <c r="K1864">
        <f t="shared" ca="1" si="211"/>
        <v>0</v>
      </c>
      <c r="L1864" t="str">
        <f t="shared" ca="1" si="212"/>
        <v>Overstock</v>
      </c>
      <c r="M1864">
        <f>IFERROR(VLOOKUP("47mg Clinical",Controls!A:I,7,0),6)</f>
        <v>6</v>
      </c>
      <c r="N1864">
        <f>IFERROR(VLOOKUP("47mg Clinical",Controls!A:I,8,0),3)</f>
        <v>4</v>
      </c>
      <c r="O1864">
        <f>IFERROR(VLOOKUP("47mg Clinical",Controls!A:I,9,0),18)</f>
        <v>12</v>
      </c>
      <c r="P1864">
        <f>IFERROR(VLOOKUP("47mg Clinical",Controls!A:J,5,0),0)</f>
        <v>1</v>
      </c>
      <c r="Q1864">
        <f>IFERROR(VLOOKUP("47mg Clinical",Controls!A:J,6,0),3)</f>
        <v>3</v>
      </c>
      <c r="R1864" t="str">
        <f>IFERROR(VLOOKUP("47mg Clinical",Controls!A:K,10,0),"")</f>
        <v>Fisher Clinical</v>
      </c>
      <c r="S1864">
        <f t="shared" si="213"/>
        <v>48061</v>
      </c>
      <c r="T1864">
        <f t="shared" si="214"/>
        <v>0</v>
      </c>
      <c r="AB1864">
        <f t="shared" si="215"/>
        <v>0</v>
      </c>
    </row>
    <row r="1865" spans="1:28" x14ac:dyDescent="0.35">
      <c r="A1865" s="201">
        <v>48183</v>
      </c>
      <c r="B1865" t="s">
        <v>923</v>
      </c>
      <c r="C1865" t="s">
        <v>28</v>
      </c>
      <c r="D1865" t="s">
        <v>29</v>
      </c>
      <c r="E1865">
        <f>H1864</f>
        <v>3500</v>
      </c>
      <c r="F1865">
        <f>IFERROR(SUMIFS('Demand Inputs'!$K$5:$K$202,'Demand Inputs'!$A$5:$A$202,"47mg Clinical",'Demand Inputs'!$B$5:$B$202,"&lt;&gt;AGGREGATE",'Demand Inputs'!$E$5:$E$202,1),0)</f>
        <v>0</v>
      </c>
      <c r="G1865">
        <f>IFERROR(SUMPRODUCT(('Production Inputs'!$A:$A="47mg Clinical")*('Production Inputs'!$B:$B="TOTAL ACTIVE")*'Production Inputs'!$CD:$CD),0)</f>
        <v>0</v>
      </c>
      <c r="H1865">
        <f t="shared" si="209"/>
        <v>3500</v>
      </c>
      <c r="I1865" s="30">
        <f ca="1">IFERROR(AVERAGEIF(OFFSET(F1865,0,0,MIN(Controls!$B$8,COUNTIF(B1865:B$1973,B1865)),1),"&gt;"&amp;0),0)</f>
        <v>0</v>
      </c>
      <c r="J1865">
        <f t="shared" ca="1" si="210"/>
        <v>999</v>
      </c>
      <c r="K1865">
        <f t="shared" ca="1" si="211"/>
        <v>0</v>
      </c>
      <c r="L1865" t="str">
        <f t="shared" ca="1" si="212"/>
        <v>Overstock</v>
      </c>
      <c r="M1865">
        <f>IFERROR(VLOOKUP("47mg Clinical",Controls!A:I,7,0),6)</f>
        <v>6</v>
      </c>
      <c r="N1865">
        <f>IFERROR(VLOOKUP("47mg Clinical",Controls!A:I,8,0),3)</f>
        <v>4</v>
      </c>
      <c r="O1865">
        <f>IFERROR(VLOOKUP("47mg Clinical",Controls!A:I,9,0),18)</f>
        <v>12</v>
      </c>
      <c r="P1865">
        <f>IFERROR(VLOOKUP("47mg Clinical",Controls!A:J,5,0),0)</f>
        <v>1</v>
      </c>
      <c r="Q1865">
        <f>IFERROR(VLOOKUP("47mg Clinical",Controls!A:J,6,0),3)</f>
        <v>3</v>
      </c>
      <c r="R1865" t="str">
        <f>IFERROR(VLOOKUP("47mg Clinical",Controls!A:K,10,0),"")</f>
        <v>Fisher Clinical</v>
      </c>
      <c r="S1865">
        <f t="shared" si="213"/>
        <v>48092</v>
      </c>
      <c r="T1865">
        <f t="shared" si="214"/>
        <v>0</v>
      </c>
      <c r="AB1865">
        <f t="shared" si="215"/>
        <v>0</v>
      </c>
    </row>
    <row r="1866" spans="1:28" x14ac:dyDescent="0.35">
      <c r="A1866" s="201">
        <v>48214</v>
      </c>
      <c r="B1866" t="s">
        <v>923</v>
      </c>
      <c r="C1866" t="s">
        <v>28</v>
      </c>
      <c r="D1866" t="s">
        <v>29</v>
      </c>
      <c r="E1866">
        <f>H1865</f>
        <v>3500</v>
      </c>
      <c r="F1866">
        <f>IFERROR(SUMIFS('Demand Inputs'!$K$5:$K$202,'Demand Inputs'!$A$5:$A$202,"47mg Clinical",'Demand Inputs'!$B$5:$B$202,"&lt;&gt;AGGREGATE",'Demand Inputs'!$E$5:$E$202,1),0)</f>
        <v>0</v>
      </c>
      <c r="G1866">
        <f>IFERROR(SUMPRODUCT(('Production Inputs'!$A:$A="47mg Clinical")*('Production Inputs'!$B:$B="TOTAL ACTIVE")*'Production Inputs'!$CE:$CE),0)</f>
        <v>0</v>
      </c>
      <c r="H1866">
        <f t="shared" si="209"/>
        <v>3500</v>
      </c>
      <c r="I1866" s="30">
        <f ca="1">IFERROR(AVERAGEIF(OFFSET(F1866,0,0,MIN(Controls!$B$8,COUNTIF(B1866:B$1973,B1866)),1),"&gt;"&amp;0),0)</f>
        <v>0</v>
      </c>
      <c r="J1866">
        <f t="shared" ca="1" si="210"/>
        <v>999</v>
      </c>
      <c r="K1866">
        <f t="shared" ca="1" si="211"/>
        <v>0</v>
      </c>
      <c r="L1866" t="str">
        <f t="shared" ca="1" si="212"/>
        <v>Overstock</v>
      </c>
      <c r="M1866">
        <f>IFERROR(VLOOKUP("47mg Clinical",Controls!A:I,7,0),6)</f>
        <v>6</v>
      </c>
      <c r="N1866">
        <f>IFERROR(VLOOKUP("47mg Clinical",Controls!A:I,8,0),3)</f>
        <v>4</v>
      </c>
      <c r="O1866">
        <f>IFERROR(VLOOKUP("47mg Clinical",Controls!A:I,9,0),18)</f>
        <v>12</v>
      </c>
      <c r="P1866">
        <f>IFERROR(VLOOKUP("47mg Clinical",Controls!A:J,5,0),0)</f>
        <v>1</v>
      </c>
      <c r="Q1866">
        <f>IFERROR(VLOOKUP("47mg Clinical",Controls!A:J,6,0),3)</f>
        <v>3</v>
      </c>
      <c r="R1866" t="str">
        <f>IFERROR(VLOOKUP("47mg Clinical",Controls!A:K,10,0),"")</f>
        <v>Fisher Clinical</v>
      </c>
      <c r="S1866">
        <f t="shared" si="213"/>
        <v>48122</v>
      </c>
      <c r="T1866">
        <f t="shared" si="214"/>
        <v>0</v>
      </c>
      <c r="AB1866">
        <f t="shared" si="215"/>
        <v>0</v>
      </c>
    </row>
    <row r="1867" spans="1:28" x14ac:dyDescent="0.35">
      <c r="A1867" s="201">
        <v>48245</v>
      </c>
      <c r="B1867" t="s">
        <v>923</v>
      </c>
      <c r="C1867" t="s">
        <v>28</v>
      </c>
      <c r="D1867" t="s">
        <v>29</v>
      </c>
      <c r="E1867">
        <f>H1866</f>
        <v>3500</v>
      </c>
      <c r="F1867">
        <f>IFERROR(SUMIFS('Demand Inputs'!$K$5:$K$202,'Demand Inputs'!$A$5:$A$202,"47mg Clinical",'Demand Inputs'!$B$5:$B$202,"&lt;&gt;AGGREGATE",'Demand Inputs'!$E$5:$E$202,1),0)</f>
        <v>0</v>
      </c>
      <c r="G1867">
        <f>IFERROR(SUMPRODUCT(('Production Inputs'!$A:$A="47mg Clinical")*('Production Inputs'!$B:$B="TOTAL ACTIVE")*'Production Inputs'!$CF:$CF),0)</f>
        <v>0</v>
      </c>
      <c r="H1867">
        <f t="shared" si="209"/>
        <v>3500</v>
      </c>
      <c r="I1867" s="30">
        <f ca="1">IFERROR(AVERAGEIF(OFFSET(F1867,0,0,MIN(Controls!$B$8,COUNTIF(B1867:B$1973,B1867)),1),"&gt;"&amp;0),0)</f>
        <v>0</v>
      </c>
      <c r="J1867">
        <f t="shared" ca="1" si="210"/>
        <v>999</v>
      </c>
      <c r="K1867">
        <f t="shared" ca="1" si="211"/>
        <v>0</v>
      </c>
      <c r="L1867" t="str">
        <f t="shared" ca="1" si="212"/>
        <v>Overstock</v>
      </c>
      <c r="M1867">
        <f>IFERROR(VLOOKUP("47mg Clinical",Controls!A:I,7,0),6)</f>
        <v>6</v>
      </c>
      <c r="N1867">
        <f>IFERROR(VLOOKUP("47mg Clinical",Controls!A:I,8,0),3)</f>
        <v>4</v>
      </c>
      <c r="O1867">
        <f>IFERROR(VLOOKUP("47mg Clinical",Controls!A:I,9,0),18)</f>
        <v>12</v>
      </c>
      <c r="P1867">
        <f>IFERROR(VLOOKUP("47mg Clinical",Controls!A:J,5,0),0)</f>
        <v>1</v>
      </c>
      <c r="Q1867">
        <f>IFERROR(VLOOKUP("47mg Clinical",Controls!A:J,6,0),3)</f>
        <v>3</v>
      </c>
      <c r="R1867" t="str">
        <f>IFERROR(VLOOKUP("47mg Clinical",Controls!A:K,10,0),"")</f>
        <v>Fisher Clinical</v>
      </c>
      <c r="S1867">
        <f t="shared" si="213"/>
        <v>48153</v>
      </c>
      <c r="T1867">
        <f t="shared" si="214"/>
        <v>0</v>
      </c>
      <c r="AB1867">
        <f t="shared" si="215"/>
        <v>0</v>
      </c>
    </row>
    <row r="1868" spans="1:28" x14ac:dyDescent="0.35">
      <c r="A1868" s="201">
        <v>48274</v>
      </c>
      <c r="B1868" t="s">
        <v>923</v>
      </c>
      <c r="C1868" t="s">
        <v>28</v>
      </c>
      <c r="D1868" t="s">
        <v>29</v>
      </c>
      <c r="E1868">
        <f>H1867</f>
        <v>3500</v>
      </c>
      <c r="F1868">
        <f>IFERROR(SUMIFS('Demand Inputs'!$K$5:$K$202,'Demand Inputs'!$A$5:$A$202,"47mg Clinical",'Demand Inputs'!$B$5:$B$202,"&lt;&gt;AGGREGATE",'Demand Inputs'!$E$5:$E$202,1),0)</f>
        <v>0</v>
      </c>
      <c r="G1868">
        <f>IFERROR(SUMPRODUCT(('Production Inputs'!$A:$A="47mg Clinical")*('Production Inputs'!$B:$B="TOTAL ACTIVE")*'Production Inputs'!$CG:$CG),0)</f>
        <v>0</v>
      </c>
      <c r="H1868">
        <f t="shared" si="209"/>
        <v>3500</v>
      </c>
      <c r="I1868" s="30">
        <f ca="1">IFERROR(AVERAGEIF(OFFSET(F1868,0,0,MIN(Controls!$B$8,COUNTIF(B1868:B$1973,B1868)),1),"&gt;"&amp;0),0)</f>
        <v>0</v>
      </c>
      <c r="J1868">
        <f t="shared" ca="1" si="210"/>
        <v>999</v>
      </c>
      <c r="K1868">
        <f t="shared" ca="1" si="211"/>
        <v>0</v>
      </c>
      <c r="L1868" t="str">
        <f t="shared" ca="1" si="212"/>
        <v>Overstock</v>
      </c>
      <c r="M1868">
        <f>IFERROR(VLOOKUP("47mg Clinical",Controls!A:I,7,0),6)</f>
        <v>6</v>
      </c>
      <c r="N1868">
        <f>IFERROR(VLOOKUP("47mg Clinical",Controls!A:I,8,0),3)</f>
        <v>4</v>
      </c>
      <c r="O1868">
        <f>IFERROR(VLOOKUP("47mg Clinical",Controls!A:I,9,0),18)</f>
        <v>12</v>
      </c>
      <c r="P1868">
        <f>IFERROR(VLOOKUP("47mg Clinical",Controls!A:J,5,0),0)</f>
        <v>1</v>
      </c>
      <c r="Q1868">
        <f>IFERROR(VLOOKUP("47mg Clinical",Controls!A:J,6,0),3)</f>
        <v>3</v>
      </c>
      <c r="R1868" t="str">
        <f>IFERROR(VLOOKUP("47mg Clinical",Controls!A:K,10,0),"")</f>
        <v>Fisher Clinical</v>
      </c>
      <c r="S1868">
        <f t="shared" si="213"/>
        <v>48183</v>
      </c>
      <c r="T1868">
        <f t="shared" si="214"/>
        <v>0</v>
      </c>
      <c r="AB1868">
        <f t="shared" si="215"/>
        <v>0</v>
      </c>
    </row>
    <row r="1869" spans="1:28" x14ac:dyDescent="0.35">
      <c r="A1869" s="201">
        <v>48305</v>
      </c>
      <c r="B1869" t="s">
        <v>923</v>
      </c>
      <c r="C1869" t="s">
        <v>28</v>
      </c>
      <c r="D1869" t="s">
        <v>29</v>
      </c>
      <c r="E1869">
        <f>H1868</f>
        <v>3500</v>
      </c>
      <c r="F1869">
        <f>IFERROR(SUMIFS('Demand Inputs'!$K$5:$K$202,'Demand Inputs'!$A$5:$A$202,"47mg Clinical",'Demand Inputs'!$B$5:$B$202,"&lt;&gt;AGGREGATE",'Demand Inputs'!$E$5:$E$202,1),0)</f>
        <v>0</v>
      </c>
      <c r="G1869">
        <f>IFERROR(SUMPRODUCT(('Production Inputs'!$A:$A="47mg Clinical")*('Production Inputs'!$B:$B="TOTAL ACTIVE")*'Production Inputs'!$CH:$CH),0)</f>
        <v>0</v>
      </c>
      <c r="H1869">
        <f t="shared" si="209"/>
        <v>3500</v>
      </c>
      <c r="I1869" s="30">
        <f ca="1">IFERROR(AVERAGEIF(OFFSET(F1869,0,0,MIN(Controls!$B$8,COUNTIF(B1869:B$1973,B1869)),1),"&gt;"&amp;0),0)</f>
        <v>0</v>
      </c>
      <c r="J1869">
        <f t="shared" ca="1" si="210"/>
        <v>999</v>
      </c>
      <c r="K1869">
        <f t="shared" ca="1" si="211"/>
        <v>0</v>
      </c>
      <c r="L1869" t="str">
        <f t="shared" ca="1" si="212"/>
        <v>Overstock</v>
      </c>
      <c r="M1869">
        <f>IFERROR(VLOOKUP("47mg Clinical",Controls!A:I,7,0),6)</f>
        <v>6</v>
      </c>
      <c r="N1869">
        <f>IFERROR(VLOOKUP("47mg Clinical",Controls!A:I,8,0),3)</f>
        <v>4</v>
      </c>
      <c r="O1869">
        <f>IFERROR(VLOOKUP("47mg Clinical",Controls!A:I,9,0),18)</f>
        <v>12</v>
      </c>
      <c r="P1869">
        <f>IFERROR(VLOOKUP("47mg Clinical",Controls!A:J,5,0),0)</f>
        <v>1</v>
      </c>
      <c r="Q1869">
        <f>IFERROR(VLOOKUP("47mg Clinical",Controls!A:J,6,0),3)</f>
        <v>3</v>
      </c>
      <c r="R1869" t="str">
        <f>IFERROR(VLOOKUP("47mg Clinical",Controls!A:K,10,0),"")</f>
        <v>Fisher Clinical</v>
      </c>
      <c r="S1869">
        <f t="shared" si="213"/>
        <v>48214</v>
      </c>
      <c r="T1869">
        <f t="shared" si="214"/>
        <v>0</v>
      </c>
      <c r="AB1869">
        <f t="shared" si="215"/>
        <v>0</v>
      </c>
    </row>
    <row r="1870" spans="1:28" x14ac:dyDescent="0.35">
      <c r="A1870" s="201">
        <v>48335</v>
      </c>
      <c r="B1870" t="s">
        <v>923</v>
      </c>
      <c r="C1870" t="s">
        <v>28</v>
      </c>
      <c r="D1870" t="s">
        <v>29</v>
      </c>
      <c r="E1870">
        <f>H1869</f>
        <v>3500</v>
      </c>
      <c r="F1870">
        <f>IFERROR(SUMIFS('Demand Inputs'!$K$5:$K$202,'Demand Inputs'!$A$5:$A$202,"47mg Clinical",'Demand Inputs'!$B$5:$B$202,"&lt;&gt;AGGREGATE",'Demand Inputs'!$E$5:$E$202,1),0)</f>
        <v>0</v>
      </c>
      <c r="G1870">
        <f>IFERROR(SUMPRODUCT(('Production Inputs'!$A:$A="47mg Clinical")*('Production Inputs'!$B:$B="TOTAL ACTIVE")*'Production Inputs'!$CI:$CI),0)</f>
        <v>0</v>
      </c>
      <c r="H1870">
        <f t="shared" si="209"/>
        <v>3500</v>
      </c>
      <c r="I1870" s="30">
        <f ca="1">IFERROR(AVERAGEIF(OFFSET(F1870,0,0,MIN(Controls!$B$8,COUNTIF(B1870:B$1973,B1870)),1),"&gt;"&amp;0),0)</f>
        <v>0</v>
      </c>
      <c r="J1870">
        <f t="shared" ca="1" si="210"/>
        <v>999</v>
      </c>
      <c r="K1870">
        <f t="shared" ca="1" si="211"/>
        <v>0</v>
      </c>
      <c r="L1870" t="str">
        <f t="shared" ca="1" si="212"/>
        <v>Overstock</v>
      </c>
      <c r="M1870">
        <f>IFERROR(VLOOKUP("47mg Clinical",Controls!A:I,7,0),6)</f>
        <v>6</v>
      </c>
      <c r="N1870">
        <f>IFERROR(VLOOKUP("47mg Clinical",Controls!A:I,8,0),3)</f>
        <v>4</v>
      </c>
      <c r="O1870">
        <f>IFERROR(VLOOKUP("47mg Clinical",Controls!A:I,9,0),18)</f>
        <v>12</v>
      </c>
      <c r="P1870">
        <f>IFERROR(VLOOKUP("47mg Clinical",Controls!A:J,5,0),0)</f>
        <v>1</v>
      </c>
      <c r="Q1870">
        <f>IFERROR(VLOOKUP("47mg Clinical",Controls!A:J,6,0),3)</f>
        <v>3</v>
      </c>
      <c r="R1870" t="str">
        <f>IFERROR(VLOOKUP("47mg Clinical",Controls!A:K,10,0),"")</f>
        <v>Fisher Clinical</v>
      </c>
      <c r="S1870">
        <f t="shared" si="213"/>
        <v>48245</v>
      </c>
      <c r="T1870">
        <f t="shared" si="214"/>
        <v>0</v>
      </c>
      <c r="AB1870">
        <f t="shared" si="215"/>
        <v>0</v>
      </c>
    </row>
    <row r="1871" spans="1:28" x14ac:dyDescent="0.35">
      <c r="A1871" s="201">
        <v>48366</v>
      </c>
      <c r="B1871" t="s">
        <v>923</v>
      </c>
      <c r="C1871" t="s">
        <v>28</v>
      </c>
      <c r="D1871" t="s">
        <v>29</v>
      </c>
      <c r="E1871">
        <f>H1870</f>
        <v>3500</v>
      </c>
      <c r="F1871">
        <f>IFERROR(SUMIFS('Demand Inputs'!$K$5:$K$202,'Demand Inputs'!$A$5:$A$202,"47mg Clinical",'Demand Inputs'!$B$5:$B$202,"&lt;&gt;AGGREGATE",'Demand Inputs'!$E$5:$E$202,1),0)</f>
        <v>0</v>
      </c>
      <c r="G1871">
        <f>IFERROR(SUMPRODUCT(('Production Inputs'!$A:$A="47mg Clinical")*('Production Inputs'!$B:$B="TOTAL ACTIVE")*'Production Inputs'!$CJ:$CJ),0)</f>
        <v>0</v>
      </c>
      <c r="H1871">
        <f t="shared" si="209"/>
        <v>3500</v>
      </c>
      <c r="I1871" s="30">
        <f ca="1">IFERROR(AVERAGEIF(OFFSET(F1871,0,0,MIN(Controls!$B$8,COUNTIF(B1871:B$1973,B1871)),1),"&gt;"&amp;0),0)</f>
        <v>0</v>
      </c>
      <c r="J1871">
        <f t="shared" ca="1" si="210"/>
        <v>999</v>
      </c>
      <c r="K1871">
        <f t="shared" ca="1" si="211"/>
        <v>0</v>
      </c>
      <c r="L1871" t="str">
        <f t="shared" ca="1" si="212"/>
        <v>Overstock</v>
      </c>
      <c r="M1871">
        <f>IFERROR(VLOOKUP("47mg Clinical",Controls!A:I,7,0),6)</f>
        <v>6</v>
      </c>
      <c r="N1871">
        <f>IFERROR(VLOOKUP("47mg Clinical",Controls!A:I,8,0),3)</f>
        <v>4</v>
      </c>
      <c r="O1871">
        <f>IFERROR(VLOOKUP("47mg Clinical",Controls!A:I,9,0),18)</f>
        <v>12</v>
      </c>
      <c r="P1871">
        <f>IFERROR(VLOOKUP("47mg Clinical",Controls!A:J,5,0),0)</f>
        <v>1</v>
      </c>
      <c r="Q1871">
        <f>IFERROR(VLOOKUP("47mg Clinical",Controls!A:J,6,0),3)</f>
        <v>3</v>
      </c>
      <c r="R1871" t="str">
        <f>IFERROR(VLOOKUP("47mg Clinical",Controls!A:K,10,0),"")</f>
        <v>Fisher Clinical</v>
      </c>
      <c r="S1871">
        <f t="shared" si="213"/>
        <v>48274</v>
      </c>
      <c r="T1871">
        <f t="shared" si="214"/>
        <v>0</v>
      </c>
      <c r="AB1871">
        <f t="shared" si="215"/>
        <v>0</v>
      </c>
    </row>
    <row r="1872" spans="1:28" x14ac:dyDescent="0.35">
      <c r="A1872" s="201">
        <v>48396</v>
      </c>
      <c r="B1872" t="s">
        <v>923</v>
      </c>
      <c r="C1872" t="s">
        <v>28</v>
      </c>
      <c r="D1872" t="s">
        <v>29</v>
      </c>
      <c r="E1872">
        <f>H1871</f>
        <v>3500</v>
      </c>
      <c r="F1872">
        <f>IFERROR(SUMIFS('Demand Inputs'!$K$5:$K$202,'Demand Inputs'!$A$5:$A$202,"47mg Clinical",'Demand Inputs'!$B$5:$B$202,"&lt;&gt;AGGREGATE",'Demand Inputs'!$E$5:$E$202,1),0)</f>
        <v>0</v>
      </c>
      <c r="G1872">
        <f>IFERROR(SUMPRODUCT(('Production Inputs'!$A:$A="47mg Clinical")*('Production Inputs'!$B:$B="TOTAL ACTIVE")*'Production Inputs'!$CK:$CK),0)</f>
        <v>0</v>
      </c>
      <c r="H1872">
        <f t="shared" si="209"/>
        <v>3500</v>
      </c>
      <c r="I1872" s="30">
        <f ca="1">IFERROR(AVERAGEIF(OFFSET(F1872,0,0,MIN(Controls!$B$8,COUNTIF(B1872:B$1973,B1872)),1),"&gt;"&amp;0),0)</f>
        <v>0</v>
      </c>
      <c r="J1872">
        <f t="shared" ca="1" si="210"/>
        <v>999</v>
      </c>
      <c r="K1872">
        <f t="shared" ca="1" si="211"/>
        <v>0</v>
      </c>
      <c r="L1872" t="str">
        <f t="shared" ca="1" si="212"/>
        <v>Overstock</v>
      </c>
      <c r="M1872">
        <f>IFERROR(VLOOKUP("47mg Clinical",Controls!A:I,7,0),6)</f>
        <v>6</v>
      </c>
      <c r="N1872">
        <f>IFERROR(VLOOKUP("47mg Clinical",Controls!A:I,8,0),3)</f>
        <v>4</v>
      </c>
      <c r="O1872">
        <f>IFERROR(VLOOKUP("47mg Clinical",Controls!A:I,9,0),18)</f>
        <v>12</v>
      </c>
      <c r="P1872">
        <f>IFERROR(VLOOKUP("47mg Clinical",Controls!A:J,5,0),0)</f>
        <v>1</v>
      </c>
      <c r="Q1872">
        <f>IFERROR(VLOOKUP("47mg Clinical",Controls!A:J,6,0),3)</f>
        <v>3</v>
      </c>
      <c r="R1872" t="str">
        <f>IFERROR(VLOOKUP("47mg Clinical",Controls!A:K,10,0),"")</f>
        <v>Fisher Clinical</v>
      </c>
      <c r="S1872">
        <f t="shared" si="213"/>
        <v>48305</v>
      </c>
      <c r="T1872">
        <f t="shared" si="214"/>
        <v>0</v>
      </c>
      <c r="AB1872">
        <f t="shared" si="215"/>
        <v>0</v>
      </c>
    </row>
    <row r="1873" spans="1:28" x14ac:dyDescent="0.35">
      <c r="A1873" s="201">
        <v>48427</v>
      </c>
      <c r="B1873" t="s">
        <v>923</v>
      </c>
      <c r="C1873" t="s">
        <v>28</v>
      </c>
      <c r="D1873" t="s">
        <v>29</v>
      </c>
      <c r="E1873">
        <f>H1872</f>
        <v>3500</v>
      </c>
      <c r="F1873">
        <f>IFERROR(SUMIFS('Demand Inputs'!$K$5:$K$202,'Demand Inputs'!$A$5:$A$202,"47mg Clinical",'Demand Inputs'!$B$5:$B$202,"&lt;&gt;AGGREGATE",'Demand Inputs'!$E$5:$E$202,1),0)</f>
        <v>0</v>
      </c>
      <c r="G1873">
        <f>IFERROR(SUMPRODUCT(('Production Inputs'!$A:$A="47mg Clinical")*('Production Inputs'!$B:$B="TOTAL ACTIVE")*'Production Inputs'!$CL:$CL),0)</f>
        <v>0</v>
      </c>
      <c r="H1873">
        <f t="shared" si="209"/>
        <v>3500</v>
      </c>
      <c r="I1873" s="30">
        <f ca="1">IFERROR(AVERAGEIF(OFFSET(F1873,0,0,MIN(Controls!$B$8,COUNTIF(B1873:B$1973,B1873)),1),"&gt;"&amp;0),0)</f>
        <v>0</v>
      </c>
      <c r="J1873">
        <f t="shared" ca="1" si="210"/>
        <v>999</v>
      </c>
      <c r="K1873">
        <f t="shared" ca="1" si="211"/>
        <v>0</v>
      </c>
      <c r="L1873" t="str">
        <f t="shared" ca="1" si="212"/>
        <v>Overstock</v>
      </c>
      <c r="M1873">
        <f>IFERROR(VLOOKUP("47mg Clinical",Controls!A:I,7,0),6)</f>
        <v>6</v>
      </c>
      <c r="N1873">
        <f>IFERROR(VLOOKUP("47mg Clinical",Controls!A:I,8,0),3)</f>
        <v>4</v>
      </c>
      <c r="O1873">
        <f>IFERROR(VLOOKUP("47mg Clinical",Controls!A:I,9,0),18)</f>
        <v>12</v>
      </c>
      <c r="P1873">
        <f>IFERROR(VLOOKUP("47mg Clinical",Controls!A:J,5,0),0)</f>
        <v>1</v>
      </c>
      <c r="Q1873">
        <f>IFERROR(VLOOKUP("47mg Clinical",Controls!A:J,6,0),3)</f>
        <v>3</v>
      </c>
      <c r="R1873" t="str">
        <f>IFERROR(VLOOKUP("47mg Clinical",Controls!A:K,10,0),"")</f>
        <v>Fisher Clinical</v>
      </c>
      <c r="S1873">
        <f t="shared" si="213"/>
        <v>48335</v>
      </c>
      <c r="T1873">
        <f t="shared" si="214"/>
        <v>0</v>
      </c>
      <c r="AB1873">
        <f t="shared" si="215"/>
        <v>0</v>
      </c>
    </row>
    <row r="1874" spans="1:28" x14ac:dyDescent="0.35">
      <c r="A1874" s="201">
        <v>48458</v>
      </c>
      <c r="B1874" t="s">
        <v>923</v>
      </c>
      <c r="C1874" t="s">
        <v>28</v>
      </c>
      <c r="D1874" t="s">
        <v>29</v>
      </c>
      <c r="E1874">
        <f>H1873</f>
        <v>3500</v>
      </c>
      <c r="F1874">
        <f>IFERROR(SUMIFS('Demand Inputs'!$K$5:$K$202,'Demand Inputs'!$A$5:$A$202,"47mg Clinical",'Demand Inputs'!$B$5:$B$202,"&lt;&gt;AGGREGATE",'Demand Inputs'!$E$5:$E$202,1),0)</f>
        <v>0</v>
      </c>
      <c r="G1874">
        <f>IFERROR(SUMPRODUCT(('Production Inputs'!$A:$A="47mg Clinical")*('Production Inputs'!$B:$B="TOTAL ACTIVE")*'Production Inputs'!$CM:$CM),0)</f>
        <v>0</v>
      </c>
      <c r="H1874">
        <f t="shared" si="209"/>
        <v>3500</v>
      </c>
      <c r="I1874" s="30">
        <f ca="1">IFERROR(AVERAGEIF(OFFSET(F1874,0,0,MIN(Controls!$B$8,COUNTIF(B1874:B$1973,B1874)),1),"&gt;"&amp;0),0)</f>
        <v>0</v>
      </c>
      <c r="J1874">
        <f t="shared" ca="1" si="210"/>
        <v>999</v>
      </c>
      <c r="K1874">
        <f t="shared" ca="1" si="211"/>
        <v>0</v>
      </c>
      <c r="L1874" t="str">
        <f t="shared" ca="1" si="212"/>
        <v>Overstock</v>
      </c>
      <c r="M1874">
        <f>IFERROR(VLOOKUP("47mg Clinical",Controls!A:I,7,0),6)</f>
        <v>6</v>
      </c>
      <c r="N1874">
        <f>IFERROR(VLOOKUP("47mg Clinical",Controls!A:I,8,0),3)</f>
        <v>4</v>
      </c>
      <c r="O1874">
        <f>IFERROR(VLOOKUP("47mg Clinical",Controls!A:I,9,0),18)</f>
        <v>12</v>
      </c>
      <c r="P1874">
        <f>IFERROR(VLOOKUP("47mg Clinical",Controls!A:J,5,0),0)</f>
        <v>1</v>
      </c>
      <c r="Q1874">
        <f>IFERROR(VLOOKUP("47mg Clinical",Controls!A:J,6,0),3)</f>
        <v>3</v>
      </c>
      <c r="R1874" t="str">
        <f>IFERROR(VLOOKUP("47mg Clinical",Controls!A:K,10,0),"")</f>
        <v>Fisher Clinical</v>
      </c>
      <c r="S1874">
        <f t="shared" si="213"/>
        <v>48366</v>
      </c>
      <c r="T1874">
        <f t="shared" si="214"/>
        <v>0</v>
      </c>
      <c r="AB1874">
        <f t="shared" si="215"/>
        <v>0</v>
      </c>
    </row>
    <row r="1875" spans="1:28" x14ac:dyDescent="0.35">
      <c r="A1875" s="201">
        <v>48488</v>
      </c>
      <c r="B1875" t="s">
        <v>923</v>
      </c>
      <c r="C1875" t="s">
        <v>28</v>
      </c>
      <c r="D1875" t="s">
        <v>29</v>
      </c>
      <c r="E1875">
        <f>H1874</f>
        <v>3500</v>
      </c>
      <c r="F1875">
        <f>IFERROR(SUMIFS('Demand Inputs'!$K$5:$K$202,'Demand Inputs'!$A$5:$A$202,"47mg Clinical",'Demand Inputs'!$B$5:$B$202,"&lt;&gt;AGGREGATE",'Demand Inputs'!$E$5:$E$202,1),0)</f>
        <v>0</v>
      </c>
      <c r="G1875">
        <f>IFERROR(SUMPRODUCT(('Production Inputs'!$A:$A="47mg Clinical")*('Production Inputs'!$B:$B="TOTAL ACTIVE")*'Production Inputs'!$CN:$CN),0)</f>
        <v>0</v>
      </c>
      <c r="H1875">
        <f t="shared" si="209"/>
        <v>3500</v>
      </c>
      <c r="I1875" s="30">
        <f ca="1">IFERROR(AVERAGEIF(OFFSET(F1875,0,0,MIN(Controls!$B$8,COUNTIF(B1875:B$1973,B1875)),1),"&gt;"&amp;0),0)</f>
        <v>0</v>
      </c>
      <c r="J1875">
        <f t="shared" ca="1" si="210"/>
        <v>999</v>
      </c>
      <c r="K1875">
        <f t="shared" ca="1" si="211"/>
        <v>0</v>
      </c>
      <c r="L1875" t="str">
        <f t="shared" ca="1" si="212"/>
        <v>Overstock</v>
      </c>
      <c r="M1875">
        <f>IFERROR(VLOOKUP("47mg Clinical",Controls!A:I,7,0),6)</f>
        <v>6</v>
      </c>
      <c r="N1875">
        <f>IFERROR(VLOOKUP("47mg Clinical",Controls!A:I,8,0),3)</f>
        <v>4</v>
      </c>
      <c r="O1875">
        <f>IFERROR(VLOOKUP("47mg Clinical",Controls!A:I,9,0),18)</f>
        <v>12</v>
      </c>
      <c r="P1875">
        <f>IFERROR(VLOOKUP("47mg Clinical",Controls!A:J,5,0),0)</f>
        <v>1</v>
      </c>
      <c r="Q1875">
        <f>IFERROR(VLOOKUP("47mg Clinical",Controls!A:J,6,0),3)</f>
        <v>3</v>
      </c>
      <c r="R1875" t="str">
        <f>IFERROR(VLOOKUP("47mg Clinical",Controls!A:K,10,0),"")</f>
        <v>Fisher Clinical</v>
      </c>
      <c r="S1875">
        <f t="shared" si="213"/>
        <v>48396</v>
      </c>
      <c r="T1875">
        <f t="shared" si="214"/>
        <v>0</v>
      </c>
      <c r="AB1875">
        <f t="shared" si="215"/>
        <v>0</v>
      </c>
    </row>
    <row r="1876" spans="1:28" x14ac:dyDescent="0.35">
      <c r="A1876" s="201">
        <v>48519</v>
      </c>
      <c r="B1876" t="s">
        <v>923</v>
      </c>
      <c r="C1876" t="s">
        <v>28</v>
      </c>
      <c r="D1876" t="s">
        <v>29</v>
      </c>
      <c r="E1876">
        <f>H1875</f>
        <v>3500</v>
      </c>
      <c r="F1876">
        <f>IFERROR(SUMIFS('Demand Inputs'!$K$5:$K$202,'Demand Inputs'!$A$5:$A$202,"47mg Clinical",'Demand Inputs'!$B$5:$B$202,"&lt;&gt;AGGREGATE",'Demand Inputs'!$E$5:$E$202,1),0)</f>
        <v>0</v>
      </c>
      <c r="G1876">
        <f>IFERROR(SUMPRODUCT(('Production Inputs'!$A:$A="47mg Clinical")*('Production Inputs'!$B:$B="TOTAL ACTIVE")*'Production Inputs'!$CO:$CO),0)</f>
        <v>0</v>
      </c>
      <c r="H1876">
        <f t="shared" si="209"/>
        <v>3500</v>
      </c>
      <c r="I1876" s="30">
        <f ca="1">IFERROR(AVERAGEIF(OFFSET(F1876,0,0,MIN(Controls!$B$8,COUNTIF(B1876:B$1973,B1876)),1),"&gt;"&amp;0),0)</f>
        <v>0</v>
      </c>
      <c r="J1876">
        <f t="shared" ca="1" si="210"/>
        <v>999</v>
      </c>
      <c r="K1876">
        <f t="shared" ca="1" si="211"/>
        <v>0</v>
      </c>
      <c r="L1876" t="str">
        <f t="shared" ca="1" si="212"/>
        <v>Overstock</v>
      </c>
      <c r="M1876">
        <f>IFERROR(VLOOKUP("47mg Clinical",Controls!A:I,7,0),6)</f>
        <v>6</v>
      </c>
      <c r="N1876">
        <f>IFERROR(VLOOKUP("47mg Clinical",Controls!A:I,8,0),3)</f>
        <v>4</v>
      </c>
      <c r="O1876">
        <f>IFERROR(VLOOKUP("47mg Clinical",Controls!A:I,9,0),18)</f>
        <v>12</v>
      </c>
      <c r="P1876">
        <f>IFERROR(VLOOKUP("47mg Clinical",Controls!A:J,5,0),0)</f>
        <v>1</v>
      </c>
      <c r="Q1876">
        <f>IFERROR(VLOOKUP("47mg Clinical",Controls!A:J,6,0),3)</f>
        <v>3</v>
      </c>
      <c r="R1876" t="str">
        <f>IFERROR(VLOOKUP("47mg Clinical",Controls!A:K,10,0),"")</f>
        <v>Fisher Clinical</v>
      </c>
      <c r="S1876">
        <f t="shared" si="213"/>
        <v>48427</v>
      </c>
      <c r="T1876">
        <f t="shared" si="214"/>
        <v>0</v>
      </c>
      <c r="AB1876">
        <f t="shared" si="215"/>
        <v>0</v>
      </c>
    </row>
    <row r="1877" spans="1:28" x14ac:dyDescent="0.35">
      <c r="A1877" s="201">
        <v>48549</v>
      </c>
      <c r="B1877" t="s">
        <v>923</v>
      </c>
      <c r="C1877" t="s">
        <v>28</v>
      </c>
      <c r="D1877" t="s">
        <v>29</v>
      </c>
      <c r="E1877">
        <f>H1876</f>
        <v>3500</v>
      </c>
      <c r="F1877">
        <f>IFERROR(SUMIFS('Demand Inputs'!$K$5:$K$202,'Demand Inputs'!$A$5:$A$202,"47mg Clinical",'Demand Inputs'!$B$5:$B$202,"&lt;&gt;AGGREGATE",'Demand Inputs'!$E$5:$E$202,1),0)</f>
        <v>0</v>
      </c>
      <c r="G1877">
        <f>IFERROR(SUMPRODUCT(('Production Inputs'!$A:$A="47mg Clinical")*('Production Inputs'!$B:$B="TOTAL ACTIVE")*'Production Inputs'!$CP:$CP),0)</f>
        <v>0</v>
      </c>
      <c r="H1877">
        <f t="shared" si="209"/>
        <v>3500</v>
      </c>
      <c r="I1877" s="30">
        <f ca="1">IFERROR(AVERAGEIF(OFFSET(F1877,0,0,MIN(Controls!$B$8,COUNTIF(B1877:B$1973,B1877)),1),"&gt;"&amp;0),0)</f>
        <v>0</v>
      </c>
      <c r="J1877">
        <f t="shared" ca="1" si="210"/>
        <v>999</v>
      </c>
      <c r="K1877">
        <f t="shared" ca="1" si="211"/>
        <v>0</v>
      </c>
      <c r="L1877" t="str">
        <f t="shared" ca="1" si="212"/>
        <v>Overstock</v>
      </c>
      <c r="M1877">
        <f>IFERROR(VLOOKUP("47mg Clinical",Controls!A:I,7,0),6)</f>
        <v>6</v>
      </c>
      <c r="N1877">
        <f>IFERROR(VLOOKUP("47mg Clinical",Controls!A:I,8,0),3)</f>
        <v>4</v>
      </c>
      <c r="O1877">
        <f>IFERROR(VLOOKUP("47mg Clinical",Controls!A:I,9,0),18)</f>
        <v>12</v>
      </c>
      <c r="P1877">
        <f>IFERROR(VLOOKUP("47mg Clinical",Controls!A:J,5,0),0)</f>
        <v>1</v>
      </c>
      <c r="Q1877">
        <f>IFERROR(VLOOKUP("47mg Clinical",Controls!A:J,6,0),3)</f>
        <v>3</v>
      </c>
      <c r="R1877" t="str">
        <f>IFERROR(VLOOKUP("47mg Clinical",Controls!A:K,10,0),"")</f>
        <v>Fisher Clinical</v>
      </c>
      <c r="S1877">
        <f t="shared" si="213"/>
        <v>48458</v>
      </c>
      <c r="T1877">
        <f t="shared" si="214"/>
        <v>0</v>
      </c>
      <c r="AB1877">
        <f t="shared" si="215"/>
        <v>0</v>
      </c>
    </row>
    <row r="1878" spans="1:28" x14ac:dyDescent="0.35">
      <c r="A1878" s="201">
        <v>48580</v>
      </c>
      <c r="B1878" t="s">
        <v>923</v>
      </c>
      <c r="C1878" t="s">
        <v>28</v>
      </c>
      <c r="D1878" t="s">
        <v>29</v>
      </c>
      <c r="E1878">
        <f>H1877</f>
        <v>3500</v>
      </c>
      <c r="F1878">
        <f>IFERROR(SUMIFS('Demand Inputs'!$K$5:$K$202,'Demand Inputs'!$A$5:$A$202,"47mg Clinical",'Demand Inputs'!$B$5:$B$202,"&lt;&gt;AGGREGATE",'Demand Inputs'!$E$5:$E$202,1),0)</f>
        <v>0</v>
      </c>
      <c r="G1878">
        <f>IFERROR(SUMPRODUCT(('Production Inputs'!$A:$A="47mg Clinical")*('Production Inputs'!$B:$B="TOTAL ACTIVE")*'Production Inputs'!$CQ:$CQ),0)</f>
        <v>0</v>
      </c>
      <c r="H1878">
        <f t="shared" si="209"/>
        <v>3500</v>
      </c>
      <c r="I1878" s="30">
        <f ca="1">IFERROR(AVERAGEIF(OFFSET(F1878,0,0,MIN(Controls!$B$8,COUNTIF(B1878:B$1973,B1878)),1),"&gt;"&amp;0),0)</f>
        <v>0</v>
      </c>
      <c r="J1878">
        <f t="shared" ca="1" si="210"/>
        <v>999</v>
      </c>
      <c r="K1878">
        <f t="shared" ca="1" si="211"/>
        <v>0</v>
      </c>
      <c r="L1878" t="str">
        <f t="shared" ca="1" si="212"/>
        <v>Overstock</v>
      </c>
      <c r="M1878">
        <f>IFERROR(VLOOKUP("47mg Clinical",Controls!A:I,7,0),6)</f>
        <v>6</v>
      </c>
      <c r="N1878">
        <f>IFERROR(VLOOKUP("47mg Clinical",Controls!A:I,8,0),3)</f>
        <v>4</v>
      </c>
      <c r="O1878">
        <f>IFERROR(VLOOKUP("47mg Clinical",Controls!A:I,9,0),18)</f>
        <v>12</v>
      </c>
      <c r="P1878">
        <f>IFERROR(VLOOKUP("47mg Clinical",Controls!A:J,5,0),0)</f>
        <v>1</v>
      </c>
      <c r="Q1878">
        <f>IFERROR(VLOOKUP("47mg Clinical",Controls!A:J,6,0),3)</f>
        <v>3</v>
      </c>
      <c r="R1878" t="str">
        <f>IFERROR(VLOOKUP("47mg Clinical",Controls!A:K,10,0),"")</f>
        <v>Fisher Clinical</v>
      </c>
      <c r="S1878">
        <f t="shared" si="213"/>
        <v>48488</v>
      </c>
      <c r="T1878">
        <f t="shared" si="214"/>
        <v>0</v>
      </c>
      <c r="AB1878">
        <f t="shared" si="215"/>
        <v>0</v>
      </c>
    </row>
    <row r="1879" spans="1:28" x14ac:dyDescent="0.35">
      <c r="A1879" s="201">
        <v>48611</v>
      </c>
      <c r="B1879" t="s">
        <v>923</v>
      </c>
      <c r="C1879" t="s">
        <v>28</v>
      </c>
      <c r="D1879" t="s">
        <v>29</v>
      </c>
      <c r="E1879">
        <f>H1878</f>
        <v>3500</v>
      </c>
      <c r="F1879">
        <f>IFERROR(SUMIFS('Demand Inputs'!$K$5:$K$202,'Demand Inputs'!$A$5:$A$202,"47mg Clinical",'Demand Inputs'!$B$5:$B$202,"&lt;&gt;AGGREGATE",'Demand Inputs'!$E$5:$E$202,1),0)</f>
        <v>0</v>
      </c>
      <c r="G1879">
        <f>IFERROR(SUMPRODUCT(('Production Inputs'!$A:$A="47mg Clinical")*('Production Inputs'!$B:$B="TOTAL ACTIVE")*'Production Inputs'!$CR:$CR),0)</f>
        <v>0</v>
      </c>
      <c r="H1879">
        <f t="shared" si="209"/>
        <v>3500</v>
      </c>
      <c r="I1879" s="30">
        <f ca="1">IFERROR(AVERAGEIF(OFFSET(F1879,0,0,MIN(Controls!$B$8,COUNTIF(B1879:B$1973,B1879)),1),"&gt;"&amp;0),0)</f>
        <v>0</v>
      </c>
      <c r="J1879">
        <f t="shared" ca="1" si="210"/>
        <v>999</v>
      </c>
      <c r="K1879">
        <f t="shared" ca="1" si="211"/>
        <v>0</v>
      </c>
      <c r="L1879" t="str">
        <f t="shared" ca="1" si="212"/>
        <v>Overstock</v>
      </c>
      <c r="M1879">
        <f>IFERROR(VLOOKUP("47mg Clinical",Controls!A:I,7,0),6)</f>
        <v>6</v>
      </c>
      <c r="N1879">
        <f>IFERROR(VLOOKUP("47mg Clinical",Controls!A:I,8,0),3)</f>
        <v>4</v>
      </c>
      <c r="O1879">
        <f>IFERROR(VLOOKUP("47mg Clinical",Controls!A:I,9,0),18)</f>
        <v>12</v>
      </c>
      <c r="P1879">
        <f>IFERROR(VLOOKUP("47mg Clinical",Controls!A:J,5,0),0)</f>
        <v>1</v>
      </c>
      <c r="Q1879">
        <f>IFERROR(VLOOKUP("47mg Clinical",Controls!A:J,6,0),3)</f>
        <v>3</v>
      </c>
      <c r="R1879" t="str">
        <f>IFERROR(VLOOKUP("47mg Clinical",Controls!A:K,10,0),"")</f>
        <v>Fisher Clinical</v>
      </c>
      <c r="S1879">
        <f t="shared" si="213"/>
        <v>48519</v>
      </c>
      <c r="T1879">
        <f t="shared" si="214"/>
        <v>0</v>
      </c>
      <c r="AB1879">
        <f t="shared" si="215"/>
        <v>0</v>
      </c>
    </row>
    <row r="1880" spans="1:28" x14ac:dyDescent="0.35">
      <c r="A1880" s="201">
        <v>48639</v>
      </c>
      <c r="B1880" t="s">
        <v>923</v>
      </c>
      <c r="C1880" t="s">
        <v>28</v>
      </c>
      <c r="D1880" t="s">
        <v>29</v>
      </c>
      <c r="E1880">
        <f>H1879</f>
        <v>3500</v>
      </c>
      <c r="F1880">
        <f>IFERROR(SUMIFS('Demand Inputs'!$K$5:$K$202,'Demand Inputs'!$A$5:$A$202,"47mg Clinical",'Demand Inputs'!$B$5:$B$202,"&lt;&gt;AGGREGATE",'Demand Inputs'!$E$5:$E$202,1),0)</f>
        <v>0</v>
      </c>
      <c r="G1880">
        <f>IFERROR(SUMPRODUCT(('Production Inputs'!$A:$A="47mg Clinical")*('Production Inputs'!$B:$B="TOTAL ACTIVE")*'Production Inputs'!$CS:$CS),0)</f>
        <v>0</v>
      </c>
      <c r="H1880">
        <f t="shared" si="209"/>
        <v>3500</v>
      </c>
      <c r="I1880" s="30">
        <f ca="1">IFERROR(AVERAGEIF(OFFSET(F1880,0,0,MIN(Controls!$B$8,COUNTIF(B1880:B$1973,B1880)),1),"&gt;"&amp;0),0)</f>
        <v>0</v>
      </c>
      <c r="J1880">
        <f t="shared" ca="1" si="210"/>
        <v>999</v>
      </c>
      <c r="K1880">
        <f t="shared" ca="1" si="211"/>
        <v>0</v>
      </c>
      <c r="L1880" t="str">
        <f t="shared" ca="1" si="212"/>
        <v>Overstock</v>
      </c>
      <c r="M1880">
        <f>IFERROR(VLOOKUP("47mg Clinical",Controls!A:I,7,0),6)</f>
        <v>6</v>
      </c>
      <c r="N1880">
        <f>IFERROR(VLOOKUP("47mg Clinical",Controls!A:I,8,0),3)</f>
        <v>4</v>
      </c>
      <c r="O1880">
        <f>IFERROR(VLOOKUP("47mg Clinical",Controls!A:I,9,0),18)</f>
        <v>12</v>
      </c>
      <c r="P1880">
        <f>IFERROR(VLOOKUP("47mg Clinical",Controls!A:J,5,0),0)</f>
        <v>1</v>
      </c>
      <c r="Q1880">
        <f>IFERROR(VLOOKUP("47mg Clinical",Controls!A:J,6,0),3)</f>
        <v>3</v>
      </c>
      <c r="R1880" t="str">
        <f>IFERROR(VLOOKUP("47mg Clinical",Controls!A:K,10,0),"")</f>
        <v>Fisher Clinical</v>
      </c>
      <c r="S1880">
        <f t="shared" si="213"/>
        <v>48549</v>
      </c>
      <c r="T1880">
        <f t="shared" si="214"/>
        <v>0</v>
      </c>
      <c r="AB1880">
        <f t="shared" si="215"/>
        <v>0</v>
      </c>
    </row>
    <row r="1881" spans="1:28" x14ac:dyDescent="0.35">
      <c r="A1881" s="201">
        <v>48670</v>
      </c>
      <c r="B1881" t="s">
        <v>923</v>
      </c>
      <c r="C1881" t="s">
        <v>28</v>
      </c>
      <c r="D1881" t="s">
        <v>29</v>
      </c>
      <c r="E1881">
        <f>H1880</f>
        <v>3500</v>
      </c>
      <c r="F1881">
        <f>IFERROR(SUMIFS('Demand Inputs'!$K$5:$K$202,'Demand Inputs'!$A$5:$A$202,"47mg Clinical",'Demand Inputs'!$B$5:$B$202,"&lt;&gt;AGGREGATE",'Demand Inputs'!$E$5:$E$202,1),0)</f>
        <v>0</v>
      </c>
      <c r="G1881">
        <f>IFERROR(SUMPRODUCT(('Production Inputs'!$A:$A="47mg Clinical")*('Production Inputs'!$B:$B="TOTAL ACTIVE")*'Production Inputs'!$CT:$CT),0)</f>
        <v>0</v>
      </c>
      <c r="H1881">
        <f t="shared" si="209"/>
        <v>3500</v>
      </c>
      <c r="I1881" s="30">
        <f ca="1">IFERROR(AVERAGEIF(OFFSET(F1881,0,0,MIN(Controls!$B$8,COUNTIF(B1881:B$1973,B1881)),1),"&gt;"&amp;0),0)</f>
        <v>0</v>
      </c>
      <c r="J1881">
        <f t="shared" ca="1" si="210"/>
        <v>999</v>
      </c>
      <c r="K1881">
        <f t="shared" ca="1" si="211"/>
        <v>0</v>
      </c>
      <c r="L1881" t="str">
        <f t="shared" ca="1" si="212"/>
        <v>Overstock</v>
      </c>
      <c r="M1881">
        <f>IFERROR(VLOOKUP("47mg Clinical",Controls!A:I,7,0),6)</f>
        <v>6</v>
      </c>
      <c r="N1881">
        <f>IFERROR(VLOOKUP("47mg Clinical",Controls!A:I,8,0),3)</f>
        <v>4</v>
      </c>
      <c r="O1881">
        <f>IFERROR(VLOOKUP("47mg Clinical",Controls!A:I,9,0),18)</f>
        <v>12</v>
      </c>
      <c r="P1881">
        <f>IFERROR(VLOOKUP("47mg Clinical",Controls!A:J,5,0),0)</f>
        <v>1</v>
      </c>
      <c r="Q1881">
        <f>IFERROR(VLOOKUP("47mg Clinical",Controls!A:J,6,0),3)</f>
        <v>3</v>
      </c>
      <c r="R1881" t="str">
        <f>IFERROR(VLOOKUP("47mg Clinical",Controls!A:K,10,0),"")</f>
        <v>Fisher Clinical</v>
      </c>
      <c r="S1881">
        <f t="shared" si="213"/>
        <v>48580</v>
      </c>
      <c r="T1881">
        <f t="shared" si="214"/>
        <v>0</v>
      </c>
      <c r="AB1881">
        <f t="shared" si="215"/>
        <v>0</v>
      </c>
    </row>
    <row r="1882" spans="1:28" x14ac:dyDescent="0.35">
      <c r="A1882" s="201">
        <v>48700</v>
      </c>
      <c r="B1882" t="s">
        <v>923</v>
      </c>
      <c r="C1882" t="s">
        <v>28</v>
      </c>
      <c r="D1882" t="s">
        <v>29</v>
      </c>
      <c r="E1882">
        <f>H1881</f>
        <v>3500</v>
      </c>
      <c r="F1882">
        <f>IFERROR(SUMIFS('Demand Inputs'!$K$5:$K$202,'Demand Inputs'!$A$5:$A$202,"47mg Clinical",'Demand Inputs'!$B$5:$B$202,"&lt;&gt;AGGREGATE",'Demand Inputs'!$E$5:$E$202,1),0)</f>
        <v>0</v>
      </c>
      <c r="G1882">
        <f>IFERROR(SUMPRODUCT(('Production Inputs'!$A:$A="47mg Clinical")*('Production Inputs'!$B:$B="TOTAL ACTIVE")*'Production Inputs'!$CU:$CU),0)</f>
        <v>0</v>
      </c>
      <c r="H1882">
        <f t="shared" si="209"/>
        <v>3500</v>
      </c>
      <c r="I1882" s="30">
        <f ca="1">IFERROR(AVERAGEIF(OFFSET(F1882,0,0,MIN(Controls!$B$8,COUNTIF(B1882:B$1973,B1882)),1),"&gt;"&amp;0),0)</f>
        <v>0</v>
      </c>
      <c r="J1882">
        <f t="shared" ca="1" si="210"/>
        <v>999</v>
      </c>
      <c r="K1882">
        <f t="shared" ca="1" si="211"/>
        <v>0</v>
      </c>
      <c r="L1882" t="str">
        <f t="shared" ca="1" si="212"/>
        <v>Overstock</v>
      </c>
      <c r="M1882">
        <f>IFERROR(VLOOKUP("47mg Clinical",Controls!A:I,7,0),6)</f>
        <v>6</v>
      </c>
      <c r="N1882">
        <f>IFERROR(VLOOKUP("47mg Clinical",Controls!A:I,8,0),3)</f>
        <v>4</v>
      </c>
      <c r="O1882">
        <f>IFERROR(VLOOKUP("47mg Clinical",Controls!A:I,9,0),18)</f>
        <v>12</v>
      </c>
      <c r="P1882">
        <f>IFERROR(VLOOKUP("47mg Clinical",Controls!A:J,5,0),0)</f>
        <v>1</v>
      </c>
      <c r="Q1882">
        <f>IFERROR(VLOOKUP("47mg Clinical",Controls!A:J,6,0),3)</f>
        <v>3</v>
      </c>
      <c r="R1882" t="str">
        <f>IFERROR(VLOOKUP("47mg Clinical",Controls!A:K,10,0),"")</f>
        <v>Fisher Clinical</v>
      </c>
      <c r="S1882">
        <f t="shared" si="213"/>
        <v>48611</v>
      </c>
      <c r="T1882">
        <f t="shared" si="214"/>
        <v>0</v>
      </c>
      <c r="AB1882">
        <f t="shared" si="215"/>
        <v>0</v>
      </c>
    </row>
    <row r="1883" spans="1:28" x14ac:dyDescent="0.35">
      <c r="A1883" s="201">
        <v>48731</v>
      </c>
      <c r="B1883" t="s">
        <v>923</v>
      </c>
      <c r="C1883" t="s">
        <v>28</v>
      </c>
      <c r="D1883" t="s">
        <v>29</v>
      </c>
      <c r="E1883">
        <f>H1882</f>
        <v>3500</v>
      </c>
      <c r="F1883">
        <f>IFERROR(SUMIFS('Demand Inputs'!$K$5:$K$202,'Demand Inputs'!$A$5:$A$202,"47mg Clinical",'Demand Inputs'!$B$5:$B$202,"&lt;&gt;AGGREGATE",'Demand Inputs'!$E$5:$E$202,1),0)</f>
        <v>0</v>
      </c>
      <c r="G1883">
        <f>IFERROR(SUMPRODUCT(('Production Inputs'!$A:$A="47mg Clinical")*('Production Inputs'!$B:$B="TOTAL ACTIVE")*'Production Inputs'!$CV:$CV),0)</f>
        <v>0</v>
      </c>
      <c r="H1883">
        <f t="shared" si="209"/>
        <v>3500</v>
      </c>
      <c r="I1883" s="30">
        <f ca="1">IFERROR(AVERAGEIF(OFFSET(F1883,0,0,MIN(Controls!$B$8,COUNTIF(B1883:B$1973,B1883)),1),"&gt;"&amp;0),0)</f>
        <v>0</v>
      </c>
      <c r="J1883">
        <f t="shared" ca="1" si="210"/>
        <v>999</v>
      </c>
      <c r="K1883">
        <f t="shared" ca="1" si="211"/>
        <v>0</v>
      </c>
      <c r="L1883" t="str">
        <f t="shared" ca="1" si="212"/>
        <v>Overstock</v>
      </c>
      <c r="M1883">
        <f>IFERROR(VLOOKUP("47mg Clinical",Controls!A:I,7,0),6)</f>
        <v>6</v>
      </c>
      <c r="N1883">
        <f>IFERROR(VLOOKUP("47mg Clinical",Controls!A:I,8,0),3)</f>
        <v>4</v>
      </c>
      <c r="O1883">
        <f>IFERROR(VLOOKUP("47mg Clinical",Controls!A:I,9,0),18)</f>
        <v>12</v>
      </c>
      <c r="P1883">
        <f>IFERROR(VLOOKUP("47mg Clinical",Controls!A:J,5,0),0)</f>
        <v>1</v>
      </c>
      <c r="Q1883">
        <f>IFERROR(VLOOKUP("47mg Clinical",Controls!A:J,6,0),3)</f>
        <v>3</v>
      </c>
      <c r="R1883" t="str">
        <f>IFERROR(VLOOKUP("47mg Clinical",Controls!A:K,10,0),"")</f>
        <v>Fisher Clinical</v>
      </c>
      <c r="S1883">
        <f t="shared" si="213"/>
        <v>48639</v>
      </c>
      <c r="T1883">
        <f t="shared" si="214"/>
        <v>0</v>
      </c>
      <c r="AB1883">
        <f t="shared" si="215"/>
        <v>0</v>
      </c>
    </row>
    <row r="1884" spans="1:28" x14ac:dyDescent="0.35">
      <c r="A1884" s="201">
        <v>48761</v>
      </c>
      <c r="B1884" t="s">
        <v>923</v>
      </c>
      <c r="C1884" t="s">
        <v>28</v>
      </c>
      <c r="D1884" t="s">
        <v>29</v>
      </c>
      <c r="E1884">
        <f>H1883</f>
        <v>3500</v>
      </c>
      <c r="F1884">
        <f>IFERROR(SUMIFS('Demand Inputs'!$K$5:$K$202,'Demand Inputs'!$A$5:$A$202,"47mg Clinical",'Demand Inputs'!$B$5:$B$202,"&lt;&gt;AGGREGATE",'Demand Inputs'!$E$5:$E$202,1),0)</f>
        <v>0</v>
      </c>
      <c r="G1884">
        <f>IFERROR(SUMPRODUCT(('Production Inputs'!$A:$A="47mg Clinical")*('Production Inputs'!$B:$B="TOTAL ACTIVE")*'Production Inputs'!$CW:$CW),0)</f>
        <v>0</v>
      </c>
      <c r="H1884">
        <f t="shared" si="209"/>
        <v>3500</v>
      </c>
      <c r="I1884" s="30">
        <f ca="1">IFERROR(AVERAGEIF(OFFSET(F1884,0,0,MIN(Controls!$B$8,COUNTIF(B1884:B$1973,B1884)),1),"&gt;"&amp;0),0)</f>
        <v>0</v>
      </c>
      <c r="J1884">
        <f t="shared" ca="1" si="210"/>
        <v>999</v>
      </c>
      <c r="K1884">
        <f t="shared" ca="1" si="211"/>
        <v>0</v>
      </c>
      <c r="L1884" t="str">
        <f t="shared" ca="1" si="212"/>
        <v>Overstock</v>
      </c>
      <c r="M1884">
        <f>IFERROR(VLOOKUP("47mg Clinical",Controls!A:I,7,0),6)</f>
        <v>6</v>
      </c>
      <c r="N1884">
        <f>IFERROR(VLOOKUP("47mg Clinical",Controls!A:I,8,0),3)</f>
        <v>4</v>
      </c>
      <c r="O1884">
        <f>IFERROR(VLOOKUP("47mg Clinical",Controls!A:I,9,0),18)</f>
        <v>12</v>
      </c>
      <c r="P1884">
        <f>IFERROR(VLOOKUP("47mg Clinical",Controls!A:J,5,0),0)</f>
        <v>1</v>
      </c>
      <c r="Q1884">
        <f>IFERROR(VLOOKUP("47mg Clinical",Controls!A:J,6,0),3)</f>
        <v>3</v>
      </c>
      <c r="R1884" t="str">
        <f>IFERROR(VLOOKUP("47mg Clinical",Controls!A:K,10,0),"")</f>
        <v>Fisher Clinical</v>
      </c>
      <c r="S1884">
        <f t="shared" si="213"/>
        <v>48670</v>
      </c>
      <c r="T1884">
        <f t="shared" si="214"/>
        <v>0</v>
      </c>
      <c r="AB1884">
        <f t="shared" si="215"/>
        <v>0</v>
      </c>
    </row>
    <row r="1885" spans="1:28" x14ac:dyDescent="0.35">
      <c r="A1885" s="201">
        <v>48792</v>
      </c>
      <c r="B1885" t="s">
        <v>923</v>
      </c>
      <c r="C1885" t="s">
        <v>28</v>
      </c>
      <c r="D1885" t="s">
        <v>29</v>
      </c>
      <c r="E1885">
        <f>H1884</f>
        <v>3500</v>
      </c>
      <c r="F1885">
        <f>IFERROR(SUMIFS('Demand Inputs'!$K$5:$K$202,'Demand Inputs'!$A$5:$A$202,"47mg Clinical",'Demand Inputs'!$B$5:$B$202,"&lt;&gt;AGGREGATE",'Demand Inputs'!$E$5:$E$202,1),0)</f>
        <v>0</v>
      </c>
      <c r="G1885">
        <f>IFERROR(SUMPRODUCT(('Production Inputs'!$A:$A="47mg Clinical")*('Production Inputs'!$B:$B="TOTAL ACTIVE")*'Production Inputs'!$CX:$CX),0)</f>
        <v>0</v>
      </c>
      <c r="H1885">
        <f t="shared" si="209"/>
        <v>3500</v>
      </c>
      <c r="I1885" s="30">
        <f ca="1">IFERROR(AVERAGEIF(OFFSET(F1885,0,0,MIN(Controls!$B$8,COUNTIF(B1885:B$1973,B1885)),1),"&gt;"&amp;0),0)</f>
        <v>0</v>
      </c>
      <c r="J1885">
        <f t="shared" ca="1" si="210"/>
        <v>999</v>
      </c>
      <c r="K1885">
        <f t="shared" ca="1" si="211"/>
        <v>0</v>
      </c>
      <c r="L1885" t="str">
        <f t="shared" ca="1" si="212"/>
        <v>Overstock</v>
      </c>
      <c r="M1885">
        <f>IFERROR(VLOOKUP("47mg Clinical",Controls!A:I,7,0),6)</f>
        <v>6</v>
      </c>
      <c r="N1885">
        <f>IFERROR(VLOOKUP("47mg Clinical",Controls!A:I,8,0),3)</f>
        <v>4</v>
      </c>
      <c r="O1885">
        <f>IFERROR(VLOOKUP("47mg Clinical",Controls!A:I,9,0),18)</f>
        <v>12</v>
      </c>
      <c r="P1885">
        <f>IFERROR(VLOOKUP("47mg Clinical",Controls!A:J,5,0),0)</f>
        <v>1</v>
      </c>
      <c r="Q1885">
        <f>IFERROR(VLOOKUP("47mg Clinical",Controls!A:J,6,0),3)</f>
        <v>3</v>
      </c>
      <c r="R1885" t="str">
        <f>IFERROR(VLOOKUP("47mg Clinical",Controls!A:K,10,0),"")</f>
        <v>Fisher Clinical</v>
      </c>
      <c r="S1885">
        <f t="shared" si="213"/>
        <v>48700</v>
      </c>
      <c r="T1885">
        <f t="shared" si="214"/>
        <v>0</v>
      </c>
      <c r="AB1885">
        <f t="shared" si="215"/>
        <v>0</v>
      </c>
    </row>
    <row r="1886" spans="1:28" x14ac:dyDescent="0.35">
      <c r="A1886" s="201">
        <v>48823</v>
      </c>
      <c r="B1886" t="s">
        <v>923</v>
      </c>
      <c r="C1886" t="s">
        <v>28</v>
      </c>
      <c r="D1886" t="s">
        <v>29</v>
      </c>
      <c r="E1886">
        <f>H1885</f>
        <v>3500</v>
      </c>
      <c r="F1886">
        <f>IFERROR(SUMIFS('Demand Inputs'!$K$5:$K$202,'Demand Inputs'!$A$5:$A$202,"47mg Clinical",'Demand Inputs'!$B$5:$B$202,"&lt;&gt;AGGREGATE",'Demand Inputs'!$E$5:$E$202,1),0)</f>
        <v>0</v>
      </c>
      <c r="G1886">
        <f>IFERROR(SUMPRODUCT(('Production Inputs'!$A:$A="47mg Clinical")*('Production Inputs'!$B:$B="TOTAL ACTIVE")*'Production Inputs'!$CY:$CY),0)</f>
        <v>0</v>
      </c>
      <c r="H1886">
        <f t="shared" si="209"/>
        <v>3500</v>
      </c>
      <c r="I1886" s="30">
        <f ca="1">IFERROR(AVERAGEIF(OFFSET(F1886,0,0,MIN(Controls!$B$8,COUNTIF(B1886:B$1973,B1886)),1),"&gt;"&amp;0),0)</f>
        <v>0</v>
      </c>
      <c r="J1886">
        <f t="shared" ca="1" si="210"/>
        <v>999</v>
      </c>
      <c r="K1886">
        <f t="shared" ca="1" si="211"/>
        <v>0</v>
      </c>
      <c r="L1886" t="str">
        <f t="shared" ca="1" si="212"/>
        <v>Overstock</v>
      </c>
      <c r="M1886">
        <f>IFERROR(VLOOKUP("47mg Clinical",Controls!A:I,7,0),6)</f>
        <v>6</v>
      </c>
      <c r="N1886">
        <f>IFERROR(VLOOKUP("47mg Clinical",Controls!A:I,8,0),3)</f>
        <v>4</v>
      </c>
      <c r="O1886">
        <f>IFERROR(VLOOKUP("47mg Clinical",Controls!A:I,9,0),18)</f>
        <v>12</v>
      </c>
      <c r="P1886">
        <f>IFERROR(VLOOKUP("47mg Clinical",Controls!A:J,5,0),0)</f>
        <v>1</v>
      </c>
      <c r="Q1886">
        <f>IFERROR(VLOOKUP("47mg Clinical",Controls!A:J,6,0),3)</f>
        <v>3</v>
      </c>
      <c r="R1886" t="str">
        <f>IFERROR(VLOOKUP("47mg Clinical",Controls!A:K,10,0),"")</f>
        <v>Fisher Clinical</v>
      </c>
      <c r="S1886">
        <f t="shared" si="213"/>
        <v>48731</v>
      </c>
      <c r="T1886">
        <f t="shared" si="214"/>
        <v>0</v>
      </c>
      <c r="AB1886">
        <f t="shared" si="215"/>
        <v>0</v>
      </c>
    </row>
    <row r="1887" spans="1:28" x14ac:dyDescent="0.35">
      <c r="A1887" s="201">
        <v>48853</v>
      </c>
      <c r="B1887" t="s">
        <v>923</v>
      </c>
      <c r="C1887" t="s">
        <v>28</v>
      </c>
      <c r="D1887" t="s">
        <v>29</v>
      </c>
      <c r="E1887">
        <f>H1886</f>
        <v>3500</v>
      </c>
      <c r="F1887">
        <f>IFERROR(SUMIFS('Demand Inputs'!$K$5:$K$202,'Demand Inputs'!$A$5:$A$202,"47mg Clinical",'Demand Inputs'!$B$5:$B$202,"&lt;&gt;AGGREGATE",'Demand Inputs'!$E$5:$E$202,1),0)</f>
        <v>0</v>
      </c>
      <c r="G1887">
        <f>IFERROR(SUMPRODUCT(('Production Inputs'!$A:$A="47mg Clinical")*('Production Inputs'!$B:$B="TOTAL ACTIVE")*'Production Inputs'!$CZ:$CZ),0)</f>
        <v>0</v>
      </c>
      <c r="H1887">
        <f t="shared" si="209"/>
        <v>3500</v>
      </c>
      <c r="I1887" s="30">
        <f ca="1">IFERROR(AVERAGEIF(OFFSET(F1887,0,0,MIN(Controls!$B$8,COUNTIF(B1887:B$1973,B1887)),1),"&gt;"&amp;0),0)</f>
        <v>0</v>
      </c>
      <c r="J1887">
        <f t="shared" ca="1" si="210"/>
        <v>999</v>
      </c>
      <c r="K1887">
        <f t="shared" ca="1" si="211"/>
        <v>0</v>
      </c>
      <c r="L1887" t="str">
        <f t="shared" ca="1" si="212"/>
        <v>Overstock</v>
      </c>
      <c r="M1887">
        <f>IFERROR(VLOOKUP("47mg Clinical",Controls!A:I,7,0),6)</f>
        <v>6</v>
      </c>
      <c r="N1887">
        <f>IFERROR(VLOOKUP("47mg Clinical",Controls!A:I,8,0),3)</f>
        <v>4</v>
      </c>
      <c r="O1887">
        <f>IFERROR(VLOOKUP("47mg Clinical",Controls!A:I,9,0),18)</f>
        <v>12</v>
      </c>
      <c r="P1887">
        <f>IFERROR(VLOOKUP("47mg Clinical",Controls!A:J,5,0),0)</f>
        <v>1</v>
      </c>
      <c r="Q1887">
        <f>IFERROR(VLOOKUP("47mg Clinical",Controls!A:J,6,0),3)</f>
        <v>3</v>
      </c>
      <c r="R1887" t="str">
        <f>IFERROR(VLOOKUP("47mg Clinical",Controls!A:K,10,0),"")</f>
        <v>Fisher Clinical</v>
      </c>
      <c r="S1887">
        <f t="shared" si="213"/>
        <v>48761</v>
      </c>
      <c r="T1887">
        <f t="shared" si="214"/>
        <v>0</v>
      </c>
      <c r="AB1887">
        <f t="shared" si="215"/>
        <v>0</v>
      </c>
    </row>
    <row r="1888" spans="1:28" x14ac:dyDescent="0.35">
      <c r="A1888" s="201">
        <v>48884</v>
      </c>
      <c r="B1888" t="s">
        <v>923</v>
      </c>
      <c r="C1888" t="s">
        <v>28</v>
      </c>
      <c r="D1888" t="s">
        <v>29</v>
      </c>
      <c r="E1888">
        <f>H1887</f>
        <v>3500</v>
      </c>
      <c r="F1888">
        <f>IFERROR(SUMIFS('Demand Inputs'!$K$5:$K$202,'Demand Inputs'!$A$5:$A$202,"47mg Clinical",'Demand Inputs'!$B$5:$B$202,"&lt;&gt;AGGREGATE",'Demand Inputs'!$E$5:$E$202,1),0)</f>
        <v>0</v>
      </c>
      <c r="G1888">
        <f>IFERROR(SUMPRODUCT(('Production Inputs'!$A:$A="47mg Clinical")*('Production Inputs'!$B:$B="TOTAL ACTIVE")*'Production Inputs'!$DA:$DA),0)</f>
        <v>0</v>
      </c>
      <c r="H1888">
        <f t="shared" si="209"/>
        <v>3500</v>
      </c>
      <c r="I1888" s="30">
        <f ca="1">IFERROR(AVERAGEIF(OFFSET(F1888,0,0,MIN(Controls!$B$8,COUNTIF(B1888:B$1973,B1888)),1),"&gt;"&amp;0),0)</f>
        <v>0</v>
      </c>
      <c r="J1888">
        <f t="shared" ca="1" si="210"/>
        <v>999</v>
      </c>
      <c r="K1888">
        <f t="shared" ca="1" si="211"/>
        <v>0</v>
      </c>
      <c r="L1888" t="str">
        <f t="shared" ca="1" si="212"/>
        <v>Overstock</v>
      </c>
      <c r="M1888">
        <f>IFERROR(VLOOKUP("47mg Clinical",Controls!A:I,7,0),6)</f>
        <v>6</v>
      </c>
      <c r="N1888">
        <f>IFERROR(VLOOKUP("47mg Clinical",Controls!A:I,8,0),3)</f>
        <v>4</v>
      </c>
      <c r="O1888">
        <f>IFERROR(VLOOKUP("47mg Clinical",Controls!A:I,9,0),18)</f>
        <v>12</v>
      </c>
      <c r="P1888">
        <f>IFERROR(VLOOKUP("47mg Clinical",Controls!A:J,5,0),0)</f>
        <v>1</v>
      </c>
      <c r="Q1888">
        <f>IFERROR(VLOOKUP("47mg Clinical",Controls!A:J,6,0),3)</f>
        <v>3</v>
      </c>
      <c r="R1888" t="str">
        <f>IFERROR(VLOOKUP("47mg Clinical",Controls!A:K,10,0),"")</f>
        <v>Fisher Clinical</v>
      </c>
      <c r="S1888">
        <f t="shared" si="213"/>
        <v>48792</v>
      </c>
      <c r="T1888">
        <f t="shared" si="214"/>
        <v>0</v>
      </c>
      <c r="AB1888">
        <f t="shared" si="215"/>
        <v>0</v>
      </c>
    </row>
    <row r="1889" spans="1:28" x14ac:dyDescent="0.35">
      <c r="A1889" s="201">
        <v>48914</v>
      </c>
      <c r="B1889" t="s">
        <v>923</v>
      </c>
      <c r="C1889" t="s">
        <v>28</v>
      </c>
      <c r="D1889" t="s">
        <v>29</v>
      </c>
      <c r="E1889">
        <f>H1888</f>
        <v>3500</v>
      </c>
      <c r="F1889">
        <f>IFERROR(SUMIFS('Demand Inputs'!$K$5:$K$202,'Demand Inputs'!$A$5:$A$202,"47mg Clinical",'Demand Inputs'!$B$5:$B$202,"&lt;&gt;AGGREGATE",'Demand Inputs'!$E$5:$E$202,1),0)</f>
        <v>0</v>
      </c>
      <c r="G1889">
        <f>IFERROR(SUMPRODUCT(('Production Inputs'!$A:$A="47mg Clinical")*('Production Inputs'!$B:$B="TOTAL ACTIVE")*'Production Inputs'!$DB:$DB),0)</f>
        <v>0</v>
      </c>
      <c r="H1889">
        <f t="shared" si="209"/>
        <v>3500</v>
      </c>
      <c r="I1889" s="30">
        <f ca="1">IFERROR(AVERAGEIF(OFFSET(F1889,0,0,MIN(Controls!$B$8,COUNTIF(B1889:B$1973,B1889)),1),"&gt;"&amp;0),0)</f>
        <v>0</v>
      </c>
      <c r="J1889">
        <f t="shared" ca="1" si="210"/>
        <v>999</v>
      </c>
      <c r="K1889">
        <f t="shared" ca="1" si="211"/>
        <v>0</v>
      </c>
      <c r="L1889" t="str">
        <f t="shared" ca="1" si="212"/>
        <v>Overstock</v>
      </c>
      <c r="M1889">
        <f>IFERROR(VLOOKUP("47mg Clinical",Controls!A:I,7,0),6)</f>
        <v>6</v>
      </c>
      <c r="N1889">
        <f>IFERROR(VLOOKUP("47mg Clinical",Controls!A:I,8,0),3)</f>
        <v>4</v>
      </c>
      <c r="O1889">
        <f>IFERROR(VLOOKUP("47mg Clinical",Controls!A:I,9,0),18)</f>
        <v>12</v>
      </c>
      <c r="P1889">
        <f>IFERROR(VLOOKUP("47mg Clinical",Controls!A:J,5,0),0)</f>
        <v>1</v>
      </c>
      <c r="Q1889">
        <f>IFERROR(VLOOKUP("47mg Clinical",Controls!A:J,6,0),3)</f>
        <v>3</v>
      </c>
      <c r="R1889" t="str">
        <f>IFERROR(VLOOKUP("47mg Clinical",Controls!A:K,10,0),"")</f>
        <v>Fisher Clinical</v>
      </c>
      <c r="S1889">
        <f t="shared" si="213"/>
        <v>48823</v>
      </c>
      <c r="T1889">
        <f t="shared" si="214"/>
        <v>0</v>
      </c>
      <c r="AB1889">
        <f t="shared" si="215"/>
        <v>0</v>
      </c>
    </row>
    <row r="1890" spans="1:28" x14ac:dyDescent="0.35">
      <c r="A1890" s="201">
        <v>48945</v>
      </c>
      <c r="B1890" t="s">
        <v>923</v>
      </c>
      <c r="C1890" t="s">
        <v>28</v>
      </c>
      <c r="D1890" t="s">
        <v>29</v>
      </c>
      <c r="E1890">
        <f>H1889</f>
        <v>3500</v>
      </c>
      <c r="F1890">
        <f>IFERROR(SUMIFS('Demand Inputs'!$K$5:$K$202,'Demand Inputs'!$A$5:$A$202,"47mg Clinical",'Demand Inputs'!$B$5:$B$202,"&lt;&gt;AGGREGATE",'Demand Inputs'!$E$5:$E$202,1),0)</f>
        <v>0</v>
      </c>
      <c r="G1890">
        <f>IFERROR(SUMPRODUCT(('Production Inputs'!$A:$A="47mg Clinical")*('Production Inputs'!$B:$B="TOTAL ACTIVE")*'Production Inputs'!$DC:$DC),0)</f>
        <v>0</v>
      </c>
      <c r="H1890">
        <f t="shared" ref="H1890:H1921" si="216">E1890+G1890-F1890</f>
        <v>3500</v>
      </c>
      <c r="I1890" s="30">
        <f ca="1">IFERROR(AVERAGEIF(OFFSET(F1890,0,0,MIN(Controls!$B$8,COUNTIF(B1890:B$1973,B1890)),1),"&gt;"&amp;0),0)</f>
        <v>0</v>
      </c>
      <c r="J1890">
        <f t="shared" ref="J1890:J1921" ca="1" si="217">IFERROR(H1890/I1890,IF(H1890&gt;0,999,0))</f>
        <v>999</v>
      </c>
      <c r="K1890">
        <f t="shared" ref="K1890:K1921" ca="1" si="218">IFERROR(IF(H1890&lt;(N1890*I1890),CEILING(MAX(0,ROUND((M1890*I1890-H1890)/P1890,0)*P1890),P1890),0),0)</f>
        <v>0</v>
      </c>
      <c r="L1890" t="str">
        <f t="shared" ref="L1890:L1921" ca="1" si="219">IF(H1890&lt;=0,"High",IF(J1890&lt;N1890,"High",IF(J1890&lt;M1890,"Medium",IF(J1890&gt;O1890,"Overstock","Low"))))</f>
        <v>Overstock</v>
      </c>
      <c r="M1890">
        <f>IFERROR(VLOOKUP("47mg Clinical",Controls!A:I,7,0),6)</f>
        <v>6</v>
      </c>
      <c r="N1890">
        <f>IFERROR(VLOOKUP("47mg Clinical",Controls!A:I,8,0),3)</f>
        <v>4</v>
      </c>
      <c r="O1890">
        <f>IFERROR(VLOOKUP("47mg Clinical",Controls!A:I,9,0),18)</f>
        <v>12</v>
      </c>
      <c r="P1890">
        <f>IFERROR(VLOOKUP("47mg Clinical",Controls!A:J,5,0),0)</f>
        <v>1</v>
      </c>
      <c r="Q1890">
        <f>IFERROR(VLOOKUP("47mg Clinical",Controls!A:J,6,0),3)</f>
        <v>3</v>
      </c>
      <c r="R1890" t="str">
        <f>IFERROR(VLOOKUP("47mg Clinical",Controls!A:K,10,0),"")</f>
        <v>Fisher Clinical</v>
      </c>
      <c r="S1890">
        <f t="shared" ref="S1890:S1921" si="220">IFERROR(EDATE(A1890,-Q1890),"")</f>
        <v>48853</v>
      </c>
      <c r="T1890">
        <f t="shared" ref="T1890:T1921" si="221">G1890</f>
        <v>0</v>
      </c>
      <c r="AB1890">
        <f t="shared" si="215"/>
        <v>0</v>
      </c>
    </row>
    <row r="1891" spans="1:28" x14ac:dyDescent="0.35">
      <c r="A1891" s="201">
        <v>48976</v>
      </c>
      <c r="B1891" t="s">
        <v>923</v>
      </c>
      <c r="C1891" t="s">
        <v>28</v>
      </c>
      <c r="D1891" t="s">
        <v>29</v>
      </c>
      <c r="E1891">
        <f>H1890</f>
        <v>3500</v>
      </c>
      <c r="F1891">
        <f>IFERROR(SUMIFS('Demand Inputs'!$K$5:$K$202,'Demand Inputs'!$A$5:$A$202,"47mg Clinical",'Demand Inputs'!$B$5:$B$202,"&lt;&gt;AGGREGATE",'Demand Inputs'!$E$5:$E$202,1),0)</f>
        <v>0</v>
      </c>
      <c r="G1891">
        <f>IFERROR(SUMPRODUCT(('Production Inputs'!$A:$A="47mg Clinical")*('Production Inputs'!$B:$B="TOTAL ACTIVE")*'Production Inputs'!$DD:$DD),0)</f>
        <v>0</v>
      </c>
      <c r="H1891">
        <f t="shared" si="216"/>
        <v>3500</v>
      </c>
      <c r="I1891" s="30">
        <f ca="1">IFERROR(AVERAGEIF(OFFSET(F1891,0,0,MIN(Controls!$B$8,COUNTIF(B1891:B$1973,B1891)),1),"&gt;"&amp;0),0)</f>
        <v>0</v>
      </c>
      <c r="J1891">
        <f t="shared" ca="1" si="217"/>
        <v>999</v>
      </c>
      <c r="K1891">
        <f t="shared" ca="1" si="218"/>
        <v>0</v>
      </c>
      <c r="L1891" t="str">
        <f t="shared" ca="1" si="219"/>
        <v>Overstock</v>
      </c>
      <c r="M1891">
        <f>IFERROR(VLOOKUP("47mg Clinical",Controls!A:I,7,0),6)</f>
        <v>6</v>
      </c>
      <c r="N1891">
        <f>IFERROR(VLOOKUP("47mg Clinical",Controls!A:I,8,0),3)</f>
        <v>4</v>
      </c>
      <c r="O1891">
        <f>IFERROR(VLOOKUP("47mg Clinical",Controls!A:I,9,0),18)</f>
        <v>12</v>
      </c>
      <c r="P1891">
        <f>IFERROR(VLOOKUP("47mg Clinical",Controls!A:J,5,0),0)</f>
        <v>1</v>
      </c>
      <c r="Q1891">
        <f>IFERROR(VLOOKUP("47mg Clinical",Controls!A:J,6,0),3)</f>
        <v>3</v>
      </c>
      <c r="R1891" t="str">
        <f>IFERROR(VLOOKUP("47mg Clinical",Controls!A:K,10,0),"")</f>
        <v>Fisher Clinical</v>
      </c>
      <c r="S1891">
        <f t="shared" si="220"/>
        <v>48884</v>
      </c>
      <c r="T1891">
        <f t="shared" si="221"/>
        <v>0</v>
      </c>
      <c r="AB1891">
        <f t="shared" si="215"/>
        <v>0</v>
      </c>
    </row>
    <row r="1892" spans="1:28" x14ac:dyDescent="0.35">
      <c r="A1892" s="201">
        <v>49004</v>
      </c>
      <c r="B1892" t="s">
        <v>923</v>
      </c>
      <c r="C1892" t="s">
        <v>28</v>
      </c>
      <c r="D1892" t="s">
        <v>29</v>
      </c>
      <c r="E1892">
        <f>H1891</f>
        <v>3500</v>
      </c>
      <c r="F1892">
        <f>IFERROR(SUMIFS('Demand Inputs'!$K$5:$K$202,'Demand Inputs'!$A$5:$A$202,"47mg Clinical",'Demand Inputs'!$B$5:$B$202,"&lt;&gt;AGGREGATE",'Demand Inputs'!$E$5:$E$202,1),0)</f>
        <v>0</v>
      </c>
      <c r="G1892">
        <f>IFERROR(SUMPRODUCT(('Production Inputs'!$A:$A="47mg Clinical")*('Production Inputs'!$B:$B="TOTAL ACTIVE")*'Production Inputs'!$DE:$DE),0)</f>
        <v>0</v>
      </c>
      <c r="H1892">
        <f t="shared" si="216"/>
        <v>3500</v>
      </c>
      <c r="I1892" s="30">
        <f ca="1">IFERROR(AVERAGEIF(OFFSET(F1892,0,0,MIN(Controls!$B$8,COUNTIF(B1892:B$1973,B1892)),1),"&gt;"&amp;0),0)</f>
        <v>0</v>
      </c>
      <c r="J1892">
        <f t="shared" ca="1" si="217"/>
        <v>999</v>
      </c>
      <c r="K1892">
        <f t="shared" ca="1" si="218"/>
        <v>0</v>
      </c>
      <c r="L1892" t="str">
        <f t="shared" ca="1" si="219"/>
        <v>Overstock</v>
      </c>
      <c r="M1892">
        <f>IFERROR(VLOOKUP("47mg Clinical",Controls!A:I,7,0),6)</f>
        <v>6</v>
      </c>
      <c r="N1892">
        <f>IFERROR(VLOOKUP("47mg Clinical",Controls!A:I,8,0),3)</f>
        <v>4</v>
      </c>
      <c r="O1892">
        <f>IFERROR(VLOOKUP("47mg Clinical",Controls!A:I,9,0),18)</f>
        <v>12</v>
      </c>
      <c r="P1892">
        <f>IFERROR(VLOOKUP("47mg Clinical",Controls!A:J,5,0),0)</f>
        <v>1</v>
      </c>
      <c r="Q1892">
        <f>IFERROR(VLOOKUP("47mg Clinical",Controls!A:J,6,0),3)</f>
        <v>3</v>
      </c>
      <c r="R1892" t="str">
        <f>IFERROR(VLOOKUP("47mg Clinical",Controls!A:K,10,0),"")</f>
        <v>Fisher Clinical</v>
      </c>
      <c r="S1892">
        <f t="shared" si="220"/>
        <v>48914</v>
      </c>
      <c r="T1892">
        <f t="shared" si="221"/>
        <v>0</v>
      </c>
      <c r="AB1892">
        <f t="shared" si="215"/>
        <v>0</v>
      </c>
    </row>
    <row r="1893" spans="1:28" x14ac:dyDescent="0.35">
      <c r="A1893" s="201">
        <v>49035</v>
      </c>
      <c r="B1893" t="s">
        <v>923</v>
      </c>
      <c r="C1893" t="s">
        <v>28</v>
      </c>
      <c r="D1893" t="s">
        <v>29</v>
      </c>
      <c r="E1893">
        <f>H1892</f>
        <v>3500</v>
      </c>
      <c r="F1893">
        <f>IFERROR(SUMIFS('Demand Inputs'!$K$5:$K$202,'Demand Inputs'!$A$5:$A$202,"47mg Clinical",'Demand Inputs'!$B$5:$B$202,"&lt;&gt;AGGREGATE",'Demand Inputs'!$E$5:$E$202,1),0)</f>
        <v>0</v>
      </c>
      <c r="G1893">
        <f>IFERROR(SUMPRODUCT(('Production Inputs'!$A:$A="47mg Clinical")*('Production Inputs'!$B:$B="TOTAL ACTIVE")*'Production Inputs'!$DF:$DF),0)</f>
        <v>0</v>
      </c>
      <c r="H1893">
        <f t="shared" si="216"/>
        <v>3500</v>
      </c>
      <c r="I1893" s="30">
        <f ca="1">IFERROR(AVERAGEIF(OFFSET(F1893,0,0,MIN(Controls!$B$8,COUNTIF(B1893:B$1973,B1893)),1),"&gt;"&amp;0),0)</f>
        <v>0</v>
      </c>
      <c r="J1893">
        <f t="shared" ca="1" si="217"/>
        <v>999</v>
      </c>
      <c r="K1893">
        <f t="shared" ca="1" si="218"/>
        <v>0</v>
      </c>
      <c r="L1893" t="str">
        <f t="shared" ca="1" si="219"/>
        <v>Overstock</v>
      </c>
      <c r="M1893">
        <f>IFERROR(VLOOKUP("47mg Clinical",Controls!A:I,7,0),6)</f>
        <v>6</v>
      </c>
      <c r="N1893">
        <f>IFERROR(VLOOKUP("47mg Clinical",Controls!A:I,8,0),3)</f>
        <v>4</v>
      </c>
      <c r="O1893">
        <f>IFERROR(VLOOKUP("47mg Clinical",Controls!A:I,9,0),18)</f>
        <v>12</v>
      </c>
      <c r="P1893">
        <f>IFERROR(VLOOKUP("47mg Clinical",Controls!A:J,5,0),0)</f>
        <v>1</v>
      </c>
      <c r="Q1893">
        <f>IFERROR(VLOOKUP("47mg Clinical",Controls!A:J,6,0),3)</f>
        <v>3</v>
      </c>
      <c r="R1893" t="str">
        <f>IFERROR(VLOOKUP("47mg Clinical",Controls!A:K,10,0),"")</f>
        <v>Fisher Clinical</v>
      </c>
      <c r="S1893">
        <f t="shared" si="220"/>
        <v>48945</v>
      </c>
      <c r="T1893">
        <f t="shared" si="221"/>
        <v>0</v>
      </c>
      <c r="AB1893">
        <f t="shared" si="215"/>
        <v>0</v>
      </c>
    </row>
    <row r="1894" spans="1:28" x14ac:dyDescent="0.35">
      <c r="A1894" s="201">
        <v>49065</v>
      </c>
      <c r="B1894" t="s">
        <v>923</v>
      </c>
      <c r="C1894" t="s">
        <v>28</v>
      </c>
      <c r="D1894" t="s">
        <v>29</v>
      </c>
      <c r="E1894">
        <f>H1893</f>
        <v>3500</v>
      </c>
      <c r="F1894">
        <f>IFERROR(SUMIFS('Demand Inputs'!$K$5:$K$202,'Demand Inputs'!$A$5:$A$202,"47mg Clinical",'Demand Inputs'!$B$5:$B$202,"&lt;&gt;AGGREGATE",'Demand Inputs'!$E$5:$E$202,1),0)</f>
        <v>0</v>
      </c>
      <c r="G1894">
        <f>IFERROR(SUMPRODUCT(('Production Inputs'!$A:$A="47mg Clinical")*('Production Inputs'!$B:$B="TOTAL ACTIVE")*'Production Inputs'!$DG:$DG),0)</f>
        <v>0</v>
      </c>
      <c r="H1894">
        <f t="shared" si="216"/>
        <v>3500</v>
      </c>
      <c r="I1894" s="30">
        <f ca="1">IFERROR(AVERAGEIF(OFFSET(F1894,0,0,MIN(Controls!$B$8,COUNTIF(B1894:B$1973,B1894)),1),"&gt;"&amp;0),0)</f>
        <v>0</v>
      </c>
      <c r="J1894">
        <f t="shared" ca="1" si="217"/>
        <v>999</v>
      </c>
      <c r="K1894">
        <f t="shared" ca="1" si="218"/>
        <v>0</v>
      </c>
      <c r="L1894" t="str">
        <f t="shared" ca="1" si="219"/>
        <v>Overstock</v>
      </c>
      <c r="M1894">
        <f>IFERROR(VLOOKUP("47mg Clinical",Controls!A:I,7,0),6)</f>
        <v>6</v>
      </c>
      <c r="N1894">
        <f>IFERROR(VLOOKUP("47mg Clinical",Controls!A:I,8,0),3)</f>
        <v>4</v>
      </c>
      <c r="O1894">
        <f>IFERROR(VLOOKUP("47mg Clinical",Controls!A:I,9,0),18)</f>
        <v>12</v>
      </c>
      <c r="P1894">
        <f>IFERROR(VLOOKUP("47mg Clinical",Controls!A:J,5,0),0)</f>
        <v>1</v>
      </c>
      <c r="Q1894">
        <f>IFERROR(VLOOKUP("47mg Clinical",Controls!A:J,6,0),3)</f>
        <v>3</v>
      </c>
      <c r="R1894" t="str">
        <f>IFERROR(VLOOKUP("47mg Clinical",Controls!A:K,10,0),"")</f>
        <v>Fisher Clinical</v>
      </c>
      <c r="S1894">
        <f t="shared" si="220"/>
        <v>48976</v>
      </c>
      <c r="T1894">
        <f t="shared" si="221"/>
        <v>0</v>
      </c>
      <c r="AB1894">
        <f t="shared" si="215"/>
        <v>0</v>
      </c>
    </row>
    <row r="1895" spans="1:28" x14ac:dyDescent="0.35">
      <c r="A1895" s="201">
        <v>49096</v>
      </c>
      <c r="B1895" t="s">
        <v>923</v>
      </c>
      <c r="C1895" t="s">
        <v>28</v>
      </c>
      <c r="D1895" t="s">
        <v>29</v>
      </c>
      <c r="E1895">
        <f>H1894</f>
        <v>3500</v>
      </c>
      <c r="F1895">
        <f>IFERROR(SUMIFS('Demand Inputs'!$K$5:$K$202,'Demand Inputs'!$A$5:$A$202,"47mg Clinical",'Demand Inputs'!$B$5:$B$202,"&lt;&gt;AGGREGATE",'Demand Inputs'!$E$5:$E$202,1),0)</f>
        <v>0</v>
      </c>
      <c r="G1895">
        <f>IFERROR(SUMPRODUCT(('Production Inputs'!$A:$A="47mg Clinical")*('Production Inputs'!$B:$B="TOTAL ACTIVE")*'Production Inputs'!$DH:$DH),0)</f>
        <v>0</v>
      </c>
      <c r="H1895">
        <f t="shared" si="216"/>
        <v>3500</v>
      </c>
      <c r="I1895" s="30">
        <f ca="1">IFERROR(AVERAGEIF(OFFSET(F1895,0,0,MIN(Controls!$B$8,COUNTIF(B1895:B$1973,B1895)),1),"&gt;"&amp;0),0)</f>
        <v>0</v>
      </c>
      <c r="J1895">
        <f t="shared" ca="1" si="217"/>
        <v>999</v>
      </c>
      <c r="K1895">
        <f t="shared" ca="1" si="218"/>
        <v>0</v>
      </c>
      <c r="L1895" t="str">
        <f t="shared" ca="1" si="219"/>
        <v>Overstock</v>
      </c>
      <c r="M1895">
        <f>IFERROR(VLOOKUP("47mg Clinical",Controls!A:I,7,0),6)</f>
        <v>6</v>
      </c>
      <c r="N1895">
        <f>IFERROR(VLOOKUP("47mg Clinical",Controls!A:I,8,0),3)</f>
        <v>4</v>
      </c>
      <c r="O1895">
        <f>IFERROR(VLOOKUP("47mg Clinical",Controls!A:I,9,0),18)</f>
        <v>12</v>
      </c>
      <c r="P1895">
        <f>IFERROR(VLOOKUP("47mg Clinical",Controls!A:J,5,0),0)</f>
        <v>1</v>
      </c>
      <c r="Q1895">
        <f>IFERROR(VLOOKUP("47mg Clinical",Controls!A:J,6,0),3)</f>
        <v>3</v>
      </c>
      <c r="R1895" t="str">
        <f>IFERROR(VLOOKUP("47mg Clinical",Controls!A:K,10,0),"")</f>
        <v>Fisher Clinical</v>
      </c>
      <c r="S1895">
        <f t="shared" si="220"/>
        <v>49004</v>
      </c>
      <c r="T1895">
        <f t="shared" si="221"/>
        <v>0</v>
      </c>
      <c r="AB1895">
        <f t="shared" si="215"/>
        <v>0</v>
      </c>
    </row>
    <row r="1896" spans="1:28" x14ac:dyDescent="0.35">
      <c r="A1896" s="201">
        <v>49126</v>
      </c>
      <c r="B1896" t="s">
        <v>923</v>
      </c>
      <c r="C1896" t="s">
        <v>28</v>
      </c>
      <c r="D1896" t="s">
        <v>29</v>
      </c>
      <c r="E1896">
        <f>H1895</f>
        <v>3500</v>
      </c>
      <c r="F1896">
        <f>IFERROR(SUMIFS('Demand Inputs'!$K$5:$K$202,'Demand Inputs'!$A$5:$A$202,"47mg Clinical",'Demand Inputs'!$B$5:$B$202,"&lt;&gt;AGGREGATE",'Demand Inputs'!$E$5:$E$202,1),0)</f>
        <v>0</v>
      </c>
      <c r="G1896">
        <f>IFERROR(SUMPRODUCT(('Production Inputs'!$A:$A="47mg Clinical")*('Production Inputs'!$B:$B="TOTAL ACTIVE")*'Production Inputs'!$DI:$DI),0)</f>
        <v>0</v>
      </c>
      <c r="H1896">
        <f t="shared" si="216"/>
        <v>3500</v>
      </c>
      <c r="I1896" s="30">
        <f ca="1">IFERROR(AVERAGEIF(OFFSET(F1896,0,0,MIN(Controls!$B$8,COUNTIF(B1896:B$1973,B1896)),1),"&gt;"&amp;0),0)</f>
        <v>0</v>
      </c>
      <c r="J1896">
        <f t="shared" ca="1" si="217"/>
        <v>999</v>
      </c>
      <c r="K1896">
        <f t="shared" ca="1" si="218"/>
        <v>0</v>
      </c>
      <c r="L1896" t="str">
        <f t="shared" ca="1" si="219"/>
        <v>Overstock</v>
      </c>
      <c r="M1896">
        <f>IFERROR(VLOOKUP("47mg Clinical",Controls!A:I,7,0),6)</f>
        <v>6</v>
      </c>
      <c r="N1896">
        <f>IFERROR(VLOOKUP("47mg Clinical",Controls!A:I,8,0),3)</f>
        <v>4</v>
      </c>
      <c r="O1896">
        <f>IFERROR(VLOOKUP("47mg Clinical",Controls!A:I,9,0),18)</f>
        <v>12</v>
      </c>
      <c r="P1896">
        <f>IFERROR(VLOOKUP("47mg Clinical",Controls!A:J,5,0),0)</f>
        <v>1</v>
      </c>
      <c r="Q1896">
        <f>IFERROR(VLOOKUP("47mg Clinical",Controls!A:J,6,0),3)</f>
        <v>3</v>
      </c>
      <c r="R1896" t="str">
        <f>IFERROR(VLOOKUP("47mg Clinical",Controls!A:K,10,0),"")</f>
        <v>Fisher Clinical</v>
      </c>
      <c r="S1896">
        <f t="shared" si="220"/>
        <v>49035</v>
      </c>
      <c r="T1896">
        <f t="shared" si="221"/>
        <v>0</v>
      </c>
      <c r="AB1896">
        <f t="shared" si="215"/>
        <v>0</v>
      </c>
    </row>
    <row r="1897" spans="1:28" x14ac:dyDescent="0.35">
      <c r="A1897" s="201">
        <v>49157</v>
      </c>
      <c r="B1897" t="s">
        <v>923</v>
      </c>
      <c r="C1897" t="s">
        <v>28</v>
      </c>
      <c r="D1897" t="s">
        <v>29</v>
      </c>
      <c r="E1897">
        <f>H1896</f>
        <v>3500</v>
      </c>
      <c r="F1897">
        <f>IFERROR(SUMIFS('Demand Inputs'!$K$5:$K$202,'Demand Inputs'!$A$5:$A$202,"47mg Clinical",'Demand Inputs'!$B$5:$B$202,"&lt;&gt;AGGREGATE",'Demand Inputs'!$E$5:$E$202,1),0)</f>
        <v>0</v>
      </c>
      <c r="G1897">
        <f>IFERROR(SUMPRODUCT(('Production Inputs'!$A:$A="47mg Clinical")*('Production Inputs'!$B:$B="TOTAL ACTIVE")*'Production Inputs'!$DJ:$DJ),0)</f>
        <v>0</v>
      </c>
      <c r="H1897">
        <f t="shared" si="216"/>
        <v>3500</v>
      </c>
      <c r="I1897" s="30">
        <f ca="1">IFERROR(AVERAGEIF(OFFSET(F1897,0,0,MIN(Controls!$B$8,COUNTIF(B1897:B$1973,B1897)),1),"&gt;"&amp;0),0)</f>
        <v>0</v>
      </c>
      <c r="J1897">
        <f t="shared" ca="1" si="217"/>
        <v>999</v>
      </c>
      <c r="K1897">
        <f t="shared" ca="1" si="218"/>
        <v>0</v>
      </c>
      <c r="L1897" t="str">
        <f t="shared" ca="1" si="219"/>
        <v>Overstock</v>
      </c>
      <c r="M1897">
        <f>IFERROR(VLOOKUP("47mg Clinical",Controls!A:I,7,0),6)</f>
        <v>6</v>
      </c>
      <c r="N1897">
        <f>IFERROR(VLOOKUP("47mg Clinical",Controls!A:I,8,0),3)</f>
        <v>4</v>
      </c>
      <c r="O1897">
        <f>IFERROR(VLOOKUP("47mg Clinical",Controls!A:I,9,0),18)</f>
        <v>12</v>
      </c>
      <c r="P1897">
        <f>IFERROR(VLOOKUP("47mg Clinical",Controls!A:J,5,0),0)</f>
        <v>1</v>
      </c>
      <c r="Q1897">
        <f>IFERROR(VLOOKUP("47mg Clinical",Controls!A:J,6,0),3)</f>
        <v>3</v>
      </c>
      <c r="R1897" t="str">
        <f>IFERROR(VLOOKUP("47mg Clinical",Controls!A:K,10,0),"")</f>
        <v>Fisher Clinical</v>
      </c>
      <c r="S1897">
        <f t="shared" si="220"/>
        <v>49065</v>
      </c>
      <c r="T1897">
        <f t="shared" si="221"/>
        <v>0</v>
      </c>
      <c r="AB1897">
        <f t="shared" si="215"/>
        <v>0</v>
      </c>
    </row>
    <row r="1898" spans="1:28" x14ac:dyDescent="0.35">
      <c r="A1898" s="201">
        <v>49188</v>
      </c>
      <c r="B1898" t="s">
        <v>923</v>
      </c>
      <c r="C1898" t="s">
        <v>28</v>
      </c>
      <c r="D1898" t="s">
        <v>29</v>
      </c>
      <c r="E1898">
        <f>H1897</f>
        <v>3500</v>
      </c>
      <c r="F1898">
        <f>IFERROR(SUMIFS('Demand Inputs'!$K$5:$K$202,'Demand Inputs'!$A$5:$A$202,"47mg Clinical",'Demand Inputs'!$B$5:$B$202,"&lt;&gt;AGGREGATE",'Demand Inputs'!$E$5:$E$202,1),0)</f>
        <v>0</v>
      </c>
      <c r="G1898">
        <f>IFERROR(SUMPRODUCT(('Production Inputs'!$A:$A="47mg Clinical")*('Production Inputs'!$B:$B="TOTAL ACTIVE")*'Production Inputs'!$DK:$DK),0)</f>
        <v>0</v>
      </c>
      <c r="H1898">
        <f t="shared" si="216"/>
        <v>3500</v>
      </c>
      <c r="I1898" s="30">
        <f ca="1">IFERROR(AVERAGEIF(OFFSET(F1898,0,0,MIN(Controls!$B$8,COUNTIF(B1898:B$1973,B1898)),1),"&gt;"&amp;0),0)</f>
        <v>0</v>
      </c>
      <c r="J1898">
        <f t="shared" ca="1" si="217"/>
        <v>999</v>
      </c>
      <c r="K1898">
        <f t="shared" ca="1" si="218"/>
        <v>0</v>
      </c>
      <c r="L1898" t="str">
        <f t="shared" ca="1" si="219"/>
        <v>Overstock</v>
      </c>
      <c r="M1898">
        <f>IFERROR(VLOOKUP("47mg Clinical",Controls!A:I,7,0),6)</f>
        <v>6</v>
      </c>
      <c r="N1898">
        <f>IFERROR(VLOOKUP("47mg Clinical",Controls!A:I,8,0),3)</f>
        <v>4</v>
      </c>
      <c r="O1898">
        <f>IFERROR(VLOOKUP("47mg Clinical",Controls!A:I,9,0),18)</f>
        <v>12</v>
      </c>
      <c r="P1898">
        <f>IFERROR(VLOOKUP("47mg Clinical",Controls!A:J,5,0),0)</f>
        <v>1</v>
      </c>
      <c r="Q1898">
        <f>IFERROR(VLOOKUP("47mg Clinical",Controls!A:J,6,0),3)</f>
        <v>3</v>
      </c>
      <c r="R1898" t="str">
        <f>IFERROR(VLOOKUP("47mg Clinical",Controls!A:K,10,0),"")</f>
        <v>Fisher Clinical</v>
      </c>
      <c r="S1898">
        <f t="shared" si="220"/>
        <v>49096</v>
      </c>
      <c r="T1898">
        <f t="shared" si="221"/>
        <v>0</v>
      </c>
      <c r="AB1898">
        <f t="shared" si="215"/>
        <v>0</v>
      </c>
    </row>
    <row r="1899" spans="1:28" x14ac:dyDescent="0.35">
      <c r="A1899" s="201">
        <v>49218</v>
      </c>
      <c r="B1899" t="s">
        <v>923</v>
      </c>
      <c r="C1899" t="s">
        <v>28</v>
      </c>
      <c r="D1899" t="s">
        <v>29</v>
      </c>
      <c r="E1899">
        <f>H1898</f>
        <v>3500</v>
      </c>
      <c r="F1899">
        <f>IFERROR(SUMIFS('Demand Inputs'!$K$5:$K$202,'Demand Inputs'!$A$5:$A$202,"47mg Clinical",'Demand Inputs'!$B$5:$B$202,"&lt;&gt;AGGREGATE",'Demand Inputs'!$E$5:$E$202,1),0)</f>
        <v>0</v>
      </c>
      <c r="G1899">
        <f>IFERROR(SUMPRODUCT(('Production Inputs'!$A:$A="47mg Clinical")*('Production Inputs'!$B:$B="TOTAL ACTIVE")*'Production Inputs'!$DL:$DL),0)</f>
        <v>0</v>
      </c>
      <c r="H1899">
        <f t="shared" si="216"/>
        <v>3500</v>
      </c>
      <c r="I1899" s="30">
        <f ca="1">IFERROR(AVERAGEIF(OFFSET(F1899,0,0,MIN(Controls!$B$8,COUNTIF(B1899:B$1973,B1899)),1),"&gt;"&amp;0),0)</f>
        <v>0</v>
      </c>
      <c r="J1899">
        <f t="shared" ca="1" si="217"/>
        <v>999</v>
      </c>
      <c r="K1899">
        <f t="shared" ca="1" si="218"/>
        <v>0</v>
      </c>
      <c r="L1899" t="str">
        <f t="shared" ca="1" si="219"/>
        <v>Overstock</v>
      </c>
      <c r="M1899">
        <f>IFERROR(VLOOKUP("47mg Clinical",Controls!A:I,7,0),6)</f>
        <v>6</v>
      </c>
      <c r="N1899">
        <f>IFERROR(VLOOKUP("47mg Clinical",Controls!A:I,8,0),3)</f>
        <v>4</v>
      </c>
      <c r="O1899">
        <f>IFERROR(VLOOKUP("47mg Clinical",Controls!A:I,9,0),18)</f>
        <v>12</v>
      </c>
      <c r="P1899">
        <f>IFERROR(VLOOKUP("47mg Clinical",Controls!A:J,5,0),0)</f>
        <v>1</v>
      </c>
      <c r="Q1899">
        <f>IFERROR(VLOOKUP("47mg Clinical",Controls!A:J,6,0),3)</f>
        <v>3</v>
      </c>
      <c r="R1899" t="str">
        <f>IFERROR(VLOOKUP("47mg Clinical",Controls!A:K,10,0),"")</f>
        <v>Fisher Clinical</v>
      </c>
      <c r="S1899">
        <f t="shared" si="220"/>
        <v>49126</v>
      </c>
      <c r="T1899">
        <f t="shared" si="221"/>
        <v>0</v>
      </c>
      <c r="AB1899">
        <f t="shared" si="215"/>
        <v>0</v>
      </c>
    </row>
    <row r="1900" spans="1:28" x14ac:dyDescent="0.35">
      <c r="A1900" s="201">
        <v>49249</v>
      </c>
      <c r="B1900" t="s">
        <v>923</v>
      </c>
      <c r="C1900" t="s">
        <v>28</v>
      </c>
      <c r="D1900" t="s">
        <v>29</v>
      </c>
      <c r="E1900">
        <f>H1899</f>
        <v>3500</v>
      </c>
      <c r="F1900">
        <f>IFERROR(SUMIFS('Demand Inputs'!$K$5:$K$202,'Demand Inputs'!$A$5:$A$202,"47mg Clinical",'Demand Inputs'!$B$5:$B$202,"&lt;&gt;AGGREGATE",'Demand Inputs'!$E$5:$E$202,1),0)</f>
        <v>0</v>
      </c>
      <c r="G1900">
        <f>IFERROR(SUMPRODUCT(('Production Inputs'!$A:$A="47mg Clinical")*('Production Inputs'!$B:$B="TOTAL ACTIVE")*'Production Inputs'!$DM:$DM),0)</f>
        <v>0</v>
      </c>
      <c r="H1900">
        <f t="shared" si="216"/>
        <v>3500</v>
      </c>
      <c r="I1900" s="30">
        <f ca="1">IFERROR(AVERAGEIF(OFFSET(F1900,0,0,MIN(Controls!$B$8,COUNTIF(B1900:B$1973,B1900)),1),"&gt;"&amp;0),0)</f>
        <v>0</v>
      </c>
      <c r="J1900">
        <f t="shared" ca="1" si="217"/>
        <v>999</v>
      </c>
      <c r="K1900">
        <f t="shared" ca="1" si="218"/>
        <v>0</v>
      </c>
      <c r="L1900" t="str">
        <f t="shared" ca="1" si="219"/>
        <v>Overstock</v>
      </c>
      <c r="M1900">
        <f>IFERROR(VLOOKUP("47mg Clinical",Controls!A:I,7,0),6)</f>
        <v>6</v>
      </c>
      <c r="N1900">
        <f>IFERROR(VLOOKUP("47mg Clinical",Controls!A:I,8,0),3)</f>
        <v>4</v>
      </c>
      <c r="O1900">
        <f>IFERROR(VLOOKUP("47mg Clinical",Controls!A:I,9,0),18)</f>
        <v>12</v>
      </c>
      <c r="P1900">
        <f>IFERROR(VLOOKUP("47mg Clinical",Controls!A:J,5,0),0)</f>
        <v>1</v>
      </c>
      <c r="Q1900">
        <f>IFERROR(VLOOKUP("47mg Clinical",Controls!A:J,6,0),3)</f>
        <v>3</v>
      </c>
      <c r="R1900" t="str">
        <f>IFERROR(VLOOKUP("47mg Clinical",Controls!A:K,10,0),"")</f>
        <v>Fisher Clinical</v>
      </c>
      <c r="S1900">
        <f t="shared" si="220"/>
        <v>49157</v>
      </c>
      <c r="T1900">
        <f t="shared" si="221"/>
        <v>0</v>
      </c>
      <c r="AB1900">
        <f t="shared" si="215"/>
        <v>0</v>
      </c>
    </row>
    <row r="1901" spans="1:28" x14ac:dyDescent="0.35">
      <c r="A1901" s="201">
        <v>49279</v>
      </c>
      <c r="B1901" t="s">
        <v>923</v>
      </c>
      <c r="C1901" t="s">
        <v>28</v>
      </c>
      <c r="D1901" t="s">
        <v>29</v>
      </c>
      <c r="E1901">
        <f>H1900</f>
        <v>3500</v>
      </c>
      <c r="F1901">
        <f>IFERROR(SUMIFS('Demand Inputs'!$K$5:$K$202,'Demand Inputs'!$A$5:$A$202,"47mg Clinical",'Demand Inputs'!$B$5:$B$202,"&lt;&gt;AGGREGATE",'Demand Inputs'!$E$5:$E$202,1),0)</f>
        <v>0</v>
      </c>
      <c r="G1901">
        <f>IFERROR(SUMPRODUCT(('Production Inputs'!$A:$A="47mg Clinical")*('Production Inputs'!$B:$B="TOTAL ACTIVE")*'Production Inputs'!$DN:$DN),0)</f>
        <v>0</v>
      </c>
      <c r="H1901">
        <f t="shared" si="216"/>
        <v>3500</v>
      </c>
      <c r="I1901" s="30">
        <f ca="1">IFERROR(AVERAGEIF(OFFSET(F1901,0,0,MIN(Controls!$B$8,COUNTIF(B1901:B$1973,B1901)),1),"&gt;"&amp;0),0)</f>
        <v>0</v>
      </c>
      <c r="J1901">
        <f t="shared" ca="1" si="217"/>
        <v>999</v>
      </c>
      <c r="K1901">
        <f t="shared" ca="1" si="218"/>
        <v>0</v>
      </c>
      <c r="L1901" t="str">
        <f t="shared" ca="1" si="219"/>
        <v>Overstock</v>
      </c>
      <c r="M1901">
        <f>IFERROR(VLOOKUP("47mg Clinical",Controls!A:I,7,0),6)</f>
        <v>6</v>
      </c>
      <c r="N1901">
        <f>IFERROR(VLOOKUP("47mg Clinical",Controls!A:I,8,0),3)</f>
        <v>4</v>
      </c>
      <c r="O1901">
        <f>IFERROR(VLOOKUP("47mg Clinical",Controls!A:I,9,0),18)</f>
        <v>12</v>
      </c>
      <c r="P1901">
        <f>IFERROR(VLOOKUP("47mg Clinical",Controls!A:J,5,0),0)</f>
        <v>1</v>
      </c>
      <c r="Q1901">
        <f>IFERROR(VLOOKUP("47mg Clinical",Controls!A:J,6,0),3)</f>
        <v>3</v>
      </c>
      <c r="R1901" t="str">
        <f>IFERROR(VLOOKUP("47mg Clinical",Controls!A:K,10,0),"")</f>
        <v>Fisher Clinical</v>
      </c>
      <c r="S1901">
        <f t="shared" si="220"/>
        <v>49188</v>
      </c>
      <c r="T1901">
        <f t="shared" si="221"/>
        <v>0</v>
      </c>
      <c r="AB1901">
        <f t="shared" si="215"/>
        <v>0</v>
      </c>
    </row>
    <row r="1902" spans="1:28" x14ac:dyDescent="0.35">
      <c r="A1902" s="201">
        <v>49310</v>
      </c>
      <c r="B1902" t="s">
        <v>923</v>
      </c>
      <c r="C1902" t="s">
        <v>28</v>
      </c>
      <c r="D1902" t="s">
        <v>29</v>
      </c>
      <c r="E1902">
        <f>H1901</f>
        <v>3500</v>
      </c>
      <c r="F1902">
        <f>IFERROR(SUMIFS('Demand Inputs'!$K$5:$K$202,'Demand Inputs'!$A$5:$A$202,"47mg Clinical",'Demand Inputs'!$B$5:$B$202,"&lt;&gt;AGGREGATE",'Demand Inputs'!$E$5:$E$202,1),0)</f>
        <v>0</v>
      </c>
      <c r="G1902">
        <f>IFERROR(SUMPRODUCT(('Production Inputs'!$A:$A="47mg Clinical")*('Production Inputs'!$B:$B="TOTAL ACTIVE")*'Production Inputs'!$DO:$DO),0)</f>
        <v>0</v>
      </c>
      <c r="H1902">
        <f t="shared" si="216"/>
        <v>3500</v>
      </c>
      <c r="I1902" s="30">
        <f ca="1">IFERROR(AVERAGEIF(OFFSET(F1902,0,0,MIN(Controls!$B$8,COUNTIF(B1902:B$1973,B1902)),1),"&gt;"&amp;0),0)</f>
        <v>0</v>
      </c>
      <c r="J1902">
        <f t="shared" ca="1" si="217"/>
        <v>999</v>
      </c>
      <c r="K1902">
        <f t="shared" ca="1" si="218"/>
        <v>0</v>
      </c>
      <c r="L1902" t="str">
        <f t="shared" ca="1" si="219"/>
        <v>Overstock</v>
      </c>
      <c r="M1902">
        <f>IFERROR(VLOOKUP("47mg Clinical",Controls!A:I,7,0),6)</f>
        <v>6</v>
      </c>
      <c r="N1902">
        <f>IFERROR(VLOOKUP("47mg Clinical",Controls!A:I,8,0),3)</f>
        <v>4</v>
      </c>
      <c r="O1902">
        <f>IFERROR(VLOOKUP("47mg Clinical",Controls!A:I,9,0),18)</f>
        <v>12</v>
      </c>
      <c r="P1902">
        <f>IFERROR(VLOOKUP("47mg Clinical",Controls!A:J,5,0),0)</f>
        <v>1</v>
      </c>
      <c r="Q1902">
        <f>IFERROR(VLOOKUP("47mg Clinical",Controls!A:J,6,0),3)</f>
        <v>3</v>
      </c>
      <c r="R1902" t="str">
        <f>IFERROR(VLOOKUP("47mg Clinical",Controls!A:K,10,0),"")</f>
        <v>Fisher Clinical</v>
      </c>
      <c r="S1902">
        <f t="shared" si="220"/>
        <v>49218</v>
      </c>
      <c r="T1902">
        <f t="shared" si="221"/>
        <v>0</v>
      </c>
      <c r="AB1902">
        <f t="shared" si="215"/>
        <v>0</v>
      </c>
    </row>
    <row r="1903" spans="1:28" x14ac:dyDescent="0.35">
      <c r="A1903" s="201">
        <v>49341</v>
      </c>
      <c r="B1903" t="s">
        <v>923</v>
      </c>
      <c r="C1903" t="s">
        <v>28</v>
      </c>
      <c r="D1903" t="s">
        <v>29</v>
      </c>
      <c r="E1903">
        <f>H1902</f>
        <v>3500</v>
      </c>
      <c r="F1903">
        <f>IFERROR(SUMIFS('Demand Inputs'!$K$5:$K$202,'Demand Inputs'!$A$5:$A$202,"47mg Clinical",'Demand Inputs'!$B$5:$B$202,"&lt;&gt;AGGREGATE",'Demand Inputs'!$E$5:$E$202,1),0)</f>
        <v>0</v>
      </c>
      <c r="G1903">
        <f>IFERROR(SUMPRODUCT(('Production Inputs'!$A:$A="47mg Clinical")*('Production Inputs'!$B:$B="TOTAL ACTIVE")*'Production Inputs'!$DP:$DP),0)</f>
        <v>0</v>
      </c>
      <c r="H1903">
        <f t="shared" si="216"/>
        <v>3500</v>
      </c>
      <c r="I1903" s="30">
        <f ca="1">IFERROR(AVERAGEIF(OFFSET(F1903,0,0,MIN(Controls!$B$8,COUNTIF(B1903:B$1973,B1903)),1),"&gt;"&amp;0),0)</f>
        <v>0</v>
      </c>
      <c r="J1903">
        <f t="shared" ca="1" si="217"/>
        <v>999</v>
      </c>
      <c r="K1903">
        <f t="shared" ca="1" si="218"/>
        <v>0</v>
      </c>
      <c r="L1903" t="str">
        <f t="shared" ca="1" si="219"/>
        <v>Overstock</v>
      </c>
      <c r="M1903">
        <f>IFERROR(VLOOKUP("47mg Clinical",Controls!A:I,7,0),6)</f>
        <v>6</v>
      </c>
      <c r="N1903">
        <f>IFERROR(VLOOKUP("47mg Clinical",Controls!A:I,8,0),3)</f>
        <v>4</v>
      </c>
      <c r="O1903">
        <f>IFERROR(VLOOKUP("47mg Clinical",Controls!A:I,9,0),18)</f>
        <v>12</v>
      </c>
      <c r="P1903">
        <f>IFERROR(VLOOKUP("47mg Clinical",Controls!A:J,5,0),0)</f>
        <v>1</v>
      </c>
      <c r="Q1903">
        <f>IFERROR(VLOOKUP("47mg Clinical",Controls!A:J,6,0),3)</f>
        <v>3</v>
      </c>
      <c r="R1903" t="str">
        <f>IFERROR(VLOOKUP("47mg Clinical",Controls!A:K,10,0),"")</f>
        <v>Fisher Clinical</v>
      </c>
      <c r="S1903">
        <f t="shared" si="220"/>
        <v>49249</v>
      </c>
      <c r="T1903">
        <f t="shared" si="221"/>
        <v>0</v>
      </c>
      <c r="AB1903">
        <f t="shared" si="215"/>
        <v>0</v>
      </c>
    </row>
    <row r="1904" spans="1:28" x14ac:dyDescent="0.35">
      <c r="A1904" s="201">
        <v>49369</v>
      </c>
      <c r="B1904" t="s">
        <v>923</v>
      </c>
      <c r="C1904" t="s">
        <v>28</v>
      </c>
      <c r="D1904" t="s">
        <v>29</v>
      </c>
      <c r="E1904">
        <f>H1903</f>
        <v>3500</v>
      </c>
      <c r="F1904">
        <f>IFERROR(SUMIFS('Demand Inputs'!$K$5:$K$202,'Demand Inputs'!$A$5:$A$202,"47mg Clinical",'Demand Inputs'!$B$5:$B$202,"&lt;&gt;AGGREGATE",'Demand Inputs'!$E$5:$E$202,1),0)</f>
        <v>0</v>
      </c>
      <c r="G1904">
        <f>IFERROR(SUMPRODUCT(('Production Inputs'!$A:$A="47mg Clinical")*('Production Inputs'!$B:$B="TOTAL ACTIVE")*'Production Inputs'!$DQ:$DQ),0)</f>
        <v>0</v>
      </c>
      <c r="H1904">
        <f t="shared" si="216"/>
        <v>3500</v>
      </c>
      <c r="I1904" s="30">
        <f ca="1">IFERROR(AVERAGEIF(OFFSET(F1904,0,0,MIN(Controls!$B$8,COUNTIF(B1904:B$1973,B1904)),1),"&gt;"&amp;0),0)</f>
        <v>0</v>
      </c>
      <c r="J1904">
        <f t="shared" ca="1" si="217"/>
        <v>999</v>
      </c>
      <c r="K1904">
        <f t="shared" ca="1" si="218"/>
        <v>0</v>
      </c>
      <c r="L1904" t="str">
        <f t="shared" ca="1" si="219"/>
        <v>Overstock</v>
      </c>
      <c r="M1904">
        <f>IFERROR(VLOOKUP("47mg Clinical",Controls!A:I,7,0),6)</f>
        <v>6</v>
      </c>
      <c r="N1904">
        <f>IFERROR(VLOOKUP("47mg Clinical",Controls!A:I,8,0),3)</f>
        <v>4</v>
      </c>
      <c r="O1904">
        <f>IFERROR(VLOOKUP("47mg Clinical",Controls!A:I,9,0),18)</f>
        <v>12</v>
      </c>
      <c r="P1904">
        <f>IFERROR(VLOOKUP("47mg Clinical",Controls!A:J,5,0),0)</f>
        <v>1</v>
      </c>
      <c r="Q1904">
        <f>IFERROR(VLOOKUP("47mg Clinical",Controls!A:J,6,0),3)</f>
        <v>3</v>
      </c>
      <c r="R1904" t="str">
        <f>IFERROR(VLOOKUP("47mg Clinical",Controls!A:K,10,0),"")</f>
        <v>Fisher Clinical</v>
      </c>
      <c r="S1904">
        <f t="shared" si="220"/>
        <v>49279</v>
      </c>
      <c r="T1904">
        <f t="shared" si="221"/>
        <v>0</v>
      </c>
      <c r="AB1904">
        <f t="shared" si="215"/>
        <v>0</v>
      </c>
    </row>
    <row r="1905" spans="1:28" x14ac:dyDescent="0.35">
      <c r="A1905" s="201">
        <v>49400</v>
      </c>
      <c r="B1905" t="s">
        <v>923</v>
      </c>
      <c r="C1905" t="s">
        <v>28</v>
      </c>
      <c r="D1905" t="s">
        <v>29</v>
      </c>
      <c r="E1905">
        <f>H1904</f>
        <v>3500</v>
      </c>
      <c r="F1905">
        <f>IFERROR(SUMIFS('Demand Inputs'!$K$5:$K$202,'Demand Inputs'!$A$5:$A$202,"47mg Clinical",'Demand Inputs'!$B$5:$B$202,"&lt;&gt;AGGREGATE",'Demand Inputs'!$E$5:$E$202,1),0)</f>
        <v>0</v>
      </c>
      <c r="G1905">
        <f>IFERROR(SUMPRODUCT(('Production Inputs'!$A:$A="47mg Clinical")*('Production Inputs'!$B:$B="TOTAL ACTIVE")*'Production Inputs'!$DR:$DR),0)</f>
        <v>0</v>
      </c>
      <c r="H1905">
        <f t="shared" si="216"/>
        <v>3500</v>
      </c>
      <c r="I1905" s="30">
        <f ca="1">IFERROR(AVERAGEIF(OFFSET(F1905,0,0,MIN(Controls!$B$8,COUNTIF(B1905:B$1973,B1905)),1),"&gt;"&amp;0),0)</f>
        <v>0</v>
      </c>
      <c r="J1905">
        <f t="shared" ca="1" si="217"/>
        <v>999</v>
      </c>
      <c r="K1905">
        <f t="shared" ca="1" si="218"/>
        <v>0</v>
      </c>
      <c r="L1905" t="str">
        <f t="shared" ca="1" si="219"/>
        <v>Overstock</v>
      </c>
      <c r="M1905">
        <f>IFERROR(VLOOKUP("47mg Clinical",Controls!A:I,7,0),6)</f>
        <v>6</v>
      </c>
      <c r="N1905">
        <f>IFERROR(VLOOKUP("47mg Clinical",Controls!A:I,8,0),3)</f>
        <v>4</v>
      </c>
      <c r="O1905">
        <f>IFERROR(VLOOKUP("47mg Clinical",Controls!A:I,9,0),18)</f>
        <v>12</v>
      </c>
      <c r="P1905">
        <f>IFERROR(VLOOKUP("47mg Clinical",Controls!A:J,5,0),0)</f>
        <v>1</v>
      </c>
      <c r="Q1905">
        <f>IFERROR(VLOOKUP("47mg Clinical",Controls!A:J,6,0),3)</f>
        <v>3</v>
      </c>
      <c r="R1905" t="str">
        <f>IFERROR(VLOOKUP("47mg Clinical",Controls!A:K,10,0),"")</f>
        <v>Fisher Clinical</v>
      </c>
      <c r="S1905">
        <f t="shared" si="220"/>
        <v>49310</v>
      </c>
      <c r="T1905">
        <f t="shared" si="221"/>
        <v>0</v>
      </c>
      <c r="AB1905">
        <f t="shared" si="215"/>
        <v>0</v>
      </c>
    </row>
    <row r="1906" spans="1:28" x14ac:dyDescent="0.35">
      <c r="A1906" s="201">
        <v>49430</v>
      </c>
      <c r="B1906" t="s">
        <v>923</v>
      </c>
      <c r="C1906" t="s">
        <v>28</v>
      </c>
      <c r="D1906" t="s">
        <v>29</v>
      </c>
      <c r="E1906">
        <f>H1905</f>
        <v>3500</v>
      </c>
      <c r="F1906">
        <f>IFERROR(SUMIFS('Demand Inputs'!$K$5:$K$202,'Demand Inputs'!$A$5:$A$202,"47mg Clinical",'Demand Inputs'!$B$5:$B$202,"&lt;&gt;AGGREGATE",'Demand Inputs'!$E$5:$E$202,1),0)</f>
        <v>0</v>
      </c>
      <c r="G1906">
        <f>IFERROR(SUMPRODUCT(('Production Inputs'!$A:$A="47mg Clinical")*('Production Inputs'!$B:$B="TOTAL ACTIVE")*'Production Inputs'!$DS:$DS),0)</f>
        <v>0</v>
      </c>
      <c r="H1906">
        <f t="shared" si="216"/>
        <v>3500</v>
      </c>
      <c r="I1906" s="30">
        <f ca="1">IFERROR(AVERAGEIF(OFFSET(F1906,0,0,MIN(Controls!$B$8,COUNTIF(B1906:B$1973,B1906)),1),"&gt;"&amp;0),0)</f>
        <v>0</v>
      </c>
      <c r="J1906">
        <f t="shared" ca="1" si="217"/>
        <v>999</v>
      </c>
      <c r="K1906">
        <f t="shared" ca="1" si="218"/>
        <v>0</v>
      </c>
      <c r="L1906" t="str">
        <f t="shared" ca="1" si="219"/>
        <v>Overstock</v>
      </c>
      <c r="M1906">
        <f>IFERROR(VLOOKUP("47mg Clinical",Controls!A:I,7,0),6)</f>
        <v>6</v>
      </c>
      <c r="N1906">
        <f>IFERROR(VLOOKUP("47mg Clinical",Controls!A:I,8,0),3)</f>
        <v>4</v>
      </c>
      <c r="O1906">
        <f>IFERROR(VLOOKUP("47mg Clinical",Controls!A:I,9,0),18)</f>
        <v>12</v>
      </c>
      <c r="P1906">
        <f>IFERROR(VLOOKUP("47mg Clinical",Controls!A:J,5,0),0)</f>
        <v>1</v>
      </c>
      <c r="Q1906">
        <f>IFERROR(VLOOKUP("47mg Clinical",Controls!A:J,6,0),3)</f>
        <v>3</v>
      </c>
      <c r="R1906" t="str">
        <f>IFERROR(VLOOKUP("47mg Clinical",Controls!A:K,10,0),"")</f>
        <v>Fisher Clinical</v>
      </c>
      <c r="S1906">
        <f t="shared" si="220"/>
        <v>49341</v>
      </c>
      <c r="T1906">
        <f t="shared" si="221"/>
        <v>0</v>
      </c>
      <c r="AB1906">
        <f t="shared" si="215"/>
        <v>0</v>
      </c>
    </row>
    <row r="1907" spans="1:28" x14ac:dyDescent="0.35">
      <c r="A1907" s="201">
        <v>49461</v>
      </c>
      <c r="B1907" t="s">
        <v>923</v>
      </c>
      <c r="C1907" t="s">
        <v>28</v>
      </c>
      <c r="D1907" t="s">
        <v>29</v>
      </c>
      <c r="E1907">
        <f>H1906</f>
        <v>3500</v>
      </c>
      <c r="F1907">
        <f>IFERROR(SUMIFS('Demand Inputs'!$K$5:$K$202,'Demand Inputs'!$A$5:$A$202,"47mg Clinical",'Demand Inputs'!$B$5:$B$202,"&lt;&gt;AGGREGATE",'Demand Inputs'!$E$5:$E$202,1),0)</f>
        <v>0</v>
      </c>
      <c r="G1907">
        <f>IFERROR(SUMPRODUCT(('Production Inputs'!$A:$A="47mg Clinical")*('Production Inputs'!$B:$B="TOTAL ACTIVE")*'Production Inputs'!$DT:$DT),0)</f>
        <v>0</v>
      </c>
      <c r="H1907">
        <f t="shared" si="216"/>
        <v>3500</v>
      </c>
      <c r="I1907" s="30">
        <f ca="1">IFERROR(AVERAGEIF(OFFSET(F1907,0,0,MIN(Controls!$B$8,COUNTIF(B1907:B$1973,B1907)),1),"&gt;"&amp;0),0)</f>
        <v>0</v>
      </c>
      <c r="J1907">
        <f t="shared" ca="1" si="217"/>
        <v>999</v>
      </c>
      <c r="K1907">
        <f t="shared" ca="1" si="218"/>
        <v>0</v>
      </c>
      <c r="L1907" t="str">
        <f t="shared" ca="1" si="219"/>
        <v>Overstock</v>
      </c>
      <c r="M1907">
        <f>IFERROR(VLOOKUP("47mg Clinical",Controls!A:I,7,0),6)</f>
        <v>6</v>
      </c>
      <c r="N1907">
        <f>IFERROR(VLOOKUP("47mg Clinical",Controls!A:I,8,0),3)</f>
        <v>4</v>
      </c>
      <c r="O1907">
        <f>IFERROR(VLOOKUP("47mg Clinical",Controls!A:I,9,0),18)</f>
        <v>12</v>
      </c>
      <c r="P1907">
        <f>IFERROR(VLOOKUP("47mg Clinical",Controls!A:J,5,0),0)</f>
        <v>1</v>
      </c>
      <c r="Q1907">
        <f>IFERROR(VLOOKUP("47mg Clinical",Controls!A:J,6,0),3)</f>
        <v>3</v>
      </c>
      <c r="R1907" t="str">
        <f>IFERROR(VLOOKUP("47mg Clinical",Controls!A:K,10,0),"")</f>
        <v>Fisher Clinical</v>
      </c>
      <c r="S1907">
        <f t="shared" si="220"/>
        <v>49369</v>
      </c>
      <c r="T1907">
        <f t="shared" si="221"/>
        <v>0</v>
      </c>
      <c r="AB1907">
        <f t="shared" si="215"/>
        <v>0</v>
      </c>
    </row>
    <row r="1908" spans="1:28" x14ac:dyDescent="0.35">
      <c r="A1908" s="201">
        <v>49491</v>
      </c>
      <c r="B1908" t="s">
        <v>923</v>
      </c>
      <c r="C1908" t="s">
        <v>28</v>
      </c>
      <c r="D1908" t="s">
        <v>29</v>
      </c>
      <c r="E1908">
        <f>H1907</f>
        <v>3500</v>
      </c>
      <c r="F1908">
        <f>IFERROR(SUMIFS('Demand Inputs'!$K$5:$K$202,'Demand Inputs'!$A$5:$A$202,"47mg Clinical",'Demand Inputs'!$B$5:$B$202,"&lt;&gt;AGGREGATE",'Demand Inputs'!$E$5:$E$202,1),0)</f>
        <v>0</v>
      </c>
      <c r="G1908">
        <f>IFERROR(SUMPRODUCT(('Production Inputs'!$A:$A="47mg Clinical")*('Production Inputs'!$B:$B="TOTAL ACTIVE")*'Production Inputs'!$DU:$DU),0)</f>
        <v>0</v>
      </c>
      <c r="H1908">
        <f t="shared" si="216"/>
        <v>3500</v>
      </c>
      <c r="I1908" s="30">
        <f ca="1">IFERROR(AVERAGEIF(OFFSET(F1908,0,0,MIN(Controls!$B$8,COUNTIF(B1908:B$1973,B1908)),1),"&gt;"&amp;0),0)</f>
        <v>0</v>
      </c>
      <c r="J1908">
        <f t="shared" ca="1" si="217"/>
        <v>999</v>
      </c>
      <c r="K1908">
        <f t="shared" ca="1" si="218"/>
        <v>0</v>
      </c>
      <c r="L1908" t="str">
        <f t="shared" ca="1" si="219"/>
        <v>Overstock</v>
      </c>
      <c r="M1908">
        <f>IFERROR(VLOOKUP("47mg Clinical",Controls!A:I,7,0),6)</f>
        <v>6</v>
      </c>
      <c r="N1908">
        <f>IFERROR(VLOOKUP("47mg Clinical",Controls!A:I,8,0),3)</f>
        <v>4</v>
      </c>
      <c r="O1908">
        <f>IFERROR(VLOOKUP("47mg Clinical",Controls!A:I,9,0),18)</f>
        <v>12</v>
      </c>
      <c r="P1908">
        <f>IFERROR(VLOOKUP("47mg Clinical",Controls!A:J,5,0),0)</f>
        <v>1</v>
      </c>
      <c r="Q1908">
        <f>IFERROR(VLOOKUP("47mg Clinical",Controls!A:J,6,0),3)</f>
        <v>3</v>
      </c>
      <c r="R1908" t="str">
        <f>IFERROR(VLOOKUP("47mg Clinical",Controls!A:K,10,0),"")</f>
        <v>Fisher Clinical</v>
      </c>
      <c r="S1908">
        <f t="shared" si="220"/>
        <v>49400</v>
      </c>
      <c r="T1908">
        <f t="shared" si="221"/>
        <v>0</v>
      </c>
      <c r="AB1908">
        <f t="shared" si="215"/>
        <v>0</v>
      </c>
    </row>
    <row r="1909" spans="1:28" x14ac:dyDescent="0.35">
      <c r="A1909" s="201">
        <v>49522</v>
      </c>
      <c r="B1909" t="s">
        <v>923</v>
      </c>
      <c r="C1909" t="s">
        <v>28</v>
      </c>
      <c r="D1909" t="s">
        <v>29</v>
      </c>
      <c r="E1909">
        <f>H1908</f>
        <v>3500</v>
      </c>
      <c r="F1909">
        <f>IFERROR(SUMIFS('Demand Inputs'!$K$5:$K$202,'Demand Inputs'!$A$5:$A$202,"47mg Clinical",'Demand Inputs'!$B$5:$B$202,"&lt;&gt;AGGREGATE",'Demand Inputs'!$E$5:$E$202,1),0)</f>
        <v>0</v>
      </c>
      <c r="G1909">
        <f>IFERROR(SUMPRODUCT(('Production Inputs'!$A:$A="47mg Clinical")*('Production Inputs'!$B:$B="TOTAL ACTIVE")*'Production Inputs'!$DV:$DV),0)</f>
        <v>0</v>
      </c>
      <c r="H1909">
        <f t="shared" si="216"/>
        <v>3500</v>
      </c>
      <c r="I1909" s="30">
        <f ca="1">IFERROR(AVERAGEIF(OFFSET(F1909,0,0,MIN(Controls!$B$8,COUNTIF(B1909:B$1973,B1909)),1),"&gt;"&amp;0),0)</f>
        <v>0</v>
      </c>
      <c r="J1909">
        <f t="shared" ca="1" si="217"/>
        <v>999</v>
      </c>
      <c r="K1909">
        <f t="shared" ca="1" si="218"/>
        <v>0</v>
      </c>
      <c r="L1909" t="str">
        <f t="shared" ca="1" si="219"/>
        <v>Overstock</v>
      </c>
      <c r="M1909">
        <f>IFERROR(VLOOKUP("47mg Clinical",Controls!A:I,7,0),6)</f>
        <v>6</v>
      </c>
      <c r="N1909">
        <f>IFERROR(VLOOKUP("47mg Clinical",Controls!A:I,8,0),3)</f>
        <v>4</v>
      </c>
      <c r="O1909">
        <f>IFERROR(VLOOKUP("47mg Clinical",Controls!A:I,9,0),18)</f>
        <v>12</v>
      </c>
      <c r="P1909">
        <f>IFERROR(VLOOKUP("47mg Clinical",Controls!A:J,5,0),0)</f>
        <v>1</v>
      </c>
      <c r="Q1909">
        <f>IFERROR(VLOOKUP("47mg Clinical",Controls!A:J,6,0),3)</f>
        <v>3</v>
      </c>
      <c r="R1909" t="str">
        <f>IFERROR(VLOOKUP("47mg Clinical",Controls!A:K,10,0),"")</f>
        <v>Fisher Clinical</v>
      </c>
      <c r="S1909">
        <f t="shared" si="220"/>
        <v>49430</v>
      </c>
      <c r="T1909">
        <f t="shared" si="221"/>
        <v>0</v>
      </c>
      <c r="AB1909">
        <f t="shared" si="215"/>
        <v>0</v>
      </c>
    </row>
    <row r="1910" spans="1:28" x14ac:dyDescent="0.35">
      <c r="A1910" s="201">
        <v>49553</v>
      </c>
      <c r="B1910" t="s">
        <v>923</v>
      </c>
      <c r="C1910" t="s">
        <v>28</v>
      </c>
      <c r="D1910" t="s">
        <v>29</v>
      </c>
      <c r="E1910">
        <f>H1909</f>
        <v>3500</v>
      </c>
      <c r="F1910">
        <f>IFERROR(SUMIFS('Demand Inputs'!$K$5:$K$202,'Demand Inputs'!$A$5:$A$202,"47mg Clinical",'Demand Inputs'!$B$5:$B$202,"&lt;&gt;AGGREGATE",'Demand Inputs'!$E$5:$E$202,1),0)</f>
        <v>0</v>
      </c>
      <c r="G1910">
        <f>IFERROR(SUMPRODUCT(('Production Inputs'!$A:$A="47mg Clinical")*('Production Inputs'!$B:$B="TOTAL ACTIVE")*'Production Inputs'!$DW:$DW),0)</f>
        <v>0</v>
      </c>
      <c r="H1910">
        <f t="shared" si="216"/>
        <v>3500</v>
      </c>
      <c r="I1910" s="30">
        <f ca="1">IFERROR(AVERAGEIF(OFFSET(F1910,0,0,MIN(Controls!$B$8,COUNTIF(B1910:B$1973,B1910)),1),"&gt;"&amp;0),0)</f>
        <v>0</v>
      </c>
      <c r="J1910">
        <f t="shared" ca="1" si="217"/>
        <v>999</v>
      </c>
      <c r="K1910">
        <f t="shared" ca="1" si="218"/>
        <v>0</v>
      </c>
      <c r="L1910" t="str">
        <f t="shared" ca="1" si="219"/>
        <v>Overstock</v>
      </c>
      <c r="M1910">
        <f>IFERROR(VLOOKUP("47mg Clinical",Controls!A:I,7,0),6)</f>
        <v>6</v>
      </c>
      <c r="N1910">
        <f>IFERROR(VLOOKUP("47mg Clinical",Controls!A:I,8,0),3)</f>
        <v>4</v>
      </c>
      <c r="O1910">
        <f>IFERROR(VLOOKUP("47mg Clinical",Controls!A:I,9,0),18)</f>
        <v>12</v>
      </c>
      <c r="P1910">
        <f>IFERROR(VLOOKUP("47mg Clinical",Controls!A:J,5,0),0)</f>
        <v>1</v>
      </c>
      <c r="Q1910">
        <f>IFERROR(VLOOKUP("47mg Clinical",Controls!A:J,6,0),3)</f>
        <v>3</v>
      </c>
      <c r="R1910" t="str">
        <f>IFERROR(VLOOKUP("47mg Clinical",Controls!A:K,10,0),"")</f>
        <v>Fisher Clinical</v>
      </c>
      <c r="S1910">
        <f t="shared" si="220"/>
        <v>49461</v>
      </c>
      <c r="T1910">
        <f t="shared" si="221"/>
        <v>0</v>
      </c>
      <c r="AB1910">
        <f t="shared" si="215"/>
        <v>0</v>
      </c>
    </row>
    <row r="1911" spans="1:28" x14ac:dyDescent="0.35">
      <c r="A1911" s="201">
        <v>49583</v>
      </c>
      <c r="B1911" t="s">
        <v>923</v>
      </c>
      <c r="C1911" t="s">
        <v>28</v>
      </c>
      <c r="D1911" t="s">
        <v>29</v>
      </c>
      <c r="E1911">
        <f>H1910</f>
        <v>3500</v>
      </c>
      <c r="F1911">
        <f>IFERROR(SUMIFS('Demand Inputs'!$K$5:$K$202,'Demand Inputs'!$A$5:$A$202,"47mg Clinical",'Demand Inputs'!$B$5:$B$202,"&lt;&gt;AGGREGATE",'Demand Inputs'!$E$5:$E$202,1),0)</f>
        <v>0</v>
      </c>
      <c r="G1911">
        <f>IFERROR(SUMPRODUCT(('Production Inputs'!$A:$A="47mg Clinical")*('Production Inputs'!$B:$B="TOTAL ACTIVE")*'Production Inputs'!$DX:$DX),0)</f>
        <v>0</v>
      </c>
      <c r="H1911">
        <f t="shared" si="216"/>
        <v>3500</v>
      </c>
      <c r="I1911" s="30">
        <f ca="1">IFERROR(AVERAGEIF(OFFSET(F1911,0,0,MIN(Controls!$B$8,COUNTIF(B1911:B$1973,B1911)),1),"&gt;"&amp;0),0)</f>
        <v>0</v>
      </c>
      <c r="J1911">
        <f t="shared" ca="1" si="217"/>
        <v>999</v>
      </c>
      <c r="K1911">
        <f t="shared" ca="1" si="218"/>
        <v>0</v>
      </c>
      <c r="L1911" t="str">
        <f t="shared" ca="1" si="219"/>
        <v>Overstock</v>
      </c>
      <c r="M1911">
        <f>IFERROR(VLOOKUP("47mg Clinical",Controls!A:I,7,0),6)</f>
        <v>6</v>
      </c>
      <c r="N1911">
        <f>IFERROR(VLOOKUP("47mg Clinical",Controls!A:I,8,0),3)</f>
        <v>4</v>
      </c>
      <c r="O1911">
        <f>IFERROR(VLOOKUP("47mg Clinical",Controls!A:I,9,0),18)</f>
        <v>12</v>
      </c>
      <c r="P1911">
        <f>IFERROR(VLOOKUP("47mg Clinical",Controls!A:J,5,0),0)</f>
        <v>1</v>
      </c>
      <c r="Q1911">
        <f>IFERROR(VLOOKUP("47mg Clinical",Controls!A:J,6,0),3)</f>
        <v>3</v>
      </c>
      <c r="R1911" t="str">
        <f>IFERROR(VLOOKUP("47mg Clinical",Controls!A:K,10,0),"")</f>
        <v>Fisher Clinical</v>
      </c>
      <c r="S1911">
        <f t="shared" si="220"/>
        <v>49491</v>
      </c>
      <c r="T1911">
        <f t="shared" si="221"/>
        <v>0</v>
      </c>
      <c r="AB1911">
        <f t="shared" si="215"/>
        <v>0</v>
      </c>
    </row>
    <row r="1912" spans="1:28" x14ac:dyDescent="0.35">
      <c r="A1912" s="201">
        <v>49614</v>
      </c>
      <c r="B1912" t="s">
        <v>923</v>
      </c>
      <c r="C1912" t="s">
        <v>28</v>
      </c>
      <c r="D1912" t="s">
        <v>29</v>
      </c>
      <c r="E1912">
        <f>H1911</f>
        <v>3500</v>
      </c>
      <c r="F1912">
        <f>IFERROR(SUMIFS('Demand Inputs'!$K$5:$K$202,'Demand Inputs'!$A$5:$A$202,"47mg Clinical",'Demand Inputs'!$B$5:$B$202,"&lt;&gt;AGGREGATE",'Demand Inputs'!$E$5:$E$202,1),0)</f>
        <v>0</v>
      </c>
      <c r="G1912">
        <f>IFERROR(SUMPRODUCT(('Production Inputs'!$A:$A="47mg Clinical")*('Production Inputs'!$B:$B="TOTAL ACTIVE")*'Production Inputs'!$DY:$DY),0)</f>
        <v>0</v>
      </c>
      <c r="H1912">
        <f t="shared" si="216"/>
        <v>3500</v>
      </c>
      <c r="I1912" s="30">
        <f ca="1">IFERROR(AVERAGEIF(OFFSET(F1912,0,0,MIN(Controls!$B$8,COUNTIF(B1912:B$1973,B1912)),1),"&gt;"&amp;0),0)</f>
        <v>0</v>
      </c>
      <c r="J1912">
        <f t="shared" ca="1" si="217"/>
        <v>999</v>
      </c>
      <c r="K1912">
        <f t="shared" ca="1" si="218"/>
        <v>0</v>
      </c>
      <c r="L1912" t="str">
        <f t="shared" ca="1" si="219"/>
        <v>Overstock</v>
      </c>
      <c r="M1912">
        <f>IFERROR(VLOOKUP("47mg Clinical",Controls!A:I,7,0),6)</f>
        <v>6</v>
      </c>
      <c r="N1912">
        <f>IFERROR(VLOOKUP("47mg Clinical",Controls!A:I,8,0),3)</f>
        <v>4</v>
      </c>
      <c r="O1912">
        <f>IFERROR(VLOOKUP("47mg Clinical",Controls!A:I,9,0),18)</f>
        <v>12</v>
      </c>
      <c r="P1912">
        <f>IFERROR(VLOOKUP("47mg Clinical",Controls!A:J,5,0),0)</f>
        <v>1</v>
      </c>
      <c r="Q1912">
        <f>IFERROR(VLOOKUP("47mg Clinical",Controls!A:J,6,0),3)</f>
        <v>3</v>
      </c>
      <c r="R1912" t="str">
        <f>IFERROR(VLOOKUP("47mg Clinical",Controls!A:K,10,0),"")</f>
        <v>Fisher Clinical</v>
      </c>
      <c r="S1912">
        <f t="shared" si="220"/>
        <v>49522</v>
      </c>
      <c r="T1912">
        <f t="shared" si="221"/>
        <v>0</v>
      </c>
      <c r="AB1912">
        <f t="shared" si="215"/>
        <v>0</v>
      </c>
    </row>
    <row r="1913" spans="1:28" x14ac:dyDescent="0.35">
      <c r="A1913" s="201">
        <v>49644</v>
      </c>
      <c r="B1913" t="s">
        <v>923</v>
      </c>
      <c r="C1913" t="s">
        <v>28</v>
      </c>
      <c r="D1913" t="s">
        <v>29</v>
      </c>
      <c r="E1913">
        <f>H1912</f>
        <v>3500</v>
      </c>
      <c r="F1913">
        <f>IFERROR(SUMIFS('Demand Inputs'!$K$5:$K$202,'Demand Inputs'!$A$5:$A$202,"47mg Clinical",'Demand Inputs'!$B$5:$B$202,"&lt;&gt;AGGREGATE",'Demand Inputs'!$E$5:$E$202,1),0)</f>
        <v>0</v>
      </c>
      <c r="G1913">
        <f>IFERROR(SUMPRODUCT(('Production Inputs'!$A:$A="47mg Clinical")*('Production Inputs'!$B:$B="TOTAL ACTIVE")*'Production Inputs'!$DZ:$DZ),0)</f>
        <v>0</v>
      </c>
      <c r="H1913">
        <f t="shared" si="216"/>
        <v>3500</v>
      </c>
      <c r="I1913" s="30">
        <f ca="1">IFERROR(AVERAGEIF(OFFSET(F1913,0,0,MIN(Controls!$B$8,COUNTIF(B1913:B$1973,B1913)),1),"&gt;"&amp;0),0)</f>
        <v>0</v>
      </c>
      <c r="J1913">
        <f t="shared" ca="1" si="217"/>
        <v>999</v>
      </c>
      <c r="K1913">
        <f t="shared" ca="1" si="218"/>
        <v>0</v>
      </c>
      <c r="L1913" t="str">
        <f t="shared" ca="1" si="219"/>
        <v>Overstock</v>
      </c>
      <c r="M1913">
        <f>IFERROR(VLOOKUP("47mg Clinical",Controls!A:I,7,0),6)</f>
        <v>6</v>
      </c>
      <c r="N1913">
        <f>IFERROR(VLOOKUP("47mg Clinical",Controls!A:I,8,0),3)</f>
        <v>4</v>
      </c>
      <c r="O1913">
        <f>IFERROR(VLOOKUP("47mg Clinical",Controls!A:I,9,0),18)</f>
        <v>12</v>
      </c>
      <c r="P1913">
        <f>IFERROR(VLOOKUP("47mg Clinical",Controls!A:J,5,0),0)</f>
        <v>1</v>
      </c>
      <c r="Q1913">
        <f>IFERROR(VLOOKUP("47mg Clinical",Controls!A:J,6,0),3)</f>
        <v>3</v>
      </c>
      <c r="R1913" t="str">
        <f>IFERROR(VLOOKUP("47mg Clinical",Controls!A:K,10,0),"")</f>
        <v>Fisher Clinical</v>
      </c>
      <c r="S1913">
        <f t="shared" si="220"/>
        <v>49553</v>
      </c>
      <c r="T1913">
        <f t="shared" si="221"/>
        <v>0</v>
      </c>
      <c r="AB1913">
        <f t="shared" si="215"/>
        <v>0</v>
      </c>
    </row>
    <row r="1914" spans="1:28" x14ac:dyDescent="0.35">
      <c r="A1914" s="201">
        <v>49675</v>
      </c>
      <c r="B1914" t="s">
        <v>923</v>
      </c>
      <c r="C1914" t="s">
        <v>28</v>
      </c>
      <c r="D1914" t="s">
        <v>29</v>
      </c>
      <c r="E1914">
        <f>H1913</f>
        <v>3500</v>
      </c>
      <c r="F1914">
        <f>IFERROR(SUMIFS('Demand Inputs'!$K$5:$K$202,'Demand Inputs'!$A$5:$A$202,"47mg Clinical",'Demand Inputs'!$B$5:$B$202,"&lt;&gt;AGGREGATE",'Demand Inputs'!$E$5:$E$202,1),0)</f>
        <v>0</v>
      </c>
      <c r="G1914">
        <f>IFERROR(SUMPRODUCT(('Production Inputs'!$A:$A="47mg Clinical")*('Production Inputs'!$B:$B="TOTAL ACTIVE")*'Production Inputs'!$EA:$EA),0)</f>
        <v>0</v>
      </c>
      <c r="H1914">
        <f t="shared" si="216"/>
        <v>3500</v>
      </c>
      <c r="I1914" s="30">
        <f ca="1">IFERROR(AVERAGEIF(OFFSET(F1914,0,0,MIN(Controls!$B$8,COUNTIF(B1914:B$1973,B1914)),1),"&gt;"&amp;0),0)</f>
        <v>0</v>
      </c>
      <c r="J1914">
        <f t="shared" ca="1" si="217"/>
        <v>999</v>
      </c>
      <c r="K1914">
        <f t="shared" ca="1" si="218"/>
        <v>0</v>
      </c>
      <c r="L1914" t="str">
        <f t="shared" ca="1" si="219"/>
        <v>Overstock</v>
      </c>
      <c r="M1914">
        <f>IFERROR(VLOOKUP("47mg Clinical",Controls!A:I,7,0),6)</f>
        <v>6</v>
      </c>
      <c r="N1914">
        <f>IFERROR(VLOOKUP("47mg Clinical",Controls!A:I,8,0),3)</f>
        <v>4</v>
      </c>
      <c r="O1914">
        <f>IFERROR(VLOOKUP("47mg Clinical",Controls!A:I,9,0),18)</f>
        <v>12</v>
      </c>
      <c r="P1914">
        <f>IFERROR(VLOOKUP("47mg Clinical",Controls!A:J,5,0),0)</f>
        <v>1</v>
      </c>
      <c r="Q1914">
        <f>IFERROR(VLOOKUP("47mg Clinical",Controls!A:J,6,0),3)</f>
        <v>3</v>
      </c>
      <c r="R1914" t="str">
        <f>IFERROR(VLOOKUP("47mg Clinical",Controls!A:K,10,0),"")</f>
        <v>Fisher Clinical</v>
      </c>
      <c r="S1914">
        <f t="shared" si="220"/>
        <v>49583</v>
      </c>
      <c r="T1914">
        <f t="shared" si="221"/>
        <v>0</v>
      </c>
      <c r="AB1914">
        <f t="shared" si="215"/>
        <v>0</v>
      </c>
    </row>
    <row r="1915" spans="1:28" x14ac:dyDescent="0.35">
      <c r="A1915" s="201">
        <v>49706</v>
      </c>
      <c r="B1915" t="s">
        <v>923</v>
      </c>
      <c r="C1915" t="s">
        <v>28</v>
      </c>
      <c r="D1915" t="s">
        <v>29</v>
      </c>
      <c r="E1915">
        <f>H1914</f>
        <v>3500</v>
      </c>
      <c r="F1915">
        <f>IFERROR(SUMIFS('Demand Inputs'!$K$5:$K$202,'Demand Inputs'!$A$5:$A$202,"47mg Clinical",'Demand Inputs'!$B$5:$B$202,"&lt;&gt;AGGREGATE",'Demand Inputs'!$E$5:$E$202,1),0)</f>
        <v>0</v>
      </c>
      <c r="G1915">
        <f>IFERROR(SUMPRODUCT(('Production Inputs'!$A:$A="47mg Clinical")*('Production Inputs'!$B:$B="TOTAL ACTIVE")*'Production Inputs'!$EB:$EB),0)</f>
        <v>0</v>
      </c>
      <c r="H1915">
        <f t="shared" si="216"/>
        <v>3500</v>
      </c>
      <c r="I1915" s="30">
        <f ca="1">IFERROR(AVERAGEIF(OFFSET(F1915,0,0,MIN(Controls!$B$8,COUNTIF(B1915:B$1973,B1915)),1),"&gt;"&amp;0),0)</f>
        <v>0</v>
      </c>
      <c r="J1915">
        <f t="shared" ca="1" si="217"/>
        <v>999</v>
      </c>
      <c r="K1915">
        <f t="shared" ca="1" si="218"/>
        <v>0</v>
      </c>
      <c r="L1915" t="str">
        <f t="shared" ca="1" si="219"/>
        <v>Overstock</v>
      </c>
      <c r="M1915">
        <f>IFERROR(VLOOKUP("47mg Clinical",Controls!A:I,7,0),6)</f>
        <v>6</v>
      </c>
      <c r="N1915">
        <f>IFERROR(VLOOKUP("47mg Clinical",Controls!A:I,8,0),3)</f>
        <v>4</v>
      </c>
      <c r="O1915">
        <f>IFERROR(VLOOKUP("47mg Clinical",Controls!A:I,9,0),18)</f>
        <v>12</v>
      </c>
      <c r="P1915">
        <f>IFERROR(VLOOKUP("47mg Clinical",Controls!A:J,5,0),0)</f>
        <v>1</v>
      </c>
      <c r="Q1915">
        <f>IFERROR(VLOOKUP("47mg Clinical",Controls!A:J,6,0),3)</f>
        <v>3</v>
      </c>
      <c r="R1915" t="str">
        <f>IFERROR(VLOOKUP("47mg Clinical",Controls!A:K,10,0),"")</f>
        <v>Fisher Clinical</v>
      </c>
      <c r="S1915">
        <f t="shared" si="220"/>
        <v>49614</v>
      </c>
      <c r="T1915">
        <f t="shared" si="221"/>
        <v>0</v>
      </c>
      <c r="AB1915">
        <f t="shared" si="215"/>
        <v>0</v>
      </c>
    </row>
    <row r="1916" spans="1:28" x14ac:dyDescent="0.35">
      <c r="A1916" s="201">
        <v>49735</v>
      </c>
      <c r="B1916" t="s">
        <v>923</v>
      </c>
      <c r="C1916" t="s">
        <v>28</v>
      </c>
      <c r="D1916" t="s">
        <v>29</v>
      </c>
      <c r="E1916">
        <f>H1915</f>
        <v>3500</v>
      </c>
      <c r="F1916">
        <f>IFERROR(SUMIFS('Demand Inputs'!$K$5:$K$202,'Demand Inputs'!$A$5:$A$202,"47mg Clinical",'Demand Inputs'!$B$5:$B$202,"&lt;&gt;AGGREGATE",'Demand Inputs'!$E$5:$E$202,1),0)</f>
        <v>0</v>
      </c>
      <c r="G1916">
        <f>IFERROR(SUMPRODUCT(('Production Inputs'!$A:$A="47mg Clinical")*('Production Inputs'!$B:$B="TOTAL ACTIVE")*'Production Inputs'!$EC:$EC),0)</f>
        <v>0</v>
      </c>
      <c r="H1916">
        <f t="shared" si="216"/>
        <v>3500</v>
      </c>
      <c r="I1916" s="30">
        <f ca="1">IFERROR(AVERAGEIF(OFFSET(F1916,0,0,MIN(Controls!$B$8,COUNTIF(B1916:B$1973,B1916)),1),"&gt;"&amp;0),0)</f>
        <v>0</v>
      </c>
      <c r="J1916">
        <f t="shared" ca="1" si="217"/>
        <v>999</v>
      </c>
      <c r="K1916">
        <f t="shared" ca="1" si="218"/>
        <v>0</v>
      </c>
      <c r="L1916" t="str">
        <f t="shared" ca="1" si="219"/>
        <v>Overstock</v>
      </c>
      <c r="M1916">
        <f>IFERROR(VLOOKUP("47mg Clinical",Controls!A:I,7,0),6)</f>
        <v>6</v>
      </c>
      <c r="N1916">
        <f>IFERROR(VLOOKUP("47mg Clinical",Controls!A:I,8,0),3)</f>
        <v>4</v>
      </c>
      <c r="O1916">
        <f>IFERROR(VLOOKUP("47mg Clinical",Controls!A:I,9,0),18)</f>
        <v>12</v>
      </c>
      <c r="P1916">
        <f>IFERROR(VLOOKUP("47mg Clinical",Controls!A:J,5,0),0)</f>
        <v>1</v>
      </c>
      <c r="Q1916">
        <f>IFERROR(VLOOKUP("47mg Clinical",Controls!A:J,6,0),3)</f>
        <v>3</v>
      </c>
      <c r="R1916" t="str">
        <f>IFERROR(VLOOKUP("47mg Clinical",Controls!A:K,10,0),"")</f>
        <v>Fisher Clinical</v>
      </c>
      <c r="S1916">
        <f t="shared" si="220"/>
        <v>49644</v>
      </c>
      <c r="T1916">
        <f t="shared" si="221"/>
        <v>0</v>
      </c>
      <c r="AB1916">
        <f t="shared" si="215"/>
        <v>0</v>
      </c>
    </row>
    <row r="1917" spans="1:28" x14ac:dyDescent="0.35">
      <c r="A1917" s="201">
        <v>49766</v>
      </c>
      <c r="B1917" t="s">
        <v>923</v>
      </c>
      <c r="C1917" t="s">
        <v>28</v>
      </c>
      <c r="D1917" t="s">
        <v>29</v>
      </c>
      <c r="E1917">
        <f>H1916</f>
        <v>3500</v>
      </c>
      <c r="F1917">
        <f>IFERROR(SUMIFS('Demand Inputs'!$K$5:$K$202,'Demand Inputs'!$A$5:$A$202,"47mg Clinical",'Demand Inputs'!$B$5:$B$202,"&lt;&gt;AGGREGATE",'Demand Inputs'!$E$5:$E$202,1),0)</f>
        <v>0</v>
      </c>
      <c r="G1917">
        <f>IFERROR(SUMPRODUCT(('Production Inputs'!$A:$A="47mg Clinical")*('Production Inputs'!$B:$B="TOTAL ACTIVE")*'Production Inputs'!$ED:$ED),0)</f>
        <v>0</v>
      </c>
      <c r="H1917">
        <f t="shared" si="216"/>
        <v>3500</v>
      </c>
      <c r="I1917" s="30">
        <f ca="1">IFERROR(AVERAGEIF(OFFSET(F1917,0,0,MIN(Controls!$B$8,COUNTIF(B1917:B$1973,B1917)),1),"&gt;"&amp;0),0)</f>
        <v>0</v>
      </c>
      <c r="J1917">
        <f t="shared" ca="1" si="217"/>
        <v>999</v>
      </c>
      <c r="K1917">
        <f t="shared" ca="1" si="218"/>
        <v>0</v>
      </c>
      <c r="L1917" t="str">
        <f t="shared" ca="1" si="219"/>
        <v>Overstock</v>
      </c>
      <c r="M1917">
        <f>IFERROR(VLOOKUP("47mg Clinical",Controls!A:I,7,0),6)</f>
        <v>6</v>
      </c>
      <c r="N1917">
        <f>IFERROR(VLOOKUP("47mg Clinical",Controls!A:I,8,0),3)</f>
        <v>4</v>
      </c>
      <c r="O1917">
        <f>IFERROR(VLOOKUP("47mg Clinical",Controls!A:I,9,0),18)</f>
        <v>12</v>
      </c>
      <c r="P1917">
        <f>IFERROR(VLOOKUP("47mg Clinical",Controls!A:J,5,0),0)</f>
        <v>1</v>
      </c>
      <c r="Q1917">
        <f>IFERROR(VLOOKUP("47mg Clinical",Controls!A:J,6,0),3)</f>
        <v>3</v>
      </c>
      <c r="R1917" t="str">
        <f>IFERROR(VLOOKUP("47mg Clinical",Controls!A:K,10,0),"")</f>
        <v>Fisher Clinical</v>
      </c>
      <c r="S1917">
        <f t="shared" si="220"/>
        <v>49675</v>
      </c>
      <c r="T1917">
        <f t="shared" si="221"/>
        <v>0</v>
      </c>
      <c r="AB1917">
        <f t="shared" si="215"/>
        <v>0</v>
      </c>
    </row>
    <row r="1918" spans="1:28" x14ac:dyDescent="0.35">
      <c r="A1918" s="201">
        <v>49796</v>
      </c>
      <c r="B1918" t="s">
        <v>923</v>
      </c>
      <c r="C1918" t="s">
        <v>28</v>
      </c>
      <c r="D1918" t="s">
        <v>29</v>
      </c>
      <c r="E1918">
        <f>H1917</f>
        <v>3500</v>
      </c>
      <c r="F1918">
        <f>IFERROR(SUMIFS('Demand Inputs'!$K$5:$K$202,'Demand Inputs'!$A$5:$A$202,"47mg Clinical",'Demand Inputs'!$B$5:$B$202,"&lt;&gt;AGGREGATE",'Demand Inputs'!$E$5:$E$202,1),0)</f>
        <v>0</v>
      </c>
      <c r="G1918">
        <f>IFERROR(SUMPRODUCT(('Production Inputs'!$A:$A="47mg Clinical")*('Production Inputs'!$B:$B="TOTAL ACTIVE")*'Production Inputs'!$EE:$EE),0)</f>
        <v>0</v>
      </c>
      <c r="H1918">
        <f t="shared" si="216"/>
        <v>3500</v>
      </c>
      <c r="I1918" s="30">
        <f ca="1">IFERROR(AVERAGEIF(OFFSET(F1918,0,0,MIN(Controls!$B$8,COUNTIF(B1918:B$1973,B1918)),1),"&gt;"&amp;0),0)</f>
        <v>0</v>
      </c>
      <c r="J1918">
        <f t="shared" ca="1" si="217"/>
        <v>999</v>
      </c>
      <c r="K1918">
        <f t="shared" ca="1" si="218"/>
        <v>0</v>
      </c>
      <c r="L1918" t="str">
        <f t="shared" ca="1" si="219"/>
        <v>Overstock</v>
      </c>
      <c r="M1918">
        <f>IFERROR(VLOOKUP("47mg Clinical",Controls!A:I,7,0),6)</f>
        <v>6</v>
      </c>
      <c r="N1918">
        <f>IFERROR(VLOOKUP("47mg Clinical",Controls!A:I,8,0),3)</f>
        <v>4</v>
      </c>
      <c r="O1918">
        <f>IFERROR(VLOOKUP("47mg Clinical",Controls!A:I,9,0),18)</f>
        <v>12</v>
      </c>
      <c r="P1918">
        <f>IFERROR(VLOOKUP("47mg Clinical",Controls!A:J,5,0),0)</f>
        <v>1</v>
      </c>
      <c r="Q1918">
        <f>IFERROR(VLOOKUP("47mg Clinical",Controls!A:J,6,0),3)</f>
        <v>3</v>
      </c>
      <c r="R1918" t="str">
        <f>IFERROR(VLOOKUP("47mg Clinical",Controls!A:K,10,0),"")</f>
        <v>Fisher Clinical</v>
      </c>
      <c r="S1918">
        <f t="shared" si="220"/>
        <v>49706</v>
      </c>
      <c r="T1918">
        <f t="shared" si="221"/>
        <v>0</v>
      </c>
      <c r="AB1918">
        <f t="shared" si="215"/>
        <v>0</v>
      </c>
    </row>
    <row r="1919" spans="1:28" x14ac:dyDescent="0.35">
      <c r="A1919" s="201">
        <v>49827</v>
      </c>
      <c r="B1919" t="s">
        <v>923</v>
      </c>
      <c r="C1919" t="s">
        <v>28</v>
      </c>
      <c r="D1919" t="s">
        <v>29</v>
      </c>
      <c r="E1919">
        <f>H1918</f>
        <v>3500</v>
      </c>
      <c r="F1919">
        <f>IFERROR(SUMIFS('Demand Inputs'!$K$5:$K$202,'Demand Inputs'!$A$5:$A$202,"47mg Clinical",'Demand Inputs'!$B$5:$B$202,"&lt;&gt;AGGREGATE",'Demand Inputs'!$E$5:$E$202,1),0)</f>
        <v>0</v>
      </c>
      <c r="G1919">
        <f>IFERROR(SUMPRODUCT(('Production Inputs'!$A:$A="47mg Clinical")*('Production Inputs'!$B:$B="TOTAL ACTIVE")*'Production Inputs'!$EF:$EF),0)</f>
        <v>0</v>
      </c>
      <c r="H1919">
        <f t="shared" si="216"/>
        <v>3500</v>
      </c>
      <c r="I1919" s="30">
        <f ca="1">IFERROR(AVERAGEIF(OFFSET(F1919,0,0,MIN(Controls!$B$8,COUNTIF(B1919:B$1973,B1919)),1),"&gt;"&amp;0),0)</f>
        <v>0</v>
      </c>
      <c r="J1919">
        <f t="shared" ca="1" si="217"/>
        <v>999</v>
      </c>
      <c r="K1919">
        <f t="shared" ca="1" si="218"/>
        <v>0</v>
      </c>
      <c r="L1919" t="str">
        <f t="shared" ca="1" si="219"/>
        <v>Overstock</v>
      </c>
      <c r="M1919">
        <f>IFERROR(VLOOKUP("47mg Clinical",Controls!A:I,7,0),6)</f>
        <v>6</v>
      </c>
      <c r="N1919">
        <f>IFERROR(VLOOKUP("47mg Clinical",Controls!A:I,8,0),3)</f>
        <v>4</v>
      </c>
      <c r="O1919">
        <f>IFERROR(VLOOKUP("47mg Clinical",Controls!A:I,9,0),18)</f>
        <v>12</v>
      </c>
      <c r="P1919">
        <f>IFERROR(VLOOKUP("47mg Clinical",Controls!A:J,5,0),0)</f>
        <v>1</v>
      </c>
      <c r="Q1919">
        <f>IFERROR(VLOOKUP("47mg Clinical",Controls!A:J,6,0),3)</f>
        <v>3</v>
      </c>
      <c r="R1919" t="str">
        <f>IFERROR(VLOOKUP("47mg Clinical",Controls!A:K,10,0),"")</f>
        <v>Fisher Clinical</v>
      </c>
      <c r="S1919">
        <f t="shared" si="220"/>
        <v>49735</v>
      </c>
      <c r="T1919">
        <f t="shared" si="221"/>
        <v>0</v>
      </c>
      <c r="AB1919">
        <f t="shared" si="215"/>
        <v>0</v>
      </c>
    </row>
    <row r="1920" spans="1:28" x14ac:dyDescent="0.35">
      <c r="A1920" s="201">
        <v>49857</v>
      </c>
      <c r="B1920" t="s">
        <v>923</v>
      </c>
      <c r="C1920" t="s">
        <v>28</v>
      </c>
      <c r="D1920" t="s">
        <v>29</v>
      </c>
      <c r="E1920">
        <f>H1919</f>
        <v>3500</v>
      </c>
      <c r="F1920">
        <f>IFERROR(SUMIFS('Demand Inputs'!$K$5:$K$202,'Demand Inputs'!$A$5:$A$202,"47mg Clinical",'Demand Inputs'!$B$5:$B$202,"&lt;&gt;AGGREGATE",'Demand Inputs'!$E$5:$E$202,1),0)</f>
        <v>0</v>
      </c>
      <c r="G1920">
        <f>IFERROR(SUMPRODUCT(('Production Inputs'!$A:$A="47mg Clinical")*('Production Inputs'!$B:$B="TOTAL ACTIVE")*'Production Inputs'!$EG:$EG),0)</f>
        <v>0</v>
      </c>
      <c r="H1920">
        <f t="shared" si="216"/>
        <v>3500</v>
      </c>
      <c r="I1920" s="30">
        <f ca="1">IFERROR(AVERAGEIF(OFFSET(F1920,0,0,MIN(Controls!$B$8,COUNTIF(B1920:B$1973,B1920)),1),"&gt;"&amp;0),0)</f>
        <v>0</v>
      </c>
      <c r="J1920">
        <f t="shared" ca="1" si="217"/>
        <v>999</v>
      </c>
      <c r="K1920">
        <f t="shared" ca="1" si="218"/>
        <v>0</v>
      </c>
      <c r="L1920" t="str">
        <f t="shared" ca="1" si="219"/>
        <v>Overstock</v>
      </c>
      <c r="M1920">
        <f>IFERROR(VLOOKUP("47mg Clinical",Controls!A:I,7,0),6)</f>
        <v>6</v>
      </c>
      <c r="N1920">
        <f>IFERROR(VLOOKUP("47mg Clinical",Controls!A:I,8,0),3)</f>
        <v>4</v>
      </c>
      <c r="O1920">
        <f>IFERROR(VLOOKUP("47mg Clinical",Controls!A:I,9,0),18)</f>
        <v>12</v>
      </c>
      <c r="P1920">
        <f>IFERROR(VLOOKUP("47mg Clinical",Controls!A:J,5,0),0)</f>
        <v>1</v>
      </c>
      <c r="Q1920">
        <f>IFERROR(VLOOKUP("47mg Clinical",Controls!A:J,6,0),3)</f>
        <v>3</v>
      </c>
      <c r="R1920" t="str">
        <f>IFERROR(VLOOKUP("47mg Clinical",Controls!A:K,10,0),"")</f>
        <v>Fisher Clinical</v>
      </c>
      <c r="S1920">
        <f t="shared" si="220"/>
        <v>49766</v>
      </c>
      <c r="T1920">
        <f t="shared" si="221"/>
        <v>0</v>
      </c>
      <c r="AB1920">
        <f t="shared" si="215"/>
        <v>0</v>
      </c>
    </row>
    <row r="1921" spans="1:28" x14ac:dyDescent="0.35">
      <c r="A1921" s="201">
        <v>49888</v>
      </c>
      <c r="B1921" t="s">
        <v>923</v>
      </c>
      <c r="C1921" t="s">
        <v>28</v>
      </c>
      <c r="D1921" t="s">
        <v>29</v>
      </c>
      <c r="E1921">
        <f>H1920</f>
        <v>3500</v>
      </c>
      <c r="F1921">
        <f>IFERROR(SUMIFS('Demand Inputs'!$K$5:$K$202,'Demand Inputs'!$A$5:$A$202,"47mg Clinical",'Demand Inputs'!$B$5:$B$202,"&lt;&gt;AGGREGATE",'Demand Inputs'!$E$5:$E$202,1),0)</f>
        <v>0</v>
      </c>
      <c r="G1921">
        <f>IFERROR(SUMPRODUCT(('Production Inputs'!$A:$A="47mg Clinical")*('Production Inputs'!$B:$B="TOTAL ACTIVE")*'Production Inputs'!$EH:$EH),0)</f>
        <v>0</v>
      </c>
      <c r="H1921">
        <f t="shared" si="216"/>
        <v>3500</v>
      </c>
      <c r="I1921" s="30">
        <f ca="1">IFERROR(AVERAGEIF(OFFSET(F1921,0,0,MIN(Controls!$B$8,COUNTIF(B1921:B$1973,B1921)),1),"&gt;"&amp;0),0)</f>
        <v>0</v>
      </c>
      <c r="J1921">
        <f t="shared" ca="1" si="217"/>
        <v>999</v>
      </c>
      <c r="K1921">
        <f t="shared" ca="1" si="218"/>
        <v>0</v>
      </c>
      <c r="L1921" t="str">
        <f t="shared" ca="1" si="219"/>
        <v>Overstock</v>
      </c>
      <c r="M1921">
        <f>IFERROR(VLOOKUP("47mg Clinical",Controls!A:I,7,0),6)</f>
        <v>6</v>
      </c>
      <c r="N1921">
        <f>IFERROR(VLOOKUP("47mg Clinical",Controls!A:I,8,0),3)</f>
        <v>4</v>
      </c>
      <c r="O1921">
        <f>IFERROR(VLOOKUP("47mg Clinical",Controls!A:I,9,0),18)</f>
        <v>12</v>
      </c>
      <c r="P1921">
        <f>IFERROR(VLOOKUP("47mg Clinical",Controls!A:J,5,0),0)</f>
        <v>1</v>
      </c>
      <c r="Q1921">
        <f>IFERROR(VLOOKUP("47mg Clinical",Controls!A:J,6,0),3)</f>
        <v>3</v>
      </c>
      <c r="R1921" t="str">
        <f>IFERROR(VLOOKUP("47mg Clinical",Controls!A:K,10,0),"")</f>
        <v>Fisher Clinical</v>
      </c>
      <c r="S1921">
        <f t="shared" si="220"/>
        <v>49796</v>
      </c>
      <c r="T1921">
        <f t="shared" si="221"/>
        <v>0</v>
      </c>
      <c r="AB1921">
        <f t="shared" si="215"/>
        <v>0</v>
      </c>
    </row>
    <row r="1922" spans="1:28" x14ac:dyDescent="0.35">
      <c r="A1922" s="201">
        <v>49919</v>
      </c>
      <c r="B1922" t="s">
        <v>923</v>
      </c>
      <c r="C1922" t="s">
        <v>28</v>
      </c>
      <c r="D1922" t="s">
        <v>29</v>
      </c>
      <c r="E1922">
        <f>H1921</f>
        <v>3500</v>
      </c>
      <c r="F1922">
        <f>IFERROR(SUMIFS('Demand Inputs'!$K$5:$K$202,'Demand Inputs'!$A$5:$A$202,"47mg Clinical",'Demand Inputs'!$B$5:$B$202,"&lt;&gt;AGGREGATE",'Demand Inputs'!$E$5:$E$202,1),0)</f>
        <v>0</v>
      </c>
      <c r="G1922">
        <f>IFERROR(SUMPRODUCT(('Production Inputs'!$A:$A="47mg Clinical")*('Production Inputs'!$B:$B="TOTAL ACTIVE")*'Production Inputs'!$EI:$EI),0)</f>
        <v>0</v>
      </c>
      <c r="H1922">
        <f t="shared" ref="H1922:H1953" si="222">E1922+G1922-F1922</f>
        <v>3500</v>
      </c>
      <c r="I1922" s="30">
        <f ca="1">IFERROR(AVERAGEIF(OFFSET(F1922,0,0,MIN(Controls!$B$8,COUNTIF(B1922:B$1973,B1922)),1),"&gt;"&amp;0),0)</f>
        <v>0</v>
      </c>
      <c r="J1922">
        <f t="shared" ref="J1922:J1953" ca="1" si="223">IFERROR(H1922/I1922,IF(H1922&gt;0,999,0))</f>
        <v>999</v>
      </c>
      <c r="K1922">
        <f t="shared" ref="K1922:K1953" ca="1" si="224">IFERROR(IF(H1922&lt;(N1922*I1922),CEILING(MAX(0,ROUND((M1922*I1922-H1922)/P1922,0)*P1922),P1922),0),0)</f>
        <v>0</v>
      </c>
      <c r="L1922" t="str">
        <f t="shared" ref="L1922:L1953" ca="1" si="225">IF(H1922&lt;=0,"High",IF(J1922&lt;N1922,"High",IF(J1922&lt;M1922,"Medium",IF(J1922&gt;O1922,"Overstock","Low"))))</f>
        <v>Overstock</v>
      </c>
      <c r="M1922">
        <f>IFERROR(VLOOKUP("47mg Clinical",Controls!A:I,7,0),6)</f>
        <v>6</v>
      </c>
      <c r="N1922">
        <f>IFERROR(VLOOKUP("47mg Clinical",Controls!A:I,8,0),3)</f>
        <v>4</v>
      </c>
      <c r="O1922">
        <f>IFERROR(VLOOKUP("47mg Clinical",Controls!A:I,9,0),18)</f>
        <v>12</v>
      </c>
      <c r="P1922">
        <f>IFERROR(VLOOKUP("47mg Clinical",Controls!A:J,5,0),0)</f>
        <v>1</v>
      </c>
      <c r="Q1922">
        <f>IFERROR(VLOOKUP("47mg Clinical",Controls!A:J,6,0),3)</f>
        <v>3</v>
      </c>
      <c r="R1922" t="str">
        <f>IFERROR(VLOOKUP("47mg Clinical",Controls!A:K,10,0),"")</f>
        <v>Fisher Clinical</v>
      </c>
      <c r="S1922">
        <f t="shared" ref="S1922:S1953" si="226">IFERROR(EDATE(A1922,-Q1922),"")</f>
        <v>49827</v>
      </c>
      <c r="T1922">
        <f t="shared" ref="T1922:T1953" si="227">G1922</f>
        <v>0</v>
      </c>
      <c r="AB1922">
        <f t="shared" si="215"/>
        <v>0</v>
      </c>
    </row>
    <row r="1923" spans="1:28" x14ac:dyDescent="0.35">
      <c r="A1923" s="201">
        <v>49949</v>
      </c>
      <c r="B1923" t="s">
        <v>923</v>
      </c>
      <c r="C1923" t="s">
        <v>28</v>
      </c>
      <c r="D1923" t="s">
        <v>29</v>
      </c>
      <c r="E1923">
        <f>H1922</f>
        <v>3500</v>
      </c>
      <c r="F1923">
        <f>IFERROR(SUMIFS('Demand Inputs'!$K$5:$K$202,'Demand Inputs'!$A$5:$A$202,"47mg Clinical",'Demand Inputs'!$B$5:$B$202,"&lt;&gt;AGGREGATE",'Demand Inputs'!$E$5:$E$202,1),0)</f>
        <v>0</v>
      </c>
      <c r="G1923">
        <f>IFERROR(SUMPRODUCT(('Production Inputs'!$A:$A="47mg Clinical")*('Production Inputs'!$B:$B="TOTAL ACTIVE")*'Production Inputs'!$EJ:$EJ),0)</f>
        <v>0</v>
      </c>
      <c r="H1923">
        <f t="shared" si="222"/>
        <v>3500</v>
      </c>
      <c r="I1923" s="30">
        <f ca="1">IFERROR(AVERAGEIF(OFFSET(F1923,0,0,MIN(Controls!$B$8,COUNTIF(B1923:B$1973,B1923)),1),"&gt;"&amp;0),0)</f>
        <v>0</v>
      </c>
      <c r="J1923">
        <f t="shared" ca="1" si="223"/>
        <v>999</v>
      </c>
      <c r="K1923">
        <f t="shared" ca="1" si="224"/>
        <v>0</v>
      </c>
      <c r="L1923" t="str">
        <f t="shared" ca="1" si="225"/>
        <v>Overstock</v>
      </c>
      <c r="M1923">
        <f>IFERROR(VLOOKUP("47mg Clinical",Controls!A:I,7,0),6)</f>
        <v>6</v>
      </c>
      <c r="N1923">
        <f>IFERROR(VLOOKUP("47mg Clinical",Controls!A:I,8,0),3)</f>
        <v>4</v>
      </c>
      <c r="O1923">
        <f>IFERROR(VLOOKUP("47mg Clinical",Controls!A:I,9,0),18)</f>
        <v>12</v>
      </c>
      <c r="P1923">
        <f>IFERROR(VLOOKUP("47mg Clinical",Controls!A:J,5,0),0)</f>
        <v>1</v>
      </c>
      <c r="Q1923">
        <f>IFERROR(VLOOKUP("47mg Clinical",Controls!A:J,6,0),3)</f>
        <v>3</v>
      </c>
      <c r="R1923" t="str">
        <f>IFERROR(VLOOKUP("47mg Clinical",Controls!A:K,10,0),"")</f>
        <v>Fisher Clinical</v>
      </c>
      <c r="S1923">
        <f t="shared" si="226"/>
        <v>49857</v>
      </c>
      <c r="T1923">
        <f t="shared" si="227"/>
        <v>0</v>
      </c>
      <c r="AB1923">
        <f t="shared" si="215"/>
        <v>0</v>
      </c>
    </row>
    <row r="1924" spans="1:28" x14ac:dyDescent="0.35">
      <c r="A1924" s="201">
        <v>49980</v>
      </c>
      <c r="B1924" t="s">
        <v>923</v>
      </c>
      <c r="C1924" t="s">
        <v>28</v>
      </c>
      <c r="D1924" t="s">
        <v>29</v>
      </c>
      <c r="E1924">
        <f>H1923</f>
        <v>3500</v>
      </c>
      <c r="F1924">
        <f>IFERROR(SUMIFS('Demand Inputs'!$K$5:$K$202,'Demand Inputs'!$A$5:$A$202,"47mg Clinical",'Demand Inputs'!$B$5:$B$202,"&lt;&gt;AGGREGATE",'Demand Inputs'!$E$5:$E$202,1),0)</f>
        <v>0</v>
      </c>
      <c r="G1924">
        <f>IFERROR(SUMPRODUCT(('Production Inputs'!$A:$A="47mg Clinical")*('Production Inputs'!$B:$B="TOTAL ACTIVE")*'Production Inputs'!$EK:$EK),0)</f>
        <v>0</v>
      </c>
      <c r="H1924">
        <f t="shared" si="222"/>
        <v>3500</v>
      </c>
      <c r="I1924" s="30">
        <f ca="1">IFERROR(AVERAGEIF(OFFSET(F1924,0,0,MIN(Controls!$B$8,COUNTIF(B1924:B$1973,B1924)),1),"&gt;"&amp;0),0)</f>
        <v>0</v>
      </c>
      <c r="J1924">
        <f t="shared" ca="1" si="223"/>
        <v>999</v>
      </c>
      <c r="K1924">
        <f t="shared" ca="1" si="224"/>
        <v>0</v>
      </c>
      <c r="L1924" t="str">
        <f t="shared" ca="1" si="225"/>
        <v>Overstock</v>
      </c>
      <c r="M1924">
        <f>IFERROR(VLOOKUP("47mg Clinical",Controls!A:I,7,0),6)</f>
        <v>6</v>
      </c>
      <c r="N1924">
        <f>IFERROR(VLOOKUP("47mg Clinical",Controls!A:I,8,0),3)</f>
        <v>4</v>
      </c>
      <c r="O1924">
        <f>IFERROR(VLOOKUP("47mg Clinical",Controls!A:I,9,0),18)</f>
        <v>12</v>
      </c>
      <c r="P1924">
        <f>IFERROR(VLOOKUP("47mg Clinical",Controls!A:J,5,0),0)</f>
        <v>1</v>
      </c>
      <c r="Q1924">
        <f>IFERROR(VLOOKUP("47mg Clinical",Controls!A:J,6,0),3)</f>
        <v>3</v>
      </c>
      <c r="R1924" t="str">
        <f>IFERROR(VLOOKUP("47mg Clinical",Controls!A:K,10,0),"")</f>
        <v>Fisher Clinical</v>
      </c>
      <c r="S1924">
        <f t="shared" si="226"/>
        <v>49888</v>
      </c>
      <c r="T1924">
        <f t="shared" si="227"/>
        <v>0</v>
      </c>
      <c r="AB1924">
        <f t="shared" si="215"/>
        <v>0</v>
      </c>
    </row>
    <row r="1925" spans="1:28" x14ac:dyDescent="0.35">
      <c r="A1925" s="201">
        <v>50010</v>
      </c>
      <c r="B1925" t="s">
        <v>923</v>
      </c>
      <c r="C1925" t="s">
        <v>28</v>
      </c>
      <c r="D1925" t="s">
        <v>29</v>
      </c>
      <c r="E1925">
        <f>H1924</f>
        <v>3500</v>
      </c>
      <c r="F1925">
        <f>IFERROR(SUMIFS('Demand Inputs'!$K$5:$K$202,'Demand Inputs'!$A$5:$A$202,"47mg Clinical",'Demand Inputs'!$B$5:$B$202,"&lt;&gt;AGGREGATE",'Demand Inputs'!$E$5:$E$202,1),0)</f>
        <v>0</v>
      </c>
      <c r="G1925">
        <f>IFERROR(SUMPRODUCT(('Production Inputs'!$A:$A="47mg Clinical")*('Production Inputs'!$B:$B="TOTAL ACTIVE")*'Production Inputs'!$EL:$EL),0)</f>
        <v>0</v>
      </c>
      <c r="H1925">
        <f t="shared" si="222"/>
        <v>3500</v>
      </c>
      <c r="I1925" s="30">
        <f ca="1">IFERROR(AVERAGEIF(OFFSET(F1925,0,0,MIN(Controls!$B$8,COUNTIF(B1925:B$1973,B1925)),1),"&gt;"&amp;0),0)</f>
        <v>0</v>
      </c>
      <c r="J1925">
        <f t="shared" ca="1" si="223"/>
        <v>999</v>
      </c>
      <c r="K1925">
        <f t="shared" ca="1" si="224"/>
        <v>0</v>
      </c>
      <c r="L1925" t="str">
        <f t="shared" ca="1" si="225"/>
        <v>Overstock</v>
      </c>
      <c r="M1925">
        <f>IFERROR(VLOOKUP("47mg Clinical",Controls!A:I,7,0),6)</f>
        <v>6</v>
      </c>
      <c r="N1925">
        <f>IFERROR(VLOOKUP("47mg Clinical",Controls!A:I,8,0),3)</f>
        <v>4</v>
      </c>
      <c r="O1925">
        <f>IFERROR(VLOOKUP("47mg Clinical",Controls!A:I,9,0),18)</f>
        <v>12</v>
      </c>
      <c r="P1925">
        <f>IFERROR(VLOOKUP("47mg Clinical",Controls!A:J,5,0),0)</f>
        <v>1</v>
      </c>
      <c r="Q1925">
        <f>IFERROR(VLOOKUP("47mg Clinical",Controls!A:J,6,0),3)</f>
        <v>3</v>
      </c>
      <c r="R1925" t="str">
        <f>IFERROR(VLOOKUP("47mg Clinical",Controls!A:K,10,0),"")</f>
        <v>Fisher Clinical</v>
      </c>
      <c r="S1925">
        <f t="shared" si="226"/>
        <v>49919</v>
      </c>
      <c r="T1925">
        <f t="shared" si="227"/>
        <v>0</v>
      </c>
      <c r="AB1925">
        <f t="shared" ref="AB1925:AB1988" si="228">SUMIFS($F$4:$F$2331,$B$4:$B$2331,B1925,$A$4:$A$2331,"&lt;="&amp;A1925)</f>
        <v>0</v>
      </c>
    </row>
    <row r="1926" spans="1:28" x14ac:dyDescent="0.35">
      <c r="A1926" s="201">
        <v>50041</v>
      </c>
      <c r="B1926" t="s">
        <v>923</v>
      </c>
      <c r="C1926" t="s">
        <v>28</v>
      </c>
      <c r="D1926" t="s">
        <v>29</v>
      </c>
      <c r="E1926">
        <f>H1925</f>
        <v>3500</v>
      </c>
      <c r="F1926">
        <f>IFERROR(SUMIFS('Demand Inputs'!$K$5:$K$202,'Demand Inputs'!$A$5:$A$202,"47mg Clinical",'Demand Inputs'!$B$5:$B$202,"&lt;&gt;AGGREGATE",'Demand Inputs'!$E$5:$E$202,1),0)</f>
        <v>0</v>
      </c>
      <c r="G1926">
        <f>IFERROR(SUMPRODUCT(('Production Inputs'!$A:$A="47mg Clinical")*('Production Inputs'!$B:$B="TOTAL ACTIVE")*'Production Inputs'!$EM:$EM),0)</f>
        <v>0</v>
      </c>
      <c r="H1926">
        <f t="shared" si="222"/>
        <v>3500</v>
      </c>
      <c r="I1926" s="30">
        <f ca="1">IFERROR(AVERAGEIF(OFFSET(F1926,0,0,MIN(Controls!$B$8,COUNTIF(B1926:B$1973,B1926)),1),"&gt;"&amp;0),0)</f>
        <v>0</v>
      </c>
      <c r="J1926">
        <f t="shared" ca="1" si="223"/>
        <v>999</v>
      </c>
      <c r="K1926">
        <f t="shared" ca="1" si="224"/>
        <v>0</v>
      </c>
      <c r="L1926" t="str">
        <f t="shared" ca="1" si="225"/>
        <v>Overstock</v>
      </c>
      <c r="M1926">
        <f>IFERROR(VLOOKUP("47mg Clinical",Controls!A:I,7,0),6)</f>
        <v>6</v>
      </c>
      <c r="N1926">
        <f>IFERROR(VLOOKUP("47mg Clinical",Controls!A:I,8,0),3)</f>
        <v>4</v>
      </c>
      <c r="O1926">
        <f>IFERROR(VLOOKUP("47mg Clinical",Controls!A:I,9,0),18)</f>
        <v>12</v>
      </c>
      <c r="P1926">
        <f>IFERROR(VLOOKUP("47mg Clinical",Controls!A:J,5,0),0)</f>
        <v>1</v>
      </c>
      <c r="Q1926">
        <f>IFERROR(VLOOKUP("47mg Clinical",Controls!A:J,6,0),3)</f>
        <v>3</v>
      </c>
      <c r="R1926" t="str">
        <f>IFERROR(VLOOKUP("47mg Clinical",Controls!A:K,10,0),"")</f>
        <v>Fisher Clinical</v>
      </c>
      <c r="S1926">
        <f t="shared" si="226"/>
        <v>49949</v>
      </c>
      <c r="T1926">
        <f t="shared" si="227"/>
        <v>0</v>
      </c>
      <c r="AB1926">
        <f t="shared" si="228"/>
        <v>0</v>
      </c>
    </row>
    <row r="1927" spans="1:28" x14ac:dyDescent="0.35">
      <c r="A1927" s="201">
        <v>50072</v>
      </c>
      <c r="B1927" t="s">
        <v>923</v>
      </c>
      <c r="C1927" t="s">
        <v>28</v>
      </c>
      <c r="D1927" t="s">
        <v>29</v>
      </c>
      <c r="E1927">
        <f>H1926</f>
        <v>3500</v>
      </c>
      <c r="F1927">
        <f>IFERROR(SUMIFS('Demand Inputs'!$K$5:$K$202,'Demand Inputs'!$A$5:$A$202,"47mg Clinical",'Demand Inputs'!$B$5:$B$202,"&lt;&gt;AGGREGATE",'Demand Inputs'!$E$5:$E$202,1),0)</f>
        <v>0</v>
      </c>
      <c r="G1927">
        <f>IFERROR(SUMPRODUCT(('Production Inputs'!$A:$A="47mg Clinical")*('Production Inputs'!$B:$B="TOTAL ACTIVE")*'Production Inputs'!$EN:$EN),0)</f>
        <v>0</v>
      </c>
      <c r="H1927">
        <f t="shared" si="222"/>
        <v>3500</v>
      </c>
      <c r="I1927" s="30">
        <f ca="1">IFERROR(AVERAGEIF(OFFSET(F1927,0,0,MIN(Controls!$B$8,COUNTIF(B1927:B$1973,B1927)),1),"&gt;"&amp;0),0)</f>
        <v>0</v>
      </c>
      <c r="J1927">
        <f t="shared" ca="1" si="223"/>
        <v>999</v>
      </c>
      <c r="K1927">
        <f t="shared" ca="1" si="224"/>
        <v>0</v>
      </c>
      <c r="L1927" t="str">
        <f t="shared" ca="1" si="225"/>
        <v>Overstock</v>
      </c>
      <c r="M1927">
        <f>IFERROR(VLOOKUP("47mg Clinical",Controls!A:I,7,0),6)</f>
        <v>6</v>
      </c>
      <c r="N1927">
        <f>IFERROR(VLOOKUP("47mg Clinical",Controls!A:I,8,0),3)</f>
        <v>4</v>
      </c>
      <c r="O1927">
        <f>IFERROR(VLOOKUP("47mg Clinical",Controls!A:I,9,0),18)</f>
        <v>12</v>
      </c>
      <c r="P1927">
        <f>IFERROR(VLOOKUP("47mg Clinical",Controls!A:J,5,0),0)</f>
        <v>1</v>
      </c>
      <c r="Q1927">
        <f>IFERROR(VLOOKUP("47mg Clinical",Controls!A:J,6,0),3)</f>
        <v>3</v>
      </c>
      <c r="R1927" t="str">
        <f>IFERROR(VLOOKUP("47mg Clinical",Controls!A:K,10,0),"")</f>
        <v>Fisher Clinical</v>
      </c>
      <c r="S1927">
        <f t="shared" si="226"/>
        <v>49980</v>
      </c>
      <c r="T1927">
        <f t="shared" si="227"/>
        <v>0</v>
      </c>
      <c r="AB1927">
        <f t="shared" si="228"/>
        <v>0</v>
      </c>
    </row>
    <row r="1928" spans="1:28" x14ac:dyDescent="0.35">
      <c r="A1928" s="201">
        <v>50100</v>
      </c>
      <c r="B1928" t="s">
        <v>923</v>
      </c>
      <c r="C1928" t="s">
        <v>28</v>
      </c>
      <c r="D1928" t="s">
        <v>29</v>
      </c>
      <c r="E1928">
        <f>H1927</f>
        <v>3500</v>
      </c>
      <c r="F1928">
        <f>IFERROR(SUMIFS('Demand Inputs'!$K$5:$K$202,'Demand Inputs'!$A$5:$A$202,"47mg Clinical",'Demand Inputs'!$B$5:$B$202,"&lt;&gt;AGGREGATE",'Demand Inputs'!$E$5:$E$202,1),0)</f>
        <v>0</v>
      </c>
      <c r="G1928">
        <f>IFERROR(SUMPRODUCT(('Production Inputs'!$A:$A="47mg Clinical")*('Production Inputs'!$B:$B="TOTAL ACTIVE")*'Production Inputs'!$EO:$EO),0)</f>
        <v>0</v>
      </c>
      <c r="H1928">
        <f t="shared" si="222"/>
        <v>3500</v>
      </c>
      <c r="I1928" s="30">
        <f ca="1">IFERROR(AVERAGEIF(OFFSET(F1928,0,0,MIN(Controls!$B$8,COUNTIF(B1928:B$1973,B1928)),1),"&gt;"&amp;0),0)</f>
        <v>0</v>
      </c>
      <c r="J1928">
        <f t="shared" ca="1" si="223"/>
        <v>999</v>
      </c>
      <c r="K1928">
        <f t="shared" ca="1" si="224"/>
        <v>0</v>
      </c>
      <c r="L1928" t="str">
        <f t="shared" ca="1" si="225"/>
        <v>Overstock</v>
      </c>
      <c r="M1928">
        <f>IFERROR(VLOOKUP("47mg Clinical",Controls!A:I,7,0),6)</f>
        <v>6</v>
      </c>
      <c r="N1928">
        <f>IFERROR(VLOOKUP("47mg Clinical",Controls!A:I,8,0),3)</f>
        <v>4</v>
      </c>
      <c r="O1928">
        <f>IFERROR(VLOOKUP("47mg Clinical",Controls!A:I,9,0),18)</f>
        <v>12</v>
      </c>
      <c r="P1928">
        <f>IFERROR(VLOOKUP("47mg Clinical",Controls!A:J,5,0),0)</f>
        <v>1</v>
      </c>
      <c r="Q1928">
        <f>IFERROR(VLOOKUP("47mg Clinical",Controls!A:J,6,0),3)</f>
        <v>3</v>
      </c>
      <c r="R1928" t="str">
        <f>IFERROR(VLOOKUP("47mg Clinical",Controls!A:K,10,0),"")</f>
        <v>Fisher Clinical</v>
      </c>
      <c r="S1928">
        <f t="shared" si="226"/>
        <v>50010</v>
      </c>
      <c r="T1928">
        <f t="shared" si="227"/>
        <v>0</v>
      </c>
      <c r="AB1928">
        <f t="shared" si="228"/>
        <v>0</v>
      </c>
    </row>
    <row r="1929" spans="1:28" x14ac:dyDescent="0.35">
      <c r="A1929" s="201">
        <v>50131</v>
      </c>
      <c r="B1929" t="s">
        <v>923</v>
      </c>
      <c r="C1929" t="s">
        <v>28</v>
      </c>
      <c r="D1929" t="s">
        <v>29</v>
      </c>
      <c r="E1929">
        <f>H1928</f>
        <v>3500</v>
      </c>
      <c r="F1929">
        <f>IFERROR(SUMIFS('Demand Inputs'!$K$5:$K$202,'Demand Inputs'!$A$5:$A$202,"47mg Clinical",'Demand Inputs'!$B$5:$B$202,"&lt;&gt;AGGREGATE",'Demand Inputs'!$E$5:$E$202,1),0)</f>
        <v>0</v>
      </c>
      <c r="G1929">
        <f>IFERROR(SUMPRODUCT(('Production Inputs'!$A:$A="47mg Clinical")*('Production Inputs'!$B:$B="TOTAL ACTIVE")*'Production Inputs'!$EP:$EP),0)</f>
        <v>0</v>
      </c>
      <c r="H1929">
        <f t="shared" si="222"/>
        <v>3500</v>
      </c>
      <c r="I1929" s="30">
        <f ca="1">IFERROR(AVERAGEIF(OFFSET(F1929,0,0,MIN(Controls!$B$8,COUNTIF(B1929:B$1973,B1929)),1),"&gt;"&amp;0),0)</f>
        <v>0</v>
      </c>
      <c r="J1929">
        <f t="shared" ca="1" si="223"/>
        <v>999</v>
      </c>
      <c r="K1929">
        <f t="shared" ca="1" si="224"/>
        <v>0</v>
      </c>
      <c r="L1929" t="str">
        <f t="shared" ca="1" si="225"/>
        <v>Overstock</v>
      </c>
      <c r="M1929">
        <f>IFERROR(VLOOKUP("47mg Clinical",Controls!A:I,7,0),6)</f>
        <v>6</v>
      </c>
      <c r="N1929">
        <f>IFERROR(VLOOKUP("47mg Clinical",Controls!A:I,8,0),3)</f>
        <v>4</v>
      </c>
      <c r="O1929">
        <f>IFERROR(VLOOKUP("47mg Clinical",Controls!A:I,9,0),18)</f>
        <v>12</v>
      </c>
      <c r="P1929">
        <f>IFERROR(VLOOKUP("47mg Clinical",Controls!A:J,5,0),0)</f>
        <v>1</v>
      </c>
      <c r="Q1929">
        <f>IFERROR(VLOOKUP("47mg Clinical",Controls!A:J,6,0),3)</f>
        <v>3</v>
      </c>
      <c r="R1929" t="str">
        <f>IFERROR(VLOOKUP("47mg Clinical",Controls!A:K,10,0),"")</f>
        <v>Fisher Clinical</v>
      </c>
      <c r="S1929">
        <f t="shared" si="226"/>
        <v>50041</v>
      </c>
      <c r="T1929">
        <f t="shared" si="227"/>
        <v>0</v>
      </c>
      <c r="AB1929">
        <f t="shared" si="228"/>
        <v>0</v>
      </c>
    </row>
    <row r="1930" spans="1:28" x14ac:dyDescent="0.35">
      <c r="A1930" s="201">
        <v>50161</v>
      </c>
      <c r="B1930" t="s">
        <v>923</v>
      </c>
      <c r="C1930" t="s">
        <v>28</v>
      </c>
      <c r="D1930" t="s">
        <v>29</v>
      </c>
      <c r="E1930">
        <f>H1929</f>
        <v>3500</v>
      </c>
      <c r="F1930">
        <f>IFERROR(SUMIFS('Demand Inputs'!$K$5:$K$202,'Demand Inputs'!$A$5:$A$202,"47mg Clinical",'Demand Inputs'!$B$5:$B$202,"&lt;&gt;AGGREGATE",'Demand Inputs'!$E$5:$E$202,1),0)</f>
        <v>0</v>
      </c>
      <c r="G1930">
        <f>IFERROR(SUMPRODUCT(('Production Inputs'!$A:$A="47mg Clinical")*('Production Inputs'!$B:$B="TOTAL ACTIVE")*'Production Inputs'!$EQ:$EQ),0)</f>
        <v>0</v>
      </c>
      <c r="H1930">
        <f t="shared" si="222"/>
        <v>3500</v>
      </c>
      <c r="I1930" s="30">
        <f ca="1">IFERROR(AVERAGEIF(OFFSET(F1930,0,0,MIN(Controls!$B$8,COUNTIF(B1930:B$1973,B1930)),1),"&gt;"&amp;0),0)</f>
        <v>0</v>
      </c>
      <c r="J1930">
        <f t="shared" ca="1" si="223"/>
        <v>999</v>
      </c>
      <c r="K1930">
        <f t="shared" ca="1" si="224"/>
        <v>0</v>
      </c>
      <c r="L1930" t="str">
        <f t="shared" ca="1" si="225"/>
        <v>Overstock</v>
      </c>
      <c r="M1930">
        <f>IFERROR(VLOOKUP("47mg Clinical",Controls!A:I,7,0),6)</f>
        <v>6</v>
      </c>
      <c r="N1930">
        <f>IFERROR(VLOOKUP("47mg Clinical",Controls!A:I,8,0),3)</f>
        <v>4</v>
      </c>
      <c r="O1930">
        <f>IFERROR(VLOOKUP("47mg Clinical",Controls!A:I,9,0),18)</f>
        <v>12</v>
      </c>
      <c r="P1930">
        <f>IFERROR(VLOOKUP("47mg Clinical",Controls!A:J,5,0),0)</f>
        <v>1</v>
      </c>
      <c r="Q1930">
        <f>IFERROR(VLOOKUP("47mg Clinical",Controls!A:J,6,0),3)</f>
        <v>3</v>
      </c>
      <c r="R1930" t="str">
        <f>IFERROR(VLOOKUP("47mg Clinical",Controls!A:K,10,0),"")</f>
        <v>Fisher Clinical</v>
      </c>
      <c r="S1930">
        <f t="shared" si="226"/>
        <v>50072</v>
      </c>
      <c r="T1930">
        <f t="shared" si="227"/>
        <v>0</v>
      </c>
      <c r="AB1930">
        <f t="shared" si="228"/>
        <v>0</v>
      </c>
    </row>
    <row r="1931" spans="1:28" x14ac:dyDescent="0.35">
      <c r="A1931" s="201">
        <v>50192</v>
      </c>
      <c r="B1931" t="s">
        <v>923</v>
      </c>
      <c r="C1931" t="s">
        <v>28</v>
      </c>
      <c r="D1931" t="s">
        <v>29</v>
      </c>
      <c r="E1931">
        <f>H1930</f>
        <v>3500</v>
      </c>
      <c r="F1931">
        <f>IFERROR(SUMIFS('Demand Inputs'!$K$5:$K$202,'Demand Inputs'!$A$5:$A$202,"47mg Clinical",'Demand Inputs'!$B$5:$B$202,"&lt;&gt;AGGREGATE",'Demand Inputs'!$E$5:$E$202,1),0)</f>
        <v>0</v>
      </c>
      <c r="G1931">
        <f>IFERROR(SUMPRODUCT(('Production Inputs'!$A:$A="47mg Clinical")*('Production Inputs'!$B:$B="TOTAL ACTIVE")*'Production Inputs'!$ER:$ER),0)</f>
        <v>0</v>
      </c>
      <c r="H1931">
        <f t="shared" si="222"/>
        <v>3500</v>
      </c>
      <c r="I1931" s="30">
        <f ca="1">IFERROR(AVERAGEIF(OFFSET(F1931,0,0,MIN(Controls!$B$8,COUNTIF(B1931:B$1973,B1931)),1),"&gt;"&amp;0),0)</f>
        <v>0</v>
      </c>
      <c r="J1931">
        <f t="shared" ca="1" si="223"/>
        <v>999</v>
      </c>
      <c r="K1931">
        <f t="shared" ca="1" si="224"/>
        <v>0</v>
      </c>
      <c r="L1931" t="str">
        <f t="shared" ca="1" si="225"/>
        <v>Overstock</v>
      </c>
      <c r="M1931">
        <f>IFERROR(VLOOKUP("47mg Clinical",Controls!A:I,7,0),6)</f>
        <v>6</v>
      </c>
      <c r="N1931">
        <f>IFERROR(VLOOKUP("47mg Clinical",Controls!A:I,8,0),3)</f>
        <v>4</v>
      </c>
      <c r="O1931">
        <f>IFERROR(VLOOKUP("47mg Clinical",Controls!A:I,9,0),18)</f>
        <v>12</v>
      </c>
      <c r="P1931">
        <f>IFERROR(VLOOKUP("47mg Clinical",Controls!A:J,5,0),0)</f>
        <v>1</v>
      </c>
      <c r="Q1931">
        <f>IFERROR(VLOOKUP("47mg Clinical",Controls!A:J,6,0),3)</f>
        <v>3</v>
      </c>
      <c r="R1931" t="str">
        <f>IFERROR(VLOOKUP("47mg Clinical",Controls!A:K,10,0),"")</f>
        <v>Fisher Clinical</v>
      </c>
      <c r="S1931">
        <f t="shared" si="226"/>
        <v>50100</v>
      </c>
      <c r="T1931">
        <f t="shared" si="227"/>
        <v>0</v>
      </c>
      <c r="AB1931">
        <f t="shared" si="228"/>
        <v>0</v>
      </c>
    </row>
    <row r="1932" spans="1:28" x14ac:dyDescent="0.35">
      <c r="A1932" s="201">
        <v>50222</v>
      </c>
      <c r="B1932" t="s">
        <v>923</v>
      </c>
      <c r="C1932" t="s">
        <v>28</v>
      </c>
      <c r="D1932" t="s">
        <v>29</v>
      </c>
      <c r="E1932">
        <f>H1931</f>
        <v>3500</v>
      </c>
      <c r="F1932">
        <f>IFERROR(SUMIFS('Demand Inputs'!$K$5:$K$202,'Demand Inputs'!$A$5:$A$202,"47mg Clinical",'Demand Inputs'!$B$5:$B$202,"&lt;&gt;AGGREGATE",'Demand Inputs'!$E$5:$E$202,1),0)</f>
        <v>0</v>
      </c>
      <c r="G1932">
        <f>IFERROR(SUMPRODUCT(('Production Inputs'!$A:$A="47mg Clinical")*('Production Inputs'!$B:$B="TOTAL ACTIVE")*'Production Inputs'!$ES:$ES),0)</f>
        <v>0</v>
      </c>
      <c r="H1932">
        <f t="shared" si="222"/>
        <v>3500</v>
      </c>
      <c r="I1932" s="30">
        <f ca="1">IFERROR(AVERAGEIF(OFFSET(F1932,0,0,MIN(Controls!$B$8,COUNTIF(B1932:B$1973,B1932)),1),"&gt;"&amp;0),0)</f>
        <v>0</v>
      </c>
      <c r="J1932">
        <f t="shared" ca="1" si="223"/>
        <v>999</v>
      </c>
      <c r="K1932">
        <f t="shared" ca="1" si="224"/>
        <v>0</v>
      </c>
      <c r="L1932" t="str">
        <f t="shared" ca="1" si="225"/>
        <v>Overstock</v>
      </c>
      <c r="M1932">
        <f>IFERROR(VLOOKUP("47mg Clinical",Controls!A:I,7,0),6)</f>
        <v>6</v>
      </c>
      <c r="N1932">
        <f>IFERROR(VLOOKUP("47mg Clinical",Controls!A:I,8,0),3)</f>
        <v>4</v>
      </c>
      <c r="O1932">
        <f>IFERROR(VLOOKUP("47mg Clinical",Controls!A:I,9,0),18)</f>
        <v>12</v>
      </c>
      <c r="P1932">
        <f>IFERROR(VLOOKUP("47mg Clinical",Controls!A:J,5,0),0)</f>
        <v>1</v>
      </c>
      <c r="Q1932">
        <f>IFERROR(VLOOKUP("47mg Clinical",Controls!A:J,6,0),3)</f>
        <v>3</v>
      </c>
      <c r="R1932" t="str">
        <f>IFERROR(VLOOKUP("47mg Clinical",Controls!A:K,10,0),"")</f>
        <v>Fisher Clinical</v>
      </c>
      <c r="S1932">
        <f t="shared" si="226"/>
        <v>50131</v>
      </c>
      <c r="T1932">
        <f t="shared" si="227"/>
        <v>0</v>
      </c>
      <c r="AB1932">
        <f t="shared" si="228"/>
        <v>0</v>
      </c>
    </row>
    <row r="1933" spans="1:28" x14ac:dyDescent="0.35">
      <c r="A1933" s="201">
        <v>50253</v>
      </c>
      <c r="B1933" t="s">
        <v>923</v>
      </c>
      <c r="C1933" t="s">
        <v>28</v>
      </c>
      <c r="D1933" t="s">
        <v>29</v>
      </c>
      <c r="E1933">
        <f>H1932</f>
        <v>3500</v>
      </c>
      <c r="F1933">
        <f>IFERROR(SUMIFS('Demand Inputs'!$K$5:$K$202,'Demand Inputs'!$A$5:$A$202,"47mg Clinical",'Demand Inputs'!$B$5:$B$202,"&lt;&gt;AGGREGATE",'Demand Inputs'!$E$5:$E$202,1),0)</f>
        <v>0</v>
      </c>
      <c r="G1933">
        <f>IFERROR(SUMPRODUCT(('Production Inputs'!$A:$A="47mg Clinical")*('Production Inputs'!$B:$B="TOTAL ACTIVE")*'Production Inputs'!$ET:$ET),0)</f>
        <v>0</v>
      </c>
      <c r="H1933">
        <f t="shared" si="222"/>
        <v>3500</v>
      </c>
      <c r="I1933" s="30">
        <f ca="1">IFERROR(AVERAGEIF(OFFSET(F1933,0,0,MIN(Controls!$B$8,COUNTIF(B1933:B$1973,B1933)),1),"&gt;"&amp;0),0)</f>
        <v>0</v>
      </c>
      <c r="J1933">
        <f t="shared" ca="1" si="223"/>
        <v>999</v>
      </c>
      <c r="K1933">
        <f t="shared" ca="1" si="224"/>
        <v>0</v>
      </c>
      <c r="L1933" t="str">
        <f t="shared" ca="1" si="225"/>
        <v>Overstock</v>
      </c>
      <c r="M1933">
        <f>IFERROR(VLOOKUP("47mg Clinical",Controls!A:I,7,0),6)</f>
        <v>6</v>
      </c>
      <c r="N1933">
        <f>IFERROR(VLOOKUP("47mg Clinical",Controls!A:I,8,0),3)</f>
        <v>4</v>
      </c>
      <c r="O1933">
        <f>IFERROR(VLOOKUP("47mg Clinical",Controls!A:I,9,0),18)</f>
        <v>12</v>
      </c>
      <c r="P1933">
        <f>IFERROR(VLOOKUP("47mg Clinical",Controls!A:J,5,0),0)</f>
        <v>1</v>
      </c>
      <c r="Q1933">
        <f>IFERROR(VLOOKUP("47mg Clinical",Controls!A:J,6,0),3)</f>
        <v>3</v>
      </c>
      <c r="R1933" t="str">
        <f>IFERROR(VLOOKUP("47mg Clinical",Controls!A:K,10,0),"")</f>
        <v>Fisher Clinical</v>
      </c>
      <c r="S1933">
        <f t="shared" si="226"/>
        <v>50161</v>
      </c>
      <c r="T1933">
        <f t="shared" si="227"/>
        <v>0</v>
      </c>
      <c r="AB1933">
        <f t="shared" si="228"/>
        <v>0</v>
      </c>
    </row>
    <row r="1934" spans="1:28" x14ac:dyDescent="0.35">
      <c r="A1934" s="201">
        <v>50284</v>
      </c>
      <c r="B1934" t="s">
        <v>923</v>
      </c>
      <c r="C1934" t="s">
        <v>28</v>
      </c>
      <c r="D1934" t="s">
        <v>29</v>
      </c>
      <c r="E1934">
        <f>H1933</f>
        <v>3500</v>
      </c>
      <c r="F1934">
        <f>IFERROR(SUMIFS('Demand Inputs'!$K$5:$K$202,'Demand Inputs'!$A$5:$A$202,"47mg Clinical",'Demand Inputs'!$B$5:$B$202,"&lt;&gt;AGGREGATE",'Demand Inputs'!$E$5:$E$202,1),0)</f>
        <v>0</v>
      </c>
      <c r="G1934">
        <f>IFERROR(SUMPRODUCT(('Production Inputs'!$A:$A="47mg Clinical")*('Production Inputs'!$B:$B="TOTAL ACTIVE")*'Production Inputs'!$EU:$EU),0)</f>
        <v>0</v>
      </c>
      <c r="H1934">
        <f t="shared" si="222"/>
        <v>3500</v>
      </c>
      <c r="I1934" s="30">
        <f ca="1">IFERROR(AVERAGEIF(OFFSET(F1934,0,0,MIN(Controls!$B$8,COUNTIF(B1934:B$1973,B1934)),1),"&gt;"&amp;0),0)</f>
        <v>0</v>
      </c>
      <c r="J1934">
        <f t="shared" ca="1" si="223"/>
        <v>999</v>
      </c>
      <c r="K1934">
        <f t="shared" ca="1" si="224"/>
        <v>0</v>
      </c>
      <c r="L1934" t="str">
        <f t="shared" ca="1" si="225"/>
        <v>Overstock</v>
      </c>
      <c r="M1934">
        <f>IFERROR(VLOOKUP("47mg Clinical",Controls!A:I,7,0),6)</f>
        <v>6</v>
      </c>
      <c r="N1934">
        <f>IFERROR(VLOOKUP("47mg Clinical",Controls!A:I,8,0),3)</f>
        <v>4</v>
      </c>
      <c r="O1934">
        <f>IFERROR(VLOOKUP("47mg Clinical",Controls!A:I,9,0),18)</f>
        <v>12</v>
      </c>
      <c r="P1934">
        <f>IFERROR(VLOOKUP("47mg Clinical",Controls!A:J,5,0),0)</f>
        <v>1</v>
      </c>
      <c r="Q1934">
        <f>IFERROR(VLOOKUP("47mg Clinical",Controls!A:J,6,0),3)</f>
        <v>3</v>
      </c>
      <c r="R1934" t="str">
        <f>IFERROR(VLOOKUP("47mg Clinical",Controls!A:K,10,0),"")</f>
        <v>Fisher Clinical</v>
      </c>
      <c r="S1934">
        <f t="shared" si="226"/>
        <v>50192</v>
      </c>
      <c r="T1934">
        <f t="shared" si="227"/>
        <v>0</v>
      </c>
      <c r="AB1934">
        <f t="shared" si="228"/>
        <v>0</v>
      </c>
    </row>
    <row r="1935" spans="1:28" x14ac:dyDescent="0.35">
      <c r="A1935" s="201">
        <v>50314</v>
      </c>
      <c r="B1935" t="s">
        <v>923</v>
      </c>
      <c r="C1935" t="s">
        <v>28</v>
      </c>
      <c r="D1935" t="s">
        <v>29</v>
      </c>
      <c r="E1935">
        <f>H1934</f>
        <v>3500</v>
      </c>
      <c r="F1935">
        <f>IFERROR(SUMIFS('Demand Inputs'!$K$5:$K$202,'Demand Inputs'!$A$5:$A$202,"47mg Clinical",'Demand Inputs'!$B$5:$B$202,"&lt;&gt;AGGREGATE",'Demand Inputs'!$E$5:$E$202,1),0)</f>
        <v>0</v>
      </c>
      <c r="G1935">
        <f>IFERROR(SUMPRODUCT(('Production Inputs'!$A:$A="47mg Clinical")*('Production Inputs'!$B:$B="TOTAL ACTIVE")*'Production Inputs'!$EV:$EV),0)</f>
        <v>0</v>
      </c>
      <c r="H1935">
        <f t="shared" si="222"/>
        <v>3500</v>
      </c>
      <c r="I1935" s="30">
        <f ca="1">IFERROR(AVERAGEIF(OFFSET(F1935,0,0,MIN(Controls!$B$8,COUNTIF(B1935:B$1973,B1935)),1),"&gt;"&amp;0),0)</f>
        <v>0</v>
      </c>
      <c r="J1935">
        <f t="shared" ca="1" si="223"/>
        <v>999</v>
      </c>
      <c r="K1935">
        <f t="shared" ca="1" si="224"/>
        <v>0</v>
      </c>
      <c r="L1935" t="str">
        <f t="shared" ca="1" si="225"/>
        <v>Overstock</v>
      </c>
      <c r="M1935">
        <f>IFERROR(VLOOKUP("47mg Clinical",Controls!A:I,7,0),6)</f>
        <v>6</v>
      </c>
      <c r="N1935">
        <f>IFERROR(VLOOKUP("47mg Clinical",Controls!A:I,8,0),3)</f>
        <v>4</v>
      </c>
      <c r="O1935">
        <f>IFERROR(VLOOKUP("47mg Clinical",Controls!A:I,9,0),18)</f>
        <v>12</v>
      </c>
      <c r="P1935">
        <f>IFERROR(VLOOKUP("47mg Clinical",Controls!A:J,5,0),0)</f>
        <v>1</v>
      </c>
      <c r="Q1935">
        <f>IFERROR(VLOOKUP("47mg Clinical",Controls!A:J,6,0),3)</f>
        <v>3</v>
      </c>
      <c r="R1935" t="str">
        <f>IFERROR(VLOOKUP("47mg Clinical",Controls!A:K,10,0),"")</f>
        <v>Fisher Clinical</v>
      </c>
      <c r="S1935">
        <f t="shared" si="226"/>
        <v>50222</v>
      </c>
      <c r="T1935">
        <f t="shared" si="227"/>
        <v>0</v>
      </c>
      <c r="AB1935">
        <f t="shared" si="228"/>
        <v>0</v>
      </c>
    </row>
    <row r="1936" spans="1:28" x14ac:dyDescent="0.35">
      <c r="A1936" s="201">
        <v>50345</v>
      </c>
      <c r="B1936" t="s">
        <v>923</v>
      </c>
      <c r="C1936" t="s">
        <v>28</v>
      </c>
      <c r="D1936" t="s">
        <v>29</v>
      </c>
      <c r="E1936">
        <f>H1935</f>
        <v>3500</v>
      </c>
      <c r="F1936">
        <f>IFERROR(SUMIFS('Demand Inputs'!$K$5:$K$202,'Demand Inputs'!$A$5:$A$202,"47mg Clinical",'Demand Inputs'!$B$5:$B$202,"&lt;&gt;AGGREGATE",'Demand Inputs'!$E$5:$E$202,1),0)</f>
        <v>0</v>
      </c>
      <c r="G1936">
        <f>IFERROR(SUMPRODUCT(('Production Inputs'!$A:$A="47mg Clinical")*('Production Inputs'!$B:$B="TOTAL ACTIVE")*'Production Inputs'!$EW:$EW),0)</f>
        <v>0</v>
      </c>
      <c r="H1936">
        <f t="shared" si="222"/>
        <v>3500</v>
      </c>
      <c r="I1936" s="30">
        <f ca="1">IFERROR(AVERAGEIF(OFFSET(F1936,0,0,MIN(Controls!$B$8,COUNTIF(B1936:B$1973,B1936)),1),"&gt;"&amp;0),0)</f>
        <v>0</v>
      </c>
      <c r="J1936">
        <f t="shared" ca="1" si="223"/>
        <v>999</v>
      </c>
      <c r="K1936">
        <f t="shared" ca="1" si="224"/>
        <v>0</v>
      </c>
      <c r="L1936" t="str">
        <f t="shared" ca="1" si="225"/>
        <v>Overstock</v>
      </c>
      <c r="M1936">
        <f>IFERROR(VLOOKUP("47mg Clinical",Controls!A:I,7,0),6)</f>
        <v>6</v>
      </c>
      <c r="N1936">
        <f>IFERROR(VLOOKUP("47mg Clinical",Controls!A:I,8,0),3)</f>
        <v>4</v>
      </c>
      <c r="O1936">
        <f>IFERROR(VLOOKUP("47mg Clinical",Controls!A:I,9,0),18)</f>
        <v>12</v>
      </c>
      <c r="P1936">
        <f>IFERROR(VLOOKUP("47mg Clinical",Controls!A:J,5,0),0)</f>
        <v>1</v>
      </c>
      <c r="Q1936">
        <f>IFERROR(VLOOKUP("47mg Clinical",Controls!A:J,6,0),3)</f>
        <v>3</v>
      </c>
      <c r="R1936" t="str">
        <f>IFERROR(VLOOKUP("47mg Clinical",Controls!A:K,10,0),"")</f>
        <v>Fisher Clinical</v>
      </c>
      <c r="S1936">
        <f t="shared" si="226"/>
        <v>50253</v>
      </c>
      <c r="T1936">
        <f t="shared" si="227"/>
        <v>0</v>
      </c>
      <c r="AB1936">
        <f t="shared" si="228"/>
        <v>0</v>
      </c>
    </row>
    <row r="1937" spans="1:28" x14ac:dyDescent="0.35">
      <c r="A1937" s="201">
        <v>50375</v>
      </c>
      <c r="B1937" t="s">
        <v>923</v>
      </c>
      <c r="C1937" t="s">
        <v>28</v>
      </c>
      <c r="D1937" t="s">
        <v>29</v>
      </c>
      <c r="E1937">
        <f>H1936</f>
        <v>3500</v>
      </c>
      <c r="F1937">
        <f>IFERROR(SUMIFS('Demand Inputs'!$K$5:$K$202,'Demand Inputs'!$A$5:$A$202,"47mg Clinical",'Demand Inputs'!$B$5:$B$202,"&lt;&gt;AGGREGATE",'Demand Inputs'!$E$5:$E$202,1),0)</f>
        <v>0</v>
      </c>
      <c r="G1937">
        <f>IFERROR(SUMPRODUCT(('Production Inputs'!$A:$A="47mg Clinical")*('Production Inputs'!$B:$B="TOTAL ACTIVE")*'Production Inputs'!$EX:$EX),0)</f>
        <v>0</v>
      </c>
      <c r="H1937">
        <f t="shared" si="222"/>
        <v>3500</v>
      </c>
      <c r="I1937" s="30">
        <f ca="1">IFERROR(AVERAGEIF(OFFSET(F1937,0,0,MIN(Controls!$B$8,COUNTIF(B1937:B$1973,B1937)),1),"&gt;"&amp;0),0)</f>
        <v>0</v>
      </c>
      <c r="J1937">
        <f t="shared" ca="1" si="223"/>
        <v>999</v>
      </c>
      <c r="K1937">
        <f t="shared" ca="1" si="224"/>
        <v>0</v>
      </c>
      <c r="L1937" t="str">
        <f t="shared" ca="1" si="225"/>
        <v>Overstock</v>
      </c>
      <c r="M1937">
        <f>IFERROR(VLOOKUP("47mg Clinical",Controls!A:I,7,0),6)</f>
        <v>6</v>
      </c>
      <c r="N1937">
        <f>IFERROR(VLOOKUP("47mg Clinical",Controls!A:I,8,0),3)</f>
        <v>4</v>
      </c>
      <c r="O1937">
        <f>IFERROR(VLOOKUP("47mg Clinical",Controls!A:I,9,0),18)</f>
        <v>12</v>
      </c>
      <c r="P1937">
        <f>IFERROR(VLOOKUP("47mg Clinical",Controls!A:J,5,0),0)</f>
        <v>1</v>
      </c>
      <c r="Q1937">
        <f>IFERROR(VLOOKUP("47mg Clinical",Controls!A:J,6,0),3)</f>
        <v>3</v>
      </c>
      <c r="R1937" t="str">
        <f>IFERROR(VLOOKUP("47mg Clinical",Controls!A:K,10,0),"")</f>
        <v>Fisher Clinical</v>
      </c>
      <c r="S1937">
        <f t="shared" si="226"/>
        <v>50284</v>
      </c>
      <c r="T1937">
        <f t="shared" si="227"/>
        <v>0</v>
      </c>
      <c r="AB1937">
        <f t="shared" si="228"/>
        <v>0</v>
      </c>
    </row>
    <row r="1938" spans="1:28" x14ac:dyDescent="0.35">
      <c r="A1938" s="201">
        <v>50406</v>
      </c>
      <c r="B1938" t="s">
        <v>923</v>
      </c>
      <c r="C1938" t="s">
        <v>28</v>
      </c>
      <c r="D1938" t="s">
        <v>29</v>
      </c>
      <c r="E1938">
        <f>H1937</f>
        <v>3500</v>
      </c>
      <c r="F1938">
        <f>IFERROR(SUMIFS('Demand Inputs'!$K$5:$K$202,'Demand Inputs'!$A$5:$A$202,"47mg Clinical",'Demand Inputs'!$B$5:$B$202,"&lt;&gt;AGGREGATE",'Demand Inputs'!$E$5:$E$202,1),0)</f>
        <v>0</v>
      </c>
      <c r="G1938">
        <f>IFERROR(SUMPRODUCT(('Production Inputs'!$A:$A="47mg Clinical")*('Production Inputs'!$B:$B="TOTAL ACTIVE")*'Production Inputs'!$EY:$EY),0)</f>
        <v>0</v>
      </c>
      <c r="H1938">
        <f t="shared" si="222"/>
        <v>3500</v>
      </c>
      <c r="I1938" s="30">
        <f ca="1">IFERROR(AVERAGEIF(OFFSET(F1938,0,0,MIN(Controls!$B$8,COUNTIF(B1938:B$1973,B1938)),1),"&gt;"&amp;0),0)</f>
        <v>0</v>
      </c>
      <c r="J1938">
        <f t="shared" ca="1" si="223"/>
        <v>999</v>
      </c>
      <c r="K1938">
        <f t="shared" ca="1" si="224"/>
        <v>0</v>
      </c>
      <c r="L1938" t="str">
        <f t="shared" ca="1" si="225"/>
        <v>Overstock</v>
      </c>
      <c r="M1938">
        <f>IFERROR(VLOOKUP("47mg Clinical",Controls!A:I,7,0),6)</f>
        <v>6</v>
      </c>
      <c r="N1938">
        <f>IFERROR(VLOOKUP("47mg Clinical",Controls!A:I,8,0),3)</f>
        <v>4</v>
      </c>
      <c r="O1938">
        <f>IFERROR(VLOOKUP("47mg Clinical",Controls!A:I,9,0),18)</f>
        <v>12</v>
      </c>
      <c r="P1938">
        <f>IFERROR(VLOOKUP("47mg Clinical",Controls!A:J,5,0),0)</f>
        <v>1</v>
      </c>
      <c r="Q1938">
        <f>IFERROR(VLOOKUP("47mg Clinical",Controls!A:J,6,0),3)</f>
        <v>3</v>
      </c>
      <c r="R1938" t="str">
        <f>IFERROR(VLOOKUP("47mg Clinical",Controls!A:K,10,0),"")</f>
        <v>Fisher Clinical</v>
      </c>
      <c r="S1938">
        <f t="shared" si="226"/>
        <v>50314</v>
      </c>
      <c r="T1938">
        <f t="shared" si="227"/>
        <v>0</v>
      </c>
      <c r="AB1938">
        <f t="shared" si="228"/>
        <v>0</v>
      </c>
    </row>
    <row r="1939" spans="1:28" x14ac:dyDescent="0.35">
      <c r="A1939" s="201">
        <v>50437</v>
      </c>
      <c r="B1939" t="s">
        <v>923</v>
      </c>
      <c r="C1939" t="s">
        <v>28</v>
      </c>
      <c r="D1939" t="s">
        <v>29</v>
      </c>
      <c r="E1939">
        <f>H1938</f>
        <v>3500</v>
      </c>
      <c r="F1939">
        <f>IFERROR(SUMIFS('Demand Inputs'!$K$5:$K$202,'Demand Inputs'!$A$5:$A$202,"47mg Clinical",'Demand Inputs'!$B$5:$B$202,"&lt;&gt;AGGREGATE",'Demand Inputs'!$E$5:$E$202,1),0)</f>
        <v>0</v>
      </c>
      <c r="G1939">
        <f>IFERROR(SUMPRODUCT(('Production Inputs'!$A:$A="47mg Clinical")*('Production Inputs'!$B:$B="TOTAL ACTIVE")*'Production Inputs'!$EZ:$EZ),0)</f>
        <v>0</v>
      </c>
      <c r="H1939">
        <f t="shared" si="222"/>
        <v>3500</v>
      </c>
      <c r="I1939" s="30">
        <f ca="1">IFERROR(AVERAGEIF(OFFSET(F1939,0,0,MIN(Controls!$B$8,COUNTIF(B1939:B$1973,B1939)),1),"&gt;"&amp;0),0)</f>
        <v>0</v>
      </c>
      <c r="J1939">
        <f t="shared" ca="1" si="223"/>
        <v>999</v>
      </c>
      <c r="K1939">
        <f t="shared" ca="1" si="224"/>
        <v>0</v>
      </c>
      <c r="L1939" t="str">
        <f t="shared" ca="1" si="225"/>
        <v>Overstock</v>
      </c>
      <c r="M1939">
        <f>IFERROR(VLOOKUP("47mg Clinical",Controls!A:I,7,0),6)</f>
        <v>6</v>
      </c>
      <c r="N1939">
        <f>IFERROR(VLOOKUP("47mg Clinical",Controls!A:I,8,0),3)</f>
        <v>4</v>
      </c>
      <c r="O1939">
        <f>IFERROR(VLOOKUP("47mg Clinical",Controls!A:I,9,0),18)</f>
        <v>12</v>
      </c>
      <c r="P1939">
        <f>IFERROR(VLOOKUP("47mg Clinical",Controls!A:J,5,0),0)</f>
        <v>1</v>
      </c>
      <c r="Q1939">
        <f>IFERROR(VLOOKUP("47mg Clinical",Controls!A:J,6,0),3)</f>
        <v>3</v>
      </c>
      <c r="R1939" t="str">
        <f>IFERROR(VLOOKUP("47mg Clinical",Controls!A:K,10,0),"")</f>
        <v>Fisher Clinical</v>
      </c>
      <c r="S1939">
        <f t="shared" si="226"/>
        <v>50345</v>
      </c>
      <c r="T1939">
        <f t="shared" si="227"/>
        <v>0</v>
      </c>
      <c r="AB1939">
        <f t="shared" si="228"/>
        <v>0</v>
      </c>
    </row>
    <row r="1940" spans="1:28" x14ac:dyDescent="0.35">
      <c r="A1940" s="201">
        <v>50465</v>
      </c>
      <c r="B1940" t="s">
        <v>923</v>
      </c>
      <c r="C1940" t="s">
        <v>28</v>
      </c>
      <c r="D1940" t="s">
        <v>29</v>
      </c>
      <c r="E1940">
        <f>H1939</f>
        <v>3500</v>
      </c>
      <c r="F1940">
        <f>IFERROR(SUMIFS('Demand Inputs'!$K$5:$K$202,'Demand Inputs'!$A$5:$A$202,"47mg Clinical",'Demand Inputs'!$B$5:$B$202,"&lt;&gt;AGGREGATE",'Demand Inputs'!$E$5:$E$202,1),0)</f>
        <v>0</v>
      </c>
      <c r="G1940">
        <f>IFERROR(SUMPRODUCT(('Production Inputs'!$A:$A="47mg Clinical")*('Production Inputs'!$B:$B="TOTAL ACTIVE")*'Production Inputs'!$FA:$FA),0)</f>
        <v>0</v>
      </c>
      <c r="H1940">
        <f t="shared" si="222"/>
        <v>3500</v>
      </c>
      <c r="I1940" s="30">
        <f ca="1">IFERROR(AVERAGEIF(OFFSET(F1940,0,0,MIN(Controls!$B$8,COUNTIF(B1940:B$1973,B1940)),1),"&gt;"&amp;0),0)</f>
        <v>0</v>
      </c>
      <c r="J1940">
        <f t="shared" ca="1" si="223"/>
        <v>999</v>
      </c>
      <c r="K1940">
        <f t="shared" ca="1" si="224"/>
        <v>0</v>
      </c>
      <c r="L1940" t="str">
        <f t="shared" ca="1" si="225"/>
        <v>Overstock</v>
      </c>
      <c r="M1940">
        <f>IFERROR(VLOOKUP("47mg Clinical",Controls!A:I,7,0),6)</f>
        <v>6</v>
      </c>
      <c r="N1940">
        <f>IFERROR(VLOOKUP("47mg Clinical",Controls!A:I,8,0),3)</f>
        <v>4</v>
      </c>
      <c r="O1940">
        <f>IFERROR(VLOOKUP("47mg Clinical",Controls!A:I,9,0),18)</f>
        <v>12</v>
      </c>
      <c r="P1940">
        <f>IFERROR(VLOOKUP("47mg Clinical",Controls!A:J,5,0),0)</f>
        <v>1</v>
      </c>
      <c r="Q1940">
        <f>IFERROR(VLOOKUP("47mg Clinical",Controls!A:J,6,0),3)</f>
        <v>3</v>
      </c>
      <c r="R1940" t="str">
        <f>IFERROR(VLOOKUP("47mg Clinical",Controls!A:K,10,0),"")</f>
        <v>Fisher Clinical</v>
      </c>
      <c r="S1940">
        <f t="shared" si="226"/>
        <v>50375</v>
      </c>
      <c r="T1940">
        <f t="shared" si="227"/>
        <v>0</v>
      </c>
      <c r="AB1940">
        <f t="shared" si="228"/>
        <v>0</v>
      </c>
    </row>
    <row r="1941" spans="1:28" x14ac:dyDescent="0.35">
      <c r="A1941" s="201">
        <v>50496</v>
      </c>
      <c r="B1941" t="s">
        <v>923</v>
      </c>
      <c r="C1941" t="s">
        <v>28</v>
      </c>
      <c r="D1941" t="s">
        <v>29</v>
      </c>
      <c r="E1941">
        <f>H1940</f>
        <v>3500</v>
      </c>
      <c r="F1941">
        <f>IFERROR(SUMIFS('Demand Inputs'!$K$5:$K$202,'Demand Inputs'!$A$5:$A$202,"47mg Clinical",'Demand Inputs'!$B$5:$B$202,"&lt;&gt;AGGREGATE",'Demand Inputs'!$E$5:$E$202,1),0)</f>
        <v>0</v>
      </c>
      <c r="G1941">
        <f>IFERROR(SUMPRODUCT(('Production Inputs'!$A:$A="47mg Clinical")*('Production Inputs'!$B:$B="TOTAL ACTIVE")*'Production Inputs'!$FB:$FB),0)</f>
        <v>0</v>
      </c>
      <c r="H1941">
        <f t="shared" si="222"/>
        <v>3500</v>
      </c>
      <c r="I1941" s="30">
        <f ca="1">IFERROR(AVERAGEIF(OFFSET(F1941,0,0,MIN(Controls!$B$8,COUNTIF(B1941:B$1973,B1941)),1),"&gt;"&amp;0),0)</f>
        <v>0</v>
      </c>
      <c r="J1941">
        <f t="shared" ca="1" si="223"/>
        <v>999</v>
      </c>
      <c r="K1941">
        <f t="shared" ca="1" si="224"/>
        <v>0</v>
      </c>
      <c r="L1941" t="str">
        <f t="shared" ca="1" si="225"/>
        <v>Overstock</v>
      </c>
      <c r="M1941">
        <f>IFERROR(VLOOKUP("47mg Clinical",Controls!A:I,7,0),6)</f>
        <v>6</v>
      </c>
      <c r="N1941">
        <f>IFERROR(VLOOKUP("47mg Clinical",Controls!A:I,8,0),3)</f>
        <v>4</v>
      </c>
      <c r="O1941">
        <f>IFERROR(VLOOKUP("47mg Clinical",Controls!A:I,9,0),18)</f>
        <v>12</v>
      </c>
      <c r="P1941">
        <f>IFERROR(VLOOKUP("47mg Clinical",Controls!A:J,5,0),0)</f>
        <v>1</v>
      </c>
      <c r="Q1941">
        <f>IFERROR(VLOOKUP("47mg Clinical",Controls!A:J,6,0),3)</f>
        <v>3</v>
      </c>
      <c r="R1941" t="str">
        <f>IFERROR(VLOOKUP("47mg Clinical",Controls!A:K,10,0),"")</f>
        <v>Fisher Clinical</v>
      </c>
      <c r="S1941">
        <f t="shared" si="226"/>
        <v>50406</v>
      </c>
      <c r="T1941">
        <f t="shared" si="227"/>
        <v>0</v>
      </c>
      <c r="AB1941">
        <f t="shared" si="228"/>
        <v>0</v>
      </c>
    </row>
    <row r="1942" spans="1:28" x14ac:dyDescent="0.35">
      <c r="A1942" s="201">
        <v>50526</v>
      </c>
      <c r="B1942" t="s">
        <v>923</v>
      </c>
      <c r="C1942" t="s">
        <v>28</v>
      </c>
      <c r="D1942" t="s">
        <v>29</v>
      </c>
      <c r="E1942">
        <f>H1941</f>
        <v>3500</v>
      </c>
      <c r="F1942">
        <f>IFERROR(SUMIFS('Demand Inputs'!$K$5:$K$202,'Demand Inputs'!$A$5:$A$202,"47mg Clinical",'Demand Inputs'!$B$5:$B$202,"&lt;&gt;AGGREGATE",'Demand Inputs'!$E$5:$E$202,1),0)</f>
        <v>0</v>
      </c>
      <c r="G1942">
        <f>IFERROR(SUMPRODUCT(('Production Inputs'!$A:$A="47mg Clinical")*('Production Inputs'!$B:$B="TOTAL ACTIVE")*'Production Inputs'!$FC:$FC),0)</f>
        <v>0</v>
      </c>
      <c r="H1942">
        <f t="shared" si="222"/>
        <v>3500</v>
      </c>
      <c r="I1942" s="30">
        <f ca="1">IFERROR(AVERAGEIF(OFFSET(F1942,0,0,MIN(Controls!$B$8,COUNTIF(B1942:B$1973,B1942)),1),"&gt;"&amp;0),0)</f>
        <v>0</v>
      </c>
      <c r="J1942">
        <f t="shared" ca="1" si="223"/>
        <v>999</v>
      </c>
      <c r="K1942">
        <f t="shared" ca="1" si="224"/>
        <v>0</v>
      </c>
      <c r="L1942" t="str">
        <f t="shared" ca="1" si="225"/>
        <v>Overstock</v>
      </c>
      <c r="M1942">
        <f>IFERROR(VLOOKUP("47mg Clinical",Controls!A:I,7,0),6)</f>
        <v>6</v>
      </c>
      <c r="N1942">
        <f>IFERROR(VLOOKUP("47mg Clinical",Controls!A:I,8,0),3)</f>
        <v>4</v>
      </c>
      <c r="O1942">
        <f>IFERROR(VLOOKUP("47mg Clinical",Controls!A:I,9,0),18)</f>
        <v>12</v>
      </c>
      <c r="P1942">
        <f>IFERROR(VLOOKUP("47mg Clinical",Controls!A:J,5,0),0)</f>
        <v>1</v>
      </c>
      <c r="Q1942">
        <f>IFERROR(VLOOKUP("47mg Clinical",Controls!A:J,6,0),3)</f>
        <v>3</v>
      </c>
      <c r="R1942" t="str">
        <f>IFERROR(VLOOKUP("47mg Clinical",Controls!A:K,10,0),"")</f>
        <v>Fisher Clinical</v>
      </c>
      <c r="S1942">
        <f t="shared" si="226"/>
        <v>50437</v>
      </c>
      <c r="T1942">
        <f t="shared" si="227"/>
        <v>0</v>
      </c>
      <c r="AB1942">
        <f t="shared" si="228"/>
        <v>0</v>
      </c>
    </row>
    <row r="1943" spans="1:28" x14ac:dyDescent="0.35">
      <c r="A1943" s="201">
        <v>50557</v>
      </c>
      <c r="B1943" t="s">
        <v>923</v>
      </c>
      <c r="C1943" t="s">
        <v>28</v>
      </c>
      <c r="D1943" t="s">
        <v>29</v>
      </c>
      <c r="E1943">
        <f>H1942</f>
        <v>3500</v>
      </c>
      <c r="F1943">
        <f>IFERROR(SUMIFS('Demand Inputs'!$K$5:$K$202,'Demand Inputs'!$A$5:$A$202,"47mg Clinical",'Demand Inputs'!$B$5:$B$202,"&lt;&gt;AGGREGATE",'Demand Inputs'!$E$5:$E$202,1),0)</f>
        <v>0</v>
      </c>
      <c r="G1943">
        <f>IFERROR(SUMPRODUCT(('Production Inputs'!$A:$A="47mg Clinical")*('Production Inputs'!$B:$B="TOTAL ACTIVE")*'Production Inputs'!$FD:$FD),0)</f>
        <v>0</v>
      </c>
      <c r="H1943">
        <f t="shared" si="222"/>
        <v>3500</v>
      </c>
      <c r="I1943" s="30">
        <f ca="1">IFERROR(AVERAGEIF(OFFSET(F1943,0,0,MIN(Controls!$B$8,COUNTIF(B1943:B$1973,B1943)),1),"&gt;"&amp;0),0)</f>
        <v>0</v>
      </c>
      <c r="J1943">
        <f t="shared" ca="1" si="223"/>
        <v>999</v>
      </c>
      <c r="K1943">
        <f t="shared" ca="1" si="224"/>
        <v>0</v>
      </c>
      <c r="L1943" t="str">
        <f t="shared" ca="1" si="225"/>
        <v>Overstock</v>
      </c>
      <c r="M1943">
        <f>IFERROR(VLOOKUP("47mg Clinical",Controls!A:I,7,0),6)</f>
        <v>6</v>
      </c>
      <c r="N1943">
        <f>IFERROR(VLOOKUP("47mg Clinical",Controls!A:I,8,0),3)</f>
        <v>4</v>
      </c>
      <c r="O1943">
        <f>IFERROR(VLOOKUP("47mg Clinical",Controls!A:I,9,0),18)</f>
        <v>12</v>
      </c>
      <c r="P1943">
        <f>IFERROR(VLOOKUP("47mg Clinical",Controls!A:J,5,0),0)</f>
        <v>1</v>
      </c>
      <c r="Q1943">
        <f>IFERROR(VLOOKUP("47mg Clinical",Controls!A:J,6,0),3)</f>
        <v>3</v>
      </c>
      <c r="R1943" t="str">
        <f>IFERROR(VLOOKUP("47mg Clinical",Controls!A:K,10,0),"")</f>
        <v>Fisher Clinical</v>
      </c>
      <c r="S1943">
        <f t="shared" si="226"/>
        <v>50465</v>
      </c>
      <c r="T1943">
        <f t="shared" si="227"/>
        <v>0</v>
      </c>
      <c r="AB1943">
        <f t="shared" si="228"/>
        <v>0</v>
      </c>
    </row>
    <row r="1944" spans="1:28" x14ac:dyDescent="0.35">
      <c r="A1944" s="201">
        <v>50587</v>
      </c>
      <c r="B1944" t="s">
        <v>923</v>
      </c>
      <c r="C1944" t="s">
        <v>28</v>
      </c>
      <c r="D1944" t="s">
        <v>29</v>
      </c>
      <c r="E1944">
        <f>H1943</f>
        <v>3500</v>
      </c>
      <c r="F1944">
        <f>IFERROR(SUMIFS('Demand Inputs'!$K$5:$K$202,'Demand Inputs'!$A$5:$A$202,"47mg Clinical",'Demand Inputs'!$B$5:$B$202,"&lt;&gt;AGGREGATE",'Demand Inputs'!$E$5:$E$202,1),0)</f>
        <v>0</v>
      </c>
      <c r="G1944">
        <f>IFERROR(SUMPRODUCT(('Production Inputs'!$A:$A="47mg Clinical")*('Production Inputs'!$B:$B="TOTAL ACTIVE")*'Production Inputs'!$FE:$FE),0)</f>
        <v>0</v>
      </c>
      <c r="H1944">
        <f t="shared" si="222"/>
        <v>3500</v>
      </c>
      <c r="I1944" s="30">
        <f ca="1">IFERROR(AVERAGEIF(OFFSET(F1944,0,0,MIN(Controls!$B$8,COUNTIF(B1944:B$1973,B1944)),1),"&gt;"&amp;0),0)</f>
        <v>0</v>
      </c>
      <c r="J1944">
        <f t="shared" ca="1" si="223"/>
        <v>999</v>
      </c>
      <c r="K1944">
        <f t="shared" ca="1" si="224"/>
        <v>0</v>
      </c>
      <c r="L1944" t="str">
        <f t="shared" ca="1" si="225"/>
        <v>Overstock</v>
      </c>
      <c r="M1944">
        <f>IFERROR(VLOOKUP("47mg Clinical",Controls!A:I,7,0),6)</f>
        <v>6</v>
      </c>
      <c r="N1944">
        <f>IFERROR(VLOOKUP("47mg Clinical",Controls!A:I,8,0),3)</f>
        <v>4</v>
      </c>
      <c r="O1944">
        <f>IFERROR(VLOOKUP("47mg Clinical",Controls!A:I,9,0),18)</f>
        <v>12</v>
      </c>
      <c r="P1944">
        <f>IFERROR(VLOOKUP("47mg Clinical",Controls!A:J,5,0),0)</f>
        <v>1</v>
      </c>
      <c r="Q1944">
        <f>IFERROR(VLOOKUP("47mg Clinical",Controls!A:J,6,0),3)</f>
        <v>3</v>
      </c>
      <c r="R1944" t="str">
        <f>IFERROR(VLOOKUP("47mg Clinical",Controls!A:K,10,0),"")</f>
        <v>Fisher Clinical</v>
      </c>
      <c r="S1944">
        <f t="shared" si="226"/>
        <v>50496</v>
      </c>
      <c r="T1944">
        <f t="shared" si="227"/>
        <v>0</v>
      </c>
      <c r="AB1944">
        <f t="shared" si="228"/>
        <v>0</v>
      </c>
    </row>
    <row r="1945" spans="1:28" x14ac:dyDescent="0.35">
      <c r="A1945" s="201">
        <v>50618</v>
      </c>
      <c r="B1945" t="s">
        <v>923</v>
      </c>
      <c r="C1945" t="s">
        <v>28</v>
      </c>
      <c r="D1945" t="s">
        <v>29</v>
      </c>
      <c r="E1945">
        <f>H1944</f>
        <v>3500</v>
      </c>
      <c r="F1945">
        <f>IFERROR(SUMIFS('Demand Inputs'!$K$5:$K$202,'Demand Inputs'!$A$5:$A$202,"47mg Clinical",'Demand Inputs'!$B$5:$B$202,"&lt;&gt;AGGREGATE",'Demand Inputs'!$E$5:$E$202,1),0)</f>
        <v>0</v>
      </c>
      <c r="G1945">
        <f>IFERROR(SUMPRODUCT(('Production Inputs'!$A:$A="47mg Clinical")*('Production Inputs'!$B:$B="TOTAL ACTIVE")*'Production Inputs'!$FF:$FF),0)</f>
        <v>0</v>
      </c>
      <c r="H1945">
        <f t="shared" si="222"/>
        <v>3500</v>
      </c>
      <c r="I1945" s="30">
        <f ca="1">IFERROR(AVERAGEIF(OFFSET(F1945,0,0,MIN(Controls!$B$8,COUNTIF(B1945:B$1973,B1945)),1),"&gt;"&amp;0),0)</f>
        <v>0</v>
      </c>
      <c r="J1945">
        <f t="shared" ca="1" si="223"/>
        <v>999</v>
      </c>
      <c r="K1945">
        <f t="shared" ca="1" si="224"/>
        <v>0</v>
      </c>
      <c r="L1945" t="str">
        <f t="shared" ca="1" si="225"/>
        <v>Overstock</v>
      </c>
      <c r="M1945">
        <f>IFERROR(VLOOKUP("47mg Clinical",Controls!A:I,7,0),6)</f>
        <v>6</v>
      </c>
      <c r="N1945">
        <f>IFERROR(VLOOKUP("47mg Clinical",Controls!A:I,8,0),3)</f>
        <v>4</v>
      </c>
      <c r="O1945">
        <f>IFERROR(VLOOKUP("47mg Clinical",Controls!A:I,9,0),18)</f>
        <v>12</v>
      </c>
      <c r="P1945">
        <f>IFERROR(VLOOKUP("47mg Clinical",Controls!A:J,5,0),0)</f>
        <v>1</v>
      </c>
      <c r="Q1945">
        <f>IFERROR(VLOOKUP("47mg Clinical",Controls!A:J,6,0),3)</f>
        <v>3</v>
      </c>
      <c r="R1945" t="str">
        <f>IFERROR(VLOOKUP("47mg Clinical",Controls!A:K,10,0),"")</f>
        <v>Fisher Clinical</v>
      </c>
      <c r="S1945">
        <f t="shared" si="226"/>
        <v>50526</v>
      </c>
      <c r="T1945">
        <f t="shared" si="227"/>
        <v>0</v>
      </c>
      <c r="AB1945">
        <f t="shared" si="228"/>
        <v>0</v>
      </c>
    </row>
    <row r="1946" spans="1:28" x14ac:dyDescent="0.35">
      <c r="A1946" s="201">
        <v>50649</v>
      </c>
      <c r="B1946" t="s">
        <v>923</v>
      </c>
      <c r="C1946" t="s">
        <v>28</v>
      </c>
      <c r="D1946" t="s">
        <v>29</v>
      </c>
      <c r="E1946">
        <f>H1945</f>
        <v>3500</v>
      </c>
      <c r="F1946">
        <f>IFERROR(SUMIFS('Demand Inputs'!$K$5:$K$202,'Demand Inputs'!$A$5:$A$202,"47mg Clinical",'Demand Inputs'!$B$5:$B$202,"&lt;&gt;AGGREGATE",'Demand Inputs'!$E$5:$E$202,1),0)</f>
        <v>0</v>
      </c>
      <c r="G1946">
        <f>IFERROR(SUMPRODUCT(('Production Inputs'!$A:$A="47mg Clinical")*('Production Inputs'!$B:$B="TOTAL ACTIVE")*'Production Inputs'!$FG:$FG),0)</f>
        <v>0</v>
      </c>
      <c r="H1946">
        <f t="shared" si="222"/>
        <v>3500</v>
      </c>
      <c r="I1946" s="30">
        <f ca="1">IFERROR(AVERAGEIF(OFFSET(F1946,0,0,MIN(Controls!$B$8,COUNTIF(B1946:B$1973,B1946)),1),"&gt;"&amp;0),0)</f>
        <v>0</v>
      </c>
      <c r="J1946">
        <f t="shared" ca="1" si="223"/>
        <v>999</v>
      </c>
      <c r="K1946">
        <f t="shared" ca="1" si="224"/>
        <v>0</v>
      </c>
      <c r="L1946" t="str">
        <f t="shared" ca="1" si="225"/>
        <v>Overstock</v>
      </c>
      <c r="M1946">
        <f>IFERROR(VLOOKUP("47mg Clinical",Controls!A:I,7,0),6)</f>
        <v>6</v>
      </c>
      <c r="N1946">
        <f>IFERROR(VLOOKUP("47mg Clinical",Controls!A:I,8,0),3)</f>
        <v>4</v>
      </c>
      <c r="O1946">
        <f>IFERROR(VLOOKUP("47mg Clinical",Controls!A:I,9,0),18)</f>
        <v>12</v>
      </c>
      <c r="P1946">
        <f>IFERROR(VLOOKUP("47mg Clinical",Controls!A:J,5,0),0)</f>
        <v>1</v>
      </c>
      <c r="Q1946">
        <f>IFERROR(VLOOKUP("47mg Clinical",Controls!A:J,6,0),3)</f>
        <v>3</v>
      </c>
      <c r="R1946" t="str">
        <f>IFERROR(VLOOKUP("47mg Clinical",Controls!A:K,10,0),"")</f>
        <v>Fisher Clinical</v>
      </c>
      <c r="S1946">
        <f t="shared" si="226"/>
        <v>50557</v>
      </c>
      <c r="T1946">
        <f t="shared" si="227"/>
        <v>0</v>
      </c>
      <c r="AB1946">
        <f t="shared" si="228"/>
        <v>0</v>
      </c>
    </row>
    <row r="1947" spans="1:28" x14ac:dyDescent="0.35">
      <c r="A1947" s="201">
        <v>50679</v>
      </c>
      <c r="B1947" t="s">
        <v>923</v>
      </c>
      <c r="C1947" t="s">
        <v>28</v>
      </c>
      <c r="D1947" t="s">
        <v>29</v>
      </c>
      <c r="E1947">
        <f>H1946</f>
        <v>3500</v>
      </c>
      <c r="F1947">
        <f>IFERROR(SUMIFS('Demand Inputs'!$K$5:$K$202,'Demand Inputs'!$A$5:$A$202,"47mg Clinical",'Demand Inputs'!$B$5:$B$202,"&lt;&gt;AGGREGATE",'Demand Inputs'!$E$5:$E$202,1),0)</f>
        <v>0</v>
      </c>
      <c r="G1947">
        <f>IFERROR(SUMPRODUCT(('Production Inputs'!$A:$A="47mg Clinical")*('Production Inputs'!$B:$B="TOTAL ACTIVE")*'Production Inputs'!$FH:$FH),0)</f>
        <v>0</v>
      </c>
      <c r="H1947">
        <f t="shared" si="222"/>
        <v>3500</v>
      </c>
      <c r="I1947" s="30">
        <f ca="1">IFERROR(AVERAGEIF(OFFSET(F1947,0,0,MIN(Controls!$B$8,COUNTIF(B1947:B$1973,B1947)),1),"&gt;"&amp;0),0)</f>
        <v>0</v>
      </c>
      <c r="J1947">
        <f t="shared" ca="1" si="223"/>
        <v>999</v>
      </c>
      <c r="K1947">
        <f t="shared" ca="1" si="224"/>
        <v>0</v>
      </c>
      <c r="L1947" t="str">
        <f t="shared" ca="1" si="225"/>
        <v>Overstock</v>
      </c>
      <c r="M1947">
        <f>IFERROR(VLOOKUP("47mg Clinical",Controls!A:I,7,0),6)</f>
        <v>6</v>
      </c>
      <c r="N1947">
        <f>IFERROR(VLOOKUP("47mg Clinical",Controls!A:I,8,0),3)</f>
        <v>4</v>
      </c>
      <c r="O1947">
        <f>IFERROR(VLOOKUP("47mg Clinical",Controls!A:I,9,0),18)</f>
        <v>12</v>
      </c>
      <c r="P1947">
        <f>IFERROR(VLOOKUP("47mg Clinical",Controls!A:J,5,0),0)</f>
        <v>1</v>
      </c>
      <c r="Q1947">
        <f>IFERROR(VLOOKUP("47mg Clinical",Controls!A:J,6,0),3)</f>
        <v>3</v>
      </c>
      <c r="R1947" t="str">
        <f>IFERROR(VLOOKUP("47mg Clinical",Controls!A:K,10,0),"")</f>
        <v>Fisher Clinical</v>
      </c>
      <c r="S1947">
        <f t="shared" si="226"/>
        <v>50587</v>
      </c>
      <c r="T1947">
        <f t="shared" si="227"/>
        <v>0</v>
      </c>
      <c r="AB1947">
        <f t="shared" si="228"/>
        <v>0</v>
      </c>
    </row>
    <row r="1948" spans="1:28" x14ac:dyDescent="0.35">
      <c r="A1948" s="201">
        <v>50710</v>
      </c>
      <c r="B1948" t="s">
        <v>923</v>
      </c>
      <c r="C1948" t="s">
        <v>28</v>
      </c>
      <c r="D1948" t="s">
        <v>29</v>
      </c>
      <c r="E1948">
        <f>H1947</f>
        <v>3500</v>
      </c>
      <c r="F1948">
        <f>IFERROR(SUMIFS('Demand Inputs'!$K$5:$K$202,'Demand Inputs'!$A$5:$A$202,"47mg Clinical",'Demand Inputs'!$B$5:$B$202,"&lt;&gt;AGGREGATE",'Demand Inputs'!$E$5:$E$202,1),0)</f>
        <v>0</v>
      </c>
      <c r="G1948">
        <f>IFERROR(SUMPRODUCT(('Production Inputs'!$A:$A="47mg Clinical")*('Production Inputs'!$B:$B="TOTAL ACTIVE")*'Production Inputs'!$FI:$FI),0)</f>
        <v>0</v>
      </c>
      <c r="H1948">
        <f t="shared" si="222"/>
        <v>3500</v>
      </c>
      <c r="I1948" s="30">
        <f ca="1">IFERROR(AVERAGEIF(OFFSET(F1948,0,0,MIN(Controls!$B$8,COUNTIF(B1948:B$1973,B1948)),1),"&gt;"&amp;0),0)</f>
        <v>0</v>
      </c>
      <c r="J1948">
        <f t="shared" ca="1" si="223"/>
        <v>999</v>
      </c>
      <c r="K1948">
        <f t="shared" ca="1" si="224"/>
        <v>0</v>
      </c>
      <c r="L1948" t="str">
        <f t="shared" ca="1" si="225"/>
        <v>Overstock</v>
      </c>
      <c r="M1948">
        <f>IFERROR(VLOOKUP("47mg Clinical",Controls!A:I,7,0),6)</f>
        <v>6</v>
      </c>
      <c r="N1948">
        <f>IFERROR(VLOOKUP("47mg Clinical",Controls!A:I,8,0),3)</f>
        <v>4</v>
      </c>
      <c r="O1948">
        <f>IFERROR(VLOOKUP("47mg Clinical",Controls!A:I,9,0),18)</f>
        <v>12</v>
      </c>
      <c r="P1948">
        <f>IFERROR(VLOOKUP("47mg Clinical",Controls!A:J,5,0),0)</f>
        <v>1</v>
      </c>
      <c r="Q1948">
        <f>IFERROR(VLOOKUP("47mg Clinical",Controls!A:J,6,0),3)</f>
        <v>3</v>
      </c>
      <c r="R1948" t="str">
        <f>IFERROR(VLOOKUP("47mg Clinical",Controls!A:K,10,0),"")</f>
        <v>Fisher Clinical</v>
      </c>
      <c r="S1948">
        <f t="shared" si="226"/>
        <v>50618</v>
      </c>
      <c r="T1948">
        <f t="shared" si="227"/>
        <v>0</v>
      </c>
      <c r="AB1948">
        <f t="shared" si="228"/>
        <v>0</v>
      </c>
    </row>
    <row r="1949" spans="1:28" x14ac:dyDescent="0.35">
      <c r="A1949" s="201">
        <v>50740</v>
      </c>
      <c r="B1949" t="s">
        <v>923</v>
      </c>
      <c r="C1949" t="s">
        <v>28</v>
      </c>
      <c r="D1949" t="s">
        <v>29</v>
      </c>
      <c r="E1949">
        <f>H1948</f>
        <v>3500</v>
      </c>
      <c r="F1949">
        <f>IFERROR(SUMIFS('Demand Inputs'!$K$5:$K$202,'Demand Inputs'!$A$5:$A$202,"47mg Clinical",'Demand Inputs'!$B$5:$B$202,"&lt;&gt;AGGREGATE",'Demand Inputs'!$E$5:$E$202,1),0)</f>
        <v>0</v>
      </c>
      <c r="G1949">
        <f>IFERROR(SUMPRODUCT(('Production Inputs'!$A:$A="47mg Clinical")*('Production Inputs'!$B:$B="TOTAL ACTIVE")*'Production Inputs'!$FJ:$FJ),0)</f>
        <v>0</v>
      </c>
      <c r="H1949">
        <f t="shared" si="222"/>
        <v>3500</v>
      </c>
      <c r="I1949" s="30">
        <f ca="1">IFERROR(AVERAGEIF(OFFSET(F1949,0,0,MIN(Controls!$B$8,COUNTIF(B1949:B$1973,B1949)),1),"&gt;"&amp;0),0)</f>
        <v>0</v>
      </c>
      <c r="J1949">
        <f t="shared" ca="1" si="223"/>
        <v>999</v>
      </c>
      <c r="K1949">
        <f t="shared" ca="1" si="224"/>
        <v>0</v>
      </c>
      <c r="L1949" t="str">
        <f t="shared" ca="1" si="225"/>
        <v>Overstock</v>
      </c>
      <c r="M1949">
        <f>IFERROR(VLOOKUP("47mg Clinical",Controls!A:I,7,0),6)</f>
        <v>6</v>
      </c>
      <c r="N1949">
        <f>IFERROR(VLOOKUP("47mg Clinical",Controls!A:I,8,0),3)</f>
        <v>4</v>
      </c>
      <c r="O1949">
        <f>IFERROR(VLOOKUP("47mg Clinical",Controls!A:I,9,0),18)</f>
        <v>12</v>
      </c>
      <c r="P1949">
        <f>IFERROR(VLOOKUP("47mg Clinical",Controls!A:J,5,0),0)</f>
        <v>1</v>
      </c>
      <c r="Q1949">
        <f>IFERROR(VLOOKUP("47mg Clinical",Controls!A:J,6,0),3)</f>
        <v>3</v>
      </c>
      <c r="R1949" t="str">
        <f>IFERROR(VLOOKUP("47mg Clinical",Controls!A:K,10,0),"")</f>
        <v>Fisher Clinical</v>
      </c>
      <c r="S1949">
        <f t="shared" si="226"/>
        <v>50649</v>
      </c>
      <c r="T1949">
        <f t="shared" si="227"/>
        <v>0</v>
      </c>
      <c r="AB1949">
        <f t="shared" si="228"/>
        <v>0</v>
      </c>
    </row>
    <row r="1950" spans="1:28" x14ac:dyDescent="0.35">
      <c r="A1950" s="201">
        <v>50771</v>
      </c>
      <c r="B1950" t="s">
        <v>923</v>
      </c>
      <c r="C1950" t="s">
        <v>28</v>
      </c>
      <c r="D1950" t="s">
        <v>29</v>
      </c>
      <c r="E1950">
        <f>H1949</f>
        <v>3500</v>
      </c>
      <c r="F1950">
        <f>IFERROR(SUMIFS('Demand Inputs'!$K$5:$K$202,'Demand Inputs'!$A$5:$A$202,"47mg Clinical",'Demand Inputs'!$B$5:$B$202,"&lt;&gt;AGGREGATE",'Demand Inputs'!$E$5:$E$202,1),0)</f>
        <v>0</v>
      </c>
      <c r="G1950">
        <f>IFERROR(SUMPRODUCT(('Production Inputs'!$A:$A="47mg Clinical")*('Production Inputs'!$B:$B="TOTAL ACTIVE")*'Production Inputs'!$FK:$FK),0)</f>
        <v>0</v>
      </c>
      <c r="H1950">
        <f t="shared" si="222"/>
        <v>3500</v>
      </c>
      <c r="I1950" s="30">
        <f ca="1">IFERROR(AVERAGEIF(OFFSET(F1950,0,0,MIN(Controls!$B$8,COUNTIF(B1950:B$1973,B1950)),1),"&gt;"&amp;0),0)</f>
        <v>0</v>
      </c>
      <c r="J1950">
        <f t="shared" ca="1" si="223"/>
        <v>999</v>
      </c>
      <c r="K1950">
        <f t="shared" ca="1" si="224"/>
        <v>0</v>
      </c>
      <c r="L1950" t="str">
        <f t="shared" ca="1" si="225"/>
        <v>Overstock</v>
      </c>
      <c r="M1950">
        <f>IFERROR(VLOOKUP("47mg Clinical",Controls!A:I,7,0),6)</f>
        <v>6</v>
      </c>
      <c r="N1950">
        <f>IFERROR(VLOOKUP("47mg Clinical",Controls!A:I,8,0),3)</f>
        <v>4</v>
      </c>
      <c r="O1950">
        <f>IFERROR(VLOOKUP("47mg Clinical",Controls!A:I,9,0),18)</f>
        <v>12</v>
      </c>
      <c r="P1950">
        <f>IFERROR(VLOOKUP("47mg Clinical",Controls!A:J,5,0),0)</f>
        <v>1</v>
      </c>
      <c r="Q1950">
        <f>IFERROR(VLOOKUP("47mg Clinical",Controls!A:J,6,0),3)</f>
        <v>3</v>
      </c>
      <c r="R1950" t="str">
        <f>IFERROR(VLOOKUP("47mg Clinical",Controls!A:K,10,0),"")</f>
        <v>Fisher Clinical</v>
      </c>
      <c r="S1950">
        <f t="shared" si="226"/>
        <v>50679</v>
      </c>
      <c r="T1950">
        <f t="shared" si="227"/>
        <v>0</v>
      </c>
      <c r="AB1950">
        <f t="shared" si="228"/>
        <v>0</v>
      </c>
    </row>
    <row r="1951" spans="1:28" x14ac:dyDescent="0.35">
      <c r="A1951" s="201">
        <v>50802</v>
      </c>
      <c r="B1951" t="s">
        <v>923</v>
      </c>
      <c r="C1951" t="s">
        <v>28</v>
      </c>
      <c r="D1951" t="s">
        <v>29</v>
      </c>
      <c r="E1951">
        <f>H1950</f>
        <v>3500</v>
      </c>
      <c r="F1951">
        <f>IFERROR(SUMIFS('Demand Inputs'!$K$5:$K$202,'Demand Inputs'!$A$5:$A$202,"47mg Clinical",'Demand Inputs'!$B$5:$B$202,"&lt;&gt;AGGREGATE",'Demand Inputs'!$E$5:$E$202,1),0)</f>
        <v>0</v>
      </c>
      <c r="G1951">
        <f>IFERROR(SUMPRODUCT(('Production Inputs'!$A:$A="47mg Clinical")*('Production Inputs'!$B:$B="TOTAL ACTIVE")*'Production Inputs'!$FL:$FL),0)</f>
        <v>0</v>
      </c>
      <c r="H1951">
        <f t="shared" si="222"/>
        <v>3500</v>
      </c>
      <c r="I1951" s="30">
        <f ca="1">IFERROR(AVERAGEIF(OFFSET(F1951,0,0,MIN(Controls!$B$8,COUNTIF(B1951:B$1973,B1951)),1),"&gt;"&amp;0),0)</f>
        <v>0</v>
      </c>
      <c r="J1951">
        <f t="shared" ca="1" si="223"/>
        <v>999</v>
      </c>
      <c r="K1951">
        <f t="shared" ca="1" si="224"/>
        <v>0</v>
      </c>
      <c r="L1951" t="str">
        <f t="shared" ca="1" si="225"/>
        <v>Overstock</v>
      </c>
      <c r="M1951">
        <f>IFERROR(VLOOKUP("47mg Clinical",Controls!A:I,7,0),6)</f>
        <v>6</v>
      </c>
      <c r="N1951">
        <f>IFERROR(VLOOKUP("47mg Clinical",Controls!A:I,8,0),3)</f>
        <v>4</v>
      </c>
      <c r="O1951">
        <f>IFERROR(VLOOKUP("47mg Clinical",Controls!A:I,9,0),18)</f>
        <v>12</v>
      </c>
      <c r="P1951">
        <f>IFERROR(VLOOKUP("47mg Clinical",Controls!A:J,5,0),0)</f>
        <v>1</v>
      </c>
      <c r="Q1951">
        <f>IFERROR(VLOOKUP("47mg Clinical",Controls!A:J,6,0),3)</f>
        <v>3</v>
      </c>
      <c r="R1951" t="str">
        <f>IFERROR(VLOOKUP("47mg Clinical",Controls!A:K,10,0),"")</f>
        <v>Fisher Clinical</v>
      </c>
      <c r="S1951">
        <f t="shared" si="226"/>
        <v>50710</v>
      </c>
      <c r="T1951">
        <f t="shared" si="227"/>
        <v>0</v>
      </c>
      <c r="AB1951">
        <f t="shared" si="228"/>
        <v>0</v>
      </c>
    </row>
    <row r="1952" spans="1:28" x14ac:dyDescent="0.35">
      <c r="A1952" s="201">
        <v>50830</v>
      </c>
      <c r="B1952" t="s">
        <v>923</v>
      </c>
      <c r="C1952" t="s">
        <v>28</v>
      </c>
      <c r="D1952" t="s">
        <v>29</v>
      </c>
      <c r="E1952">
        <f>H1951</f>
        <v>3500</v>
      </c>
      <c r="F1952">
        <f>IFERROR(SUMIFS('Demand Inputs'!$K$5:$K$202,'Demand Inputs'!$A$5:$A$202,"47mg Clinical",'Demand Inputs'!$B$5:$B$202,"&lt;&gt;AGGREGATE",'Demand Inputs'!$E$5:$E$202,1),0)</f>
        <v>0</v>
      </c>
      <c r="G1952">
        <f>IFERROR(SUMPRODUCT(('Production Inputs'!$A:$A="47mg Clinical")*('Production Inputs'!$B:$B="TOTAL ACTIVE")*'Production Inputs'!$FM:$FM),0)</f>
        <v>0</v>
      </c>
      <c r="H1952">
        <f t="shared" si="222"/>
        <v>3500</v>
      </c>
      <c r="I1952" s="30">
        <f ca="1">IFERROR(AVERAGEIF(OFFSET(F1952,0,0,MIN(Controls!$B$8,COUNTIF(B1952:B$1973,B1952)),1),"&gt;"&amp;0),0)</f>
        <v>0</v>
      </c>
      <c r="J1952">
        <f t="shared" ca="1" si="223"/>
        <v>999</v>
      </c>
      <c r="K1952">
        <f t="shared" ca="1" si="224"/>
        <v>0</v>
      </c>
      <c r="L1952" t="str">
        <f t="shared" ca="1" si="225"/>
        <v>Overstock</v>
      </c>
      <c r="M1952">
        <f>IFERROR(VLOOKUP("47mg Clinical",Controls!A:I,7,0),6)</f>
        <v>6</v>
      </c>
      <c r="N1952">
        <f>IFERROR(VLOOKUP("47mg Clinical",Controls!A:I,8,0),3)</f>
        <v>4</v>
      </c>
      <c r="O1952">
        <f>IFERROR(VLOOKUP("47mg Clinical",Controls!A:I,9,0),18)</f>
        <v>12</v>
      </c>
      <c r="P1952">
        <f>IFERROR(VLOOKUP("47mg Clinical",Controls!A:J,5,0),0)</f>
        <v>1</v>
      </c>
      <c r="Q1952">
        <f>IFERROR(VLOOKUP("47mg Clinical",Controls!A:J,6,0),3)</f>
        <v>3</v>
      </c>
      <c r="R1952" t="str">
        <f>IFERROR(VLOOKUP("47mg Clinical",Controls!A:K,10,0),"")</f>
        <v>Fisher Clinical</v>
      </c>
      <c r="S1952">
        <f t="shared" si="226"/>
        <v>50740</v>
      </c>
      <c r="T1952">
        <f t="shared" si="227"/>
        <v>0</v>
      </c>
      <c r="AB1952">
        <f t="shared" si="228"/>
        <v>0</v>
      </c>
    </row>
    <row r="1953" spans="1:28" x14ac:dyDescent="0.35">
      <c r="A1953" s="201">
        <v>50861</v>
      </c>
      <c r="B1953" t="s">
        <v>923</v>
      </c>
      <c r="C1953" t="s">
        <v>28</v>
      </c>
      <c r="D1953" t="s">
        <v>29</v>
      </c>
      <c r="E1953">
        <f>H1952</f>
        <v>3500</v>
      </c>
      <c r="F1953">
        <f>IFERROR(SUMIFS('Demand Inputs'!$K$5:$K$202,'Demand Inputs'!$A$5:$A$202,"47mg Clinical",'Demand Inputs'!$B$5:$B$202,"&lt;&gt;AGGREGATE",'Demand Inputs'!$E$5:$E$202,1),0)</f>
        <v>0</v>
      </c>
      <c r="G1953">
        <f>IFERROR(SUMPRODUCT(('Production Inputs'!$A:$A="47mg Clinical")*('Production Inputs'!$B:$B="TOTAL ACTIVE")*'Production Inputs'!$FN:$FN),0)</f>
        <v>0</v>
      </c>
      <c r="H1953">
        <f t="shared" si="222"/>
        <v>3500</v>
      </c>
      <c r="I1953" s="30">
        <f ca="1">IFERROR(AVERAGEIF(OFFSET(F1953,0,0,MIN(Controls!$B$8,COUNTIF(B1953:B$1973,B1953)),1),"&gt;"&amp;0),0)</f>
        <v>0</v>
      </c>
      <c r="J1953">
        <f t="shared" ca="1" si="223"/>
        <v>999</v>
      </c>
      <c r="K1953">
        <f t="shared" ca="1" si="224"/>
        <v>0</v>
      </c>
      <c r="L1953" t="str">
        <f t="shared" ca="1" si="225"/>
        <v>Overstock</v>
      </c>
      <c r="M1953">
        <f>IFERROR(VLOOKUP("47mg Clinical",Controls!A:I,7,0),6)</f>
        <v>6</v>
      </c>
      <c r="N1953">
        <f>IFERROR(VLOOKUP("47mg Clinical",Controls!A:I,8,0),3)</f>
        <v>4</v>
      </c>
      <c r="O1953">
        <f>IFERROR(VLOOKUP("47mg Clinical",Controls!A:I,9,0),18)</f>
        <v>12</v>
      </c>
      <c r="P1953">
        <f>IFERROR(VLOOKUP("47mg Clinical",Controls!A:J,5,0),0)</f>
        <v>1</v>
      </c>
      <c r="Q1953">
        <f>IFERROR(VLOOKUP("47mg Clinical",Controls!A:J,6,0),3)</f>
        <v>3</v>
      </c>
      <c r="R1953" t="str">
        <f>IFERROR(VLOOKUP("47mg Clinical",Controls!A:K,10,0),"")</f>
        <v>Fisher Clinical</v>
      </c>
      <c r="S1953">
        <f t="shared" si="226"/>
        <v>50771</v>
      </c>
      <c r="T1953">
        <f t="shared" si="227"/>
        <v>0</v>
      </c>
      <c r="AB1953">
        <f t="shared" si="228"/>
        <v>0</v>
      </c>
    </row>
    <row r="1954" spans="1:28" x14ac:dyDescent="0.35">
      <c r="A1954" s="201">
        <v>50891</v>
      </c>
      <c r="B1954" t="s">
        <v>923</v>
      </c>
      <c r="C1954" t="s">
        <v>28</v>
      </c>
      <c r="D1954" t="s">
        <v>29</v>
      </c>
      <c r="E1954">
        <f>H1953</f>
        <v>3500</v>
      </c>
      <c r="F1954">
        <f>IFERROR(SUMIFS('Demand Inputs'!$K$5:$K$202,'Demand Inputs'!$A$5:$A$202,"47mg Clinical",'Demand Inputs'!$B$5:$B$202,"&lt;&gt;AGGREGATE",'Demand Inputs'!$E$5:$E$202,1),0)</f>
        <v>0</v>
      </c>
      <c r="G1954">
        <f>IFERROR(SUMPRODUCT(('Production Inputs'!$A:$A="47mg Clinical")*('Production Inputs'!$B:$B="TOTAL ACTIVE")*'Production Inputs'!$FO:$FO),0)</f>
        <v>0</v>
      </c>
      <c r="H1954">
        <f t="shared" ref="H1954:H1973" si="229">E1954+G1954-F1954</f>
        <v>3500</v>
      </c>
      <c r="I1954" s="30">
        <f ca="1">IFERROR(AVERAGEIF(OFFSET(F1954,0,0,MIN(Controls!$B$8,COUNTIF(B1954:B$1973,B1954)),1),"&gt;"&amp;0),0)</f>
        <v>0</v>
      </c>
      <c r="J1954">
        <f t="shared" ref="J1954:J1973" ca="1" si="230">IFERROR(H1954/I1954,IF(H1954&gt;0,999,0))</f>
        <v>999</v>
      </c>
      <c r="K1954">
        <f t="shared" ref="K1954:K1973" ca="1" si="231">IFERROR(IF(H1954&lt;(N1954*I1954),CEILING(MAX(0,ROUND((M1954*I1954-H1954)/P1954,0)*P1954),P1954),0),0)</f>
        <v>0</v>
      </c>
      <c r="L1954" t="str">
        <f t="shared" ref="L1954:L1973" ca="1" si="232">IF(H1954&lt;=0,"High",IF(J1954&lt;N1954,"High",IF(J1954&lt;M1954,"Medium",IF(J1954&gt;O1954,"Overstock","Low"))))</f>
        <v>Overstock</v>
      </c>
      <c r="M1954">
        <f>IFERROR(VLOOKUP("47mg Clinical",Controls!A:I,7,0),6)</f>
        <v>6</v>
      </c>
      <c r="N1954">
        <f>IFERROR(VLOOKUP("47mg Clinical",Controls!A:I,8,0),3)</f>
        <v>4</v>
      </c>
      <c r="O1954">
        <f>IFERROR(VLOOKUP("47mg Clinical",Controls!A:I,9,0),18)</f>
        <v>12</v>
      </c>
      <c r="P1954">
        <f>IFERROR(VLOOKUP("47mg Clinical",Controls!A:J,5,0),0)</f>
        <v>1</v>
      </c>
      <c r="Q1954">
        <f>IFERROR(VLOOKUP("47mg Clinical",Controls!A:J,6,0),3)</f>
        <v>3</v>
      </c>
      <c r="R1954" t="str">
        <f>IFERROR(VLOOKUP("47mg Clinical",Controls!A:K,10,0),"")</f>
        <v>Fisher Clinical</v>
      </c>
      <c r="S1954">
        <f t="shared" ref="S1954:S1973" si="233">IFERROR(EDATE(A1954,-Q1954),"")</f>
        <v>50802</v>
      </c>
      <c r="T1954">
        <f t="shared" ref="T1954:T1973" si="234">G1954</f>
        <v>0</v>
      </c>
      <c r="AB1954">
        <f t="shared" si="228"/>
        <v>0</v>
      </c>
    </row>
    <row r="1955" spans="1:28" x14ac:dyDescent="0.35">
      <c r="A1955" s="201">
        <v>50922</v>
      </c>
      <c r="B1955" t="s">
        <v>923</v>
      </c>
      <c r="C1955" t="s">
        <v>28</v>
      </c>
      <c r="D1955" t="s">
        <v>29</v>
      </c>
      <c r="E1955">
        <f>H1954</f>
        <v>3500</v>
      </c>
      <c r="F1955">
        <f>IFERROR(SUMIFS('Demand Inputs'!$K$5:$K$202,'Demand Inputs'!$A$5:$A$202,"47mg Clinical",'Demand Inputs'!$B$5:$B$202,"&lt;&gt;AGGREGATE",'Demand Inputs'!$E$5:$E$202,1),0)</f>
        <v>0</v>
      </c>
      <c r="G1955">
        <f>IFERROR(SUMPRODUCT(('Production Inputs'!$A:$A="47mg Clinical")*('Production Inputs'!$B:$B="TOTAL ACTIVE")*'Production Inputs'!$FP:$FP),0)</f>
        <v>0</v>
      </c>
      <c r="H1955">
        <f t="shared" si="229"/>
        <v>3500</v>
      </c>
      <c r="I1955" s="30">
        <f ca="1">IFERROR(AVERAGEIF(OFFSET(F1955,0,0,MIN(Controls!$B$8,COUNTIF(B1955:B$1973,B1955)),1),"&gt;"&amp;0),0)</f>
        <v>0</v>
      </c>
      <c r="J1955">
        <f t="shared" ca="1" si="230"/>
        <v>999</v>
      </c>
      <c r="K1955">
        <f t="shared" ca="1" si="231"/>
        <v>0</v>
      </c>
      <c r="L1955" t="str">
        <f t="shared" ca="1" si="232"/>
        <v>Overstock</v>
      </c>
      <c r="M1955">
        <f>IFERROR(VLOOKUP("47mg Clinical",Controls!A:I,7,0),6)</f>
        <v>6</v>
      </c>
      <c r="N1955">
        <f>IFERROR(VLOOKUP("47mg Clinical",Controls!A:I,8,0),3)</f>
        <v>4</v>
      </c>
      <c r="O1955">
        <f>IFERROR(VLOOKUP("47mg Clinical",Controls!A:I,9,0),18)</f>
        <v>12</v>
      </c>
      <c r="P1955">
        <f>IFERROR(VLOOKUP("47mg Clinical",Controls!A:J,5,0),0)</f>
        <v>1</v>
      </c>
      <c r="Q1955">
        <f>IFERROR(VLOOKUP("47mg Clinical",Controls!A:J,6,0),3)</f>
        <v>3</v>
      </c>
      <c r="R1955" t="str">
        <f>IFERROR(VLOOKUP("47mg Clinical",Controls!A:K,10,0),"")</f>
        <v>Fisher Clinical</v>
      </c>
      <c r="S1955">
        <f t="shared" si="233"/>
        <v>50830</v>
      </c>
      <c r="T1955">
        <f t="shared" si="234"/>
        <v>0</v>
      </c>
      <c r="AB1955">
        <f t="shared" si="228"/>
        <v>0</v>
      </c>
    </row>
    <row r="1956" spans="1:28" x14ac:dyDescent="0.35">
      <c r="A1956" s="201">
        <v>50952</v>
      </c>
      <c r="B1956" t="s">
        <v>923</v>
      </c>
      <c r="C1956" t="s">
        <v>28</v>
      </c>
      <c r="D1956" t="s">
        <v>29</v>
      </c>
      <c r="E1956">
        <f>H1955</f>
        <v>3500</v>
      </c>
      <c r="F1956">
        <f>IFERROR(SUMIFS('Demand Inputs'!$K$5:$K$202,'Demand Inputs'!$A$5:$A$202,"47mg Clinical",'Demand Inputs'!$B$5:$B$202,"&lt;&gt;AGGREGATE",'Demand Inputs'!$E$5:$E$202,1),0)</f>
        <v>0</v>
      </c>
      <c r="G1956">
        <f>IFERROR(SUMPRODUCT(('Production Inputs'!$A:$A="47mg Clinical")*('Production Inputs'!$B:$B="TOTAL ACTIVE")*'Production Inputs'!$FQ:$FQ),0)</f>
        <v>0</v>
      </c>
      <c r="H1956">
        <f t="shared" si="229"/>
        <v>3500</v>
      </c>
      <c r="I1956" s="30">
        <f ca="1">IFERROR(AVERAGEIF(OFFSET(F1956,0,0,MIN(Controls!$B$8,COUNTIF(B1956:B$1973,B1956)),1),"&gt;"&amp;0),0)</f>
        <v>0</v>
      </c>
      <c r="J1956">
        <f t="shared" ca="1" si="230"/>
        <v>999</v>
      </c>
      <c r="K1956">
        <f t="shared" ca="1" si="231"/>
        <v>0</v>
      </c>
      <c r="L1956" t="str">
        <f t="shared" ca="1" si="232"/>
        <v>Overstock</v>
      </c>
      <c r="M1956">
        <f>IFERROR(VLOOKUP("47mg Clinical",Controls!A:I,7,0),6)</f>
        <v>6</v>
      </c>
      <c r="N1956">
        <f>IFERROR(VLOOKUP("47mg Clinical",Controls!A:I,8,0),3)</f>
        <v>4</v>
      </c>
      <c r="O1956">
        <f>IFERROR(VLOOKUP("47mg Clinical",Controls!A:I,9,0),18)</f>
        <v>12</v>
      </c>
      <c r="P1956">
        <f>IFERROR(VLOOKUP("47mg Clinical",Controls!A:J,5,0),0)</f>
        <v>1</v>
      </c>
      <c r="Q1956">
        <f>IFERROR(VLOOKUP("47mg Clinical",Controls!A:J,6,0),3)</f>
        <v>3</v>
      </c>
      <c r="R1956" t="str">
        <f>IFERROR(VLOOKUP("47mg Clinical",Controls!A:K,10,0),"")</f>
        <v>Fisher Clinical</v>
      </c>
      <c r="S1956">
        <f t="shared" si="233"/>
        <v>50861</v>
      </c>
      <c r="T1956">
        <f t="shared" si="234"/>
        <v>0</v>
      </c>
      <c r="AB1956">
        <f t="shared" si="228"/>
        <v>0</v>
      </c>
    </row>
    <row r="1957" spans="1:28" x14ac:dyDescent="0.35">
      <c r="A1957" s="201">
        <v>50983</v>
      </c>
      <c r="B1957" t="s">
        <v>923</v>
      </c>
      <c r="C1957" t="s">
        <v>28</v>
      </c>
      <c r="D1957" t="s">
        <v>29</v>
      </c>
      <c r="E1957">
        <f>H1956</f>
        <v>3500</v>
      </c>
      <c r="F1957">
        <f>IFERROR(SUMIFS('Demand Inputs'!$K$5:$K$202,'Demand Inputs'!$A$5:$A$202,"47mg Clinical",'Demand Inputs'!$B$5:$B$202,"&lt;&gt;AGGREGATE",'Demand Inputs'!$E$5:$E$202,1),0)</f>
        <v>0</v>
      </c>
      <c r="G1957">
        <f>IFERROR(SUMPRODUCT(('Production Inputs'!$A:$A="47mg Clinical")*('Production Inputs'!$B:$B="TOTAL ACTIVE")*'Production Inputs'!$FR:$FR),0)</f>
        <v>0</v>
      </c>
      <c r="H1957">
        <f t="shared" si="229"/>
        <v>3500</v>
      </c>
      <c r="I1957" s="30">
        <f ca="1">IFERROR(AVERAGEIF(OFFSET(F1957,0,0,MIN(Controls!$B$8,COUNTIF(B1957:B$1973,B1957)),1),"&gt;"&amp;0),0)</f>
        <v>0</v>
      </c>
      <c r="J1957">
        <f t="shared" ca="1" si="230"/>
        <v>999</v>
      </c>
      <c r="K1957">
        <f t="shared" ca="1" si="231"/>
        <v>0</v>
      </c>
      <c r="L1957" t="str">
        <f t="shared" ca="1" si="232"/>
        <v>Overstock</v>
      </c>
      <c r="M1957">
        <f>IFERROR(VLOOKUP("47mg Clinical",Controls!A:I,7,0),6)</f>
        <v>6</v>
      </c>
      <c r="N1957">
        <f>IFERROR(VLOOKUP("47mg Clinical",Controls!A:I,8,0),3)</f>
        <v>4</v>
      </c>
      <c r="O1957">
        <f>IFERROR(VLOOKUP("47mg Clinical",Controls!A:I,9,0),18)</f>
        <v>12</v>
      </c>
      <c r="P1957">
        <f>IFERROR(VLOOKUP("47mg Clinical",Controls!A:J,5,0),0)</f>
        <v>1</v>
      </c>
      <c r="Q1957">
        <f>IFERROR(VLOOKUP("47mg Clinical",Controls!A:J,6,0),3)</f>
        <v>3</v>
      </c>
      <c r="R1957" t="str">
        <f>IFERROR(VLOOKUP("47mg Clinical",Controls!A:K,10,0),"")</f>
        <v>Fisher Clinical</v>
      </c>
      <c r="S1957">
        <f t="shared" si="233"/>
        <v>50891</v>
      </c>
      <c r="T1957">
        <f t="shared" si="234"/>
        <v>0</v>
      </c>
      <c r="AB1957">
        <f t="shared" si="228"/>
        <v>0</v>
      </c>
    </row>
    <row r="1958" spans="1:28" x14ac:dyDescent="0.35">
      <c r="A1958" s="201">
        <v>51014</v>
      </c>
      <c r="B1958" t="s">
        <v>923</v>
      </c>
      <c r="C1958" t="s">
        <v>28</v>
      </c>
      <c r="D1958" t="s">
        <v>29</v>
      </c>
      <c r="E1958">
        <f>H1957</f>
        <v>3500</v>
      </c>
      <c r="F1958">
        <f>IFERROR(SUMIFS('Demand Inputs'!$K$5:$K$202,'Demand Inputs'!$A$5:$A$202,"47mg Clinical",'Demand Inputs'!$B$5:$B$202,"&lt;&gt;AGGREGATE",'Demand Inputs'!$E$5:$E$202,1),0)</f>
        <v>0</v>
      </c>
      <c r="G1958">
        <f>IFERROR(SUMPRODUCT(('Production Inputs'!$A:$A="47mg Clinical")*('Production Inputs'!$B:$B="TOTAL ACTIVE")*'Production Inputs'!$FS:$FS),0)</f>
        <v>0</v>
      </c>
      <c r="H1958">
        <f t="shared" si="229"/>
        <v>3500</v>
      </c>
      <c r="I1958" s="30">
        <f ca="1">IFERROR(AVERAGEIF(OFFSET(F1958,0,0,MIN(Controls!$B$8,COUNTIF(B1958:B$1973,B1958)),1),"&gt;"&amp;0),0)</f>
        <v>0</v>
      </c>
      <c r="J1958">
        <f t="shared" ca="1" si="230"/>
        <v>999</v>
      </c>
      <c r="K1958">
        <f t="shared" ca="1" si="231"/>
        <v>0</v>
      </c>
      <c r="L1958" t="str">
        <f t="shared" ca="1" si="232"/>
        <v>Overstock</v>
      </c>
      <c r="M1958">
        <f>IFERROR(VLOOKUP("47mg Clinical",Controls!A:I,7,0),6)</f>
        <v>6</v>
      </c>
      <c r="N1958">
        <f>IFERROR(VLOOKUP("47mg Clinical",Controls!A:I,8,0),3)</f>
        <v>4</v>
      </c>
      <c r="O1958">
        <f>IFERROR(VLOOKUP("47mg Clinical",Controls!A:I,9,0),18)</f>
        <v>12</v>
      </c>
      <c r="P1958">
        <f>IFERROR(VLOOKUP("47mg Clinical",Controls!A:J,5,0),0)</f>
        <v>1</v>
      </c>
      <c r="Q1958">
        <f>IFERROR(VLOOKUP("47mg Clinical",Controls!A:J,6,0),3)</f>
        <v>3</v>
      </c>
      <c r="R1958" t="str">
        <f>IFERROR(VLOOKUP("47mg Clinical",Controls!A:K,10,0),"")</f>
        <v>Fisher Clinical</v>
      </c>
      <c r="S1958">
        <f t="shared" si="233"/>
        <v>50922</v>
      </c>
      <c r="T1958">
        <f t="shared" si="234"/>
        <v>0</v>
      </c>
      <c r="AB1958">
        <f t="shared" si="228"/>
        <v>0</v>
      </c>
    </row>
    <row r="1959" spans="1:28" x14ac:dyDescent="0.35">
      <c r="A1959" s="201">
        <v>51044</v>
      </c>
      <c r="B1959" t="s">
        <v>923</v>
      </c>
      <c r="C1959" t="s">
        <v>28</v>
      </c>
      <c r="D1959" t="s">
        <v>29</v>
      </c>
      <c r="E1959">
        <f>H1958</f>
        <v>3500</v>
      </c>
      <c r="F1959">
        <f>IFERROR(SUMIFS('Demand Inputs'!$K$5:$K$202,'Demand Inputs'!$A$5:$A$202,"47mg Clinical",'Demand Inputs'!$B$5:$B$202,"&lt;&gt;AGGREGATE",'Demand Inputs'!$E$5:$E$202,1),0)</f>
        <v>0</v>
      </c>
      <c r="G1959">
        <f>IFERROR(SUMPRODUCT(('Production Inputs'!$A:$A="47mg Clinical")*('Production Inputs'!$B:$B="TOTAL ACTIVE")*'Production Inputs'!$FT:$FT),0)</f>
        <v>0</v>
      </c>
      <c r="H1959">
        <f t="shared" si="229"/>
        <v>3500</v>
      </c>
      <c r="I1959" s="30">
        <f ca="1">IFERROR(AVERAGEIF(OFFSET(F1959,0,0,MIN(Controls!$B$8,COUNTIF(B1959:B$1973,B1959)),1),"&gt;"&amp;0),0)</f>
        <v>0</v>
      </c>
      <c r="J1959">
        <f t="shared" ca="1" si="230"/>
        <v>999</v>
      </c>
      <c r="K1959">
        <f t="shared" ca="1" si="231"/>
        <v>0</v>
      </c>
      <c r="L1959" t="str">
        <f t="shared" ca="1" si="232"/>
        <v>Overstock</v>
      </c>
      <c r="M1959">
        <f>IFERROR(VLOOKUP("47mg Clinical",Controls!A:I,7,0),6)</f>
        <v>6</v>
      </c>
      <c r="N1959">
        <f>IFERROR(VLOOKUP("47mg Clinical",Controls!A:I,8,0),3)</f>
        <v>4</v>
      </c>
      <c r="O1959">
        <f>IFERROR(VLOOKUP("47mg Clinical",Controls!A:I,9,0),18)</f>
        <v>12</v>
      </c>
      <c r="P1959">
        <f>IFERROR(VLOOKUP("47mg Clinical",Controls!A:J,5,0),0)</f>
        <v>1</v>
      </c>
      <c r="Q1959">
        <f>IFERROR(VLOOKUP("47mg Clinical",Controls!A:J,6,0),3)</f>
        <v>3</v>
      </c>
      <c r="R1959" t="str">
        <f>IFERROR(VLOOKUP("47mg Clinical",Controls!A:K,10,0),"")</f>
        <v>Fisher Clinical</v>
      </c>
      <c r="S1959">
        <f t="shared" si="233"/>
        <v>50952</v>
      </c>
      <c r="T1959">
        <f t="shared" si="234"/>
        <v>0</v>
      </c>
      <c r="AB1959">
        <f t="shared" si="228"/>
        <v>0</v>
      </c>
    </row>
    <row r="1960" spans="1:28" x14ac:dyDescent="0.35">
      <c r="A1960" s="201">
        <v>51075</v>
      </c>
      <c r="B1960" t="s">
        <v>923</v>
      </c>
      <c r="C1960" t="s">
        <v>28</v>
      </c>
      <c r="D1960" t="s">
        <v>29</v>
      </c>
      <c r="E1960">
        <f>H1959</f>
        <v>3500</v>
      </c>
      <c r="F1960">
        <f>IFERROR(SUMIFS('Demand Inputs'!$K$5:$K$202,'Demand Inputs'!$A$5:$A$202,"47mg Clinical",'Demand Inputs'!$B$5:$B$202,"&lt;&gt;AGGREGATE",'Demand Inputs'!$E$5:$E$202,1),0)</f>
        <v>0</v>
      </c>
      <c r="G1960">
        <f>IFERROR(SUMPRODUCT(('Production Inputs'!$A:$A="47mg Clinical")*('Production Inputs'!$B:$B="TOTAL ACTIVE")*'Production Inputs'!$FU:$FU),0)</f>
        <v>0</v>
      </c>
      <c r="H1960">
        <f t="shared" si="229"/>
        <v>3500</v>
      </c>
      <c r="I1960" s="30">
        <f ca="1">IFERROR(AVERAGEIF(OFFSET(F1960,0,0,MIN(Controls!$B$8,COUNTIF(B1960:B$1973,B1960)),1),"&gt;"&amp;0),0)</f>
        <v>0</v>
      </c>
      <c r="J1960">
        <f t="shared" ca="1" si="230"/>
        <v>999</v>
      </c>
      <c r="K1960">
        <f t="shared" ca="1" si="231"/>
        <v>0</v>
      </c>
      <c r="L1960" t="str">
        <f t="shared" ca="1" si="232"/>
        <v>Overstock</v>
      </c>
      <c r="M1960">
        <f>IFERROR(VLOOKUP("47mg Clinical",Controls!A:I,7,0),6)</f>
        <v>6</v>
      </c>
      <c r="N1960">
        <f>IFERROR(VLOOKUP("47mg Clinical",Controls!A:I,8,0),3)</f>
        <v>4</v>
      </c>
      <c r="O1960">
        <f>IFERROR(VLOOKUP("47mg Clinical",Controls!A:I,9,0),18)</f>
        <v>12</v>
      </c>
      <c r="P1960">
        <f>IFERROR(VLOOKUP("47mg Clinical",Controls!A:J,5,0),0)</f>
        <v>1</v>
      </c>
      <c r="Q1960">
        <f>IFERROR(VLOOKUP("47mg Clinical",Controls!A:J,6,0),3)</f>
        <v>3</v>
      </c>
      <c r="R1960" t="str">
        <f>IFERROR(VLOOKUP("47mg Clinical",Controls!A:K,10,0),"")</f>
        <v>Fisher Clinical</v>
      </c>
      <c r="S1960">
        <f t="shared" si="233"/>
        <v>50983</v>
      </c>
      <c r="T1960">
        <f t="shared" si="234"/>
        <v>0</v>
      </c>
      <c r="AB1960">
        <f t="shared" si="228"/>
        <v>0</v>
      </c>
    </row>
    <row r="1961" spans="1:28" x14ac:dyDescent="0.35">
      <c r="A1961" s="201">
        <v>51105</v>
      </c>
      <c r="B1961" t="s">
        <v>923</v>
      </c>
      <c r="C1961" t="s">
        <v>28</v>
      </c>
      <c r="D1961" t="s">
        <v>29</v>
      </c>
      <c r="E1961">
        <f>H1960</f>
        <v>3500</v>
      </c>
      <c r="F1961">
        <f>IFERROR(SUMIFS('Demand Inputs'!$K$5:$K$202,'Demand Inputs'!$A$5:$A$202,"47mg Clinical",'Demand Inputs'!$B$5:$B$202,"&lt;&gt;AGGREGATE",'Demand Inputs'!$E$5:$E$202,1),0)</f>
        <v>0</v>
      </c>
      <c r="G1961">
        <f>IFERROR(SUMPRODUCT(('Production Inputs'!$A:$A="47mg Clinical")*('Production Inputs'!$B:$B="TOTAL ACTIVE")*'Production Inputs'!$FV:$FV),0)</f>
        <v>0</v>
      </c>
      <c r="H1961">
        <f t="shared" si="229"/>
        <v>3500</v>
      </c>
      <c r="I1961" s="30">
        <f ca="1">IFERROR(AVERAGEIF(OFFSET(F1961,0,0,MIN(Controls!$B$8,COUNTIF(B1961:B$1973,B1961)),1),"&gt;"&amp;0),0)</f>
        <v>0</v>
      </c>
      <c r="J1961">
        <f t="shared" ca="1" si="230"/>
        <v>999</v>
      </c>
      <c r="K1961">
        <f t="shared" ca="1" si="231"/>
        <v>0</v>
      </c>
      <c r="L1961" t="str">
        <f t="shared" ca="1" si="232"/>
        <v>Overstock</v>
      </c>
      <c r="M1961">
        <f>IFERROR(VLOOKUP("47mg Clinical",Controls!A:I,7,0),6)</f>
        <v>6</v>
      </c>
      <c r="N1961">
        <f>IFERROR(VLOOKUP("47mg Clinical",Controls!A:I,8,0),3)</f>
        <v>4</v>
      </c>
      <c r="O1961">
        <f>IFERROR(VLOOKUP("47mg Clinical",Controls!A:I,9,0),18)</f>
        <v>12</v>
      </c>
      <c r="P1961">
        <f>IFERROR(VLOOKUP("47mg Clinical",Controls!A:J,5,0),0)</f>
        <v>1</v>
      </c>
      <c r="Q1961">
        <f>IFERROR(VLOOKUP("47mg Clinical",Controls!A:J,6,0),3)</f>
        <v>3</v>
      </c>
      <c r="R1961" t="str">
        <f>IFERROR(VLOOKUP("47mg Clinical",Controls!A:K,10,0),"")</f>
        <v>Fisher Clinical</v>
      </c>
      <c r="S1961">
        <f t="shared" si="233"/>
        <v>51014</v>
      </c>
      <c r="T1961">
        <f t="shared" si="234"/>
        <v>0</v>
      </c>
      <c r="AB1961">
        <f t="shared" si="228"/>
        <v>0</v>
      </c>
    </row>
    <row r="1962" spans="1:28" x14ac:dyDescent="0.35">
      <c r="A1962" s="201">
        <v>51136</v>
      </c>
      <c r="B1962" t="s">
        <v>923</v>
      </c>
      <c r="C1962" t="s">
        <v>28</v>
      </c>
      <c r="D1962" t="s">
        <v>29</v>
      </c>
      <c r="E1962">
        <f>H1961</f>
        <v>3500</v>
      </c>
      <c r="F1962">
        <f>IFERROR(SUMIFS('Demand Inputs'!$K$5:$K$202,'Demand Inputs'!$A$5:$A$202,"47mg Clinical",'Demand Inputs'!$B$5:$B$202,"&lt;&gt;AGGREGATE",'Demand Inputs'!$E$5:$E$202,1),0)</f>
        <v>0</v>
      </c>
      <c r="G1962">
        <f>IFERROR(SUMPRODUCT(('Production Inputs'!$A:$A="47mg Clinical")*('Production Inputs'!$B:$B="TOTAL ACTIVE")*'Production Inputs'!$FW:$FW),0)</f>
        <v>0</v>
      </c>
      <c r="H1962">
        <f t="shared" si="229"/>
        <v>3500</v>
      </c>
      <c r="I1962" s="30">
        <f ca="1">IFERROR(AVERAGEIF(OFFSET(F1962,0,0,MIN(Controls!$B$8,COUNTIF(B1962:B$1973,B1962)),1),"&gt;"&amp;0),0)</f>
        <v>0</v>
      </c>
      <c r="J1962">
        <f t="shared" ca="1" si="230"/>
        <v>999</v>
      </c>
      <c r="K1962">
        <f t="shared" ca="1" si="231"/>
        <v>0</v>
      </c>
      <c r="L1962" t="str">
        <f t="shared" ca="1" si="232"/>
        <v>Overstock</v>
      </c>
      <c r="M1962">
        <f>IFERROR(VLOOKUP("47mg Clinical",Controls!A:I,7,0),6)</f>
        <v>6</v>
      </c>
      <c r="N1962">
        <f>IFERROR(VLOOKUP("47mg Clinical",Controls!A:I,8,0),3)</f>
        <v>4</v>
      </c>
      <c r="O1962">
        <f>IFERROR(VLOOKUP("47mg Clinical",Controls!A:I,9,0),18)</f>
        <v>12</v>
      </c>
      <c r="P1962">
        <f>IFERROR(VLOOKUP("47mg Clinical",Controls!A:J,5,0),0)</f>
        <v>1</v>
      </c>
      <c r="Q1962">
        <f>IFERROR(VLOOKUP("47mg Clinical",Controls!A:J,6,0),3)</f>
        <v>3</v>
      </c>
      <c r="R1962" t="str">
        <f>IFERROR(VLOOKUP("47mg Clinical",Controls!A:K,10,0),"")</f>
        <v>Fisher Clinical</v>
      </c>
      <c r="S1962">
        <f t="shared" si="233"/>
        <v>51044</v>
      </c>
      <c r="T1962">
        <f t="shared" si="234"/>
        <v>0</v>
      </c>
      <c r="AB1962">
        <f t="shared" si="228"/>
        <v>0</v>
      </c>
    </row>
    <row r="1963" spans="1:28" x14ac:dyDescent="0.35">
      <c r="A1963" s="201">
        <v>51167</v>
      </c>
      <c r="B1963" t="s">
        <v>923</v>
      </c>
      <c r="C1963" t="s">
        <v>28</v>
      </c>
      <c r="D1963" t="s">
        <v>29</v>
      </c>
      <c r="E1963">
        <f>H1962</f>
        <v>3500</v>
      </c>
      <c r="F1963">
        <f>IFERROR(SUMIFS('Demand Inputs'!$K$5:$K$202,'Demand Inputs'!$A$5:$A$202,"47mg Clinical",'Demand Inputs'!$B$5:$B$202,"&lt;&gt;AGGREGATE",'Demand Inputs'!$E$5:$E$202,1),0)</f>
        <v>0</v>
      </c>
      <c r="G1963">
        <f>IFERROR(SUMPRODUCT(('Production Inputs'!$A:$A="47mg Clinical")*('Production Inputs'!$B:$B="TOTAL ACTIVE")*'Production Inputs'!$FX:$FX),0)</f>
        <v>0</v>
      </c>
      <c r="H1963">
        <f t="shared" si="229"/>
        <v>3500</v>
      </c>
      <c r="I1963" s="30">
        <f ca="1">IFERROR(AVERAGEIF(OFFSET(F1963,0,0,MIN(Controls!$B$8,COUNTIF(B1963:B$1973,B1963)),1),"&gt;"&amp;0),0)</f>
        <v>0</v>
      </c>
      <c r="J1963">
        <f t="shared" ca="1" si="230"/>
        <v>999</v>
      </c>
      <c r="K1963">
        <f t="shared" ca="1" si="231"/>
        <v>0</v>
      </c>
      <c r="L1963" t="str">
        <f t="shared" ca="1" si="232"/>
        <v>Overstock</v>
      </c>
      <c r="M1963">
        <f>IFERROR(VLOOKUP("47mg Clinical",Controls!A:I,7,0),6)</f>
        <v>6</v>
      </c>
      <c r="N1963">
        <f>IFERROR(VLOOKUP("47mg Clinical",Controls!A:I,8,0),3)</f>
        <v>4</v>
      </c>
      <c r="O1963">
        <f>IFERROR(VLOOKUP("47mg Clinical",Controls!A:I,9,0),18)</f>
        <v>12</v>
      </c>
      <c r="P1963">
        <f>IFERROR(VLOOKUP("47mg Clinical",Controls!A:J,5,0),0)</f>
        <v>1</v>
      </c>
      <c r="Q1963">
        <f>IFERROR(VLOOKUP("47mg Clinical",Controls!A:J,6,0),3)</f>
        <v>3</v>
      </c>
      <c r="R1963" t="str">
        <f>IFERROR(VLOOKUP("47mg Clinical",Controls!A:K,10,0),"")</f>
        <v>Fisher Clinical</v>
      </c>
      <c r="S1963">
        <f t="shared" si="233"/>
        <v>51075</v>
      </c>
      <c r="T1963">
        <f t="shared" si="234"/>
        <v>0</v>
      </c>
      <c r="AB1963">
        <f t="shared" si="228"/>
        <v>0</v>
      </c>
    </row>
    <row r="1964" spans="1:28" x14ac:dyDescent="0.35">
      <c r="A1964" s="201">
        <v>51196</v>
      </c>
      <c r="B1964" t="s">
        <v>923</v>
      </c>
      <c r="C1964" t="s">
        <v>28</v>
      </c>
      <c r="D1964" t="s">
        <v>29</v>
      </c>
      <c r="E1964">
        <f>H1963</f>
        <v>3500</v>
      </c>
      <c r="F1964">
        <f>IFERROR(SUMIFS('Demand Inputs'!$K$5:$K$202,'Demand Inputs'!$A$5:$A$202,"47mg Clinical",'Demand Inputs'!$B$5:$B$202,"&lt;&gt;AGGREGATE",'Demand Inputs'!$E$5:$E$202,1),0)</f>
        <v>0</v>
      </c>
      <c r="G1964">
        <f>IFERROR(SUMPRODUCT(('Production Inputs'!$A:$A="47mg Clinical")*('Production Inputs'!$B:$B="TOTAL ACTIVE")*'Production Inputs'!$FY:$FY),0)</f>
        <v>0</v>
      </c>
      <c r="H1964">
        <f t="shared" si="229"/>
        <v>3500</v>
      </c>
      <c r="I1964" s="30">
        <f ca="1">IFERROR(AVERAGEIF(OFFSET(F1964,0,0,MIN(Controls!$B$8,COUNTIF(B1964:B$1973,B1964)),1),"&gt;"&amp;0),0)</f>
        <v>0</v>
      </c>
      <c r="J1964">
        <f t="shared" ca="1" si="230"/>
        <v>999</v>
      </c>
      <c r="K1964">
        <f t="shared" ca="1" si="231"/>
        <v>0</v>
      </c>
      <c r="L1964" t="str">
        <f t="shared" ca="1" si="232"/>
        <v>Overstock</v>
      </c>
      <c r="M1964">
        <f>IFERROR(VLOOKUP("47mg Clinical",Controls!A:I,7,0),6)</f>
        <v>6</v>
      </c>
      <c r="N1964">
        <f>IFERROR(VLOOKUP("47mg Clinical",Controls!A:I,8,0),3)</f>
        <v>4</v>
      </c>
      <c r="O1964">
        <f>IFERROR(VLOOKUP("47mg Clinical",Controls!A:I,9,0),18)</f>
        <v>12</v>
      </c>
      <c r="P1964">
        <f>IFERROR(VLOOKUP("47mg Clinical",Controls!A:J,5,0),0)</f>
        <v>1</v>
      </c>
      <c r="Q1964">
        <f>IFERROR(VLOOKUP("47mg Clinical",Controls!A:J,6,0),3)</f>
        <v>3</v>
      </c>
      <c r="R1964" t="str">
        <f>IFERROR(VLOOKUP("47mg Clinical",Controls!A:K,10,0),"")</f>
        <v>Fisher Clinical</v>
      </c>
      <c r="S1964">
        <f t="shared" si="233"/>
        <v>51105</v>
      </c>
      <c r="T1964">
        <f t="shared" si="234"/>
        <v>0</v>
      </c>
      <c r="AB1964">
        <f t="shared" si="228"/>
        <v>0</v>
      </c>
    </row>
    <row r="1965" spans="1:28" x14ac:dyDescent="0.35">
      <c r="A1965" s="201">
        <v>51227</v>
      </c>
      <c r="B1965" t="s">
        <v>923</v>
      </c>
      <c r="C1965" t="s">
        <v>28</v>
      </c>
      <c r="D1965" t="s">
        <v>29</v>
      </c>
      <c r="E1965">
        <f>H1964</f>
        <v>3500</v>
      </c>
      <c r="F1965">
        <f>IFERROR(SUMIFS('Demand Inputs'!$K$5:$K$202,'Demand Inputs'!$A$5:$A$202,"47mg Clinical",'Demand Inputs'!$B$5:$B$202,"&lt;&gt;AGGREGATE",'Demand Inputs'!$E$5:$E$202,1),0)</f>
        <v>0</v>
      </c>
      <c r="G1965">
        <f>IFERROR(SUMPRODUCT(('Production Inputs'!$A:$A="47mg Clinical")*('Production Inputs'!$B:$B="TOTAL ACTIVE")*'Production Inputs'!$FZ:$FZ),0)</f>
        <v>0</v>
      </c>
      <c r="H1965">
        <f t="shared" si="229"/>
        <v>3500</v>
      </c>
      <c r="I1965" s="30">
        <f ca="1">IFERROR(AVERAGEIF(OFFSET(F1965,0,0,MIN(Controls!$B$8,COUNTIF(B1965:B$1973,B1965)),1),"&gt;"&amp;0),0)</f>
        <v>0</v>
      </c>
      <c r="J1965">
        <f t="shared" ca="1" si="230"/>
        <v>999</v>
      </c>
      <c r="K1965">
        <f t="shared" ca="1" si="231"/>
        <v>0</v>
      </c>
      <c r="L1965" t="str">
        <f t="shared" ca="1" si="232"/>
        <v>Overstock</v>
      </c>
      <c r="M1965">
        <f>IFERROR(VLOOKUP("47mg Clinical",Controls!A:I,7,0),6)</f>
        <v>6</v>
      </c>
      <c r="N1965">
        <f>IFERROR(VLOOKUP("47mg Clinical",Controls!A:I,8,0),3)</f>
        <v>4</v>
      </c>
      <c r="O1965">
        <f>IFERROR(VLOOKUP("47mg Clinical",Controls!A:I,9,0),18)</f>
        <v>12</v>
      </c>
      <c r="P1965">
        <f>IFERROR(VLOOKUP("47mg Clinical",Controls!A:J,5,0),0)</f>
        <v>1</v>
      </c>
      <c r="Q1965">
        <f>IFERROR(VLOOKUP("47mg Clinical",Controls!A:J,6,0),3)</f>
        <v>3</v>
      </c>
      <c r="R1965" t="str">
        <f>IFERROR(VLOOKUP("47mg Clinical",Controls!A:K,10,0),"")</f>
        <v>Fisher Clinical</v>
      </c>
      <c r="S1965">
        <f t="shared" si="233"/>
        <v>51136</v>
      </c>
      <c r="T1965">
        <f t="shared" si="234"/>
        <v>0</v>
      </c>
      <c r="AB1965">
        <f t="shared" si="228"/>
        <v>0</v>
      </c>
    </row>
    <row r="1966" spans="1:28" x14ac:dyDescent="0.35">
      <c r="A1966" s="201">
        <v>51257</v>
      </c>
      <c r="B1966" t="s">
        <v>923</v>
      </c>
      <c r="C1966" t="s">
        <v>28</v>
      </c>
      <c r="D1966" t="s">
        <v>29</v>
      </c>
      <c r="E1966">
        <f>H1965</f>
        <v>3500</v>
      </c>
      <c r="F1966">
        <f>IFERROR(SUMIFS('Demand Inputs'!$K$5:$K$202,'Demand Inputs'!$A$5:$A$202,"47mg Clinical",'Demand Inputs'!$B$5:$B$202,"&lt;&gt;AGGREGATE",'Demand Inputs'!$E$5:$E$202,1),0)</f>
        <v>0</v>
      </c>
      <c r="G1966">
        <f>IFERROR(SUMPRODUCT(('Production Inputs'!$A:$A="47mg Clinical")*('Production Inputs'!$B:$B="TOTAL ACTIVE")*'Production Inputs'!$GA:$GA),0)</f>
        <v>0</v>
      </c>
      <c r="H1966">
        <f t="shared" si="229"/>
        <v>3500</v>
      </c>
      <c r="I1966" s="30">
        <f ca="1">IFERROR(AVERAGEIF(OFFSET(F1966,0,0,MIN(Controls!$B$8,COUNTIF(B1966:B$1973,B1966)),1),"&gt;"&amp;0),0)</f>
        <v>0</v>
      </c>
      <c r="J1966">
        <f t="shared" ca="1" si="230"/>
        <v>999</v>
      </c>
      <c r="K1966">
        <f t="shared" ca="1" si="231"/>
        <v>0</v>
      </c>
      <c r="L1966" t="str">
        <f t="shared" ca="1" si="232"/>
        <v>Overstock</v>
      </c>
      <c r="M1966">
        <f>IFERROR(VLOOKUP("47mg Clinical",Controls!A:I,7,0),6)</f>
        <v>6</v>
      </c>
      <c r="N1966">
        <f>IFERROR(VLOOKUP("47mg Clinical",Controls!A:I,8,0),3)</f>
        <v>4</v>
      </c>
      <c r="O1966">
        <f>IFERROR(VLOOKUP("47mg Clinical",Controls!A:I,9,0),18)</f>
        <v>12</v>
      </c>
      <c r="P1966">
        <f>IFERROR(VLOOKUP("47mg Clinical",Controls!A:J,5,0),0)</f>
        <v>1</v>
      </c>
      <c r="Q1966">
        <f>IFERROR(VLOOKUP("47mg Clinical",Controls!A:J,6,0),3)</f>
        <v>3</v>
      </c>
      <c r="R1966" t="str">
        <f>IFERROR(VLOOKUP("47mg Clinical",Controls!A:K,10,0),"")</f>
        <v>Fisher Clinical</v>
      </c>
      <c r="S1966">
        <f t="shared" si="233"/>
        <v>51167</v>
      </c>
      <c r="T1966">
        <f t="shared" si="234"/>
        <v>0</v>
      </c>
      <c r="AB1966">
        <f t="shared" si="228"/>
        <v>0</v>
      </c>
    </row>
    <row r="1967" spans="1:28" x14ac:dyDescent="0.35">
      <c r="A1967" s="201">
        <v>51288</v>
      </c>
      <c r="B1967" t="s">
        <v>923</v>
      </c>
      <c r="C1967" t="s">
        <v>28</v>
      </c>
      <c r="D1967" t="s">
        <v>29</v>
      </c>
      <c r="E1967">
        <f>H1966</f>
        <v>3500</v>
      </c>
      <c r="F1967">
        <f>IFERROR(SUMIFS('Demand Inputs'!$K$5:$K$202,'Demand Inputs'!$A$5:$A$202,"47mg Clinical",'Demand Inputs'!$B$5:$B$202,"&lt;&gt;AGGREGATE",'Demand Inputs'!$E$5:$E$202,1),0)</f>
        <v>0</v>
      </c>
      <c r="G1967">
        <f>IFERROR(SUMPRODUCT(('Production Inputs'!$A:$A="47mg Clinical")*('Production Inputs'!$B:$B="TOTAL ACTIVE")*'Production Inputs'!$GB:$GB),0)</f>
        <v>0</v>
      </c>
      <c r="H1967">
        <f t="shared" si="229"/>
        <v>3500</v>
      </c>
      <c r="I1967" s="30">
        <f ca="1">IFERROR(AVERAGEIF(OFFSET(F1967,0,0,MIN(Controls!$B$8,COUNTIF(B1967:B$1973,B1967)),1),"&gt;"&amp;0),0)</f>
        <v>0</v>
      </c>
      <c r="J1967">
        <f t="shared" ca="1" si="230"/>
        <v>999</v>
      </c>
      <c r="K1967">
        <f t="shared" ca="1" si="231"/>
        <v>0</v>
      </c>
      <c r="L1967" t="str">
        <f t="shared" ca="1" si="232"/>
        <v>Overstock</v>
      </c>
      <c r="M1967">
        <f>IFERROR(VLOOKUP("47mg Clinical",Controls!A:I,7,0),6)</f>
        <v>6</v>
      </c>
      <c r="N1967">
        <f>IFERROR(VLOOKUP("47mg Clinical",Controls!A:I,8,0),3)</f>
        <v>4</v>
      </c>
      <c r="O1967">
        <f>IFERROR(VLOOKUP("47mg Clinical",Controls!A:I,9,0),18)</f>
        <v>12</v>
      </c>
      <c r="P1967">
        <f>IFERROR(VLOOKUP("47mg Clinical",Controls!A:J,5,0),0)</f>
        <v>1</v>
      </c>
      <c r="Q1967">
        <f>IFERROR(VLOOKUP("47mg Clinical",Controls!A:J,6,0),3)</f>
        <v>3</v>
      </c>
      <c r="R1967" t="str">
        <f>IFERROR(VLOOKUP("47mg Clinical",Controls!A:K,10,0),"")</f>
        <v>Fisher Clinical</v>
      </c>
      <c r="S1967">
        <f t="shared" si="233"/>
        <v>51196</v>
      </c>
      <c r="T1967">
        <f t="shared" si="234"/>
        <v>0</v>
      </c>
      <c r="AB1967">
        <f t="shared" si="228"/>
        <v>0</v>
      </c>
    </row>
    <row r="1968" spans="1:28" x14ac:dyDescent="0.35">
      <c r="A1968" s="201">
        <v>51318</v>
      </c>
      <c r="B1968" t="s">
        <v>923</v>
      </c>
      <c r="C1968" t="s">
        <v>28</v>
      </c>
      <c r="D1968" t="s">
        <v>29</v>
      </c>
      <c r="E1968">
        <f>H1967</f>
        <v>3500</v>
      </c>
      <c r="F1968">
        <f>IFERROR(SUMIFS('Demand Inputs'!$K$5:$K$202,'Demand Inputs'!$A$5:$A$202,"47mg Clinical",'Demand Inputs'!$B$5:$B$202,"&lt;&gt;AGGREGATE",'Demand Inputs'!$E$5:$E$202,1),0)</f>
        <v>0</v>
      </c>
      <c r="G1968">
        <f>IFERROR(SUMPRODUCT(('Production Inputs'!$A:$A="47mg Clinical")*('Production Inputs'!$B:$B="TOTAL ACTIVE")*'Production Inputs'!$GC:$GC),0)</f>
        <v>0</v>
      </c>
      <c r="H1968">
        <f t="shared" si="229"/>
        <v>3500</v>
      </c>
      <c r="I1968" s="30">
        <f ca="1">IFERROR(AVERAGEIF(OFFSET(F1968,0,0,MIN(Controls!$B$8,COUNTIF(B1968:B$1973,B1968)),1),"&gt;"&amp;0),0)</f>
        <v>0</v>
      </c>
      <c r="J1968">
        <f t="shared" ca="1" si="230"/>
        <v>999</v>
      </c>
      <c r="K1968">
        <f t="shared" ca="1" si="231"/>
        <v>0</v>
      </c>
      <c r="L1968" t="str">
        <f t="shared" ca="1" si="232"/>
        <v>Overstock</v>
      </c>
      <c r="M1968">
        <f>IFERROR(VLOOKUP("47mg Clinical",Controls!A:I,7,0),6)</f>
        <v>6</v>
      </c>
      <c r="N1968">
        <f>IFERROR(VLOOKUP("47mg Clinical",Controls!A:I,8,0),3)</f>
        <v>4</v>
      </c>
      <c r="O1968">
        <f>IFERROR(VLOOKUP("47mg Clinical",Controls!A:I,9,0),18)</f>
        <v>12</v>
      </c>
      <c r="P1968">
        <f>IFERROR(VLOOKUP("47mg Clinical",Controls!A:J,5,0),0)</f>
        <v>1</v>
      </c>
      <c r="Q1968">
        <f>IFERROR(VLOOKUP("47mg Clinical",Controls!A:J,6,0),3)</f>
        <v>3</v>
      </c>
      <c r="R1968" t="str">
        <f>IFERROR(VLOOKUP("47mg Clinical",Controls!A:K,10,0),"")</f>
        <v>Fisher Clinical</v>
      </c>
      <c r="S1968">
        <f t="shared" si="233"/>
        <v>51227</v>
      </c>
      <c r="T1968">
        <f t="shared" si="234"/>
        <v>0</v>
      </c>
      <c r="AB1968">
        <f t="shared" si="228"/>
        <v>0</v>
      </c>
    </row>
    <row r="1969" spans="1:28" x14ac:dyDescent="0.35">
      <c r="A1969" s="201">
        <v>51349</v>
      </c>
      <c r="B1969" t="s">
        <v>923</v>
      </c>
      <c r="C1969" t="s">
        <v>28</v>
      </c>
      <c r="D1969" t="s">
        <v>29</v>
      </c>
      <c r="E1969">
        <f>H1968</f>
        <v>3500</v>
      </c>
      <c r="F1969">
        <f>IFERROR(SUMIFS('Demand Inputs'!$K$5:$K$202,'Demand Inputs'!$A$5:$A$202,"47mg Clinical",'Demand Inputs'!$B$5:$B$202,"&lt;&gt;AGGREGATE",'Demand Inputs'!$E$5:$E$202,1),0)</f>
        <v>0</v>
      </c>
      <c r="G1969">
        <f>IFERROR(SUMPRODUCT(('Production Inputs'!$A:$A="47mg Clinical")*('Production Inputs'!$B:$B="TOTAL ACTIVE")*'Production Inputs'!$GD:$GD),0)</f>
        <v>0</v>
      </c>
      <c r="H1969">
        <f t="shared" si="229"/>
        <v>3500</v>
      </c>
      <c r="I1969" s="30">
        <f ca="1">IFERROR(AVERAGEIF(OFFSET(F1969,0,0,MIN(Controls!$B$8,COUNTIF(B1969:B$1973,B1969)),1),"&gt;"&amp;0),0)</f>
        <v>0</v>
      </c>
      <c r="J1969">
        <f t="shared" ca="1" si="230"/>
        <v>999</v>
      </c>
      <c r="K1969">
        <f t="shared" ca="1" si="231"/>
        <v>0</v>
      </c>
      <c r="L1969" t="str">
        <f t="shared" ca="1" si="232"/>
        <v>Overstock</v>
      </c>
      <c r="M1969">
        <f>IFERROR(VLOOKUP("47mg Clinical",Controls!A:I,7,0),6)</f>
        <v>6</v>
      </c>
      <c r="N1969">
        <f>IFERROR(VLOOKUP("47mg Clinical",Controls!A:I,8,0),3)</f>
        <v>4</v>
      </c>
      <c r="O1969">
        <f>IFERROR(VLOOKUP("47mg Clinical",Controls!A:I,9,0),18)</f>
        <v>12</v>
      </c>
      <c r="P1969">
        <f>IFERROR(VLOOKUP("47mg Clinical",Controls!A:J,5,0),0)</f>
        <v>1</v>
      </c>
      <c r="Q1969">
        <f>IFERROR(VLOOKUP("47mg Clinical",Controls!A:J,6,0),3)</f>
        <v>3</v>
      </c>
      <c r="R1969" t="str">
        <f>IFERROR(VLOOKUP("47mg Clinical",Controls!A:K,10,0),"")</f>
        <v>Fisher Clinical</v>
      </c>
      <c r="S1969">
        <f t="shared" si="233"/>
        <v>51257</v>
      </c>
      <c r="T1969">
        <f t="shared" si="234"/>
        <v>0</v>
      </c>
      <c r="AB1969">
        <f t="shared" si="228"/>
        <v>0</v>
      </c>
    </row>
    <row r="1970" spans="1:28" x14ac:dyDescent="0.35">
      <c r="A1970" s="201">
        <v>51380</v>
      </c>
      <c r="B1970" t="s">
        <v>923</v>
      </c>
      <c r="C1970" t="s">
        <v>28</v>
      </c>
      <c r="D1970" t="s">
        <v>29</v>
      </c>
      <c r="E1970">
        <f>H1969</f>
        <v>3500</v>
      </c>
      <c r="F1970">
        <f>IFERROR(SUMIFS('Demand Inputs'!$K$5:$K$202,'Demand Inputs'!$A$5:$A$202,"47mg Clinical",'Demand Inputs'!$B$5:$B$202,"&lt;&gt;AGGREGATE",'Demand Inputs'!$E$5:$E$202,1),0)</f>
        <v>0</v>
      </c>
      <c r="G1970">
        <f>IFERROR(SUMPRODUCT(('Production Inputs'!$A:$A="47mg Clinical")*('Production Inputs'!$B:$B="TOTAL ACTIVE")*'Production Inputs'!$GE:$GE),0)</f>
        <v>0</v>
      </c>
      <c r="H1970">
        <f t="shared" si="229"/>
        <v>3500</v>
      </c>
      <c r="I1970" s="30">
        <f ca="1">IFERROR(AVERAGEIF(OFFSET(F1970,0,0,MIN(Controls!$B$8,COUNTIF(B1970:B$1973,B1970)),1),"&gt;"&amp;0),0)</f>
        <v>0</v>
      </c>
      <c r="J1970">
        <f t="shared" ca="1" si="230"/>
        <v>999</v>
      </c>
      <c r="K1970">
        <f t="shared" ca="1" si="231"/>
        <v>0</v>
      </c>
      <c r="L1970" t="str">
        <f t="shared" ca="1" si="232"/>
        <v>Overstock</v>
      </c>
      <c r="M1970">
        <f>IFERROR(VLOOKUP("47mg Clinical",Controls!A:I,7,0),6)</f>
        <v>6</v>
      </c>
      <c r="N1970">
        <f>IFERROR(VLOOKUP("47mg Clinical",Controls!A:I,8,0),3)</f>
        <v>4</v>
      </c>
      <c r="O1970">
        <f>IFERROR(VLOOKUP("47mg Clinical",Controls!A:I,9,0),18)</f>
        <v>12</v>
      </c>
      <c r="P1970">
        <f>IFERROR(VLOOKUP("47mg Clinical",Controls!A:J,5,0),0)</f>
        <v>1</v>
      </c>
      <c r="Q1970">
        <f>IFERROR(VLOOKUP("47mg Clinical",Controls!A:J,6,0),3)</f>
        <v>3</v>
      </c>
      <c r="R1970" t="str">
        <f>IFERROR(VLOOKUP("47mg Clinical",Controls!A:K,10,0),"")</f>
        <v>Fisher Clinical</v>
      </c>
      <c r="S1970">
        <f t="shared" si="233"/>
        <v>51288</v>
      </c>
      <c r="T1970">
        <f t="shared" si="234"/>
        <v>0</v>
      </c>
      <c r="AB1970">
        <f t="shared" si="228"/>
        <v>0</v>
      </c>
    </row>
    <row r="1971" spans="1:28" x14ac:dyDescent="0.35">
      <c r="A1971" s="201">
        <v>51410</v>
      </c>
      <c r="B1971" t="s">
        <v>923</v>
      </c>
      <c r="C1971" t="s">
        <v>28</v>
      </c>
      <c r="D1971" t="s">
        <v>29</v>
      </c>
      <c r="E1971">
        <f>H1970</f>
        <v>3500</v>
      </c>
      <c r="F1971">
        <f>IFERROR(SUMIFS('Demand Inputs'!$K$5:$K$202,'Demand Inputs'!$A$5:$A$202,"47mg Clinical",'Demand Inputs'!$B$5:$B$202,"&lt;&gt;AGGREGATE",'Demand Inputs'!$E$5:$E$202,1),0)</f>
        <v>0</v>
      </c>
      <c r="G1971">
        <f>IFERROR(SUMPRODUCT(('Production Inputs'!$A:$A="47mg Clinical")*('Production Inputs'!$B:$B="TOTAL ACTIVE")*'Production Inputs'!$GF:$GF),0)</f>
        <v>0</v>
      </c>
      <c r="H1971">
        <f t="shared" si="229"/>
        <v>3500</v>
      </c>
      <c r="I1971" s="30">
        <f ca="1">IFERROR(AVERAGEIF(OFFSET(F1971,0,0,MIN(Controls!$B$8,COUNTIF(B1971:B$1973,B1971)),1),"&gt;"&amp;0),0)</f>
        <v>0</v>
      </c>
      <c r="J1971">
        <f t="shared" ca="1" si="230"/>
        <v>999</v>
      </c>
      <c r="K1971">
        <f t="shared" ca="1" si="231"/>
        <v>0</v>
      </c>
      <c r="L1971" t="str">
        <f t="shared" ca="1" si="232"/>
        <v>Overstock</v>
      </c>
      <c r="M1971">
        <f>IFERROR(VLOOKUP("47mg Clinical",Controls!A:I,7,0),6)</f>
        <v>6</v>
      </c>
      <c r="N1971">
        <f>IFERROR(VLOOKUP("47mg Clinical",Controls!A:I,8,0),3)</f>
        <v>4</v>
      </c>
      <c r="O1971">
        <f>IFERROR(VLOOKUP("47mg Clinical",Controls!A:I,9,0),18)</f>
        <v>12</v>
      </c>
      <c r="P1971">
        <f>IFERROR(VLOOKUP("47mg Clinical",Controls!A:J,5,0),0)</f>
        <v>1</v>
      </c>
      <c r="Q1971">
        <f>IFERROR(VLOOKUP("47mg Clinical",Controls!A:J,6,0),3)</f>
        <v>3</v>
      </c>
      <c r="R1971" t="str">
        <f>IFERROR(VLOOKUP("47mg Clinical",Controls!A:K,10,0),"")</f>
        <v>Fisher Clinical</v>
      </c>
      <c r="S1971">
        <f t="shared" si="233"/>
        <v>51318</v>
      </c>
      <c r="T1971">
        <f t="shared" si="234"/>
        <v>0</v>
      </c>
      <c r="AB1971">
        <f t="shared" si="228"/>
        <v>0</v>
      </c>
    </row>
    <row r="1972" spans="1:28" x14ac:dyDescent="0.35">
      <c r="A1972" s="201">
        <v>51441</v>
      </c>
      <c r="B1972" t="s">
        <v>923</v>
      </c>
      <c r="C1972" t="s">
        <v>28</v>
      </c>
      <c r="D1972" t="s">
        <v>29</v>
      </c>
      <c r="E1972">
        <f>H1971</f>
        <v>3500</v>
      </c>
      <c r="F1972">
        <f>IFERROR(SUMIFS('Demand Inputs'!$K$5:$K$202,'Demand Inputs'!$A$5:$A$202,"47mg Clinical",'Demand Inputs'!$B$5:$B$202,"&lt;&gt;AGGREGATE",'Demand Inputs'!$E$5:$E$202,1),0)</f>
        <v>0</v>
      </c>
      <c r="G1972">
        <f>IFERROR(SUMPRODUCT(('Production Inputs'!$A:$A="47mg Clinical")*('Production Inputs'!$B:$B="TOTAL ACTIVE")*'Production Inputs'!$GG:$GG),0)</f>
        <v>0</v>
      </c>
      <c r="H1972">
        <f t="shared" si="229"/>
        <v>3500</v>
      </c>
      <c r="I1972" s="30">
        <f ca="1">IFERROR(AVERAGEIF(OFFSET(F1972,0,0,MIN(Controls!$B$8,COUNTIF(B1972:B$1973,B1972)),1),"&gt;"&amp;0),0)</f>
        <v>0</v>
      </c>
      <c r="J1972">
        <f t="shared" ca="1" si="230"/>
        <v>999</v>
      </c>
      <c r="K1972">
        <f t="shared" ca="1" si="231"/>
        <v>0</v>
      </c>
      <c r="L1972" t="str">
        <f t="shared" ca="1" si="232"/>
        <v>Overstock</v>
      </c>
      <c r="M1972">
        <f>IFERROR(VLOOKUP("47mg Clinical",Controls!A:I,7,0),6)</f>
        <v>6</v>
      </c>
      <c r="N1972">
        <f>IFERROR(VLOOKUP("47mg Clinical",Controls!A:I,8,0),3)</f>
        <v>4</v>
      </c>
      <c r="O1972">
        <f>IFERROR(VLOOKUP("47mg Clinical",Controls!A:I,9,0),18)</f>
        <v>12</v>
      </c>
      <c r="P1972">
        <f>IFERROR(VLOOKUP("47mg Clinical",Controls!A:J,5,0),0)</f>
        <v>1</v>
      </c>
      <c r="Q1972">
        <f>IFERROR(VLOOKUP("47mg Clinical",Controls!A:J,6,0),3)</f>
        <v>3</v>
      </c>
      <c r="R1972" t="str">
        <f>IFERROR(VLOOKUP("47mg Clinical",Controls!A:K,10,0),"")</f>
        <v>Fisher Clinical</v>
      </c>
      <c r="S1972">
        <f t="shared" si="233"/>
        <v>51349</v>
      </c>
      <c r="T1972">
        <f t="shared" si="234"/>
        <v>0</v>
      </c>
      <c r="AB1972">
        <f t="shared" si="228"/>
        <v>0</v>
      </c>
    </row>
    <row r="1973" spans="1:28" x14ac:dyDescent="0.35">
      <c r="A1973" s="201">
        <v>51471</v>
      </c>
      <c r="B1973" t="s">
        <v>923</v>
      </c>
      <c r="C1973" t="s">
        <v>28</v>
      </c>
      <c r="D1973" t="s">
        <v>29</v>
      </c>
      <c r="E1973">
        <f>H1972</f>
        <v>3500</v>
      </c>
      <c r="F1973">
        <f>IFERROR(SUMIFS('Demand Inputs'!$K$5:$K$202,'Demand Inputs'!$A$5:$A$202,"47mg Clinical",'Demand Inputs'!$B$5:$B$202,"&lt;&gt;AGGREGATE",'Demand Inputs'!$E$5:$E$202,1),0)</f>
        <v>0</v>
      </c>
      <c r="G1973">
        <f>IFERROR(SUMPRODUCT(('Production Inputs'!$A:$A="47mg Clinical")*('Production Inputs'!$B:$B="TOTAL ACTIVE")*'Production Inputs'!$GH:$GH),0)</f>
        <v>0</v>
      </c>
      <c r="H1973">
        <f t="shared" si="229"/>
        <v>3500</v>
      </c>
      <c r="I1973" s="30">
        <f ca="1">IFERROR(AVERAGEIF(OFFSET(F1973,0,0,MIN(Controls!$B$8,COUNTIF(B1973:B$1973,B1973)),1),"&gt;"&amp;0),0)</f>
        <v>0</v>
      </c>
      <c r="J1973">
        <f t="shared" ca="1" si="230"/>
        <v>999</v>
      </c>
      <c r="K1973">
        <f t="shared" ca="1" si="231"/>
        <v>0</v>
      </c>
      <c r="L1973" t="str">
        <f t="shared" ca="1" si="232"/>
        <v>Overstock</v>
      </c>
      <c r="M1973">
        <f>IFERROR(VLOOKUP("47mg Clinical",Controls!A:I,7,0),6)</f>
        <v>6</v>
      </c>
      <c r="N1973">
        <f>IFERROR(VLOOKUP("47mg Clinical",Controls!A:I,8,0),3)</f>
        <v>4</v>
      </c>
      <c r="O1973">
        <f>IFERROR(VLOOKUP("47mg Clinical",Controls!A:I,9,0),18)</f>
        <v>12</v>
      </c>
      <c r="P1973">
        <f>IFERROR(VLOOKUP("47mg Clinical",Controls!A:J,5,0),0)</f>
        <v>1</v>
      </c>
      <c r="Q1973">
        <f>IFERROR(VLOOKUP("47mg Clinical",Controls!A:J,6,0),3)</f>
        <v>3</v>
      </c>
      <c r="R1973" t="str">
        <f>IFERROR(VLOOKUP("47mg Clinical",Controls!A:K,10,0),"")</f>
        <v>Fisher Clinical</v>
      </c>
      <c r="S1973">
        <f t="shared" si="233"/>
        <v>51380</v>
      </c>
      <c r="T1973">
        <f t="shared" si="234"/>
        <v>0</v>
      </c>
      <c r="AB1973">
        <f t="shared" si="228"/>
        <v>0</v>
      </c>
    </row>
    <row r="1974" spans="1:28" x14ac:dyDescent="0.35">
      <c r="A1974" s="153">
        <v>46054</v>
      </c>
      <c r="B1974" s="155" t="s">
        <v>959</v>
      </c>
      <c r="C1974" s="15" t="s">
        <v>28</v>
      </c>
      <c r="D1974" s="15" t="s">
        <v>29</v>
      </c>
      <c r="E1974" s="199">
        <f>IFERROR(VLOOKUP("188mg LP - EU Stock",Controls!A:D,4,0),0)</f>
        <v>0</v>
      </c>
      <c r="F1974" s="199">
        <f>IFERROR(SUMIFS('Demand Inputs'!$F$5:$F$202,'Demand Inputs'!$A$5:$A$202,"188mg LP - EU Stock",'Demand Inputs'!$B$5:$B$202,"&lt;&gt;AGGREGATE",'Demand Inputs'!$E$5:$E$202,1),0)</f>
        <v>0</v>
      </c>
      <c r="G1974" s="199" cm="1">
        <f t="array" ref="G1974">IFERROR(SUMPRODUCT(('Production Inputs'!$A:$A="188mg LP - EU Stock")*('Production Inputs'!$B:$B="TOTAL ACTIVE")*'Production Inputs'!$L:$L),0)</f>
        <v>0</v>
      </c>
      <c r="H1974" s="199">
        <f t="shared" ref="H1974:H2037" si="235">E1974+G1974-F1974</f>
        <v>0</v>
      </c>
      <c r="I1974" s="30">
        <f ca="1">IFERROR(AVERAGEIF(OFFSET(F1974,0,0,MIN(Controls!$B$8,COUNTIF(B1974:B$2152,B1974)),1),"&gt;"&amp;0),0)</f>
        <v>0</v>
      </c>
      <c r="J1974" s="38">
        <f t="shared" ref="J1974:J2037" ca="1" si="236">IFERROR(H1974/I1974,IF(H1974&gt;0,999,0))</f>
        <v>0</v>
      </c>
      <c r="K1974" s="30">
        <f t="shared" ref="K1974:K2037" ca="1" si="237">IFERROR(IF(H1974&lt;(N1974*I1974), CEILING(MAX(0,ROUND((M1974*I1974-H1974)/P1974,0)*P1974),P1974), 0), 0)</f>
        <v>0</v>
      </c>
      <c r="L1974" t="str">
        <f t="shared" ref="L1974:L2037" si="238">IF(H1974&lt;=0,"High",IF(J1974&lt;N1974,"High",IF(J1974&lt;M1974,"Medium",IF(J1974&gt;O1974,"Overstock","Low"))))</f>
        <v>High</v>
      </c>
      <c r="M1974" s="39">
        <f>IFERROR(VLOOKUP("188mg LP - EU Stock",Controls!A:I,7,0),6)</f>
        <v>9</v>
      </c>
      <c r="N1974" s="39">
        <f>IFERROR(VLOOKUP("188mg LP - EU Stock",Controls!A:I,8,0),3)</f>
        <v>8</v>
      </c>
      <c r="O1974" s="39">
        <f>IFERROR(VLOOKUP("188mg LP - EU Stock",Controls!A:I,9,0),18)</f>
        <v>18</v>
      </c>
      <c r="P1974" s="40">
        <f>IFERROR(VLOOKUP("188mg LP - EU Stock",Controls!A:J,5,0),0)</f>
        <v>16200</v>
      </c>
      <c r="Q1974" s="39">
        <f>IFERROR(VLOOKUP("188mg LP - EU Stock",Controls!A:J,6,0),3)</f>
        <v>3</v>
      </c>
      <c r="R1974" s="21" t="str">
        <f>IFERROR(VLOOKUP("188mg LP - EU Stock",Controls!A:K,10,0),"")</f>
        <v>Patheon (L&amp;P EU)</v>
      </c>
      <c r="S1974" s="41">
        <f t="shared" ref="S1974:S2037" si="239">IFERROR(EDATE(A1974,-Q1974),"")</f>
        <v>45962</v>
      </c>
      <c r="T1974" s="30">
        <f t="shared" ref="T1974:T2037" si="240">G1974</f>
        <v>0</v>
      </c>
      <c r="W1974" s="205" t="str" cm="1">
        <f t="array" ref="W1974">IF(0&lt;Controls!$B$7,TEXT(INDEX(A1974:A2152,MATCH(Controls!$B$5,A1974:A2152,1)+0),"MMM-YY"),"")</f>
        <v>Apr-26</v>
      </c>
      <c r="X1974" cm="1">
        <f t="array" ref="X1974">IF(0&lt;Controls!$B$7,INDEX(F1974:F2152,MATCH(Controls!$B$5,A1974:A2152,1)+0),"")</f>
        <v>0</v>
      </c>
      <c r="Y1974" cm="1">
        <f t="array" ref="Y1974">IF(0&lt;Controls!$B$7,INDEX(G1974:G2152,MATCH(Controls!$B$5,A1974:A2152,1)+0),"")</f>
        <v>0</v>
      </c>
      <c r="Z1974" cm="1">
        <f t="array" ref="Z1974">IF(0&lt;Controls!$B$7,INDEX(H1974:H2152,MATCH(Controls!$B$5,A1974:A2152,1)+0),"")</f>
        <v>0</v>
      </c>
      <c r="AA1974" cm="1">
        <f t="array" aca="1" ref="AA1974" ca="1">IF(0&lt;Controls!$B$7,INDEX(M1974:M2152,MATCH(Controls!$B$5,A1974:A2152,1)+0)*INDEX(I1974:I2152,MATCH(Controls!$B$5,A1974:A2152,1)+0),"")</f>
        <v>0</v>
      </c>
      <c r="AB1974">
        <f t="shared" si="228"/>
        <v>0</v>
      </c>
    </row>
    <row r="1975" spans="1:28" x14ac:dyDescent="0.35">
      <c r="A1975" s="153">
        <v>46082</v>
      </c>
      <c r="B1975" s="155" t="s">
        <v>959</v>
      </c>
      <c r="C1975" s="15" t="s">
        <v>28</v>
      </c>
      <c r="D1975" s="15" t="s">
        <v>29</v>
      </c>
      <c r="E1975" s="199">
        <f>H1974</f>
        <v>0</v>
      </c>
      <c r="F1975" s="199">
        <f>IFERROR(SUMIFS('Demand Inputs'!$G$5:$G$202,'Demand Inputs'!$A$5:$A$202,"188mg LP - EU Stock",'Demand Inputs'!$B$5:$B$202,"&lt;&gt;AGGREGATE",'Demand Inputs'!$E$5:$E$202,1),0)</f>
        <v>0</v>
      </c>
      <c r="G1975" s="199" cm="1">
        <f t="array" ref="G1975">IFERROR(SUMPRODUCT(('Production Inputs'!$A:$A="188mg LP - EU Stock")*('Production Inputs'!$B:$B="TOTAL ACTIVE")*'Production Inputs'!$M:$M),0)</f>
        <v>0</v>
      </c>
      <c r="H1975" s="199">
        <f t="shared" si="235"/>
        <v>0</v>
      </c>
      <c r="I1975" s="30">
        <f ca="1">IFERROR(AVERAGEIF(OFFSET(F1975,0,0,MIN(Controls!$B$8,COUNTIF(B1975:B$2152,B1975)),1),"&gt;"&amp;0),0)</f>
        <v>0</v>
      </c>
      <c r="J1975" s="38">
        <f t="shared" ca="1" si="236"/>
        <v>0</v>
      </c>
      <c r="K1975" s="30">
        <f t="shared" ca="1" si="237"/>
        <v>0</v>
      </c>
      <c r="L1975" t="str">
        <f t="shared" si="238"/>
        <v>High</v>
      </c>
      <c r="M1975" s="39">
        <f>IFERROR(VLOOKUP("188mg LP - EU Stock",Controls!A:I,7,0),6)</f>
        <v>9</v>
      </c>
      <c r="N1975" s="39">
        <f>IFERROR(VLOOKUP("188mg LP - EU Stock",Controls!A:I,8,0),3)</f>
        <v>8</v>
      </c>
      <c r="O1975" s="39">
        <f>IFERROR(VLOOKUP("188mg LP - EU Stock",Controls!A:I,9,0),18)</f>
        <v>18</v>
      </c>
      <c r="P1975" s="40">
        <f>IFERROR(VLOOKUP("188mg LP - EU Stock",Controls!A:J,5,0),0)</f>
        <v>16200</v>
      </c>
      <c r="Q1975" s="39">
        <f>IFERROR(VLOOKUP("188mg LP - EU Stock",Controls!A:J,6,0),3)</f>
        <v>3</v>
      </c>
      <c r="R1975" s="21" t="str">
        <f>IFERROR(VLOOKUP("188mg LP - EU Stock",Controls!A:K,10,0),"")</f>
        <v>Patheon (L&amp;P EU)</v>
      </c>
      <c r="S1975" s="41">
        <f t="shared" si="239"/>
        <v>45992</v>
      </c>
      <c r="T1975" s="30">
        <f t="shared" si="240"/>
        <v>0</v>
      </c>
      <c r="W1975" s="205" t="str" cm="1">
        <f t="array" ref="W1975">IF(1&lt;Controls!$B$7,TEXT(INDEX(A1974:A2152,MATCH(Controls!$B$5,A1974:A2152,1)+1),"MMM-YY"),"")</f>
        <v>May-26</v>
      </c>
      <c r="X1975" cm="1">
        <f t="array" ref="X1975">IF(1&lt;Controls!$B$7,INDEX(F1974:F2152,MATCH(Controls!$B$5,A1974:A2152,1)+1),"")</f>
        <v>0</v>
      </c>
      <c r="Y1975" cm="1">
        <f t="array" ref="Y1975">IF(1&lt;Controls!$B$7,INDEX(G1974:G2152,MATCH(Controls!$B$5,A1974:A2152,1)+1),"")</f>
        <v>0</v>
      </c>
      <c r="Z1975" cm="1">
        <f t="array" ref="Z1975">IF(1&lt;Controls!$B$7,INDEX(H1974:H2152,MATCH(Controls!$B$5,A1974:A2152,1)+1),"")</f>
        <v>0</v>
      </c>
      <c r="AA1975" cm="1">
        <f t="array" aca="1" ref="AA1975" ca="1">IF(1&lt;Controls!$B$7,INDEX(M1974:M2152,MATCH(Controls!$B$5,A1974:A2152,1)+1)*INDEX(I1974:I2152,MATCH(Controls!$B$5,A1974:A2152,1)+1),"")</f>
        <v>0</v>
      </c>
      <c r="AB1975">
        <f t="shared" si="228"/>
        <v>0</v>
      </c>
    </row>
    <row r="1976" spans="1:28" x14ac:dyDescent="0.35">
      <c r="A1976" s="153">
        <v>46113</v>
      </c>
      <c r="B1976" s="155" t="s">
        <v>959</v>
      </c>
      <c r="C1976" s="15" t="s">
        <v>28</v>
      </c>
      <c r="D1976" s="15" t="s">
        <v>29</v>
      </c>
      <c r="E1976" s="199">
        <f>H1975</f>
        <v>0</v>
      </c>
      <c r="F1976" s="199">
        <f>IFERROR(SUMIFS('Demand Inputs'!$H$5:$H$202,'Demand Inputs'!$A$5:$A$202,"188mg LP - EU Stock",'Demand Inputs'!$B$5:$B$202,"&lt;&gt;AGGREGATE",'Demand Inputs'!$E$5:$E$202,1),0)</f>
        <v>0</v>
      </c>
      <c r="G1976" s="199" cm="1">
        <f t="array" ref="G1976">IFERROR(SUMPRODUCT(('Production Inputs'!$A:$A="188mg LP - EU Stock")*('Production Inputs'!$B:$B="TOTAL ACTIVE")*'Production Inputs'!$N:$N),0)</f>
        <v>0</v>
      </c>
      <c r="H1976" s="199">
        <f t="shared" si="235"/>
        <v>0</v>
      </c>
      <c r="I1976" s="30">
        <f ca="1">IFERROR(AVERAGEIF(OFFSET(F1976,0,0,MIN(Controls!$B$8,COUNTIF(B1976:B$2152,B1976)),1),"&gt;"&amp;0),0)</f>
        <v>0</v>
      </c>
      <c r="J1976" s="38">
        <f t="shared" ca="1" si="236"/>
        <v>0</v>
      </c>
      <c r="K1976" s="30">
        <f t="shared" ca="1" si="237"/>
        <v>0</v>
      </c>
      <c r="L1976" t="str">
        <f t="shared" si="238"/>
        <v>High</v>
      </c>
      <c r="M1976" s="39">
        <f>IFERROR(VLOOKUP("188mg LP - EU Stock",Controls!A:I,7,0),6)</f>
        <v>9</v>
      </c>
      <c r="N1976" s="39">
        <f>IFERROR(VLOOKUP("188mg LP - EU Stock",Controls!A:I,8,0),3)</f>
        <v>8</v>
      </c>
      <c r="O1976" s="39">
        <f>IFERROR(VLOOKUP("188mg LP - EU Stock",Controls!A:I,9,0),18)</f>
        <v>18</v>
      </c>
      <c r="P1976" s="40">
        <f>IFERROR(VLOOKUP("188mg LP - EU Stock",Controls!A:J,5,0),0)</f>
        <v>16200</v>
      </c>
      <c r="Q1976" s="39">
        <f>IFERROR(VLOOKUP("188mg LP - EU Stock",Controls!A:J,6,0),3)</f>
        <v>3</v>
      </c>
      <c r="R1976" s="21" t="str">
        <f>IFERROR(VLOOKUP("188mg LP - EU Stock",Controls!A:K,10,0),"")</f>
        <v>Patheon (L&amp;P EU)</v>
      </c>
      <c r="S1976" s="41">
        <f t="shared" si="239"/>
        <v>46023</v>
      </c>
      <c r="T1976" s="30">
        <f t="shared" si="240"/>
        <v>0</v>
      </c>
      <c r="W1976" s="205" t="str" cm="1">
        <f t="array" ref="W1976">IF(2&lt;Controls!$B$7,TEXT(INDEX(A1974:A2152,MATCH(Controls!$B$5,A1974:A2152,1)+2),"MMM-YY"),"")</f>
        <v>Jun-26</v>
      </c>
      <c r="X1976" cm="1">
        <f t="array" ref="X1976">IF(2&lt;Controls!$B$7,INDEX(F1974:F2152,MATCH(Controls!$B$5,A1974:A2152,1)+2),"")</f>
        <v>0</v>
      </c>
      <c r="Y1976" cm="1">
        <f t="array" ref="Y1976">IF(2&lt;Controls!$B$7,INDEX(G1974:G2152,MATCH(Controls!$B$5,A1974:A2152,1)+2),"")</f>
        <v>0</v>
      </c>
      <c r="Z1976" cm="1">
        <f t="array" ref="Z1976">IF(2&lt;Controls!$B$7,INDEX(H1974:H2152,MATCH(Controls!$B$5,A1974:A2152,1)+2),"")</f>
        <v>0</v>
      </c>
      <c r="AA1976" cm="1">
        <f t="array" aca="1" ref="AA1976" ca="1">IF(2&lt;Controls!$B$7,INDEX(M1974:M2152,MATCH(Controls!$B$5,A1974:A2152,1)+2)*INDEX(I1974:I2152,MATCH(Controls!$B$5,A1974:A2152,1)+2),"")</f>
        <v>0</v>
      </c>
      <c r="AB1976">
        <f t="shared" si="228"/>
        <v>0</v>
      </c>
    </row>
    <row r="1977" spans="1:28" x14ac:dyDescent="0.35">
      <c r="A1977" s="153">
        <v>46143</v>
      </c>
      <c r="B1977" s="155" t="s">
        <v>959</v>
      </c>
      <c r="C1977" s="15" t="s">
        <v>28</v>
      </c>
      <c r="D1977" s="15" t="s">
        <v>29</v>
      </c>
      <c r="E1977" s="199">
        <f>H1976</f>
        <v>0</v>
      </c>
      <c r="F1977" s="199">
        <f>IFERROR(SUMIFS('Demand Inputs'!$I$5:$I$202,'Demand Inputs'!$A$5:$A$202,"188mg LP - EU Stock",'Demand Inputs'!$B$5:$B$202,"&lt;&gt;AGGREGATE",'Demand Inputs'!$E$5:$E$202,1),0)</f>
        <v>0</v>
      </c>
      <c r="G1977" s="199" cm="1">
        <f t="array" ref="G1977">IFERROR(SUMPRODUCT(('Production Inputs'!$A:$A="188mg LP - EU Stock")*('Production Inputs'!$B:$B="TOTAL ACTIVE")*'Production Inputs'!$O:$O),0)</f>
        <v>0</v>
      </c>
      <c r="H1977" s="199">
        <f t="shared" si="235"/>
        <v>0</v>
      </c>
      <c r="I1977" s="30">
        <f ca="1">IFERROR(AVERAGEIF(OFFSET(F1977,0,0,MIN(Controls!$B$8,COUNTIF(B1977:B$2152,B1977)),1),"&gt;"&amp;0),0)</f>
        <v>0</v>
      </c>
      <c r="J1977" s="38">
        <f t="shared" ca="1" si="236"/>
        <v>0</v>
      </c>
      <c r="K1977" s="30">
        <f t="shared" ca="1" si="237"/>
        <v>0</v>
      </c>
      <c r="L1977" t="str">
        <f t="shared" si="238"/>
        <v>High</v>
      </c>
      <c r="M1977" s="39">
        <f>IFERROR(VLOOKUP("188mg LP - EU Stock",Controls!A:I,7,0),6)</f>
        <v>9</v>
      </c>
      <c r="N1977" s="39">
        <f>IFERROR(VLOOKUP("188mg LP - EU Stock",Controls!A:I,8,0),3)</f>
        <v>8</v>
      </c>
      <c r="O1977" s="39">
        <f>IFERROR(VLOOKUP("188mg LP - EU Stock",Controls!A:I,9,0),18)</f>
        <v>18</v>
      </c>
      <c r="P1977" s="40">
        <f>IFERROR(VLOOKUP("188mg LP - EU Stock",Controls!A:J,5,0),0)</f>
        <v>16200</v>
      </c>
      <c r="Q1977" s="39">
        <f>IFERROR(VLOOKUP("188mg LP - EU Stock",Controls!A:J,6,0),3)</f>
        <v>3</v>
      </c>
      <c r="R1977" s="21" t="str">
        <f>IFERROR(VLOOKUP("188mg LP - EU Stock",Controls!A:K,10,0),"")</f>
        <v>Patheon (L&amp;P EU)</v>
      </c>
      <c r="S1977" s="41">
        <f t="shared" si="239"/>
        <v>46054</v>
      </c>
      <c r="T1977" s="30">
        <f t="shared" si="240"/>
        <v>0</v>
      </c>
      <c r="W1977" s="205" t="str" cm="1">
        <f t="array" ref="W1977">IF(3&lt;Controls!$B$7,TEXT(INDEX(A1974:A2152,MATCH(Controls!$B$5,A1974:A2152,1)+3),"MMM-YY"),"")</f>
        <v>Jul-26</v>
      </c>
      <c r="X1977" cm="1">
        <f t="array" ref="X1977">IF(3&lt;Controls!$B$7,INDEX(F1974:F2152,MATCH(Controls!$B$5,A1974:A2152,1)+3),"")</f>
        <v>0</v>
      </c>
      <c r="Y1977" cm="1">
        <f t="array" ref="Y1977">IF(3&lt;Controls!$B$7,INDEX(G1974:G2152,MATCH(Controls!$B$5,A1974:A2152,1)+3),"")</f>
        <v>0</v>
      </c>
      <c r="Z1977" cm="1">
        <f t="array" ref="Z1977">IF(3&lt;Controls!$B$7,INDEX(H1974:H2152,MATCH(Controls!$B$5,A1974:A2152,1)+3),"")</f>
        <v>0</v>
      </c>
      <c r="AA1977" cm="1">
        <f t="array" aca="1" ref="AA1977" ca="1">IF(3&lt;Controls!$B$7,INDEX(M1974:M2152,MATCH(Controls!$B$5,A1974:A2152,1)+3)*INDEX(I1974:I2152,MATCH(Controls!$B$5,A1974:A2152,1)+3),"")</f>
        <v>0</v>
      </c>
      <c r="AB1977">
        <f t="shared" si="228"/>
        <v>0</v>
      </c>
    </row>
    <row r="1978" spans="1:28" x14ac:dyDescent="0.35">
      <c r="A1978" s="153">
        <v>46174</v>
      </c>
      <c r="B1978" s="155" t="s">
        <v>959</v>
      </c>
      <c r="C1978" s="15" t="s">
        <v>28</v>
      </c>
      <c r="D1978" s="15" t="s">
        <v>29</v>
      </c>
      <c r="E1978" s="199">
        <f>H1977</f>
        <v>0</v>
      </c>
      <c r="F1978" s="199">
        <f>IFERROR(SUMIFS('Demand Inputs'!$J$5:$J$202,'Demand Inputs'!$A$5:$A$202,"188mg LP - EU Stock",'Demand Inputs'!$B$5:$B$202,"&lt;&gt;AGGREGATE",'Demand Inputs'!$E$5:$E$202,1),0)</f>
        <v>0</v>
      </c>
      <c r="G1978" s="199" cm="1">
        <f t="array" ref="G1978">IFERROR(SUMPRODUCT(('Production Inputs'!$A:$A="188mg LP - EU Stock")*('Production Inputs'!$B:$B="TOTAL ACTIVE")*'Production Inputs'!$P:$P),0)</f>
        <v>0</v>
      </c>
      <c r="H1978" s="199">
        <f t="shared" si="235"/>
        <v>0</v>
      </c>
      <c r="I1978" s="30">
        <f ca="1">IFERROR(AVERAGEIF(OFFSET(F1978,0,0,MIN(Controls!$B$8,COUNTIF(B1978:B$2152,B1978)),1),"&gt;"&amp;0),0)</f>
        <v>0</v>
      </c>
      <c r="J1978" s="38">
        <f t="shared" ca="1" si="236"/>
        <v>0</v>
      </c>
      <c r="K1978" s="30">
        <f t="shared" ca="1" si="237"/>
        <v>0</v>
      </c>
      <c r="L1978" t="str">
        <f t="shared" si="238"/>
        <v>High</v>
      </c>
      <c r="M1978" s="39">
        <f>IFERROR(VLOOKUP("188mg LP - EU Stock",Controls!A:I,7,0),6)</f>
        <v>9</v>
      </c>
      <c r="N1978" s="39">
        <f>IFERROR(VLOOKUP("188mg LP - EU Stock",Controls!A:I,8,0),3)</f>
        <v>8</v>
      </c>
      <c r="O1978" s="39">
        <f>IFERROR(VLOOKUP("188mg LP - EU Stock",Controls!A:I,9,0),18)</f>
        <v>18</v>
      </c>
      <c r="P1978" s="40">
        <f>IFERROR(VLOOKUP("188mg LP - EU Stock",Controls!A:J,5,0),0)</f>
        <v>16200</v>
      </c>
      <c r="Q1978" s="39">
        <f>IFERROR(VLOOKUP("188mg LP - EU Stock",Controls!A:J,6,0),3)</f>
        <v>3</v>
      </c>
      <c r="R1978" s="21" t="str">
        <f>IFERROR(VLOOKUP("188mg LP - EU Stock",Controls!A:K,10,0),"")</f>
        <v>Patheon (L&amp;P EU)</v>
      </c>
      <c r="S1978" s="41">
        <f t="shared" si="239"/>
        <v>46082</v>
      </c>
      <c r="T1978" s="30">
        <f t="shared" si="240"/>
        <v>0</v>
      </c>
      <c r="W1978" s="205" t="str" cm="1">
        <f t="array" ref="W1978">IF(4&lt;Controls!$B$7,TEXT(INDEX(A1974:A2152,MATCH(Controls!$B$5,A1974:A2152,1)+4),"MMM-YY"),"")</f>
        <v>Aug-26</v>
      </c>
      <c r="X1978" cm="1">
        <f t="array" ref="X1978">IF(4&lt;Controls!$B$7,INDEX(F1974:F2152,MATCH(Controls!$B$5,A1974:A2152,1)+4),"")</f>
        <v>0</v>
      </c>
      <c r="Y1978" cm="1">
        <f t="array" ref="Y1978">IF(4&lt;Controls!$B$7,INDEX(G1974:G2152,MATCH(Controls!$B$5,A1974:A2152,1)+4),"")</f>
        <v>0</v>
      </c>
      <c r="Z1978" cm="1">
        <f t="array" ref="Z1978">IF(4&lt;Controls!$B$7,INDEX(H1974:H2152,MATCH(Controls!$B$5,A1974:A2152,1)+4),"")</f>
        <v>0</v>
      </c>
      <c r="AA1978" cm="1">
        <f t="array" aca="1" ref="AA1978" ca="1">IF(4&lt;Controls!$B$7,INDEX(M1974:M2152,MATCH(Controls!$B$5,A1974:A2152,1)+4)*INDEX(I1974:I2152,MATCH(Controls!$B$5,A1974:A2152,1)+4),"")</f>
        <v>0</v>
      </c>
      <c r="AB1978">
        <f t="shared" si="228"/>
        <v>0</v>
      </c>
    </row>
    <row r="1979" spans="1:28" x14ac:dyDescent="0.35">
      <c r="A1979" s="153">
        <v>46204</v>
      </c>
      <c r="B1979" s="155" t="s">
        <v>959</v>
      </c>
      <c r="C1979" s="15" t="s">
        <v>28</v>
      </c>
      <c r="D1979" s="15" t="s">
        <v>29</v>
      </c>
      <c r="E1979" s="199">
        <f>H1978</f>
        <v>0</v>
      </c>
      <c r="F1979" s="199">
        <f>IFERROR(SUMIFS('Demand Inputs'!$K$5:$K$202,'Demand Inputs'!$A$5:$A$202,"188mg LP - EU Stock",'Demand Inputs'!$B$5:$B$202,"&lt;&gt;AGGREGATE",'Demand Inputs'!$E$5:$E$202,1),0)</f>
        <v>0</v>
      </c>
      <c r="G1979" s="199" cm="1">
        <f t="array" ref="G1979">IFERROR(SUMPRODUCT(('Production Inputs'!$A:$A="188mg LP - EU Stock")*('Production Inputs'!$B:$B="TOTAL ACTIVE")*'Production Inputs'!$Q:$Q),0)</f>
        <v>0</v>
      </c>
      <c r="H1979" s="199">
        <f t="shared" si="235"/>
        <v>0</v>
      </c>
      <c r="I1979" s="30">
        <f ca="1">IFERROR(AVERAGEIF(OFFSET(F1979,0,0,MIN(Controls!$B$8,COUNTIF(B1979:B$2152,B1979)),1),"&gt;"&amp;0),0)</f>
        <v>0</v>
      </c>
      <c r="J1979" s="38">
        <f t="shared" ca="1" si="236"/>
        <v>0</v>
      </c>
      <c r="K1979" s="30">
        <f t="shared" ca="1" si="237"/>
        <v>0</v>
      </c>
      <c r="L1979" t="str">
        <f t="shared" si="238"/>
        <v>High</v>
      </c>
      <c r="M1979" s="39">
        <f>IFERROR(VLOOKUP("188mg LP - EU Stock",Controls!A:I,7,0),6)</f>
        <v>9</v>
      </c>
      <c r="N1979" s="39">
        <f>IFERROR(VLOOKUP("188mg LP - EU Stock",Controls!A:I,8,0),3)</f>
        <v>8</v>
      </c>
      <c r="O1979" s="39">
        <f>IFERROR(VLOOKUP("188mg LP - EU Stock",Controls!A:I,9,0),18)</f>
        <v>18</v>
      </c>
      <c r="P1979" s="40">
        <f>IFERROR(VLOOKUP("188mg LP - EU Stock",Controls!A:J,5,0),0)</f>
        <v>16200</v>
      </c>
      <c r="Q1979" s="39">
        <f>IFERROR(VLOOKUP("188mg LP - EU Stock",Controls!A:J,6,0),3)</f>
        <v>3</v>
      </c>
      <c r="R1979" s="21" t="str">
        <f>IFERROR(VLOOKUP("188mg LP - EU Stock",Controls!A:K,10,0),"")</f>
        <v>Patheon (L&amp;P EU)</v>
      </c>
      <c r="S1979" s="41">
        <f t="shared" si="239"/>
        <v>46113</v>
      </c>
      <c r="T1979" s="30">
        <f t="shared" si="240"/>
        <v>0</v>
      </c>
      <c r="V1979" t="s">
        <v>936</v>
      </c>
      <c r="W1979" s="205" t="str" cm="1">
        <f t="array" ref="W1979">IF(5&lt;Controls!$B$7,TEXT(INDEX(A1974:A2152,MATCH(Controls!$B$5,A1974:A2152,1)+5),"MMM-YY"),"")</f>
        <v>Sep-26</v>
      </c>
      <c r="X1979" cm="1">
        <f t="array" ref="X1979">IF(5&lt;Controls!$B$7,INDEX(F1974:F2152,MATCH(Controls!$B$5,A1974:A2152,1)+5),"")</f>
        <v>0</v>
      </c>
      <c r="Y1979" cm="1">
        <f t="array" ref="Y1979">IF(5&lt;Controls!$B$7,INDEX(G1974:G2152,MATCH(Controls!$B$5,A1974:A2152,1)+5),"")</f>
        <v>0</v>
      </c>
      <c r="Z1979" cm="1">
        <f t="array" ref="Z1979">IF(5&lt;Controls!$B$7,INDEX(H1974:H2152,MATCH(Controls!$B$5,A1974:A2152,1)+5),"")</f>
        <v>0</v>
      </c>
      <c r="AA1979" cm="1">
        <f t="array" aca="1" ref="AA1979" ca="1">IF(5&lt;Controls!$B$7,INDEX(M1974:M2152,MATCH(Controls!$B$5,A1974:A2152,1)+5)*INDEX(I1974:I2152,MATCH(Controls!$B$5,A1974:A2152,1)+5),"")</f>
        <v>0</v>
      </c>
      <c r="AB1979">
        <f t="shared" si="228"/>
        <v>0</v>
      </c>
    </row>
    <row r="1980" spans="1:28" x14ac:dyDescent="0.35">
      <c r="A1980" s="153">
        <v>46235</v>
      </c>
      <c r="B1980" s="155" t="s">
        <v>959</v>
      </c>
      <c r="C1980" s="15" t="s">
        <v>28</v>
      </c>
      <c r="D1980" s="15" t="s">
        <v>29</v>
      </c>
      <c r="E1980" s="199">
        <f>H1979</f>
        <v>0</v>
      </c>
      <c r="F1980" s="199">
        <f>IFERROR(SUMIFS('Demand Inputs'!$L$5:$L$202,'Demand Inputs'!$A$5:$A$202,"188mg LP - EU Stock",'Demand Inputs'!$B$5:$B$202,"&lt;&gt;AGGREGATE",'Demand Inputs'!$E$5:$E$202,1),0)</f>
        <v>0</v>
      </c>
      <c r="G1980" s="199" cm="1">
        <f t="array" ref="G1980">IFERROR(SUMPRODUCT(('Production Inputs'!$A:$A="188mg LP - EU Stock")*('Production Inputs'!$B:$B="TOTAL ACTIVE")*'Production Inputs'!$R:$R),0)</f>
        <v>0</v>
      </c>
      <c r="H1980" s="199">
        <f t="shared" si="235"/>
        <v>0</v>
      </c>
      <c r="I1980" s="30">
        <f ca="1">IFERROR(AVERAGEIF(OFFSET(F1980,0,0,MIN(Controls!$B$8,COUNTIF(B1980:B$2152,B1980)),1),"&gt;"&amp;0),0)</f>
        <v>0</v>
      </c>
      <c r="J1980" s="38">
        <f t="shared" ca="1" si="236"/>
        <v>0</v>
      </c>
      <c r="K1980" s="30">
        <f t="shared" ca="1" si="237"/>
        <v>0</v>
      </c>
      <c r="L1980" t="str">
        <f t="shared" si="238"/>
        <v>High</v>
      </c>
      <c r="M1980" s="39">
        <f>IFERROR(VLOOKUP("188mg LP - EU Stock",Controls!A:I,7,0),6)</f>
        <v>9</v>
      </c>
      <c r="N1980" s="39">
        <f>IFERROR(VLOOKUP("188mg LP - EU Stock",Controls!A:I,8,0),3)</f>
        <v>8</v>
      </c>
      <c r="O1980" s="39">
        <f>IFERROR(VLOOKUP("188mg LP - EU Stock",Controls!A:I,9,0),18)</f>
        <v>18</v>
      </c>
      <c r="P1980" s="40">
        <f>IFERROR(VLOOKUP("188mg LP - EU Stock",Controls!A:J,5,0),0)</f>
        <v>16200</v>
      </c>
      <c r="Q1980" s="39">
        <f>IFERROR(VLOOKUP("188mg LP - EU Stock",Controls!A:J,6,0),3)</f>
        <v>3</v>
      </c>
      <c r="R1980" s="21" t="str">
        <f>IFERROR(VLOOKUP("188mg LP - EU Stock",Controls!A:K,10,0),"")</f>
        <v>Patheon (L&amp;P EU)</v>
      </c>
      <c r="S1980" s="41">
        <f t="shared" si="239"/>
        <v>46143</v>
      </c>
      <c r="T1980" s="30">
        <f t="shared" si="240"/>
        <v>0</v>
      </c>
      <c r="W1980" s="205" t="s">
        <v>964</v>
      </c>
      <c r="X1980" cm="1">
        <f t="array" ref="X1980">IF(6&lt;Controls!$B$7,INDEX(F1974:F2152,MATCH(Controls!$B$5,A1974:A2152,1)+6),"")</f>
        <v>0</v>
      </c>
      <c r="Y1980" cm="1">
        <f t="array" ref="Y1980">IF(6&lt;Controls!$B$7,INDEX(G1974:G2152,MATCH(Controls!$B$5,A1974:A2152,1)+6),"")</f>
        <v>0</v>
      </c>
      <c r="Z1980" cm="1">
        <f t="array" ref="Z1980">IF(6&lt;Controls!$B$7,INDEX(H1974:H2152,MATCH(Controls!$B$5,A1974:A2152,1)+6),"")</f>
        <v>0</v>
      </c>
      <c r="AA1980" cm="1">
        <f t="array" aca="1" ref="AA1980" ca="1">IF(6&lt;Controls!$B$7,INDEX(M1974:M2152,MATCH(Controls!$B$5,A1974:A2152,1)+6)*INDEX(I1974:I2152,MATCH(Controls!$B$5,A1974:A2152,1)+6),"")</f>
        <v>0</v>
      </c>
      <c r="AB1980">
        <f t="shared" si="228"/>
        <v>0</v>
      </c>
    </row>
    <row r="1981" spans="1:28" x14ac:dyDescent="0.35">
      <c r="A1981" s="153">
        <v>46266</v>
      </c>
      <c r="B1981" s="155" t="s">
        <v>959</v>
      </c>
      <c r="C1981" s="15" t="s">
        <v>28</v>
      </c>
      <c r="D1981" s="15" t="s">
        <v>29</v>
      </c>
      <c r="E1981" s="199">
        <f>H1980</f>
        <v>0</v>
      </c>
      <c r="F1981" s="199">
        <f>IFERROR(SUMIFS('Demand Inputs'!$M$5:$M$202,'Demand Inputs'!$A$5:$A$202,"188mg LP - EU Stock",'Demand Inputs'!$B$5:$B$202,"&lt;&gt;AGGREGATE",'Demand Inputs'!$E$5:$E$202,1),0)</f>
        <v>0</v>
      </c>
      <c r="G1981" s="199" cm="1">
        <f t="array" ref="G1981">IFERROR(SUMPRODUCT(('Production Inputs'!$A:$A="188mg LP - EU Stock")*('Production Inputs'!$B:$B="TOTAL ACTIVE")*'Production Inputs'!$S:$S),0)</f>
        <v>0</v>
      </c>
      <c r="H1981" s="199">
        <f t="shared" si="235"/>
        <v>0</v>
      </c>
      <c r="I1981" s="30">
        <f ca="1">IFERROR(AVERAGEIF(OFFSET(F1981,0,0,MIN(Controls!$B$8,COUNTIF(B1981:B$2152,B1981)),1),"&gt;"&amp;0),0)</f>
        <v>0</v>
      </c>
      <c r="J1981" s="38">
        <f t="shared" ca="1" si="236"/>
        <v>0</v>
      </c>
      <c r="K1981" s="30">
        <f t="shared" ca="1" si="237"/>
        <v>0</v>
      </c>
      <c r="L1981" t="str">
        <f t="shared" si="238"/>
        <v>High</v>
      </c>
      <c r="M1981" s="39">
        <f>IFERROR(VLOOKUP("188mg LP - EU Stock",Controls!A:I,7,0),6)</f>
        <v>9</v>
      </c>
      <c r="N1981" s="39">
        <f>IFERROR(VLOOKUP("188mg LP - EU Stock",Controls!A:I,8,0),3)</f>
        <v>8</v>
      </c>
      <c r="O1981" s="39">
        <f>IFERROR(VLOOKUP("188mg LP - EU Stock",Controls!A:I,9,0),18)</f>
        <v>18</v>
      </c>
      <c r="P1981" s="40">
        <f>IFERROR(VLOOKUP("188mg LP - EU Stock",Controls!A:J,5,0),0)</f>
        <v>16200</v>
      </c>
      <c r="Q1981" s="39">
        <f>IFERROR(VLOOKUP("188mg LP - EU Stock",Controls!A:J,6,0),3)</f>
        <v>3</v>
      </c>
      <c r="R1981" s="21" t="str">
        <f>IFERROR(VLOOKUP("188mg LP - EU Stock",Controls!A:K,10,0),"")</f>
        <v>Patheon (L&amp;P EU)</v>
      </c>
      <c r="S1981" s="41">
        <f t="shared" si="239"/>
        <v>46174</v>
      </c>
      <c r="T1981" s="30">
        <f t="shared" si="240"/>
        <v>0</v>
      </c>
      <c r="W1981" s="205" t="s">
        <v>965</v>
      </c>
      <c r="X1981" cm="1">
        <f t="array" ref="X1981">IF(7&lt;Controls!$B$7,INDEX(F1974:F2152,MATCH(Controls!$B$5,A1974:A2152,1)+7),"")</f>
        <v>0</v>
      </c>
      <c r="Y1981" cm="1">
        <f t="array" ref="Y1981">IF(7&lt;Controls!$B$7,INDEX(G1974:G2152,MATCH(Controls!$B$5,A1974:A2152,1)+7),"")</f>
        <v>0</v>
      </c>
      <c r="Z1981" cm="1">
        <f t="array" ref="Z1981">IF(7&lt;Controls!$B$7,INDEX(H1974:H2152,MATCH(Controls!$B$5,A1974:A2152,1)+7),"")</f>
        <v>0</v>
      </c>
      <c r="AA1981" cm="1">
        <f t="array" aca="1" ref="AA1981" ca="1">IF(7&lt;Controls!$B$7,INDEX(M1974:M2152,MATCH(Controls!$B$5,A1974:A2152,1)+7)*INDEX(I1974:I2152,MATCH(Controls!$B$5,A1974:A2152,1)+7),"")</f>
        <v>0</v>
      </c>
      <c r="AB1981">
        <f t="shared" si="228"/>
        <v>0</v>
      </c>
    </row>
    <row r="1982" spans="1:28" x14ac:dyDescent="0.35">
      <c r="A1982" s="153">
        <v>46296</v>
      </c>
      <c r="B1982" s="155" t="s">
        <v>959</v>
      </c>
      <c r="C1982" s="15" t="s">
        <v>28</v>
      </c>
      <c r="D1982" s="15" t="s">
        <v>29</v>
      </c>
      <c r="E1982" s="199">
        <f>H1981</f>
        <v>0</v>
      </c>
      <c r="F1982" s="199">
        <f>IFERROR(SUMIFS('Demand Inputs'!$N$5:$N$202,'Demand Inputs'!$A$5:$A$202,"188mg LP - EU Stock",'Demand Inputs'!$B$5:$B$202,"&lt;&gt;AGGREGATE",'Demand Inputs'!$E$5:$E$202,1),0)</f>
        <v>0</v>
      </c>
      <c r="G1982" s="199" cm="1">
        <f t="array" ref="G1982">IFERROR(SUMPRODUCT(('Production Inputs'!$A:$A="188mg LP - EU Stock")*('Production Inputs'!$B:$B="TOTAL ACTIVE")*'Production Inputs'!$T:$T),0)</f>
        <v>0</v>
      </c>
      <c r="H1982" s="199">
        <f t="shared" si="235"/>
        <v>0</v>
      </c>
      <c r="I1982" s="30">
        <f ca="1">IFERROR(AVERAGEIF(OFFSET(F1982,0,0,MIN(Controls!$B$8,COUNTIF(B1982:B$2152,B1982)),1),"&gt;"&amp;0),0)</f>
        <v>0</v>
      </c>
      <c r="J1982" s="38">
        <f t="shared" ca="1" si="236"/>
        <v>0</v>
      </c>
      <c r="K1982" s="30">
        <f t="shared" ca="1" si="237"/>
        <v>0</v>
      </c>
      <c r="L1982" t="str">
        <f t="shared" si="238"/>
        <v>High</v>
      </c>
      <c r="M1982" s="39">
        <f>IFERROR(VLOOKUP("188mg LP - EU Stock",Controls!A:I,7,0),6)</f>
        <v>9</v>
      </c>
      <c r="N1982" s="39">
        <f>IFERROR(VLOOKUP("188mg LP - EU Stock",Controls!A:I,8,0),3)</f>
        <v>8</v>
      </c>
      <c r="O1982" s="39">
        <f>IFERROR(VLOOKUP("188mg LP - EU Stock",Controls!A:I,9,0),18)</f>
        <v>18</v>
      </c>
      <c r="P1982" s="40">
        <f>IFERROR(VLOOKUP("188mg LP - EU Stock",Controls!A:J,5,0),0)</f>
        <v>16200</v>
      </c>
      <c r="Q1982" s="39">
        <f>IFERROR(VLOOKUP("188mg LP - EU Stock",Controls!A:J,6,0),3)</f>
        <v>3</v>
      </c>
      <c r="R1982" s="21" t="str">
        <f>IFERROR(VLOOKUP("188mg LP - EU Stock",Controls!A:K,10,0),"")</f>
        <v>Patheon (L&amp;P EU)</v>
      </c>
      <c r="S1982" s="41">
        <f t="shared" si="239"/>
        <v>46204</v>
      </c>
      <c r="T1982" s="30">
        <f t="shared" si="240"/>
        <v>0</v>
      </c>
      <c r="W1982" s="205" t="s">
        <v>966</v>
      </c>
      <c r="X1982" cm="1">
        <f t="array" ref="X1982">IF(8&lt;Controls!$B$7,INDEX(F1974:F2152,MATCH(Controls!$B$5,A1974:A2152,1)+8),"")</f>
        <v>0</v>
      </c>
      <c r="Y1982" cm="1">
        <f t="array" ref="Y1982">IF(8&lt;Controls!$B$7,INDEX(G1974:G2152,MATCH(Controls!$B$5,A1974:A2152,1)+8),"")</f>
        <v>0</v>
      </c>
      <c r="Z1982" cm="1">
        <f t="array" ref="Z1982">IF(8&lt;Controls!$B$7,INDEX(H1974:H2152,MATCH(Controls!$B$5,A1974:A2152,1)+8),"")</f>
        <v>0</v>
      </c>
      <c r="AA1982" cm="1">
        <f t="array" aca="1" ref="AA1982" ca="1">IF(8&lt;Controls!$B$7,INDEX(M1974:M2152,MATCH(Controls!$B$5,A1974:A2152,1)+8)*INDEX(I1974:I2152,MATCH(Controls!$B$5,A1974:A2152,1)+8),"")</f>
        <v>0</v>
      </c>
      <c r="AB1982">
        <f t="shared" si="228"/>
        <v>0</v>
      </c>
    </row>
    <row r="1983" spans="1:28" x14ac:dyDescent="0.35">
      <c r="A1983" s="153">
        <v>46327</v>
      </c>
      <c r="B1983" s="155" t="s">
        <v>959</v>
      </c>
      <c r="C1983" s="15" t="s">
        <v>28</v>
      </c>
      <c r="D1983" s="15" t="s">
        <v>29</v>
      </c>
      <c r="E1983" s="199">
        <f>H1982</f>
        <v>0</v>
      </c>
      <c r="F1983" s="199">
        <f>IFERROR(SUMIFS('Demand Inputs'!$O$5:$O$202,'Demand Inputs'!$A$5:$A$202,"188mg LP - EU Stock",'Demand Inputs'!$B$5:$B$202,"&lt;&gt;AGGREGATE",'Demand Inputs'!$E$5:$E$202,1),0)</f>
        <v>0</v>
      </c>
      <c r="G1983" s="199" cm="1">
        <f t="array" ref="G1983">IFERROR(SUMPRODUCT(('Production Inputs'!$A:$A="188mg LP - EU Stock")*('Production Inputs'!$B:$B="TOTAL ACTIVE")*'Production Inputs'!$U:$U),0)</f>
        <v>0</v>
      </c>
      <c r="H1983" s="199">
        <f t="shared" si="235"/>
        <v>0</v>
      </c>
      <c r="I1983" s="30">
        <f ca="1">IFERROR(AVERAGEIF(OFFSET(F1983,0,0,MIN(Controls!$B$8,COUNTIF(B1983:B$2152,B1983)),1),"&gt;"&amp;0),0)</f>
        <v>0</v>
      </c>
      <c r="J1983" s="38">
        <f t="shared" ca="1" si="236"/>
        <v>0</v>
      </c>
      <c r="K1983" s="30">
        <f t="shared" ca="1" si="237"/>
        <v>0</v>
      </c>
      <c r="L1983" t="str">
        <f t="shared" si="238"/>
        <v>High</v>
      </c>
      <c r="M1983" s="39">
        <f>IFERROR(VLOOKUP("188mg LP - EU Stock",Controls!A:I,7,0),6)</f>
        <v>9</v>
      </c>
      <c r="N1983" s="39">
        <f>IFERROR(VLOOKUP("188mg LP - EU Stock",Controls!A:I,8,0),3)</f>
        <v>8</v>
      </c>
      <c r="O1983" s="39">
        <f>IFERROR(VLOOKUP("188mg LP - EU Stock",Controls!A:I,9,0),18)</f>
        <v>18</v>
      </c>
      <c r="P1983" s="40">
        <f>IFERROR(VLOOKUP("188mg LP - EU Stock",Controls!A:J,5,0),0)</f>
        <v>16200</v>
      </c>
      <c r="Q1983" s="39">
        <f>IFERROR(VLOOKUP("188mg LP - EU Stock",Controls!A:J,6,0),3)</f>
        <v>3</v>
      </c>
      <c r="R1983" s="21" t="str">
        <f>IFERROR(VLOOKUP("188mg LP - EU Stock",Controls!A:K,10,0),"")</f>
        <v>Patheon (L&amp;P EU)</v>
      </c>
      <c r="S1983" s="41">
        <f t="shared" si="239"/>
        <v>46235</v>
      </c>
      <c r="T1983" s="30">
        <f t="shared" si="240"/>
        <v>0</v>
      </c>
      <c r="W1983" s="205" t="s">
        <v>967</v>
      </c>
      <c r="X1983" cm="1">
        <f t="array" ref="X1983">IF(9&lt;Controls!$B$7,INDEX(F1974:F2152,MATCH(Controls!$B$5,A1974:A2152,1)+9),"")</f>
        <v>0</v>
      </c>
      <c r="Y1983" cm="1">
        <f t="array" ref="Y1983">IF(9&lt;Controls!$B$7,INDEX(G1974:G2152,MATCH(Controls!$B$5,A1974:A2152,1)+9),"")</f>
        <v>0</v>
      </c>
      <c r="Z1983" cm="1">
        <f t="array" ref="Z1983">IF(9&lt;Controls!$B$7,INDEX(H1974:H2152,MATCH(Controls!$B$5,A1974:A2152,1)+9),"")</f>
        <v>0</v>
      </c>
      <c r="AA1983" cm="1">
        <f t="array" aca="1" ref="AA1983" ca="1">IF(9&lt;Controls!$B$7,INDEX(M1974:M2152,MATCH(Controls!$B$5,A1974:A2152,1)+9)*INDEX(I1974:I2152,MATCH(Controls!$B$5,A1974:A2152,1)+9),"")</f>
        <v>0</v>
      </c>
      <c r="AB1983">
        <f t="shared" si="228"/>
        <v>0</v>
      </c>
    </row>
    <row r="1984" spans="1:28" x14ac:dyDescent="0.35">
      <c r="A1984" s="153">
        <v>46357</v>
      </c>
      <c r="B1984" s="155" t="s">
        <v>959</v>
      </c>
      <c r="C1984" s="15" t="s">
        <v>28</v>
      </c>
      <c r="D1984" s="15" t="s">
        <v>29</v>
      </c>
      <c r="E1984" s="199">
        <f>H1983</f>
        <v>0</v>
      </c>
      <c r="F1984" s="199">
        <f>IFERROR(SUMIFS('Demand Inputs'!$P$5:$P$202,'Demand Inputs'!$A$5:$A$202,"188mg LP - EU Stock",'Demand Inputs'!$B$5:$B$202,"&lt;&gt;AGGREGATE",'Demand Inputs'!$E$5:$E$202,1),0)</f>
        <v>0</v>
      </c>
      <c r="G1984" s="199" cm="1">
        <f t="array" ref="G1984">IFERROR(SUMPRODUCT(('Production Inputs'!$A:$A="188mg LP - EU Stock")*('Production Inputs'!$B:$B="TOTAL ACTIVE")*'Production Inputs'!$V:$V),0)</f>
        <v>0</v>
      </c>
      <c r="H1984" s="199">
        <f t="shared" si="235"/>
        <v>0</v>
      </c>
      <c r="I1984" s="30">
        <f ca="1">IFERROR(AVERAGEIF(OFFSET(F1984,0,0,MIN(Controls!$B$8,COUNTIF(B1984:B$2152,B1984)),1),"&gt;"&amp;0),0)</f>
        <v>0</v>
      </c>
      <c r="J1984" s="38">
        <f t="shared" ca="1" si="236"/>
        <v>0</v>
      </c>
      <c r="K1984" s="30">
        <f t="shared" ca="1" si="237"/>
        <v>0</v>
      </c>
      <c r="L1984" t="str">
        <f t="shared" si="238"/>
        <v>High</v>
      </c>
      <c r="M1984" s="39">
        <f>IFERROR(VLOOKUP("188mg LP - EU Stock",Controls!A:I,7,0),6)</f>
        <v>9</v>
      </c>
      <c r="N1984" s="39">
        <f>IFERROR(VLOOKUP("188mg LP - EU Stock",Controls!A:I,8,0),3)</f>
        <v>8</v>
      </c>
      <c r="O1984" s="39">
        <f>IFERROR(VLOOKUP("188mg LP - EU Stock",Controls!A:I,9,0),18)</f>
        <v>18</v>
      </c>
      <c r="P1984" s="40">
        <f>IFERROR(VLOOKUP("188mg LP - EU Stock",Controls!A:J,5,0),0)</f>
        <v>16200</v>
      </c>
      <c r="Q1984" s="39">
        <f>IFERROR(VLOOKUP("188mg LP - EU Stock",Controls!A:J,6,0),3)</f>
        <v>3</v>
      </c>
      <c r="R1984" s="21" t="str">
        <f>IFERROR(VLOOKUP("188mg LP - EU Stock",Controls!A:K,10,0),"")</f>
        <v>Patheon (L&amp;P EU)</v>
      </c>
      <c r="S1984" s="41">
        <f t="shared" si="239"/>
        <v>46266</v>
      </c>
      <c r="T1984" s="30">
        <f t="shared" si="240"/>
        <v>0</v>
      </c>
      <c r="W1984" s="205" t="s">
        <v>968</v>
      </c>
      <c r="X1984" cm="1">
        <f t="array" ref="X1984">IF(10&lt;Controls!$B$7,INDEX(F1974:F2152,MATCH(Controls!$B$5,A1974:A2152,1)+10),"")</f>
        <v>0</v>
      </c>
      <c r="Y1984" cm="1">
        <f t="array" ref="Y1984">IF(10&lt;Controls!$B$7,INDEX(G1974:G2152,MATCH(Controls!$B$5,A1974:A2152,1)+10),"")</f>
        <v>0</v>
      </c>
      <c r="Z1984" cm="1">
        <f t="array" ref="Z1984">IF(10&lt;Controls!$B$7,INDEX(H1974:H2152,MATCH(Controls!$B$5,A1974:A2152,1)+10),"")</f>
        <v>0</v>
      </c>
      <c r="AA1984" cm="1">
        <f t="array" aca="1" ref="AA1984" ca="1">IF(10&lt;Controls!$B$7,INDEX(M1974:M2152,MATCH(Controls!$B$5,A1974:A2152,1)+10)*INDEX(I1974:I2152,MATCH(Controls!$B$5,A1974:A2152,1)+10),"")</f>
        <v>0</v>
      </c>
      <c r="AB1984">
        <f t="shared" si="228"/>
        <v>0</v>
      </c>
    </row>
    <row r="1985" spans="1:28" x14ac:dyDescent="0.35">
      <c r="A1985" s="153">
        <v>46388</v>
      </c>
      <c r="B1985" s="155" t="s">
        <v>959</v>
      </c>
      <c r="C1985" s="15" t="s">
        <v>28</v>
      </c>
      <c r="D1985" s="15" t="s">
        <v>29</v>
      </c>
      <c r="E1985" s="199">
        <f>H1984</f>
        <v>0</v>
      </c>
      <c r="F1985" s="199">
        <f>IFERROR(SUMIFS('Demand Inputs'!$Q$5:$Q$202,'Demand Inputs'!$A$5:$A$202,"188mg LP - EU Stock",'Demand Inputs'!$B$5:$B$202,"&lt;&gt;AGGREGATE",'Demand Inputs'!$E$5:$E$202,1),0)</f>
        <v>0</v>
      </c>
      <c r="G1985" s="199" cm="1">
        <f t="array" ref="G1985">IFERROR(SUMPRODUCT(('Production Inputs'!$A:$A="188mg LP - EU Stock")*('Production Inputs'!$B:$B="TOTAL ACTIVE")*'Production Inputs'!$W:$W),0)</f>
        <v>0</v>
      </c>
      <c r="H1985" s="199">
        <f t="shared" si="235"/>
        <v>0</v>
      </c>
      <c r="I1985" s="30">
        <f ca="1">IFERROR(AVERAGEIF(OFFSET(F1985,0,0,MIN(Controls!$B$8,COUNTIF(B1985:B$2152,B1985)),1),"&gt;"&amp;0),0)</f>
        <v>0</v>
      </c>
      <c r="J1985" s="38">
        <f t="shared" ca="1" si="236"/>
        <v>0</v>
      </c>
      <c r="K1985" s="30">
        <f t="shared" ca="1" si="237"/>
        <v>0</v>
      </c>
      <c r="L1985" t="str">
        <f t="shared" si="238"/>
        <v>High</v>
      </c>
      <c r="M1985" s="39">
        <f>IFERROR(VLOOKUP("188mg LP - EU Stock",Controls!A:I,7,0),6)</f>
        <v>9</v>
      </c>
      <c r="N1985" s="39">
        <f>IFERROR(VLOOKUP("188mg LP - EU Stock",Controls!A:I,8,0),3)</f>
        <v>8</v>
      </c>
      <c r="O1985" s="39">
        <f>IFERROR(VLOOKUP("188mg LP - EU Stock",Controls!A:I,9,0),18)</f>
        <v>18</v>
      </c>
      <c r="P1985" s="40">
        <f>IFERROR(VLOOKUP("188mg LP - EU Stock",Controls!A:J,5,0),0)</f>
        <v>16200</v>
      </c>
      <c r="Q1985" s="39">
        <f>IFERROR(VLOOKUP("188mg LP - EU Stock",Controls!A:J,6,0),3)</f>
        <v>3</v>
      </c>
      <c r="R1985" s="21" t="str">
        <f>IFERROR(VLOOKUP("188mg LP - EU Stock",Controls!A:K,10,0),"")</f>
        <v>Patheon (L&amp;P EU)</v>
      </c>
      <c r="S1985" s="41">
        <f t="shared" si="239"/>
        <v>46296</v>
      </c>
      <c r="T1985" s="30">
        <f t="shared" si="240"/>
        <v>0</v>
      </c>
      <c r="W1985" s="205" t="s">
        <v>969</v>
      </c>
      <c r="X1985" cm="1">
        <f t="array" ref="X1985">IF(11&lt;Controls!$B$7,INDEX(F1974:F2152,MATCH(Controls!$B$5,A1974:A2152,1)+11),"")</f>
        <v>0</v>
      </c>
      <c r="Y1985" cm="1">
        <f t="array" ref="Y1985">IF(11&lt;Controls!$B$7,INDEX(G1974:G2152,MATCH(Controls!$B$5,A1974:A2152,1)+11),"")</f>
        <v>0</v>
      </c>
      <c r="Z1985" cm="1">
        <f t="array" ref="Z1985">IF(11&lt;Controls!$B$7,INDEX(H1974:H2152,MATCH(Controls!$B$5,A1974:A2152,1)+11),"")</f>
        <v>0</v>
      </c>
      <c r="AA1985" cm="1">
        <f t="array" aca="1" ref="AA1985" ca="1">IF(11&lt;Controls!$B$7,INDEX(M1974:M2152,MATCH(Controls!$B$5,A1974:A2152,1)+11)*INDEX(I1974:I2152,MATCH(Controls!$B$5,A1974:A2152,1)+11),"")</f>
        <v>0</v>
      </c>
      <c r="AB1985">
        <f t="shared" si="228"/>
        <v>0</v>
      </c>
    </row>
    <row r="1986" spans="1:28" x14ac:dyDescent="0.35">
      <c r="A1986" s="153">
        <v>46419</v>
      </c>
      <c r="B1986" s="155" t="s">
        <v>959</v>
      </c>
      <c r="C1986" s="15" t="s">
        <v>28</v>
      </c>
      <c r="D1986" s="15" t="s">
        <v>29</v>
      </c>
      <c r="E1986" s="199">
        <f>H1985</f>
        <v>0</v>
      </c>
      <c r="F1986" s="199">
        <f>IFERROR(SUMIFS('Demand Inputs'!$R$5:$R$202,'Demand Inputs'!$A$5:$A$202,"188mg LP - EU Stock",'Demand Inputs'!$B$5:$B$202,"&lt;&gt;AGGREGATE",'Demand Inputs'!$E$5:$E$202,1),0)</f>
        <v>0</v>
      </c>
      <c r="G1986" s="199" cm="1">
        <f t="array" ref="G1986">IFERROR(SUMPRODUCT(('Production Inputs'!$A:$A="188mg LP - EU Stock")*('Production Inputs'!$B:$B="TOTAL ACTIVE")*'Production Inputs'!$X:$X),0)</f>
        <v>0</v>
      </c>
      <c r="H1986" s="199">
        <f t="shared" si="235"/>
        <v>0</v>
      </c>
      <c r="I1986" s="30">
        <f ca="1">IFERROR(AVERAGEIF(OFFSET(F1986,0,0,MIN(Controls!$B$8,COUNTIF(B1986:B$2152,B1986)),1),"&gt;"&amp;0),0)</f>
        <v>0</v>
      </c>
      <c r="J1986" s="38">
        <f t="shared" ca="1" si="236"/>
        <v>0</v>
      </c>
      <c r="K1986" s="30">
        <f t="shared" ca="1" si="237"/>
        <v>0</v>
      </c>
      <c r="L1986" t="str">
        <f t="shared" si="238"/>
        <v>High</v>
      </c>
      <c r="M1986" s="39">
        <f>IFERROR(VLOOKUP("188mg LP - EU Stock",Controls!A:I,7,0),6)</f>
        <v>9</v>
      </c>
      <c r="N1986" s="39">
        <f>IFERROR(VLOOKUP("188mg LP - EU Stock",Controls!A:I,8,0),3)</f>
        <v>8</v>
      </c>
      <c r="O1986" s="39">
        <f>IFERROR(VLOOKUP("188mg LP - EU Stock",Controls!A:I,9,0),18)</f>
        <v>18</v>
      </c>
      <c r="P1986" s="40">
        <f>IFERROR(VLOOKUP("188mg LP - EU Stock",Controls!A:J,5,0),0)</f>
        <v>16200</v>
      </c>
      <c r="Q1986" s="39">
        <f>IFERROR(VLOOKUP("188mg LP - EU Stock",Controls!A:J,6,0),3)</f>
        <v>3</v>
      </c>
      <c r="R1986" s="21" t="str">
        <f>IFERROR(VLOOKUP("188mg LP - EU Stock",Controls!A:K,10,0),"")</f>
        <v>Patheon (L&amp;P EU)</v>
      </c>
      <c r="S1986" s="41">
        <f t="shared" si="239"/>
        <v>46327</v>
      </c>
      <c r="T1986" s="30">
        <f t="shared" si="240"/>
        <v>0</v>
      </c>
      <c r="W1986" s="205" t="s">
        <v>970</v>
      </c>
      <c r="X1986" cm="1">
        <f t="array" ref="X1986">IF(12&lt;Controls!$B$7,INDEX(F1974:F2152,MATCH(Controls!$B$5,A1974:A2152,1)+12),"")</f>
        <v>0</v>
      </c>
      <c r="Y1986" cm="1">
        <f t="array" ref="Y1986">IF(12&lt;Controls!$B$7,INDEX(G1974:G2152,MATCH(Controls!$B$5,A1974:A2152,1)+12),"")</f>
        <v>0</v>
      </c>
      <c r="Z1986" cm="1">
        <f t="array" ref="Z1986">IF(12&lt;Controls!$B$7,INDEX(H1974:H2152,MATCH(Controls!$B$5,A1974:A2152,1)+12),"")</f>
        <v>0</v>
      </c>
      <c r="AA1986" cm="1">
        <f t="array" aca="1" ref="AA1986" ca="1">IF(12&lt;Controls!$B$7,INDEX(M1974:M2152,MATCH(Controls!$B$5,A1974:A2152,1)+12)*INDEX(I1974:I2152,MATCH(Controls!$B$5,A1974:A2152,1)+12),"")</f>
        <v>0</v>
      </c>
      <c r="AB1986">
        <f t="shared" si="228"/>
        <v>0</v>
      </c>
    </row>
    <row r="1987" spans="1:28" x14ac:dyDescent="0.35">
      <c r="A1987" s="153">
        <v>46447</v>
      </c>
      <c r="B1987" s="155" t="s">
        <v>959</v>
      </c>
      <c r="C1987" s="15" t="s">
        <v>28</v>
      </c>
      <c r="D1987" s="15" t="s">
        <v>29</v>
      </c>
      <c r="E1987" s="199">
        <f>H1986</f>
        <v>0</v>
      </c>
      <c r="F1987" s="199">
        <f>IFERROR(SUMIFS('Demand Inputs'!$S$5:$S$202,'Demand Inputs'!$A$5:$A$202,"188mg LP - EU Stock",'Demand Inputs'!$B$5:$B$202,"&lt;&gt;AGGREGATE",'Demand Inputs'!$E$5:$E$202,1),0)</f>
        <v>0</v>
      </c>
      <c r="G1987" s="199" cm="1">
        <f t="array" ref="G1987">IFERROR(SUMPRODUCT(('Production Inputs'!$A:$A="188mg LP - EU Stock")*('Production Inputs'!$B:$B="TOTAL ACTIVE")*'Production Inputs'!$Y:$Y),0)</f>
        <v>0</v>
      </c>
      <c r="H1987" s="199">
        <f t="shared" si="235"/>
        <v>0</v>
      </c>
      <c r="I1987" s="30">
        <f ca="1">IFERROR(AVERAGEIF(OFFSET(F1987,0,0,MIN(Controls!$B$8,COUNTIF(B1987:B$2152,B1987)),1),"&gt;"&amp;0),0)</f>
        <v>0</v>
      </c>
      <c r="J1987" s="38">
        <f t="shared" ca="1" si="236"/>
        <v>0</v>
      </c>
      <c r="K1987" s="30">
        <f t="shared" ca="1" si="237"/>
        <v>0</v>
      </c>
      <c r="L1987" t="str">
        <f t="shared" si="238"/>
        <v>High</v>
      </c>
      <c r="M1987" s="39">
        <f>IFERROR(VLOOKUP("188mg LP - EU Stock",Controls!A:I,7,0),6)</f>
        <v>9</v>
      </c>
      <c r="N1987" s="39">
        <f>IFERROR(VLOOKUP("188mg LP - EU Stock",Controls!A:I,8,0),3)</f>
        <v>8</v>
      </c>
      <c r="O1987" s="39">
        <f>IFERROR(VLOOKUP("188mg LP - EU Stock",Controls!A:I,9,0),18)</f>
        <v>18</v>
      </c>
      <c r="P1987" s="40">
        <f>IFERROR(VLOOKUP("188mg LP - EU Stock",Controls!A:J,5,0),0)</f>
        <v>16200</v>
      </c>
      <c r="Q1987" s="39">
        <f>IFERROR(VLOOKUP("188mg LP - EU Stock",Controls!A:J,6,0),3)</f>
        <v>3</v>
      </c>
      <c r="R1987" s="21" t="str">
        <f>IFERROR(VLOOKUP("188mg LP - EU Stock",Controls!A:K,10,0),"")</f>
        <v>Patheon (L&amp;P EU)</v>
      </c>
      <c r="S1987" s="41">
        <f t="shared" si="239"/>
        <v>46357</v>
      </c>
      <c r="T1987" s="30">
        <f t="shared" si="240"/>
        <v>0</v>
      </c>
      <c r="W1987" s="205" t="s">
        <v>971</v>
      </c>
      <c r="X1987" cm="1">
        <f t="array" ref="X1987">IF(13&lt;Controls!$B$7,INDEX(F1974:F2152,MATCH(Controls!$B$5,A1974:A2152,1)+13),"")</f>
        <v>0</v>
      </c>
      <c r="Y1987" cm="1">
        <f t="array" ref="Y1987">IF(13&lt;Controls!$B$7,INDEX(G1974:G2152,MATCH(Controls!$B$5,A1974:A2152,1)+13),"")</f>
        <v>0</v>
      </c>
      <c r="Z1987" cm="1">
        <f t="array" ref="Z1987">IF(13&lt;Controls!$B$7,INDEX(H1974:H2152,MATCH(Controls!$B$5,A1974:A2152,1)+13),"")</f>
        <v>0</v>
      </c>
      <c r="AA1987" cm="1">
        <f t="array" aca="1" ref="AA1987" ca="1">IF(13&lt;Controls!$B$7,INDEX(M1974:M2152,MATCH(Controls!$B$5,A1974:A2152,1)+13)*INDEX(I1974:I2152,MATCH(Controls!$B$5,A1974:A2152,1)+13),"")</f>
        <v>0</v>
      </c>
      <c r="AB1987">
        <f t="shared" si="228"/>
        <v>0</v>
      </c>
    </row>
    <row r="1988" spans="1:28" x14ac:dyDescent="0.35">
      <c r="A1988" s="153">
        <v>46478</v>
      </c>
      <c r="B1988" s="155" t="s">
        <v>959</v>
      </c>
      <c r="C1988" s="15" t="s">
        <v>28</v>
      </c>
      <c r="D1988" s="15" t="s">
        <v>29</v>
      </c>
      <c r="E1988" s="199">
        <f>H1987</f>
        <v>0</v>
      </c>
      <c r="F1988" s="199">
        <f>IFERROR(SUMIFS('Demand Inputs'!$T$5:$T$202,'Demand Inputs'!$A$5:$A$202,"188mg LP - EU Stock",'Demand Inputs'!$B$5:$B$202,"&lt;&gt;AGGREGATE",'Demand Inputs'!$E$5:$E$202,1),0)</f>
        <v>0</v>
      </c>
      <c r="G1988" s="199" cm="1">
        <f t="array" ref="G1988">IFERROR(SUMPRODUCT(('Production Inputs'!$A:$A="188mg LP - EU Stock")*('Production Inputs'!$B:$B="TOTAL ACTIVE")*'Production Inputs'!$Z:$Z),0)</f>
        <v>0</v>
      </c>
      <c r="H1988" s="199">
        <f t="shared" si="235"/>
        <v>0</v>
      </c>
      <c r="I1988" s="30">
        <f ca="1">IFERROR(AVERAGEIF(OFFSET(F1988,0,0,MIN(Controls!$B$8,COUNTIF(B1988:B$2152,B1988)),1),"&gt;"&amp;0),0)</f>
        <v>0</v>
      </c>
      <c r="J1988" s="38">
        <f t="shared" ca="1" si="236"/>
        <v>0</v>
      </c>
      <c r="K1988" s="30">
        <f t="shared" ca="1" si="237"/>
        <v>0</v>
      </c>
      <c r="L1988" t="str">
        <f t="shared" si="238"/>
        <v>High</v>
      </c>
      <c r="M1988" s="39">
        <f>IFERROR(VLOOKUP("188mg LP - EU Stock",Controls!A:I,7,0),6)</f>
        <v>9</v>
      </c>
      <c r="N1988" s="39">
        <f>IFERROR(VLOOKUP("188mg LP - EU Stock",Controls!A:I,8,0),3)</f>
        <v>8</v>
      </c>
      <c r="O1988" s="39">
        <f>IFERROR(VLOOKUP("188mg LP - EU Stock",Controls!A:I,9,0),18)</f>
        <v>18</v>
      </c>
      <c r="P1988" s="40">
        <f>IFERROR(VLOOKUP("188mg LP - EU Stock",Controls!A:J,5,0),0)</f>
        <v>16200</v>
      </c>
      <c r="Q1988" s="39">
        <f>IFERROR(VLOOKUP("188mg LP - EU Stock",Controls!A:J,6,0),3)</f>
        <v>3</v>
      </c>
      <c r="R1988" s="21" t="str">
        <f>IFERROR(VLOOKUP("188mg LP - EU Stock",Controls!A:K,10,0),"")</f>
        <v>Patheon (L&amp;P EU)</v>
      </c>
      <c r="S1988" s="41">
        <f t="shared" si="239"/>
        <v>46388</v>
      </c>
      <c r="T1988" s="30">
        <f t="shared" si="240"/>
        <v>0</v>
      </c>
      <c r="W1988" s="205" t="s">
        <v>972</v>
      </c>
      <c r="X1988" cm="1">
        <f t="array" ref="X1988">IF(14&lt;Controls!$B$7,INDEX(F1974:F2152,MATCH(Controls!$B$5,A1974:A2152,1)+14),"")</f>
        <v>0</v>
      </c>
      <c r="Y1988" cm="1">
        <f t="array" ref="Y1988">IF(14&lt;Controls!$B$7,INDEX(G1974:G2152,MATCH(Controls!$B$5,A1974:A2152,1)+14),"")</f>
        <v>0</v>
      </c>
      <c r="Z1988" cm="1">
        <f t="array" ref="Z1988">IF(14&lt;Controls!$B$7,INDEX(H1974:H2152,MATCH(Controls!$B$5,A1974:A2152,1)+14),"")</f>
        <v>0</v>
      </c>
      <c r="AA1988" cm="1">
        <f t="array" aca="1" ref="AA1988" ca="1">IF(14&lt;Controls!$B$7,INDEX(M1974:M2152,MATCH(Controls!$B$5,A1974:A2152,1)+14)*INDEX(I1974:I2152,MATCH(Controls!$B$5,A1974:A2152,1)+14),"")</f>
        <v>0</v>
      </c>
      <c r="AB1988">
        <f t="shared" si="228"/>
        <v>0</v>
      </c>
    </row>
    <row r="1989" spans="1:28" x14ac:dyDescent="0.35">
      <c r="A1989" s="153">
        <v>46508</v>
      </c>
      <c r="B1989" s="155" t="s">
        <v>959</v>
      </c>
      <c r="C1989" s="15" t="s">
        <v>28</v>
      </c>
      <c r="D1989" s="15" t="s">
        <v>29</v>
      </c>
      <c r="E1989" s="199">
        <f>H1988</f>
        <v>0</v>
      </c>
      <c r="F1989" s="199">
        <f>IFERROR(SUMIFS('Demand Inputs'!$U$5:$U$202,'Demand Inputs'!$A$5:$A$202,"188mg LP - EU Stock",'Demand Inputs'!$B$5:$B$202,"&lt;&gt;AGGREGATE",'Demand Inputs'!$E$5:$E$202,1),0)</f>
        <v>0</v>
      </c>
      <c r="G1989" s="199" cm="1">
        <f t="array" ref="G1989">IFERROR(SUMPRODUCT(('Production Inputs'!$A:$A="188mg LP - EU Stock")*('Production Inputs'!$B:$B="TOTAL ACTIVE")*'Production Inputs'!$AA:$AA),0)</f>
        <v>0</v>
      </c>
      <c r="H1989" s="199">
        <f t="shared" si="235"/>
        <v>0</v>
      </c>
      <c r="I1989" s="30">
        <f ca="1">IFERROR(AVERAGEIF(OFFSET(F1989,0,0,MIN(Controls!$B$8,COUNTIF(B1989:B$2152,B1989)),1),"&gt;"&amp;0),0)</f>
        <v>0</v>
      </c>
      <c r="J1989" s="38">
        <f t="shared" ca="1" si="236"/>
        <v>0</v>
      </c>
      <c r="K1989" s="30">
        <f t="shared" ca="1" si="237"/>
        <v>0</v>
      </c>
      <c r="L1989" t="str">
        <f t="shared" si="238"/>
        <v>High</v>
      </c>
      <c r="M1989" s="39">
        <f>IFERROR(VLOOKUP("188mg LP - EU Stock",Controls!A:I,7,0),6)</f>
        <v>9</v>
      </c>
      <c r="N1989" s="39">
        <f>IFERROR(VLOOKUP("188mg LP - EU Stock",Controls!A:I,8,0),3)</f>
        <v>8</v>
      </c>
      <c r="O1989" s="39">
        <f>IFERROR(VLOOKUP("188mg LP - EU Stock",Controls!A:I,9,0),18)</f>
        <v>18</v>
      </c>
      <c r="P1989" s="40">
        <f>IFERROR(VLOOKUP("188mg LP - EU Stock",Controls!A:J,5,0),0)</f>
        <v>16200</v>
      </c>
      <c r="Q1989" s="39">
        <f>IFERROR(VLOOKUP("188mg LP - EU Stock",Controls!A:J,6,0),3)</f>
        <v>3</v>
      </c>
      <c r="R1989" s="21" t="str">
        <f>IFERROR(VLOOKUP("188mg LP - EU Stock",Controls!A:K,10,0),"")</f>
        <v>Patheon (L&amp;P EU)</v>
      </c>
      <c r="S1989" s="41">
        <f t="shared" si="239"/>
        <v>46419</v>
      </c>
      <c r="T1989" s="30">
        <f t="shared" si="240"/>
        <v>0</v>
      </c>
      <c r="W1989" s="205" t="s">
        <v>973</v>
      </c>
      <c r="X1989" cm="1">
        <f t="array" ref="X1989">IF(15&lt;Controls!$B$7,INDEX(F1974:F2152,MATCH(Controls!$B$5,A1974:A2152,1)+15),"")</f>
        <v>0</v>
      </c>
      <c r="Y1989" cm="1">
        <f t="array" ref="Y1989">IF(15&lt;Controls!$B$7,INDEX(G1974:G2152,MATCH(Controls!$B$5,A1974:A2152,1)+15),"")</f>
        <v>0</v>
      </c>
      <c r="Z1989" cm="1">
        <f t="array" ref="Z1989">IF(15&lt;Controls!$B$7,INDEX(H1974:H2152,MATCH(Controls!$B$5,A1974:A2152,1)+15),"")</f>
        <v>0</v>
      </c>
      <c r="AA1989" cm="1">
        <f t="array" aca="1" ref="AA1989" ca="1">IF(15&lt;Controls!$B$7,INDEX(M1974:M2152,MATCH(Controls!$B$5,A1974:A2152,1)+15)*INDEX(I1974:I2152,MATCH(Controls!$B$5,A1974:A2152,1)+15),"")</f>
        <v>0</v>
      </c>
      <c r="AB1989">
        <f t="shared" ref="AB1989:AB2052" si="241">SUMIFS($F$4:$F$2331,$B$4:$B$2331,B1989,$A$4:$A$2331,"&lt;="&amp;A1989)</f>
        <v>0</v>
      </c>
    </row>
    <row r="1990" spans="1:28" x14ac:dyDescent="0.35">
      <c r="A1990" s="153">
        <v>46539</v>
      </c>
      <c r="B1990" s="155" t="s">
        <v>959</v>
      </c>
      <c r="C1990" s="15" t="s">
        <v>28</v>
      </c>
      <c r="D1990" s="15" t="s">
        <v>29</v>
      </c>
      <c r="E1990" s="199">
        <f>H1989</f>
        <v>0</v>
      </c>
      <c r="F1990" s="199">
        <f>IFERROR(SUMIFS('Demand Inputs'!$V$5:$V$202,'Demand Inputs'!$A$5:$A$202,"188mg LP - EU Stock",'Demand Inputs'!$B$5:$B$202,"&lt;&gt;AGGREGATE",'Demand Inputs'!$E$5:$E$202,1),0)</f>
        <v>0</v>
      </c>
      <c r="G1990" s="199" cm="1">
        <f t="array" ref="G1990">IFERROR(SUMPRODUCT(('Production Inputs'!$A:$A="188mg LP - EU Stock")*('Production Inputs'!$B:$B="TOTAL ACTIVE")*'Production Inputs'!$AB:$AB),0)</f>
        <v>0</v>
      </c>
      <c r="H1990" s="199">
        <f t="shared" si="235"/>
        <v>0</v>
      </c>
      <c r="I1990" s="30">
        <f ca="1">IFERROR(AVERAGEIF(OFFSET(F1990,0,0,MIN(Controls!$B$8,COUNTIF(B1990:B$2152,B1990)),1),"&gt;"&amp;0),0)</f>
        <v>0</v>
      </c>
      <c r="J1990" s="38">
        <f t="shared" ca="1" si="236"/>
        <v>0</v>
      </c>
      <c r="K1990" s="30">
        <f t="shared" ca="1" si="237"/>
        <v>0</v>
      </c>
      <c r="L1990" t="str">
        <f t="shared" si="238"/>
        <v>High</v>
      </c>
      <c r="M1990" s="39">
        <f>IFERROR(VLOOKUP("188mg LP - EU Stock",Controls!A:I,7,0),6)</f>
        <v>9</v>
      </c>
      <c r="N1990" s="39">
        <f>IFERROR(VLOOKUP("188mg LP - EU Stock",Controls!A:I,8,0),3)</f>
        <v>8</v>
      </c>
      <c r="O1990" s="39">
        <f>IFERROR(VLOOKUP("188mg LP - EU Stock",Controls!A:I,9,0),18)</f>
        <v>18</v>
      </c>
      <c r="P1990" s="40">
        <f>IFERROR(VLOOKUP("188mg LP - EU Stock",Controls!A:J,5,0),0)</f>
        <v>16200</v>
      </c>
      <c r="Q1990" s="39">
        <f>IFERROR(VLOOKUP("188mg LP - EU Stock",Controls!A:J,6,0),3)</f>
        <v>3</v>
      </c>
      <c r="R1990" s="21" t="str">
        <f>IFERROR(VLOOKUP("188mg LP - EU Stock",Controls!A:K,10,0),"")</f>
        <v>Patheon (L&amp;P EU)</v>
      </c>
      <c r="S1990" s="41">
        <f t="shared" si="239"/>
        <v>46447</v>
      </c>
      <c r="T1990" s="30">
        <f t="shared" si="240"/>
        <v>0</v>
      </c>
      <c r="W1990" s="205" t="s">
        <v>974</v>
      </c>
      <c r="X1990" cm="1">
        <f t="array" ref="X1990">IF(16&lt;Controls!$B$7,INDEX(F1974:F2152,MATCH(Controls!$B$5,A1974:A2152,1)+16),"")</f>
        <v>0</v>
      </c>
      <c r="Y1990" cm="1">
        <f t="array" ref="Y1990">IF(16&lt;Controls!$B$7,INDEX(G1974:G2152,MATCH(Controls!$B$5,A1974:A2152,1)+16),"")</f>
        <v>0</v>
      </c>
      <c r="Z1990" cm="1">
        <f t="array" ref="Z1990">IF(16&lt;Controls!$B$7,INDEX(H1974:H2152,MATCH(Controls!$B$5,A1974:A2152,1)+16),"")</f>
        <v>0</v>
      </c>
      <c r="AA1990" cm="1">
        <f t="array" aca="1" ref="AA1990" ca="1">IF(16&lt;Controls!$B$7,INDEX(M1974:M2152,MATCH(Controls!$B$5,A1974:A2152,1)+16)*INDEX(I1974:I2152,MATCH(Controls!$B$5,A1974:A2152,1)+16),"")</f>
        <v>0</v>
      </c>
      <c r="AB1990">
        <f t="shared" si="241"/>
        <v>0</v>
      </c>
    </row>
    <row r="1991" spans="1:28" x14ac:dyDescent="0.35">
      <c r="A1991" s="153">
        <v>46569</v>
      </c>
      <c r="B1991" s="155" t="s">
        <v>959</v>
      </c>
      <c r="C1991" s="15" t="s">
        <v>28</v>
      </c>
      <c r="D1991" s="15" t="s">
        <v>29</v>
      </c>
      <c r="E1991" s="199">
        <f>H1990</f>
        <v>0</v>
      </c>
      <c r="F1991" s="199">
        <f>IFERROR(SUMIFS('Demand Inputs'!$W$5:$W$202,'Demand Inputs'!$A$5:$A$202,"188mg LP - EU Stock",'Demand Inputs'!$B$5:$B$202,"&lt;&gt;AGGREGATE",'Demand Inputs'!$E$5:$E$202,1),0)</f>
        <v>0</v>
      </c>
      <c r="G1991" s="199" cm="1">
        <f t="array" ref="G1991">IFERROR(SUMPRODUCT(('Production Inputs'!$A:$A="188mg LP - EU Stock")*('Production Inputs'!$B:$B="TOTAL ACTIVE")*'Production Inputs'!$AC:$AC),0)</f>
        <v>0</v>
      </c>
      <c r="H1991" s="199">
        <f t="shared" si="235"/>
        <v>0</v>
      </c>
      <c r="I1991" s="30">
        <f ca="1">IFERROR(AVERAGEIF(OFFSET(F1991,0,0,MIN(Controls!$B$8,COUNTIF(B1991:B$2152,B1991)),1),"&gt;"&amp;0),0)</f>
        <v>0</v>
      </c>
      <c r="J1991" s="38">
        <f t="shared" ca="1" si="236"/>
        <v>0</v>
      </c>
      <c r="K1991" s="30">
        <f t="shared" ca="1" si="237"/>
        <v>0</v>
      </c>
      <c r="L1991" t="str">
        <f t="shared" si="238"/>
        <v>High</v>
      </c>
      <c r="M1991" s="39">
        <f>IFERROR(VLOOKUP("188mg LP - EU Stock",Controls!A:I,7,0),6)</f>
        <v>9</v>
      </c>
      <c r="N1991" s="39">
        <f>IFERROR(VLOOKUP("188mg LP - EU Stock",Controls!A:I,8,0),3)</f>
        <v>8</v>
      </c>
      <c r="O1991" s="39">
        <f>IFERROR(VLOOKUP("188mg LP - EU Stock",Controls!A:I,9,0),18)</f>
        <v>18</v>
      </c>
      <c r="P1991" s="40">
        <f>IFERROR(VLOOKUP("188mg LP - EU Stock",Controls!A:J,5,0),0)</f>
        <v>16200</v>
      </c>
      <c r="Q1991" s="39">
        <f>IFERROR(VLOOKUP("188mg LP - EU Stock",Controls!A:J,6,0),3)</f>
        <v>3</v>
      </c>
      <c r="R1991" s="21" t="str">
        <f>IFERROR(VLOOKUP("188mg LP - EU Stock",Controls!A:K,10,0),"")</f>
        <v>Patheon (L&amp;P EU)</v>
      </c>
      <c r="S1991" s="41">
        <f t="shared" si="239"/>
        <v>46478</v>
      </c>
      <c r="T1991" s="30">
        <f t="shared" si="240"/>
        <v>0</v>
      </c>
      <c r="W1991" s="205" t="s">
        <v>975</v>
      </c>
      <c r="X1991" cm="1">
        <f t="array" ref="X1991">IF(17&lt;Controls!$B$7,INDEX(F1974:F2152,MATCH(Controls!$B$5,A1974:A2152,1)+17),"")</f>
        <v>0</v>
      </c>
      <c r="Y1991" cm="1">
        <f t="array" ref="Y1991">IF(17&lt;Controls!$B$7,INDEX(G1974:G2152,MATCH(Controls!$B$5,A1974:A2152,1)+17),"")</f>
        <v>0</v>
      </c>
      <c r="Z1991" cm="1">
        <f t="array" ref="Z1991">IF(17&lt;Controls!$B$7,INDEX(H1974:H2152,MATCH(Controls!$B$5,A1974:A2152,1)+17),"")</f>
        <v>0</v>
      </c>
      <c r="AA1991" cm="1">
        <f t="array" aca="1" ref="AA1991" ca="1">IF(17&lt;Controls!$B$7,INDEX(M1974:M2152,MATCH(Controls!$B$5,A1974:A2152,1)+17)*INDEX(I1974:I2152,MATCH(Controls!$B$5,A1974:A2152,1)+17),"")</f>
        <v>0</v>
      </c>
      <c r="AB1991">
        <f t="shared" si="241"/>
        <v>0</v>
      </c>
    </row>
    <row r="1992" spans="1:28" x14ac:dyDescent="0.35">
      <c r="A1992" s="153">
        <v>46600</v>
      </c>
      <c r="B1992" s="155" t="s">
        <v>959</v>
      </c>
      <c r="C1992" s="15" t="s">
        <v>28</v>
      </c>
      <c r="D1992" s="15" t="s">
        <v>29</v>
      </c>
      <c r="E1992" s="199">
        <f>H1991</f>
        <v>0</v>
      </c>
      <c r="F1992" s="199">
        <f>IFERROR(SUMIFS('Demand Inputs'!$X$5:$X$202,'Demand Inputs'!$A$5:$A$202,"188mg LP - EU Stock",'Demand Inputs'!$B$5:$B$202,"&lt;&gt;AGGREGATE",'Demand Inputs'!$E$5:$E$202,1),0)</f>
        <v>0</v>
      </c>
      <c r="G1992" s="199" cm="1">
        <f t="array" ref="G1992">IFERROR(SUMPRODUCT(('Production Inputs'!$A:$A="188mg LP - EU Stock")*('Production Inputs'!$B:$B="TOTAL ACTIVE")*'Production Inputs'!$AD:$AD),0)</f>
        <v>0</v>
      </c>
      <c r="H1992" s="199">
        <f t="shared" si="235"/>
        <v>0</v>
      </c>
      <c r="I1992" s="30">
        <f ca="1">IFERROR(AVERAGEIF(OFFSET(F1992,0,0,MIN(Controls!$B$8,COUNTIF(B1992:B$2152,B1992)),1),"&gt;"&amp;0),0)</f>
        <v>0</v>
      </c>
      <c r="J1992" s="38">
        <f t="shared" ca="1" si="236"/>
        <v>0</v>
      </c>
      <c r="K1992" s="30">
        <f t="shared" ca="1" si="237"/>
        <v>0</v>
      </c>
      <c r="L1992" t="str">
        <f t="shared" si="238"/>
        <v>High</v>
      </c>
      <c r="M1992" s="39">
        <f>IFERROR(VLOOKUP("188mg LP - EU Stock",Controls!A:I,7,0),6)</f>
        <v>9</v>
      </c>
      <c r="N1992" s="39">
        <f>IFERROR(VLOOKUP("188mg LP - EU Stock",Controls!A:I,8,0),3)</f>
        <v>8</v>
      </c>
      <c r="O1992" s="39">
        <f>IFERROR(VLOOKUP("188mg LP - EU Stock",Controls!A:I,9,0),18)</f>
        <v>18</v>
      </c>
      <c r="P1992" s="40">
        <f>IFERROR(VLOOKUP("188mg LP - EU Stock",Controls!A:J,5,0),0)</f>
        <v>16200</v>
      </c>
      <c r="Q1992" s="39">
        <f>IFERROR(VLOOKUP("188mg LP - EU Stock",Controls!A:J,6,0),3)</f>
        <v>3</v>
      </c>
      <c r="R1992" s="21" t="str">
        <f>IFERROR(VLOOKUP("188mg LP - EU Stock",Controls!A:K,10,0),"")</f>
        <v>Patheon (L&amp;P EU)</v>
      </c>
      <c r="S1992" s="41">
        <f t="shared" si="239"/>
        <v>46508</v>
      </c>
      <c r="T1992" s="30">
        <f t="shared" si="240"/>
        <v>0</v>
      </c>
      <c r="W1992" s="205" t="s">
        <v>976</v>
      </c>
      <c r="X1992" t="str" cm="1">
        <f t="array" ref="X1992">IF(18&lt;Controls!$B$7,INDEX(F1974:F2152,MATCH(Controls!$B$5,A1974:A2152,1)+18),"")</f>
        <v/>
      </c>
      <c r="Y1992" t="str" cm="1">
        <f t="array" ref="Y1992">IF(18&lt;Controls!$B$7,INDEX(G1974:G2152,MATCH(Controls!$B$5,A1974:A2152,1)+18),"")</f>
        <v/>
      </c>
      <c r="Z1992" t="str" cm="1">
        <f t="array" ref="Z1992">IF(18&lt;Controls!$B$7,INDEX(H1974:H2152,MATCH(Controls!$B$5,A1974:A2152,1)+18),"")</f>
        <v/>
      </c>
      <c r="AA1992" t="str" cm="1">
        <f t="array" ref="AA1992">IF(18&lt;Controls!$B$7,INDEX(M1974:M2152,MATCH(Controls!$B$5,A1974:A2152,1)+18)*INDEX(I1974:I2152,MATCH(Controls!$B$5,A1974:A2152,1)+18),"")</f>
        <v/>
      </c>
      <c r="AB1992">
        <f t="shared" si="241"/>
        <v>0</v>
      </c>
    </row>
    <row r="1993" spans="1:28" x14ac:dyDescent="0.35">
      <c r="A1993" s="153">
        <v>46631</v>
      </c>
      <c r="B1993" s="155" t="s">
        <v>959</v>
      </c>
      <c r="C1993" s="15" t="s">
        <v>28</v>
      </c>
      <c r="D1993" s="15" t="s">
        <v>29</v>
      </c>
      <c r="E1993" s="199">
        <f>H1992</f>
        <v>0</v>
      </c>
      <c r="F1993" s="199">
        <f>IFERROR(SUMIFS('Demand Inputs'!$Y$5:$Y$202,'Demand Inputs'!$A$5:$A$202,"188mg LP - EU Stock",'Demand Inputs'!$B$5:$B$202,"&lt;&gt;AGGREGATE",'Demand Inputs'!$E$5:$E$202,1),0)</f>
        <v>0</v>
      </c>
      <c r="G1993" s="199" cm="1">
        <f t="array" ref="G1993">IFERROR(SUMPRODUCT(('Production Inputs'!$A:$A="188mg LP - EU Stock")*('Production Inputs'!$B:$B="TOTAL ACTIVE")*'Production Inputs'!$AE:$AE),0)</f>
        <v>0</v>
      </c>
      <c r="H1993" s="199">
        <f t="shared" si="235"/>
        <v>0</v>
      </c>
      <c r="I1993" s="30">
        <f ca="1">IFERROR(AVERAGEIF(OFFSET(F1993,0,0,MIN(Controls!$B$8,COUNTIF(B1993:B$2152,B1993)),1),"&gt;"&amp;0),0)</f>
        <v>0</v>
      </c>
      <c r="J1993" s="38">
        <f t="shared" ca="1" si="236"/>
        <v>0</v>
      </c>
      <c r="K1993" s="30">
        <f t="shared" ca="1" si="237"/>
        <v>0</v>
      </c>
      <c r="L1993" t="str">
        <f t="shared" si="238"/>
        <v>High</v>
      </c>
      <c r="M1993" s="39">
        <f>IFERROR(VLOOKUP("188mg LP - EU Stock",Controls!A:I,7,0),6)</f>
        <v>9</v>
      </c>
      <c r="N1993" s="39">
        <f>IFERROR(VLOOKUP("188mg LP - EU Stock",Controls!A:I,8,0),3)</f>
        <v>8</v>
      </c>
      <c r="O1993" s="39">
        <f>IFERROR(VLOOKUP("188mg LP - EU Stock",Controls!A:I,9,0),18)</f>
        <v>18</v>
      </c>
      <c r="P1993" s="40">
        <f>IFERROR(VLOOKUP("188mg LP - EU Stock",Controls!A:J,5,0),0)</f>
        <v>16200</v>
      </c>
      <c r="Q1993" s="39">
        <f>IFERROR(VLOOKUP("188mg LP - EU Stock",Controls!A:J,6,0),3)</f>
        <v>3</v>
      </c>
      <c r="R1993" s="21" t="str">
        <f>IFERROR(VLOOKUP("188mg LP - EU Stock",Controls!A:K,10,0),"")</f>
        <v>Patheon (L&amp;P EU)</v>
      </c>
      <c r="S1993" s="41">
        <f t="shared" si="239"/>
        <v>46539</v>
      </c>
      <c r="T1993" s="30">
        <f t="shared" si="240"/>
        <v>0</v>
      </c>
      <c r="W1993" s="205" t="s">
        <v>977</v>
      </c>
      <c r="X1993" t="str" cm="1">
        <f t="array" ref="X1993">IF(19&lt;Controls!$B$7,INDEX(F1974:F2152,MATCH(Controls!$B$5,A1974:A2152,1)+19),"")</f>
        <v/>
      </c>
      <c r="Y1993" t="str" cm="1">
        <f t="array" ref="Y1993">IF(19&lt;Controls!$B$7,INDEX(G1974:G2152,MATCH(Controls!$B$5,A1974:A2152,1)+19),"")</f>
        <v/>
      </c>
      <c r="Z1993" t="str" cm="1">
        <f t="array" ref="Z1993">IF(19&lt;Controls!$B$7,INDEX(H1974:H2152,MATCH(Controls!$B$5,A1974:A2152,1)+19),"")</f>
        <v/>
      </c>
      <c r="AA1993" t="str" cm="1">
        <f t="array" ref="AA1993">IF(19&lt;Controls!$B$7,INDEX(M1974:M2152,MATCH(Controls!$B$5,A1974:A2152,1)+19)*INDEX(I1974:I2152,MATCH(Controls!$B$5,A1974:A2152,1)+19),"")</f>
        <v/>
      </c>
      <c r="AB1993">
        <f t="shared" si="241"/>
        <v>0</v>
      </c>
    </row>
    <row r="1994" spans="1:28" x14ac:dyDescent="0.35">
      <c r="A1994" s="153">
        <v>46661</v>
      </c>
      <c r="B1994" s="155" t="s">
        <v>959</v>
      </c>
      <c r="C1994" s="15" t="s">
        <v>28</v>
      </c>
      <c r="D1994" s="15" t="s">
        <v>29</v>
      </c>
      <c r="E1994" s="199">
        <f>H1993</f>
        <v>0</v>
      </c>
      <c r="F1994" s="199">
        <f>IFERROR(SUMIFS('Demand Inputs'!$Z$5:$Z$202,'Demand Inputs'!$A$5:$A$202,"188mg LP - EU Stock",'Demand Inputs'!$B$5:$B$202,"&lt;&gt;AGGREGATE",'Demand Inputs'!$E$5:$E$202,1),0)</f>
        <v>0</v>
      </c>
      <c r="G1994" s="199" cm="1">
        <f t="array" ref="G1994">IFERROR(SUMPRODUCT(('Production Inputs'!$A:$A="188mg LP - EU Stock")*('Production Inputs'!$B:$B="TOTAL ACTIVE")*'Production Inputs'!$AF:$AF),0)</f>
        <v>0</v>
      </c>
      <c r="H1994" s="199">
        <f t="shared" si="235"/>
        <v>0</v>
      </c>
      <c r="I1994" s="30">
        <f ca="1">IFERROR(AVERAGEIF(OFFSET(F1994,0,0,MIN(Controls!$B$8,COUNTIF(B1994:B$2152,B1994)),1),"&gt;"&amp;0),0)</f>
        <v>0</v>
      </c>
      <c r="J1994" s="38">
        <f t="shared" ca="1" si="236"/>
        <v>0</v>
      </c>
      <c r="K1994" s="30">
        <f t="shared" ca="1" si="237"/>
        <v>0</v>
      </c>
      <c r="L1994" t="str">
        <f t="shared" si="238"/>
        <v>High</v>
      </c>
      <c r="M1994" s="39">
        <f>IFERROR(VLOOKUP("188mg LP - EU Stock",Controls!A:I,7,0),6)</f>
        <v>9</v>
      </c>
      <c r="N1994" s="39">
        <f>IFERROR(VLOOKUP("188mg LP - EU Stock",Controls!A:I,8,0),3)</f>
        <v>8</v>
      </c>
      <c r="O1994" s="39">
        <f>IFERROR(VLOOKUP("188mg LP - EU Stock",Controls!A:I,9,0),18)</f>
        <v>18</v>
      </c>
      <c r="P1994" s="40">
        <f>IFERROR(VLOOKUP("188mg LP - EU Stock",Controls!A:J,5,0),0)</f>
        <v>16200</v>
      </c>
      <c r="Q1994" s="39">
        <f>IFERROR(VLOOKUP("188mg LP - EU Stock",Controls!A:J,6,0),3)</f>
        <v>3</v>
      </c>
      <c r="R1994" s="21" t="str">
        <f>IFERROR(VLOOKUP("188mg LP - EU Stock",Controls!A:K,10,0),"")</f>
        <v>Patheon (L&amp;P EU)</v>
      </c>
      <c r="S1994" s="41">
        <f t="shared" si="239"/>
        <v>46569</v>
      </c>
      <c r="T1994" s="30">
        <f t="shared" si="240"/>
        <v>0</v>
      </c>
      <c r="W1994" s="205" t="s">
        <v>978</v>
      </c>
      <c r="X1994" t="str" cm="1">
        <f t="array" ref="X1994">IF(20&lt;Controls!$B$7,INDEX(F1974:F2152,MATCH(Controls!$B$5,A1974:A2152,1)+20),"")</f>
        <v/>
      </c>
      <c r="Y1994" t="str" cm="1">
        <f t="array" ref="Y1994">IF(20&lt;Controls!$B$7,INDEX(G1974:G2152,MATCH(Controls!$B$5,A1974:A2152,1)+20),"")</f>
        <v/>
      </c>
      <c r="Z1994" t="str" cm="1">
        <f t="array" ref="Z1994">IF(20&lt;Controls!$B$7,INDEX(H1974:H2152,MATCH(Controls!$B$5,A1974:A2152,1)+20),"")</f>
        <v/>
      </c>
      <c r="AA1994" t="str" cm="1">
        <f t="array" ref="AA1994">IF(20&lt;Controls!$B$7,INDEX(M1974:M2152,MATCH(Controls!$B$5,A1974:A2152,1)+20)*INDEX(I1974:I2152,MATCH(Controls!$B$5,A1974:A2152,1)+20),"")</f>
        <v/>
      </c>
      <c r="AB1994">
        <f t="shared" si="241"/>
        <v>0</v>
      </c>
    </row>
    <row r="1995" spans="1:28" x14ac:dyDescent="0.35">
      <c r="A1995" s="153">
        <v>46692</v>
      </c>
      <c r="B1995" s="155" t="s">
        <v>959</v>
      </c>
      <c r="C1995" s="15" t="s">
        <v>28</v>
      </c>
      <c r="D1995" s="15" t="s">
        <v>29</v>
      </c>
      <c r="E1995" s="199">
        <f>H1994</f>
        <v>0</v>
      </c>
      <c r="F1995" s="199">
        <f>IFERROR(SUMIFS('Demand Inputs'!$AA$5:$AA$202,'Demand Inputs'!$A$5:$A$202,"188mg LP - EU Stock",'Demand Inputs'!$B$5:$B$202,"&lt;&gt;AGGREGATE",'Demand Inputs'!$E$5:$E$202,1),0)</f>
        <v>0</v>
      </c>
      <c r="G1995" s="199" cm="1">
        <f t="array" ref="G1995">IFERROR(SUMPRODUCT(('Production Inputs'!$A:$A="188mg LP - EU Stock")*('Production Inputs'!$B:$B="TOTAL ACTIVE")*'Production Inputs'!$AG:$AG),0)</f>
        <v>0</v>
      </c>
      <c r="H1995" s="199">
        <f t="shared" si="235"/>
        <v>0</v>
      </c>
      <c r="I1995" s="30">
        <f ca="1">IFERROR(AVERAGEIF(OFFSET(F1995,0,0,MIN(Controls!$B$8,COUNTIF(B1995:B$2152,B1995)),1),"&gt;"&amp;0),0)</f>
        <v>0</v>
      </c>
      <c r="J1995" s="38">
        <f t="shared" ca="1" si="236"/>
        <v>0</v>
      </c>
      <c r="K1995" s="30">
        <f t="shared" ca="1" si="237"/>
        <v>0</v>
      </c>
      <c r="L1995" t="str">
        <f t="shared" si="238"/>
        <v>High</v>
      </c>
      <c r="M1995" s="39">
        <f>IFERROR(VLOOKUP("188mg LP - EU Stock",Controls!A:I,7,0),6)</f>
        <v>9</v>
      </c>
      <c r="N1995" s="39">
        <f>IFERROR(VLOOKUP("188mg LP - EU Stock",Controls!A:I,8,0),3)</f>
        <v>8</v>
      </c>
      <c r="O1995" s="39">
        <f>IFERROR(VLOOKUP("188mg LP - EU Stock",Controls!A:I,9,0),18)</f>
        <v>18</v>
      </c>
      <c r="P1995" s="40">
        <f>IFERROR(VLOOKUP("188mg LP - EU Stock",Controls!A:J,5,0),0)</f>
        <v>16200</v>
      </c>
      <c r="Q1995" s="39">
        <f>IFERROR(VLOOKUP("188mg LP - EU Stock",Controls!A:J,6,0),3)</f>
        <v>3</v>
      </c>
      <c r="R1995" s="21" t="str">
        <f>IFERROR(VLOOKUP("188mg LP - EU Stock",Controls!A:K,10,0),"")</f>
        <v>Patheon (L&amp;P EU)</v>
      </c>
      <c r="S1995" s="41">
        <f t="shared" si="239"/>
        <v>46600</v>
      </c>
      <c r="T1995" s="30">
        <f t="shared" si="240"/>
        <v>0</v>
      </c>
      <c r="W1995" s="205" t="s">
        <v>979</v>
      </c>
      <c r="X1995" t="str" cm="1">
        <f t="array" ref="X1995">IF(21&lt;Controls!$B$7,INDEX(F1974:F2152,MATCH(Controls!$B$5,A1974:A2152,1)+21),"")</f>
        <v/>
      </c>
      <c r="Y1995" t="str" cm="1">
        <f t="array" ref="Y1995">IF(21&lt;Controls!$B$7,INDEX(G1974:G2152,MATCH(Controls!$B$5,A1974:A2152,1)+21),"")</f>
        <v/>
      </c>
      <c r="Z1995" t="str" cm="1">
        <f t="array" ref="Z1995">IF(21&lt;Controls!$B$7,INDEX(H1974:H2152,MATCH(Controls!$B$5,A1974:A2152,1)+21),"")</f>
        <v/>
      </c>
      <c r="AA1995" t="str" cm="1">
        <f t="array" ref="AA1995">IF(21&lt;Controls!$B$7,INDEX(M1974:M2152,MATCH(Controls!$B$5,A1974:A2152,1)+21)*INDEX(I1974:I2152,MATCH(Controls!$B$5,A1974:A2152,1)+21),"")</f>
        <v/>
      </c>
      <c r="AB1995">
        <f t="shared" si="241"/>
        <v>0</v>
      </c>
    </row>
    <row r="1996" spans="1:28" x14ac:dyDescent="0.35">
      <c r="A1996" s="153">
        <v>46722</v>
      </c>
      <c r="B1996" s="155" t="s">
        <v>959</v>
      </c>
      <c r="C1996" s="15" t="s">
        <v>28</v>
      </c>
      <c r="D1996" s="15" t="s">
        <v>29</v>
      </c>
      <c r="E1996" s="199">
        <f>H1995</f>
        <v>0</v>
      </c>
      <c r="F1996" s="199">
        <f>IFERROR(SUMIFS('Demand Inputs'!$AB$5:$AB$202,'Demand Inputs'!$A$5:$A$202,"188mg LP - EU Stock",'Demand Inputs'!$B$5:$B$202,"&lt;&gt;AGGREGATE",'Demand Inputs'!$E$5:$E$202,1),0)</f>
        <v>0</v>
      </c>
      <c r="G1996" s="199" cm="1">
        <f t="array" ref="G1996">IFERROR(SUMPRODUCT(('Production Inputs'!$A:$A="188mg LP - EU Stock")*('Production Inputs'!$B:$B="TOTAL ACTIVE")*'Production Inputs'!$AH:$AH),0)</f>
        <v>0</v>
      </c>
      <c r="H1996" s="199">
        <f t="shared" si="235"/>
        <v>0</v>
      </c>
      <c r="I1996" s="30">
        <f ca="1">IFERROR(AVERAGEIF(OFFSET(F1996,0,0,MIN(Controls!$B$8,COUNTIF(B1996:B$2152,B1996)),1),"&gt;"&amp;0),0)</f>
        <v>0</v>
      </c>
      <c r="J1996" s="38">
        <f t="shared" ca="1" si="236"/>
        <v>0</v>
      </c>
      <c r="K1996" s="30">
        <f t="shared" ca="1" si="237"/>
        <v>0</v>
      </c>
      <c r="L1996" t="str">
        <f t="shared" si="238"/>
        <v>High</v>
      </c>
      <c r="M1996" s="39">
        <f>IFERROR(VLOOKUP("188mg LP - EU Stock",Controls!A:I,7,0),6)</f>
        <v>9</v>
      </c>
      <c r="N1996" s="39">
        <f>IFERROR(VLOOKUP("188mg LP - EU Stock",Controls!A:I,8,0),3)</f>
        <v>8</v>
      </c>
      <c r="O1996" s="39">
        <f>IFERROR(VLOOKUP("188mg LP - EU Stock",Controls!A:I,9,0),18)</f>
        <v>18</v>
      </c>
      <c r="P1996" s="40">
        <f>IFERROR(VLOOKUP("188mg LP - EU Stock",Controls!A:J,5,0),0)</f>
        <v>16200</v>
      </c>
      <c r="Q1996" s="39">
        <f>IFERROR(VLOOKUP("188mg LP - EU Stock",Controls!A:J,6,0),3)</f>
        <v>3</v>
      </c>
      <c r="R1996" s="21" t="str">
        <f>IFERROR(VLOOKUP("188mg LP - EU Stock",Controls!A:K,10,0),"")</f>
        <v>Patheon (L&amp;P EU)</v>
      </c>
      <c r="S1996" s="41">
        <f t="shared" si="239"/>
        <v>46631</v>
      </c>
      <c r="T1996" s="30">
        <f t="shared" si="240"/>
        <v>0</v>
      </c>
      <c r="W1996" s="205" t="s">
        <v>980</v>
      </c>
      <c r="X1996" t="str" cm="1">
        <f t="array" ref="X1996">IF(22&lt;Controls!$B$7,INDEX(F1974:F2152,MATCH(Controls!$B$5,A1974:A2152,1)+22),"")</f>
        <v/>
      </c>
      <c r="Y1996" t="str" cm="1">
        <f t="array" ref="Y1996">IF(22&lt;Controls!$B$7,INDEX(G1974:G2152,MATCH(Controls!$B$5,A1974:A2152,1)+22),"")</f>
        <v/>
      </c>
      <c r="Z1996" t="str" cm="1">
        <f t="array" ref="Z1996">IF(22&lt;Controls!$B$7,INDEX(H1974:H2152,MATCH(Controls!$B$5,A1974:A2152,1)+22),"")</f>
        <v/>
      </c>
      <c r="AA1996" t="str" cm="1">
        <f t="array" ref="AA1996">IF(22&lt;Controls!$B$7,INDEX(M1974:M2152,MATCH(Controls!$B$5,A1974:A2152,1)+22)*INDEX(I1974:I2152,MATCH(Controls!$B$5,A1974:A2152,1)+22),"")</f>
        <v/>
      </c>
      <c r="AB1996">
        <f t="shared" si="241"/>
        <v>0</v>
      </c>
    </row>
    <row r="1997" spans="1:28" x14ac:dyDescent="0.35">
      <c r="A1997" s="153">
        <v>46753</v>
      </c>
      <c r="B1997" s="155" t="s">
        <v>959</v>
      </c>
      <c r="C1997" s="15" t="s">
        <v>28</v>
      </c>
      <c r="D1997" s="15" t="s">
        <v>29</v>
      </c>
      <c r="E1997" s="199">
        <f>H1996</f>
        <v>0</v>
      </c>
      <c r="F1997" s="199">
        <f>IFERROR(SUMIFS('Demand Inputs'!$AC$5:$AC$202,'Demand Inputs'!$A$5:$A$202,"188mg LP - EU Stock",'Demand Inputs'!$B$5:$B$202,"&lt;&gt;AGGREGATE",'Demand Inputs'!$E$5:$E$202,1),0)</f>
        <v>0</v>
      </c>
      <c r="G1997" s="199" cm="1">
        <f t="array" ref="G1997">IFERROR(SUMPRODUCT(('Production Inputs'!$A:$A="188mg LP - EU Stock")*('Production Inputs'!$B:$B="TOTAL ACTIVE")*'Production Inputs'!$AI:$AI),0)</f>
        <v>0</v>
      </c>
      <c r="H1997" s="199">
        <f t="shared" si="235"/>
        <v>0</v>
      </c>
      <c r="I1997" s="30">
        <f ca="1">IFERROR(AVERAGEIF(OFFSET(F1997,0,0,MIN(Controls!$B$8,COUNTIF(B1997:B$2152,B1997)),1),"&gt;"&amp;0),0)</f>
        <v>0</v>
      </c>
      <c r="J1997" s="38">
        <f t="shared" ca="1" si="236"/>
        <v>0</v>
      </c>
      <c r="K1997" s="30">
        <f t="shared" ca="1" si="237"/>
        <v>0</v>
      </c>
      <c r="L1997" t="str">
        <f t="shared" si="238"/>
        <v>High</v>
      </c>
      <c r="M1997" s="39">
        <f>IFERROR(VLOOKUP("188mg LP - EU Stock",Controls!A:I,7,0),6)</f>
        <v>9</v>
      </c>
      <c r="N1997" s="39">
        <f>IFERROR(VLOOKUP("188mg LP - EU Stock",Controls!A:I,8,0),3)</f>
        <v>8</v>
      </c>
      <c r="O1997" s="39">
        <f>IFERROR(VLOOKUP("188mg LP - EU Stock",Controls!A:I,9,0),18)</f>
        <v>18</v>
      </c>
      <c r="P1997" s="40">
        <f>IFERROR(VLOOKUP("188mg LP - EU Stock",Controls!A:J,5,0),0)</f>
        <v>16200</v>
      </c>
      <c r="Q1997" s="39">
        <f>IFERROR(VLOOKUP("188mg LP - EU Stock",Controls!A:J,6,0),3)</f>
        <v>3</v>
      </c>
      <c r="R1997" s="21" t="str">
        <f>IFERROR(VLOOKUP("188mg LP - EU Stock",Controls!A:K,10,0),"")</f>
        <v>Patheon (L&amp;P EU)</v>
      </c>
      <c r="S1997" s="41">
        <f t="shared" si="239"/>
        <v>46661</v>
      </c>
      <c r="T1997" s="30">
        <f t="shared" si="240"/>
        <v>0</v>
      </c>
      <c r="W1997" s="205" t="s">
        <v>981</v>
      </c>
      <c r="X1997" t="str" cm="1">
        <f t="array" ref="X1997">IF(23&lt;Controls!$B$7,INDEX(F1974:F2152,MATCH(Controls!$B$5,A1974:A2152,1)+23),"")</f>
        <v/>
      </c>
      <c r="Y1997" t="str" cm="1">
        <f t="array" ref="Y1997">IF(23&lt;Controls!$B$7,INDEX(G1974:G2152,MATCH(Controls!$B$5,A1974:A2152,1)+23),"")</f>
        <v/>
      </c>
      <c r="Z1997" t="str" cm="1">
        <f t="array" ref="Z1997">IF(23&lt;Controls!$B$7,INDEX(H1974:H2152,MATCH(Controls!$B$5,A1974:A2152,1)+23),"")</f>
        <v/>
      </c>
      <c r="AA1997" t="str" cm="1">
        <f t="array" ref="AA1997">IF(23&lt;Controls!$B$7,INDEX(M1974:M2152,MATCH(Controls!$B$5,A1974:A2152,1)+23)*INDEX(I1974:I2152,MATCH(Controls!$B$5,A1974:A2152,1)+23),"")</f>
        <v/>
      </c>
      <c r="AB1997">
        <f t="shared" si="241"/>
        <v>0</v>
      </c>
    </row>
    <row r="1998" spans="1:28" x14ac:dyDescent="0.35">
      <c r="A1998" s="153">
        <v>46784</v>
      </c>
      <c r="B1998" s="155" t="s">
        <v>959</v>
      </c>
      <c r="C1998" s="15" t="s">
        <v>28</v>
      </c>
      <c r="D1998" s="15" t="s">
        <v>29</v>
      </c>
      <c r="E1998" s="199">
        <f>H1997</f>
        <v>0</v>
      </c>
      <c r="F1998" s="199">
        <f>IFERROR(SUMIFS('Demand Inputs'!$AD$5:$AD$202,'Demand Inputs'!$A$5:$A$202,"188mg LP - EU Stock",'Demand Inputs'!$B$5:$B$202,"&lt;&gt;AGGREGATE",'Demand Inputs'!$E$5:$E$202,1),0)</f>
        <v>0</v>
      </c>
      <c r="G1998" s="199" cm="1">
        <f t="array" ref="G1998">IFERROR(SUMPRODUCT(('Production Inputs'!$A:$A="188mg LP - EU Stock")*('Production Inputs'!$B:$B="TOTAL ACTIVE")*'Production Inputs'!$AJ:$AJ),0)</f>
        <v>0</v>
      </c>
      <c r="H1998" s="199">
        <f t="shared" si="235"/>
        <v>0</v>
      </c>
      <c r="I1998" s="30">
        <f ca="1">IFERROR(AVERAGEIF(OFFSET(F1998,0,0,MIN(Controls!$B$8,COUNTIF(B1998:B$2152,B1998)),1),"&gt;"&amp;0),0)</f>
        <v>0</v>
      </c>
      <c r="J1998" s="38">
        <f t="shared" ca="1" si="236"/>
        <v>0</v>
      </c>
      <c r="K1998" s="30">
        <f t="shared" ca="1" si="237"/>
        <v>0</v>
      </c>
      <c r="L1998" t="str">
        <f t="shared" si="238"/>
        <v>High</v>
      </c>
      <c r="M1998" s="39">
        <f>IFERROR(VLOOKUP("188mg LP - EU Stock",Controls!A:I,7,0),6)</f>
        <v>9</v>
      </c>
      <c r="N1998" s="39">
        <f>IFERROR(VLOOKUP("188mg LP - EU Stock",Controls!A:I,8,0),3)</f>
        <v>8</v>
      </c>
      <c r="O1998" s="39">
        <f>IFERROR(VLOOKUP("188mg LP - EU Stock",Controls!A:I,9,0),18)</f>
        <v>18</v>
      </c>
      <c r="P1998" s="40">
        <f>IFERROR(VLOOKUP("188mg LP - EU Stock",Controls!A:J,5,0),0)</f>
        <v>16200</v>
      </c>
      <c r="Q1998" s="39">
        <f>IFERROR(VLOOKUP("188mg LP - EU Stock",Controls!A:J,6,0),3)</f>
        <v>3</v>
      </c>
      <c r="R1998" s="21" t="str">
        <f>IFERROR(VLOOKUP("188mg LP - EU Stock",Controls!A:K,10,0),"")</f>
        <v>Patheon (L&amp;P EU)</v>
      </c>
      <c r="S1998" s="41">
        <f t="shared" si="239"/>
        <v>46692</v>
      </c>
      <c r="T1998" s="30">
        <f t="shared" si="240"/>
        <v>0</v>
      </c>
      <c r="W1998" s="205" t="s">
        <v>982</v>
      </c>
      <c r="X1998" t="str" cm="1">
        <f t="array" ref="X1998">IF(24&lt;Controls!$B$7,INDEX(F1974:F2152,MATCH(Controls!$B$5,A1974:A2152,1)+24),"")</f>
        <v/>
      </c>
      <c r="Y1998" t="str" cm="1">
        <f t="array" ref="Y1998">IF(24&lt;Controls!$B$7,INDEX(G1974:G2152,MATCH(Controls!$B$5,A1974:A2152,1)+24),"")</f>
        <v/>
      </c>
      <c r="Z1998" t="str" cm="1">
        <f t="array" ref="Z1998">IF(24&lt;Controls!$B$7,INDEX(H1974:H2152,MATCH(Controls!$B$5,A1974:A2152,1)+24),"")</f>
        <v/>
      </c>
      <c r="AA1998" t="str" cm="1">
        <f t="array" ref="AA1998">IF(24&lt;Controls!$B$7,INDEX(M1974:M2152,MATCH(Controls!$B$5,A1974:A2152,1)+24)*INDEX(I1974:I2152,MATCH(Controls!$B$5,A1974:A2152,1)+24),"")</f>
        <v/>
      </c>
      <c r="AB1998">
        <f t="shared" si="241"/>
        <v>0</v>
      </c>
    </row>
    <row r="1999" spans="1:28" x14ac:dyDescent="0.35">
      <c r="A1999" s="153">
        <v>46813</v>
      </c>
      <c r="B1999" s="155" t="s">
        <v>959</v>
      </c>
      <c r="C1999" s="15" t="s">
        <v>28</v>
      </c>
      <c r="D1999" s="15" t="s">
        <v>29</v>
      </c>
      <c r="E1999" s="199">
        <f>H1998</f>
        <v>0</v>
      </c>
      <c r="F1999" s="199">
        <f>IFERROR(SUMIFS('Demand Inputs'!$AE$5:$AE$202,'Demand Inputs'!$A$5:$A$202,"188mg LP - EU Stock",'Demand Inputs'!$B$5:$B$202,"&lt;&gt;AGGREGATE",'Demand Inputs'!$E$5:$E$202,1),0)</f>
        <v>0</v>
      </c>
      <c r="G1999" s="199" cm="1">
        <f t="array" ref="G1999">IFERROR(SUMPRODUCT(('Production Inputs'!$A:$A="188mg LP - EU Stock")*('Production Inputs'!$B:$B="TOTAL ACTIVE")*'Production Inputs'!$AK:$AK),0)</f>
        <v>0</v>
      </c>
      <c r="H1999" s="199">
        <f t="shared" si="235"/>
        <v>0</v>
      </c>
      <c r="I1999" s="30">
        <f ca="1">IFERROR(AVERAGEIF(OFFSET(F1999,0,0,MIN(Controls!$B$8,COUNTIF(B1999:B$2152,B1999)),1),"&gt;"&amp;0),0)</f>
        <v>0</v>
      </c>
      <c r="J1999" s="38">
        <f t="shared" ca="1" si="236"/>
        <v>0</v>
      </c>
      <c r="K1999" s="30">
        <f t="shared" ca="1" si="237"/>
        <v>0</v>
      </c>
      <c r="L1999" t="str">
        <f t="shared" si="238"/>
        <v>High</v>
      </c>
      <c r="M1999" s="39">
        <f>IFERROR(VLOOKUP("188mg LP - EU Stock",Controls!A:I,7,0),6)</f>
        <v>9</v>
      </c>
      <c r="N1999" s="39">
        <f>IFERROR(VLOOKUP("188mg LP - EU Stock",Controls!A:I,8,0),3)</f>
        <v>8</v>
      </c>
      <c r="O1999" s="39">
        <f>IFERROR(VLOOKUP("188mg LP - EU Stock",Controls!A:I,9,0),18)</f>
        <v>18</v>
      </c>
      <c r="P1999" s="40">
        <f>IFERROR(VLOOKUP("188mg LP - EU Stock",Controls!A:J,5,0),0)</f>
        <v>16200</v>
      </c>
      <c r="Q1999" s="39">
        <f>IFERROR(VLOOKUP("188mg LP - EU Stock",Controls!A:J,6,0),3)</f>
        <v>3</v>
      </c>
      <c r="R1999" s="21" t="str">
        <f>IFERROR(VLOOKUP("188mg LP - EU Stock",Controls!A:K,10,0),"")</f>
        <v>Patheon (L&amp;P EU)</v>
      </c>
      <c r="S1999" s="41">
        <f t="shared" si="239"/>
        <v>46722</v>
      </c>
      <c r="T1999" s="30">
        <f t="shared" si="240"/>
        <v>0</v>
      </c>
      <c r="W1999" s="205" t="s">
        <v>983</v>
      </c>
      <c r="X1999" t="str" cm="1">
        <f t="array" ref="X1999">IF(25&lt;Controls!$B$7,INDEX(F1974:F2152,MATCH(Controls!$B$5,A1974:A2152,1)+25),"")</f>
        <v/>
      </c>
      <c r="Y1999" t="str" cm="1">
        <f t="array" ref="Y1999">IF(25&lt;Controls!$B$7,INDEX(G1974:G2152,MATCH(Controls!$B$5,A1974:A2152,1)+25),"")</f>
        <v/>
      </c>
      <c r="Z1999" t="str" cm="1">
        <f t="array" ref="Z1999">IF(25&lt;Controls!$B$7,INDEX(H1974:H2152,MATCH(Controls!$B$5,A1974:A2152,1)+25),"")</f>
        <v/>
      </c>
      <c r="AA1999" t="str" cm="1">
        <f t="array" ref="AA1999">IF(25&lt;Controls!$B$7,INDEX(M1974:M2152,MATCH(Controls!$B$5,A1974:A2152,1)+25)*INDEX(I1974:I2152,MATCH(Controls!$B$5,A1974:A2152,1)+25),"")</f>
        <v/>
      </c>
      <c r="AB1999">
        <f t="shared" si="241"/>
        <v>0</v>
      </c>
    </row>
    <row r="2000" spans="1:28" x14ac:dyDescent="0.35">
      <c r="A2000" s="153">
        <v>46844</v>
      </c>
      <c r="B2000" s="155" t="s">
        <v>959</v>
      </c>
      <c r="C2000" s="15" t="s">
        <v>28</v>
      </c>
      <c r="D2000" s="15" t="s">
        <v>29</v>
      </c>
      <c r="E2000" s="199">
        <f>H1999</f>
        <v>0</v>
      </c>
      <c r="F2000" s="199">
        <f>IFERROR(SUMIFS('Demand Inputs'!$AF$5:$AF$202,'Demand Inputs'!$A$5:$A$202,"188mg LP - EU Stock",'Demand Inputs'!$B$5:$B$202,"&lt;&gt;AGGREGATE",'Demand Inputs'!$E$5:$E$202,1),0)</f>
        <v>0</v>
      </c>
      <c r="G2000" s="199" cm="1">
        <f t="array" ref="G2000">IFERROR(SUMPRODUCT(('Production Inputs'!$A:$A="188mg LP - EU Stock")*('Production Inputs'!$B:$B="TOTAL ACTIVE")*'Production Inputs'!$AL:$AL),0)</f>
        <v>0</v>
      </c>
      <c r="H2000" s="199">
        <f t="shared" si="235"/>
        <v>0</v>
      </c>
      <c r="I2000" s="30">
        <f ca="1">IFERROR(AVERAGEIF(OFFSET(F2000,0,0,MIN(Controls!$B$8,COUNTIF(B2000:B$2152,B2000)),1),"&gt;"&amp;0),0)</f>
        <v>0</v>
      </c>
      <c r="J2000" s="38">
        <f t="shared" ca="1" si="236"/>
        <v>0</v>
      </c>
      <c r="K2000" s="30">
        <f t="shared" ca="1" si="237"/>
        <v>0</v>
      </c>
      <c r="L2000" t="str">
        <f t="shared" si="238"/>
        <v>High</v>
      </c>
      <c r="M2000" s="39">
        <f>IFERROR(VLOOKUP("188mg LP - EU Stock",Controls!A:I,7,0),6)</f>
        <v>9</v>
      </c>
      <c r="N2000" s="39">
        <f>IFERROR(VLOOKUP("188mg LP - EU Stock",Controls!A:I,8,0),3)</f>
        <v>8</v>
      </c>
      <c r="O2000" s="39">
        <f>IFERROR(VLOOKUP("188mg LP - EU Stock",Controls!A:I,9,0),18)</f>
        <v>18</v>
      </c>
      <c r="P2000" s="40">
        <f>IFERROR(VLOOKUP("188mg LP - EU Stock",Controls!A:J,5,0),0)</f>
        <v>16200</v>
      </c>
      <c r="Q2000" s="39">
        <f>IFERROR(VLOOKUP("188mg LP - EU Stock",Controls!A:J,6,0),3)</f>
        <v>3</v>
      </c>
      <c r="R2000" s="21" t="str">
        <f>IFERROR(VLOOKUP("188mg LP - EU Stock",Controls!A:K,10,0),"")</f>
        <v>Patheon (L&amp;P EU)</v>
      </c>
      <c r="S2000" s="41">
        <f t="shared" si="239"/>
        <v>46753</v>
      </c>
      <c r="T2000" s="30">
        <f t="shared" si="240"/>
        <v>0</v>
      </c>
      <c r="W2000" s="205" t="s">
        <v>984</v>
      </c>
      <c r="X2000" t="str" cm="1">
        <f t="array" ref="X2000">IF(26&lt;Controls!$B$7,INDEX(F1974:F2152,MATCH(Controls!$B$5,A1974:A2152,1)+26),"")</f>
        <v/>
      </c>
      <c r="Y2000" t="str" cm="1">
        <f t="array" ref="Y2000">IF(26&lt;Controls!$B$7,INDEX(G1974:G2152,MATCH(Controls!$B$5,A1974:A2152,1)+26),"")</f>
        <v/>
      </c>
      <c r="Z2000" t="str" cm="1">
        <f t="array" ref="Z2000">IF(26&lt;Controls!$B$7,INDEX(H1974:H2152,MATCH(Controls!$B$5,A1974:A2152,1)+26),"")</f>
        <v/>
      </c>
      <c r="AA2000" t="str" cm="1">
        <f t="array" ref="AA2000">IF(26&lt;Controls!$B$7,INDEX(M1974:M2152,MATCH(Controls!$B$5,A1974:A2152,1)+26)*INDEX(I1974:I2152,MATCH(Controls!$B$5,A1974:A2152,1)+26),"")</f>
        <v/>
      </c>
      <c r="AB2000">
        <f t="shared" si="241"/>
        <v>0</v>
      </c>
    </row>
    <row r="2001" spans="1:28" x14ac:dyDescent="0.35">
      <c r="A2001" s="153">
        <v>46874</v>
      </c>
      <c r="B2001" s="155" t="s">
        <v>959</v>
      </c>
      <c r="C2001" s="15" t="s">
        <v>28</v>
      </c>
      <c r="D2001" s="15" t="s">
        <v>29</v>
      </c>
      <c r="E2001" s="199">
        <f>H2000</f>
        <v>0</v>
      </c>
      <c r="F2001" s="199">
        <f>IFERROR(SUMIFS('Demand Inputs'!$AG$5:$AG$202,'Demand Inputs'!$A$5:$A$202,"188mg LP - EU Stock",'Demand Inputs'!$B$5:$B$202,"&lt;&gt;AGGREGATE",'Demand Inputs'!$E$5:$E$202,1),0)</f>
        <v>0</v>
      </c>
      <c r="G2001" s="199" cm="1">
        <f t="array" ref="G2001">IFERROR(SUMPRODUCT(('Production Inputs'!$A:$A="188mg LP - EU Stock")*('Production Inputs'!$B:$B="TOTAL ACTIVE")*'Production Inputs'!$AM:$AM),0)</f>
        <v>0</v>
      </c>
      <c r="H2001" s="199">
        <f t="shared" si="235"/>
        <v>0</v>
      </c>
      <c r="I2001" s="30">
        <f ca="1">IFERROR(AVERAGEIF(OFFSET(F2001,0,0,MIN(Controls!$B$8,COUNTIF(B2001:B$2152,B2001)),1),"&gt;"&amp;0),0)</f>
        <v>0</v>
      </c>
      <c r="J2001" s="38">
        <f t="shared" ca="1" si="236"/>
        <v>0</v>
      </c>
      <c r="K2001" s="30">
        <f t="shared" ca="1" si="237"/>
        <v>0</v>
      </c>
      <c r="L2001" t="str">
        <f t="shared" si="238"/>
        <v>High</v>
      </c>
      <c r="M2001" s="39">
        <f>IFERROR(VLOOKUP("188mg LP - EU Stock",Controls!A:I,7,0),6)</f>
        <v>9</v>
      </c>
      <c r="N2001" s="39">
        <f>IFERROR(VLOOKUP("188mg LP - EU Stock",Controls!A:I,8,0),3)</f>
        <v>8</v>
      </c>
      <c r="O2001" s="39">
        <f>IFERROR(VLOOKUP("188mg LP - EU Stock",Controls!A:I,9,0),18)</f>
        <v>18</v>
      </c>
      <c r="P2001" s="40">
        <f>IFERROR(VLOOKUP("188mg LP - EU Stock",Controls!A:J,5,0),0)</f>
        <v>16200</v>
      </c>
      <c r="Q2001" s="39">
        <f>IFERROR(VLOOKUP("188mg LP - EU Stock",Controls!A:J,6,0),3)</f>
        <v>3</v>
      </c>
      <c r="R2001" s="21" t="str">
        <f>IFERROR(VLOOKUP("188mg LP - EU Stock",Controls!A:K,10,0),"")</f>
        <v>Patheon (L&amp;P EU)</v>
      </c>
      <c r="S2001" s="41">
        <f t="shared" si="239"/>
        <v>46784</v>
      </c>
      <c r="T2001" s="30">
        <f t="shared" si="240"/>
        <v>0</v>
      </c>
      <c r="W2001" s="205" t="s">
        <v>985</v>
      </c>
      <c r="X2001" t="str" cm="1">
        <f t="array" ref="X2001">IF(27&lt;Controls!$B$7,INDEX(F1974:F2152,MATCH(Controls!$B$5,A1974:A2152,1)+27),"")</f>
        <v/>
      </c>
      <c r="Y2001" t="str" cm="1">
        <f t="array" ref="Y2001">IF(27&lt;Controls!$B$7,INDEX(G1974:G2152,MATCH(Controls!$B$5,A1974:A2152,1)+27),"")</f>
        <v/>
      </c>
      <c r="Z2001" t="str" cm="1">
        <f t="array" ref="Z2001">IF(27&lt;Controls!$B$7,INDEX(H1974:H2152,MATCH(Controls!$B$5,A1974:A2152,1)+27),"")</f>
        <v/>
      </c>
      <c r="AA2001" t="str" cm="1">
        <f t="array" ref="AA2001">IF(27&lt;Controls!$B$7,INDEX(M1974:M2152,MATCH(Controls!$B$5,A1974:A2152,1)+27)*INDEX(I1974:I2152,MATCH(Controls!$B$5,A1974:A2152,1)+27),"")</f>
        <v/>
      </c>
      <c r="AB2001">
        <f t="shared" si="241"/>
        <v>0</v>
      </c>
    </row>
    <row r="2002" spans="1:28" x14ac:dyDescent="0.35">
      <c r="A2002" s="153">
        <v>46905</v>
      </c>
      <c r="B2002" s="155" t="s">
        <v>959</v>
      </c>
      <c r="C2002" s="15" t="s">
        <v>28</v>
      </c>
      <c r="D2002" s="15" t="s">
        <v>29</v>
      </c>
      <c r="E2002" s="199">
        <f>H2001</f>
        <v>0</v>
      </c>
      <c r="F2002" s="199">
        <f>IFERROR(SUMIFS('Demand Inputs'!$AH$5:$AH$202,'Demand Inputs'!$A$5:$A$202,"188mg LP - EU Stock",'Demand Inputs'!$B$5:$B$202,"&lt;&gt;AGGREGATE",'Demand Inputs'!$E$5:$E$202,1),0)</f>
        <v>0</v>
      </c>
      <c r="G2002" s="199" cm="1">
        <f t="array" ref="G2002">IFERROR(SUMPRODUCT(('Production Inputs'!$A:$A="188mg LP - EU Stock")*('Production Inputs'!$B:$B="TOTAL ACTIVE")*'Production Inputs'!$AN:$AN),0)</f>
        <v>0</v>
      </c>
      <c r="H2002" s="199">
        <f t="shared" si="235"/>
        <v>0</v>
      </c>
      <c r="I2002" s="30">
        <f ca="1">IFERROR(AVERAGEIF(OFFSET(F2002,0,0,MIN(Controls!$B$8,COUNTIF(B2002:B$2152,B2002)),1),"&gt;"&amp;0),0)</f>
        <v>0</v>
      </c>
      <c r="J2002" s="38">
        <f t="shared" ca="1" si="236"/>
        <v>0</v>
      </c>
      <c r="K2002" s="30">
        <f t="shared" ca="1" si="237"/>
        <v>0</v>
      </c>
      <c r="L2002" t="str">
        <f t="shared" si="238"/>
        <v>High</v>
      </c>
      <c r="M2002" s="39">
        <f>IFERROR(VLOOKUP("188mg LP - EU Stock",Controls!A:I,7,0),6)</f>
        <v>9</v>
      </c>
      <c r="N2002" s="39">
        <f>IFERROR(VLOOKUP("188mg LP - EU Stock",Controls!A:I,8,0),3)</f>
        <v>8</v>
      </c>
      <c r="O2002" s="39">
        <f>IFERROR(VLOOKUP("188mg LP - EU Stock",Controls!A:I,9,0),18)</f>
        <v>18</v>
      </c>
      <c r="P2002" s="40">
        <f>IFERROR(VLOOKUP("188mg LP - EU Stock",Controls!A:J,5,0),0)</f>
        <v>16200</v>
      </c>
      <c r="Q2002" s="39">
        <f>IFERROR(VLOOKUP("188mg LP - EU Stock",Controls!A:J,6,0),3)</f>
        <v>3</v>
      </c>
      <c r="R2002" s="21" t="str">
        <f>IFERROR(VLOOKUP("188mg LP - EU Stock",Controls!A:K,10,0),"")</f>
        <v>Patheon (L&amp;P EU)</v>
      </c>
      <c r="S2002" s="41">
        <f t="shared" si="239"/>
        <v>46813</v>
      </c>
      <c r="T2002" s="30">
        <f t="shared" si="240"/>
        <v>0</v>
      </c>
      <c r="W2002" s="205" t="s">
        <v>986</v>
      </c>
      <c r="X2002" t="str" cm="1">
        <f t="array" ref="X2002">IF(28&lt;Controls!$B$7,INDEX(F1974:F2152,MATCH(Controls!$B$5,A1974:A2152,1)+28),"")</f>
        <v/>
      </c>
      <c r="Y2002" t="str" cm="1">
        <f t="array" ref="Y2002">IF(28&lt;Controls!$B$7,INDEX(G1974:G2152,MATCH(Controls!$B$5,A1974:A2152,1)+28),"")</f>
        <v/>
      </c>
      <c r="Z2002" t="str" cm="1">
        <f t="array" ref="Z2002">IF(28&lt;Controls!$B$7,INDEX(H1974:H2152,MATCH(Controls!$B$5,A1974:A2152,1)+28),"")</f>
        <v/>
      </c>
      <c r="AA2002" t="str" cm="1">
        <f t="array" ref="AA2002">IF(28&lt;Controls!$B$7,INDEX(M1974:M2152,MATCH(Controls!$B$5,A1974:A2152,1)+28)*INDEX(I1974:I2152,MATCH(Controls!$B$5,A1974:A2152,1)+28),"")</f>
        <v/>
      </c>
      <c r="AB2002">
        <f t="shared" si="241"/>
        <v>0</v>
      </c>
    </row>
    <row r="2003" spans="1:28" x14ac:dyDescent="0.35">
      <c r="A2003" s="153">
        <v>46935</v>
      </c>
      <c r="B2003" s="155" t="s">
        <v>959</v>
      </c>
      <c r="C2003" s="15" t="s">
        <v>28</v>
      </c>
      <c r="D2003" s="15" t="s">
        <v>29</v>
      </c>
      <c r="E2003" s="199">
        <f>H2002</f>
        <v>0</v>
      </c>
      <c r="F2003" s="199">
        <f>IFERROR(SUMIFS('Demand Inputs'!$AI$5:$AI$202,'Demand Inputs'!$A$5:$A$202,"188mg LP - EU Stock",'Demand Inputs'!$B$5:$B$202,"&lt;&gt;AGGREGATE",'Demand Inputs'!$E$5:$E$202,1),0)</f>
        <v>0</v>
      </c>
      <c r="G2003" s="199" cm="1">
        <f t="array" ref="G2003">IFERROR(SUMPRODUCT(('Production Inputs'!$A:$A="188mg LP - EU Stock")*('Production Inputs'!$B:$B="TOTAL ACTIVE")*'Production Inputs'!$AO:$AO),0)</f>
        <v>0</v>
      </c>
      <c r="H2003" s="199">
        <f t="shared" si="235"/>
        <v>0</v>
      </c>
      <c r="I2003" s="30">
        <f ca="1">IFERROR(AVERAGEIF(OFFSET(F2003,0,0,MIN(Controls!$B$8,COUNTIF(B2003:B$2152,B2003)),1),"&gt;"&amp;0),0)</f>
        <v>0</v>
      </c>
      <c r="J2003" s="38">
        <f t="shared" ca="1" si="236"/>
        <v>0</v>
      </c>
      <c r="K2003" s="30">
        <f t="shared" ca="1" si="237"/>
        <v>0</v>
      </c>
      <c r="L2003" t="str">
        <f t="shared" si="238"/>
        <v>High</v>
      </c>
      <c r="M2003" s="39">
        <f>IFERROR(VLOOKUP("188mg LP - EU Stock",Controls!A:I,7,0),6)</f>
        <v>9</v>
      </c>
      <c r="N2003" s="39">
        <f>IFERROR(VLOOKUP("188mg LP - EU Stock",Controls!A:I,8,0),3)</f>
        <v>8</v>
      </c>
      <c r="O2003" s="39">
        <f>IFERROR(VLOOKUP("188mg LP - EU Stock",Controls!A:I,9,0),18)</f>
        <v>18</v>
      </c>
      <c r="P2003" s="40">
        <f>IFERROR(VLOOKUP("188mg LP - EU Stock",Controls!A:J,5,0),0)</f>
        <v>16200</v>
      </c>
      <c r="Q2003" s="39">
        <f>IFERROR(VLOOKUP("188mg LP - EU Stock",Controls!A:J,6,0),3)</f>
        <v>3</v>
      </c>
      <c r="R2003" s="21" t="str">
        <f>IFERROR(VLOOKUP("188mg LP - EU Stock",Controls!A:K,10,0),"")</f>
        <v>Patheon (L&amp;P EU)</v>
      </c>
      <c r="S2003" s="41">
        <f t="shared" si="239"/>
        <v>46844</v>
      </c>
      <c r="T2003" s="30">
        <f t="shared" si="240"/>
        <v>0</v>
      </c>
      <c r="W2003" s="205" t="s">
        <v>987</v>
      </c>
      <c r="X2003" t="str" cm="1">
        <f t="array" ref="X2003">IF(29&lt;Controls!$B$7,INDEX(F1974:F2152,MATCH(Controls!$B$5,A1974:A2152,1)+29),"")</f>
        <v/>
      </c>
      <c r="Y2003" t="str" cm="1">
        <f t="array" ref="Y2003">IF(29&lt;Controls!$B$7,INDEX(G1974:G2152,MATCH(Controls!$B$5,A1974:A2152,1)+29),"")</f>
        <v/>
      </c>
      <c r="Z2003" t="str" cm="1">
        <f t="array" ref="Z2003">IF(29&lt;Controls!$B$7,INDEX(H1974:H2152,MATCH(Controls!$B$5,A1974:A2152,1)+29),"")</f>
        <v/>
      </c>
      <c r="AA2003" t="str" cm="1">
        <f t="array" ref="AA2003">IF(29&lt;Controls!$B$7,INDEX(M1974:M2152,MATCH(Controls!$B$5,A1974:A2152,1)+29)*INDEX(I1974:I2152,MATCH(Controls!$B$5,A1974:A2152,1)+29),"")</f>
        <v/>
      </c>
      <c r="AB2003">
        <f t="shared" si="241"/>
        <v>0</v>
      </c>
    </row>
    <row r="2004" spans="1:28" x14ac:dyDescent="0.35">
      <c r="A2004" s="153">
        <v>46966</v>
      </c>
      <c r="B2004" s="155" t="s">
        <v>959</v>
      </c>
      <c r="C2004" s="15" t="s">
        <v>28</v>
      </c>
      <c r="D2004" s="15" t="s">
        <v>29</v>
      </c>
      <c r="E2004" s="199">
        <f>H2003</f>
        <v>0</v>
      </c>
      <c r="F2004" s="199">
        <f>IFERROR(SUMIFS('Demand Inputs'!$AJ$5:$AJ$202,'Demand Inputs'!$A$5:$A$202,"188mg LP - EU Stock",'Demand Inputs'!$B$5:$B$202,"&lt;&gt;AGGREGATE",'Demand Inputs'!$E$5:$E$202,1),0)</f>
        <v>0</v>
      </c>
      <c r="G2004" s="199" cm="1">
        <f t="array" ref="G2004">IFERROR(SUMPRODUCT(('Production Inputs'!$A:$A="188mg LP - EU Stock")*('Production Inputs'!$B:$B="TOTAL ACTIVE")*'Production Inputs'!$AP:$AP),0)</f>
        <v>0</v>
      </c>
      <c r="H2004" s="199">
        <f t="shared" si="235"/>
        <v>0</v>
      </c>
      <c r="I2004" s="30">
        <f ca="1">IFERROR(AVERAGEIF(OFFSET(F2004,0,0,MIN(Controls!$B$8,COUNTIF(B2004:B$2152,B2004)),1),"&gt;"&amp;0),0)</f>
        <v>0</v>
      </c>
      <c r="J2004" s="38">
        <f t="shared" ca="1" si="236"/>
        <v>0</v>
      </c>
      <c r="K2004" s="30">
        <f t="shared" ca="1" si="237"/>
        <v>0</v>
      </c>
      <c r="L2004" t="str">
        <f t="shared" si="238"/>
        <v>High</v>
      </c>
      <c r="M2004" s="39">
        <f>IFERROR(VLOOKUP("188mg LP - EU Stock",Controls!A:I,7,0),6)</f>
        <v>9</v>
      </c>
      <c r="N2004" s="39">
        <f>IFERROR(VLOOKUP("188mg LP - EU Stock",Controls!A:I,8,0),3)</f>
        <v>8</v>
      </c>
      <c r="O2004" s="39">
        <f>IFERROR(VLOOKUP("188mg LP - EU Stock",Controls!A:I,9,0),18)</f>
        <v>18</v>
      </c>
      <c r="P2004" s="40">
        <f>IFERROR(VLOOKUP("188mg LP - EU Stock",Controls!A:J,5,0),0)</f>
        <v>16200</v>
      </c>
      <c r="Q2004" s="39">
        <f>IFERROR(VLOOKUP("188mg LP - EU Stock",Controls!A:J,6,0),3)</f>
        <v>3</v>
      </c>
      <c r="R2004" s="21" t="str">
        <f>IFERROR(VLOOKUP("188mg LP - EU Stock",Controls!A:K,10,0),"")</f>
        <v>Patheon (L&amp;P EU)</v>
      </c>
      <c r="S2004" s="41">
        <f t="shared" si="239"/>
        <v>46874</v>
      </c>
      <c r="T2004" s="30">
        <f t="shared" si="240"/>
        <v>0</v>
      </c>
      <c r="W2004" s="205" t="s">
        <v>988</v>
      </c>
      <c r="X2004" t="str" cm="1">
        <f t="array" ref="X2004">IF(30&lt;Controls!$B$7,INDEX(F1974:F2152,MATCH(Controls!$B$5,A1974:A2152,1)+30),"")</f>
        <v/>
      </c>
      <c r="Y2004" t="str" cm="1">
        <f t="array" ref="Y2004">IF(30&lt;Controls!$B$7,INDEX(G1974:G2152,MATCH(Controls!$B$5,A1974:A2152,1)+30),"")</f>
        <v/>
      </c>
      <c r="Z2004" t="str" cm="1">
        <f t="array" ref="Z2004">IF(30&lt;Controls!$B$7,INDEX(H1974:H2152,MATCH(Controls!$B$5,A1974:A2152,1)+30),"")</f>
        <v/>
      </c>
      <c r="AA2004" t="str" cm="1">
        <f t="array" ref="AA2004">IF(30&lt;Controls!$B$7,INDEX(M1974:M2152,MATCH(Controls!$B$5,A1974:A2152,1)+30)*INDEX(I1974:I2152,MATCH(Controls!$B$5,A1974:A2152,1)+30),"")</f>
        <v/>
      </c>
      <c r="AB2004">
        <f t="shared" si="241"/>
        <v>0</v>
      </c>
    </row>
    <row r="2005" spans="1:28" x14ac:dyDescent="0.35">
      <c r="A2005" s="153">
        <v>46997</v>
      </c>
      <c r="B2005" s="155" t="s">
        <v>959</v>
      </c>
      <c r="C2005" s="15" t="s">
        <v>28</v>
      </c>
      <c r="D2005" s="15" t="s">
        <v>29</v>
      </c>
      <c r="E2005" s="199">
        <f>H2004</f>
        <v>0</v>
      </c>
      <c r="F2005" s="199">
        <f>IFERROR(SUMIFS('Demand Inputs'!$AK$5:$AK$202,'Demand Inputs'!$A$5:$A$202,"188mg LP - EU Stock",'Demand Inputs'!$B$5:$B$202,"&lt;&gt;AGGREGATE",'Demand Inputs'!$E$5:$E$202,1),0)</f>
        <v>0</v>
      </c>
      <c r="G2005" s="199" cm="1">
        <f t="array" ref="G2005">IFERROR(SUMPRODUCT(('Production Inputs'!$A:$A="188mg LP - EU Stock")*('Production Inputs'!$B:$B="TOTAL ACTIVE")*'Production Inputs'!$AQ:$AQ),0)</f>
        <v>0</v>
      </c>
      <c r="H2005" s="199">
        <f t="shared" si="235"/>
        <v>0</v>
      </c>
      <c r="I2005" s="30">
        <f ca="1">IFERROR(AVERAGEIF(OFFSET(F2005,0,0,MIN(Controls!$B$8,COUNTIF(B2005:B$2152,B2005)),1),"&gt;"&amp;0),0)</f>
        <v>0</v>
      </c>
      <c r="J2005" s="38">
        <f t="shared" ca="1" si="236"/>
        <v>0</v>
      </c>
      <c r="K2005" s="30">
        <f t="shared" ca="1" si="237"/>
        <v>0</v>
      </c>
      <c r="L2005" t="str">
        <f t="shared" si="238"/>
        <v>High</v>
      </c>
      <c r="M2005" s="39">
        <f>IFERROR(VLOOKUP("188mg LP - EU Stock",Controls!A:I,7,0),6)</f>
        <v>9</v>
      </c>
      <c r="N2005" s="39">
        <f>IFERROR(VLOOKUP("188mg LP - EU Stock",Controls!A:I,8,0),3)</f>
        <v>8</v>
      </c>
      <c r="O2005" s="39">
        <f>IFERROR(VLOOKUP("188mg LP - EU Stock",Controls!A:I,9,0),18)</f>
        <v>18</v>
      </c>
      <c r="P2005" s="40">
        <f>IFERROR(VLOOKUP("188mg LP - EU Stock",Controls!A:J,5,0),0)</f>
        <v>16200</v>
      </c>
      <c r="Q2005" s="39">
        <f>IFERROR(VLOOKUP("188mg LP - EU Stock",Controls!A:J,6,0),3)</f>
        <v>3</v>
      </c>
      <c r="R2005" s="21" t="str">
        <f>IFERROR(VLOOKUP("188mg LP - EU Stock",Controls!A:K,10,0),"")</f>
        <v>Patheon (L&amp;P EU)</v>
      </c>
      <c r="S2005" s="41">
        <f t="shared" si="239"/>
        <v>46905</v>
      </c>
      <c r="T2005" s="30">
        <f t="shared" si="240"/>
        <v>0</v>
      </c>
      <c r="W2005" s="205" t="s">
        <v>989</v>
      </c>
      <c r="X2005" t="str" cm="1">
        <f t="array" ref="X2005">IF(31&lt;Controls!$B$7,INDEX(F1974:F2152,MATCH(Controls!$B$5,A1974:A2152,1)+31),"")</f>
        <v/>
      </c>
      <c r="Y2005" t="str" cm="1">
        <f t="array" ref="Y2005">IF(31&lt;Controls!$B$7,INDEX(G1974:G2152,MATCH(Controls!$B$5,A1974:A2152,1)+31),"")</f>
        <v/>
      </c>
      <c r="Z2005" t="str" cm="1">
        <f t="array" ref="Z2005">IF(31&lt;Controls!$B$7,INDEX(H1974:H2152,MATCH(Controls!$B$5,A1974:A2152,1)+31),"")</f>
        <v/>
      </c>
      <c r="AA2005" t="str" cm="1">
        <f t="array" ref="AA2005">IF(31&lt;Controls!$B$7,INDEX(M1974:M2152,MATCH(Controls!$B$5,A1974:A2152,1)+31)*INDEX(I1974:I2152,MATCH(Controls!$B$5,A1974:A2152,1)+31),"")</f>
        <v/>
      </c>
      <c r="AB2005">
        <f t="shared" si="241"/>
        <v>0</v>
      </c>
    </row>
    <row r="2006" spans="1:28" x14ac:dyDescent="0.35">
      <c r="A2006" s="153">
        <v>47027</v>
      </c>
      <c r="B2006" s="155" t="s">
        <v>959</v>
      </c>
      <c r="C2006" s="15" t="s">
        <v>28</v>
      </c>
      <c r="D2006" s="15" t="s">
        <v>29</v>
      </c>
      <c r="E2006" s="199">
        <f>H2005</f>
        <v>0</v>
      </c>
      <c r="F2006" s="199">
        <f>IFERROR(SUMIFS('Demand Inputs'!$AL$5:$AL$202,'Demand Inputs'!$A$5:$A$202,"188mg LP - EU Stock",'Demand Inputs'!$B$5:$B$202,"&lt;&gt;AGGREGATE",'Demand Inputs'!$E$5:$E$202,1),0)</f>
        <v>0</v>
      </c>
      <c r="G2006" s="199" cm="1">
        <f t="array" ref="G2006">IFERROR(SUMPRODUCT(('Production Inputs'!$A:$A="188mg LP - EU Stock")*('Production Inputs'!$B:$B="TOTAL ACTIVE")*'Production Inputs'!$AR:$AR),0)</f>
        <v>0</v>
      </c>
      <c r="H2006" s="199">
        <f t="shared" si="235"/>
        <v>0</v>
      </c>
      <c r="I2006" s="30">
        <f ca="1">IFERROR(AVERAGEIF(OFFSET(F2006,0,0,MIN(Controls!$B$8,COUNTIF(B2006:B$2152,B2006)),1),"&gt;"&amp;0),0)</f>
        <v>0</v>
      </c>
      <c r="J2006" s="38">
        <f t="shared" ca="1" si="236"/>
        <v>0</v>
      </c>
      <c r="K2006" s="30">
        <f t="shared" ca="1" si="237"/>
        <v>0</v>
      </c>
      <c r="L2006" t="str">
        <f t="shared" si="238"/>
        <v>High</v>
      </c>
      <c r="M2006" s="39">
        <f>IFERROR(VLOOKUP("188mg LP - EU Stock",Controls!A:I,7,0),6)</f>
        <v>9</v>
      </c>
      <c r="N2006" s="39">
        <f>IFERROR(VLOOKUP("188mg LP - EU Stock",Controls!A:I,8,0),3)</f>
        <v>8</v>
      </c>
      <c r="O2006" s="39">
        <f>IFERROR(VLOOKUP("188mg LP - EU Stock",Controls!A:I,9,0),18)</f>
        <v>18</v>
      </c>
      <c r="P2006" s="40">
        <f>IFERROR(VLOOKUP("188mg LP - EU Stock",Controls!A:J,5,0),0)</f>
        <v>16200</v>
      </c>
      <c r="Q2006" s="39">
        <f>IFERROR(VLOOKUP("188mg LP - EU Stock",Controls!A:J,6,0),3)</f>
        <v>3</v>
      </c>
      <c r="R2006" s="21" t="str">
        <f>IFERROR(VLOOKUP("188mg LP - EU Stock",Controls!A:K,10,0),"")</f>
        <v>Patheon (L&amp;P EU)</v>
      </c>
      <c r="S2006" s="41">
        <f t="shared" si="239"/>
        <v>46935</v>
      </c>
      <c r="T2006" s="30">
        <f t="shared" si="240"/>
        <v>0</v>
      </c>
      <c r="W2006" s="205" t="s">
        <v>990</v>
      </c>
      <c r="X2006" t="str" cm="1">
        <f t="array" ref="X2006">IF(32&lt;Controls!$B$7,INDEX(F1974:F2152,MATCH(Controls!$B$5,A1974:A2152,1)+32),"")</f>
        <v/>
      </c>
      <c r="Y2006" t="str" cm="1">
        <f t="array" ref="Y2006">IF(32&lt;Controls!$B$7,INDEX(G1974:G2152,MATCH(Controls!$B$5,A1974:A2152,1)+32),"")</f>
        <v/>
      </c>
      <c r="Z2006" t="str" cm="1">
        <f t="array" ref="Z2006">IF(32&lt;Controls!$B$7,INDEX(H1974:H2152,MATCH(Controls!$B$5,A1974:A2152,1)+32),"")</f>
        <v/>
      </c>
      <c r="AA2006" t="str" cm="1">
        <f t="array" ref="AA2006">IF(32&lt;Controls!$B$7,INDEX(M1974:M2152,MATCH(Controls!$B$5,A1974:A2152,1)+32)*INDEX(I1974:I2152,MATCH(Controls!$B$5,A1974:A2152,1)+32),"")</f>
        <v/>
      </c>
      <c r="AB2006">
        <f t="shared" si="241"/>
        <v>0</v>
      </c>
    </row>
    <row r="2007" spans="1:28" x14ac:dyDescent="0.35">
      <c r="A2007" s="153">
        <v>47058</v>
      </c>
      <c r="B2007" s="155" t="s">
        <v>959</v>
      </c>
      <c r="C2007" s="15" t="s">
        <v>28</v>
      </c>
      <c r="D2007" s="15" t="s">
        <v>29</v>
      </c>
      <c r="E2007" s="199">
        <f>H2006</f>
        <v>0</v>
      </c>
      <c r="F2007" s="199">
        <f>IFERROR(SUMIFS('Demand Inputs'!$AM$5:$AM$202,'Demand Inputs'!$A$5:$A$202,"188mg LP - EU Stock",'Demand Inputs'!$B$5:$B$202,"&lt;&gt;AGGREGATE",'Demand Inputs'!$E$5:$E$202,1),0)</f>
        <v>0</v>
      </c>
      <c r="G2007" s="199" cm="1">
        <f t="array" ref="G2007">IFERROR(SUMPRODUCT(('Production Inputs'!$A:$A="188mg LP - EU Stock")*('Production Inputs'!$B:$B="TOTAL ACTIVE")*'Production Inputs'!$AS:$AS),0)</f>
        <v>0</v>
      </c>
      <c r="H2007" s="199">
        <f t="shared" si="235"/>
        <v>0</v>
      </c>
      <c r="I2007" s="30">
        <f ca="1">IFERROR(AVERAGEIF(OFFSET(F2007,0,0,MIN(Controls!$B$8,COUNTIF(B2007:B$2152,B2007)),1),"&gt;"&amp;0),0)</f>
        <v>0</v>
      </c>
      <c r="J2007" s="38">
        <f t="shared" ca="1" si="236"/>
        <v>0</v>
      </c>
      <c r="K2007" s="30">
        <f t="shared" ca="1" si="237"/>
        <v>0</v>
      </c>
      <c r="L2007" t="str">
        <f t="shared" si="238"/>
        <v>High</v>
      </c>
      <c r="M2007" s="39">
        <f>IFERROR(VLOOKUP("188mg LP - EU Stock",Controls!A:I,7,0),6)</f>
        <v>9</v>
      </c>
      <c r="N2007" s="39">
        <f>IFERROR(VLOOKUP("188mg LP - EU Stock",Controls!A:I,8,0),3)</f>
        <v>8</v>
      </c>
      <c r="O2007" s="39">
        <f>IFERROR(VLOOKUP("188mg LP - EU Stock",Controls!A:I,9,0),18)</f>
        <v>18</v>
      </c>
      <c r="P2007" s="40">
        <f>IFERROR(VLOOKUP("188mg LP - EU Stock",Controls!A:J,5,0),0)</f>
        <v>16200</v>
      </c>
      <c r="Q2007" s="39">
        <f>IFERROR(VLOOKUP("188mg LP - EU Stock",Controls!A:J,6,0),3)</f>
        <v>3</v>
      </c>
      <c r="R2007" s="21" t="str">
        <f>IFERROR(VLOOKUP("188mg LP - EU Stock",Controls!A:K,10,0),"")</f>
        <v>Patheon (L&amp;P EU)</v>
      </c>
      <c r="S2007" s="41">
        <f t="shared" si="239"/>
        <v>46966</v>
      </c>
      <c r="T2007" s="30">
        <f t="shared" si="240"/>
        <v>0</v>
      </c>
      <c r="W2007" s="205" t="s">
        <v>991</v>
      </c>
      <c r="X2007" t="str" cm="1">
        <f t="array" ref="X2007">IF(33&lt;Controls!$B$7,INDEX(F1974:F2152,MATCH(Controls!$B$5,A1974:A2152,1)+33),"")</f>
        <v/>
      </c>
      <c r="Y2007" t="str" cm="1">
        <f t="array" ref="Y2007">IF(33&lt;Controls!$B$7,INDEX(G1974:G2152,MATCH(Controls!$B$5,A1974:A2152,1)+33),"")</f>
        <v/>
      </c>
      <c r="Z2007" t="str" cm="1">
        <f t="array" ref="Z2007">IF(33&lt;Controls!$B$7,INDEX(H1974:H2152,MATCH(Controls!$B$5,A1974:A2152,1)+33),"")</f>
        <v/>
      </c>
      <c r="AA2007" t="str" cm="1">
        <f t="array" ref="AA2007">IF(33&lt;Controls!$B$7,INDEX(M1974:M2152,MATCH(Controls!$B$5,A1974:A2152,1)+33)*INDEX(I1974:I2152,MATCH(Controls!$B$5,A1974:A2152,1)+33),"")</f>
        <v/>
      </c>
      <c r="AB2007">
        <f t="shared" si="241"/>
        <v>0</v>
      </c>
    </row>
    <row r="2008" spans="1:28" x14ac:dyDescent="0.35">
      <c r="A2008" s="153">
        <v>47088</v>
      </c>
      <c r="B2008" s="155" t="s">
        <v>959</v>
      </c>
      <c r="C2008" s="15" t="s">
        <v>28</v>
      </c>
      <c r="D2008" s="15" t="s">
        <v>29</v>
      </c>
      <c r="E2008" s="199">
        <f>H2007</f>
        <v>0</v>
      </c>
      <c r="F2008" s="199">
        <f>IFERROR(SUMIFS('Demand Inputs'!$AN$5:$AN$202,'Demand Inputs'!$A$5:$A$202,"188mg LP - EU Stock",'Demand Inputs'!$B$5:$B$202,"&lt;&gt;AGGREGATE",'Demand Inputs'!$E$5:$E$202,1),0)</f>
        <v>0</v>
      </c>
      <c r="G2008" s="199" cm="1">
        <f t="array" ref="G2008">IFERROR(SUMPRODUCT(('Production Inputs'!$A:$A="188mg LP - EU Stock")*('Production Inputs'!$B:$B="TOTAL ACTIVE")*'Production Inputs'!$AT:$AT),0)</f>
        <v>0</v>
      </c>
      <c r="H2008" s="199">
        <f t="shared" si="235"/>
        <v>0</v>
      </c>
      <c r="I2008" s="30">
        <f ca="1">IFERROR(AVERAGEIF(OFFSET(F2008,0,0,MIN(Controls!$B$8,COUNTIF(B2008:B$2152,B2008)),1),"&gt;"&amp;0),0)</f>
        <v>0</v>
      </c>
      <c r="J2008" s="38">
        <f t="shared" ca="1" si="236"/>
        <v>0</v>
      </c>
      <c r="K2008" s="30">
        <f t="shared" ca="1" si="237"/>
        <v>0</v>
      </c>
      <c r="L2008" t="str">
        <f t="shared" si="238"/>
        <v>High</v>
      </c>
      <c r="M2008" s="39">
        <f>IFERROR(VLOOKUP("188mg LP - EU Stock",Controls!A:I,7,0),6)</f>
        <v>9</v>
      </c>
      <c r="N2008" s="39">
        <f>IFERROR(VLOOKUP("188mg LP - EU Stock",Controls!A:I,8,0),3)</f>
        <v>8</v>
      </c>
      <c r="O2008" s="39">
        <f>IFERROR(VLOOKUP("188mg LP - EU Stock",Controls!A:I,9,0),18)</f>
        <v>18</v>
      </c>
      <c r="P2008" s="40">
        <f>IFERROR(VLOOKUP("188mg LP - EU Stock",Controls!A:J,5,0),0)</f>
        <v>16200</v>
      </c>
      <c r="Q2008" s="39">
        <f>IFERROR(VLOOKUP("188mg LP - EU Stock",Controls!A:J,6,0),3)</f>
        <v>3</v>
      </c>
      <c r="R2008" s="21" t="str">
        <f>IFERROR(VLOOKUP("188mg LP - EU Stock",Controls!A:K,10,0),"")</f>
        <v>Patheon (L&amp;P EU)</v>
      </c>
      <c r="S2008" s="41">
        <f t="shared" si="239"/>
        <v>46997</v>
      </c>
      <c r="T2008" s="30">
        <f t="shared" si="240"/>
        <v>0</v>
      </c>
      <c r="W2008" s="205" t="s">
        <v>992</v>
      </c>
      <c r="X2008" t="str" cm="1">
        <f t="array" ref="X2008">IF(34&lt;Controls!$B$7,INDEX(F1974:F2152,MATCH(Controls!$B$5,A1974:A2152,1)+34),"")</f>
        <v/>
      </c>
      <c r="Y2008" t="str" cm="1">
        <f t="array" ref="Y2008">IF(34&lt;Controls!$B$7,INDEX(G1974:G2152,MATCH(Controls!$B$5,A1974:A2152,1)+34),"")</f>
        <v/>
      </c>
      <c r="Z2008" t="str" cm="1">
        <f t="array" ref="Z2008">IF(34&lt;Controls!$B$7,INDEX(H1974:H2152,MATCH(Controls!$B$5,A1974:A2152,1)+34),"")</f>
        <v/>
      </c>
      <c r="AA2008" t="str" cm="1">
        <f t="array" ref="AA2008">IF(34&lt;Controls!$B$7,INDEX(M1974:M2152,MATCH(Controls!$B$5,A1974:A2152,1)+34)*INDEX(I1974:I2152,MATCH(Controls!$B$5,A1974:A2152,1)+34),"")</f>
        <v/>
      </c>
      <c r="AB2008">
        <f t="shared" si="241"/>
        <v>0</v>
      </c>
    </row>
    <row r="2009" spans="1:28" x14ac:dyDescent="0.35">
      <c r="A2009" s="153">
        <v>47119</v>
      </c>
      <c r="B2009" s="155" t="s">
        <v>959</v>
      </c>
      <c r="C2009" s="15" t="s">
        <v>28</v>
      </c>
      <c r="D2009" s="15" t="s">
        <v>29</v>
      </c>
      <c r="E2009" s="199">
        <f>H2008</f>
        <v>0</v>
      </c>
      <c r="F2009" s="199">
        <f>IFERROR(SUMIFS('Demand Inputs'!$AO$5:$AO$202,'Demand Inputs'!$A$5:$A$202,"188mg LP - EU Stock",'Demand Inputs'!$B$5:$B$202,"&lt;&gt;AGGREGATE",'Demand Inputs'!$E$5:$E$202,1),0)</f>
        <v>0</v>
      </c>
      <c r="G2009" s="199" cm="1">
        <f t="array" ref="G2009">IFERROR(SUMPRODUCT(('Production Inputs'!$A:$A="188mg LP - EU Stock")*('Production Inputs'!$B:$B="TOTAL ACTIVE")*'Production Inputs'!$AU:$AU),0)</f>
        <v>0</v>
      </c>
      <c r="H2009" s="199">
        <f t="shared" si="235"/>
        <v>0</v>
      </c>
      <c r="I2009" s="30">
        <f ca="1">IFERROR(AVERAGEIF(OFFSET(F2009,0,0,MIN(Controls!$B$8,COUNTIF(B2009:B$2152,B2009)),1),"&gt;"&amp;0),0)</f>
        <v>0</v>
      </c>
      <c r="J2009" s="38">
        <f t="shared" ca="1" si="236"/>
        <v>0</v>
      </c>
      <c r="K2009" s="30">
        <f t="shared" ca="1" si="237"/>
        <v>0</v>
      </c>
      <c r="L2009" t="str">
        <f t="shared" si="238"/>
        <v>High</v>
      </c>
      <c r="M2009" s="39">
        <f>IFERROR(VLOOKUP("188mg LP - EU Stock",Controls!A:I,7,0),6)</f>
        <v>9</v>
      </c>
      <c r="N2009" s="39">
        <f>IFERROR(VLOOKUP("188mg LP - EU Stock",Controls!A:I,8,0),3)</f>
        <v>8</v>
      </c>
      <c r="O2009" s="39">
        <f>IFERROR(VLOOKUP("188mg LP - EU Stock",Controls!A:I,9,0),18)</f>
        <v>18</v>
      </c>
      <c r="P2009" s="40">
        <f>IFERROR(VLOOKUP("188mg LP - EU Stock",Controls!A:J,5,0),0)</f>
        <v>16200</v>
      </c>
      <c r="Q2009" s="39">
        <f>IFERROR(VLOOKUP("188mg LP - EU Stock",Controls!A:J,6,0),3)</f>
        <v>3</v>
      </c>
      <c r="R2009" s="21" t="str">
        <f>IFERROR(VLOOKUP("188mg LP - EU Stock",Controls!A:K,10,0),"")</f>
        <v>Patheon (L&amp;P EU)</v>
      </c>
      <c r="S2009" s="41">
        <f t="shared" si="239"/>
        <v>47027</v>
      </c>
      <c r="T2009" s="30">
        <f t="shared" si="240"/>
        <v>0</v>
      </c>
      <c r="W2009" s="205" t="s">
        <v>993</v>
      </c>
      <c r="X2009" t="str" cm="1">
        <f t="array" ref="X2009">IF(35&lt;Controls!$B$7,INDEX(F1974:F2152,MATCH(Controls!$B$5,A1974:A2152,1)+35),"")</f>
        <v/>
      </c>
      <c r="Y2009" t="str" cm="1">
        <f t="array" ref="Y2009">IF(35&lt;Controls!$B$7,INDEX(G1974:G2152,MATCH(Controls!$B$5,A1974:A2152,1)+35),"")</f>
        <v/>
      </c>
      <c r="Z2009" t="str" cm="1">
        <f t="array" ref="Z2009">IF(35&lt;Controls!$B$7,INDEX(H1974:H2152,MATCH(Controls!$B$5,A1974:A2152,1)+35),"")</f>
        <v/>
      </c>
      <c r="AA2009" t="str" cm="1">
        <f t="array" ref="AA2009">IF(35&lt;Controls!$B$7,INDEX(M1974:M2152,MATCH(Controls!$B$5,A1974:A2152,1)+35)*INDEX(I1974:I2152,MATCH(Controls!$B$5,A1974:A2152,1)+35),"")</f>
        <v/>
      </c>
      <c r="AB2009">
        <f t="shared" si="241"/>
        <v>0</v>
      </c>
    </row>
    <row r="2010" spans="1:28" x14ac:dyDescent="0.35">
      <c r="A2010" s="153">
        <v>47150</v>
      </c>
      <c r="B2010" s="155" t="s">
        <v>959</v>
      </c>
      <c r="C2010" s="15" t="s">
        <v>28</v>
      </c>
      <c r="D2010" s="15" t="s">
        <v>29</v>
      </c>
      <c r="E2010" s="199">
        <f>H2009</f>
        <v>0</v>
      </c>
      <c r="F2010" s="199">
        <f>IFERROR(SUMIFS('Demand Inputs'!$AP$5:$AP$202,'Demand Inputs'!$A$5:$A$202,"188mg LP - EU Stock",'Demand Inputs'!$B$5:$B$202,"&lt;&gt;AGGREGATE",'Demand Inputs'!$E$5:$E$202,1),0)</f>
        <v>0</v>
      </c>
      <c r="G2010" s="199" cm="1">
        <f t="array" ref="G2010">IFERROR(SUMPRODUCT(('Production Inputs'!$A:$A="188mg LP - EU Stock")*('Production Inputs'!$B:$B="TOTAL ACTIVE")*'Production Inputs'!$AV:$AV),0)</f>
        <v>0</v>
      </c>
      <c r="H2010" s="199">
        <f t="shared" si="235"/>
        <v>0</v>
      </c>
      <c r="I2010" s="30">
        <f ca="1">IFERROR(AVERAGEIF(OFFSET(F2010,0,0,MIN(Controls!$B$8,COUNTIF(B2010:B$2152,B2010)),1),"&gt;"&amp;0),0)</f>
        <v>0</v>
      </c>
      <c r="J2010" s="38">
        <f t="shared" ca="1" si="236"/>
        <v>0</v>
      </c>
      <c r="K2010" s="30">
        <f t="shared" ca="1" si="237"/>
        <v>0</v>
      </c>
      <c r="L2010" t="str">
        <f t="shared" si="238"/>
        <v>High</v>
      </c>
      <c r="M2010" s="39">
        <f>IFERROR(VLOOKUP("188mg LP - EU Stock",Controls!A:I,7,0),6)</f>
        <v>9</v>
      </c>
      <c r="N2010" s="39">
        <f>IFERROR(VLOOKUP("188mg LP - EU Stock",Controls!A:I,8,0),3)</f>
        <v>8</v>
      </c>
      <c r="O2010" s="39">
        <f>IFERROR(VLOOKUP("188mg LP - EU Stock",Controls!A:I,9,0),18)</f>
        <v>18</v>
      </c>
      <c r="P2010" s="40">
        <f>IFERROR(VLOOKUP("188mg LP - EU Stock",Controls!A:J,5,0),0)</f>
        <v>16200</v>
      </c>
      <c r="Q2010" s="39">
        <f>IFERROR(VLOOKUP("188mg LP - EU Stock",Controls!A:J,6,0),3)</f>
        <v>3</v>
      </c>
      <c r="R2010" s="21" t="str">
        <f>IFERROR(VLOOKUP("188mg LP - EU Stock",Controls!A:K,10,0),"")</f>
        <v>Patheon (L&amp;P EU)</v>
      </c>
      <c r="S2010" s="41">
        <f t="shared" si="239"/>
        <v>47058</v>
      </c>
      <c r="T2010" s="30">
        <f t="shared" si="240"/>
        <v>0</v>
      </c>
      <c r="W2010" s="205" t="s">
        <v>994</v>
      </c>
      <c r="X2010" t="str" cm="1">
        <f t="array" ref="X2010">IF(36&lt;Controls!$B$7,INDEX(F1974:F2152,MATCH(Controls!$B$5,A1974:A2152,1)+36),"")</f>
        <v/>
      </c>
      <c r="Y2010" t="str" cm="1">
        <f t="array" ref="Y2010">IF(36&lt;Controls!$B$7,INDEX(G1974:G2152,MATCH(Controls!$B$5,A1974:A2152,1)+36),"")</f>
        <v/>
      </c>
      <c r="Z2010" t="str" cm="1">
        <f t="array" ref="Z2010">IF(36&lt;Controls!$B$7,INDEX(H1974:H2152,MATCH(Controls!$B$5,A1974:A2152,1)+36),"")</f>
        <v/>
      </c>
      <c r="AA2010" t="str" cm="1">
        <f t="array" ref="AA2010">IF(36&lt;Controls!$B$7,INDEX(M1974:M2152,MATCH(Controls!$B$5,A1974:A2152,1)+36)*INDEX(I1974:I2152,MATCH(Controls!$B$5,A1974:A2152,1)+36),"")</f>
        <v/>
      </c>
      <c r="AB2010">
        <f t="shared" si="241"/>
        <v>0</v>
      </c>
    </row>
    <row r="2011" spans="1:28" x14ac:dyDescent="0.35">
      <c r="A2011" s="153">
        <v>47178</v>
      </c>
      <c r="B2011" s="155" t="s">
        <v>959</v>
      </c>
      <c r="C2011" s="15" t="s">
        <v>28</v>
      </c>
      <c r="D2011" s="15" t="s">
        <v>29</v>
      </c>
      <c r="E2011" s="199">
        <f>H2010</f>
        <v>0</v>
      </c>
      <c r="F2011" s="199">
        <f>IFERROR(SUMIFS('Demand Inputs'!$AQ$5:$AQ$202,'Demand Inputs'!$A$5:$A$202,"188mg LP - EU Stock",'Demand Inputs'!$B$5:$B$202,"&lt;&gt;AGGREGATE",'Demand Inputs'!$E$5:$E$202,1),0)</f>
        <v>0</v>
      </c>
      <c r="G2011" s="199" cm="1">
        <f t="array" ref="G2011">IFERROR(SUMPRODUCT(('Production Inputs'!$A:$A="188mg LP - EU Stock")*('Production Inputs'!$B:$B="TOTAL ACTIVE")*'Production Inputs'!$AW:$AW),0)</f>
        <v>0</v>
      </c>
      <c r="H2011" s="199">
        <f t="shared" si="235"/>
        <v>0</v>
      </c>
      <c r="I2011" s="30">
        <f ca="1">IFERROR(AVERAGEIF(OFFSET(F2011,0,0,MIN(Controls!$B$8,COUNTIF(B2011:B$2152,B2011)),1),"&gt;"&amp;0),0)</f>
        <v>0</v>
      </c>
      <c r="J2011" s="38">
        <f t="shared" ca="1" si="236"/>
        <v>0</v>
      </c>
      <c r="K2011" s="30">
        <f t="shared" ca="1" si="237"/>
        <v>0</v>
      </c>
      <c r="L2011" t="str">
        <f t="shared" si="238"/>
        <v>High</v>
      </c>
      <c r="M2011" s="39">
        <f>IFERROR(VLOOKUP("188mg LP - EU Stock",Controls!A:I,7,0),6)</f>
        <v>9</v>
      </c>
      <c r="N2011" s="39">
        <f>IFERROR(VLOOKUP("188mg LP - EU Stock",Controls!A:I,8,0),3)</f>
        <v>8</v>
      </c>
      <c r="O2011" s="39">
        <f>IFERROR(VLOOKUP("188mg LP - EU Stock",Controls!A:I,9,0),18)</f>
        <v>18</v>
      </c>
      <c r="P2011" s="40">
        <f>IFERROR(VLOOKUP("188mg LP - EU Stock",Controls!A:J,5,0),0)</f>
        <v>16200</v>
      </c>
      <c r="Q2011" s="39">
        <f>IFERROR(VLOOKUP("188mg LP - EU Stock",Controls!A:J,6,0),3)</f>
        <v>3</v>
      </c>
      <c r="R2011" s="21" t="str">
        <f>IFERROR(VLOOKUP("188mg LP - EU Stock",Controls!A:K,10,0),"")</f>
        <v>Patheon (L&amp;P EU)</v>
      </c>
      <c r="S2011" s="41">
        <f t="shared" si="239"/>
        <v>47088</v>
      </c>
      <c r="T2011" s="30">
        <f t="shared" si="240"/>
        <v>0</v>
      </c>
      <c r="W2011" s="205" t="s">
        <v>995</v>
      </c>
      <c r="X2011" t="str" cm="1">
        <f t="array" ref="X2011">IF(37&lt;Controls!$B$7,INDEX(F1974:F2152,MATCH(Controls!$B$5,A1974:A2152,1)+37),"")</f>
        <v/>
      </c>
      <c r="Y2011" t="str" cm="1">
        <f t="array" ref="Y2011">IF(37&lt;Controls!$B$7,INDEX(G1974:G2152,MATCH(Controls!$B$5,A1974:A2152,1)+37),"")</f>
        <v/>
      </c>
      <c r="Z2011" t="str" cm="1">
        <f t="array" ref="Z2011">IF(37&lt;Controls!$B$7,INDEX(H1974:H2152,MATCH(Controls!$B$5,A1974:A2152,1)+37),"")</f>
        <v/>
      </c>
      <c r="AA2011" t="str" cm="1">
        <f t="array" ref="AA2011">IF(37&lt;Controls!$B$7,INDEX(M1974:M2152,MATCH(Controls!$B$5,A1974:A2152,1)+37)*INDEX(I1974:I2152,MATCH(Controls!$B$5,A1974:A2152,1)+37),"")</f>
        <v/>
      </c>
      <c r="AB2011">
        <f t="shared" si="241"/>
        <v>0</v>
      </c>
    </row>
    <row r="2012" spans="1:28" x14ac:dyDescent="0.35">
      <c r="A2012" s="153">
        <v>47209</v>
      </c>
      <c r="B2012" s="155" t="s">
        <v>959</v>
      </c>
      <c r="C2012" s="15" t="s">
        <v>28</v>
      </c>
      <c r="D2012" s="15" t="s">
        <v>29</v>
      </c>
      <c r="E2012" s="199">
        <f>H2011</f>
        <v>0</v>
      </c>
      <c r="F2012" s="199">
        <f>IFERROR(SUMIFS('Demand Inputs'!$AR$5:$AR$202,'Demand Inputs'!$A$5:$A$202,"188mg LP - EU Stock",'Demand Inputs'!$B$5:$B$202,"&lt;&gt;AGGREGATE",'Demand Inputs'!$E$5:$E$202,1),0)</f>
        <v>0</v>
      </c>
      <c r="G2012" s="199" cm="1">
        <f t="array" ref="G2012">IFERROR(SUMPRODUCT(('Production Inputs'!$A:$A="188mg LP - EU Stock")*('Production Inputs'!$B:$B="TOTAL ACTIVE")*'Production Inputs'!$AX:$AX),0)</f>
        <v>0</v>
      </c>
      <c r="H2012" s="199">
        <f t="shared" si="235"/>
        <v>0</v>
      </c>
      <c r="I2012" s="30">
        <f ca="1">IFERROR(AVERAGEIF(OFFSET(F2012,0,0,MIN(Controls!$B$8,COUNTIF(B2012:B$2152,B2012)),1),"&gt;"&amp;0),0)</f>
        <v>0</v>
      </c>
      <c r="J2012" s="38">
        <f t="shared" ca="1" si="236"/>
        <v>0</v>
      </c>
      <c r="K2012" s="30">
        <f t="shared" ca="1" si="237"/>
        <v>0</v>
      </c>
      <c r="L2012" t="str">
        <f t="shared" si="238"/>
        <v>High</v>
      </c>
      <c r="M2012" s="39">
        <f>IFERROR(VLOOKUP("188mg LP - EU Stock",Controls!A:I,7,0),6)</f>
        <v>9</v>
      </c>
      <c r="N2012" s="39">
        <f>IFERROR(VLOOKUP("188mg LP - EU Stock",Controls!A:I,8,0),3)</f>
        <v>8</v>
      </c>
      <c r="O2012" s="39">
        <f>IFERROR(VLOOKUP("188mg LP - EU Stock",Controls!A:I,9,0),18)</f>
        <v>18</v>
      </c>
      <c r="P2012" s="40">
        <f>IFERROR(VLOOKUP("188mg LP - EU Stock",Controls!A:J,5,0),0)</f>
        <v>16200</v>
      </c>
      <c r="Q2012" s="39">
        <f>IFERROR(VLOOKUP("188mg LP - EU Stock",Controls!A:J,6,0),3)</f>
        <v>3</v>
      </c>
      <c r="R2012" s="21" t="str">
        <f>IFERROR(VLOOKUP("188mg LP - EU Stock",Controls!A:K,10,0),"")</f>
        <v>Patheon (L&amp;P EU)</v>
      </c>
      <c r="S2012" s="41">
        <f t="shared" si="239"/>
        <v>47119</v>
      </c>
      <c r="T2012" s="30">
        <f t="shared" si="240"/>
        <v>0</v>
      </c>
      <c r="W2012" s="205" t="s">
        <v>996</v>
      </c>
      <c r="X2012" t="str" cm="1">
        <f t="array" ref="X2012">IF(38&lt;Controls!$B$7,INDEX(F1974:F2152,MATCH(Controls!$B$5,A1974:A2152,1)+38),"")</f>
        <v/>
      </c>
      <c r="Y2012" t="str" cm="1">
        <f t="array" ref="Y2012">IF(38&lt;Controls!$B$7,INDEX(G1974:G2152,MATCH(Controls!$B$5,A1974:A2152,1)+38),"")</f>
        <v/>
      </c>
      <c r="Z2012" t="str" cm="1">
        <f t="array" ref="Z2012">IF(38&lt;Controls!$B$7,INDEX(H1974:H2152,MATCH(Controls!$B$5,A1974:A2152,1)+38),"")</f>
        <v/>
      </c>
      <c r="AA2012" t="str" cm="1">
        <f t="array" ref="AA2012">IF(38&lt;Controls!$B$7,INDEX(M1974:M2152,MATCH(Controls!$B$5,A1974:A2152,1)+38)*INDEX(I1974:I2152,MATCH(Controls!$B$5,A1974:A2152,1)+38),"")</f>
        <v/>
      </c>
      <c r="AB2012">
        <f t="shared" si="241"/>
        <v>0</v>
      </c>
    </row>
    <row r="2013" spans="1:28" x14ac:dyDescent="0.35">
      <c r="A2013" s="153">
        <v>47239</v>
      </c>
      <c r="B2013" s="155" t="s">
        <v>959</v>
      </c>
      <c r="C2013" s="15" t="s">
        <v>28</v>
      </c>
      <c r="D2013" s="15" t="s">
        <v>29</v>
      </c>
      <c r="E2013" s="199">
        <f>H2012</f>
        <v>0</v>
      </c>
      <c r="F2013" s="199">
        <f>IFERROR(SUMIFS('Demand Inputs'!$AS$5:$AS$202,'Demand Inputs'!$A$5:$A$202,"188mg LP - EU Stock",'Demand Inputs'!$B$5:$B$202,"&lt;&gt;AGGREGATE",'Demand Inputs'!$E$5:$E$202,1),0)</f>
        <v>0</v>
      </c>
      <c r="G2013" s="199" cm="1">
        <f t="array" ref="G2013">IFERROR(SUMPRODUCT(('Production Inputs'!$A:$A="188mg LP - EU Stock")*('Production Inputs'!$B:$B="TOTAL ACTIVE")*'Production Inputs'!$AY:$AY),0)</f>
        <v>0</v>
      </c>
      <c r="H2013" s="199">
        <f t="shared" si="235"/>
        <v>0</v>
      </c>
      <c r="I2013" s="30">
        <f ca="1">IFERROR(AVERAGEIF(OFFSET(F2013,0,0,MIN(Controls!$B$8,COUNTIF(B2013:B$2152,B2013)),1),"&gt;"&amp;0),0)</f>
        <v>0</v>
      </c>
      <c r="J2013" s="38">
        <f t="shared" ca="1" si="236"/>
        <v>0</v>
      </c>
      <c r="K2013" s="30">
        <f t="shared" ca="1" si="237"/>
        <v>0</v>
      </c>
      <c r="L2013" t="str">
        <f t="shared" si="238"/>
        <v>High</v>
      </c>
      <c r="M2013" s="39">
        <f>IFERROR(VLOOKUP("188mg LP - EU Stock",Controls!A:I,7,0),6)</f>
        <v>9</v>
      </c>
      <c r="N2013" s="39">
        <f>IFERROR(VLOOKUP("188mg LP - EU Stock",Controls!A:I,8,0),3)</f>
        <v>8</v>
      </c>
      <c r="O2013" s="39">
        <f>IFERROR(VLOOKUP("188mg LP - EU Stock",Controls!A:I,9,0),18)</f>
        <v>18</v>
      </c>
      <c r="P2013" s="40">
        <f>IFERROR(VLOOKUP("188mg LP - EU Stock",Controls!A:J,5,0),0)</f>
        <v>16200</v>
      </c>
      <c r="Q2013" s="39">
        <f>IFERROR(VLOOKUP("188mg LP - EU Stock",Controls!A:J,6,0),3)</f>
        <v>3</v>
      </c>
      <c r="R2013" s="21" t="str">
        <f>IFERROR(VLOOKUP("188mg LP - EU Stock",Controls!A:K,10,0),"")</f>
        <v>Patheon (L&amp;P EU)</v>
      </c>
      <c r="S2013" s="41">
        <f t="shared" si="239"/>
        <v>47150</v>
      </c>
      <c r="T2013" s="30">
        <f t="shared" si="240"/>
        <v>0</v>
      </c>
      <c r="W2013" s="205" t="s">
        <v>997</v>
      </c>
      <c r="X2013" t="str" cm="1">
        <f t="array" ref="X2013">IF(39&lt;Controls!$B$7,INDEX(F1974:F2152,MATCH(Controls!$B$5,A1974:A2152,1)+39),"")</f>
        <v/>
      </c>
      <c r="Y2013" t="str" cm="1">
        <f t="array" ref="Y2013">IF(39&lt;Controls!$B$7,INDEX(G1974:G2152,MATCH(Controls!$B$5,A1974:A2152,1)+39),"")</f>
        <v/>
      </c>
      <c r="Z2013" t="str" cm="1">
        <f t="array" ref="Z2013">IF(39&lt;Controls!$B$7,INDEX(H1974:H2152,MATCH(Controls!$B$5,A1974:A2152,1)+39),"")</f>
        <v/>
      </c>
      <c r="AA2013" t="str" cm="1">
        <f t="array" ref="AA2013">IF(39&lt;Controls!$B$7,INDEX(M1974:M2152,MATCH(Controls!$B$5,A1974:A2152,1)+39)*INDEX(I1974:I2152,MATCH(Controls!$B$5,A1974:A2152,1)+39),"")</f>
        <v/>
      </c>
      <c r="AB2013">
        <f t="shared" si="241"/>
        <v>0</v>
      </c>
    </row>
    <row r="2014" spans="1:28" x14ac:dyDescent="0.35">
      <c r="A2014" s="153">
        <v>47270</v>
      </c>
      <c r="B2014" s="155" t="s">
        <v>959</v>
      </c>
      <c r="C2014" s="15" t="s">
        <v>28</v>
      </c>
      <c r="D2014" s="15" t="s">
        <v>29</v>
      </c>
      <c r="E2014" s="199">
        <f>H2013</f>
        <v>0</v>
      </c>
      <c r="F2014" s="199">
        <f>IFERROR(SUMIFS('Demand Inputs'!$AT$5:$AT$202,'Demand Inputs'!$A$5:$A$202,"188mg LP - EU Stock",'Demand Inputs'!$B$5:$B$202,"&lt;&gt;AGGREGATE",'Demand Inputs'!$E$5:$E$202,1),0)</f>
        <v>0</v>
      </c>
      <c r="G2014" s="199" cm="1">
        <f t="array" ref="G2014">IFERROR(SUMPRODUCT(('Production Inputs'!$A:$A="188mg LP - EU Stock")*('Production Inputs'!$B:$B="TOTAL ACTIVE")*'Production Inputs'!$AZ:$AZ),0)</f>
        <v>0</v>
      </c>
      <c r="H2014" s="199">
        <f t="shared" si="235"/>
        <v>0</v>
      </c>
      <c r="I2014" s="30">
        <f ca="1">IFERROR(AVERAGEIF(OFFSET(F2014,0,0,MIN(Controls!$B$8,COUNTIF(B2014:B$2152,B2014)),1),"&gt;"&amp;0),0)</f>
        <v>0</v>
      </c>
      <c r="J2014" s="38">
        <f t="shared" ca="1" si="236"/>
        <v>0</v>
      </c>
      <c r="K2014" s="30">
        <f t="shared" ca="1" si="237"/>
        <v>0</v>
      </c>
      <c r="L2014" t="str">
        <f t="shared" si="238"/>
        <v>High</v>
      </c>
      <c r="M2014" s="39">
        <f>IFERROR(VLOOKUP("188mg LP - EU Stock",Controls!A:I,7,0),6)</f>
        <v>9</v>
      </c>
      <c r="N2014" s="39">
        <f>IFERROR(VLOOKUP("188mg LP - EU Stock",Controls!A:I,8,0),3)</f>
        <v>8</v>
      </c>
      <c r="O2014" s="39">
        <f>IFERROR(VLOOKUP("188mg LP - EU Stock",Controls!A:I,9,0),18)</f>
        <v>18</v>
      </c>
      <c r="P2014" s="40">
        <f>IFERROR(VLOOKUP("188mg LP - EU Stock",Controls!A:J,5,0),0)</f>
        <v>16200</v>
      </c>
      <c r="Q2014" s="39">
        <f>IFERROR(VLOOKUP("188mg LP - EU Stock",Controls!A:J,6,0),3)</f>
        <v>3</v>
      </c>
      <c r="R2014" s="21" t="str">
        <f>IFERROR(VLOOKUP("188mg LP - EU Stock",Controls!A:K,10,0),"")</f>
        <v>Patheon (L&amp;P EU)</v>
      </c>
      <c r="S2014" s="41">
        <f t="shared" si="239"/>
        <v>47178</v>
      </c>
      <c r="T2014" s="30">
        <f t="shared" si="240"/>
        <v>0</v>
      </c>
      <c r="W2014" s="205" t="s">
        <v>998</v>
      </c>
      <c r="X2014" t="str" cm="1">
        <f t="array" ref="X2014">IF(40&lt;Controls!$B$7,INDEX(F1974:F2152,MATCH(Controls!$B$5,A1974:A2152,1)+40),"")</f>
        <v/>
      </c>
      <c r="Y2014" t="str" cm="1">
        <f t="array" ref="Y2014">IF(40&lt;Controls!$B$7,INDEX(G1974:G2152,MATCH(Controls!$B$5,A1974:A2152,1)+40),"")</f>
        <v/>
      </c>
      <c r="Z2014" t="str" cm="1">
        <f t="array" ref="Z2014">IF(40&lt;Controls!$B$7,INDEX(H1974:H2152,MATCH(Controls!$B$5,A1974:A2152,1)+40),"")</f>
        <v/>
      </c>
      <c r="AA2014" t="str" cm="1">
        <f t="array" ref="AA2014">IF(40&lt;Controls!$B$7,INDEX(M1974:M2152,MATCH(Controls!$B$5,A1974:A2152,1)+40)*INDEX(I1974:I2152,MATCH(Controls!$B$5,A1974:A2152,1)+40),"")</f>
        <v/>
      </c>
      <c r="AB2014">
        <f t="shared" si="241"/>
        <v>0</v>
      </c>
    </row>
    <row r="2015" spans="1:28" x14ac:dyDescent="0.35">
      <c r="A2015" s="153">
        <v>47300</v>
      </c>
      <c r="B2015" s="155" t="s">
        <v>959</v>
      </c>
      <c r="C2015" s="15" t="s">
        <v>28</v>
      </c>
      <c r="D2015" s="15" t="s">
        <v>29</v>
      </c>
      <c r="E2015" s="199">
        <f>H2014</f>
        <v>0</v>
      </c>
      <c r="F2015" s="199">
        <f>IFERROR(SUMIFS('Demand Inputs'!$AU$5:$AU$202,'Demand Inputs'!$A$5:$A$202,"188mg LP - EU Stock",'Demand Inputs'!$B$5:$B$202,"&lt;&gt;AGGREGATE",'Demand Inputs'!$E$5:$E$202,1),0)</f>
        <v>0</v>
      </c>
      <c r="G2015" s="199" cm="1">
        <f t="array" ref="G2015">IFERROR(SUMPRODUCT(('Production Inputs'!$A:$A="188mg LP - EU Stock")*('Production Inputs'!$B:$B="TOTAL ACTIVE")*'Production Inputs'!$BA:$BA),0)</f>
        <v>0</v>
      </c>
      <c r="H2015" s="199">
        <f t="shared" si="235"/>
        <v>0</v>
      </c>
      <c r="I2015" s="30">
        <f ca="1">IFERROR(AVERAGEIF(OFFSET(F2015,0,0,MIN(Controls!$B$8,COUNTIF(B2015:B$2152,B2015)),1),"&gt;"&amp;0),0)</f>
        <v>0</v>
      </c>
      <c r="J2015" s="38">
        <f t="shared" ca="1" si="236"/>
        <v>0</v>
      </c>
      <c r="K2015" s="30">
        <f t="shared" ca="1" si="237"/>
        <v>0</v>
      </c>
      <c r="L2015" t="str">
        <f t="shared" si="238"/>
        <v>High</v>
      </c>
      <c r="M2015" s="39">
        <f>IFERROR(VLOOKUP("188mg LP - EU Stock",Controls!A:I,7,0),6)</f>
        <v>9</v>
      </c>
      <c r="N2015" s="39">
        <f>IFERROR(VLOOKUP("188mg LP - EU Stock",Controls!A:I,8,0),3)</f>
        <v>8</v>
      </c>
      <c r="O2015" s="39">
        <f>IFERROR(VLOOKUP("188mg LP - EU Stock",Controls!A:I,9,0),18)</f>
        <v>18</v>
      </c>
      <c r="P2015" s="40">
        <f>IFERROR(VLOOKUP("188mg LP - EU Stock",Controls!A:J,5,0),0)</f>
        <v>16200</v>
      </c>
      <c r="Q2015" s="39">
        <f>IFERROR(VLOOKUP("188mg LP - EU Stock",Controls!A:J,6,0),3)</f>
        <v>3</v>
      </c>
      <c r="R2015" s="21" t="str">
        <f>IFERROR(VLOOKUP("188mg LP - EU Stock",Controls!A:K,10,0),"")</f>
        <v>Patheon (L&amp;P EU)</v>
      </c>
      <c r="S2015" s="41">
        <f t="shared" si="239"/>
        <v>47209</v>
      </c>
      <c r="T2015" s="30">
        <f t="shared" si="240"/>
        <v>0</v>
      </c>
      <c r="W2015" s="205" t="s">
        <v>999</v>
      </c>
      <c r="X2015" t="str" cm="1">
        <f t="array" ref="X2015">IF(41&lt;Controls!$B$7,INDEX(F1974:F2152,MATCH(Controls!$B$5,A1974:A2152,1)+41),"")</f>
        <v/>
      </c>
      <c r="Y2015" t="str" cm="1">
        <f t="array" ref="Y2015">IF(41&lt;Controls!$B$7,INDEX(G1974:G2152,MATCH(Controls!$B$5,A1974:A2152,1)+41),"")</f>
        <v/>
      </c>
      <c r="Z2015" t="str" cm="1">
        <f t="array" ref="Z2015">IF(41&lt;Controls!$B$7,INDEX(H1974:H2152,MATCH(Controls!$B$5,A1974:A2152,1)+41),"")</f>
        <v/>
      </c>
      <c r="AA2015" t="str" cm="1">
        <f t="array" ref="AA2015">IF(41&lt;Controls!$B$7,INDEX(M1974:M2152,MATCH(Controls!$B$5,A1974:A2152,1)+41)*INDEX(I1974:I2152,MATCH(Controls!$B$5,A1974:A2152,1)+41),"")</f>
        <v/>
      </c>
      <c r="AB2015">
        <f t="shared" si="241"/>
        <v>0</v>
      </c>
    </row>
    <row r="2016" spans="1:28" x14ac:dyDescent="0.35">
      <c r="A2016" s="153">
        <v>47331</v>
      </c>
      <c r="B2016" s="155" t="s">
        <v>959</v>
      </c>
      <c r="C2016" s="15" t="s">
        <v>28</v>
      </c>
      <c r="D2016" s="15" t="s">
        <v>29</v>
      </c>
      <c r="E2016" s="199">
        <f>H2015</f>
        <v>0</v>
      </c>
      <c r="F2016" s="199">
        <f>IFERROR(SUMIFS('Demand Inputs'!$AV$5:$AV$202,'Demand Inputs'!$A$5:$A$202,"188mg LP - EU Stock",'Demand Inputs'!$B$5:$B$202,"&lt;&gt;AGGREGATE",'Demand Inputs'!$E$5:$E$202,1),0)</f>
        <v>0</v>
      </c>
      <c r="G2016" s="199" cm="1">
        <f t="array" ref="G2016">IFERROR(SUMPRODUCT(('Production Inputs'!$A:$A="188mg LP - EU Stock")*('Production Inputs'!$B:$B="TOTAL ACTIVE")*'Production Inputs'!$BB:$BB),0)</f>
        <v>0</v>
      </c>
      <c r="H2016" s="199">
        <f t="shared" si="235"/>
        <v>0</v>
      </c>
      <c r="I2016" s="30">
        <f ca="1">IFERROR(AVERAGEIF(OFFSET(F2016,0,0,MIN(Controls!$B$8,COUNTIF(B2016:B$2152,B2016)),1),"&gt;"&amp;0),0)</f>
        <v>0</v>
      </c>
      <c r="J2016" s="38">
        <f t="shared" ca="1" si="236"/>
        <v>0</v>
      </c>
      <c r="K2016" s="30">
        <f t="shared" ca="1" si="237"/>
        <v>0</v>
      </c>
      <c r="L2016" t="str">
        <f t="shared" si="238"/>
        <v>High</v>
      </c>
      <c r="M2016" s="39">
        <f>IFERROR(VLOOKUP("188mg LP - EU Stock",Controls!A:I,7,0),6)</f>
        <v>9</v>
      </c>
      <c r="N2016" s="39">
        <f>IFERROR(VLOOKUP("188mg LP - EU Stock",Controls!A:I,8,0),3)</f>
        <v>8</v>
      </c>
      <c r="O2016" s="39">
        <f>IFERROR(VLOOKUP("188mg LP - EU Stock",Controls!A:I,9,0),18)</f>
        <v>18</v>
      </c>
      <c r="P2016" s="40">
        <f>IFERROR(VLOOKUP("188mg LP - EU Stock",Controls!A:J,5,0),0)</f>
        <v>16200</v>
      </c>
      <c r="Q2016" s="39">
        <f>IFERROR(VLOOKUP("188mg LP - EU Stock",Controls!A:J,6,0),3)</f>
        <v>3</v>
      </c>
      <c r="R2016" s="21" t="str">
        <f>IFERROR(VLOOKUP("188mg LP - EU Stock",Controls!A:K,10,0),"")</f>
        <v>Patheon (L&amp;P EU)</v>
      </c>
      <c r="S2016" s="41">
        <f t="shared" si="239"/>
        <v>47239</v>
      </c>
      <c r="T2016" s="30">
        <f t="shared" si="240"/>
        <v>0</v>
      </c>
      <c r="W2016" s="205" t="str" cm="1">
        <f t="array" ref="W2016">IF(42&lt;Controls!$B$7,TEXT(INDEX(A1974:A2152,MATCH(Controls!$B$5,A1974:A2152,1)+42),"MMM-YY"),"")</f>
        <v/>
      </c>
      <c r="X2016" t="str" cm="1">
        <f t="array" ref="X2016">IF(42&lt;Controls!$B$7,INDEX(F1974:F2152,MATCH(Controls!$B$5,A1974:A2152,1)+42),"")</f>
        <v/>
      </c>
      <c r="Y2016" t="str" cm="1">
        <f t="array" ref="Y2016">IF(42&lt;Controls!$B$7,INDEX(G1974:G2152,MATCH(Controls!$B$5,A1974:A2152,1)+42),"")</f>
        <v/>
      </c>
      <c r="Z2016" t="str" cm="1">
        <f t="array" ref="Z2016">IF(42&lt;Controls!$B$7,INDEX(H1974:H2152,MATCH(Controls!$B$5,A1974:A2152,1)+42),"")</f>
        <v/>
      </c>
      <c r="AA2016" t="str" cm="1">
        <f t="array" ref="AA2016">IF(42&lt;Controls!$B$7,INDEX(M1974:M2152,MATCH(Controls!$B$5,A1974:A2152,1)+42)*INDEX(I1974:I2152,MATCH(Controls!$B$5,A1974:A2152,1)+42),"")</f>
        <v/>
      </c>
      <c r="AB2016">
        <f t="shared" si="241"/>
        <v>0</v>
      </c>
    </row>
    <row r="2017" spans="1:28" x14ac:dyDescent="0.35">
      <c r="A2017" s="153">
        <v>47362</v>
      </c>
      <c r="B2017" s="155" t="s">
        <v>959</v>
      </c>
      <c r="C2017" s="15" t="s">
        <v>28</v>
      </c>
      <c r="D2017" s="15" t="s">
        <v>29</v>
      </c>
      <c r="E2017" s="199">
        <f>H2016</f>
        <v>0</v>
      </c>
      <c r="F2017" s="199">
        <f>IFERROR(SUMIFS('Demand Inputs'!$AW$5:$AW$202,'Demand Inputs'!$A$5:$A$202,"188mg LP - EU Stock",'Demand Inputs'!$B$5:$B$202,"&lt;&gt;AGGREGATE",'Demand Inputs'!$E$5:$E$202,1),0)</f>
        <v>0</v>
      </c>
      <c r="G2017" s="199" cm="1">
        <f t="array" ref="G2017">IFERROR(SUMPRODUCT(('Production Inputs'!$A:$A="188mg LP - EU Stock")*('Production Inputs'!$B:$B="TOTAL ACTIVE")*'Production Inputs'!$BC:$BC),0)</f>
        <v>0</v>
      </c>
      <c r="H2017" s="199">
        <f t="shared" si="235"/>
        <v>0</v>
      </c>
      <c r="I2017" s="30">
        <f ca="1">IFERROR(AVERAGEIF(OFFSET(F2017,0,0,MIN(Controls!$B$8,COUNTIF(B2017:B$2152,B2017)),1),"&gt;"&amp;0),0)</f>
        <v>0</v>
      </c>
      <c r="J2017" s="38">
        <f t="shared" ca="1" si="236"/>
        <v>0</v>
      </c>
      <c r="K2017" s="30">
        <f t="shared" ca="1" si="237"/>
        <v>0</v>
      </c>
      <c r="L2017" t="str">
        <f t="shared" si="238"/>
        <v>High</v>
      </c>
      <c r="M2017" s="39">
        <f>IFERROR(VLOOKUP("188mg LP - EU Stock",Controls!A:I,7,0),6)</f>
        <v>9</v>
      </c>
      <c r="N2017" s="39">
        <f>IFERROR(VLOOKUP("188mg LP - EU Stock",Controls!A:I,8,0),3)</f>
        <v>8</v>
      </c>
      <c r="O2017" s="39">
        <f>IFERROR(VLOOKUP("188mg LP - EU Stock",Controls!A:I,9,0),18)</f>
        <v>18</v>
      </c>
      <c r="P2017" s="40">
        <f>IFERROR(VLOOKUP("188mg LP - EU Stock",Controls!A:J,5,0),0)</f>
        <v>16200</v>
      </c>
      <c r="Q2017" s="39">
        <f>IFERROR(VLOOKUP("188mg LP - EU Stock",Controls!A:J,6,0),3)</f>
        <v>3</v>
      </c>
      <c r="R2017" s="21" t="str">
        <f>IFERROR(VLOOKUP("188mg LP - EU Stock",Controls!A:K,10,0),"")</f>
        <v>Patheon (L&amp;P EU)</v>
      </c>
      <c r="S2017" s="41">
        <f t="shared" si="239"/>
        <v>47270</v>
      </c>
      <c r="T2017" s="30">
        <f t="shared" si="240"/>
        <v>0</v>
      </c>
      <c r="W2017" s="205" t="str" cm="1">
        <f t="array" ref="W2017">IF(43&lt;Controls!$B$7,TEXT(INDEX(A1974:A2152,MATCH(Controls!$B$5,A1974:A2152,1)+43),"MMM-YY"),"")</f>
        <v/>
      </c>
      <c r="X2017" t="str" cm="1">
        <f t="array" ref="X2017">IF(43&lt;Controls!$B$7,INDEX(F1974:F2152,MATCH(Controls!$B$5,A1974:A2152,1)+43),"")</f>
        <v/>
      </c>
      <c r="Y2017" t="str" cm="1">
        <f t="array" ref="Y2017">IF(43&lt;Controls!$B$7,INDEX(G1974:G2152,MATCH(Controls!$B$5,A1974:A2152,1)+43),"")</f>
        <v/>
      </c>
      <c r="Z2017" t="str" cm="1">
        <f t="array" ref="Z2017">IF(43&lt;Controls!$B$7,INDEX(H1974:H2152,MATCH(Controls!$B$5,A1974:A2152,1)+43),"")</f>
        <v/>
      </c>
      <c r="AA2017" t="str" cm="1">
        <f t="array" ref="AA2017">IF(43&lt;Controls!$B$7,INDEX(M1974:M2152,MATCH(Controls!$B$5,A1974:A2152,1)+43)*INDEX(I1974:I2152,MATCH(Controls!$B$5,A1974:A2152,1)+43),"")</f>
        <v/>
      </c>
      <c r="AB2017">
        <f t="shared" si="241"/>
        <v>0</v>
      </c>
    </row>
    <row r="2018" spans="1:28" x14ac:dyDescent="0.35">
      <c r="A2018" s="153">
        <v>47392</v>
      </c>
      <c r="B2018" s="155" t="s">
        <v>959</v>
      </c>
      <c r="C2018" s="15" t="s">
        <v>28</v>
      </c>
      <c r="D2018" s="15" t="s">
        <v>29</v>
      </c>
      <c r="E2018" s="199">
        <f>H2017</f>
        <v>0</v>
      </c>
      <c r="F2018" s="199">
        <f>IFERROR(SUMIFS('Demand Inputs'!$AX$5:$AX$202,'Demand Inputs'!$A$5:$A$202,"188mg LP - EU Stock",'Demand Inputs'!$B$5:$B$202,"&lt;&gt;AGGREGATE",'Demand Inputs'!$E$5:$E$202,1),0)</f>
        <v>0</v>
      </c>
      <c r="G2018" s="199" cm="1">
        <f t="array" ref="G2018">IFERROR(SUMPRODUCT(('Production Inputs'!$A:$A="188mg LP - EU Stock")*('Production Inputs'!$B:$B="TOTAL ACTIVE")*'Production Inputs'!$BD:$BD),0)</f>
        <v>0</v>
      </c>
      <c r="H2018" s="199">
        <f t="shared" si="235"/>
        <v>0</v>
      </c>
      <c r="I2018" s="30">
        <f ca="1">IFERROR(AVERAGEIF(OFFSET(F2018,0,0,MIN(Controls!$B$8,COUNTIF(B2018:B$2152,B2018)),1),"&gt;"&amp;0),0)</f>
        <v>0</v>
      </c>
      <c r="J2018" s="38">
        <f t="shared" ca="1" si="236"/>
        <v>0</v>
      </c>
      <c r="K2018" s="30">
        <f t="shared" ca="1" si="237"/>
        <v>0</v>
      </c>
      <c r="L2018" t="str">
        <f t="shared" si="238"/>
        <v>High</v>
      </c>
      <c r="M2018" s="39">
        <f>IFERROR(VLOOKUP("188mg LP - EU Stock",Controls!A:I,7,0),6)</f>
        <v>9</v>
      </c>
      <c r="N2018" s="39">
        <f>IFERROR(VLOOKUP("188mg LP - EU Stock",Controls!A:I,8,0),3)</f>
        <v>8</v>
      </c>
      <c r="O2018" s="39">
        <f>IFERROR(VLOOKUP("188mg LP - EU Stock",Controls!A:I,9,0),18)</f>
        <v>18</v>
      </c>
      <c r="P2018" s="40">
        <f>IFERROR(VLOOKUP("188mg LP - EU Stock",Controls!A:J,5,0),0)</f>
        <v>16200</v>
      </c>
      <c r="Q2018" s="39">
        <f>IFERROR(VLOOKUP("188mg LP - EU Stock",Controls!A:J,6,0),3)</f>
        <v>3</v>
      </c>
      <c r="R2018" s="21" t="str">
        <f>IFERROR(VLOOKUP("188mg LP - EU Stock",Controls!A:K,10,0),"")</f>
        <v>Patheon (L&amp;P EU)</v>
      </c>
      <c r="S2018" s="41">
        <f t="shared" si="239"/>
        <v>47300</v>
      </c>
      <c r="T2018" s="30">
        <f t="shared" si="240"/>
        <v>0</v>
      </c>
      <c r="V2018" t="s">
        <v>937</v>
      </c>
      <c r="W2018" s="205" t="str" cm="1">
        <f t="array" ref="W2018">IF(44&lt;Controls!$B$7,TEXT(INDEX(A1974:A2152,MATCH(Controls!$B$5,A1974:A2152,1)+44),"MMM-YY"),"")</f>
        <v/>
      </c>
      <c r="X2018" t="str" cm="1">
        <f t="array" ref="X2018">IF(44&lt;Controls!$B$7,INDEX(F1974:F2152,MATCH(Controls!$B$5,A1974:A2152,1)+44),"")</f>
        <v/>
      </c>
      <c r="Y2018" t="str" cm="1">
        <f t="array" ref="Y2018">IF(44&lt;Controls!$B$7,INDEX(G1974:G2152,MATCH(Controls!$B$5,A1974:A2152,1)+44),"")</f>
        <v/>
      </c>
      <c r="Z2018" t="str" cm="1">
        <f t="array" ref="Z2018">IF(44&lt;Controls!$B$7,INDEX(H1974:H2152,MATCH(Controls!$B$5,A1974:A2152,1)+44),"")</f>
        <v/>
      </c>
      <c r="AA2018" t="str" cm="1">
        <f t="array" ref="AA2018">IF(44&lt;Controls!$B$7,INDEX(M1974:M2152,MATCH(Controls!$B$5,A1974:A2152,1)+44)*INDEX(I1974:I2152,MATCH(Controls!$B$5,A1974:A2152,1)+44),"")</f>
        <v/>
      </c>
      <c r="AB2018">
        <f t="shared" si="241"/>
        <v>0</v>
      </c>
    </row>
    <row r="2019" spans="1:28" x14ac:dyDescent="0.35">
      <c r="A2019" s="153">
        <v>47423</v>
      </c>
      <c r="B2019" s="155" t="s">
        <v>959</v>
      </c>
      <c r="C2019" s="15" t="s">
        <v>28</v>
      </c>
      <c r="D2019" s="15" t="s">
        <v>29</v>
      </c>
      <c r="E2019" s="199">
        <f>H2018</f>
        <v>0</v>
      </c>
      <c r="F2019" s="199">
        <f>IFERROR(SUMIFS('Demand Inputs'!$AY$5:$AY$202,'Demand Inputs'!$A$5:$A$202,"188mg LP - EU Stock",'Demand Inputs'!$B$5:$B$202,"&lt;&gt;AGGREGATE",'Demand Inputs'!$E$5:$E$202,1),0)</f>
        <v>0</v>
      </c>
      <c r="G2019" s="199" cm="1">
        <f t="array" ref="G2019">IFERROR(SUMPRODUCT(('Production Inputs'!$A:$A="188mg LP - EU Stock")*('Production Inputs'!$B:$B="TOTAL ACTIVE")*'Production Inputs'!$BE:$BE),0)</f>
        <v>0</v>
      </c>
      <c r="H2019" s="199">
        <f t="shared" si="235"/>
        <v>0</v>
      </c>
      <c r="I2019" s="30">
        <f ca="1">IFERROR(AVERAGEIF(OFFSET(F2019,0,0,MIN(Controls!$B$8,COUNTIF(B2019:B$2152,B2019)),1),"&gt;"&amp;0),0)</f>
        <v>0</v>
      </c>
      <c r="J2019" s="38">
        <f t="shared" ca="1" si="236"/>
        <v>0</v>
      </c>
      <c r="K2019" s="30">
        <f t="shared" ca="1" si="237"/>
        <v>0</v>
      </c>
      <c r="L2019" t="str">
        <f t="shared" si="238"/>
        <v>High</v>
      </c>
      <c r="M2019" s="39">
        <f>IFERROR(VLOOKUP("188mg LP - EU Stock",Controls!A:I,7,0),6)</f>
        <v>9</v>
      </c>
      <c r="N2019" s="39">
        <f>IFERROR(VLOOKUP("188mg LP - EU Stock",Controls!A:I,8,0),3)</f>
        <v>8</v>
      </c>
      <c r="O2019" s="39">
        <f>IFERROR(VLOOKUP("188mg LP - EU Stock",Controls!A:I,9,0),18)</f>
        <v>18</v>
      </c>
      <c r="P2019" s="40">
        <f>IFERROR(VLOOKUP("188mg LP - EU Stock",Controls!A:J,5,0),0)</f>
        <v>16200</v>
      </c>
      <c r="Q2019" s="39">
        <f>IFERROR(VLOOKUP("188mg LP - EU Stock",Controls!A:J,6,0),3)</f>
        <v>3</v>
      </c>
      <c r="R2019" s="21" t="str">
        <f>IFERROR(VLOOKUP("188mg LP - EU Stock",Controls!A:K,10,0),"")</f>
        <v>Patheon (L&amp;P EU)</v>
      </c>
      <c r="S2019" s="41">
        <f t="shared" si="239"/>
        <v>47331</v>
      </c>
      <c r="T2019" s="30">
        <f t="shared" si="240"/>
        <v>0</v>
      </c>
      <c r="W2019" s="205" t="s">
        <v>1000</v>
      </c>
      <c r="X2019" t="str" cm="1">
        <f t="array" ref="X2019">IF(45&lt;Controls!$B$7,INDEX(F1974:F2152,MATCH(Controls!$B$5,A1974:A2152,1)+45),"")</f>
        <v/>
      </c>
      <c r="Y2019" t="str" cm="1">
        <f t="array" ref="Y2019">IF(45&lt;Controls!$B$7,INDEX(G1974:G2152,MATCH(Controls!$B$5,A1974:A2152,1)+45),"")</f>
        <v/>
      </c>
      <c r="Z2019" t="str" cm="1">
        <f t="array" ref="Z2019">IF(45&lt;Controls!$B$7,INDEX(H1974:H2152,MATCH(Controls!$B$5,A1974:A2152,1)+45),"")</f>
        <v/>
      </c>
      <c r="AA2019" t="str" cm="1">
        <f t="array" ref="AA2019">IF(45&lt;Controls!$B$7,INDEX(M1974:M2152,MATCH(Controls!$B$5,A1974:A2152,1)+45)*INDEX(I1974:I2152,MATCH(Controls!$B$5,A1974:A2152,1)+45),"")</f>
        <v/>
      </c>
      <c r="AB2019">
        <f t="shared" si="241"/>
        <v>0</v>
      </c>
    </row>
    <row r="2020" spans="1:28" x14ac:dyDescent="0.35">
      <c r="A2020" s="153">
        <v>47453</v>
      </c>
      <c r="B2020" s="155" t="s">
        <v>959</v>
      </c>
      <c r="C2020" s="15" t="s">
        <v>28</v>
      </c>
      <c r="D2020" s="15" t="s">
        <v>29</v>
      </c>
      <c r="E2020" s="199">
        <f>H2019</f>
        <v>0</v>
      </c>
      <c r="F2020" s="199">
        <f>IFERROR(SUMIFS('Demand Inputs'!$AZ$5:$AZ$202,'Demand Inputs'!$A$5:$A$202,"188mg LP - EU Stock",'Demand Inputs'!$B$5:$B$202,"&lt;&gt;AGGREGATE",'Demand Inputs'!$E$5:$E$202,1),0)</f>
        <v>0</v>
      </c>
      <c r="G2020" s="199" cm="1">
        <f t="array" ref="G2020">IFERROR(SUMPRODUCT(('Production Inputs'!$A:$A="188mg LP - EU Stock")*('Production Inputs'!$B:$B="TOTAL ACTIVE")*'Production Inputs'!$BF:$BF),0)</f>
        <v>0</v>
      </c>
      <c r="H2020" s="199">
        <f t="shared" si="235"/>
        <v>0</v>
      </c>
      <c r="I2020" s="30">
        <f ca="1">IFERROR(AVERAGEIF(OFFSET(F2020,0,0,MIN(Controls!$B$8,COUNTIF(B2020:B$2152,B2020)),1),"&gt;"&amp;0),0)</f>
        <v>0</v>
      </c>
      <c r="J2020" s="38">
        <f t="shared" ca="1" si="236"/>
        <v>0</v>
      </c>
      <c r="K2020" s="30">
        <f t="shared" ca="1" si="237"/>
        <v>0</v>
      </c>
      <c r="L2020" t="str">
        <f t="shared" si="238"/>
        <v>High</v>
      </c>
      <c r="M2020" s="39">
        <f>IFERROR(VLOOKUP("188mg LP - EU Stock",Controls!A:I,7,0),6)</f>
        <v>9</v>
      </c>
      <c r="N2020" s="39">
        <f>IFERROR(VLOOKUP("188mg LP - EU Stock",Controls!A:I,8,0),3)</f>
        <v>8</v>
      </c>
      <c r="O2020" s="39">
        <f>IFERROR(VLOOKUP("188mg LP - EU Stock",Controls!A:I,9,0),18)</f>
        <v>18</v>
      </c>
      <c r="P2020" s="40">
        <f>IFERROR(VLOOKUP("188mg LP - EU Stock",Controls!A:J,5,0),0)</f>
        <v>16200</v>
      </c>
      <c r="Q2020" s="39">
        <f>IFERROR(VLOOKUP("188mg LP - EU Stock",Controls!A:J,6,0),3)</f>
        <v>3</v>
      </c>
      <c r="R2020" s="21" t="str">
        <f>IFERROR(VLOOKUP("188mg LP - EU Stock",Controls!A:K,10,0),"")</f>
        <v>Patheon (L&amp;P EU)</v>
      </c>
      <c r="S2020" s="41">
        <f t="shared" si="239"/>
        <v>47362</v>
      </c>
      <c r="T2020" s="30">
        <f t="shared" si="240"/>
        <v>0</v>
      </c>
      <c r="W2020" s="205" t="s">
        <v>1001</v>
      </c>
      <c r="X2020" t="str" cm="1">
        <f t="array" ref="X2020">IF(46&lt;Controls!$B$7,INDEX(F1974:F2152,MATCH(Controls!$B$5,A1974:A2152,1)+46),"")</f>
        <v/>
      </c>
      <c r="Y2020" t="str" cm="1">
        <f t="array" ref="Y2020">IF(46&lt;Controls!$B$7,INDEX(G1974:G2152,MATCH(Controls!$B$5,A1974:A2152,1)+46),"")</f>
        <v/>
      </c>
      <c r="Z2020" t="str" cm="1">
        <f t="array" ref="Z2020">IF(46&lt;Controls!$B$7,INDEX(H1974:H2152,MATCH(Controls!$B$5,A1974:A2152,1)+46),"")</f>
        <v/>
      </c>
      <c r="AA2020" t="str" cm="1">
        <f t="array" ref="AA2020">IF(46&lt;Controls!$B$7,INDEX(M1974:M2152,MATCH(Controls!$B$5,A1974:A2152,1)+46)*INDEX(I1974:I2152,MATCH(Controls!$B$5,A1974:A2152,1)+46),"")</f>
        <v/>
      </c>
      <c r="AB2020">
        <f t="shared" si="241"/>
        <v>0</v>
      </c>
    </row>
    <row r="2021" spans="1:28" x14ac:dyDescent="0.35">
      <c r="A2021" s="153">
        <v>47484</v>
      </c>
      <c r="B2021" s="155" t="s">
        <v>959</v>
      </c>
      <c r="C2021" s="15" t="s">
        <v>28</v>
      </c>
      <c r="D2021" s="15" t="s">
        <v>29</v>
      </c>
      <c r="E2021" s="199">
        <f>H2020</f>
        <v>0</v>
      </c>
      <c r="F2021" s="199">
        <f>IFERROR(SUMIFS('Demand Inputs'!$BA$5:$BA$202,'Demand Inputs'!$A$5:$A$202,"188mg LP - EU Stock",'Demand Inputs'!$B$5:$B$202,"&lt;&gt;AGGREGATE",'Demand Inputs'!$E$5:$E$202,1),0)</f>
        <v>0</v>
      </c>
      <c r="G2021" s="199" cm="1">
        <f t="array" ref="G2021">IFERROR(SUMPRODUCT(('Production Inputs'!$A:$A="188mg LP - EU Stock")*('Production Inputs'!$B:$B="TOTAL ACTIVE")*'Production Inputs'!$BG:$BG),0)</f>
        <v>0</v>
      </c>
      <c r="H2021" s="199">
        <f t="shared" si="235"/>
        <v>0</v>
      </c>
      <c r="I2021" s="30">
        <f ca="1">IFERROR(AVERAGEIF(OFFSET(F2021,0,0,MIN(Controls!$B$8,COUNTIF(B2021:B$2152,B2021)),1),"&gt;"&amp;0),0)</f>
        <v>0</v>
      </c>
      <c r="J2021" s="38">
        <f t="shared" ca="1" si="236"/>
        <v>0</v>
      </c>
      <c r="K2021" s="30">
        <f t="shared" ca="1" si="237"/>
        <v>0</v>
      </c>
      <c r="L2021" t="str">
        <f t="shared" si="238"/>
        <v>High</v>
      </c>
      <c r="M2021" s="39">
        <f>IFERROR(VLOOKUP("188mg LP - EU Stock",Controls!A:I,7,0),6)</f>
        <v>9</v>
      </c>
      <c r="N2021" s="39">
        <f>IFERROR(VLOOKUP("188mg LP - EU Stock",Controls!A:I,8,0),3)</f>
        <v>8</v>
      </c>
      <c r="O2021" s="39">
        <f>IFERROR(VLOOKUP("188mg LP - EU Stock",Controls!A:I,9,0),18)</f>
        <v>18</v>
      </c>
      <c r="P2021" s="40">
        <f>IFERROR(VLOOKUP("188mg LP - EU Stock",Controls!A:J,5,0),0)</f>
        <v>16200</v>
      </c>
      <c r="Q2021" s="39">
        <f>IFERROR(VLOOKUP("188mg LP - EU Stock",Controls!A:J,6,0),3)</f>
        <v>3</v>
      </c>
      <c r="R2021" s="21" t="str">
        <f>IFERROR(VLOOKUP("188mg LP - EU Stock",Controls!A:K,10,0),"")</f>
        <v>Patheon (L&amp;P EU)</v>
      </c>
      <c r="S2021" s="41">
        <f t="shared" si="239"/>
        <v>47392</v>
      </c>
      <c r="T2021" s="30">
        <f t="shared" si="240"/>
        <v>0</v>
      </c>
      <c r="W2021" s="205" t="s">
        <v>1002</v>
      </c>
      <c r="X2021" t="str" cm="1">
        <f t="array" ref="X2021">IF(47&lt;Controls!$B$7,INDEX(F1974:F2152,MATCH(Controls!$B$5,A1974:A2152,1)+47),"")</f>
        <v/>
      </c>
      <c r="Y2021" t="str" cm="1">
        <f t="array" ref="Y2021">IF(47&lt;Controls!$B$7,INDEX(G1974:G2152,MATCH(Controls!$B$5,A1974:A2152,1)+47),"")</f>
        <v/>
      </c>
      <c r="Z2021" t="str" cm="1">
        <f t="array" ref="Z2021">IF(47&lt;Controls!$B$7,INDEX(H1974:H2152,MATCH(Controls!$B$5,A1974:A2152,1)+47),"")</f>
        <v/>
      </c>
      <c r="AA2021" t="str" cm="1">
        <f t="array" ref="AA2021">IF(47&lt;Controls!$B$7,INDEX(M1974:M2152,MATCH(Controls!$B$5,A1974:A2152,1)+47)*INDEX(I1974:I2152,MATCH(Controls!$B$5,A1974:A2152,1)+47),"")</f>
        <v/>
      </c>
      <c r="AB2021">
        <f t="shared" si="241"/>
        <v>0</v>
      </c>
    </row>
    <row r="2022" spans="1:28" x14ac:dyDescent="0.35">
      <c r="A2022" s="153">
        <v>47515</v>
      </c>
      <c r="B2022" s="155" t="s">
        <v>959</v>
      </c>
      <c r="C2022" s="15" t="s">
        <v>28</v>
      </c>
      <c r="D2022" s="15" t="s">
        <v>29</v>
      </c>
      <c r="E2022" s="199">
        <f>H2021</f>
        <v>0</v>
      </c>
      <c r="F2022" s="199">
        <f>IFERROR(SUMIFS('Demand Inputs'!$BB$5:$BB$202,'Demand Inputs'!$A$5:$A$202,"188mg LP - EU Stock",'Demand Inputs'!$B$5:$B$202,"&lt;&gt;AGGREGATE",'Demand Inputs'!$E$5:$E$202,1),0)</f>
        <v>0</v>
      </c>
      <c r="G2022" s="199" cm="1">
        <f t="array" ref="G2022">IFERROR(SUMPRODUCT(('Production Inputs'!$A:$A="188mg LP - EU Stock")*('Production Inputs'!$B:$B="TOTAL ACTIVE")*'Production Inputs'!$BH:$BH),0)</f>
        <v>0</v>
      </c>
      <c r="H2022" s="199">
        <f t="shared" si="235"/>
        <v>0</v>
      </c>
      <c r="I2022" s="30">
        <f ca="1">IFERROR(AVERAGEIF(OFFSET(F2022,0,0,MIN(Controls!$B$8,COUNTIF(B2022:B$2152,B2022)),1),"&gt;"&amp;0),0)</f>
        <v>0</v>
      </c>
      <c r="J2022" s="38">
        <f t="shared" ca="1" si="236"/>
        <v>0</v>
      </c>
      <c r="K2022" s="30">
        <f t="shared" ca="1" si="237"/>
        <v>0</v>
      </c>
      <c r="L2022" t="str">
        <f t="shared" si="238"/>
        <v>High</v>
      </c>
      <c r="M2022" s="39">
        <f>IFERROR(VLOOKUP("188mg LP - EU Stock",Controls!A:I,7,0),6)</f>
        <v>9</v>
      </c>
      <c r="N2022" s="39">
        <f>IFERROR(VLOOKUP("188mg LP - EU Stock",Controls!A:I,8,0),3)</f>
        <v>8</v>
      </c>
      <c r="O2022" s="39">
        <f>IFERROR(VLOOKUP("188mg LP - EU Stock",Controls!A:I,9,0),18)</f>
        <v>18</v>
      </c>
      <c r="P2022" s="40">
        <f>IFERROR(VLOOKUP("188mg LP - EU Stock",Controls!A:J,5,0),0)</f>
        <v>16200</v>
      </c>
      <c r="Q2022" s="39">
        <f>IFERROR(VLOOKUP("188mg LP - EU Stock",Controls!A:J,6,0),3)</f>
        <v>3</v>
      </c>
      <c r="R2022" s="21" t="str">
        <f>IFERROR(VLOOKUP("188mg LP - EU Stock",Controls!A:K,10,0),"")</f>
        <v>Patheon (L&amp;P EU)</v>
      </c>
      <c r="S2022" s="41">
        <f t="shared" si="239"/>
        <v>47423</v>
      </c>
      <c r="T2022" s="30">
        <f t="shared" si="240"/>
        <v>0</v>
      </c>
      <c r="W2022" s="205" t="s">
        <v>1003</v>
      </c>
      <c r="X2022" t="str" cm="1">
        <f t="array" ref="X2022">IF(48&lt;Controls!$B$7,INDEX(F1974:F2152,MATCH(Controls!$B$5,A1974:A2152,1)+48),"")</f>
        <v/>
      </c>
      <c r="Y2022" t="str" cm="1">
        <f t="array" ref="Y2022">IF(48&lt;Controls!$B$7,INDEX(G1974:G2152,MATCH(Controls!$B$5,A1974:A2152,1)+48),"")</f>
        <v/>
      </c>
      <c r="Z2022" t="str" cm="1">
        <f t="array" ref="Z2022">IF(48&lt;Controls!$B$7,INDEX(H1974:H2152,MATCH(Controls!$B$5,A1974:A2152,1)+48),"")</f>
        <v/>
      </c>
      <c r="AA2022" t="str" cm="1">
        <f t="array" ref="AA2022">IF(48&lt;Controls!$B$7,INDEX(M1974:M2152,MATCH(Controls!$B$5,A1974:A2152,1)+48)*INDEX(I1974:I2152,MATCH(Controls!$B$5,A1974:A2152,1)+48),"")</f>
        <v/>
      </c>
      <c r="AB2022">
        <f t="shared" si="241"/>
        <v>0</v>
      </c>
    </row>
    <row r="2023" spans="1:28" x14ac:dyDescent="0.35">
      <c r="A2023" s="153">
        <v>47543</v>
      </c>
      <c r="B2023" s="155" t="s">
        <v>959</v>
      </c>
      <c r="C2023" s="15" t="s">
        <v>28</v>
      </c>
      <c r="D2023" s="15" t="s">
        <v>29</v>
      </c>
      <c r="E2023" s="199">
        <f>H2022</f>
        <v>0</v>
      </c>
      <c r="F2023" s="199">
        <f>IFERROR(SUMIFS('Demand Inputs'!$BC$5:$BC$202,'Demand Inputs'!$A$5:$A$202,"188mg LP - EU Stock",'Demand Inputs'!$B$5:$B$202,"&lt;&gt;AGGREGATE",'Demand Inputs'!$E$5:$E$202,1),0)</f>
        <v>0</v>
      </c>
      <c r="G2023" s="199" cm="1">
        <f t="array" ref="G2023">IFERROR(SUMPRODUCT(('Production Inputs'!$A:$A="188mg LP - EU Stock")*('Production Inputs'!$B:$B="TOTAL ACTIVE")*'Production Inputs'!$BI:$BI),0)</f>
        <v>0</v>
      </c>
      <c r="H2023" s="199">
        <f t="shared" si="235"/>
        <v>0</v>
      </c>
      <c r="I2023" s="30">
        <f ca="1">IFERROR(AVERAGEIF(OFFSET(F2023,0,0,MIN(Controls!$B$8,COUNTIF(B2023:B$2152,B2023)),1),"&gt;"&amp;0),0)</f>
        <v>0</v>
      </c>
      <c r="J2023" s="38">
        <f t="shared" ca="1" si="236"/>
        <v>0</v>
      </c>
      <c r="K2023" s="30">
        <f t="shared" ca="1" si="237"/>
        <v>0</v>
      </c>
      <c r="L2023" t="str">
        <f t="shared" si="238"/>
        <v>High</v>
      </c>
      <c r="M2023" s="39">
        <f>IFERROR(VLOOKUP("188mg LP - EU Stock",Controls!A:I,7,0),6)</f>
        <v>9</v>
      </c>
      <c r="N2023" s="39">
        <f>IFERROR(VLOOKUP("188mg LP - EU Stock",Controls!A:I,8,0),3)</f>
        <v>8</v>
      </c>
      <c r="O2023" s="39">
        <f>IFERROR(VLOOKUP("188mg LP - EU Stock",Controls!A:I,9,0),18)</f>
        <v>18</v>
      </c>
      <c r="P2023" s="40">
        <f>IFERROR(VLOOKUP("188mg LP - EU Stock",Controls!A:J,5,0),0)</f>
        <v>16200</v>
      </c>
      <c r="Q2023" s="39">
        <f>IFERROR(VLOOKUP("188mg LP - EU Stock",Controls!A:J,6,0),3)</f>
        <v>3</v>
      </c>
      <c r="R2023" s="21" t="str">
        <f>IFERROR(VLOOKUP("188mg LP - EU Stock",Controls!A:K,10,0),"")</f>
        <v>Patheon (L&amp;P EU)</v>
      </c>
      <c r="S2023" s="41">
        <f t="shared" si="239"/>
        <v>47453</v>
      </c>
      <c r="T2023" s="30">
        <f t="shared" si="240"/>
        <v>0</v>
      </c>
      <c r="W2023" s="205" t="s">
        <v>1004</v>
      </c>
      <c r="X2023" t="str" cm="1">
        <f t="array" ref="X2023">IF(49&lt;Controls!$B$7,INDEX(F1974:F2152,MATCH(Controls!$B$5,A1974:A2152,1)+49),"")</f>
        <v/>
      </c>
      <c r="Y2023" t="str" cm="1">
        <f t="array" ref="Y2023">IF(49&lt;Controls!$B$7,INDEX(G1974:G2152,MATCH(Controls!$B$5,A1974:A2152,1)+49),"")</f>
        <v/>
      </c>
      <c r="Z2023" t="str" cm="1">
        <f t="array" ref="Z2023">IF(49&lt;Controls!$B$7,INDEX(H1974:H2152,MATCH(Controls!$B$5,A1974:A2152,1)+49),"")</f>
        <v/>
      </c>
      <c r="AA2023" t="str" cm="1">
        <f t="array" ref="AA2023">IF(49&lt;Controls!$B$7,INDEX(M1974:M2152,MATCH(Controls!$B$5,A1974:A2152,1)+49)*INDEX(I1974:I2152,MATCH(Controls!$B$5,A1974:A2152,1)+49),"")</f>
        <v/>
      </c>
      <c r="AB2023">
        <f t="shared" si="241"/>
        <v>0</v>
      </c>
    </row>
    <row r="2024" spans="1:28" x14ac:dyDescent="0.35">
      <c r="A2024" s="153">
        <v>47574</v>
      </c>
      <c r="B2024" s="155" t="s">
        <v>959</v>
      </c>
      <c r="C2024" s="15" t="s">
        <v>28</v>
      </c>
      <c r="D2024" s="15" t="s">
        <v>29</v>
      </c>
      <c r="E2024" s="199">
        <f>H2023</f>
        <v>0</v>
      </c>
      <c r="F2024" s="199">
        <f>IFERROR(SUMIFS('Demand Inputs'!$BD$5:$BD$202,'Demand Inputs'!$A$5:$A$202,"188mg LP - EU Stock",'Demand Inputs'!$B$5:$B$202,"&lt;&gt;AGGREGATE",'Demand Inputs'!$E$5:$E$202,1),0)</f>
        <v>0</v>
      </c>
      <c r="G2024" s="199" cm="1">
        <f t="array" ref="G2024">IFERROR(SUMPRODUCT(('Production Inputs'!$A:$A="188mg LP - EU Stock")*('Production Inputs'!$B:$B="TOTAL ACTIVE")*'Production Inputs'!$BJ:$BJ),0)</f>
        <v>0</v>
      </c>
      <c r="H2024" s="199">
        <f t="shared" si="235"/>
        <v>0</v>
      </c>
      <c r="I2024" s="30">
        <f ca="1">IFERROR(AVERAGEIF(OFFSET(F2024,0,0,MIN(Controls!$B$8,COUNTIF(B2024:B$2152,B2024)),1),"&gt;"&amp;0),0)</f>
        <v>0</v>
      </c>
      <c r="J2024" s="38">
        <f t="shared" ca="1" si="236"/>
        <v>0</v>
      </c>
      <c r="K2024" s="30">
        <f t="shared" ca="1" si="237"/>
        <v>0</v>
      </c>
      <c r="L2024" t="str">
        <f t="shared" si="238"/>
        <v>High</v>
      </c>
      <c r="M2024" s="39">
        <f>IFERROR(VLOOKUP("188mg LP - EU Stock",Controls!A:I,7,0),6)</f>
        <v>9</v>
      </c>
      <c r="N2024" s="39">
        <f>IFERROR(VLOOKUP("188mg LP - EU Stock",Controls!A:I,8,0),3)</f>
        <v>8</v>
      </c>
      <c r="O2024" s="39">
        <f>IFERROR(VLOOKUP("188mg LP - EU Stock",Controls!A:I,9,0),18)</f>
        <v>18</v>
      </c>
      <c r="P2024" s="40">
        <f>IFERROR(VLOOKUP("188mg LP - EU Stock",Controls!A:J,5,0),0)</f>
        <v>16200</v>
      </c>
      <c r="Q2024" s="39">
        <f>IFERROR(VLOOKUP("188mg LP - EU Stock",Controls!A:J,6,0),3)</f>
        <v>3</v>
      </c>
      <c r="R2024" s="21" t="str">
        <f>IFERROR(VLOOKUP("188mg LP - EU Stock",Controls!A:K,10,0),"")</f>
        <v>Patheon (L&amp;P EU)</v>
      </c>
      <c r="S2024" s="41">
        <f t="shared" si="239"/>
        <v>47484</v>
      </c>
      <c r="T2024" s="30">
        <f t="shared" si="240"/>
        <v>0</v>
      </c>
      <c r="W2024" s="205" t="s">
        <v>1005</v>
      </c>
      <c r="X2024" t="str" cm="1">
        <f t="array" ref="X2024">IF(50&lt;Controls!$B$7,INDEX(F1974:F2152,MATCH(Controls!$B$5,A1974:A2152,1)+50),"")</f>
        <v/>
      </c>
      <c r="Y2024" t="str" cm="1">
        <f t="array" ref="Y2024">IF(50&lt;Controls!$B$7,INDEX(G1974:G2152,MATCH(Controls!$B$5,A1974:A2152,1)+50),"")</f>
        <v/>
      </c>
      <c r="Z2024" t="str" cm="1">
        <f t="array" ref="Z2024">IF(50&lt;Controls!$B$7,INDEX(H1974:H2152,MATCH(Controls!$B$5,A1974:A2152,1)+50),"")</f>
        <v/>
      </c>
      <c r="AA2024" t="str" cm="1">
        <f t="array" ref="AA2024">IF(50&lt;Controls!$B$7,INDEX(M1974:M2152,MATCH(Controls!$B$5,A1974:A2152,1)+50)*INDEX(I1974:I2152,MATCH(Controls!$B$5,A1974:A2152,1)+50),"")</f>
        <v/>
      </c>
      <c r="AB2024">
        <f t="shared" si="241"/>
        <v>0</v>
      </c>
    </row>
    <row r="2025" spans="1:28" x14ac:dyDescent="0.35">
      <c r="A2025" s="153">
        <v>47604</v>
      </c>
      <c r="B2025" s="155" t="s">
        <v>959</v>
      </c>
      <c r="C2025" s="15" t="s">
        <v>28</v>
      </c>
      <c r="D2025" s="15" t="s">
        <v>29</v>
      </c>
      <c r="E2025" s="199">
        <f>H2024</f>
        <v>0</v>
      </c>
      <c r="F2025" s="199">
        <f>IFERROR(SUMIFS('Demand Inputs'!$BE$5:$BE$202,'Demand Inputs'!$A$5:$A$202,"188mg LP - EU Stock",'Demand Inputs'!$B$5:$B$202,"&lt;&gt;AGGREGATE",'Demand Inputs'!$E$5:$E$202,1),0)</f>
        <v>0</v>
      </c>
      <c r="G2025" s="199" cm="1">
        <f t="array" ref="G2025">IFERROR(SUMPRODUCT(('Production Inputs'!$A:$A="188mg LP - EU Stock")*('Production Inputs'!$B:$B="TOTAL ACTIVE")*'Production Inputs'!$BK:$BK),0)</f>
        <v>0</v>
      </c>
      <c r="H2025" s="199">
        <f t="shared" si="235"/>
        <v>0</v>
      </c>
      <c r="I2025" s="30">
        <f ca="1">IFERROR(AVERAGEIF(OFFSET(F2025,0,0,MIN(Controls!$B$8,COUNTIF(B2025:B$2152,B2025)),1),"&gt;"&amp;0),0)</f>
        <v>0</v>
      </c>
      <c r="J2025" s="38">
        <f t="shared" ca="1" si="236"/>
        <v>0</v>
      </c>
      <c r="K2025" s="30">
        <f t="shared" ca="1" si="237"/>
        <v>0</v>
      </c>
      <c r="L2025" t="str">
        <f t="shared" si="238"/>
        <v>High</v>
      </c>
      <c r="M2025" s="39">
        <f>IFERROR(VLOOKUP("188mg LP - EU Stock",Controls!A:I,7,0),6)</f>
        <v>9</v>
      </c>
      <c r="N2025" s="39">
        <f>IFERROR(VLOOKUP("188mg LP - EU Stock",Controls!A:I,8,0),3)</f>
        <v>8</v>
      </c>
      <c r="O2025" s="39">
        <f>IFERROR(VLOOKUP("188mg LP - EU Stock",Controls!A:I,9,0),18)</f>
        <v>18</v>
      </c>
      <c r="P2025" s="40">
        <f>IFERROR(VLOOKUP("188mg LP - EU Stock",Controls!A:J,5,0),0)</f>
        <v>16200</v>
      </c>
      <c r="Q2025" s="39">
        <f>IFERROR(VLOOKUP("188mg LP - EU Stock",Controls!A:J,6,0),3)</f>
        <v>3</v>
      </c>
      <c r="R2025" s="21" t="str">
        <f>IFERROR(VLOOKUP("188mg LP - EU Stock",Controls!A:K,10,0),"")</f>
        <v>Patheon (L&amp;P EU)</v>
      </c>
      <c r="S2025" s="41">
        <f t="shared" si="239"/>
        <v>47515</v>
      </c>
      <c r="T2025" s="30">
        <f t="shared" si="240"/>
        <v>0</v>
      </c>
      <c r="W2025" s="205" t="s">
        <v>1006</v>
      </c>
      <c r="X2025" t="str" cm="1">
        <f t="array" ref="X2025">IF(51&lt;Controls!$B$7,INDEX(F1974:F2152,MATCH(Controls!$B$5,A1974:A2152,1)+51),"")</f>
        <v/>
      </c>
      <c r="Y2025" t="str" cm="1">
        <f t="array" ref="Y2025">IF(51&lt;Controls!$B$7,INDEX(G1974:G2152,MATCH(Controls!$B$5,A1974:A2152,1)+51),"")</f>
        <v/>
      </c>
      <c r="Z2025" t="str" cm="1">
        <f t="array" ref="Z2025">IF(51&lt;Controls!$B$7,INDEX(H1974:H2152,MATCH(Controls!$B$5,A1974:A2152,1)+51),"")</f>
        <v/>
      </c>
      <c r="AA2025" t="str" cm="1">
        <f t="array" ref="AA2025">IF(51&lt;Controls!$B$7,INDEX(M1974:M2152,MATCH(Controls!$B$5,A1974:A2152,1)+51)*INDEX(I1974:I2152,MATCH(Controls!$B$5,A1974:A2152,1)+51),"")</f>
        <v/>
      </c>
      <c r="AB2025">
        <f t="shared" si="241"/>
        <v>0</v>
      </c>
    </row>
    <row r="2026" spans="1:28" x14ac:dyDescent="0.35">
      <c r="A2026" s="153">
        <v>47635</v>
      </c>
      <c r="B2026" s="155" t="s">
        <v>959</v>
      </c>
      <c r="C2026" s="15" t="s">
        <v>28</v>
      </c>
      <c r="D2026" s="15" t="s">
        <v>29</v>
      </c>
      <c r="E2026" s="199">
        <f>H2025</f>
        <v>0</v>
      </c>
      <c r="F2026" s="199">
        <f>IFERROR(SUMIFS('Demand Inputs'!$BF$5:$BF$202,'Demand Inputs'!$A$5:$A$202,"188mg LP - EU Stock",'Demand Inputs'!$B$5:$B$202,"&lt;&gt;AGGREGATE",'Demand Inputs'!$E$5:$E$202,1),0)</f>
        <v>0</v>
      </c>
      <c r="G2026" s="199" cm="1">
        <f t="array" ref="G2026">IFERROR(SUMPRODUCT(('Production Inputs'!$A:$A="188mg LP - EU Stock")*('Production Inputs'!$B:$B="TOTAL ACTIVE")*'Production Inputs'!$BL:$BL),0)</f>
        <v>0</v>
      </c>
      <c r="H2026" s="199">
        <f t="shared" si="235"/>
        <v>0</v>
      </c>
      <c r="I2026" s="30">
        <f ca="1">IFERROR(AVERAGEIF(OFFSET(F2026,0,0,MIN(Controls!$B$8,COUNTIF(B2026:B$2152,B2026)),1),"&gt;"&amp;0),0)</f>
        <v>0</v>
      </c>
      <c r="J2026" s="38">
        <f t="shared" ca="1" si="236"/>
        <v>0</v>
      </c>
      <c r="K2026" s="30">
        <f t="shared" ca="1" si="237"/>
        <v>0</v>
      </c>
      <c r="L2026" t="str">
        <f t="shared" si="238"/>
        <v>High</v>
      </c>
      <c r="M2026" s="39">
        <f>IFERROR(VLOOKUP("188mg LP - EU Stock",Controls!A:I,7,0),6)</f>
        <v>9</v>
      </c>
      <c r="N2026" s="39">
        <f>IFERROR(VLOOKUP("188mg LP - EU Stock",Controls!A:I,8,0),3)</f>
        <v>8</v>
      </c>
      <c r="O2026" s="39">
        <f>IFERROR(VLOOKUP("188mg LP - EU Stock",Controls!A:I,9,0),18)</f>
        <v>18</v>
      </c>
      <c r="P2026" s="40">
        <f>IFERROR(VLOOKUP("188mg LP - EU Stock",Controls!A:J,5,0),0)</f>
        <v>16200</v>
      </c>
      <c r="Q2026" s="39">
        <f>IFERROR(VLOOKUP("188mg LP - EU Stock",Controls!A:J,6,0),3)</f>
        <v>3</v>
      </c>
      <c r="R2026" s="21" t="str">
        <f>IFERROR(VLOOKUP("188mg LP - EU Stock",Controls!A:K,10,0),"")</f>
        <v>Patheon (L&amp;P EU)</v>
      </c>
      <c r="S2026" s="41">
        <f t="shared" si="239"/>
        <v>47543</v>
      </c>
      <c r="T2026" s="30">
        <f t="shared" si="240"/>
        <v>0</v>
      </c>
      <c r="W2026" s="205" t="s">
        <v>1007</v>
      </c>
      <c r="X2026" t="str" cm="1">
        <f t="array" ref="X2026">IF(52&lt;Controls!$B$7,INDEX(F1974:F2152,MATCH(Controls!$B$5,A1974:A2152,1)+52),"")</f>
        <v/>
      </c>
      <c r="Y2026" t="str" cm="1">
        <f t="array" ref="Y2026">IF(52&lt;Controls!$B$7,INDEX(G1974:G2152,MATCH(Controls!$B$5,A1974:A2152,1)+52),"")</f>
        <v/>
      </c>
      <c r="Z2026" t="str" cm="1">
        <f t="array" ref="Z2026">IF(52&lt;Controls!$B$7,INDEX(H1974:H2152,MATCH(Controls!$B$5,A1974:A2152,1)+52),"")</f>
        <v/>
      </c>
      <c r="AA2026" t="str" cm="1">
        <f t="array" ref="AA2026">IF(52&lt;Controls!$B$7,INDEX(M1974:M2152,MATCH(Controls!$B$5,A1974:A2152,1)+52)*INDEX(I1974:I2152,MATCH(Controls!$B$5,A1974:A2152,1)+52),"")</f>
        <v/>
      </c>
      <c r="AB2026">
        <f t="shared" si="241"/>
        <v>0</v>
      </c>
    </row>
    <row r="2027" spans="1:28" x14ac:dyDescent="0.35">
      <c r="A2027" s="153">
        <v>47665</v>
      </c>
      <c r="B2027" s="155" t="s">
        <v>959</v>
      </c>
      <c r="C2027" s="15" t="s">
        <v>28</v>
      </c>
      <c r="D2027" s="15" t="s">
        <v>29</v>
      </c>
      <c r="E2027" s="199">
        <f>H2026</f>
        <v>0</v>
      </c>
      <c r="F2027" s="199">
        <f>IFERROR(SUMIFS('Demand Inputs'!$BG$5:$BG$202,'Demand Inputs'!$A$5:$A$202,"188mg LP - EU Stock",'Demand Inputs'!$B$5:$B$202,"&lt;&gt;AGGREGATE",'Demand Inputs'!$E$5:$E$202,1),0)</f>
        <v>0</v>
      </c>
      <c r="G2027" s="199" cm="1">
        <f t="array" ref="G2027">IFERROR(SUMPRODUCT(('Production Inputs'!$A:$A="188mg LP - EU Stock")*('Production Inputs'!$B:$B="TOTAL ACTIVE")*'Production Inputs'!$BM:$BM),0)</f>
        <v>0</v>
      </c>
      <c r="H2027" s="199">
        <f t="shared" si="235"/>
        <v>0</v>
      </c>
      <c r="I2027" s="30">
        <f ca="1">IFERROR(AVERAGEIF(OFFSET(F2027,0,0,MIN(Controls!$B$8,COUNTIF(B2027:B$2152,B2027)),1),"&gt;"&amp;0),0)</f>
        <v>0</v>
      </c>
      <c r="J2027" s="38">
        <f t="shared" ca="1" si="236"/>
        <v>0</v>
      </c>
      <c r="K2027" s="30">
        <f t="shared" ca="1" si="237"/>
        <v>0</v>
      </c>
      <c r="L2027" t="str">
        <f t="shared" si="238"/>
        <v>High</v>
      </c>
      <c r="M2027" s="39">
        <f>IFERROR(VLOOKUP("188mg LP - EU Stock",Controls!A:I,7,0),6)</f>
        <v>9</v>
      </c>
      <c r="N2027" s="39">
        <f>IFERROR(VLOOKUP("188mg LP - EU Stock",Controls!A:I,8,0),3)</f>
        <v>8</v>
      </c>
      <c r="O2027" s="39">
        <f>IFERROR(VLOOKUP("188mg LP - EU Stock",Controls!A:I,9,0),18)</f>
        <v>18</v>
      </c>
      <c r="P2027" s="40">
        <f>IFERROR(VLOOKUP("188mg LP - EU Stock",Controls!A:J,5,0),0)</f>
        <v>16200</v>
      </c>
      <c r="Q2027" s="39">
        <f>IFERROR(VLOOKUP("188mg LP - EU Stock",Controls!A:J,6,0),3)</f>
        <v>3</v>
      </c>
      <c r="R2027" s="21" t="str">
        <f>IFERROR(VLOOKUP("188mg LP - EU Stock",Controls!A:K,10,0),"")</f>
        <v>Patheon (L&amp;P EU)</v>
      </c>
      <c r="S2027" s="41">
        <f t="shared" si="239"/>
        <v>47574</v>
      </c>
      <c r="T2027" s="30">
        <f t="shared" si="240"/>
        <v>0</v>
      </c>
      <c r="W2027" s="205" t="s">
        <v>1008</v>
      </c>
      <c r="X2027" t="str" cm="1">
        <f t="array" ref="X2027">IF(53&lt;Controls!$B$7,INDEX(F1974:F2152,MATCH(Controls!$B$5,A1974:A2152,1)+53),"")</f>
        <v/>
      </c>
      <c r="Y2027" t="str" cm="1">
        <f t="array" ref="Y2027">IF(53&lt;Controls!$B$7,INDEX(G1974:G2152,MATCH(Controls!$B$5,A1974:A2152,1)+53),"")</f>
        <v/>
      </c>
      <c r="Z2027" t="str" cm="1">
        <f t="array" ref="Z2027">IF(53&lt;Controls!$B$7,INDEX(H1974:H2152,MATCH(Controls!$B$5,A1974:A2152,1)+53),"")</f>
        <v/>
      </c>
      <c r="AA2027" t="str" cm="1">
        <f t="array" ref="AA2027">IF(53&lt;Controls!$B$7,INDEX(M1974:M2152,MATCH(Controls!$B$5,A1974:A2152,1)+53)*INDEX(I1974:I2152,MATCH(Controls!$B$5,A1974:A2152,1)+53),"")</f>
        <v/>
      </c>
      <c r="AB2027">
        <f t="shared" si="241"/>
        <v>0</v>
      </c>
    </row>
    <row r="2028" spans="1:28" x14ac:dyDescent="0.35">
      <c r="A2028" s="153">
        <v>47696</v>
      </c>
      <c r="B2028" s="155" t="s">
        <v>959</v>
      </c>
      <c r="C2028" s="15" t="s">
        <v>28</v>
      </c>
      <c r="D2028" s="15" t="s">
        <v>29</v>
      </c>
      <c r="E2028" s="199">
        <f>H2027</f>
        <v>0</v>
      </c>
      <c r="F2028" s="199">
        <f>IFERROR(SUMIFS('Demand Inputs'!$BH$5:$BH$202,'Demand Inputs'!$A$5:$A$202,"188mg LP - EU Stock",'Demand Inputs'!$B$5:$B$202,"&lt;&gt;AGGREGATE",'Demand Inputs'!$E$5:$E$202,1),0)</f>
        <v>0</v>
      </c>
      <c r="G2028" s="199" cm="1">
        <f t="array" ref="G2028">IFERROR(SUMPRODUCT(('Production Inputs'!$A:$A="188mg LP - EU Stock")*('Production Inputs'!$B:$B="TOTAL ACTIVE")*'Production Inputs'!$BN:$BN),0)</f>
        <v>0</v>
      </c>
      <c r="H2028" s="199">
        <f t="shared" si="235"/>
        <v>0</v>
      </c>
      <c r="I2028" s="30">
        <f ca="1">IFERROR(AVERAGEIF(OFFSET(F2028,0,0,MIN(Controls!$B$8,COUNTIF(B2028:B$2152,B2028)),1),"&gt;"&amp;0),0)</f>
        <v>0</v>
      </c>
      <c r="J2028" s="38">
        <f t="shared" ca="1" si="236"/>
        <v>0</v>
      </c>
      <c r="K2028" s="30">
        <f t="shared" ca="1" si="237"/>
        <v>0</v>
      </c>
      <c r="L2028" t="str">
        <f t="shared" si="238"/>
        <v>High</v>
      </c>
      <c r="M2028" s="39">
        <f>IFERROR(VLOOKUP("188mg LP - EU Stock",Controls!A:I,7,0),6)</f>
        <v>9</v>
      </c>
      <c r="N2028" s="39">
        <f>IFERROR(VLOOKUP("188mg LP - EU Stock",Controls!A:I,8,0),3)</f>
        <v>8</v>
      </c>
      <c r="O2028" s="39">
        <f>IFERROR(VLOOKUP("188mg LP - EU Stock",Controls!A:I,9,0),18)</f>
        <v>18</v>
      </c>
      <c r="P2028" s="40">
        <f>IFERROR(VLOOKUP("188mg LP - EU Stock",Controls!A:J,5,0),0)</f>
        <v>16200</v>
      </c>
      <c r="Q2028" s="39">
        <f>IFERROR(VLOOKUP("188mg LP - EU Stock",Controls!A:J,6,0),3)</f>
        <v>3</v>
      </c>
      <c r="R2028" s="21" t="str">
        <f>IFERROR(VLOOKUP("188mg LP - EU Stock",Controls!A:K,10,0),"")</f>
        <v>Patheon (L&amp;P EU)</v>
      </c>
      <c r="S2028" s="41">
        <f t="shared" si="239"/>
        <v>47604</v>
      </c>
      <c r="T2028" s="30">
        <f t="shared" si="240"/>
        <v>0</v>
      </c>
      <c r="W2028" s="205" t="s">
        <v>1009</v>
      </c>
      <c r="X2028" t="str" cm="1">
        <f t="array" ref="X2028">IF(54&lt;Controls!$B$7,INDEX(F1974:F2152,MATCH(Controls!$B$5,A1974:A2152,1)+54),"")</f>
        <v/>
      </c>
      <c r="Y2028" t="str" cm="1">
        <f t="array" ref="Y2028">IF(54&lt;Controls!$B$7,INDEX(G1974:G2152,MATCH(Controls!$B$5,A1974:A2152,1)+54),"")</f>
        <v/>
      </c>
      <c r="Z2028" t="str" cm="1">
        <f t="array" ref="Z2028">IF(54&lt;Controls!$B$7,INDEX(H1974:H2152,MATCH(Controls!$B$5,A1974:A2152,1)+54),"")</f>
        <v/>
      </c>
      <c r="AA2028" t="str" cm="1">
        <f t="array" ref="AA2028">IF(54&lt;Controls!$B$7,INDEX(M1974:M2152,MATCH(Controls!$B$5,A1974:A2152,1)+54)*INDEX(I1974:I2152,MATCH(Controls!$B$5,A1974:A2152,1)+54),"")</f>
        <v/>
      </c>
      <c r="AB2028">
        <f t="shared" si="241"/>
        <v>0</v>
      </c>
    </row>
    <row r="2029" spans="1:28" x14ac:dyDescent="0.35">
      <c r="A2029" s="153">
        <v>47727</v>
      </c>
      <c r="B2029" s="155" t="s">
        <v>959</v>
      </c>
      <c r="C2029" s="15" t="s">
        <v>28</v>
      </c>
      <c r="D2029" s="15" t="s">
        <v>29</v>
      </c>
      <c r="E2029" s="199">
        <f>H2028</f>
        <v>0</v>
      </c>
      <c r="F2029" s="199">
        <f>IFERROR(SUMIFS('Demand Inputs'!$BI$5:$BI$202,'Demand Inputs'!$A$5:$A$202,"188mg LP - EU Stock",'Demand Inputs'!$B$5:$B$202,"&lt;&gt;AGGREGATE",'Demand Inputs'!$E$5:$E$202,1),0)</f>
        <v>0</v>
      </c>
      <c r="G2029" s="199" cm="1">
        <f t="array" ref="G2029">IFERROR(SUMPRODUCT(('Production Inputs'!$A:$A="188mg LP - EU Stock")*('Production Inputs'!$B:$B="TOTAL ACTIVE")*'Production Inputs'!$BO:$BO),0)</f>
        <v>0</v>
      </c>
      <c r="H2029" s="199">
        <f t="shared" si="235"/>
        <v>0</v>
      </c>
      <c r="I2029" s="30">
        <f ca="1">IFERROR(AVERAGEIF(OFFSET(F2029,0,0,MIN(Controls!$B$8,COUNTIF(B2029:B$2152,B2029)),1),"&gt;"&amp;0),0)</f>
        <v>0</v>
      </c>
      <c r="J2029" s="38">
        <f t="shared" ca="1" si="236"/>
        <v>0</v>
      </c>
      <c r="K2029" s="30">
        <f t="shared" ca="1" si="237"/>
        <v>0</v>
      </c>
      <c r="L2029" t="str">
        <f t="shared" si="238"/>
        <v>High</v>
      </c>
      <c r="M2029" s="39">
        <f>IFERROR(VLOOKUP("188mg LP - EU Stock",Controls!A:I,7,0),6)</f>
        <v>9</v>
      </c>
      <c r="N2029" s="39">
        <f>IFERROR(VLOOKUP("188mg LP - EU Stock",Controls!A:I,8,0),3)</f>
        <v>8</v>
      </c>
      <c r="O2029" s="39">
        <f>IFERROR(VLOOKUP("188mg LP - EU Stock",Controls!A:I,9,0),18)</f>
        <v>18</v>
      </c>
      <c r="P2029" s="40">
        <f>IFERROR(VLOOKUP("188mg LP - EU Stock",Controls!A:J,5,0),0)</f>
        <v>16200</v>
      </c>
      <c r="Q2029" s="39">
        <f>IFERROR(VLOOKUP("188mg LP - EU Stock",Controls!A:J,6,0),3)</f>
        <v>3</v>
      </c>
      <c r="R2029" s="21" t="str">
        <f>IFERROR(VLOOKUP("188mg LP - EU Stock",Controls!A:K,10,0),"")</f>
        <v>Patheon (L&amp;P EU)</v>
      </c>
      <c r="S2029" s="41">
        <f t="shared" si="239"/>
        <v>47635</v>
      </c>
      <c r="T2029" s="30">
        <f t="shared" si="240"/>
        <v>0</v>
      </c>
      <c r="W2029" s="205" t="s">
        <v>1010</v>
      </c>
      <c r="X2029" t="str" cm="1">
        <f t="array" ref="X2029">IF(55&lt;Controls!$B$7,INDEX(F1974:F2152,MATCH(Controls!$B$5,A1974:A2152,1)+55),"")</f>
        <v/>
      </c>
      <c r="Y2029" t="str" cm="1">
        <f t="array" ref="Y2029">IF(55&lt;Controls!$B$7,INDEX(G1974:G2152,MATCH(Controls!$B$5,A1974:A2152,1)+55),"")</f>
        <v/>
      </c>
      <c r="Z2029" t="str" cm="1">
        <f t="array" ref="Z2029">IF(55&lt;Controls!$B$7,INDEX(H1974:H2152,MATCH(Controls!$B$5,A1974:A2152,1)+55),"")</f>
        <v/>
      </c>
      <c r="AA2029" t="str" cm="1">
        <f t="array" ref="AA2029">IF(55&lt;Controls!$B$7,INDEX(M1974:M2152,MATCH(Controls!$B$5,A1974:A2152,1)+55)*INDEX(I1974:I2152,MATCH(Controls!$B$5,A1974:A2152,1)+55),"")</f>
        <v/>
      </c>
      <c r="AB2029">
        <f t="shared" si="241"/>
        <v>0</v>
      </c>
    </row>
    <row r="2030" spans="1:28" x14ac:dyDescent="0.35">
      <c r="A2030" s="153">
        <v>47757</v>
      </c>
      <c r="B2030" s="155" t="s">
        <v>959</v>
      </c>
      <c r="C2030" s="15" t="s">
        <v>28</v>
      </c>
      <c r="D2030" s="15" t="s">
        <v>29</v>
      </c>
      <c r="E2030" s="199">
        <f>H2029</f>
        <v>0</v>
      </c>
      <c r="F2030" s="199">
        <f>IFERROR(SUMIFS('Demand Inputs'!$BJ$5:$BJ$202,'Demand Inputs'!$A$5:$A$202,"188mg LP - EU Stock",'Demand Inputs'!$B$5:$B$202,"&lt;&gt;AGGREGATE",'Demand Inputs'!$E$5:$E$202,1),0)</f>
        <v>0</v>
      </c>
      <c r="G2030" s="199" cm="1">
        <f t="array" ref="G2030">IFERROR(SUMPRODUCT(('Production Inputs'!$A:$A="188mg LP - EU Stock")*('Production Inputs'!$B:$B="TOTAL ACTIVE")*'Production Inputs'!$BP:$BP),0)</f>
        <v>0</v>
      </c>
      <c r="H2030" s="199">
        <f t="shared" si="235"/>
        <v>0</v>
      </c>
      <c r="I2030" s="30">
        <f ca="1">IFERROR(AVERAGEIF(OFFSET(F2030,0,0,MIN(Controls!$B$8,COUNTIF(B2030:B$2152,B2030)),1),"&gt;"&amp;0),0)</f>
        <v>0</v>
      </c>
      <c r="J2030" s="38">
        <f t="shared" ca="1" si="236"/>
        <v>0</v>
      </c>
      <c r="K2030" s="30">
        <f t="shared" ca="1" si="237"/>
        <v>0</v>
      </c>
      <c r="L2030" t="str">
        <f t="shared" si="238"/>
        <v>High</v>
      </c>
      <c r="M2030" s="39">
        <f>IFERROR(VLOOKUP("188mg LP - EU Stock",Controls!A:I,7,0),6)</f>
        <v>9</v>
      </c>
      <c r="N2030" s="39">
        <f>IFERROR(VLOOKUP("188mg LP - EU Stock",Controls!A:I,8,0),3)</f>
        <v>8</v>
      </c>
      <c r="O2030" s="39">
        <f>IFERROR(VLOOKUP("188mg LP - EU Stock",Controls!A:I,9,0),18)</f>
        <v>18</v>
      </c>
      <c r="P2030" s="40">
        <f>IFERROR(VLOOKUP("188mg LP - EU Stock",Controls!A:J,5,0),0)</f>
        <v>16200</v>
      </c>
      <c r="Q2030" s="39">
        <f>IFERROR(VLOOKUP("188mg LP - EU Stock",Controls!A:J,6,0),3)</f>
        <v>3</v>
      </c>
      <c r="R2030" s="21" t="str">
        <f>IFERROR(VLOOKUP("188mg LP - EU Stock",Controls!A:K,10,0),"")</f>
        <v>Patheon (L&amp;P EU)</v>
      </c>
      <c r="S2030" s="41">
        <f t="shared" si="239"/>
        <v>47665</v>
      </c>
      <c r="T2030" s="30">
        <f t="shared" si="240"/>
        <v>0</v>
      </c>
      <c r="W2030" s="205" t="s">
        <v>1011</v>
      </c>
      <c r="X2030" t="str" cm="1">
        <f t="array" ref="X2030">IF(56&lt;Controls!$B$7,INDEX(F1974:F2152,MATCH(Controls!$B$5,A1974:A2152,1)+56),"")</f>
        <v/>
      </c>
      <c r="Y2030" t="str" cm="1">
        <f t="array" ref="Y2030">IF(56&lt;Controls!$B$7,INDEX(G1974:G2152,MATCH(Controls!$B$5,A1974:A2152,1)+56),"")</f>
        <v/>
      </c>
      <c r="Z2030" t="str" cm="1">
        <f t="array" ref="Z2030">IF(56&lt;Controls!$B$7,INDEX(H1974:H2152,MATCH(Controls!$B$5,A1974:A2152,1)+56),"")</f>
        <v/>
      </c>
      <c r="AA2030" t="str" cm="1">
        <f t="array" ref="AA2030">IF(56&lt;Controls!$B$7,INDEX(M1974:M2152,MATCH(Controls!$B$5,A1974:A2152,1)+56)*INDEX(I1974:I2152,MATCH(Controls!$B$5,A1974:A2152,1)+56),"")</f>
        <v/>
      </c>
      <c r="AB2030">
        <f t="shared" si="241"/>
        <v>0</v>
      </c>
    </row>
    <row r="2031" spans="1:28" x14ac:dyDescent="0.35">
      <c r="A2031" s="153">
        <v>47788</v>
      </c>
      <c r="B2031" s="155" t="s">
        <v>959</v>
      </c>
      <c r="C2031" s="15" t="s">
        <v>28</v>
      </c>
      <c r="D2031" s="15" t="s">
        <v>29</v>
      </c>
      <c r="E2031" s="199">
        <f>H2030</f>
        <v>0</v>
      </c>
      <c r="F2031" s="199">
        <f>IFERROR(SUMIFS('Demand Inputs'!$BK$5:$BK$202,'Demand Inputs'!$A$5:$A$202,"188mg LP - EU Stock",'Demand Inputs'!$B$5:$B$202,"&lt;&gt;AGGREGATE",'Demand Inputs'!$E$5:$E$202,1),0)</f>
        <v>0</v>
      </c>
      <c r="G2031" s="199" cm="1">
        <f t="array" ref="G2031">IFERROR(SUMPRODUCT(('Production Inputs'!$A:$A="188mg LP - EU Stock")*('Production Inputs'!$B:$B="TOTAL ACTIVE")*'Production Inputs'!$BQ:$BQ),0)</f>
        <v>0</v>
      </c>
      <c r="H2031" s="199">
        <f t="shared" si="235"/>
        <v>0</v>
      </c>
      <c r="I2031" s="30">
        <f ca="1">IFERROR(AVERAGEIF(OFFSET(F2031,0,0,MIN(Controls!$B$8,COUNTIF(B2031:B$2152,B2031)),1),"&gt;"&amp;0),0)</f>
        <v>0</v>
      </c>
      <c r="J2031" s="38">
        <f t="shared" ca="1" si="236"/>
        <v>0</v>
      </c>
      <c r="K2031" s="30">
        <f t="shared" ca="1" si="237"/>
        <v>0</v>
      </c>
      <c r="L2031" t="str">
        <f t="shared" si="238"/>
        <v>High</v>
      </c>
      <c r="M2031" s="39">
        <f>IFERROR(VLOOKUP("188mg LP - EU Stock",Controls!A:I,7,0),6)</f>
        <v>9</v>
      </c>
      <c r="N2031" s="39">
        <f>IFERROR(VLOOKUP("188mg LP - EU Stock",Controls!A:I,8,0),3)</f>
        <v>8</v>
      </c>
      <c r="O2031" s="39">
        <f>IFERROR(VLOOKUP("188mg LP - EU Stock",Controls!A:I,9,0),18)</f>
        <v>18</v>
      </c>
      <c r="P2031" s="40">
        <f>IFERROR(VLOOKUP("188mg LP - EU Stock",Controls!A:J,5,0),0)</f>
        <v>16200</v>
      </c>
      <c r="Q2031" s="39">
        <f>IFERROR(VLOOKUP("188mg LP - EU Stock",Controls!A:J,6,0),3)</f>
        <v>3</v>
      </c>
      <c r="R2031" s="21" t="str">
        <f>IFERROR(VLOOKUP("188mg LP - EU Stock",Controls!A:K,10,0),"")</f>
        <v>Patheon (L&amp;P EU)</v>
      </c>
      <c r="S2031" s="41">
        <f t="shared" si="239"/>
        <v>47696</v>
      </c>
      <c r="T2031" s="30">
        <f t="shared" si="240"/>
        <v>0</v>
      </c>
      <c r="W2031" s="205" t="s">
        <v>1012</v>
      </c>
      <c r="X2031" t="str" cm="1">
        <f t="array" ref="X2031">IF(57&lt;Controls!$B$7,INDEX(F1974:F2152,MATCH(Controls!$B$5,A1974:A2152,1)+57),"")</f>
        <v/>
      </c>
      <c r="Y2031" t="str" cm="1">
        <f t="array" ref="Y2031">IF(57&lt;Controls!$B$7,INDEX(G1974:G2152,MATCH(Controls!$B$5,A1974:A2152,1)+57),"")</f>
        <v/>
      </c>
      <c r="Z2031" t="str" cm="1">
        <f t="array" ref="Z2031">IF(57&lt;Controls!$B$7,INDEX(H1974:H2152,MATCH(Controls!$B$5,A1974:A2152,1)+57),"")</f>
        <v/>
      </c>
      <c r="AA2031" t="str" cm="1">
        <f t="array" ref="AA2031">IF(57&lt;Controls!$B$7,INDEX(M1974:M2152,MATCH(Controls!$B$5,A1974:A2152,1)+57)*INDEX(I1974:I2152,MATCH(Controls!$B$5,A1974:A2152,1)+57),"")</f>
        <v/>
      </c>
      <c r="AB2031">
        <f t="shared" si="241"/>
        <v>0</v>
      </c>
    </row>
    <row r="2032" spans="1:28" x14ac:dyDescent="0.35">
      <c r="A2032" s="153">
        <v>47818</v>
      </c>
      <c r="B2032" s="155" t="s">
        <v>959</v>
      </c>
      <c r="C2032" s="15" t="s">
        <v>28</v>
      </c>
      <c r="D2032" s="15" t="s">
        <v>29</v>
      </c>
      <c r="E2032" s="199">
        <f>H2031</f>
        <v>0</v>
      </c>
      <c r="F2032" s="199">
        <f>IFERROR(SUMIFS('Demand Inputs'!$BL$5:$BL$202,'Demand Inputs'!$A$5:$A$202,"188mg LP - EU Stock",'Demand Inputs'!$B$5:$B$202,"&lt;&gt;AGGREGATE",'Demand Inputs'!$E$5:$E$202,1),0)</f>
        <v>0</v>
      </c>
      <c r="G2032" s="199" cm="1">
        <f t="array" ref="G2032">IFERROR(SUMPRODUCT(('Production Inputs'!$A:$A="188mg LP - EU Stock")*('Production Inputs'!$B:$B="TOTAL ACTIVE")*'Production Inputs'!$BR:$BR),0)</f>
        <v>0</v>
      </c>
      <c r="H2032" s="199">
        <f t="shared" si="235"/>
        <v>0</v>
      </c>
      <c r="I2032" s="30">
        <f ca="1">IFERROR(AVERAGEIF(OFFSET(F2032,0,0,MIN(Controls!$B$8,COUNTIF(B2032:B$2152,B2032)),1),"&gt;"&amp;0),0)</f>
        <v>0</v>
      </c>
      <c r="J2032" s="38">
        <f t="shared" ca="1" si="236"/>
        <v>0</v>
      </c>
      <c r="K2032" s="30">
        <f t="shared" ca="1" si="237"/>
        <v>0</v>
      </c>
      <c r="L2032" t="str">
        <f t="shared" si="238"/>
        <v>High</v>
      </c>
      <c r="M2032" s="39">
        <f>IFERROR(VLOOKUP("188mg LP - EU Stock",Controls!A:I,7,0),6)</f>
        <v>9</v>
      </c>
      <c r="N2032" s="39">
        <f>IFERROR(VLOOKUP("188mg LP - EU Stock",Controls!A:I,8,0),3)</f>
        <v>8</v>
      </c>
      <c r="O2032" s="39">
        <f>IFERROR(VLOOKUP("188mg LP - EU Stock",Controls!A:I,9,0),18)</f>
        <v>18</v>
      </c>
      <c r="P2032" s="40">
        <f>IFERROR(VLOOKUP("188mg LP - EU Stock",Controls!A:J,5,0),0)</f>
        <v>16200</v>
      </c>
      <c r="Q2032" s="39">
        <f>IFERROR(VLOOKUP("188mg LP - EU Stock",Controls!A:J,6,0),3)</f>
        <v>3</v>
      </c>
      <c r="R2032" s="21" t="str">
        <f>IFERROR(VLOOKUP("188mg LP - EU Stock",Controls!A:K,10,0),"")</f>
        <v>Patheon (L&amp;P EU)</v>
      </c>
      <c r="S2032" s="41">
        <f t="shared" si="239"/>
        <v>47727</v>
      </c>
      <c r="T2032" s="30">
        <f t="shared" si="240"/>
        <v>0</v>
      </c>
      <c r="W2032" s="205" t="s">
        <v>1013</v>
      </c>
      <c r="X2032" t="str" cm="1">
        <f t="array" ref="X2032">IF(58&lt;Controls!$B$7,INDEX(F1974:F2152,MATCH(Controls!$B$5,A1974:A2152,1)+58),"")</f>
        <v/>
      </c>
      <c r="Y2032" t="str" cm="1">
        <f t="array" ref="Y2032">IF(58&lt;Controls!$B$7,INDEX(G1974:G2152,MATCH(Controls!$B$5,A1974:A2152,1)+58),"")</f>
        <v/>
      </c>
      <c r="Z2032" t="str" cm="1">
        <f t="array" ref="Z2032">IF(58&lt;Controls!$B$7,INDEX(H1974:H2152,MATCH(Controls!$B$5,A1974:A2152,1)+58),"")</f>
        <v/>
      </c>
      <c r="AA2032" t="str" cm="1">
        <f t="array" ref="AA2032">IF(58&lt;Controls!$B$7,INDEX(M1974:M2152,MATCH(Controls!$B$5,A1974:A2152,1)+58)*INDEX(I1974:I2152,MATCH(Controls!$B$5,A1974:A2152,1)+58),"")</f>
        <v/>
      </c>
      <c r="AB2032">
        <f t="shared" si="241"/>
        <v>0</v>
      </c>
    </row>
    <row r="2033" spans="1:28" x14ac:dyDescent="0.35">
      <c r="A2033" s="153">
        <v>47849</v>
      </c>
      <c r="B2033" s="155" t="s">
        <v>959</v>
      </c>
      <c r="C2033" s="15" t="s">
        <v>28</v>
      </c>
      <c r="D2033" s="15" t="s">
        <v>29</v>
      </c>
      <c r="E2033" s="199">
        <f>H2032</f>
        <v>0</v>
      </c>
      <c r="F2033" s="199">
        <f>IFERROR(SUMIFS('Demand Inputs'!$BM$5:$BM$202,'Demand Inputs'!$A$5:$A$202,"188mg LP - EU Stock",'Demand Inputs'!$B$5:$B$202,"&lt;&gt;AGGREGATE",'Demand Inputs'!$E$5:$E$202,1),0)</f>
        <v>0</v>
      </c>
      <c r="G2033" s="199" cm="1">
        <f t="array" ref="G2033">IFERROR(SUMPRODUCT(('Production Inputs'!$A:$A="188mg LP - EU Stock")*('Production Inputs'!$B:$B="TOTAL ACTIVE")*'Production Inputs'!$BS:$BS),0)</f>
        <v>0</v>
      </c>
      <c r="H2033" s="199">
        <f t="shared" si="235"/>
        <v>0</v>
      </c>
      <c r="I2033" s="30">
        <f ca="1">IFERROR(AVERAGEIF(OFFSET(F2033,0,0,MIN(Controls!$B$8,COUNTIF(B2033:B$2152,B2033)),1),"&gt;"&amp;0),0)</f>
        <v>0</v>
      </c>
      <c r="J2033" s="38">
        <f t="shared" ca="1" si="236"/>
        <v>0</v>
      </c>
      <c r="K2033" s="30">
        <f t="shared" ca="1" si="237"/>
        <v>0</v>
      </c>
      <c r="L2033" t="str">
        <f t="shared" si="238"/>
        <v>High</v>
      </c>
      <c r="M2033" s="39">
        <f>IFERROR(VLOOKUP("188mg LP - EU Stock",Controls!A:I,7,0),6)</f>
        <v>9</v>
      </c>
      <c r="N2033" s="39">
        <f>IFERROR(VLOOKUP("188mg LP - EU Stock",Controls!A:I,8,0),3)</f>
        <v>8</v>
      </c>
      <c r="O2033" s="39">
        <f>IFERROR(VLOOKUP("188mg LP - EU Stock",Controls!A:I,9,0),18)</f>
        <v>18</v>
      </c>
      <c r="P2033" s="40">
        <f>IFERROR(VLOOKUP("188mg LP - EU Stock",Controls!A:J,5,0),0)</f>
        <v>16200</v>
      </c>
      <c r="Q2033" s="39">
        <f>IFERROR(VLOOKUP("188mg LP - EU Stock",Controls!A:J,6,0),3)</f>
        <v>3</v>
      </c>
      <c r="R2033" s="21" t="str">
        <f>IFERROR(VLOOKUP("188mg LP - EU Stock",Controls!A:K,10,0),"")</f>
        <v>Patheon (L&amp;P EU)</v>
      </c>
      <c r="S2033" s="41">
        <f t="shared" si="239"/>
        <v>47757</v>
      </c>
      <c r="T2033" s="30">
        <f t="shared" si="240"/>
        <v>0</v>
      </c>
      <c r="W2033" s="205" t="s">
        <v>1014</v>
      </c>
      <c r="X2033" t="str" cm="1">
        <f t="array" ref="X2033">IF(59&lt;Controls!$B$7,INDEX(F1974:F2152,MATCH(Controls!$B$5,A1974:A2152,1)+59),"")</f>
        <v/>
      </c>
      <c r="Y2033" t="str" cm="1">
        <f t="array" ref="Y2033">IF(59&lt;Controls!$B$7,INDEX(G1974:G2152,MATCH(Controls!$B$5,A1974:A2152,1)+59),"")</f>
        <v/>
      </c>
      <c r="Z2033" t="str" cm="1">
        <f t="array" ref="Z2033">IF(59&lt;Controls!$B$7,INDEX(H1974:H2152,MATCH(Controls!$B$5,A1974:A2152,1)+59),"")</f>
        <v/>
      </c>
      <c r="AA2033" t="str" cm="1">
        <f t="array" ref="AA2033">IF(59&lt;Controls!$B$7,INDEX(M1974:M2152,MATCH(Controls!$B$5,A1974:A2152,1)+59)*INDEX(I1974:I2152,MATCH(Controls!$B$5,A1974:A2152,1)+59),"")</f>
        <v/>
      </c>
      <c r="AB2033">
        <f t="shared" si="241"/>
        <v>0</v>
      </c>
    </row>
    <row r="2034" spans="1:28" x14ac:dyDescent="0.35">
      <c r="A2034" s="153">
        <v>47880</v>
      </c>
      <c r="B2034" s="155" t="s">
        <v>959</v>
      </c>
      <c r="C2034" s="15" t="s">
        <v>28</v>
      </c>
      <c r="D2034" s="15" t="s">
        <v>29</v>
      </c>
      <c r="E2034" s="199">
        <f>H2033</f>
        <v>0</v>
      </c>
      <c r="F2034" s="199">
        <f>IFERROR(SUMIFS('Demand Inputs'!$BN$5:$BN$202,'Demand Inputs'!$A$5:$A$202,"188mg LP - EU Stock",'Demand Inputs'!$B$5:$B$202,"&lt;&gt;AGGREGATE",'Demand Inputs'!$E$5:$E$202,1),0)</f>
        <v>0</v>
      </c>
      <c r="G2034" s="199" cm="1">
        <f t="array" ref="G2034">IFERROR(SUMPRODUCT(('Production Inputs'!$A:$A="188mg LP - EU Stock")*('Production Inputs'!$B:$B="TOTAL ACTIVE")*'Production Inputs'!$BT:$BT),0)</f>
        <v>0</v>
      </c>
      <c r="H2034" s="199">
        <f t="shared" si="235"/>
        <v>0</v>
      </c>
      <c r="I2034" s="30">
        <f ca="1">IFERROR(AVERAGEIF(OFFSET(F2034,0,0,MIN(Controls!$B$8,COUNTIF(B2034:B$2152,B2034)),1),"&gt;"&amp;0),0)</f>
        <v>0</v>
      </c>
      <c r="J2034" s="38">
        <f t="shared" ca="1" si="236"/>
        <v>0</v>
      </c>
      <c r="K2034" s="30">
        <f t="shared" ca="1" si="237"/>
        <v>0</v>
      </c>
      <c r="L2034" t="str">
        <f t="shared" si="238"/>
        <v>High</v>
      </c>
      <c r="M2034" s="39">
        <f>IFERROR(VLOOKUP("188mg LP - EU Stock",Controls!A:I,7,0),6)</f>
        <v>9</v>
      </c>
      <c r="N2034" s="39">
        <f>IFERROR(VLOOKUP("188mg LP - EU Stock",Controls!A:I,8,0),3)</f>
        <v>8</v>
      </c>
      <c r="O2034" s="39">
        <f>IFERROR(VLOOKUP("188mg LP - EU Stock",Controls!A:I,9,0),18)</f>
        <v>18</v>
      </c>
      <c r="P2034" s="40">
        <f>IFERROR(VLOOKUP("188mg LP - EU Stock",Controls!A:J,5,0),0)</f>
        <v>16200</v>
      </c>
      <c r="Q2034" s="39">
        <f>IFERROR(VLOOKUP("188mg LP - EU Stock",Controls!A:J,6,0),3)</f>
        <v>3</v>
      </c>
      <c r="R2034" s="21" t="str">
        <f>IFERROR(VLOOKUP("188mg LP - EU Stock",Controls!A:K,10,0),"")</f>
        <v>Patheon (L&amp;P EU)</v>
      </c>
      <c r="S2034" s="41">
        <f t="shared" si="239"/>
        <v>47788</v>
      </c>
      <c r="T2034" s="30">
        <f t="shared" si="240"/>
        <v>0</v>
      </c>
      <c r="W2034" s="205" t="s">
        <v>1015</v>
      </c>
      <c r="X2034" t="str" cm="1">
        <f t="array" ref="X2034">IF(60&lt;Controls!$B$7,INDEX(F1974:F2152,MATCH(Controls!$B$5,A1974:A2152,1)+60),"")</f>
        <v/>
      </c>
      <c r="Y2034" t="str" cm="1">
        <f t="array" ref="Y2034">IF(60&lt;Controls!$B$7,INDEX(G1974:G2152,MATCH(Controls!$B$5,A1974:A2152,1)+60),"")</f>
        <v/>
      </c>
      <c r="Z2034" t="str" cm="1">
        <f t="array" ref="Z2034">IF(60&lt;Controls!$B$7,INDEX(H1974:H2152,MATCH(Controls!$B$5,A1974:A2152,1)+60),"")</f>
        <v/>
      </c>
      <c r="AA2034" t="str" cm="1">
        <f t="array" ref="AA2034">IF(60&lt;Controls!$B$7,INDEX(M1974:M2152,MATCH(Controls!$B$5,A1974:A2152,1)+60)*INDEX(I1974:I2152,MATCH(Controls!$B$5,A1974:A2152,1)+60),"")</f>
        <v/>
      </c>
      <c r="AB2034">
        <f t="shared" si="241"/>
        <v>0</v>
      </c>
    </row>
    <row r="2035" spans="1:28" x14ac:dyDescent="0.35">
      <c r="A2035" s="153">
        <v>47908</v>
      </c>
      <c r="B2035" s="155" t="s">
        <v>959</v>
      </c>
      <c r="C2035" s="15" t="s">
        <v>28</v>
      </c>
      <c r="D2035" s="15" t="s">
        <v>29</v>
      </c>
      <c r="E2035" s="199">
        <f>H2034</f>
        <v>0</v>
      </c>
      <c r="F2035" s="199">
        <f>IFERROR(SUMIFS('Demand Inputs'!$BO$5:$BO$202,'Demand Inputs'!$A$5:$A$202,"188mg LP - EU Stock",'Demand Inputs'!$B$5:$B$202,"&lt;&gt;AGGREGATE",'Demand Inputs'!$E$5:$E$202,1),0)</f>
        <v>0</v>
      </c>
      <c r="G2035" s="199" cm="1">
        <f t="array" ref="G2035">IFERROR(SUMPRODUCT(('Production Inputs'!$A:$A="188mg LP - EU Stock")*('Production Inputs'!$B:$B="TOTAL ACTIVE")*'Production Inputs'!$BU:$BU),0)</f>
        <v>0</v>
      </c>
      <c r="H2035" s="199">
        <f t="shared" si="235"/>
        <v>0</v>
      </c>
      <c r="I2035" s="30">
        <f ca="1">IFERROR(AVERAGEIF(OFFSET(F2035,0,0,MIN(Controls!$B$8,COUNTIF(B2035:B$2152,B2035)),1),"&gt;"&amp;0),0)</f>
        <v>0</v>
      </c>
      <c r="J2035" s="38">
        <f t="shared" ca="1" si="236"/>
        <v>0</v>
      </c>
      <c r="K2035" s="30">
        <f t="shared" ca="1" si="237"/>
        <v>0</v>
      </c>
      <c r="L2035" t="str">
        <f t="shared" si="238"/>
        <v>High</v>
      </c>
      <c r="M2035" s="39">
        <f>IFERROR(VLOOKUP("188mg LP - EU Stock",Controls!A:I,7,0),6)</f>
        <v>9</v>
      </c>
      <c r="N2035" s="39">
        <f>IFERROR(VLOOKUP("188mg LP - EU Stock",Controls!A:I,8,0),3)</f>
        <v>8</v>
      </c>
      <c r="O2035" s="39">
        <f>IFERROR(VLOOKUP("188mg LP - EU Stock",Controls!A:I,9,0),18)</f>
        <v>18</v>
      </c>
      <c r="P2035" s="40">
        <f>IFERROR(VLOOKUP("188mg LP - EU Stock",Controls!A:J,5,0),0)</f>
        <v>16200</v>
      </c>
      <c r="Q2035" s="39">
        <f>IFERROR(VLOOKUP("188mg LP - EU Stock",Controls!A:J,6,0),3)</f>
        <v>3</v>
      </c>
      <c r="R2035" s="21" t="str">
        <f>IFERROR(VLOOKUP("188mg LP - EU Stock",Controls!A:K,10,0),"")</f>
        <v>Patheon (L&amp;P EU)</v>
      </c>
      <c r="S2035" s="41">
        <f t="shared" si="239"/>
        <v>47818</v>
      </c>
      <c r="T2035" s="30">
        <f t="shared" si="240"/>
        <v>0</v>
      </c>
      <c r="W2035" s="205" t="s">
        <v>1016</v>
      </c>
      <c r="X2035" t="str" cm="1">
        <f t="array" ref="X2035">IF(61&lt;Controls!$B$7,INDEX(F1974:F2152,MATCH(Controls!$B$5,A1974:A2152,1)+61),"")</f>
        <v/>
      </c>
      <c r="Y2035" t="str" cm="1">
        <f t="array" ref="Y2035">IF(61&lt;Controls!$B$7,INDEX(G1974:G2152,MATCH(Controls!$B$5,A1974:A2152,1)+61),"")</f>
        <v/>
      </c>
      <c r="Z2035" t="str" cm="1">
        <f t="array" ref="Z2035">IF(61&lt;Controls!$B$7,INDEX(H1974:H2152,MATCH(Controls!$B$5,A1974:A2152,1)+61),"")</f>
        <v/>
      </c>
      <c r="AA2035" t="str" cm="1">
        <f t="array" ref="AA2035">IF(61&lt;Controls!$B$7,INDEX(M1974:M2152,MATCH(Controls!$B$5,A1974:A2152,1)+61)*INDEX(I1974:I2152,MATCH(Controls!$B$5,A1974:A2152,1)+61),"")</f>
        <v/>
      </c>
      <c r="AB2035">
        <f t="shared" si="241"/>
        <v>0</v>
      </c>
    </row>
    <row r="2036" spans="1:28" x14ac:dyDescent="0.35">
      <c r="A2036" s="153">
        <v>47939</v>
      </c>
      <c r="B2036" s="155" t="s">
        <v>959</v>
      </c>
      <c r="C2036" s="15" t="s">
        <v>28</v>
      </c>
      <c r="D2036" s="15" t="s">
        <v>29</v>
      </c>
      <c r="E2036" s="199">
        <f>H2035</f>
        <v>0</v>
      </c>
      <c r="F2036" s="199">
        <f>IFERROR(SUMIFS('Demand Inputs'!$BP$5:$BP$202,'Demand Inputs'!$A$5:$A$202,"188mg LP - EU Stock",'Demand Inputs'!$B$5:$B$202,"&lt;&gt;AGGREGATE",'Demand Inputs'!$E$5:$E$202,1),0)</f>
        <v>0</v>
      </c>
      <c r="G2036" s="199" cm="1">
        <f t="array" ref="G2036">IFERROR(SUMPRODUCT(('Production Inputs'!$A:$A="188mg LP - EU Stock")*('Production Inputs'!$B:$B="TOTAL ACTIVE")*'Production Inputs'!$BV:$BV),0)</f>
        <v>0</v>
      </c>
      <c r="H2036" s="199">
        <f t="shared" si="235"/>
        <v>0</v>
      </c>
      <c r="I2036" s="30">
        <f ca="1">IFERROR(AVERAGEIF(OFFSET(F2036,0,0,MIN(Controls!$B$8,COUNTIF(B2036:B$2152,B2036)),1),"&gt;"&amp;0),0)</f>
        <v>0</v>
      </c>
      <c r="J2036" s="38">
        <f t="shared" ca="1" si="236"/>
        <v>0</v>
      </c>
      <c r="K2036" s="30">
        <f t="shared" ca="1" si="237"/>
        <v>0</v>
      </c>
      <c r="L2036" t="str">
        <f t="shared" si="238"/>
        <v>High</v>
      </c>
      <c r="M2036" s="39">
        <f>IFERROR(VLOOKUP("188mg LP - EU Stock",Controls!A:I,7,0),6)</f>
        <v>9</v>
      </c>
      <c r="N2036" s="39">
        <f>IFERROR(VLOOKUP("188mg LP - EU Stock",Controls!A:I,8,0),3)</f>
        <v>8</v>
      </c>
      <c r="O2036" s="39">
        <f>IFERROR(VLOOKUP("188mg LP - EU Stock",Controls!A:I,9,0),18)</f>
        <v>18</v>
      </c>
      <c r="P2036" s="40">
        <f>IFERROR(VLOOKUP("188mg LP - EU Stock",Controls!A:J,5,0),0)</f>
        <v>16200</v>
      </c>
      <c r="Q2036" s="39">
        <f>IFERROR(VLOOKUP("188mg LP - EU Stock",Controls!A:J,6,0),3)</f>
        <v>3</v>
      </c>
      <c r="R2036" s="21" t="str">
        <f>IFERROR(VLOOKUP("188mg LP - EU Stock",Controls!A:K,10,0),"")</f>
        <v>Patheon (L&amp;P EU)</v>
      </c>
      <c r="S2036" s="41">
        <f t="shared" si="239"/>
        <v>47849</v>
      </c>
      <c r="T2036" s="30">
        <f t="shared" si="240"/>
        <v>0</v>
      </c>
      <c r="W2036" s="205" t="s">
        <v>1017</v>
      </c>
      <c r="X2036" t="str" cm="1">
        <f t="array" ref="X2036">IF(62&lt;Controls!$B$7,INDEX(F1974:F2152,MATCH(Controls!$B$5,A1974:A2152,1)+62),"")</f>
        <v/>
      </c>
      <c r="Y2036" t="str" cm="1">
        <f t="array" ref="Y2036">IF(62&lt;Controls!$B$7,INDEX(G1974:G2152,MATCH(Controls!$B$5,A1974:A2152,1)+62),"")</f>
        <v/>
      </c>
      <c r="Z2036" t="str" cm="1">
        <f t="array" ref="Z2036">IF(62&lt;Controls!$B$7,INDEX(H1974:H2152,MATCH(Controls!$B$5,A1974:A2152,1)+62),"")</f>
        <v/>
      </c>
      <c r="AA2036" t="str" cm="1">
        <f t="array" ref="AA2036">IF(62&lt;Controls!$B$7,INDEX(M1974:M2152,MATCH(Controls!$B$5,A1974:A2152,1)+62)*INDEX(I1974:I2152,MATCH(Controls!$B$5,A1974:A2152,1)+62),"")</f>
        <v/>
      </c>
      <c r="AB2036">
        <f t="shared" si="241"/>
        <v>0</v>
      </c>
    </row>
    <row r="2037" spans="1:28" x14ac:dyDescent="0.35">
      <c r="A2037" s="153">
        <v>47969</v>
      </c>
      <c r="B2037" s="155" t="s">
        <v>959</v>
      </c>
      <c r="C2037" s="15" t="s">
        <v>28</v>
      </c>
      <c r="D2037" s="15" t="s">
        <v>29</v>
      </c>
      <c r="E2037" s="199">
        <f>H2036</f>
        <v>0</v>
      </c>
      <c r="F2037" s="199">
        <f>IFERROR(SUMIFS('Demand Inputs'!$BQ$5:$BQ$202,'Demand Inputs'!$A$5:$A$202,"188mg LP - EU Stock",'Demand Inputs'!$B$5:$B$202,"&lt;&gt;AGGREGATE",'Demand Inputs'!$E$5:$E$202,1),0)</f>
        <v>0</v>
      </c>
      <c r="G2037" s="199" cm="1">
        <f t="array" ref="G2037">IFERROR(SUMPRODUCT(('Production Inputs'!$A:$A="188mg LP - EU Stock")*('Production Inputs'!$B:$B="TOTAL ACTIVE")*'Production Inputs'!$BW:$BW),0)</f>
        <v>0</v>
      </c>
      <c r="H2037" s="199">
        <f t="shared" si="235"/>
        <v>0</v>
      </c>
      <c r="I2037" s="30">
        <f ca="1">IFERROR(AVERAGEIF(OFFSET(F2037,0,0,MIN(Controls!$B$8,COUNTIF(B2037:B$2152,B2037)),1),"&gt;"&amp;0),0)</f>
        <v>0</v>
      </c>
      <c r="J2037" s="38">
        <f t="shared" ca="1" si="236"/>
        <v>0</v>
      </c>
      <c r="K2037" s="30">
        <f t="shared" ca="1" si="237"/>
        <v>0</v>
      </c>
      <c r="L2037" t="str">
        <f t="shared" si="238"/>
        <v>High</v>
      </c>
      <c r="M2037" s="39">
        <f>IFERROR(VLOOKUP("188mg LP - EU Stock",Controls!A:I,7,0),6)</f>
        <v>9</v>
      </c>
      <c r="N2037" s="39">
        <f>IFERROR(VLOOKUP("188mg LP - EU Stock",Controls!A:I,8,0),3)</f>
        <v>8</v>
      </c>
      <c r="O2037" s="39">
        <f>IFERROR(VLOOKUP("188mg LP - EU Stock",Controls!A:I,9,0),18)</f>
        <v>18</v>
      </c>
      <c r="P2037" s="40">
        <f>IFERROR(VLOOKUP("188mg LP - EU Stock",Controls!A:J,5,0),0)</f>
        <v>16200</v>
      </c>
      <c r="Q2037" s="39">
        <f>IFERROR(VLOOKUP("188mg LP - EU Stock",Controls!A:J,6,0),3)</f>
        <v>3</v>
      </c>
      <c r="R2037" s="21" t="str">
        <f>IFERROR(VLOOKUP("188mg LP - EU Stock",Controls!A:K,10,0),"")</f>
        <v>Patheon (L&amp;P EU)</v>
      </c>
      <c r="S2037" s="41">
        <f t="shared" si="239"/>
        <v>47880</v>
      </c>
      <c r="T2037" s="30">
        <f t="shared" si="240"/>
        <v>0</v>
      </c>
      <c r="W2037" s="205" t="s">
        <v>1018</v>
      </c>
      <c r="X2037" t="str" cm="1">
        <f t="array" ref="X2037">IF(63&lt;Controls!$B$7,INDEX(F1974:F2152,MATCH(Controls!$B$5,A1974:A2152,1)+63),"")</f>
        <v/>
      </c>
      <c r="Y2037" t="str" cm="1">
        <f t="array" ref="Y2037">IF(63&lt;Controls!$B$7,INDEX(G1974:G2152,MATCH(Controls!$B$5,A1974:A2152,1)+63),"")</f>
        <v/>
      </c>
      <c r="Z2037" t="str" cm="1">
        <f t="array" ref="Z2037">IF(63&lt;Controls!$B$7,INDEX(H1974:H2152,MATCH(Controls!$B$5,A1974:A2152,1)+63),"")</f>
        <v/>
      </c>
      <c r="AA2037" t="str" cm="1">
        <f t="array" ref="AA2037">IF(63&lt;Controls!$B$7,INDEX(M1974:M2152,MATCH(Controls!$B$5,A1974:A2152,1)+63)*INDEX(I1974:I2152,MATCH(Controls!$B$5,A1974:A2152,1)+63),"")</f>
        <v/>
      </c>
      <c r="AB2037">
        <f t="shared" si="241"/>
        <v>0</v>
      </c>
    </row>
    <row r="2038" spans="1:28" x14ac:dyDescent="0.35">
      <c r="A2038" s="153">
        <v>48000</v>
      </c>
      <c r="B2038" s="155" t="s">
        <v>959</v>
      </c>
      <c r="C2038" s="15" t="s">
        <v>28</v>
      </c>
      <c r="D2038" s="15" t="s">
        <v>29</v>
      </c>
      <c r="E2038" s="199">
        <f>H2037</f>
        <v>0</v>
      </c>
      <c r="F2038" s="199">
        <f>IFERROR(SUMIFS('Demand Inputs'!$BR$5:$BR$202,'Demand Inputs'!$A$5:$A$202,"188mg LP - EU Stock",'Demand Inputs'!$B$5:$B$202,"&lt;&gt;AGGREGATE",'Demand Inputs'!$E$5:$E$202,1),0)</f>
        <v>0</v>
      </c>
      <c r="G2038" s="199" cm="1">
        <f t="array" ref="G2038">IFERROR(SUMPRODUCT(('Production Inputs'!$A:$A="188mg LP - EU Stock")*('Production Inputs'!$B:$B="TOTAL ACTIVE")*'Production Inputs'!$BX:$BX),0)</f>
        <v>0</v>
      </c>
      <c r="H2038" s="199">
        <f t="shared" ref="H2038:H2101" si="242">E2038+G2038-F2038</f>
        <v>0</v>
      </c>
      <c r="I2038" s="30">
        <f ca="1">IFERROR(AVERAGEIF(OFFSET(F2038,0,0,MIN(Controls!$B$8,COUNTIF(B2038:B$2152,B2038)),1),"&gt;"&amp;0),0)</f>
        <v>0</v>
      </c>
      <c r="J2038" s="38">
        <f t="shared" ref="J2038:J2101" ca="1" si="243">IFERROR(H2038/I2038,IF(H2038&gt;0,999,0))</f>
        <v>0</v>
      </c>
      <c r="K2038" s="30">
        <f t="shared" ref="K2038:K2101" ca="1" si="244">IFERROR(IF(H2038&lt;(N2038*I2038), CEILING(MAX(0,ROUND((M2038*I2038-H2038)/P2038,0)*P2038),P2038), 0), 0)</f>
        <v>0</v>
      </c>
      <c r="L2038" t="str">
        <f t="shared" ref="L2038:L2101" si="245">IF(H2038&lt;=0,"High",IF(J2038&lt;N2038,"High",IF(J2038&lt;M2038,"Medium",IF(J2038&gt;O2038,"Overstock","Low"))))</f>
        <v>High</v>
      </c>
      <c r="M2038" s="39">
        <f>IFERROR(VLOOKUP("188mg LP - EU Stock",Controls!A:I,7,0),6)</f>
        <v>9</v>
      </c>
      <c r="N2038" s="39">
        <f>IFERROR(VLOOKUP("188mg LP - EU Stock",Controls!A:I,8,0),3)</f>
        <v>8</v>
      </c>
      <c r="O2038" s="39">
        <f>IFERROR(VLOOKUP("188mg LP - EU Stock",Controls!A:I,9,0),18)</f>
        <v>18</v>
      </c>
      <c r="P2038" s="40">
        <f>IFERROR(VLOOKUP("188mg LP - EU Stock",Controls!A:J,5,0),0)</f>
        <v>16200</v>
      </c>
      <c r="Q2038" s="39">
        <f>IFERROR(VLOOKUP("188mg LP - EU Stock",Controls!A:J,6,0),3)</f>
        <v>3</v>
      </c>
      <c r="R2038" s="21" t="str">
        <f>IFERROR(VLOOKUP("188mg LP - EU Stock",Controls!A:K,10,0),"")</f>
        <v>Patheon (L&amp;P EU)</v>
      </c>
      <c r="S2038" s="41">
        <f t="shared" ref="S2038:S2101" si="246">IFERROR(EDATE(A2038,-Q2038),"")</f>
        <v>47908</v>
      </c>
      <c r="T2038" s="30">
        <f t="shared" ref="T2038:T2101" si="247">G2038</f>
        <v>0</v>
      </c>
      <c r="W2038" s="205" t="s">
        <v>1019</v>
      </c>
      <c r="X2038" t="str" cm="1">
        <f t="array" ref="X2038">IF(64&lt;Controls!$B$7,INDEX(F1974:F2152,MATCH(Controls!$B$5,A1974:A2152,1)+64),"")</f>
        <v/>
      </c>
      <c r="Y2038" t="str" cm="1">
        <f t="array" ref="Y2038">IF(64&lt;Controls!$B$7,INDEX(G1974:G2152,MATCH(Controls!$B$5,A1974:A2152,1)+64),"")</f>
        <v/>
      </c>
      <c r="Z2038" t="str" cm="1">
        <f t="array" ref="Z2038">IF(64&lt;Controls!$B$7,INDEX(H1974:H2152,MATCH(Controls!$B$5,A1974:A2152,1)+64),"")</f>
        <v/>
      </c>
      <c r="AA2038" t="str" cm="1">
        <f t="array" ref="AA2038">IF(64&lt;Controls!$B$7,INDEX(M1974:M2152,MATCH(Controls!$B$5,A1974:A2152,1)+64)*INDEX(I1974:I2152,MATCH(Controls!$B$5,A1974:A2152,1)+64),"")</f>
        <v/>
      </c>
      <c r="AB2038">
        <f t="shared" si="241"/>
        <v>0</v>
      </c>
    </row>
    <row r="2039" spans="1:28" x14ac:dyDescent="0.35">
      <c r="A2039" s="153">
        <v>48030</v>
      </c>
      <c r="B2039" s="155" t="s">
        <v>959</v>
      </c>
      <c r="C2039" s="15" t="s">
        <v>28</v>
      </c>
      <c r="D2039" s="15" t="s">
        <v>29</v>
      </c>
      <c r="E2039" s="199">
        <f>H2038</f>
        <v>0</v>
      </c>
      <c r="F2039" s="199">
        <f>IFERROR(SUMIFS('Demand Inputs'!$BS$5:$BS$202,'Demand Inputs'!$A$5:$A$202,"188mg LP - EU Stock",'Demand Inputs'!$B$5:$B$202,"&lt;&gt;AGGREGATE",'Demand Inputs'!$E$5:$E$202,1),0)</f>
        <v>0</v>
      </c>
      <c r="G2039" s="199" cm="1">
        <f t="array" ref="G2039">IFERROR(SUMPRODUCT(('Production Inputs'!$A:$A="188mg LP - EU Stock")*('Production Inputs'!$B:$B="TOTAL ACTIVE")*'Production Inputs'!$BY:$BY),0)</f>
        <v>0</v>
      </c>
      <c r="H2039" s="199">
        <f t="shared" si="242"/>
        <v>0</v>
      </c>
      <c r="I2039" s="30">
        <f ca="1">IFERROR(AVERAGEIF(OFFSET(F2039,0,0,MIN(Controls!$B$8,COUNTIF(B2039:B$2152,B2039)),1),"&gt;"&amp;0),0)</f>
        <v>0</v>
      </c>
      <c r="J2039" s="38">
        <f t="shared" ca="1" si="243"/>
        <v>0</v>
      </c>
      <c r="K2039" s="30">
        <f t="shared" ca="1" si="244"/>
        <v>0</v>
      </c>
      <c r="L2039" t="str">
        <f t="shared" si="245"/>
        <v>High</v>
      </c>
      <c r="M2039" s="39">
        <f>IFERROR(VLOOKUP("188mg LP - EU Stock",Controls!A:I,7,0),6)</f>
        <v>9</v>
      </c>
      <c r="N2039" s="39">
        <f>IFERROR(VLOOKUP("188mg LP - EU Stock",Controls!A:I,8,0),3)</f>
        <v>8</v>
      </c>
      <c r="O2039" s="39">
        <f>IFERROR(VLOOKUP("188mg LP - EU Stock",Controls!A:I,9,0),18)</f>
        <v>18</v>
      </c>
      <c r="P2039" s="40">
        <f>IFERROR(VLOOKUP("188mg LP - EU Stock",Controls!A:J,5,0),0)</f>
        <v>16200</v>
      </c>
      <c r="Q2039" s="39">
        <f>IFERROR(VLOOKUP("188mg LP - EU Stock",Controls!A:J,6,0),3)</f>
        <v>3</v>
      </c>
      <c r="R2039" s="21" t="str">
        <f>IFERROR(VLOOKUP("188mg LP - EU Stock",Controls!A:K,10,0),"")</f>
        <v>Patheon (L&amp;P EU)</v>
      </c>
      <c r="S2039" s="41">
        <f t="shared" si="246"/>
        <v>47939</v>
      </c>
      <c r="T2039" s="30">
        <f t="shared" si="247"/>
        <v>0</v>
      </c>
      <c r="W2039" s="205" t="s">
        <v>1020</v>
      </c>
      <c r="X2039" t="str" cm="1">
        <f t="array" ref="X2039">IF(65&lt;Controls!$B$7,INDEX(F1974:F2152,MATCH(Controls!$B$5,A1974:A2152,1)+65),"")</f>
        <v/>
      </c>
      <c r="Y2039" t="str" cm="1">
        <f t="array" ref="Y2039">IF(65&lt;Controls!$B$7,INDEX(G1974:G2152,MATCH(Controls!$B$5,A1974:A2152,1)+65),"")</f>
        <v/>
      </c>
      <c r="Z2039" t="str" cm="1">
        <f t="array" ref="Z2039">IF(65&lt;Controls!$B$7,INDEX(H1974:H2152,MATCH(Controls!$B$5,A1974:A2152,1)+65),"")</f>
        <v/>
      </c>
      <c r="AA2039" t="str" cm="1">
        <f t="array" ref="AA2039">IF(65&lt;Controls!$B$7,INDEX(M1974:M2152,MATCH(Controls!$B$5,A1974:A2152,1)+65)*INDEX(I1974:I2152,MATCH(Controls!$B$5,A1974:A2152,1)+65),"")</f>
        <v/>
      </c>
      <c r="AB2039">
        <f t="shared" si="241"/>
        <v>0</v>
      </c>
    </row>
    <row r="2040" spans="1:28" x14ac:dyDescent="0.35">
      <c r="A2040" s="153">
        <v>48061</v>
      </c>
      <c r="B2040" s="155" t="s">
        <v>959</v>
      </c>
      <c r="C2040" s="15" t="s">
        <v>28</v>
      </c>
      <c r="D2040" s="15" t="s">
        <v>29</v>
      </c>
      <c r="E2040" s="199">
        <f>H2039</f>
        <v>0</v>
      </c>
      <c r="F2040" s="199">
        <f>IFERROR(SUMIFS('Demand Inputs'!$BT$5:$BT$202,'Demand Inputs'!$A$5:$A$202,"188mg LP - EU Stock",'Demand Inputs'!$B$5:$B$202,"&lt;&gt;AGGREGATE",'Demand Inputs'!$E$5:$E$202,1),0)</f>
        <v>0</v>
      </c>
      <c r="G2040" s="199" cm="1">
        <f t="array" ref="G2040">IFERROR(SUMPRODUCT(('Production Inputs'!$A:$A="188mg LP - EU Stock")*('Production Inputs'!$B:$B="TOTAL ACTIVE")*'Production Inputs'!$BZ:$BZ),0)</f>
        <v>0</v>
      </c>
      <c r="H2040" s="199">
        <f t="shared" si="242"/>
        <v>0</v>
      </c>
      <c r="I2040" s="30">
        <f ca="1">IFERROR(AVERAGEIF(OFFSET(F2040,0,0,MIN(Controls!$B$8,COUNTIF(B2040:B$2152,B2040)),1),"&gt;"&amp;0),0)</f>
        <v>0</v>
      </c>
      <c r="J2040" s="38">
        <f t="shared" ca="1" si="243"/>
        <v>0</v>
      </c>
      <c r="K2040" s="30">
        <f t="shared" ca="1" si="244"/>
        <v>0</v>
      </c>
      <c r="L2040" t="str">
        <f t="shared" si="245"/>
        <v>High</v>
      </c>
      <c r="M2040" s="39">
        <f>IFERROR(VLOOKUP("188mg LP - EU Stock",Controls!A:I,7,0),6)</f>
        <v>9</v>
      </c>
      <c r="N2040" s="39">
        <f>IFERROR(VLOOKUP("188mg LP - EU Stock",Controls!A:I,8,0),3)</f>
        <v>8</v>
      </c>
      <c r="O2040" s="39">
        <f>IFERROR(VLOOKUP("188mg LP - EU Stock",Controls!A:I,9,0),18)</f>
        <v>18</v>
      </c>
      <c r="P2040" s="40">
        <f>IFERROR(VLOOKUP("188mg LP - EU Stock",Controls!A:J,5,0),0)</f>
        <v>16200</v>
      </c>
      <c r="Q2040" s="39">
        <f>IFERROR(VLOOKUP("188mg LP - EU Stock",Controls!A:J,6,0),3)</f>
        <v>3</v>
      </c>
      <c r="R2040" s="21" t="str">
        <f>IFERROR(VLOOKUP("188mg LP - EU Stock",Controls!A:K,10,0),"")</f>
        <v>Patheon (L&amp;P EU)</v>
      </c>
      <c r="S2040" s="41">
        <f t="shared" si="246"/>
        <v>47969</v>
      </c>
      <c r="T2040" s="30">
        <f t="shared" si="247"/>
        <v>0</v>
      </c>
      <c r="W2040" s="205" t="s">
        <v>1021</v>
      </c>
      <c r="X2040" t="str" cm="1">
        <f t="array" ref="X2040">IF(66&lt;Controls!$B$7,INDEX(F1974:F2152,MATCH(Controls!$B$5,A1974:A2152,1)+66),"")</f>
        <v/>
      </c>
      <c r="Y2040" t="str" cm="1">
        <f t="array" ref="Y2040">IF(66&lt;Controls!$B$7,INDEX(G1974:G2152,MATCH(Controls!$B$5,A1974:A2152,1)+66),"")</f>
        <v/>
      </c>
      <c r="Z2040" t="str" cm="1">
        <f t="array" ref="Z2040">IF(66&lt;Controls!$B$7,INDEX(H1974:H2152,MATCH(Controls!$B$5,A1974:A2152,1)+66),"")</f>
        <v/>
      </c>
      <c r="AA2040" t="str" cm="1">
        <f t="array" ref="AA2040">IF(66&lt;Controls!$B$7,INDEX(M1974:M2152,MATCH(Controls!$B$5,A1974:A2152,1)+66)*INDEX(I1974:I2152,MATCH(Controls!$B$5,A1974:A2152,1)+66),"")</f>
        <v/>
      </c>
      <c r="AB2040">
        <f t="shared" si="241"/>
        <v>0</v>
      </c>
    </row>
    <row r="2041" spans="1:28" x14ac:dyDescent="0.35">
      <c r="A2041" s="153">
        <v>48092</v>
      </c>
      <c r="B2041" s="155" t="s">
        <v>959</v>
      </c>
      <c r="C2041" s="15" t="s">
        <v>28</v>
      </c>
      <c r="D2041" s="15" t="s">
        <v>29</v>
      </c>
      <c r="E2041" s="199">
        <f>H2040</f>
        <v>0</v>
      </c>
      <c r="F2041" s="199">
        <f>IFERROR(SUMIFS('Demand Inputs'!$BU$5:$BU$202,'Demand Inputs'!$A$5:$A$202,"188mg LP - EU Stock",'Demand Inputs'!$B$5:$B$202,"&lt;&gt;AGGREGATE",'Demand Inputs'!$E$5:$E$202,1),0)</f>
        <v>0</v>
      </c>
      <c r="G2041" s="199" cm="1">
        <f t="array" ref="G2041">IFERROR(SUMPRODUCT(('Production Inputs'!$A:$A="188mg LP - EU Stock")*('Production Inputs'!$B:$B="TOTAL ACTIVE")*'Production Inputs'!$CA:$CA),0)</f>
        <v>0</v>
      </c>
      <c r="H2041" s="199">
        <f t="shared" si="242"/>
        <v>0</v>
      </c>
      <c r="I2041" s="30">
        <f ca="1">IFERROR(AVERAGEIF(OFFSET(F2041,0,0,MIN(Controls!$B$8,COUNTIF(B2041:B$2152,B2041)),1),"&gt;"&amp;0),0)</f>
        <v>0</v>
      </c>
      <c r="J2041" s="38">
        <f t="shared" ca="1" si="243"/>
        <v>0</v>
      </c>
      <c r="K2041" s="30">
        <f t="shared" ca="1" si="244"/>
        <v>0</v>
      </c>
      <c r="L2041" t="str">
        <f t="shared" si="245"/>
        <v>High</v>
      </c>
      <c r="M2041" s="39">
        <f>IFERROR(VLOOKUP("188mg LP - EU Stock",Controls!A:I,7,0),6)</f>
        <v>9</v>
      </c>
      <c r="N2041" s="39">
        <f>IFERROR(VLOOKUP("188mg LP - EU Stock",Controls!A:I,8,0),3)</f>
        <v>8</v>
      </c>
      <c r="O2041" s="39">
        <f>IFERROR(VLOOKUP("188mg LP - EU Stock",Controls!A:I,9,0),18)</f>
        <v>18</v>
      </c>
      <c r="P2041" s="40">
        <f>IFERROR(VLOOKUP("188mg LP - EU Stock",Controls!A:J,5,0),0)</f>
        <v>16200</v>
      </c>
      <c r="Q2041" s="39">
        <f>IFERROR(VLOOKUP("188mg LP - EU Stock",Controls!A:J,6,0),3)</f>
        <v>3</v>
      </c>
      <c r="R2041" s="21" t="str">
        <f>IFERROR(VLOOKUP("188mg LP - EU Stock",Controls!A:K,10,0),"")</f>
        <v>Patheon (L&amp;P EU)</v>
      </c>
      <c r="S2041" s="41">
        <f t="shared" si="246"/>
        <v>48000</v>
      </c>
      <c r="T2041" s="30">
        <f t="shared" si="247"/>
        <v>0</v>
      </c>
      <c r="W2041" s="205" t="s">
        <v>1022</v>
      </c>
      <c r="X2041" t="str" cm="1">
        <f t="array" ref="X2041">IF(67&lt;Controls!$B$7,INDEX(F1974:F2152,MATCH(Controls!$B$5,A1974:A2152,1)+67),"")</f>
        <v/>
      </c>
      <c r="Y2041" t="str" cm="1">
        <f t="array" ref="Y2041">IF(67&lt;Controls!$B$7,INDEX(G1974:G2152,MATCH(Controls!$B$5,A1974:A2152,1)+67),"")</f>
        <v/>
      </c>
      <c r="Z2041" t="str" cm="1">
        <f t="array" ref="Z2041">IF(67&lt;Controls!$B$7,INDEX(H1974:H2152,MATCH(Controls!$B$5,A1974:A2152,1)+67),"")</f>
        <v/>
      </c>
      <c r="AA2041" t="str" cm="1">
        <f t="array" ref="AA2041">IF(67&lt;Controls!$B$7,INDEX(M1974:M2152,MATCH(Controls!$B$5,A1974:A2152,1)+67)*INDEX(I1974:I2152,MATCH(Controls!$B$5,A1974:A2152,1)+67),"")</f>
        <v/>
      </c>
      <c r="AB2041">
        <f t="shared" si="241"/>
        <v>0</v>
      </c>
    </row>
    <row r="2042" spans="1:28" x14ac:dyDescent="0.35">
      <c r="A2042" s="153">
        <v>48122</v>
      </c>
      <c r="B2042" s="155" t="s">
        <v>959</v>
      </c>
      <c r="C2042" s="15" t="s">
        <v>28</v>
      </c>
      <c r="D2042" s="15" t="s">
        <v>29</v>
      </c>
      <c r="E2042" s="199">
        <f>H2041</f>
        <v>0</v>
      </c>
      <c r="F2042" s="199">
        <f>IFERROR(SUMIFS('Demand Inputs'!$BV$5:$BV$202,'Demand Inputs'!$A$5:$A$202,"188mg LP - EU Stock",'Demand Inputs'!$B$5:$B$202,"&lt;&gt;AGGREGATE",'Demand Inputs'!$E$5:$E$202,1),0)</f>
        <v>0</v>
      </c>
      <c r="G2042" s="199" cm="1">
        <f t="array" ref="G2042">IFERROR(SUMPRODUCT(('Production Inputs'!$A:$A="188mg LP - EU Stock")*('Production Inputs'!$B:$B="TOTAL ACTIVE")*'Production Inputs'!$CB:$CB),0)</f>
        <v>0</v>
      </c>
      <c r="H2042" s="199">
        <f t="shared" si="242"/>
        <v>0</v>
      </c>
      <c r="I2042" s="30">
        <f ca="1">IFERROR(AVERAGEIF(OFFSET(F2042,0,0,MIN(Controls!$B$8,COUNTIF(B2042:B$2152,B2042)),1),"&gt;"&amp;0),0)</f>
        <v>0</v>
      </c>
      <c r="J2042" s="38">
        <f t="shared" ca="1" si="243"/>
        <v>0</v>
      </c>
      <c r="K2042" s="30">
        <f t="shared" ca="1" si="244"/>
        <v>0</v>
      </c>
      <c r="L2042" t="str">
        <f t="shared" si="245"/>
        <v>High</v>
      </c>
      <c r="M2042" s="39">
        <f>IFERROR(VLOOKUP("188mg LP - EU Stock",Controls!A:I,7,0),6)</f>
        <v>9</v>
      </c>
      <c r="N2042" s="39">
        <f>IFERROR(VLOOKUP("188mg LP - EU Stock",Controls!A:I,8,0),3)</f>
        <v>8</v>
      </c>
      <c r="O2042" s="39">
        <f>IFERROR(VLOOKUP("188mg LP - EU Stock",Controls!A:I,9,0),18)</f>
        <v>18</v>
      </c>
      <c r="P2042" s="40">
        <f>IFERROR(VLOOKUP("188mg LP - EU Stock",Controls!A:J,5,0),0)</f>
        <v>16200</v>
      </c>
      <c r="Q2042" s="39">
        <f>IFERROR(VLOOKUP("188mg LP - EU Stock",Controls!A:J,6,0),3)</f>
        <v>3</v>
      </c>
      <c r="R2042" s="21" t="str">
        <f>IFERROR(VLOOKUP("188mg LP - EU Stock",Controls!A:K,10,0),"")</f>
        <v>Patheon (L&amp;P EU)</v>
      </c>
      <c r="S2042" s="41">
        <f t="shared" si="246"/>
        <v>48030</v>
      </c>
      <c r="T2042" s="30">
        <f t="shared" si="247"/>
        <v>0</v>
      </c>
      <c r="W2042" s="205" t="s">
        <v>1023</v>
      </c>
      <c r="X2042" t="str" cm="1">
        <f t="array" ref="X2042">IF(68&lt;Controls!$B$7,INDEX(F1974:F2152,MATCH(Controls!$B$5,A1974:A2152,1)+68),"")</f>
        <v/>
      </c>
      <c r="Y2042" t="str" cm="1">
        <f t="array" ref="Y2042">IF(68&lt;Controls!$B$7,INDEX(G1974:G2152,MATCH(Controls!$B$5,A1974:A2152,1)+68),"")</f>
        <v/>
      </c>
      <c r="Z2042" t="str" cm="1">
        <f t="array" ref="Z2042">IF(68&lt;Controls!$B$7,INDEX(H1974:H2152,MATCH(Controls!$B$5,A1974:A2152,1)+68),"")</f>
        <v/>
      </c>
      <c r="AA2042" t="str" cm="1">
        <f t="array" ref="AA2042">IF(68&lt;Controls!$B$7,INDEX(M1974:M2152,MATCH(Controls!$B$5,A1974:A2152,1)+68)*INDEX(I1974:I2152,MATCH(Controls!$B$5,A1974:A2152,1)+68),"")</f>
        <v/>
      </c>
      <c r="AB2042">
        <f t="shared" si="241"/>
        <v>0</v>
      </c>
    </row>
    <row r="2043" spans="1:28" x14ac:dyDescent="0.35">
      <c r="A2043" s="153">
        <v>48153</v>
      </c>
      <c r="B2043" s="155" t="s">
        <v>959</v>
      </c>
      <c r="C2043" s="15" t="s">
        <v>28</v>
      </c>
      <c r="D2043" s="15" t="s">
        <v>29</v>
      </c>
      <c r="E2043" s="199">
        <f>H2042</f>
        <v>0</v>
      </c>
      <c r="F2043" s="199">
        <f>IFERROR(SUMIFS('Demand Inputs'!$BW$5:$BW$202,'Demand Inputs'!$A$5:$A$202,"188mg LP - EU Stock",'Demand Inputs'!$B$5:$B$202,"&lt;&gt;AGGREGATE",'Demand Inputs'!$E$5:$E$202,1),0)</f>
        <v>0</v>
      </c>
      <c r="G2043" s="199" cm="1">
        <f t="array" ref="G2043">IFERROR(SUMPRODUCT(('Production Inputs'!$A:$A="188mg LP - EU Stock")*('Production Inputs'!$B:$B="TOTAL ACTIVE")*'Production Inputs'!$CC:$CC),0)</f>
        <v>0</v>
      </c>
      <c r="H2043" s="199">
        <f t="shared" si="242"/>
        <v>0</v>
      </c>
      <c r="I2043" s="30">
        <f ca="1">IFERROR(AVERAGEIF(OFFSET(F2043,0,0,MIN(Controls!$B$8,COUNTIF(B2043:B$2152,B2043)),1),"&gt;"&amp;0),0)</f>
        <v>0</v>
      </c>
      <c r="J2043" s="38">
        <f t="shared" ca="1" si="243"/>
        <v>0</v>
      </c>
      <c r="K2043" s="30">
        <f t="shared" ca="1" si="244"/>
        <v>0</v>
      </c>
      <c r="L2043" t="str">
        <f t="shared" si="245"/>
        <v>High</v>
      </c>
      <c r="M2043" s="39">
        <f>IFERROR(VLOOKUP("188mg LP - EU Stock",Controls!A:I,7,0),6)</f>
        <v>9</v>
      </c>
      <c r="N2043" s="39">
        <f>IFERROR(VLOOKUP("188mg LP - EU Stock",Controls!A:I,8,0),3)</f>
        <v>8</v>
      </c>
      <c r="O2043" s="39">
        <f>IFERROR(VLOOKUP("188mg LP - EU Stock",Controls!A:I,9,0),18)</f>
        <v>18</v>
      </c>
      <c r="P2043" s="40">
        <f>IFERROR(VLOOKUP("188mg LP - EU Stock",Controls!A:J,5,0),0)</f>
        <v>16200</v>
      </c>
      <c r="Q2043" s="39">
        <f>IFERROR(VLOOKUP("188mg LP - EU Stock",Controls!A:J,6,0),3)</f>
        <v>3</v>
      </c>
      <c r="R2043" s="21" t="str">
        <f>IFERROR(VLOOKUP("188mg LP - EU Stock",Controls!A:K,10,0),"")</f>
        <v>Patheon (L&amp;P EU)</v>
      </c>
      <c r="S2043" s="41">
        <f t="shared" si="246"/>
        <v>48061</v>
      </c>
      <c r="T2043" s="30">
        <f t="shared" si="247"/>
        <v>0</v>
      </c>
      <c r="W2043" s="205" t="s">
        <v>1024</v>
      </c>
      <c r="X2043" t="str" cm="1">
        <f t="array" ref="X2043">IF(69&lt;Controls!$B$7,INDEX(F1974:F2152,MATCH(Controls!$B$5,A1974:A2152,1)+69),"")</f>
        <v/>
      </c>
      <c r="Y2043" t="str" cm="1">
        <f t="array" ref="Y2043">IF(69&lt;Controls!$B$7,INDEX(G1974:G2152,MATCH(Controls!$B$5,A1974:A2152,1)+69),"")</f>
        <v/>
      </c>
      <c r="Z2043" t="str" cm="1">
        <f t="array" ref="Z2043">IF(69&lt;Controls!$B$7,INDEX(H1974:H2152,MATCH(Controls!$B$5,A1974:A2152,1)+69),"")</f>
        <v/>
      </c>
      <c r="AA2043" t="str" cm="1">
        <f t="array" ref="AA2043">IF(69&lt;Controls!$B$7,INDEX(M1974:M2152,MATCH(Controls!$B$5,A1974:A2152,1)+69)*INDEX(I1974:I2152,MATCH(Controls!$B$5,A1974:A2152,1)+69),"")</f>
        <v/>
      </c>
      <c r="AB2043">
        <f t="shared" si="241"/>
        <v>0</v>
      </c>
    </row>
    <row r="2044" spans="1:28" x14ac:dyDescent="0.35">
      <c r="A2044" s="153">
        <v>48183</v>
      </c>
      <c r="B2044" s="155" t="s">
        <v>959</v>
      </c>
      <c r="C2044" s="15" t="s">
        <v>28</v>
      </c>
      <c r="D2044" s="15" t="s">
        <v>29</v>
      </c>
      <c r="E2044" s="199">
        <f>H2043</f>
        <v>0</v>
      </c>
      <c r="F2044" s="199">
        <f>IFERROR(SUMIFS('Demand Inputs'!$BX$5:$BX$202,'Demand Inputs'!$A$5:$A$202,"188mg LP - EU Stock",'Demand Inputs'!$B$5:$B$202,"&lt;&gt;AGGREGATE",'Demand Inputs'!$E$5:$E$202,1),0)</f>
        <v>0</v>
      </c>
      <c r="G2044" s="199" cm="1">
        <f t="array" ref="G2044">IFERROR(SUMPRODUCT(('Production Inputs'!$A:$A="188mg LP - EU Stock")*('Production Inputs'!$B:$B="TOTAL ACTIVE")*'Production Inputs'!$CD:$CD),0)</f>
        <v>0</v>
      </c>
      <c r="H2044" s="199">
        <f t="shared" si="242"/>
        <v>0</v>
      </c>
      <c r="I2044" s="30">
        <f ca="1">IFERROR(AVERAGEIF(OFFSET(F2044,0,0,MIN(Controls!$B$8,COUNTIF(B2044:B$2152,B2044)),1),"&gt;"&amp;0),0)</f>
        <v>0</v>
      </c>
      <c r="J2044" s="38">
        <f t="shared" ca="1" si="243"/>
        <v>0</v>
      </c>
      <c r="K2044" s="30">
        <f t="shared" ca="1" si="244"/>
        <v>0</v>
      </c>
      <c r="L2044" t="str">
        <f t="shared" si="245"/>
        <v>High</v>
      </c>
      <c r="M2044" s="39">
        <f>IFERROR(VLOOKUP("188mg LP - EU Stock",Controls!A:I,7,0),6)</f>
        <v>9</v>
      </c>
      <c r="N2044" s="39">
        <f>IFERROR(VLOOKUP("188mg LP - EU Stock",Controls!A:I,8,0),3)</f>
        <v>8</v>
      </c>
      <c r="O2044" s="39">
        <f>IFERROR(VLOOKUP("188mg LP - EU Stock",Controls!A:I,9,0),18)</f>
        <v>18</v>
      </c>
      <c r="P2044" s="40">
        <f>IFERROR(VLOOKUP("188mg LP - EU Stock",Controls!A:J,5,0),0)</f>
        <v>16200</v>
      </c>
      <c r="Q2044" s="39">
        <f>IFERROR(VLOOKUP("188mg LP - EU Stock",Controls!A:J,6,0),3)</f>
        <v>3</v>
      </c>
      <c r="R2044" s="21" t="str">
        <f>IFERROR(VLOOKUP("188mg LP - EU Stock",Controls!A:K,10,0),"")</f>
        <v>Patheon (L&amp;P EU)</v>
      </c>
      <c r="S2044" s="41">
        <f t="shared" si="246"/>
        <v>48092</v>
      </c>
      <c r="T2044" s="30">
        <f t="shared" si="247"/>
        <v>0</v>
      </c>
      <c r="W2044" s="205" t="s">
        <v>1025</v>
      </c>
      <c r="X2044" t="str" cm="1">
        <f t="array" ref="X2044">IF(70&lt;Controls!$B$7,INDEX(F1974:F2152,MATCH(Controls!$B$5,A1974:A2152,1)+70),"")</f>
        <v/>
      </c>
      <c r="Y2044" t="str" cm="1">
        <f t="array" ref="Y2044">IF(70&lt;Controls!$B$7,INDEX(G1974:G2152,MATCH(Controls!$B$5,A1974:A2152,1)+70),"")</f>
        <v/>
      </c>
      <c r="Z2044" t="str" cm="1">
        <f t="array" ref="Z2044">IF(70&lt;Controls!$B$7,INDEX(H1974:H2152,MATCH(Controls!$B$5,A1974:A2152,1)+70),"")</f>
        <v/>
      </c>
      <c r="AA2044" t="str" cm="1">
        <f t="array" ref="AA2044">IF(70&lt;Controls!$B$7,INDEX(M1974:M2152,MATCH(Controls!$B$5,A1974:A2152,1)+70)*INDEX(I1974:I2152,MATCH(Controls!$B$5,A1974:A2152,1)+70),"")</f>
        <v/>
      </c>
      <c r="AB2044">
        <f t="shared" si="241"/>
        <v>0</v>
      </c>
    </row>
    <row r="2045" spans="1:28" x14ac:dyDescent="0.35">
      <c r="A2045" s="153">
        <v>48214</v>
      </c>
      <c r="B2045" s="155" t="s">
        <v>959</v>
      </c>
      <c r="C2045" s="15" t="s">
        <v>28</v>
      </c>
      <c r="D2045" s="15" t="s">
        <v>29</v>
      </c>
      <c r="E2045" s="199">
        <f>H2044</f>
        <v>0</v>
      </c>
      <c r="F2045" s="199">
        <f>IFERROR(SUMIFS('Demand Inputs'!$BY$5:$BY$202,'Demand Inputs'!$A$5:$A$202,"188mg LP - EU Stock",'Demand Inputs'!$B$5:$B$202,"&lt;&gt;AGGREGATE",'Demand Inputs'!$E$5:$E$202,1),0)</f>
        <v>0</v>
      </c>
      <c r="G2045" s="199" cm="1">
        <f t="array" ref="G2045">IFERROR(SUMPRODUCT(('Production Inputs'!$A:$A="188mg LP - EU Stock")*('Production Inputs'!$B:$B="TOTAL ACTIVE")*'Production Inputs'!$CE:$CE),0)</f>
        <v>0</v>
      </c>
      <c r="H2045" s="199">
        <f t="shared" si="242"/>
        <v>0</v>
      </c>
      <c r="I2045" s="30">
        <f ca="1">IFERROR(AVERAGEIF(OFFSET(F2045,0,0,MIN(Controls!$B$8,COUNTIF(B2045:B$2152,B2045)),1),"&gt;"&amp;0),0)</f>
        <v>0</v>
      </c>
      <c r="J2045" s="38">
        <f t="shared" ca="1" si="243"/>
        <v>0</v>
      </c>
      <c r="K2045" s="30">
        <f t="shared" ca="1" si="244"/>
        <v>0</v>
      </c>
      <c r="L2045" t="str">
        <f t="shared" si="245"/>
        <v>High</v>
      </c>
      <c r="M2045" s="39">
        <f>IFERROR(VLOOKUP("188mg LP - EU Stock",Controls!A:I,7,0),6)</f>
        <v>9</v>
      </c>
      <c r="N2045" s="39">
        <f>IFERROR(VLOOKUP("188mg LP - EU Stock",Controls!A:I,8,0),3)</f>
        <v>8</v>
      </c>
      <c r="O2045" s="39">
        <f>IFERROR(VLOOKUP("188mg LP - EU Stock",Controls!A:I,9,0),18)</f>
        <v>18</v>
      </c>
      <c r="P2045" s="40">
        <f>IFERROR(VLOOKUP("188mg LP - EU Stock",Controls!A:J,5,0),0)</f>
        <v>16200</v>
      </c>
      <c r="Q2045" s="39">
        <f>IFERROR(VLOOKUP("188mg LP - EU Stock",Controls!A:J,6,0),3)</f>
        <v>3</v>
      </c>
      <c r="R2045" s="21" t="str">
        <f>IFERROR(VLOOKUP("188mg LP - EU Stock",Controls!A:K,10,0),"")</f>
        <v>Patheon (L&amp;P EU)</v>
      </c>
      <c r="S2045" s="41">
        <f t="shared" si="246"/>
        <v>48122</v>
      </c>
      <c r="T2045" s="30">
        <f t="shared" si="247"/>
        <v>0</v>
      </c>
      <c r="W2045" s="205" t="s">
        <v>1026</v>
      </c>
      <c r="X2045" t="str" cm="1">
        <f t="array" ref="X2045">IF(71&lt;Controls!$B$7,INDEX(F1974:F2152,MATCH(Controls!$B$5,A1974:A2152,1)+71),"")</f>
        <v/>
      </c>
      <c r="Y2045" t="str" cm="1">
        <f t="array" ref="Y2045">IF(71&lt;Controls!$B$7,INDEX(G1974:G2152,MATCH(Controls!$B$5,A1974:A2152,1)+71),"")</f>
        <v/>
      </c>
      <c r="Z2045" t="str" cm="1">
        <f t="array" ref="Z2045">IF(71&lt;Controls!$B$7,INDEX(H1974:H2152,MATCH(Controls!$B$5,A1974:A2152,1)+71),"")</f>
        <v/>
      </c>
      <c r="AA2045" t="str" cm="1">
        <f t="array" ref="AA2045">IF(71&lt;Controls!$B$7,INDEX(M1974:M2152,MATCH(Controls!$B$5,A1974:A2152,1)+71)*INDEX(I1974:I2152,MATCH(Controls!$B$5,A1974:A2152,1)+71),"")</f>
        <v/>
      </c>
      <c r="AB2045">
        <f t="shared" si="241"/>
        <v>0</v>
      </c>
    </row>
    <row r="2046" spans="1:28" x14ac:dyDescent="0.35">
      <c r="A2046" s="153">
        <v>48245</v>
      </c>
      <c r="B2046" s="155" t="s">
        <v>959</v>
      </c>
      <c r="C2046" s="15" t="s">
        <v>28</v>
      </c>
      <c r="D2046" s="15" t="s">
        <v>29</v>
      </c>
      <c r="E2046" s="199">
        <f>H2045</f>
        <v>0</v>
      </c>
      <c r="F2046" s="199">
        <f>IFERROR(SUMIFS('Demand Inputs'!$BZ$5:$BZ$202,'Demand Inputs'!$A$5:$A$202,"188mg LP - EU Stock",'Demand Inputs'!$B$5:$B$202,"&lt;&gt;AGGREGATE",'Demand Inputs'!$E$5:$E$202,1),0)</f>
        <v>0</v>
      </c>
      <c r="G2046" s="199" cm="1">
        <f t="array" ref="G2046">IFERROR(SUMPRODUCT(('Production Inputs'!$A:$A="188mg LP - EU Stock")*('Production Inputs'!$B:$B="TOTAL ACTIVE")*'Production Inputs'!$CF:$CF),0)</f>
        <v>0</v>
      </c>
      <c r="H2046" s="199">
        <f t="shared" si="242"/>
        <v>0</v>
      </c>
      <c r="I2046" s="30">
        <f ca="1">IFERROR(AVERAGEIF(OFFSET(F2046,0,0,MIN(Controls!$B$8,COUNTIF(B2046:B$2152,B2046)),1),"&gt;"&amp;0),0)</f>
        <v>0</v>
      </c>
      <c r="J2046" s="38">
        <f t="shared" ca="1" si="243"/>
        <v>0</v>
      </c>
      <c r="K2046" s="30">
        <f t="shared" ca="1" si="244"/>
        <v>0</v>
      </c>
      <c r="L2046" t="str">
        <f t="shared" si="245"/>
        <v>High</v>
      </c>
      <c r="M2046" s="39">
        <f>IFERROR(VLOOKUP("188mg LP - EU Stock",Controls!A:I,7,0),6)</f>
        <v>9</v>
      </c>
      <c r="N2046" s="39">
        <f>IFERROR(VLOOKUP("188mg LP - EU Stock",Controls!A:I,8,0),3)</f>
        <v>8</v>
      </c>
      <c r="O2046" s="39">
        <f>IFERROR(VLOOKUP("188mg LP - EU Stock",Controls!A:I,9,0),18)</f>
        <v>18</v>
      </c>
      <c r="P2046" s="40">
        <f>IFERROR(VLOOKUP("188mg LP - EU Stock",Controls!A:J,5,0),0)</f>
        <v>16200</v>
      </c>
      <c r="Q2046" s="39">
        <f>IFERROR(VLOOKUP("188mg LP - EU Stock",Controls!A:J,6,0),3)</f>
        <v>3</v>
      </c>
      <c r="R2046" s="21" t="str">
        <f>IFERROR(VLOOKUP("188mg LP - EU Stock",Controls!A:K,10,0),"")</f>
        <v>Patheon (L&amp;P EU)</v>
      </c>
      <c r="S2046" s="41">
        <f t="shared" si="246"/>
        <v>48153</v>
      </c>
      <c r="T2046" s="30">
        <f t="shared" si="247"/>
        <v>0</v>
      </c>
      <c r="W2046" s="205" t="s">
        <v>1027</v>
      </c>
      <c r="X2046" t="str" cm="1">
        <f t="array" ref="X2046">IF(72&lt;Controls!$B$7,INDEX(F1974:F2152,MATCH(Controls!$B$5,A1974:A2152,1)+72),"")</f>
        <v/>
      </c>
      <c r="Y2046" t="str" cm="1">
        <f t="array" ref="Y2046">IF(72&lt;Controls!$B$7,INDEX(G1974:G2152,MATCH(Controls!$B$5,A1974:A2152,1)+72),"")</f>
        <v/>
      </c>
      <c r="Z2046" t="str" cm="1">
        <f t="array" ref="Z2046">IF(72&lt;Controls!$B$7,INDEX(H1974:H2152,MATCH(Controls!$B$5,A1974:A2152,1)+72),"")</f>
        <v/>
      </c>
      <c r="AA2046" t="str" cm="1">
        <f t="array" ref="AA2046">IF(72&lt;Controls!$B$7,INDEX(M1974:M2152,MATCH(Controls!$B$5,A1974:A2152,1)+72)*INDEX(I1974:I2152,MATCH(Controls!$B$5,A1974:A2152,1)+72),"")</f>
        <v/>
      </c>
      <c r="AB2046">
        <f t="shared" si="241"/>
        <v>0</v>
      </c>
    </row>
    <row r="2047" spans="1:28" x14ac:dyDescent="0.35">
      <c r="A2047" s="153">
        <v>48274</v>
      </c>
      <c r="B2047" s="155" t="s">
        <v>959</v>
      </c>
      <c r="C2047" s="15" t="s">
        <v>28</v>
      </c>
      <c r="D2047" s="15" t="s">
        <v>29</v>
      </c>
      <c r="E2047" s="199">
        <f>H2046</f>
        <v>0</v>
      </c>
      <c r="F2047" s="199">
        <f>IFERROR(SUMIFS('Demand Inputs'!$CA$5:$CA$202,'Demand Inputs'!$A$5:$A$202,"188mg LP - EU Stock",'Demand Inputs'!$B$5:$B$202,"&lt;&gt;AGGREGATE",'Demand Inputs'!$E$5:$E$202,1),0)</f>
        <v>0</v>
      </c>
      <c r="G2047" s="199" cm="1">
        <f t="array" ref="G2047">IFERROR(SUMPRODUCT(('Production Inputs'!$A:$A="188mg LP - EU Stock")*('Production Inputs'!$B:$B="TOTAL ACTIVE")*'Production Inputs'!$CG:$CG),0)</f>
        <v>0</v>
      </c>
      <c r="H2047" s="199">
        <f t="shared" si="242"/>
        <v>0</v>
      </c>
      <c r="I2047" s="30">
        <f ca="1">IFERROR(AVERAGEIF(OFFSET(F2047,0,0,MIN(Controls!$B$8,COUNTIF(B2047:B$2152,B2047)),1),"&gt;"&amp;0),0)</f>
        <v>0</v>
      </c>
      <c r="J2047" s="38">
        <f t="shared" ca="1" si="243"/>
        <v>0</v>
      </c>
      <c r="K2047" s="30">
        <f t="shared" ca="1" si="244"/>
        <v>0</v>
      </c>
      <c r="L2047" t="str">
        <f t="shared" si="245"/>
        <v>High</v>
      </c>
      <c r="M2047" s="39">
        <f>IFERROR(VLOOKUP("188mg LP - EU Stock",Controls!A:I,7,0),6)</f>
        <v>9</v>
      </c>
      <c r="N2047" s="39">
        <f>IFERROR(VLOOKUP("188mg LP - EU Stock",Controls!A:I,8,0),3)</f>
        <v>8</v>
      </c>
      <c r="O2047" s="39">
        <f>IFERROR(VLOOKUP("188mg LP - EU Stock",Controls!A:I,9,0),18)</f>
        <v>18</v>
      </c>
      <c r="P2047" s="40">
        <f>IFERROR(VLOOKUP("188mg LP - EU Stock",Controls!A:J,5,0),0)</f>
        <v>16200</v>
      </c>
      <c r="Q2047" s="39">
        <f>IFERROR(VLOOKUP("188mg LP - EU Stock",Controls!A:J,6,0),3)</f>
        <v>3</v>
      </c>
      <c r="R2047" s="21" t="str">
        <f>IFERROR(VLOOKUP("188mg LP - EU Stock",Controls!A:K,10,0),"")</f>
        <v>Patheon (L&amp;P EU)</v>
      </c>
      <c r="S2047" s="41">
        <f t="shared" si="246"/>
        <v>48183</v>
      </c>
      <c r="T2047" s="30">
        <f t="shared" si="247"/>
        <v>0</v>
      </c>
      <c r="W2047" s="205" t="s">
        <v>1028</v>
      </c>
      <c r="X2047" t="str" cm="1">
        <f t="array" ref="X2047">IF(73&lt;Controls!$B$7,INDEX(F1974:F2152,MATCH(Controls!$B$5,A1974:A2152,1)+73),"")</f>
        <v/>
      </c>
      <c r="Y2047" t="str" cm="1">
        <f t="array" ref="Y2047">IF(73&lt;Controls!$B$7,INDEX(G1974:G2152,MATCH(Controls!$B$5,A1974:A2152,1)+73),"")</f>
        <v/>
      </c>
      <c r="Z2047" t="str" cm="1">
        <f t="array" ref="Z2047">IF(73&lt;Controls!$B$7,INDEX(H1974:H2152,MATCH(Controls!$B$5,A1974:A2152,1)+73),"")</f>
        <v/>
      </c>
      <c r="AA2047" t="str" cm="1">
        <f t="array" ref="AA2047">IF(73&lt;Controls!$B$7,INDEX(M1974:M2152,MATCH(Controls!$B$5,A1974:A2152,1)+73)*INDEX(I1974:I2152,MATCH(Controls!$B$5,A1974:A2152,1)+73),"")</f>
        <v/>
      </c>
      <c r="AB2047">
        <f t="shared" si="241"/>
        <v>0</v>
      </c>
    </row>
    <row r="2048" spans="1:28" x14ac:dyDescent="0.35">
      <c r="A2048" s="153">
        <v>48305</v>
      </c>
      <c r="B2048" s="155" t="s">
        <v>959</v>
      </c>
      <c r="C2048" s="15" t="s">
        <v>28</v>
      </c>
      <c r="D2048" s="15" t="s">
        <v>29</v>
      </c>
      <c r="E2048" s="199">
        <f>H2047</f>
        <v>0</v>
      </c>
      <c r="F2048" s="199">
        <f>IFERROR(SUMIFS('Demand Inputs'!$CB$5:$CB$202,'Demand Inputs'!$A$5:$A$202,"188mg LP - EU Stock",'Demand Inputs'!$B$5:$B$202,"&lt;&gt;AGGREGATE",'Demand Inputs'!$E$5:$E$202,1),0)</f>
        <v>0</v>
      </c>
      <c r="G2048" s="199" cm="1">
        <f t="array" ref="G2048">IFERROR(SUMPRODUCT(('Production Inputs'!$A:$A="188mg LP - EU Stock")*('Production Inputs'!$B:$B="TOTAL ACTIVE")*'Production Inputs'!$CH:$CH),0)</f>
        <v>0</v>
      </c>
      <c r="H2048" s="199">
        <f t="shared" si="242"/>
        <v>0</v>
      </c>
      <c r="I2048" s="30">
        <f ca="1">IFERROR(AVERAGEIF(OFFSET(F2048,0,0,MIN(Controls!$B$8,COUNTIF(B2048:B$2152,B2048)),1),"&gt;"&amp;0),0)</f>
        <v>0</v>
      </c>
      <c r="J2048" s="38">
        <f t="shared" ca="1" si="243"/>
        <v>0</v>
      </c>
      <c r="K2048" s="30">
        <f t="shared" ca="1" si="244"/>
        <v>0</v>
      </c>
      <c r="L2048" t="str">
        <f t="shared" si="245"/>
        <v>High</v>
      </c>
      <c r="M2048" s="39">
        <f>IFERROR(VLOOKUP("188mg LP - EU Stock",Controls!A:I,7,0),6)</f>
        <v>9</v>
      </c>
      <c r="N2048" s="39">
        <f>IFERROR(VLOOKUP("188mg LP - EU Stock",Controls!A:I,8,0),3)</f>
        <v>8</v>
      </c>
      <c r="O2048" s="39">
        <f>IFERROR(VLOOKUP("188mg LP - EU Stock",Controls!A:I,9,0),18)</f>
        <v>18</v>
      </c>
      <c r="P2048" s="40">
        <f>IFERROR(VLOOKUP("188mg LP - EU Stock",Controls!A:J,5,0),0)</f>
        <v>16200</v>
      </c>
      <c r="Q2048" s="39">
        <f>IFERROR(VLOOKUP("188mg LP - EU Stock",Controls!A:J,6,0),3)</f>
        <v>3</v>
      </c>
      <c r="R2048" s="21" t="str">
        <f>IFERROR(VLOOKUP("188mg LP - EU Stock",Controls!A:K,10,0),"")</f>
        <v>Patheon (L&amp;P EU)</v>
      </c>
      <c r="S2048" s="41">
        <f t="shared" si="246"/>
        <v>48214</v>
      </c>
      <c r="T2048" s="30">
        <f t="shared" si="247"/>
        <v>0</v>
      </c>
      <c r="W2048" s="205" t="s">
        <v>1029</v>
      </c>
      <c r="X2048" t="str" cm="1">
        <f t="array" ref="X2048">IF(74&lt;Controls!$B$7,INDEX(F1974:F2152,MATCH(Controls!$B$5,A1974:A2152,1)+74),"")</f>
        <v/>
      </c>
      <c r="Y2048" t="str" cm="1">
        <f t="array" ref="Y2048">IF(74&lt;Controls!$B$7,INDEX(G1974:G2152,MATCH(Controls!$B$5,A1974:A2152,1)+74),"")</f>
        <v/>
      </c>
      <c r="Z2048" t="str" cm="1">
        <f t="array" ref="Z2048">IF(74&lt;Controls!$B$7,INDEX(H1974:H2152,MATCH(Controls!$B$5,A1974:A2152,1)+74),"")</f>
        <v/>
      </c>
      <c r="AA2048" t="str" cm="1">
        <f t="array" ref="AA2048">IF(74&lt;Controls!$B$7,INDEX(M1974:M2152,MATCH(Controls!$B$5,A1974:A2152,1)+74)*INDEX(I1974:I2152,MATCH(Controls!$B$5,A1974:A2152,1)+74),"")</f>
        <v/>
      </c>
      <c r="AB2048">
        <f t="shared" si="241"/>
        <v>0</v>
      </c>
    </row>
    <row r="2049" spans="1:28" x14ac:dyDescent="0.35">
      <c r="A2049" s="153">
        <v>48335</v>
      </c>
      <c r="B2049" s="155" t="s">
        <v>959</v>
      </c>
      <c r="C2049" s="15" t="s">
        <v>28</v>
      </c>
      <c r="D2049" s="15" t="s">
        <v>29</v>
      </c>
      <c r="E2049" s="199">
        <f>H2048</f>
        <v>0</v>
      </c>
      <c r="F2049" s="199">
        <f>IFERROR(SUMIFS('Demand Inputs'!$CC$5:$CC$202,'Demand Inputs'!$A$5:$A$202,"188mg LP - EU Stock",'Demand Inputs'!$B$5:$B$202,"&lt;&gt;AGGREGATE",'Demand Inputs'!$E$5:$E$202,1),0)</f>
        <v>0</v>
      </c>
      <c r="G2049" s="199" cm="1">
        <f t="array" ref="G2049">IFERROR(SUMPRODUCT(('Production Inputs'!$A:$A="188mg LP - EU Stock")*('Production Inputs'!$B:$B="TOTAL ACTIVE")*'Production Inputs'!$CI:$CI),0)</f>
        <v>0</v>
      </c>
      <c r="H2049" s="199">
        <f t="shared" si="242"/>
        <v>0</v>
      </c>
      <c r="I2049" s="30">
        <f ca="1">IFERROR(AVERAGEIF(OFFSET(F2049,0,0,MIN(Controls!$B$8,COUNTIF(B2049:B$2152,B2049)),1),"&gt;"&amp;0),0)</f>
        <v>0</v>
      </c>
      <c r="J2049" s="38">
        <f t="shared" ca="1" si="243"/>
        <v>0</v>
      </c>
      <c r="K2049" s="30">
        <f t="shared" ca="1" si="244"/>
        <v>0</v>
      </c>
      <c r="L2049" t="str">
        <f t="shared" si="245"/>
        <v>High</v>
      </c>
      <c r="M2049" s="39">
        <f>IFERROR(VLOOKUP("188mg LP - EU Stock",Controls!A:I,7,0),6)</f>
        <v>9</v>
      </c>
      <c r="N2049" s="39">
        <f>IFERROR(VLOOKUP("188mg LP - EU Stock",Controls!A:I,8,0),3)</f>
        <v>8</v>
      </c>
      <c r="O2049" s="39">
        <f>IFERROR(VLOOKUP("188mg LP - EU Stock",Controls!A:I,9,0),18)</f>
        <v>18</v>
      </c>
      <c r="P2049" s="40">
        <f>IFERROR(VLOOKUP("188mg LP - EU Stock",Controls!A:J,5,0),0)</f>
        <v>16200</v>
      </c>
      <c r="Q2049" s="39">
        <f>IFERROR(VLOOKUP("188mg LP - EU Stock",Controls!A:J,6,0),3)</f>
        <v>3</v>
      </c>
      <c r="R2049" s="21" t="str">
        <f>IFERROR(VLOOKUP("188mg LP - EU Stock",Controls!A:K,10,0),"")</f>
        <v>Patheon (L&amp;P EU)</v>
      </c>
      <c r="S2049" s="41">
        <f t="shared" si="246"/>
        <v>48245</v>
      </c>
      <c r="T2049" s="30">
        <f t="shared" si="247"/>
        <v>0</v>
      </c>
      <c r="W2049" s="205" t="s">
        <v>1030</v>
      </c>
      <c r="X2049" t="str" cm="1">
        <f t="array" ref="X2049">IF(75&lt;Controls!$B$7,INDEX(F1974:F2152,MATCH(Controls!$B$5,A1974:A2152,1)+75),"")</f>
        <v/>
      </c>
      <c r="Y2049" t="str" cm="1">
        <f t="array" ref="Y2049">IF(75&lt;Controls!$B$7,INDEX(G1974:G2152,MATCH(Controls!$B$5,A1974:A2152,1)+75),"")</f>
        <v/>
      </c>
      <c r="Z2049" t="str" cm="1">
        <f t="array" ref="Z2049">IF(75&lt;Controls!$B$7,INDEX(H1974:H2152,MATCH(Controls!$B$5,A1974:A2152,1)+75),"")</f>
        <v/>
      </c>
      <c r="AA2049" t="str" cm="1">
        <f t="array" ref="AA2049">IF(75&lt;Controls!$B$7,INDEX(M1974:M2152,MATCH(Controls!$B$5,A1974:A2152,1)+75)*INDEX(I1974:I2152,MATCH(Controls!$B$5,A1974:A2152,1)+75),"")</f>
        <v/>
      </c>
      <c r="AB2049">
        <f t="shared" si="241"/>
        <v>0</v>
      </c>
    </row>
    <row r="2050" spans="1:28" x14ac:dyDescent="0.35">
      <c r="A2050" s="153">
        <v>48366</v>
      </c>
      <c r="B2050" s="155" t="s">
        <v>959</v>
      </c>
      <c r="C2050" s="15" t="s">
        <v>28</v>
      </c>
      <c r="D2050" s="15" t="s">
        <v>29</v>
      </c>
      <c r="E2050" s="199">
        <f>H2049</f>
        <v>0</v>
      </c>
      <c r="F2050" s="199">
        <f>IFERROR(SUMIFS('Demand Inputs'!$CD$5:$CD$202,'Demand Inputs'!$A$5:$A$202,"188mg LP - EU Stock",'Demand Inputs'!$B$5:$B$202,"&lt;&gt;AGGREGATE",'Demand Inputs'!$E$5:$E$202,1),0)</f>
        <v>0</v>
      </c>
      <c r="G2050" s="199" cm="1">
        <f t="array" ref="G2050">IFERROR(SUMPRODUCT(('Production Inputs'!$A:$A="188mg LP - EU Stock")*('Production Inputs'!$B:$B="TOTAL ACTIVE")*'Production Inputs'!$CJ:$CJ),0)</f>
        <v>0</v>
      </c>
      <c r="H2050" s="199">
        <f t="shared" si="242"/>
        <v>0</v>
      </c>
      <c r="I2050" s="30">
        <f ca="1">IFERROR(AVERAGEIF(OFFSET(F2050,0,0,MIN(Controls!$B$8,COUNTIF(B2050:B$2152,B2050)),1),"&gt;"&amp;0),0)</f>
        <v>0</v>
      </c>
      <c r="J2050" s="38">
        <f t="shared" ca="1" si="243"/>
        <v>0</v>
      </c>
      <c r="K2050" s="30">
        <f t="shared" ca="1" si="244"/>
        <v>0</v>
      </c>
      <c r="L2050" t="str">
        <f t="shared" si="245"/>
        <v>High</v>
      </c>
      <c r="M2050" s="39">
        <f>IFERROR(VLOOKUP("188mg LP - EU Stock",Controls!A:I,7,0),6)</f>
        <v>9</v>
      </c>
      <c r="N2050" s="39">
        <f>IFERROR(VLOOKUP("188mg LP - EU Stock",Controls!A:I,8,0),3)</f>
        <v>8</v>
      </c>
      <c r="O2050" s="39">
        <f>IFERROR(VLOOKUP("188mg LP - EU Stock",Controls!A:I,9,0),18)</f>
        <v>18</v>
      </c>
      <c r="P2050" s="40">
        <f>IFERROR(VLOOKUP("188mg LP - EU Stock",Controls!A:J,5,0),0)</f>
        <v>16200</v>
      </c>
      <c r="Q2050" s="39">
        <f>IFERROR(VLOOKUP("188mg LP - EU Stock",Controls!A:J,6,0),3)</f>
        <v>3</v>
      </c>
      <c r="R2050" s="21" t="str">
        <f>IFERROR(VLOOKUP("188mg LP - EU Stock",Controls!A:K,10,0),"")</f>
        <v>Patheon (L&amp;P EU)</v>
      </c>
      <c r="S2050" s="41">
        <f t="shared" si="246"/>
        <v>48274</v>
      </c>
      <c r="T2050" s="30">
        <f t="shared" si="247"/>
        <v>0</v>
      </c>
      <c r="W2050" s="205" t="s">
        <v>1031</v>
      </c>
      <c r="X2050" t="str" cm="1">
        <f t="array" ref="X2050">IF(76&lt;Controls!$B$7,INDEX(F1974:F2152,MATCH(Controls!$B$5,A1974:A2152,1)+76),"")</f>
        <v/>
      </c>
      <c r="Y2050" t="str" cm="1">
        <f t="array" ref="Y2050">IF(76&lt;Controls!$B$7,INDEX(G1974:G2152,MATCH(Controls!$B$5,A1974:A2152,1)+76),"")</f>
        <v/>
      </c>
      <c r="Z2050" t="str" cm="1">
        <f t="array" ref="Z2050">IF(76&lt;Controls!$B$7,INDEX(H1974:H2152,MATCH(Controls!$B$5,A1974:A2152,1)+76),"")</f>
        <v/>
      </c>
      <c r="AA2050" t="str" cm="1">
        <f t="array" ref="AA2050">IF(76&lt;Controls!$B$7,INDEX(M1974:M2152,MATCH(Controls!$B$5,A1974:A2152,1)+76)*INDEX(I1974:I2152,MATCH(Controls!$B$5,A1974:A2152,1)+76),"")</f>
        <v/>
      </c>
      <c r="AB2050">
        <f t="shared" si="241"/>
        <v>0</v>
      </c>
    </row>
    <row r="2051" spans="1:28" x14ac:dyDescent="0.35">
      <c r="A2051" s="153">
        <v>48396</v>
      </c>
      <c r="B2051" s="155" t="s">
        <v>959</v>
      </c>
      <c r="C2051" s="15" t="s">
        <v>28</v>
      </c>
      <c r="D2051" s="15" t="s">
        <v>29</v>
      </c>
      <c r="E2051" s="199">
        <f>H2050</f>
        <v>0</v>
      </c>
      <c r="F2051" s="199">
        <f>IFERROR(SUMIFS('Demand Inputs'!$CE$5:$CE$202,'Demand Inputs'!$A$5:$A$202,"188mg LP - EU Stock",'Demand Inputs'!$B$5:$B$202,"&lt;&gt;AGGREGATE",'Demand Inputs'!$E$5:$E$202,1),0)</f>
        <v>0</v>
      </c>
      <c r="G2051" s="199" cm="1">
        <f t="array" ref="G2051">IFERROR(SUMPRODUCT(('Production Inputs'!$A:$A="188mg LP - EU Stock")*('Production Inputs'!$B:$B="TOTAL ACTIVE")*'Production Inputs'!$CK:$CK),0)</f>
        <v>0</v>
      </c>
      <c r="H2051" s="199">
        <f t="shared" si="242"/>
        <v>0</v>
      </c>
      <c r="I2051" s="30">
        <f ca="1">IFERROR(AVERAGEIF(OFFSET(F2051,0,0,MIN(Controls!$B$8,COUNTIF(B2051:B$2152,B2051)),1),"&gt;"&amp;0),0)</f>
        <v>0</v>
      </c>
      <c r="J2051" s="38">
        <f t="shared" ca="1" si="243"/>
        <v>0</v>
      </c>
      <c r="K2051" s="30">
        <f t="shared" ca="1" si="244"/>
        <v>0</v>
      </c>
      <c r="L2051" t="str">
        <f t="shared" si="245"/>
        <v>High</v>
      </c>
      <c r="M2051" s="39">
        <f>IFERROR(VLOOKUP("188mg LP - EU Stock",Controls!A:I,7,0),6)</f>
        <v>9</v>
      </c>
      <c r="N2051" s="39">
        <f>IFERROR(VLOOKUP("188mg LP - EU Stock",Controls!A:I,8,0),3)</f>
        <v>8</v>
      </c>
      <c r="O2051" s="39">
        <f>IFERROR(VLOOKUP("188mg LP - EU Stock",Controls!A:I,9,0),18)</f>
        <v>18</v>
      </c>
      <c r="P2051" s="40">
        <f>IFERROR(VLOOKUP("188mg LP - EU Stock",Controls!A:J,5,0),0)</f>
        <v>16200</v>
      </c>
      <c r="Q2051" s="39">
        <f>IFERROR(VLOOKUP("188mg LP - EU Stock",Controls!A:J,6,0),3)</f>
        <v>3</v>
      </c>
      <c r="R2051" s="21" t="str">
        <f>IFERROR(VLOOKUP("188mg LP - EU Stock",Controls!A:K,10,0),"")</f>
        <v>Patheon (L&amp;P EU)</v>
      </c>
      <c r="S2051" s="41">
        <f t="shared" si="246"/>
        <v>48305</v>
      </c>
      <c r="T2051" s="30">
        <f t="shared" si="247"/>
        <v>0</v>
      </c>
      <c r="W2051" s="205" t="s">
        <v>1032</v>
      </c>
      <c r="X2051" t="str" cm="1">
        <f t="array" ref="X2051">IF(77&lt;Controls!$B$7,INDEX(F1974:F2152,MATCH(Controls!$B$5,A1974:A2152,1)+77),"")</f>
        <v/>
      </c>
      <c r="Y2051" t="str" cm="1">
        <f t="array" ref="Y2051">IF(77&lt;Controls!$B$7,INDEX(G1974:G2152,MATCH(Controls!$B$5,A1974:A2152,1)+77),"")</f>
        <v/>
      </c>
      <c r="Z2051" t="str" cm="1">
        <f t="array" ref="Z2051">IF(77&lt;Controls!$B$7,INDEX(H1974:H2152,MATCH(Controls!$B$5,A1974:A2152,1)+77),"")</f>
        <v/>
      </c>
      <c r="AA2051" t="str" cm="1">
        <f t="array" ref="AA2051">IF(77&lt;Controls!$B$7,INDEX(M1974:M2152,MATCH(Controls!$B$5,A1974:A2152,1)+77)*INDEX(I1974:I2152,MATCH(Controls!$B$5,A1974:A2152,1)+77),"")</f>
        <v/>
      </c>
      <c r="AB2051">
        <f t="shared" si="241"/>
        <v>0</v>
      </c>
    </row>
    <row r="2052" spans="1:28" x14ac:dyDescent="0.35">
      <c r="A2052" s="153">
        <v>48427</v>
      </c>
      <c r="B2052" s="155" t="s">
        <v>959</v>
      </c>
      <c r="C2052" s="15" t="s">
        <v>28</v>
      </c>
      <c r="D2052" s="15" t="s">
        <v>29</v>
      </c>
      <c r="E2052" s="199">
        <f>H2051</f>
        <v>0</v>
      </c>
      <c r="F2052" s="199">
        <f>IFERROR(SUMIFS('Demand Inputs'!$CF$5:$CF$202,'Demand Inputs'!$A$5:$A$202,"188mg LP - EU Stock",'Demand Inputs'!$B$5:$B$202,"&lt;&gt;AGGREGATE",'Demand Inputs'!$E$5:$E$202,1),0)</f>
        <v>0</v>
      </c>
      <c r="G2052" s="199" cm="1">
        <f t="array" ref="G2052">IFERROR(SUMPRODUCT(('Production Inputs'!$A:$A="188mg LP - EU Stock")*('Production Inputs'!$B:$B="TOTAL ACTIVE")*'Production Inputs'!$CL:$CL),0)</f>
        <v>0</v>
      </c>
      <c r="H2052" s="199">
        <f t="shared" si="242"/>
        <v>0</v>
      </c>
      <c r="I2052" s="30">
        <f ca="1">IFERROR(AVERAGEIF(OFFSET(F2052,0,0,MIN(Controls!$B$8,COUNTIF(B2052:B$2152,B2052)),1),"&gt;"&amp;0),0)</f>
        <v>0</v>
      </c>
      <c r="J2052" s="38">
        <f t="shared" ca="1" si="243"/>
        <v>0</v>
      </c>
      <c r="K2052" s="30">
        <f t="shared" ca="1" si="244"/>
        <v>0</v>
      </c>
      <c r="L2052" t="str">
        <f t="shared" si="245"/>
        <v>High</v>
      </c>
      <c r="M2052" s="39">
        <f>IFERROR(VLOOKUP("188mg LP - EU Stock",Controls!A:I,7,0),6)</f>
        <v>9</v>
      </c>
      <c r="N2052" s="39">
        <f>IFERROR(VLOOKUP("188mg LP - EU Stock",Controls!A:I,8,0),3)</f>
        <v>8</v>
      </c>
      <c r="O2052" s="39">
        <f>IFERROR(VLOOKUP("188mg LP - EU Stock",Controls!A:I,9,0),18)</f>
        <v>18</v>
      </c>
      <c r="P2052" s="40">
        <f>IFERROR(VLOOKUP("188mg LP - EU Stock",Controls!A:J,5,0),0)</f>
        <v>16200</v>
      </c>
      <c r="Q2052" s="39">
        <f>IFERROR(VLOOKUP("188mg LP - EU Stock",Controls!A:J,6,0),3)</f>
        <v>3</v>
      </c>
      <c r="R2052" s="21" t="str">
        <f>IFERROR(VLOOKUP("188mg LP - EU Stock",Controls!A:K,10,0),"")</f>
        <v>Patheon (L&amp;P EU)</v>
      </c>
      <c r="S2052" s="41">
        <f t="shared" si="246"/>
        <v>48335</v>
      </c>
      <c r="T2052" s="30">
        <f t="shared" si="247"/>
        <v>0</v>
      </c>
      <c r="W2052" s="205" t="s">
        <v>1033</v>
      </c>
      <c r="X2052" t="str" cm="1">
        <f t="array" ref="X2052">IF(78&lt;Controls!$B$7,INDEX(F1974:F2152,MATCH(Controls!$B$5,A1974:A2152,1)+78),"")</f>
        <v/>
      </c>
      <c r="Y2052" t="str" cm="1">
        <f t="array" ref="Y2052">IF(78&lt;Controls!$B$7,INDEX(G1974:G2152,MATCH(Controls!$B$5,A1974:A2152,1)+78),"")</f>
        <v/>
      </c>
      <c r="Z2052" t="str" cm="1">
        <f t="array" ref="Z2052">IF(78&lt;Controls!$B$7,INDEX(H1974:H2152,MATCH(Controls!$B$5,A1974:A2152,1)+78),"")</f>
        <v/>
      </c>
      <c r="AA2052" t="str" cm="1">
        <f t="array" ref="AA2052">IF(78&lt;Controls!$B$7,INDEX(M1974:M2152,MATCH(Controls!$B$5,A1974:A2152,1)+78)*INDEX(I1974:I2152,MATCH(Controls!$B$5,A1974:A2152,1)+78),"")</f>
        <v/>
      </c>
      <c r="AB2052">
        <f t="shared" si="241"/>
        <v>0</v>
      </c>
    </row>
    <row r="2053" spans="1:28" x14ac:dyDescent="0.35">
      <c r="A2053" s="153">
        <v>48458</v>
      </c>
      <c r="B2053" s="155" t="s">
        <v>959</v>
      </c>
      <c r="C2053" s="15" t="s">
        <v>28</v>
      </c>
      <c r="D2053" s="15" t="s">
        <v>29</v>
      </c>
      <c r="E2053" s="199">
        <f>H2052</f>
        <v>0</v>
      </c>
      <c r="F2053" s="199">
        <f>IFERROR(SUMIFS('Demand Inputs'!$CG$5:$CG$202,'Demand Inputs'!$A$5:$A$202,"188mg LP - EU Stock",'Demand Inputs'!$B$5:$B$202,"&lt;&gt;AGGREGATE",'Demand Inputs'!$E$5:$E$202,1),0)</f>
        <v>0</v>
      </c>
      <c r="G2053" s="199" cm="1">
        <f t="array" ref="G2053">IFERROR(SUMPRODUCT(('Production Inputs'!$A:$A="188mg LP - EU Stock")*('Production Inputs'!$B:$B="TOTAL ACTIVE")*'Production Inputs'!$CM:$CM),0)</f>
        <v>0</v>
      </c>
      <c r="H2053" s="199">
        <f t="shared" si="242"/>
        <v>0</v>
      </c>
      <c r="I2053" s="30">
        <f ca="1">IFERROR(AVERAGEIF(OFFSET(F2053,0,0,MIN(Controls!$B$8,COUNTIF(B2053:B$2152,B2053)),1),"&gt;"&amp;0),0)</f>
        <v>0</v>
      </c>
      <c r="J2053" s="38">
        <f t="shared" ca="1" si="243"/>
        <v>0</v>
      </c>
      <c r="K2053" s="30">
        <f t="shared" ca="1" si="244"/>
        <v>0</v>
      </c>
      <c r="L2053" t="str">
        <f t="shared" si="245"/>
        <v>High</v>
      </c>
      <c r="M2053" s="39">
        <f>IFERROR(VLOOKUP("188mg LP - EU Stock",Controls!A:I,7,0),6)</f>
        <v>9</v>
      </c>
      <c r="N2053" s="39">
        <f>IFERROR(VLOOKUP("188mg LP - EU Stock",Controls!A:I,8,0),3)</f>
        <v>8</v>
      </c>
      <c r="O2053" s="39">
        <f>IFERROR(VLOOKUP("188mg LP - EU Stock",Controls!A:I,9,0),18)</f>
        <v>18</v>
      </c>
      <c r="P2053" s="40">
        <f>IFERROR(VLOOKUP("188mg LP - EU Stock",Controls!A:J,5,0),0)</f>
        <v>16200</v>
      </c>
      <c r="Q2053" s="39">
        <f>IFERROR(VLOOKUP("188mg LP - EU Stock",Controls!A:J,6,0),3)</f>
        <v>3</v>
      </c>
      <c r="R2053" s="21" t="str">
        <f>IFERROR(VLOOKUP("188mg LP - EU Stock",Controls!A:K,10,0),"")</f>
        <v>Patheon (L&amp;P EU)</v>
      </c>
      <c r="S2053" s="41">
        <f t="shared" si="246"/>
        <v>48366</v>
      </c>
      <c r="T2053" s="30">
        <f t="shared" si="247"/>
        <v>0</v>
      </c>
      <c r="W2053" s="205" t="s">
        <v>1034</v>
      </c>
      <c r="X2053" t="str" cm="1">
        <f t="array" ref="X2053">IF(79&lt;Controls!$B$7,INDEX(F1974:F2152,MATCH(Controls!$B$5,A1974:A2152,1)+79),"")</f>
        <v/>
      </c>
      <c r="Y2053" t="str" cm="1">
        <f t="array" ref="Y2053">IF(79&lt;Controls!$B$7,INDEX(G1974:G2152,MATCH(Controls!$B$5,A1974:A2152,1)+79),"")</f>
        <v/>
      </c>
      <c r="Z2053" t="str" cm="1">
        <f t="array" ref="Z2053">IF(79&lt;Controls!$B$7,INDEX(H1974:H2152,MATCH(Controls!$B$5,A1974:A2152,1)+79),"")</f>
        <v/>
      </c>
      <c r="AA2053" t="str" cm="1">
        <f t="array" ref="AA2053">IF(79&lt;Controls!$B$7,INDEX(M1974:M2152,MATCH(Controls!$B$5,A1974:A2152,1)+79)*INDEX(I1974:I2152,MATCH(Controls!$B$5,A1974:A2152,1)+79),"")</f>
        <v/>
      </c>
      <c r="AB2053">
        <f t="shared" ref="AB2053:AB2116" si="248">SUMIFS($F$4:$F$2331,$B$4:$B$2331,B2053,$A$4:$A$2331,"&lt;="&amp;A2053)</f>
        <v>0</v>
      </c>
    </row>
    <row r="2054" spans="1:28" x14ac:dyDescent="0.35">
      <c r="A2054" s="153">
        <v>48488</v>
      </c>
      <c r="B2054" s="155" t="s">
        <v>959</v>
      </c>
      <c r="C2054" s="15" t="s">
        <v>28</v>
      </c>
      <c r="D2054" s="15" t="s">
        <v>29</v>
      </c>
      <c r="E2054" s="199">
        <f>H2053</f>
        <v>0</v>
      </c>
      <c r="F2054" s="199">
        <f>IFERROR(SUMIFS('Demand Inputs'!$CH$5:$CH$202,'Demand Inputs'!$A$5:$A$202,"188mg LP - EU Stock",'Demand Inputs'!$B$5:$B$202,"&lt;&gt;AGGREGATE",'Demand Inputs'!$E$5:$E$202,1),0)</f>
        <v>0</v>
      </c>
      <c r="G2054" s="199" cm="1">
        <f t="array" ref="G2054">IFERROR(SUMPRODUCT(('Production Inputs'!$A:$A="188mg LP - EU Stock")*('Production Inputs'!$B:$B="TOTAL ACTIVE")*'Production Inputs'!$CN:$CN),0)</f>
        <v>0</v>
      </c>
      <c r="H2054" s="199">
        <f t="shared" si="242"/>
        <v>0</v>
      </c>
      <c r="I2054" s="30">
        <f ca="1">IFERROR(AVERAGEIF(OFFSET(F2054,0,0,MIN(Controls!$B$8,COUNTIF(B2054:B$2152,B2054)),1),"&gt;"&amp;0),0)</f>
        <v>0</v>
      </c>
      <c r="J2054" s="38">
        <f t="shared" ca="1" si="243"/>
        <v>0</v>
      </c>
      <c r="K2054" s="30">
        <f t="shared" ca="1" si="244"/>
        <v>0</v>
      </c>
      <c r="L2054" t="str">
        <f t="shared" si="245"/>
        <v>High</v>
      </c>
      <c r="M2054" s="39">
        <f>IFERROR(VLOOKUP("188mg LP - EU Stock",Controls!A:I,7,0),6)</f>
        <v>9</v>
      </c>
      <c r="N2054" s="39">
        <f>IFERROR(VLOOKUP("188mg LP - EU Stock",Controls!A:I,8,0),3)</f>
        <v>8</v>
      </c>
      <c r="O2054" s="39">
        <f>IFERROR(VLOOKUP("188mg LP - EU Stock",Controls!A:I,9,0),18)</f>
        <v>18</v>
      </c>
      <c r="P2054" s="40">
        <f>IFERROR(VLOOKUP("188mg LP - EU Stock",Controls!A:J,5,0),0)</f>
        <v>16200</v>
      </c>
      <c r="Q2054" s="39">
        <f>IFERROR(VLOOKUP("188mg LP - EU Stock",Controls!A:J,6,0),3)</f>
        <v>3</v>
      </c>
      <c r="R2054" s="21" t="str">
        <f>IFERROR(VLOOKUP("188mg LP - EU Stock",Controls!A:K,10,0),"")</f>
        <v>Patheon (L&amp;P EU)</v>
      </c>
      <c r="S2054" s="41">
        <f t="shared" si="246"/>
        <v>48396</v>
      </c>
      <c r="T2054" s="30">
        <f t="shared" si="247"/>
        <v>0</v>
      </c>
      <c r="W2054" s="205" t="s">
        <v>1035</v>
      </c>
      <c r="X2054" t="str" cm="1">
        <f t="array" ref="X2054">IF(80&lt;Controls!$B$7,INDEX(F1974:F2152,MATCH(Controls!$B$5,A1974:A2152,1)+80),"")</f>
        <v/>
      </c>
      <c r="Y2054" t="str" cm="1">
        <f t="array" ref="Y2054">IF(80&lt;Controls!$B$7,INDEX(G1974:G2152,MATCH(Controls!$B$5,A1974:A2152,1)+80),"")</f>
        <v/>
      </c>
      <c r="Z2054" t="str" cm="1">
        <f t="array" ref="Z2054">IF(80&lt;Controls!$B$7,INDEX(H1974:H2152,MATCH(Controls!$B$5,A1974:A2152,1)+80),"")</f>
        <v/>
      </c>
      <c r="AA2054" t="str" cm="1">
        <f t="array" ref="AA2054">IF(80&lt;Controls!$B$7,INDEX(M1974:M2152,MATCH(Controls!$B$5,A1974:A2152,1)+80)*INDEX(I1974:I2152,MATCH(Controls!$B$5,A1974:A2152,1)+80),"")</f>
        <v/>
      </c>
      <c r="AB2054">
        <f t="shared" si="248"/>
        <v>0</v>
      </c>
    </row>
    <row r="2055" spans="1:28" x14ac:dyDescent="0.35">
      <c r="A2055" s="153">
        <v>48519</v>
      </c>
      <c r="B2055" s="155" t="s">
        <v>959</v>
      </c>
      <c r="C2055" s="15" t="s">
        <v>28</v>
      </c>
      <c r="D2055" s="15" t="s">
        <v>29</v>
      </c>
      <c r="E2055" s="199">
        <f>H2054</f>
        <v>0</v>
      </c>
      <c r="F2055" s="199">
        <f>IFERROR(SUMIFS('Demand Inputs'!$CI$5:$CI$202,'Demand Inputs'!$A$5:$A$202,"188mg LP - EU Stock",'Demand Inputs'!$B$5:$B$202,"&lt;&gt;AGGREGATE",'Demand Inputs'!$E$5:$E$202,1),0)</f>
        <v>0</v>
      </c>
      <c r="G2055" s="199" cm="1">
        <f t="array" ref="G2055">IFERROR(SUMPRODUCT(('Production Inputs'!$A:$A="188mg LP - EU Stock")*('Production Inputs'!$B:$B="TOTAL ACTIVE")*'Production Inputs'!$CO:$CO),0)</f>
        <v>0</v>
      </c>
      <c r="H2055" s="199">
        <f t="shared" si="242"/>
        <v>0</v>
      </c>
      <c r="I2055" s="30">
        <f ca="1">IFERROR(AVERAGEIF(OFFSET(F2055,0,0,MIN(Controls!$B$8,COUNTIF(B2055:B$2152,B2055)),1),"&gt;"&amp;0),0)</f>
        <v>0</v>
      </c>
      <c r="J2055" s="38">
        <f t="shared" ca="1" si="243"/>
        <v>0</v>
      </c>
      <c r="K2055" s="30">
        <f t="shared" ca="1" si="244"/>
        <v>0</v>
      </c>
      <c r="L2055" t="str">
        <f t="shared" si="245"/>
        <v>High</v>
      </c>
      <c r="M2055" s="39">
        <f>IFERROR(VLOOKUP("188mg LP - EU Stock",Controls!A:I,7,0),6)</f>
        <v>9</v>
      </c>
      <c r="N2055" s="39">
        <f>IFERROR(VLOOKUP("188mg LP - EU Stock",Controls!A:I,8,0),3)</f>
        <v>8</v>
      </c>
      <c r="O2055" s="39">
        <f>IFERROR(VLOOKUP("188mg LP - EU Stock",Controls!A:I,9,0),18)</f>
        <v>18</v>
      </c>
      <c r="P2055" s="40">
        <f>IFERROR(VLOOKUP("188mg LP - EU Stock",Controls!A:J,5,0),0)</f>
        <v>16200</v>
      </c>
      <c r="Q2055" s="39">
        <f>IFERROR(VLOOKUP("188mg LP - EU Stock",Controls!A:J,6,0),3)</f>
        <v>3</v>
      </c>
      <c r="R2055" s="21" t="str">
        <f>IFERROR(VLOOKUP("188mg LP - EU Stock",Controls!A:K,10,0),"")</f>
        <v>Patheon (L&amp;P EU)</v>
      </c>
      <c r="S2055" s="41">
        <f t="shared" si="246"/>
        <v>48427</v>
      </c>
      <c r="T2055" s="30">
        <f t="shared" si="247"/>
        <v>0</v>
      </c>
      <c r="W2055" s="205" t="str" cm="1">
        <f t="array" ref="W2055">IF(81&lt;Controls!$B$7,TEXT(INDEX(A1974:A2152,MATCH(Controls!$B$5,A1974:A2152,1)+81),"MMM-YY"),"")</f>
        <v/>
      </c>
      <c r="X2055" t="str" cm="1">
        <f t="array" ref="X2055">IF(81&lt;Controls!$B$7,INDEX(F1974:F2152,MATCH(Controls!$B$5,A1974:A2152,1)+81),"")</f>
        <v/>
      </c>
      <c r="Y2055" t="str" cm="1">
        <f t="array" ref="Y2055">IF(81&lt;Controls!$B$7,INDEX(G1974:G2152,MATCH(Controls!$B$5,A1974:A2152,1)+81),"")</f>
        <v/>
      </c>
      <c r="Z2055" t="str" cm="1">
        <f t="array" ref="Z2055">IF(81&lt;Controls!$B$7,INDEX(H1974:H2152,MATCH(Controls!$B$5,A1974:A2152,1)+81),"")</f>
        <v/>
      </c>
      <c r="AA2055" t="str" cm="1">
        <f t="array" ref="AA2055">IF(81&lt;Controls!$B$7,INDEX(M1974:M2152,MATCH(Controls!$B$5,A1974:A2152,1)+81)*INDEX(I1974:I2152,MATCH(Controls!$B$5,A1974:A2152,1)+81),"")</f>
        <v/>
      </c>
      <c r="AB2055">
        <f t="shared" si="248"/>
        <v>0</v>
      </c>
    </row>
    <row r="2056" spans="1:28" x14ac:dyDescent="0.35">
      <c r="A2056" s="153">
        <v>48549</v>
      </c>
      <c r="B2056" s="155" t="s">
        <v>959</v>
      </c>
      <c r="C2056" s="15" t="s">
        <v>28</v>
      </c>
      <c r="D2056" s="15" t="s">
        <v>29</v>
      </c>
      <c r="E2056" s="199">
        <f>H2055</f>
        <v>0</v>
      </c>
      <c r="F2056" s="199">
        <f>IFERROR(SUMIFS('Demand Inputs'!$CJ$5:$CJ$202,'Demand Inputs'!$A$5:$A$202,"188mg LP - EU Stock",'Demand Inputs'!$B$5:$B$202,"&lt;&gt;AGGREGATE",'Demand Inputs'!$E$5:$E$202,1),0)</f>
        <v>0</v>
      </c>
      <c r="G2056" s="199" cm="1">
        <f t="array" ref="G2056">IFERROR(SUMPRODUCT(('Production Inputs'!$A:$A="188mg LP - EU Stock")*('Production Inputs'!$B:$B="TOTAL ACTIVE")*'Production Inputs'!$CP:$CP),0)</f>
        <v>0</v>
      </c>
      <c r="H2056" s="199">
        <f t="shared" si="242"/>
        <v>0</v>
      </c>
      <c r="I2056" s="30">
        <f ca="1">IFERROR(AVERAGEIF(OFFSET(F2056,0,0,MIN(Controls!$B$8,COUNTIF(B2056:B$2152,B2056)),1),"&gt;"&amp;0),0)</f>
        <v>0</v>
      </c>
      <c r="J2056" s="38">
        <f t="shared" ca="1" si="243"/>
        <v>0</v>
      </c>
      <c r="K2056" s="30">
        <f t="shared" ca="1" si="244"/>
        <v>0</v>
      </c>
      <c r="L2056" t="str">
        <f t="shared" si="245"/>
        <v>High</v>
      </c>
      <c r="M2056" s="39">
        <f>IFERROR(VLOOKUP("188mg LP - EU Stock",Controls!A:I,7,0),6)</f>
        <v>9</v>
      </c>
      <c r="N2056" s="39">
        <f>IFERROR(VLOOKUP("188mg LP - EU Stock",Controls!A:I,8,0),3)</f>
        <v>8</v>
      </c>
      <c r="O2056" s="39">
        <f>IFERROR(VLOOKUP("188mg LP - EU Stock",Controls!A:I,9,0),18)</f>
        <v>18</v>
      </c>
      <c r="P2056" s="40">
        <f>IFERROR(VLOOKUP("188mg LP - EU Stock",Controls!A:J,5,0),0)</f>
        <v>16200</v>
      </c>
      <c r="Q2056" s="39">
        <f>IFERROR(VLOOKUP("188mg LP - EU Stock",Controls!A:J,6,0),3)</f>
        <v>3</v>
      </c>
      <c r="R2056" s="21" t="str">
        <f>IFERROR(VLOOKUP("188mg LP - EU Stock",Controls!A:K,10,0),"")</f>
        <v>Patheon (L&amp;P EU)</v>
      </c>
      <c r="S2056" s="41">
        <f t="shared" si="246"/>
        <v>48458</v>
      </c>
      <c r="T2056" s="30">
        <f t="shared" si="247"/>
        <v>0</v>
      </c>
      <c r="W2056" s="205" t="str" cm="1">
        <f t="array" ref="W2056">IF(82&lt;Controls!$B$7,TEXT(INDEX(A1974:A2152,MATCH(Controls!$B$5,A1974:A2152,1)+82),"MMM-YY"),"")</f>
        <v/>
      </c>
      <c r="X2056" t="str" cm="1">
        <f t="array" ref="X2056">IF(82&lt;Controls!$B$7,INDEX(F1974:F2152,MATCH(Controls!$B$5,A1974:A2152,1)+82),"")</f>
        <v/>
      </c>
      <c r="Y2056" t="str" cm="1">
        <f t="array" ref="Y2056">IF(82&lt;Controls!$B$7,INDEX(G1974:G2152,MATCH(Controls!$B$5,A1974:A2152,1)+82),"")</f>
        <v/>
      </c>
      <c r="Z2056" t="str" cm="1">
        <f t="array" ref="Z2056">IF(82&lt;Controls!$B$7,INDEX(H1974:H2152,MATCH(Controls!$B$5,A1974:A2152,1)+82),"")</f>
        <v/>
      </c>
      <c r="AA2056" t="str" cm="1">
        <f t="array" ref="AA2056">IF(82&lt;Controls!$B$7,INDEX(M1974:M2152,MATCH(Controls!$B$5,A1974:A2152,1)+82)*INDEX(I1974:I2152,MATCH(Controls!$B$5,A1974:A2152,1)+82),"")</f>
        <v/>
      </c>
      <c r="AB2056">
        <f t="shared" si="248"/>
        <v>0</v>
      </c>
    </row>
    <row r="2057" spans="1:28" x14ac:dyDescent="0.35">
      <c r="A2057" s="153">
        <v>48580</v>
      </c>
      <c r="B2057" s="155" t="s">
        <v>959</v>
      </c>
      <c r="C2057" s="15" t="s">
        <v>28</v>
      </c>
      <c r="D2057" s="15" t="s">
        <v>29</v>
      </c>
      <c r="E2057" s="199">
        <f>H2056</f>
        <v>0</v>
      </c>
      <c r="F2057" s="199">
        <f>IFERROR(SUMIFS('Demand Inputs'!$CK$5:$CK$202,'Demand Inputs'!$A$5:$A$202,"188mg LP - EU Stock",'Demand Inputs'!$B$5:$B$202,"&lt;&gt;AGGREGATE",'Demand Inputs'!$E$5:$E$202,1),0)</f>
        <v>0</v>
      </c>
      <c r="G2057" s="199" cm="1">
        <f t="array" ref="G2057">IFERROR(SUMPRODUCT(('Production Inputs'!$A:$A="188mg LP - EU Stock")*('Production Inputs'!$B:$B="TOTAL ACTIVE")*'Production Inputs'!$CQ:$CQ),0)</f>
        <v>0</v>
      </c>
      <c r="H2057" s="199">
        <f t="shared" si="242"/>
        <v>0</v>
      </c>
      <c r="I2057" s="30">
        <f ca="1">IFERROR(AVERAGEIF(OFFSET(F2057,0,0,MIN(Controls!$B$8,COUNTIF(B2057:B$2152,B2057)),1),"&gt;"&amp;0),0)</f>
        <v>0</v>
      </c>
      <c r="J2057" s="38">
        <f t="shared" ca="1" si="243"/>
        <v>0</v>
      </c>
      <c r="K2057" s="30">
        <f t="shared" ca="1" si="244"/>
        <v>0</v>
      </c>
      <c r="L2057" t="str">
        <f t="shared" si="245"/>
        <v>High</v>
      </c>
      <c r="M2057" s="39">
        <f>IFERROR(VLOOKUP("188mg LP - EU Stock",Controls!A:I,7,0),6)</f>
        <v>9</v>
      </c>
      <c r="N2057" s="39">
        <f>IFERROR(VLOOKUP("188mg LP - EU Stock",Controls!A:I,8,0),3)</f>
        <v>8</v>
      </c>
      <c r="O2057" s="39">
        <f>IFERROR(VLOOKUP("188mg LP - EU Stock",Controls!A:I,9,0),18)</f>
        <v>18</v>
      </c>
      <c r="P2057" s="40">
        <f>IFERROR(VLOOKUP("188mg LP - EU Stock",Controls!A:J,5,0),0)</f>
        <v>16200</v>
      </c>
      <c r="Q2057" s="39">
        <f>IFERROR(VLOOKUP("188mg LP - EU Stock",Controls!A:J,6,0),3)</f>
        <v>3</v>
      </c>
      <c r="R2057" s="21" t="str">
        <f>IFERROR(VLOOKUP("188mg LP - EU Stock",Controls!A:K,10,0),"")</f>
        <v>Patheon (L&amp;P EU)</v>
      </c>
      <c r="S2057" s="41">
        <f t="shared" si="246"/>
        <v>48488</v>
      </c>
      <c r="T2057" s="30">
        <f t="shared" si="247"/>
        <v>0</v>
      </c>
      <c r="W2057" s="205" t="str" cm="1">
        <f t="array" ref="W2057">IF(83&lt;Controls!$B$7,TEXT(INDEX(A1974:A2152,MATCH(Controls!$B$5,A1974:A2152,1)+83),"MMM-YY"),"")</f>
        <v/>
      </c>
      <c r="X2057" t="str" cm="1">
        <f t="array" ref="X2057">IF(83&lt;Controls!$B$7,INDEX(F1974:F2152,MATCH(Controls!$B$5,A1974:A2152,1)+83),"")</f>
        <v/>
      </c>
      <c r="Y2057" t="str" cm="1">
        <f t="array" ref="Y2057">IF(83&lt;Controls!$B$7,INDEX(G1974:G2152,MATCH(Controls!$B$5,A1974:A2152,1)+83),"")</f>
        <v/>
      </c>
      <c r="Z2057" t="str" cm="1">
        <f t="array" ref="Z2057">IF(83&lt;Controls!$B$7,INDEX(H1974:H2152,MATCH(Controls!$B$5,A1974:A2152,1)+83),"")</f>
        <v/>
      </c>
      <c r="AA2057" t="str" cm="1">
        <f t="array" ref="AA2057">IF(83&lt;Controls!$B$7,INDEX(M1974:M2152,MATCH(Controls!$B$5,A1974:A2152,1)+83)*INDEX(I1974:I2152,MATCH(Controls!$B$5,A1974:A2152,1)+83),"")</f>
        <v/>
      </c>
      <c r="AB2057">
        <f t="shared" si="248"/>
        <v>0</v>
      </c>
    </row>
    <row r="2058" spans="1:28" x14ac:dyDescent="0.35">
      <c r="A2058" s="153">
        <v>48611</v>
      </c>
      <c r="B2058" s="155" t="s">
        <v>959</v>
      </c>
      <c r="C2058" s="15" t="s">
        <v>28</v>
      </c>
      <c r="D2058" s="15" t="s">
        <v>29</v>
      </c>
      <c r="E2058" s="199">
        <f>H2057</f>
        <v>0</v>
      </c>
      <c r="F2058" s="199">
        <f>IFERROR(SUMIFS('Demand Inputs'!$CL$5:$CL$202,'Demand Inputs'!$A$5:$A$202,"188mg LP - EU Stock",'Demand Inputs'!$B$5:$B$202,"&lt;&gt;AGGREGATE",'Demand Inputs'!$E$5:$E$202,1),0)</f>
        <v>0</v>
      </c>
      <c r="G2058" s="199" cm="1">
        <f t="array" ref="G2058">IFERROR(SUMPRODUCT(('Production Inputs'!$A:$A="188mg LP - EU Stock")*('Production Inputs'!$B:$B="TOTAL ACTIVE")*'Production Inputs'!$CR:$CR),0)</f>
        <v>0</v>
      </c>
      <c r="H2058" s="199">
        <f t="shared" si="242"/>
        <v>0</v>
      </c>
      <c r="I2058" s="30">
        <f ca="1">IFERROR(AVERAGEIF(OFFSET(F2058,0,0,MIN(Controls!$B$8,COUNTIF(B2058:B$2152,B2058)),1),"&gt;"&amp;0),0)</f>
        <v>0</v>
      </c>
      <c r="J2058" s="38">
        <f t="shared" ca="1" si="243"/>
        <v>0</v>
      </c>
      <c r="K2058" s="30">
        <f t="shared" ca="1" si="244"/>
        <v>0</v>
      </c>
      <c r="L2058" t="str">
        <f t="shared" si="245"/>
        <v>High</v>
      </c>
      <c r="M2058" s="39">
        <f>IFERROR(VLOOKUP("188mg LP - EU Stock",Controls!A:I,7,0),6)</f>
        <v>9</v>
      </c>
      <c r="N2058" s="39">
        <f>IFERROR(VLOOKUP("188mg LP - EU Stock",Controls!A:I,8,0),3)</f>
        <v>8</v>
      </c>
      <c r="O2058" s="39">
        <f>IFERROR(VLOOKUP("188mg LP - EU Stock",Controls!A:I,9,0),18)</f>
        <v>18</v>
      </c>
      <c r="P2058" s="40">
        <f>IFERROR(VLOOKUP("188mg LP - EU Stock",Controls!A:J,5,0),0)</f>
        <v>16200</v>
      </c>
      <c r="Q2058" s="39">
        <f>IFERROR(VLOOKUP("188mg LP - EU Stock",Controls!A:J,6,0),3)</f>
        <v>3</v>
      </c>
      <c r="R2058" s="21" t="str">
        <f>IFERROR(VLOOKUP("188mg LP - EU Stock",Controls!A:K,10,0),"")</f>
        <v>Patheon (L&amp;P EU)</v>
      </c>
      <c r="S2058" s="41">
        <f t="shared" si="246"/>
        <v>48519</v>
      </c>
      <c r="T2058" s="30">
        <f t="shared" si="247"/>
        <v>0</v>
      </c>
      <c r="W2058" s="205" t="str" cm="1">
        <f t="array" ref="W2058">IF(84&lt;Controls!$B$7,TEXT(INDEX(A1974:A2152,MATCH(Controls!$B$5,A1974:A2152,1)+84),"MMM-YY"),"")</f>
        <v/>
      </c>
      <c r="X2058" t="str" cm="1">
        <f t="array" ref="X2058">IF(84&lt;Controls!$B$7,INDEX(F1974:F2152,MATCH(Controls!$B$5,A1974:A2152,1)+84),"")</f>
        <v/>
      </c>
      <c r="Y2058" t="str" cm="1">
        <f t="array" ref="Y2058">IF(84&lt;Controls!$B$7,INDEX(G1974:G2152,MATCH(Controls!$B$5,A1974:A2152,1)+84),"")</f>
        <v/>
      </c>
      <c r="Z2058" t="str" cm="1">
        <f t="array" ref="Z2058">IF(84&lt;Controls!$B$7,INDEX(H1974:H2152,MATCH(Controls!$B$5,A1974:A2152,1)+84),"")</f>
        <v/>
      </c>
      <c r="AA2058" t="str" cm="1">
        <f t="array" ref="AA2058">IF(84&lt;Controls!$B$7,INDEX(M1974:M2152,MATCH(Controls!$B$5,A1974:A2152,1)+84)*INDEX(I1974:I2152,MATCH(Controls!$B$5,A1974:A2152,1)+84),"")</f>
        <v/>
      </c>
      <c r="AB2058">
        <f t="shared" si="248"/>
        <v>0</v>
      </c>
    </row>
    <row r="2059" spans="1:28" x14ac:dyDescent="0.35">
      <c r="A2059" s="153">
        <v>48639</v>
      </c>
      <c r="B2059" s="155" t="s">
        <v>959</v>
      </c>
      <c r="C2059" s="15" t="s">
        <v>28</v>
      </c>
      <c r="D2059" s="15" t="s">
        <v>29</v>
      </c>
      <c r="E2059" s="199">
        <f>H2058</f>
        <v>0</v>
      </c>
      <c r="F2059" s="199">
        <f>IFERROR(SUMIFS('Demand Inputs'!$CM$5:$CM$202,'Demand Inputs'!$A$5:$A$202,"188mg LP - EU Stock",'Demand Inputs'!$B$5:$B$202,"&lt;&gt;AGGREGATE",'Demand Inputs'!$E$5:$E$202,1),0)</f>
        <v>0</v>
      </c>
      <c r="G2059" s="199" cm="1">
        <f t="array" ref="G2059">IFERROR(SUMPRODUCT(('Production Inputs'!$A:$A="188mg LP - EU Stock")*('Production Inputs'!$B:$B="TOTAL ACTIVE")*'Production Inputs'!$CS:$CS),0)</f>
        <v>0</v>
      </c>
      <c r="H2059" s="199">
        <f t="shared" si="242"/>
        <v>0</v>
      </c>
      <c r="I2059" s="30">
        <f ca="1">IFERROR(AVERAGEIF(OFFSET(F2059,0,0,MIN(Controls!$B$8,COUNTIF(B2059:B$2152,B2059)),1),"&gt;"&amp;0),0)</f>
        <v>0</v>
      </c>
      <c r="J2059" s="38">
        <f t="shared" ca="1" si="243"/>
        <v>0</v>
      </c>
      <c r="K2059" s="30">
        <f t="shared" ca="1" si="244"/>
        <v>0</v>
      </c>
      <c r="L2059" t="str">
        <f t="shared" si="245"/>
        <v>High</v>
      </c>
      <c r="M2059" s="39">
        <f>IFERROR(VLOOKUP("188mg LP - EU Stock",Controls!A:I,7,0),6)</f>
        <v>9</v>
      </c>
      <c r="N2059" s="39">
        <f>IFERROR(VLOOKUP("188mg LP - EU Stock",Controls!A:I,8,0),3)</f>
        <v>8</v>
      </c>
      <c r="O2059" s="39">
        <f>IFERROR(VLOOKUP("188mg LP - EU Stock",Controls!A:I,9,0),18)</f>
        <v>18</v>
      </c>
      <c r="P2059" s="40">
        <f>IFERROR(VLOOKUP("188mg LP - EU Stock",Controls!A:J,5,0),0)</f>
        <v>16200</v>
      </c>
      <c r="Q2059" s="39">
        <f>IFERROR(VLOOKUP("188mg LP - EU Stock",Controls!A:J,6,0),3)</f>
        <v>3</v>
      </c>
      <c r="R2059" s="21" t="str">
        <f>IFERROR(VLOOKUP("188mg LP - EU Stock",Controls!A:K,10,0),"")</f>
        <v>Patheon (L&amp;P EU)</v>
      </c>
      <c r="S2059" s="41">
        <f t="shared" si="246"/>
        <v>48549</v>
      </c>
      <c r="T2059" s="30">
        <f t="shared" si="247"/>
        <v>0</v>
      </c>
      <c r="W2059" s="205" t="str" cm="1">
        <f t="array" ref="W2059">IF(85&lt;Controls!$B$7,TEXT(INDEX(A1974:A2152,MATCH(Controls!$B$5,A1974:A2152,1)+85),"MMM-YY"),"")</f>
        <v/>
      </c>
      <c r="X2059" t="str" cm="1">
        <f t="array" ref="X2059">IF(85&lt;Controls!$B$7,INDEX(F1974:F2152,MATCH(Controls!$B$5,A1974:A2152,1)+85),"")</f>
        <v/>
      </c>
      <c r="Y2059" t="str" cm="1">
        <f t="array" ref="Y2059">IF(85&lt;Controls!$B$7,INDEX(G1974:G2152,MATCH(Controls!$B$5,A1974:A2152,1)+85),"")</f>
        <v/>
      </c>
      <c r="Z2059" t="str" cm="1">
        <f t="array" ref="Z2059">IF(85&lt;Controls!$B$7,INDEX(H1974:H2152,MATCH(Controls!$B$5,A1974:A2152,1)+85),"")</f>
        <v/>
      </c>
      <c r="AA2059" t="str" cm="1">
        <f t="array" ref="AA2059">IF(85&lt;Controls!$B$7,INDEX(M1974:M2152,MATCH(Controls!$B$5,A1974:A2152,1)+85)*INDEX(I1974:I2152,MATCH(Controls!$B$5,A1974:A2152,1)+85),"")</f>
        <v/>
      </c>
      <c r="AB2059">
        <f t="shared" si="248"/>
        <v>0</v>
      </c>
    </row>
    <row r="2060" spans="1:28" x14ac:dyDescent="0.35">
      <c r="A2060" s="153">
        <v>48670</v>
      </c>
      <c r="B2060" s="155" t="s">
        <v>959</v>
      </c>
      <c r="C2060" s="15" t="s">
        <v>28</v>
      </c>
      <c r="D2060" s="15" t="s">
        <v>29</v>
      </c>
      <c r="E2060" s="199">
        <f>H2059</f>
        <v>0</v>
      </c>
      <c r="F2060" s="199">
        <f>IFERROR(SUMIFS('Demand Inputs'!$CN$5:$CN$202,'Demand Inputs'!$A$5:$A$202,"188mg LP - EU Stock",'Demand Inputs'!$B$5:$B$202,"&lt;&gt;AGGREGATE",'Demand Inputs'!$E$5:$E$202,1),0)</f>
        <v>0</v>
      </c>
      <c r="G2060" s="199" cm="1">
        <f t="array" ref="G2060">IFERROR(SUMPRODUCT(('Production Inputs'!$A:$A="188mg LP - EU Stock")*('Production Inputs'!$B:$B="TOTAL ACTIVE")*'Production Inputs'!$CT:$CT),0)</f>
        <v>0</v>
      </c>
      <c r="H2060" s="199">
        <f t="shared" si="242"/>
        <v>0</v>
      </c>
      <c r="I2060" s="30">
        <f ca="1">IFERROR(AVERAGEIF(OFFSET(F2060,0,0,MIN(Controls!$B$8,COUNTIF(B2060:B$2152,B2060)),1),"&gt;"&amp;0),0)</f>
        <v>0</v>
      </c>
      <c r="J2060" s="38">
        <f t="shared" ca="1" si="243"/>
        <v>0</v>
      </c>
      <c r="K2060" s="30">
        <f t="shared" ca="1" si="244"/>
        <v>0</v>
      </c>
      <c r="L2060" t="str">
        <f t="shared" si="245"/>
        <v>High</v>
      </c>
      <c r="M2060" s="39">
        <f>IFERROR(VLOOKUP("188mg LP - EU Stock",Controls!A:I,7,0),6)</f>
        <v>9</v>
      </c>
      <c r="N2060" s="39">
        <f>IFERROR(VLOOKUP("188mg LP - EU Stock",Controls!A:I,8,0),3)</f>
        <v>8</v>
      </c>
      <c r="O2060" s="39">
        <f>IFERROR(VLOOKUP("188mg LP - EU Stock",Controls!A:I,9,0),18)</f>
        <v>18</v>
      </c>
      <c r="P2060" s="40">
        <f>IFERROR(VLOOKUP("188mg LP - EU Stock",Controls!A:J,5,0),0)</f>
        <v>16200</v>
      </c>
      <c r="Q2060" s="39">
        <f>IFERROR(VLOOKUP("188mg LP - EU Stock",Controls!A:J,6,0),3)</f>
        <v>3</v>
      </c>
      <c r="R2060" s="21" t="str">
        <f>IFERROR(VLOOKUP("188mg LP - EU Stock",Controls!A:K,10,0),"")</f>
        <v>Patheon (L&amp;P EU)</v>
      </c>
      <c r="S2060" s="41">
        <f t="shared" si="246"/>
        <v>48580</v>
      </c>
      <c r="T2060" s="30">
        <f t="shared" si="247"/>
        <v>0</v>
      </c>
      <c r="W2060" s="205" t="str" cm="1">
        <f t="array" ref="W2060">IF(86&lt;Controls!$B$7,TEXT(INDEX(A1974:A2152,MATCH(Controls!$B$5,A1974:A2152,1)+86),"MMM-YY"),"")</f>
        <v/>
      </c>
      <c r="X2060" t="str" cm="1">
        <f t="array" ref="X2060">IF(86&lt;Controls!$B$7,INDEX(F1974:F2152,MATCH(Controls!$B$5,A1974:A2152,1)+86),"")</f>
        <v/>
      </c>
      <c r="Y2060" t="str" cm="1">
        <f t="array" ref="Y2060">IF(86&lt;Controls!$B$7,INDEX(G1974:G2152,MATCH(Controls!$B$5,A1974:A2152,1)+86),"")</f>
        <v/>
      </c>
      <c r="Z2060" t="str" cm="1">
        <f t="array" ref="Z2060">IF(86&lt;Controls!$B$7,INDEX(H1974:H2152,MATCH(Controls!$B$5,A1974:A2152,1)+86),"")</f>
        <v/>
      </c>
      <c r="AA2060" t="str" cm="1">
        <f t="array" ref="AA2060">IF(86&lt;Controls!$B$7,INDEX(M1974:M2152,MATCH(Controls!$B$5,A1974:A2152,1)+86)*INDEX(I1974:I2152,MATCH(Controls!$B$5,A1974:A2152,1)+86),"")</f>
        <v/>
      </c>
      <c r="AB2060">
        <f t="shared" si="248"/>
        <v>0</v>
      </c>
    </row>
    <row r="2061" spans="1:28" x14ac:dyDescent="0.35">
      <c r="A2061" s="153">
        <v>48700</v>
      </c>
      <c r="B2061" s="155" t="s">
        <v>959</v>
      </c>
      <c r="C2061" s="15" t="s">
        <v>28</v>
      </c>
      <c r="D2061" s="15" t="s">
        <v>29</v>
      </c>
      <c r="E2061" s="199">
        <f>H2060</f>
        <v>0</v>
      </c>
      <c r="F2061" s="199">
        <f>IFERROR(SUMIFS('Demand Inputs'!$CO$5:$CO$202,'Demand Inputs'!$A$5:$A$202,"188mg LP - EU Stock",'Demand Inputs'!$B$5:$B$202,"&lt;&gt;AGGREGATE",'Demand Inputs'!$E$5:$E$202,1),0)</f>
        <v>0</v>
      </c>
      <c r="G2061" s="199" cm="1">
        <f t="array" ref="G2061">IFERROR(SUMPRODUCT(('Production Inputs'!$A:$A="188mg LP - EU Stock")*('Production Inputs'!$B:$B="TOTAL ACTIVE")*'Production Inputs'!$CU:$CU),0)</f>
        <v>0</v>
      </c>
      <c r="H2061" s="199">
        <f t="shared" si="242"/>
        <v>0</v>
      </c>
      <c r="I2061" s="30">
        <f ca="1">IFERROR(AVERAGEIF(OFFSET(F2061,0,0,MIN(Controls!$B$8,COUNTIF(B2061:B$2152,B2061)),1),"&gt;"&amp;0),0)</f>
        <v>0</v>
      </c>
      <c r="J2061" s="38">
        <f t="shared" ca="1" si="243"/>
        <v>0</v>
      </c>
      <c r="K2061" s="30">
        <f t="shared" ca="1" si="244"/>
        <v>0</v>
      </c>
      <c r="L2061" t="str">
        <f t="shared" si="245"/>
        <v>High</v>
      </c>
      <c r="M2061" s="39">
        <f>IFERROR(VLOOKUP("188mg LP - EU Stock",Controls!A:I,7,0),6)</f>
        <v>9</v>
      </c>
      <c r="N2061" s="39">
        <f>IFERROR(VLOOKUP("188mg LP - EU Stock",Controls!A:I,8,0),3)</f>
        <v>8</v>
      </c>
      <c r="O2061" s="39">
        <f>IFERROR(VLOOKUP("188mg LP - EU Stock",Controls!A:I,9,0),18)</f>
        <v>18</v>
      </c>
      <c r="P2061" s="40">
        <f>IFERROR(VLOOKUP("188mg LP - EU Stock",Controls!A:J,5,0),0)</f>
        <v>16200</v>
      </c>
      <c r="Q2061" s="39">
        <f>IFERROR(VLOOKUP("188mg LP - EU Stock",Controls!A:J,6,0),3)</f>
        <v>3</v>
      </c>
      <c r="R2061" s="21" t="str">
        <f>IFERROR(VLOOKUP("188mg LP - EU Stock",Controls!A:K,10,0),"")</f>
        <v>Patheon (L&amp;P EU)</v>
      </c>
      <c r="S2061" s="41">
        <f t="shared" si="246"/>
        <v>48611</v>
      </c>
      <c r="T2061" s="30">
        <f t="shared" si="247"/>
        <v>0</v>
      </c>
      <c r="W2061" s="205" t="str" cm="1">
        <f t="array" ref="W2061">IF(87&lt;Controls!$B$7,TEXT(INDEX(A1974:A2152,MATCH(Controls!$B$5,A1974:A2152,1)+87),"MMM-YY"),"")</f>
        <v/>
      </c>
      <c r="X2061" t="str" cm="1">
        <f t="array" ref="X2061">IF(87&lt;Controls!$B$7,INDEX(F1974:F2152,MATCH(Controls!$B$5,A1974:A2152,1)+87),"")</f>
        <v/>
      </c>
      <c r="Y2061" t="str" cm="1">
        <f t="array" ref="Y2061">IF(87&lt;Controls!$B$7,INDEX(G1974:G2152,MATCH(Controls!$B$5,A1974:A2152,1)+87),"")</f>
        <v/>
      </c>
      <c r="Z2061" t="str" cm="1">
        <f t="array" ref="Z2061">IF(87&lt;Controls!$B$7,INDEX(H1974:H2152,MATCH(Controls!$B$5,A1974:A2152,1)+87),"")</f>
        <v/>
      </c>
      <c r="AA2061" t="str" cm="1">
        <f t="array" ref="AA2061">IF(87&lt;Controls!$B$7,INDEX(M1974:M2152,MATCH(Controls!$B$5,A1974:A2152,1)+87)*INDEX(I1974:I2152,MATCH(Controls!$B$5,A1974:A2152,1)+87),"")</f>
        <v/>
      </c>
      <c r="AB2061">
        <f t="shared" si="248"/>
        <v>0</v>
      </c>
    </row>
    <row r="2062" spans="1:28" x14ac:dyDescent="0.35">
      <c r="A2062" s="153">
        <v>48731</v>
      </c>
      <c r="B2062" s="155" t="s">
        <v>959</v>
      </c>
      <c r="C2062" s="15" t="s">
        <v>28</v>
      </c>
      <c r="D2062" s="15" t="s">
        <v>29</v>
      </c>
      <c r="E2062" s="199">
        <f>H2061</f>
        <v>0</v>
      </c>
      <c r="F2062" s="199">
        <f>IFERROR(SUMIFS('Demand Inputs'!$CP$5:$CP$202,'Demand Inputs'!$A$5:$A$202,"188mg LP - EU Stock",'Demand Inputs'!$B$5:$B$202,"&lt;&gt;AGGREGATE",'Demand Inputs'!$E$5:$E$202,1),0)</f>
        <v>0</v>
      </c>
      <c r="G2062" s="199" cm="1">
        <f t="array" ref="G2062">IFERROR(SUMPRODUCT(('Production Inputs'!$A:$A="188mg LP - EU Stock")*('Production Inputs'!$B:$B="TOTAL ACTIVE")*'Production Inputs'!$CV:$CV),0)</f>
        <v>0</v>
      </c>
      <c r="H2062" s="199">
        <f t="shared" si="242"/>
        <v>0</v>
      </c>
      <c r="I2062" s="30">
        <f ca="1">IFERROR(AVERAGEIF(OFFSET(F2062,0,0,MIN(Controls!$B$8,COUNTIF(B2062:B$2152,B2062)),1),"&gt;"&amp;0),0)</f>
        <v>0</v>
      </c>
      <c r="J2062" s="38">
        <f t="shared" ca="1" si="243"/>
        <v>0</v>
      </c>
      <c r="K2062" s="30">
        <f t="shared" ca="1" si="244"/>
        <v>0</v>
      </c>
      <c r="L2062" t="str">
        <f t="shared" si="245"/>
        <v>High</v>
      </c>
      <c r="M2062" s="39">
        <f>IFERROR(VLOOKUP("188mg LP - EU Stock",Controls!A:I,7,0),6)</f>
        <v>9</v>
      </c>
      <c r="N2062" s="39">
        <f>IFERROR(VLOOKUP("188mg LP - EU Stock",Controls!A:I,8,0),3)</f>
        <v>8</v>
      </c>
      <c r="O2062" s="39">
        <f>IFERROR(VLOOKUP("188mg LP - EU Stock",Controls!A:I,9,0),18)</f>
        <v>18</v>
      </c>
      <c r="P2062" s="40">
        <f>IFERROR(VLOOKUP("188mg LP - EU Stock",Controls!A:J,5,0),0)</f>
        <v>16200</v>
      </c>
      <c r="Q2062" s="39">
        <f>IFERROR(VLOOKUP("188mg LP - EU Stock",Controls!A:J,6,0),3)</f>
        <v>3</v>
      </c>
      <c r="R2062" s="21" t="str">
        <f>IFERROR(VLOOKUP("188mg LP - EU Stock",Controls!A:K,10,0),"")</f>
        <v>Patheon (L&amp;P EU)</v>
      </c>
      <c r="S2062" s="41">
        <f t="shared" si="246"/>
        <v>48639</v>
      </c>
      <c r="T2062" s="30">
        <f t="shared" si="247"/>
        <v>0</v>
      </c>
      <c r="W2062" s="205" t="str" cm="1">
        <f t="array" ref="W2062">IF(88&lt;Controls!$B$7,TEXT(INDEX(A1974:A2152,MATCH(Controls!$B$5,A1974:A2152,1)+88),"MMM-YY"),"")</f>
        <v/>
      </c>
      <c r="X2062" t="str" cm="1">
        <f t="array" ref="X2062">IF(88&lt;Controls!$B$7,INDEX(F1974:F2152,MATCH(Controls!$B$5,A1974:A2152,1)+88),"")</f>
        <v/>
      </c>
      <c r="Y2062" t="str" cm="1">
        <f t="array" ref="Y2062">IF(88&lt;Controls!$B$7,INDEX(G1974:G2152,MATCH(Controls!$B$5,A1974:A2152,1)+88),"")</f>
        <v/>
      </c>
      <c r="Z2062" t="str" cm="1">
        <f t="array" ref="Z2062">IF(88&lt;Controls!$B$7,INDEX(H1974:H2152,MATCH(Controls!$B$5,A1974:A2152,1)+88),"")</f>
        <v/>
      </c>
      <c r="AA2062" t="str" cm="1">
        <f t="array" ref="AA2062">IF(88&lt;Controls!$B$7,INDEX(M1974:M2152,MATCH(Controls!$B$5,A1974:A2152,1)+88)*INDEX(I1974:I2152,MATCH(Controls!$B$5,A1974:A2152,1)+88),"")</f>
        <v/>
      </c>
      <c r="AB2062">
        <f t="shared" si="248"/>
        <v>0</v>
      </c>
    </row>
    <row r="2063" spans="1:28" x14ac:dyDescent="0.35">
      <c r="A2063" s="153">
        <v>48761</v>
      </c>
      <c r="B2063" s="155" t="s">
        <v>959</v>
      </c>
      <c r="C2063" s="15" t="s">
        <v>28</v>
      </c>
      <c r="D2063" s="15" t="s">
        <v>29</v>
      </c>
      <c r="E2063" s="199">
        <f>H2062</f>
        <v>0</v>
      </c>
      <c r="F2063" s="199">
        <f>IFERROR(SUMIFS('Demand Inputs'!$CQ$5:$CQ$202,'Demand Inputs'!$A$5:$A$202,"188mg LP - EU Stock",'Demand Inputs'!$B$5:$B$202,"&lt;&gt;AGGREGATE",'Demand Inputs'!$E$5:$E$202,1),0)</f>
        <v>0</v>
      </c>
      <c r="G2063" s="199" cm="1">
        <f t="array" ref="G2063">IFERROR(SUMPRODUCT(('Production Inputs'!$A:$A="188mg LP - EU Stock")*('Production Inputs'!$B:$B="TOTAL ACTIVE")*'Production Inputs'!$CW:$CW),0)</f>
        <v>0</v>
      </c>
      <c r="H2063" s="199">
        <f t="shared" si="242"/>
        <v>0</v>
      </c>
      <c r="I2063" s="30">
        <f ca="1">IFERROR(AVERAGEIF(OFFSET(F2063,0,0,MIN(Controls!$B$8,COUNTIF(B2063:B$2152,B2063)),1),"&gt;"&amp;0),0)</f>
        <v>0</v>
      </c>
      <c r="J2063" s="38">
        <f t="shared" ca="1" si="243"/>
        <v>0</v>
      </c>
      <c r="K2063" s="30">
        <f t="shared" ca="1" si="244"/>
        <v>0</v>
      </c>
      <c r="L2063" t="str">
        <f t="shared" si="245"/>
        <v>High</v>
      </c>
      <c r="M2063" s="39">
        <f>IFERROR(VLOOKUP("188mg LP - EU Stock",Controls!A:I,7,0),6)</f>
        <v>9</v>
      </c>
      <c r="N2063" s="39">
        <f>IFERROR(VLOOKUP("188mg LP - EU Stock",Controls!A:I,8,0),3)</f>
        <v>8</v>
      </c>
      <c r="O2063" s="39">
        <f>IFERROR(VLOOKUP("188mg LP - EU Stock",Controls!A:I,9,0),18)</f>
        <v>18</v>
      </c>
      <c r="P2063" s="40">
        <f>IFERROR(VLOOKUP("188mg LP - EU Stock",Controls!A:J,5,0),0)</f>
        <v>16200</v>
      </c>
      <c r="Q2063" s="39">
        <f>IFERROR(VLOOKUP("188mg LP - EU Stock",Controls!A:J,6,0),3)</f>
        <v>3</v>
      </c>
      <c r="R2063" s="21" t="str">
        <f>IFERROR(VLOOKUP("188mg LP - EU Stock",Controls!A:K,10,0),"")</f>
        <v>Patheon (L&amp;P EU)</v>
      </c>
      <c r="S2063" s="41">
        <f t="shared" si="246"/>
        <v>48670</v>
      </c>
      <c r="T2063" s="30">
        <f t="shared" si="247"/>
        <v>0</v>
      </c>
      <c r="W2063" s="205" t="str" cm="1">
        <f t="array" ref="W2063">IF(89&lt;Controls!$B$7,TEXT(INDEX(A1974:A2152,MATCH(Controls!$B$5,A1974:A2152,1)+89),"MMM-YY"),"")</f>
        <v/>
      </c>
      <c r="X2063" t="str" cm="1">
        <f t="array" ref="X2063">IF(89&lt;Controls!$B$7,INDEX(F1974:F2152,MATCH(Controls!$B$5,A1974:A2152,1)+89),"")</f>
        <v/>
      </c>
      <c r="Y2063" t="str" cm="1">
        <f t="array" ref="Y2063">IF(89&lt;Controls!$B$7,INDEX(G1974:G2152,MATCH(Controls!$B$5,A1974:A2152,1)+89),"")</f>
        <v/>
      </c>
      <c r="Z2063" t="str" cm="1">
        <f t="array" ref="Z2063">IF(89&lt;Controls!$B$7,INDEX(H1974:H2152,MATCH(Controls!$B$5,A1974:A2152,1)+89),"")</f>
        <v/>
      </c>
      <c r="AA2063" t="str" cm="1">
        <f t="array" ref="AA2063">IF(89&lt;Controls!$B$7,INDEX(M1974:M2152,MATCH(Controls!$B$5,A1974:A2152,1)+89)*INDEX(I1974:I2152,MATCH(Controls!$B$5,A1974:A2152,1)+89),"")</f>
        <v/>
      </c>
      <c r="AB2063">
        <f t="shared" si="248"/>
        <v>0</v>
      </c>
    </row>
    <row r="2064" spans="1:28" x14ac:dyDescent="0.35">
      <c r="A2064" s="153">
        <v>48792</v>
      </c>
      <c r="B2064" s="155" t="s">
        <v>959</v>
      </c>
      <c r="C2064" s="15" t="s">
        <v>28</v>
      </c>
      <c r="D2064" s="15" t="s">
        <v>29</v>
      </c>
      <c r="E2064" s="199">
        <f>H2063</f>
        <v>0</v>
      </c>
      <c r="F2064" s="199">
        <f>IFERROR(SUMIFS('Demand Inputs'!$CR$5:$CR$202,'Demand Inputs'!$A$5:$A$202,"188mg LP - EU Stock",'Demand Inputs'!$B$5:$B$202,"&lt;&gt;AGGREGATE",'Demand Inputs'!$E$5:$E$202,1),0)</f>
        <v>0</v>
      </c>
      <c r="G2064" s="199" cm="1">
        <f t="array" ref="G2064">IFERROR(SUMPRODUCT(('Production Inputs'!$A:$A="188mg LP - EU Stock")*('Production Inputs'!$B:$B="TOTAL ACTIVE")*'Production Inputs'!$CX:$CX),0)</f>
        <v>0</v>
      </c>
      <c r="H2064" s="199">
        <f t="shared" si="242"/>
        <v>0</v>
      </c>
      <c r="I2064" s="30">
        <f ca="1">IFERROR(AVERAGEIF(OFFSET(F2064,0,0,MIN(Controls!$B$8,COUNTIF(B2064:B$2152,B2064)),1),"&gt;"&amp;0),0)</f>
        <v>0</v>
      </c>
      <c r="J2064" s="38">
        <f t="shared" ca="1" si="243"/>
        <v>0</v>
      </c>
      <c r="K2064" s="30">
        <f t="shared" ca="1" si="244"/>
        <v>0</v>
      </c>
      <c r="L2064" t="str">
        <f t="shared" si="245"/>
        <v>High</v>
      </c>
      <c r="M2064" s="39">
        <f>IFERROR(VLOOKUP("188mg LP - EU Stock",Controls!A:I,7,0),6)</f>
        <v>9</v>
      </c>
      <c r="N2064" s="39">
        <f>IFERROR(VLOOKUP("188mg LP - EU Stock",Controls!A:I,8,0),3)</f>
        <v>8</v>
      </c>
      <c r="O2064" s="39">
        <f>IFERROR(VLOOKUP("188mg LP - EU Stock",Controls!A:I,9,0),18)</f>
        <v>18</v>
      </c>
      <c r="P2064" s="40">
        <f>IFERROR(VLOOKUP("188mg LP - EU Stock",Controls!A:J,5,0),0)</f>
        <v>16200</v>
      </c>
      <c r="Q2064" s="39">
        <f>IFERROR(VLOOKUP("188mg LP - EU Stock",Controls!A:J,6,0),3)</f>
        <v>3</v>
      </c>
      <c r="R2064" s="21" t="str">
        <f>IFERROR(VLOOKUP("188mg LP - EU Stock",Controls!A:K,10,0),"")</f>
        <v>Patheon (L&amp;P EU)</v>
      </c>
      <c r="S2064" s="41">
        <f t="shared" si="246"/>
        <v>48700</v>
      </c>
      <c r="T2064" s="30">
        <f t="shared" si="247"/>
        <v>0</v>
      </c>
      <c r="W2064" s="205" t="str" cm="1">
        <f t="array" ref="W2064">IF(90&lt;Controls!$B$7,TEXT(INDEX(A1974:A2152,MATCH(Controls!$B$5,A1974:A2152,1)+90),"MMM-YY"),"")</f>
        <v/>
      </c>
      <c r="X2064" t="str" cm="1">
        <f t="array" ref="X2064">IF(90&lt;Controls!$B$7,INDEX(F1974:F2152,MATCH(Controls!$B$5,A1974:A2152,1)+90),"")</f>
        <v/>
      </c>
      <c r="Y2064" t="str" cm="1">
        <f t="array" ref="Y2064">IF(90&lt;Controls!$B$7,INDEX(G1974:G2152,MATCH(Controls!$B$5,A1974:A2152,1)+90),"")</f>
        <v/>
      </c>
      <c r="Z2064" t="str" cm="1">
        <f t="array" ref="Z2064">IF(90&lt;Controls!$B$7,INDEX(H1974:H2152,MATCH(Controls!$B$5,A1974:A2152,1)+90),"")</f>
        <v/>
      </c>
      <c r="AA2064" t="str" cm="1">
        <f t="array" ref="AA2064">IF(90&lt;Controls!$B$7,INDEX(M1974:M2152,MATCH(Controls!$B$5,A1974:A2152,1)+90)*INDEX(I1974:I2152,MATCH(Controls!$B$5,A1974:A2152,1)+90),"")</f>
        <v/>
      </c>
      <c r="AB2064">
        <f t="shared" si="248"/>
        <v>0</v>
      </c>
    </row>
    <row r="2065" spans="1:28" x14ac:dyDescent="0.35">
      <c r="A2065" s="153">
        <v>48823</v>
      </c>
      <c r="B2065" s="155" t="s">
        <v>959</v>
      </c>
      <c r="C2065" s="15" t="s">
        <v>28</v>
      </c>
      <c r="D2065" s="15" t="s">
        <v>29</v>
      </c>
      <c r="E2065" s="199">
        <f>H2064</f>
        <v>0</v>
      </c>
      <c r="F2065" s="199">
        <f>IFERROR(SUMIFS('Demand Inputs'!$CS$5:$CS$202,'Demand Inputs'!$A$5:$A$202,"188mg LP - EU Stock",'Demand Inputs'!$B$5:$B$202,"&lt;&gt;AGGREGATE",'Demand Inputs'!$E$5:$E$202,1),0)</f>
        <v>0</v>
      </c>
      <c r="G2065" s="199" cm="1">
        <f t="array" ref="G2065">IFERROR(SUMPRODUCT(('Production Inputs'!$A:$A="188mg LP - EU Stock")*('Production Inputs'!$B:$B="TOTAL ACTIVE")*'Production Inputs'!$CY:$CY),0)</f>
        <v>0</v>
      </c>
      <c r="H2065" s="199">
        <f t="shared" si="242"/>
        <v>0</v>
      </c>
      <c r="I2065" s="30">
        <f ca="1">IFERROR(AVERAGEIF(OFFSET(F2065,0,0,MIN(Controls!$B$8,COUNTIF(B2065:B$2152,B2065)),1),"&gt;"&amp;0),0)</f>
        <v>0</v>
      </c>
      <c r="J2065" s="38">
        <f t="shared" ca="1" si="243"/>
        <v>0</v>
      </c>
      <c r="K2065" s="30">
        <f t="shared" ca="1" si="244"/>
        <v>0</v>
      </c>
      <c r="L2065" t="str">
        <f t="shared" si="245"/>
        <v>High</v>
      </c>
      <c r="M2065" s="39">
        <f>IFERROR(VLOOKUP("188mg LP - EU Stock",Controls!A:I,7,0),6)</f>
        <v>9</v>
      </c>
      <c r="N2065" s="39">
        <f>IFERROR(VLOOKUP("188mg LP - EU Stock",Controls!A:I,8,0),3)</f>
        <v>8</v>
      </c>
      <c r="O2065" s="39">
        <f>IFERROR(VLOOKUP("188mg LP - EU Stock",Controls!A:I,9,0),18)</f>
        <v>18</v>
      </c>
      <c r="P2065" s="40">
        <f>IFERROR(VLOOKUP("188mg LP - EU Stock",Controls!A:J,5,0),0)</f>
        <v>16200</v>
      </c>
      <c r="Q2065" s="39">
        <f>IFERROR(VLOOKUP("188mg LP - EU Stock",Controls!A:J,6,0),3)</f>
        <v>3</v>
      </c>
      <c r="R2065" s="21" t="str">
        <f>IFERROR(VLOOKUP("188mg LP - EU Stock",Controls!A:K,10,0),"")</f>
        <v>Patheon (L&amp;P EU)</v>
      </c>
      <c r="S2065" s="41">
        <f t="shared" si="246"/>
        <v>48731</v>
      </c>
      <c r="T2065" s="30">
        <f t="shared" si="247"/>
        <v>0</v>
      </c>
      <c r="W2065" s="205" t="str" cm="1">
        <f t="array" ref="W2065">IF(91&lt;Controls!$B$7,TEXT(INDEX(A1974:A2152,MATCH(Controls!$B$5,A1974:A2152,1)+91),"MMM-YY"),"")</f>
        <v/>
      </c>
      <c r="X2065" t="str" cm="1">
        <f t="array" ref="X2065">IF(91&lt;Controls!$B$7,INDEX(F1974:F2152,MATCH(Controls!$B$5,A1974:A2152,1)+91),"")</f>
        <v/>
      </c>
      <c r="Y2065" t="str" cm="1">
        <f t="array" ref="Y2065">IF(91&lt;Controls!$B$7,INDEX(G1974:G2152,MATCH(Controls!$B$5,A1974:A2152,1)+91),"")</f>
        <v/>
      </c>
      <c r="Z2065" t="str" cm="1">
        <f t="array" ref="Z2065">IF(91&lt;Controls!$B$7,INDEX(H1974:H2152,MATCH(Controls!$B$5,A1974:A2152,1)+91),"")</f>
        <v/>
      </c>
      <c r="AA2065" t="str" cm="1">
        <f t="array" ref="AA2065">IF(91&lt;Controls!$B$7,INDEX(M1974:M2152,MATCH(Controls!$B$5,A1974:A2152,1)+91)*INDEX(I1974:I2152,MATCH(Controls!$B$5,A1974:A2152,1)+91),"")</f>
        <v/>
      </c>
      <c r="AB2065">
        <f t="shared" si="248"/>
        <v>0</v>
      </c>
    </row>
    <row r="2066" spans="1:28" x14ac:dyDescent="0.35">
      <c r="A2066" s="153">
        <v>48853</v>
      </c>
      <c r="B2066" s="155" t="s">
        <v>959</v>
      </c>
      <c r="C2066" s="15" t="s">
        <v>28</v>
      </c>
      <c r="D2066" s="15" t="s">
        <v>29</v>
      </c>
      <c r="E2066" s="199">
        <f>H2065</f>
        <v>0</v>
      </c>
      <c r="F2066" s="199">
        <f>IFERROR(SUMIFS('Demand Inputs'!$CT$5:$CT$202,'Demand Inputs'!$A$5:$A$202,"188mg LP - EU Stock",'Demand Inputs'!$B$5:$B$202,"&lt;&gt;AGGREGATE",'Demand Inputs'!$E$5:$E$202,1),0)</f>
        <v>0</v>
      </c>
      <c r="G2066" s="199" cm="1">
        <f t="array" ref="G2066">IFERROR(SUMPRODUCT(('Production Inputs'!$A:$A="188mg LP - EU Stock")*('Production Inputs'!$B:$B="TOTAL ACTIVE")*'Production Inputs'!$CZ:$CZ),0)</f>
        <v>0</v>
      </c>
      <c r="H2066" s="199">
        <f t="shared" si="242"/>
        <v>0</v>
      </c>
      <c r="I2066" s="30">
        <f ca="1">IFERROR(AVERAGEIF(OFFSET(F2066,0,0,MIN(Controls!$B$8,COUNTIF(B2066:B$2152,B2066)),1),"&gt;"&amp;0),0)</f>
        <v>0</v>
      </c>
      <c r="J2066" s="38">
        <f t="shared" ca="1" si="243"/>
        <v>0</v>
      </c>
      <c r="K2066" s="30">
        <f t="shared" ca="1" si="244"/>
        <v>0</v>
      </c>
      <c r="L2066" t="str">
        <f t="shared" si="245"/>
        <v>High</v>
      </c>
      <c r="M2066" s="39">
        <f>IFERROR(VLOOKUP("188mg LP - EU Stock",Controls!A:I,7,0),6)</f>
        <v>9</v>
      </c>
      <c r="N2066" s="39">
        <f>IFERROR(VLOOKUP("188mg LP - EU Stock",Controls!A:I,8,0),3)</f>
        <v>8</v>
      </c>
      <c r="O2066" s="39">
        <f>IFERROR(VLOOKUP("188mg LP - EU Stock",Controls!A:I,9,0),18)</f>
        <v>18</v>
      </c>
      <c r="P2066" s="40">
        <f>IFERROR(VLOOKUP("188mg LP - EU Stock",Controls!A:J,5,0),0)</f>
        <v>16200</v>
      </c>
      <c r="Q2066" s="39">
        <f>IFERROR(VLOOKUP("188mg LP - EU Stock",Controls!A:J,6,0),3)</f>
        <v>3</v>
      </c>
      <c r="R2066" s="21" t="str">
        <f>IFERROR(VLOOKUP("188mg LP - EU Stock",Controls!A:K,10,0),"")</f>
        <v>Patheon (L&amp;P EU)</v>
      </c>
      <c r="S2066" s="41">
        <f t="shared" si="246"/>
        <v>48761</v>
      </c>
      <c r="T2066" s="30">
        <f t="shared" si="247"/>
        <v>0</v>
      </c>
      <c r="W2066" s="205" t="str" cm="1">
        <f t="array" ref="W2066">IF(92&lt;Controls!$B$7,TEXT(INDEX(A1974:A2152,MATCH(Controls!$B$5,A1974:A2152,1)+92),"MMM-YY"),"")</f>
        <v/>
      </c>
      <c r="X2066" t="str" cm="1">
        <f t="array" ref="X2066">IF(92&lt;Controls!$B$7,INDEX(F1974:F2152,MATCH(Controls!$B$5,A1974:A2152,1)+92),"")</f>
        <v/>
      </c>
      <c r="Y2066" t="str" cm="1">
        <f t="array" ref="Y2066">IF(92&lt;Controls!$B$7,INDEX(G1974:G2152,MATCH(Controls!$B$5,A1974:A2152,1)+92),"")</f>
        <v/>
      </c>
      <c r="Z2066" t="str" cm="1">
        <f t="array" ref="Z2066">IF(92&lt;Controls!$B$7,INDEX(H1974:H2152,MATCH(Controls!$B$5,A1974:A2152,1)+92),"")</f>
        <v/>
      </c>
      <c r="AA2066" t="str" cm="1">
        <f t="array" ref="AA2066">IF(92&lt;Controls!$B$7,INDEX(M1974:M2152,MATCH(Controls!$B$5,A1974:A2152,1)+92)*INDEX(I1974:I2152,MATCH(Controls!$B$5,A1974:A2152,1)+92),"")</f>
        <v/>
      </c>
      <c r="AB2066">
        <f t="shared" si="248"/>
        <v>0</v>
      </c>
    </row>
    <row r="2067" spans="1:28" x14ac:dyDescent="0.35">
      <c r="A2067" s="153">
        <v>48884</v>
      </c>
      <c r="B2067" s="155" t="s">
        <v>959</v>
      </c>
      <c r="C2067" s="15" t="s">
        <v>28</v>
      </c>
      <c r="D2067" s="15" t="s">
        <v>29</v>
      </c>
      <c r="E2067" s="199">
        <f>H2066</f>
        <v>0</v>
      </c>
      <c r="F2067" s="199">
        <f>IFERROR(SUMIFS('Demand Inputs'!$CU$5:$CU$202,'Demand Inputs'!$A$5:$A$202,"188mg LP - EU Stock",'Demand Inputs'!$B$5:$B$202,"&lt;&gt;AGGREGATE",'Demand Inputs'!$E$5:$E$202,1),0)</f>
        <v>0</v>
      </c>
      <c r="G2067" s="199" cm="1">
        <f t="array" ref="G2067">IFERROR(SUMPRODUCT(('Production Inputs'!$A:$A="188mg LP - EU Stock")*('Production Inputs'!$B:$B="TOTAL ACTIVE")*'Production Inputs'!$DA:$DA),0)</f>
        <v>0</v>
      </c>
      <c r="H2067" s="199">
        <f t="shared" si="242"/>
        <v>0</v>
      </c>
      <c r="I2067" s="30">
        <f ca="1">IFERROR(AVERAGEIF(OFFSET(F2067,0,0,MIN(Controls!$B$8,COUNTIF(B2067:B$2152,B2067)),1),"&gt;"&amp;0),0)</f>
        <v>0</v>
      </c>
      <c r="J2067" s="38">
        <f t="shared" ca="1" si="243"/>
        <v>0</v>
      </c>
      <c r="K2067" s="30">
        <f t="shared" ca="1" si="244"/>
        <v>0</v>
      </c>
      <c r="L2067" t="str">
        <f t="shared" si="245"/>
        <v>High</v>
      </c>
      <c r="M2067" s="39">
        <f>IFERROR(VLOOKUP("188mg LP - EU Stock",Controls!A:I,7,0),6)</f>
        <v>9</v>
      </c>
      <c r="N2067" s="39">
        <f>IFERROR(VLOOKUP("188mg LP - EU Stock",Controls!A:I,8,0),3)</f>
        <v>8</v>
      </c>
      <c r="O2067" s="39">
        <f>IFERROR(VLOOKUP("188mg LP - EU Stock",Controls!A:I,9,0),18)</f>
        <v>18</v>
      </c>
      <c r="P2067" s="40">
        <f>IFERROR(VLOOKUP("188mg LP - EU Stock",Controls!A:J,5,0),0)</f>
        <v>16200</v>
      </c>
      <c r="Q2067" s="39">
        <f>IFERROR(VLOOKUP("188mg LP - EU Stock",Controls!A:J,6,0),3)</f>
        <v>3</v>
      </c>
      <c r="R2067" s="21" t="str">
        <f>IFERROR(VLOOKUP("188mg LP - EU Stock",Controls!A:K,10,0),"")</f>
        <v>Patheon (L&amp;P EU)</v>
      </c>
      <c r="S2067" s="41">
        <f t="shared" si="246"/>
        <v>48792</v>
      </c>
      <c r="T2067" s="30">
        <f t="shared" si="247"/>
        <v>0</v>
      </c>
      <c r="W2067" s="205" t="str" cm="1">
        <f t="array" ref="W2067">IF(93&lt;Controls!$B$7,TEXT(INDEX(A1974:A2152,MATCH(Controls!$B$5,A1974:A2152,1)+93),"MMM-YY"),"")</f>
        <v/>
      </c>
      <c r="X2067" t="str" cm="1">
        <f t="array" ref="X2067">IF(93&lt;Controls!$B$7,INDEX(F1974:F2152,MATCH(Controls!$B$5,A1974:A2152,1)+93),"")</f>
        <v/>
      </c>
      <c r="Y2067" t="str" cm="1">
        <f t="array" ref="Y2067">IF(93&lt;Controls!$B$7,INDEX(G1974:G2152,MATCH(Controls!$B$5,A1974:A2152,1)+93),"")</f>
        <v/>
      </c>
      <c r="Z2067" t="str" cm="1">
        <f t="array" ref="Z2067">IF(93&lt;Controls!$B$7,INDEX(H1974:H2152,MATCH(Controls!$B$5,A1974:A2152,1)+93),"")</f>
        <v/>
      </c>
      <c r="AA2067" t="str" cm="1">
        <f t="array" ref="AA2067">IF(93&lt;Controls!$B$7,INDEX(M1974:M2152,MATCH(Controls!$B$5,A1974:A2152,1)+93)*INDEX(I1974:I2152,MATCH(Controls!$B$5,A1974:A2152,1)+93),"")</f>
        <v/>
      </c>
      <c r="AB2067">
        <f t="shared" si="248"/>
        <v>0</v>
      </c>
    </row>
    <row r="2068" spans="1:28" x14ac:dyDescent="0.35">
      <c r="A2068" s="153">
        <v>48914</v>
      </c>
      <c r="B2068" s="155" t="s">
        <v>959</v>
      </c>
      <c r="C2068" s="15" t="s">
        <v>28</v>
      </c>
      <c r="D2068" s="15" t="s">
        <v>29</v>
      </c>
      <c r="E2068" s="199">
        <f>H2067</f>
        <v>0</v>
      </c>
      <c r="F2068" s="199">
        <f>IFERROR(SUMIFS('Demand Inputs'!$CV$5:$CV$202,'Demand Inputs'!$A$5:$A$202,"188mg LP - EU Stock",'Demand Inputs'!$B$5:$B$202,"&lt;&gt;AGGREGATE",'Demand Inputs'!$E$5:$E$202,1),0)</f>
        <v>0</v>
      </c>
      <c r="G2068" s="199" cm="1">
        <f t="array" ref="G2068">IFERROR(SUMPRODUCT(('Production Inputs'!$A:$A="188mg LP - EU Stock")*('Production Inputs'!$B:$B="TOTAL ACTIVE")*'Production Inputs'!$DB:$DB),0)</f>
        <v>0</v>
      </c>
      <c r="H2068" s="199">
        <f t="shared" si="242"/>
        <v>0</v>
      </c>
      <c r="I2068" s="30">
        <f ca="1">IFERROR(AVERAGEIF(OFFSET(F2068,0,0,MIN(Controls!$B$8,COUNTIF(B2068:B$2152,B2068)),1),"&gt;"&amp;0),0)</f>
        <v>0</v>
      </c>
      <c r="J2068" s="38">
        <f t="shared" ca="1" si="243"/>
        <v>0</v>
      </c>
      <c r="K2068" s="30">
        <f t="shared" ca="1" si="244"/>
        <v>0</v>
      </c>
      <c r="L2068" t="str">
        <f t="shared" si="245"/>
        <v>High</v>
      </c>
      <c r="M2068" s="39">
        <f>IFERROR(VLOOKUP("188mg LP - EU Stock",Controls!A:I,7,0),6)</f>
        <v>9</v>
      </c>
      <c r="N2068" s="39">
        <f>IFERROR(VLOOKUP("188mg LP - EU Stock",Controls!A:I,8,0),3)</f>
        <v>8</v>
      </c>
      <c r="O2068" s="39">
        <f>IFERROR(VLOOKUP("188mg LP - EU Stock",Controls!A:I,9,0),18)</f>
        <v>18</v>
      </c>
      <c r="P2068" s="40">
        <f>IFERROR(VLOOKUP("188mg LP - EU Stock",Controls!A:J,5,0),0)</f>
        <v>16200</v>
      </c>
      <c r="Q2068" s="39">
        <f>IFERROR(VLOOKUP("188mg LP - EU Stock",Controls!A:J,6,0),3)</f>
        <v>3</v>
      </c>
      <c r="R2068" s="21" t="str">
        <f>IFERROR(VLOOKUP("188mg LP - EU Stock",Controls!A:K,10,0),"")</f>
        <v>Patheon (L&amp;P EU)</v>
      </c>
      <c r="S2068" s="41">
        <f t="shared" si="246"/>
        <v>48823</v>
      </c>
      <c r="T2068" s="30">
        <f t="shared" si="247"/>
        <v>0</v>
      </c>
      <c r="W2068" s="205" t="str" cm="1">
        <f t="array" ref="W2068">IF(94&lt;Controls!$B$7,TEXT(INDEX(A1974:A2152,MATCH(Controls!$B$5,A1974:A2152,1)+94),"MMM-YY"),"")</f>
        <v/>
      </c>
      <c r="X2068" t="str" cm="1">
        <f t="array" ref="X2068">IF(94&lt;Controls!$B$7,INDEX(F1974:F2152,MATCH(Controls!$B$5,A1974:A2152,1)+94),"")</f>
        <v/>
      </c>
      <c r="Y2068" t="str" cm="1">
        <f t="array" ref="Y2068">IF(94&lt;Controls!$B$7,INDEX(G1974:G2152,MATCH(Controls!$B$5,A1974:A2152,1)+94),"")</f>
        <v/>
      </c>
      <c r="Z2068" t="str" cm="1">
        <f t="array" ref="Z2068">IF(94&lt;Controls!$B$7,INDEX(H1974:H2152,MATCH(Controls!$B$5,A1974:A2152,1)+94),"")</f>
        <v/>
      </c>
      <c r="AA2068" t="str" cm="1">
        <f t="array" ref="AA2068">IF(94&lt;Controls!$B$7,INDEX(M1974:M2152,MATCH(Controls!$B$5,A1974:A2152,1)+94)*INDEX(I1974:I2152,MATCH(Controls!$B$5,A1974:A2152,1)+94),"")</f>
        <v/>
      </c>
      <c r="AB2068">
        <f t="shared" si="248"/>
        <v>0</v>
      </c>
    </row>
    <row r="2069" spans="1:28" x14ac:dyDescent="0.35">
      <c r="A2069" s="153">
        <v>48945</v>
      </c>
      <c r="B2069" s="155" t="s">
        <v>959</v>
      </c>
      <c r="C2069" s="15" t="s">
        <v>28</v>
      </c>
      <c r="D2069" s="15" t="s">
        <v>29</v>
      </c>
      <c r="E2069" s="199">
        <f>H2068</f>
        <v>0</v>
      </c>
      <c r="F2069" s="199">
        <f>IFERROR(SUMIFS('Demand Inputs'!$CW$5:$CW$202,'Demand Inputs'!$A$5:$A$202,"188mg LP - EU Stock",'Demand Inputs'!$B$5:$B$202,"&lt;&gt;AGGREGATE",'Demand Inputs'!$E$5:$E$202,1),0)</f>
        <v>0</v>
      </c>
      <c r="G2069" s="199" cm="1">
        <f t="array" ref="G2069">IFERROR(SUMPRODUCT(('Production Inputs'!$A:$A="188mg LP - EU Stock")*('Production Inputs'!$B:$B="TOTAL ACTIVE")*'Production Inputs'!$DC:$DC),0)</f>
        <v>0</v>
      </c>
      <c r="H2069" s="199">
        <f t="shared" si="242"/>
        <v>0</v>
      </c>
      <c r="I2069" s="30">
        <f ca="1">IFERROR(AVERAGEIF(OFFSET(F2069,0,0,MIN(Controls!$B$8,COUNTIF(B2069:B$2152,B2069)),1),"&gt;"&amp;0),0)</f>
        <v>0</v>
      </c>
      <c r="J2069" s="38">
        <f t="shared" ca="1" si="243"/>
        <v>0</v>
      </c>
      <c r="K2069" s="30">
        <f t="shared" ca="1" si="244"/>
        <v>0</v>
      </c>
      <c r="L2069" t="str">
        <f t="shared" si="245"/>
        <v>High</v>
      </c>
      <c r="M2069" s="39">
        <f>IFERROR(VLOOKUP("188mg LP - EU Stock",Controls!A:I,7,0),6)</f>
        <v>9</v>
      </c>
      <c r="N2069" s="39">
        <f>IFERROR(VLOOKUP("188mg LP - EU Stock",Controls!A:I,8,0),3)</f>
        <v>8</v>
      </c>
      <c r="O2069" s="39">
        <f>IFERROR(VLOOKUP("188mg LP - EU Stock",Controls!A:I,9,0),18)</f>
        <v>18</v>
      </c>
      <c r="P2069" s="40">
        <f>IFERROR(VLOOKUP("188mg LP - EU Stock",Controls!A:J,5,0),0)</f>
        <v>16200</v>
      </c>
      <c r="Q2069" s="39">
        <f>IFERROR(VLOOKUP("188mg LP - EU Stock",Controls!A:J,6,0),3)</f>
        <v>3</v>
      </c>
      <c r="R2069" s="21" t="str">
        <f>IFERROR(VLOOKUP("188mg LP - EU Stock",Controls!A:K,10,0),"")</f>
        <v>Patheon (L&amp;P EU)</v>
      </c>
      <c r="S2069" s="41">
        <f t="shared" si="246"/>
        <v>48853</v>
      </c>
      <c r="T2069" s="30">
        <f t="shared" si="247"/>
        <v>0</v>
      </c>
      <c r="W2069" s="205" t="str" cm="1">
        <f t="array" ref="W2069">IF(95&lt;Controls!$B$7,TEXT(INDEX(A1974:A2152,MATCH(Controls!$B$5,A1974:A2152,1)+95),"MMM-YY"),"")</f>
        <v/>
      </c>
      <c r="X2069" t="str" cm="1">
        <f t="array" ref="X2069">IF(95&lt;Controls!$B$7,INDEX(F1974:F2152,MATCH(Controls!$B$5,A1974:A2152,1)+95),"")</f>
        <v/>
      </c>
      <c r="Y2069" t="str" cm="1">
        <f t="array" ref="Y2069">IF(95&lt;Controls!$B$7,INDEX(G1974:G2152,MATCH(Controls!$B$5,A1974:A2152,1)+95),"")</f>
        <v/>
      </c>
      <c r="Z2069" t="str" cm="1">
        <f t="array" ref="Z2069">IF(95&lt;Controls!$B$7,INDEX(H1974:H2152,MATCH(Controls!$B$5,A1974:A2152,1)+95),"")</f>
        <v/>
      </c>
      <c r="AA2069" t="str" cm="1">
        <f t="array" ref="AA2069">IF(95&lt;Controls!$B$7,INDEX(M1974:M2152,MATCH(Controls!$B$5,A1974:A2152,1)+95)*INDEX(I1974:I2152,MATCH(Controls!$B$5,A1974:A2152,1)+95),"")</f>
        <v/>
      </c>
      <c r="AB2069">
        <f t="shared" si="248"/>
        <v>0</v>
      </c>
    </row>
    <row r="2070" spans="1:28" x14ac:dyDescent="0.35">
      <c r="A2070" s="153">
        <v>48976</v>
      </c>
      <c r="B2070" s="155" t="s">
        <v>959</v>
      </c>
      <c r="C2070" s="15" t="s">
        <v>28</v>
      </c>
      <c r="D2070" s="15" t="s">
        <v>29</v>
      </c>
      <c r="E2070" s="199">
        <f>H2069</f>
        <v>0</v>
      </c>
      <c r="F2070" s="199">
        <f>IFERROR(SUMIFS('Demand Inputs'!$CX$5:$CX$202,'Demand Inputs'!$A$5:$A$202,"188mg LP - EU Stock",'Demand Inputs'!$B$5:$B$202,"&lt;&gt;AGGREGATE",'Demand Inputs'!$E$5:$E$202,1),0)</f>
        <v>0</v>
      </c>
      <c r="G2070" s="199" cm="1">
        <f t="array" ref="G2070">IFERROR(SUMPRODUCT(('Production Inputs'!$A:$A="188mg LP - EU Stock")*('Production Inputs'!$B:$B="TOTAL ACTIVE")*'Production Inputs'!$DD:$DD),0)</f>
        <v>0</v>
      </c>
      <c r="H2070" s="199">
        <f t="shared" si="242"/>
        <v>0</v>
      </c>
      <c r="I2070" s="30">
        <f ca="1">IFERROR(AVERAGEIF(OFFSET(F2070,0,0,MIN(Controls!$B$8,COUNTIF(B2070:B$2152,B2070)),1),"&gt;"&amp;0),0)</f>
        <v>0</v>
      </c>
      <c r="J2070" s="38">
        <f t="shared" ca="1" si="243"/>
        <v>0</v>
      </c>
      <c r="K2070" s="30">
        <f t="shared" ca="1" si="244"/>
        <v>0</v>
      </c>
      <c r="L2070" t="str">
        <f t="shared" si="245"/>
        <v>High</v>
      </c>
      <c r="M2070" s="39">
        <f>IFERROR(VLOOKUP("188mg LP - EU Stock",Controls!A:I,7,0),6)</f>
        <v>9</v>
      </c>
      <c r="N2070" s="39">
        <f>IFERROR(VLOOKUP("188mg LP - EU Stock",Controls!A:I,8,0),3)</f>
        <v>8</v>
      </c>
      <c r="O2070" s="39">
        <f>IFERROR(VLOOKUP("188mg LP - EU Stock",Controls!A:I,9,0),18)</f>
        <v>18</v>
      </c>
      <c r="P2070" s="40">
        <f>IFERROR(VLOOKUP("188mg LP - EU Stock",Controls!A:J,5,0),0)</f>
        <v>16200</v>
      </c>
      <c r="Q2070" s="39">
        <f>IFERROR(VLOOKUP("188mg LP - EU Stock",Controls!A:J,6,0),3)</f>
        <v>3</v>
      </c>
      <c r="R2070" s="21" t="str">
        <f>IFERROR(VLOOKUP("188mg LP - EU Stock",Controls!A:K,10,0),"")</f>
        <v>Patheon (L&amp;P EU)</v>
      </c>
      <c r="S2070" s="41">
        <f t="shared" si="246"/>
        <v>48884</v>
      </c>
      <c r="T2070" s="30">
        <f t="shared" si="247"/>
        <v>0</v>
      </c>
      <c r="W2070" s="205" t="str" cm="1">
        <f t="array" ref="W2070">IF(96&lt;Controls!$B$7,TEXT(INDEX(A1974:A2152,MATCH(Controls!$B$5,A1974:A2152,1)+96),"MMM-YY"),"")</f>
        <v/>
      </c>
      <c r="X2070" t="str" cm="1">
        <f t="array" ref="X2070">IF(96&lt;Controls!$B$7,INDEX(F1974:F2152,MATCH(Controls!$B$5,A1974:A2152,1)+96),"")</f>
        <v/>
      </c>
      <c r="Y2070" t="str" cm="1">
        <f t="array" ref="Y2070">IF(96&lt;Controls!$B$7,INDEX(G1974:G2152,MATCH(Controls!$B$5,A1974:A2152,1)+96),"")</f>
        <v/>
      </c>
      <c r="Z2070" t="str" cm="1">
        <f t="array" ref="Z2070">IF(96&lt;Controls!$B$7,INDEX(H1974:H2152,MATCH(Controls!$B$5,A1974:A2152,1)+96),"")</f>
        <v/>
      </c>
      <c r="AA2070" t="str" cm="1">
        <f t="array" ref="AA2070">IF(96&lt;Controls!$B$7,INDEX(M1974:M2152,MATCH(Controls!$B$5,A1974:A2152,1)+96)*INDEX(I1974:I2152,MATCH(Controls!$B$5,A1974:A2152,1)+96),"")</f>
        <v/>
      </c>
      <c r="AB2070">
        <f t="shared" si="248"/>
        <v>0</v>
      </c>
    </row>
    <row r="2071" spans="1:28" x14ac:dyDescent="0.35">
      <c r="A2071" s="153">
        <v>49004</v>
      </c>
      <c r="B2071" s="155" t="s">
        <v>959</v>
      </c>
      <c r="C2071" s="15" t="s">
        <v>28</v>
      </c>
      <c r="D2071" s="15" t="s">
        <v>29</v>
      </c>
      <c r="E2071" s="199">
        <f>H2070</f>
        <v>0</v>
      </c>
      <c r="F2071" s="199">
        <f>IFERROR(SUMIFS('Demand Inputs'!$CY$5:$CY$202,'Demand Inputs'!$A$5:$A$202,"188mg LP - EU Stock",'Demand Inputs'!$B$5:$B$202,"&lt;&gt;AGGREGATE",'Demand Inputs'!$E$5:$E$202,1),0)</f>
        <v>0</v>
      </c>
      <c r="G2071" s="199" cm="1">
        <f t="array" ref="G2071">IFERROR(SUMPRODUCT(('Production Inputs'!$A:$A="188mg LP - EU Stock")*('Production Inputs'!$B:$B="TOTAL ACTIVE")*'Production Inputs'!$DE:$DE),0)</f>
        <v>0</v>
      </c>
      <c r="H2071" s="199">
        <f t="shared" si="242"/>
        <v>0</v>
      </c>
      <c r="I2071" s="30">
        <f ca="1">IFERROR(AVERAGEIF(OFFSET(F2071,0,0,MIN(Controls!$B$8,COUNTIF(B2071:B$2152,B2071)),1),"&gt;"&amp;0),0)</f>
        <v>0</v>
      </c>
      <c r="J2071" s="38">
        <f t="shared" ca="1" si="243"/>
        <v>0</v>
      </c>
      <c r="K2071" s="30">
        <f t="shared" ca="1" si="244"/>
        <v>0</v>
      </c>
      <c r="L2071" t="str">
        <f t="shared" si="245"/>
        <v>High</v>
      </c>
      <c r="M2071" s="39">
        <f>IFERROR(VLOOKUP("188mg LP - EU Stock",Controls!A:I,7,0),6)</f>
        <v>9</v>
      </c>
      <c r="N2071" s="39">
        <f>IFERROR(VLOOKUP("188mg LP - EU Stock",Controls!A:I,8,0),3)</f>
        <v>8</v>
      </c>
      <c r="O2071" s="39">
        <f>IFERROR(VLOOKUP("188mg LP - EU Stock",Controls!A:I,9,0),18)</f>
        <v>18</v>
      </c>
      <c r="P2071" s="40">
        <f>IFERROR(VLOOKUP("188mg LP - EU Stock",Controls!A:J,5,0),0)</f>
        <v>16200</v>
      </c>
      <c r="Q2071" s="39">
        <f>IFERROR(VLOOKUP("188mg LP - EU Stock",Controls!A:J,6,0),3)</f>
        <v>3</v>
      </c>
      <c r="R2071" s="21" t="str">
        <f>IFERROR(VLOOKUP("188mg LP - EU Stock",Controls!A:K,10,0),"")</f>
        <v>Patheon (L&amp;P EU)</v>
      </c>
      <c r="S2071" s="41">
        <f t="shared" si="246"/>
        <v>48914</v>
      </c>
      <c r="T2071" s="30">
        <f t="shared" si="247"/>
        <v>0</v>
      </c>
      <c r="W2071" s="205" t="str" cm="1">
        <f t="array" ref="W2071">IF(97&lt;Controls!$B$7,TEXT(INDEX(A1974:A2152,MATCH(Controls!$B$5,A1974:A2152,1)+97),"MMM-YY"),"")</f>
        <v/>
      </c>
      <c r="X2071" t="str" cm="1">
        <f t="array" ref="X2071">IF(97&lt;Controls!$B$7,INDEX(F1974:F2152,MATCH(Controls!$B$5,A1974:A2152,1)+97),"")</f>
        <v/>
      </c>
      <c r="Y2071" t="str" cm="1">
        <f t="array" ref="Y2071">IF(97&lt;Controls!$B$7,INDEX(G1974:G2152,MATCH(Controls!$B$5,A1974:A2152,1)+97),"")</f>
        <v/>
      </c>
      <c r="Z2071" t="str" cm="1">
        <f t="array" ref="Z2071">IF(97&lt;Controls!$B$7,INDEX(H1974:H2152,MATCH(Controls!$B$5,A1974:A2152,1)+97),"")</f>
        <v/>
      </c>
      <c r="AA2071" t="str" cm="1">
        <f t="array" ref="AA2071">IF(97&lt;Controls!$B$7,INDEX(M1974:M2152,MATCH(Controls!$B$5,A1974:A2152,1)+97)*INDEX(I1974:I2152,MATCH(Controls!$B$5,A1974:A2152,1)+97),"")</f>
        <v/>
      </c>
      <c r="AB2071">
        <f t="shared" si="248"/>
        <v>0</v>
      </c>
    </row>
    <row r="2072" spans="1:28" x14ac:dyDescent="0.35">
      <c r="A2072" s="153">
        <v>49035</v>
      </c>
      <c r="B2072" s="155" t="s">
        <v>959</v>
      </c>
      <c r="C2072" s="15" t="s">
        <v>28</v>
      </c>
      <c r="D2072" s="15" t="s">
        <v>29</v>
      </c>
      <c r="E2072" s="199">
        <f>H2071</f>
        <v>0</v>
      </c>
      <c r="F2072" s="199">
        <f>IFERROR(SUMIFS('Demand Inputs'!$CZ$5:$CZ$202,'Demand Inputs'!$A$5:$A$202,"188mg LP - EU Stock",'Demand Inputs'!$B$5:$B$202,"&lt;&gt;AGGREGATE",'Demand Inputs'!$E$5:$E$202,1),0)</f>
        <v>0</v>
      </c>
      <c r="G2072" s="199" cm="1">
        <f t="array" ref="G2072">IFERROR(SUMPRODUCT(('Production Inputs'!$A:$A="188mg LP - EU Stock")*('Production Inputs'!$B:$B="TOTAL ACTIVE")*'Production Inputs'!$DF:$DF),0)</f>
        <v>0</v>
      </c>
      <c r="H2072" s="199">
        <f t="shared" si="242"/>
        <v>0</v>
      </c>
      <c r="I2072" s="30">
        <f ca="1">IFERROR(AVERAGEIF(OFFSET(F2072,0,0,MIN(Controls!$B$8,COUNTIF(B2072:B$2152,B2072)),1),"&gt;"&amp;0),0)</f>
        <v>0</v>
      </c>
      <c r="J2072" s="38">
        <f t="shared" ca="1" si="243"/>
        <v>0</v>
      </c>
      <c r="K2072" s="30">
        <f t="shared" ca="1" si="244"/>
        <v>0</v>
      </c>
      <c r="L2072" t="str">
        <f t="shared" si="245"/>
        <v>High</v>
      </c>
      <c r="M2072" s="39">
        <f>IFERROR(VLOOKUP("188mg LP - EU Stock",Controls!A:I,7,0),6)</f>
        <v>9</v>
      </c>
      <c r="N2072" s="39">
        <f>IFERROR(VLOOKUP("188mg LP - EU Stock",Controls!A:I,8,0),3)</f>
        <v>8</v>
      </c>
      <c r="O2072" s="39">
        <f>IFERROR(VLOOKUP("188mg LP - EU Stock",Controls!A:I,9,0),18)</f>
        <v>18</v>
      </c>
      <c r="P2072" s="40">
        <f>IFERROR(VLOOKUP("188mg LP - EU Stock",Controls!A:J,5,0),0)</f>
        <v>16200</v>
      </c>
      <c r="Q2072" s="39">
        <f>IFERROR(VLOOKUP("188mg LP - EU Stock",Controls!A:J,6,0),3)</f>
        <v>3</v>
      </c>
      <c r="R2072" s="21" t="str">
        <f>IFERROR(VLOOKUP("188mg LP - EU Stock",Controls!A:K,10,0),"")</f>
        <v>Patheon (L&amp;P EU)</v>
      </c>
      <c r="S2072" s="41">
        <f t="shared" si="246"/>
        <v>48945</v>
      </c>
      <c r="T2072" s="30">
        <f t="shared" si="247"/>
        <v>0</v>
      </c>
      <c r="W2072" s="205" t="str" cm="1">
        <f t="array" ref="W2072">IF(98&lt;Controls!$B$7,TEXT(INDEX(A1974:A2152,MATCH(Controls!$B$5,A1974:A2152,1)+98),"MMM-YY"),"")</f>
        <v/>
      </c>
      <c r="X2072" t="str" cm="1">
        <f t="array" ref="X2072">IF(98&lt;Controls!$B$7,INDEX(F1974:F2152,MATCH(Controls!$B$5,A1974:A2152,1)+98),"")</f>
        <v/>
      </c>
      <c r="Y2072" t="str" cm="1">
        <f t="array" ref="Y2072">IF(98&lt;Controls!$B$7,INDEX(G1974:G2152,MATCH(Controls!$B$5,A1974:A2152,1)+98),"")</f>
        <v/>
      </c>
      <c r="Z2072" t="str" cm="1">
        <f t="array" ref="Z2072">IF(98&lt;Controls!$B$7,INDEX(H1974:H2152,MATCH(Controls!$B$5,A1974:A2152,1)+98),"")</f>
        <v/>
      </c>
      <c r="AA2072" t="str" cm="1">
        <f t="array" ref="AA2072">IF(98&lt;Controls!$B$7,INDEX(M1974:M2152,MATCH(Controls!$B$5,A1974:A2152,1)+98)*INDEX(I1974:I2152,MATCH(Controls!$B$5,A1974:A2152,1)+98),"")</f>
        <v/>
      </c>
      <c r="AB2072">
        <f t="shared" si="248"/>
        <v>0</v>
      </c>
    </row>
    <row r="2073" spans="1:28" x14ac:dyDescent="0.35">
      <c r="A2073" s="153">
        <v>49065</v>
      </c>
      <c r="B2073" s="155" t="s">
        <v>959</v>
      </c>
      <c r="C2073" s="15" t="s">
        <v>28</v>
      </c>
      <c r="D2073" s="15" t="s">
        <v>29</v>
      </c>
      <c r="E2073" s="199">
        <f>H2072</f>
        <v>0</v>
      </c>
      <c r="F2073" s="199">
        <f>IFERROR(SUMIFS('Demand Inputs'!$DA$5:$DA$202,'Demand Inputs'!$A$5:$A$202,"188mg LP - EU Stock",'Demand Inputs'!$B$5:$B$202,"&lt;&gt;AGGREGATE",'Demand Inputs'!$E$5:$E$202,1),0)</f>
        <v>0</v>
      </c>
      <c r="G2073" s="199" cm="1">
        <f t="array" ref="G2073">IFERROR(SUMPRODUCT(('Production Inputs'!$A:$A="188mg LP - EU Stock")*('Production Inputs'!$B:$B="TOTAL ACTIVE")*'Production Inputs'!$DG:$DG),0)</f>
        <v>0</v>
      </c>
      <c r="H2073" s="199">
        <f t="shared" si="242"/>
        <v>0</v>
      </c>
      <c r="I2073" s="30">
        <f ca="1">IFERROR(AVERAGEIF(OFFSET(F2073,0,0,MIN(Controls!$B$8,COUNTIF(B2073:B$2152,B2073)),1),"&gt;"&amp;0),0)</f>
        <v>0</v>
      </c>
      <c r="J2073" s="38">
        <f t="shared" ca="1" si="243"/>
        <v>0</v>
      </c>
      <c r="K2073" s="30">
        <f t="shared" ca="1" si="244"/>
        <v>0</v>
      </c>
      <c r="L2073" t="str">
        <f t="shared" si="245"/>
        <v>High</v>
      </c>
      <c r="M2073" s="39">
        <f>IFERROR(VLOOKUP("188mg LP - EU Stock",Controls!A:I,7,0),6)</f>
        <v>9</v>
      </c>
      <c r="N2073" s="39">
        <f>IFERROR(VLOOKUP("188mg LP - EU Stock",Controls!A:I,8,0),3)</f>
        <v>8</v>
      </c>
      <c r="O2073" s="39">
        <f>IFERROR(VLOOKUP("188mg LP - EU Stock",Controls!A:I,9,0),18)</f>
        <v>18</v>
      </c>
      <c r="P2073" s="40">
        <f>IFERROR(VLOOKUP("188mg LP - EU Stock",Controls!A:J,5,0),0)</f>
        <v>16200</v>
      </c>
      <c r="Q2073" s="39">
        <f>IFERROR(VLOOKUP("188mg LP - EU Stock",Controls!A:J,6,0),3)</f>
        <v>3</v>
      </c>
      <c r="R2073" s="21" t="str">
        <f>IFERROR(VLOOKUP("188mg LP - EU Stock",Controls!A:K,10,0),"")</f>
        <v>Patheon (L&amp;P EU)</v>
      </c>
      <c r="S2073" s="41">
        <f t="shared" si="246"/>
        <v>48976</v>
      </c>
      <c r="T2073" s="30">
        <f t="shared" si="247"/>
        <v>0</v>
      </c>
      <c r="W2073" s="205" t="str" cm="1">
        <f t="array" ref="W2073">IF(99&lt;Controls!$B$7,TEXT(INDEX(A1974:A2152,MATCH(Controls!$B$5,A1974:A2152,1)+99),"MMM-YY"),"")</f>
        <v/>
      </c>
      <c r="X2073" t="str" cm="1">
        <f t="array" ref="X2073">IF(99&lt;Controls!$B$7,INDEX(F1974:F2152,MATCH(Controls!$B$5,A1974:A2152,1)+99),"")</f>
        <v/>
      </c>
      <c r="Y2073" t="str" cm="1">
        <f t="array" ref="Y2073">IF(99&lt;Controls!$B$7,INDEX(G1974:G2152,MATCH(Controls!$B$5,A1974:A2152,1)+99),"")</f>
        <v/>
      </c>
      <c r="Z2073" t="str" cm="1">
        <f t="array" ref="Z2073">IF(99&lt;Controls!$B$7,INDEX(H1974:H2152,MATCH(Controls!$B$5,A1974:A2152,1)+99),"")</f>
        <v/>
      </c>
      <c r="AA2073" t="str" cm="1">
        <f t="array" ref="AA2073">IF(99&lt;Controls!$B$7,INDEX(M1974:M2152,MATCH(Controls!$B$5,A1974:A2152,1)+99)*INDEX(I1974:I2152,MATCH(Controls!$B$5,A1974:A2152,1)+99),"")</f>
        <v/>
      </c>
      <c r="AB2073">
        <f t="shared" si="248"/>
        <v>0</v>
      </c>
    </row>
    <row r="2074" spans="1:28" x14ac:dyDescent="0.35">
      <c r="A2074" s="153">
        <v>49096</v>
      </c>
      <c r="B2074" s="155" t="s">
        <v>959</v>
      </c>
      <c r="C2074" s="15" t="s">
        <v>28</v>
      </c>
      <c r="D2074" s="15" t="s">
        <v>29</v>
      </c>
      <c r="E2074" s="199">
        <f>H2073</f>
        <v>0</v>
      </c>
      <c r="F2074" s="199">
        <f>IFERROR(SUMIFS('Demand Inputs'!$DB$5:$DB$202,'Demand Inputs'!$A$5:$A$202,"188mg LP - EU Stock",'Demand Inputs'!$B$5:$B$202,"&lt;&gt;AGGREGATE",'Demand Inputs'!$E$5:$E$202,1),0)</f>
        <v>0</v>
      </c>
      <c r="G2074" s="199" cm="1">
        <f t="array" ref="G2074">IFERROR(SUMPRODUCT(('Production Inputs'!$A:$A="188mg LP - EU Stock")*('Production Inputs'!$B:$B="TOTAL ACTIVE")*'Production Inputs'!$DH:$DH),0)</f>
        <v>0</v>
      </c>
      <c r="H2074" s="199">
        <f t="shared" si="242"/>
        <v>0</v>
      </c>
      <c r="I2074" s="30">
        <f ca="1">IFERROR(AVERAGEIF(OFFSET(F2074,0,0,MIN(Controls!$B$8,COUNTIF(B2074:B$2152,B2074)),1),"&gt;"&amp;0),0)</f>
        <v>0</v>
      </c>
      <c r="J2074" s="38">
        <f t="shared" ca="1" si="243"/>
        <v>0</v>
      </c>
      <c r="K2074" s="30">
        <f t="shared" ca="1" si="244"/>
        <v>0</v>
      </c>
      <c r="L2074" t="str">
        <f t="shared" si="245"/>
        <v>High</v>
      </c>
      <c r="M2074" s="39">
        <f>IFERROR(VLOOKUP("188mg LP - EU Stock",Controls!A:I,7,0),6)</f>
        <v>9</v>
      </c>
      <c r="N2074" s="39">
        <f>IFERROR(VLOOKUP("188mg LP - EU Stock",Controls!A:I,8,0),3)</f>
        <v>8</v>
      </c>
      <c r="O2074" s="39">
        <f>IFERROR(VLOOKUP("188mg LP - EU Stock",Controls!A:I,9,0),18)</f>
        <v>18</v>
      </c>
      <c r="P2074" s="40">
        <f>IFERROR(VLOOKUP("188mg LP - EU Stock",Controls!A:J,5,0),0)</f>
        <v>16200</v>
      </c>
      <c r="Q2074" s="39">
        <f>IFERROR(VLOOKUP("188mg LP - EU Stock",Controls!A:J,6,0),3)</f>
        <v>3</v>
      </c>
      <c r="R2074" s="21" t="str">
        <f>IFERROR(VLOOKUP("188mg LP - EU Stock",Controls!A:K,10,0),"")</f>
        <v>Patheon (L&amp;P EU)</v>
      </c>
      <c r="S2074" s="41">
        <f t="shared" si="246"/>
        <v>49004</v>
      </c>
      <c r="T2074" s="30">
        <f t="shared" si="247"/>
        <v>0</v>
      </c>
      <c r="W2074" s="205" t="str" cm="1">
        <f t="array" ref="W2074">IF(100&lt;Controls!$B$7,TEXT(INDEX(A1974:A2152,MATCH(Controls!$B$5,A1974:A2152,1)+100),"MMM-YY"),"")</f>
        <v/>
      </c>
      <c r="X2074" t="str" cm="1">
        <f t="array" ref="X2074">IF(100&lt;Controls!$B$7,INDEX(F1974:F2152,MATCH(Controls!$B$5,A1974:A2152,1)+100),"")</f>
        <v/>
      </c>
      <c r="Y2074" t="str" cm="1">
        <f t="array" ref="Y2074">IF(100&lt;Controls!$B$7,INDEX(G1974:G2152,MATCH(Controls!$B$5,A1974:A2152,1)+100),"")</f>
        <v/>
      </c>
      <c r="Z2074" t="str" cm="1">
        <f t="array" ref="Z2074">IF(100&lt;Controls!$B$7,INDEX(H1974:H2152,MATCH(Controls!$B$5,A1974:A2152,1)+100),"")</f>
        <v/>
      </c>
      <c r="AA2074" t="str" cm="1">
        <f t="array" ref="AA2074">IF(100&lt;Controls!$B$7,INDEX(M1974:M2152,MATCH(Controls!$B$5,A1974:A2152,1)+100)*INDEX(I1974:I2152,MATCH(Controls!$B$5,A1974:A2152,1)+100),"")</f>
        <v/>
      </c>
      <c r="AB2074">
        <f t="shared" si="248"/>
        <v>0</v>
      </c>
    </row>
    <row r="2075" spans="1:28" x14ac:dyDescent="0.35">
      <c r="A2075" s="153">
        <v>49126</v>
      </c>
      <c r="B2075" s="155" t="s">
        <v>959</v>
      </c>
      <c r="C2075" s="15" t="s">
        <v>28</v>
      </c>
      <c r="D2075" s="15" t="s">
        <v>29</v>
      </c>
      <c r="E2075" s="199">
        <f>H2074</f>
        <v>0</v>
      </c>
      <c r="F2075" s="199">
        <f>IFERROR(SUMIFS('Demand Inputs'!$DC$5:$DC$202,'Demand Inputs'!$A$5:$A$202,"188mg LP - EU Stock",'Demand Inputs'!$B$5:$B$202,"&lt;&gt;AGGREGATE",'Demand Inputs'!$E$5:$E$202,1),0)</f>
        <v>0</v>
      </c>
      <c r="G2075" s="199" cm="1">
        <f t="array" ref="G2075">IFERROR(SUMPRODUCT(('Production Inputs'!$A:$A="188mg LP - EU Stock")*('Production Inputs'!$B:$B="TOTAL ACTIVE")*'Production Inputs'!$DI:$DI),0)</f>
        <v>0</v>
      </c>
      <c r="H2075" s="199">
        <f t="shared" si="242"/>
        <v>0</v>
      </c>
      <c r="I2075" s="30">
        <f ca="1">IFERROR(AVERAGEIF(OFFSET(F2075,0,0,MIN(Controls!$B$8,COUNTIF(B2075:B$2152,B2075)),1),"&gt;"&amp;0),0)</f>
        <v>0</v>
      </c>
      <c r="J2075" s="38">
        <f t="shared" ca="1" si="243"/>
        <v>0</v>
      </c>
      <c r="K2075" s="30">
        <f t="shared" ca="1" si="244"/>
        <v>0</v>
      </c>
      <c r="L2075" t="str">
        <f t="shared" si="245"/>
        <v>High</v>
      </c>
      <c r="M2075" s="39">
        <f>IFERROR(VLOOKUP("188mg LP - EU Stock",Controls!A:I,7,0),6)</f>
        <v>9</v>
      </c>
      <c r="N2075" s="39">
        <f>IFERROR(VLOOKUP("188mg LP - EU Stock",Controls!A:I,8,0),3)</f>
        <v>8</v>
      </c>
      <c r="O2075" s="39">
        <f>IFERROR(VLOOKUP("188mg LP - EU Stock",Controls!A:I,9,0),18)</f>
        <v>18</v>
      </c>
      <c r="P2075" s="40">
        <f>IFERROR(VLOOKUP("188mg LP - EU Stock",Controls!A:J,5,0),0)</f>
        <v>16200</v>
      </c>
      <c r="Q2075" s="39">
        <f>IFERROR(VLOOKUP("188mg LP - EU Stock",Controls!A:J,6,0),3)</f>
        <v>3</v>
      </c>
      <c r="R2075" s="21" t="str">
        <f>IFERROR(VLOOKUP("188mg LP - EU Stock",Controls!A:K,10,0),"")</f>
        <v>Patheon (L&amp;P EU)</v>
      </c>
      <c r="S2075" s="41">
        <f t="shared" si="246"/>
        <v>49035</v>
      </c>
      <c r="T2075" s="30">
        <f t="shared" si="247"/>
        <v>0</v>
      </c>
      <c r="W2075" s="205" t="str" cm="1">
        <f t="array" ref="W2075">IF(101&lt;Controls!$B$7,TEXT(INDEX(A1974:A2152,MATCH(Controls!$B$5,A1974:A2152,1)+101),"MMM-YY"),"")</f>
        <v/>
      </c>
      <c r="X2075" t="str" cm="1">
        <f t="array" ref="X2075">IF(101&lt;Controls!$B$7,INDEX(F1974:F2152,MATCH(Controls!$B$5,A1974:A2152,1)+101),"")</f>
        <v/>
      </c>
      <c r="Y2075" t="str" cm="1">
        <f t="array" ref="Y2075">IF(101&lt;Controls!$B$7,INDEX(G1974:G2152,MATCH(Controls!$B$5,A1974:A2152,1)+101),"")</f>
        <v/>
      </c>
      <c r="Z2075" t="str" cm="1">
        <f t="array" ref="Z2075">IF(101&lt;Controls!$B$7,INDEX(H1974:H2152,MATCH(Controls!$B$5,A1974:A2152,1)+101),"")</f>
        <v/>
      </c>
      <c r="AA2075" t="str" cm="1">
        <f t="array" ref="AA2075">IF(101&lt;Controls!$B$7,INDEX(M1974:M2152,MATCH(Controls!$B$5,A1974:A2152,1)+101)*INDEX(I1974:I2152,MATCH(Controls!$B$5,A1974:A2152,1)+101),"")</f>
        <v/>
      </c>
      <c r="AB2075">
        <f t="shared" si="248"/>
        <v>0</v>
      </c>
    </row>
    <row r="2076" spans="1:28" x14ac:dyDescent="0.35">
      <c r="A2076" s="153">
        <v>49157</v>
      </c>
      <c r="B2076" s="155" t="s">
        <v>959</v>
      </c>
      <c r="C2076" s="15" t="s">
        <v>28</v>
      </c>
      <c r="D2076" s="15" t="s">
        <v>29</v>
      </c>
      <c r="E2076" s="199">
        <f>H2075</f>
        <v>0</v>
      </c>
      <c r="F2076" s="199">
        <f>IFERROR(SUMIFS('Demand Inputs'!$DD$5:$DD$202,'Demand Inputs'!$A$5:$A$202,"188mg LP - EU Stock",'Demand Inputs'!$B$5:$B$202,"&lt;&gt;AGGREGATE",'Demand Inputs'!$E$5:$E$202,1),0)</f>
        <v>0</v>
      </c>
      <c r="G2076" s="199" cm="1">
        <f t="array" ref="G2076">IFERROR(SUMPRODUCT(('Production Inputs'!$A:$A="188mg LP - EU Stock")*('Production Inputs'!$B:$B="TOTAL ACTIVE")*'Production Inputs'!$DJ:$DJ),0)</f>
        <v>0</v>
      </c>
      <c r="H2076" s="199">
        <f t="shared" si="242"/>
        <v>0</v>
      </c>
      <c r="I2076" s="30">
        <f ca="1">IFERROR(AVERAGEIF(OFFSET(F2076,0,0,MIN(Controls!$B$8,COUNTIF(B2076:B$2152,B2076)),1),"&gt;"&amp;0),0)</f>
        <v>0</v>
      </c>
      <c r="J2076" s="38">
        <f t="shared" ca="1" si="243"/>
        <v>0</v>
      </c>
      <c r="K2076" s="30">
        <f t="shared" ca="1" si="244"/>
        <v>0</v>
      </c>
      <c r="L2076" t="str">
        <f t="shared" si="245"/>
        <v>High</v>
      </c>
      <c r="M2076" s="39">
        <f>IFERROR(VLOOKUP("188mg LP - EU Stock",Controls!A:I,7,0),6)</f>
        <v>9</v>
      </c>
      <c r="N2076" s="39">
        <f>IFERROR(VLOOKUP("188mg LP - EU Stock",Controls!A:I,8,0),3)</f>
        <v>8</v>
      </c>
      <c r="O2076" s="39">
        <f>IFERROR(VLOOKUP("188mg LP - EU Stock",Controls!A:I,9,0),18)</f>
        <v>18</v>
      </c>
      <c r="P2076" s="40">
        <f>IFERROR(VLOOKUP("188mg LP - EU Stock",Controls!A:J,5,0),0)</f>
        <v>16200</v>
      </c>
      <c r="Q2076" s="39">
        <f>IFERROR(VLOOKUP("188mg LP - EU Stock",Controls!A:J,6,0),3)</f>
        <v>3</v>
      </c>
      <c r="R2076" s="21" t="str">
        <f>IFERROR(VLOOKUP("188mg LP - EU Stock",Controls!A:K,10,0),"")</f>
        <v>Patheon (L&amp;P EU)</v>
      </c>
      <c r="S2076" s="41">
        <f t="shared" si="246"/>
        <v>49065</v>
      </c>
      <c r="T2076" s="30">
        <f t="shared" si="247"/>
        <v>0</v>
      </c>
      <c r="W2076" s="205" t="str" cm="1">
        <f t="array" ref="W2076">IF(102&lt;Controls!$B$7,TEXT(INDEX(A1974:A2152,MATCH(Controls!$B$5,A1974:A2152,1)+102),"MMM-YY"),"")</f>
        <v/>
      </c>
      <c r="X2076" t="str" cm="1">
        <f t="array" ref="X2076">IF(102&lt;Controls!$B$7,INDEX(F1974:F2152,MATCH(Controls!$B$5,A1974:A2152,1)+102),"")</f>
        <v/>
      </c>
      <c r="Y2076" t="str" cm="1">
        <f t="array" ref="Y2076">IF(102&lt;Controls!$B$7,INDEX(G1974:G2152,MATCH(Controls!$B$5,A1974:A2152,1)+102),"")</f>
        <v/>
      </c>
      <c r="Z2076" t="str" cm="1">
        <f t="array" ref="Z2076">IF(102&lt;Controls!$B$7,INDEX(H1974:H2152,MATCH(Controls!$B$5,A1974:A2152,1)+102),"")</f>
        <v/>
      </c>
      <c r="AA2076" t="str" cm="1">
        <f t="array" ref="AA2076">IF(102&lt;Controls!$B$7,INDEX(M1974:M2152,MATCH(Controls!$B$5,A1974:A2152,1)+102)*INDEX(I1974:I2152,MATCH(Controls!$B$5,A1974:A2152,1)+102),"")</f>
        <v/>
      </c>
      <c r="AB2076">
        <f t="shared" si="248"/>
        <v>0</v>
      </c>
    </row>
    <row r="2077" spans="1:28" x14ac:dyDescent="0.35">
      <c r="A2077" s="153">
        <v>49188</v>
      </c>
      <c r="B2077" s="155" t="s">
        <v>959</v>
      </c>
      <c r="C2077" s="15" t="s">
        <v>28</v>
      </c>
      <c r="D2077" s="15" t="s">
        <v>29</v>
      </c>
      <c r="E2077" s="199">
        <f>H2076</f>
        <v>0</v>
      </c>
      <c r="F2077" s="199">
        <f>IFERROR(SUMIFS('Demand Inputs'!$DE$5:$DE$202,'Demand Inputs'!$A$5:$A$202,"188mg LP - EU Stock",'Demand Inputs'!$B$5:$B$202,"&lt;&gt;AGGREGATE",'Demand Inputs'!$E$5:$E$202,1),0)</f>
        <v>0</v>
      </c>
      <c r="G2077" s="199" cm="1">
        <f t="array" ref="G2077">IFERROR(SUMPRODUCT(('Production Inputs'!$A:$A="188mg LP - EU Stock")*('Production Inputs'!$B:$B="TOTAL ACTIVE")*'Production Inputs'!$DK:$DK),0)</f>
        <v>0</v>
      </c>
      <c r="H2077" s="199">
        <f t="shared" si="242"/>
        <v>0</v>
      </c>
      <c r="I2077" s="30">
        <f ca="1">IFERROR(AVERAGEIF(OFFSET(F2077,0,0,MIN(Controls!$B$8,COUNTIF(B2077:B$2152,B2077)),1),"&gt;"&amp;0),0)</f>
        <v>0</v>
      </c>
      <c r="J2077" s="38">
        <f t="shared" ca="1" si="243"/>
        <v>0</v>
      </c>
      <c r="K2077" s="30">
        <f t="shared" ca="1" si="244"/>
        <v>0</v>
      </c>
      <c r="L2077" t="str">
        <f t="shared" si="245"/>
        <v>High</v>
      </c>
      <c r="M2077" s="39">
        <f>IFERROR(VLOOKUP("188mg LP - EU Stock",Controls!A:I,7,0),6)</f>
        <v>9</v>
      </c>
      <c r="N2077" s="39">
        <f>IFERROR(VLOOKUP("188mg LP - EU Stock",Controls!A:I,8,0),3)</f>
        <v>8</v>
      </c>
      <c r="O2077" s="39">
        <f>IFERROR(VLOOKUP("188mg LP - EU Stock",Controls!A:I,9,0),18)</f>
        <v>18</v>
      </c>
      <c r="P2077" s="40">
        <f>IFERROR(VLOOKUP("188mg LP - EU Stock",Controls!A:J,5,0),0)</f>
        <v>16200</v>
      </c>
      <c r="Q2077" s="39">
        <f>IFERROR(VLOOKUP("188mg LP - EU Stock",Controls!A:J,6,0),3)</f>
        <v>3</v>
      </c>
      <c r="R2077" s="21" t="str">
        <f>IFERROR(VLOOKUP("188mg LP - EU Stock",Controls!A:K,10,0),"")</f>
        <v>Patheon (L&amp;P EU)</v>
      </c>
      <c r="S2077" s="41">
        <f t="shared" si="246"/>
        <v>49096</v>
      </c>
      <c r="T2077" s="30">
        <f t="shared" si="247"/>
        <v>0</v>
      </c>
      <c r="W2077" s="205" t="str" cm="1">
        <f t="array" ref="W2077">IF(103&lt;Controls!$B$7,TEXT(INDEX(A1974:A2152,MATCH(Controls!$B$5,A1974:A2152,1)+103),"MMM-YY"),"")</f>
        <v/>
      </c>
      <c r="X2077" t="str" cm="1">
        <f t="array" ref="X2077">IF(103&lt;Controls!$B$7,INDEX(F1974:F2152,MATCH(Controls!$B$5,A1974:A2152,1)+103),"")</f>
        <v/>
      </c>
      <c r="Y2077" t="str" cm="1">
        <f t="array" ref="Y2077">IF(103&lt;Controls!$B$7,INDEX(G1974:G2152,MATCH(Controls!$B$5,A1974:A2152,1)+103),"")</f>
        <v/>
      </c>
      <c r="Z2077" t="str" cm="1">
        <f t="array" ref="Z2077">IF(103&lt;Controls!$B$7,INDEX(H1974:H2152,MATCH(Controls!$B$5,A1974:A2152,1)+103),"")</f>
        <v/>
      </c>
      <c r="AA2077" t="str" cm="1">
        <f t="array" ref="AA2077">IF(103&lt;Controls!$B$7,INDEX(M1974:M2152,MATCH(Controls!$B$5,A1974:A2152,1)+103)*INDEX(I1974:I2152,MATCH(Controls!$B$5,A1974:A2152,1)+103),"")</f>
        <v/>
      </c>
      <c r="AB2077">
        <f t="shared" si="248"/>
        <v>0</v>
      </c>
    </row>
    <row r="2078" spans="1:28" x14ac:dyDescent="0.35">
      <c r="A2078" s="153">
        <v>49218</v>
      </c>
      <c r="B2078" s="155" t="s">
        <v>959</v>
      </c>
      <c r="C2078" s="15" t="s">
        <v>28</v>
      </c>
      <c r="D2078" s="15" t="s">
        <v>29</v>
      </c>
      <c r="E2078" s="199">
        <f>H2077</f>
        <v>0</v>
      </c>
      <c r="F2078" s="199">
        <f>IFERROR(SUMIFS('Demand Inputs'!$DF$5:$DF$202,'Demand Inputs'!$A$5:$A$202,"188mg LP - EU Stock",'Demand Inputs'!$B$5:$B$202,"&lt;&gt;AGGREGATE",'Demand Inputs'!$E$5:$E$202,1),0)</f>
        <v>0</v>
      </c>
      <c r="G2078" s="199" cm="1">
        <f t="array" ref="G2078">IFERROR(SUMPRODUCT(('Production Inputs'!$A:$A="188mg LP - EU Stock")*('Production Inputs'!$B:$B="TOTAL ACTIVE")*'Production Inputs'!$DL:$DL),0)</f>
        <v>0</v>
      </c>
      <c r="H2078" s="199">
        <f t="shared" si="242"/>
        <v>0</v>
      </c>
      <c r="I2078" s="30">
        <f ca="1">IFERROR(AVERAGEIF(OFFSET(F2078,0,0,MIN(Controls!$B$8,COUNTIF(B2078:B$2152,B2078)),1),"&gt;"&amp;0),0)</f>
        <v>0</v>
      </c>
      <c r="J2078" s="38">
        <f t="shared" ca="1" si="243"/>
        <v>0</v>
      </c>
      <c r="K2078" s="30">
        <f t="shared" ca="1" si="244"/>
        <v>0</v>
      </c>
      <c r="L2078" t="str">
        <f t="shared" si="245"/>
        <v>High</v>
      </c>
      <c r="M2078" s="39">
        <f>IFERROR(VLOOKUP("188mg LP - EU Stock",Controls!A:I,7,0),6)</f>
        <v>9</v>
      </c>
      <c r="N2078" s="39">
        <f>IFERROR(VLOOKUP("188mg LP - EU Stock",Controls!A:I,8,0),3)</f>
        <v>8</v>
      </c>
      <c r="O2078" s="39">
        <f>IFERROR(VLOOKUP("188mg LP - EU Stock",Controls!A:I,9,0),18)</f>
        <v>18</v>
      </c>
      <c r="P2078" s="40">
        <f>IFERROR(VLOOKUP("188mg LP - EU Stock",Controls!A:J,5,0),0)</f>
        <v>16200</v>
      </c>
      <c r="Q2078" s="39">
        <f>IFERROR(VLOOKUP("188mg LP - EU Stock",Controls!A:J,6,0),3)</f>
        <v>3</v>
      </c>
      <c r="R2078" s="21" t="str">
        <f>IFERROR(VLOOKUP("188mg LP - EU Stock",Controls!A:K,10,0),"")</f>
        <v>Patheon (L&amp;P EU)</v>
      </c>
      <c r="S2078" s="41">
        <f t="shared" si="246"/>
        <v>49126</v>
      </c>
      <c r="T2078" s="30">
        <f t="shared" si="247"/>
        <v>0</v>
      </c>
      <c r="W2078" s="205" t="str" cm="1">
        <f t="array" ref="W2078">IF(104&lt;Controls!$B$7,TEXT(INDEX(A1974:A2152,MATCH(Controls!$B$5,A1974:A2152,1)+104),"MMM-YY"),"")</f>
        <v/>
      </c>
      <c r="X2078" t="str" cm="1">
        <f t="array" ref="X2078">IF(104&lt;Controls!$B$7,INDEX(F1974:F2152,MATCH(Controls!$B$5,A1974:A2152,1)+104),"")</f>
        <v/>
      </c>
      <c r="Y2078" t="str" cm="1">
        <f t="array" ref="Y2078">IF(104&lt;Controls!$B$7,INDEX(G1974:G2152,MATCH(Controls!$B$5,A1974:A2152,1)+104),"")</f>
        <v/>
      </c>
      <c r="Z2078" t="str" cm="1">
        <f t="array" ref="Z2078">IF(104&lt;Controls!$B$7,INDEX(H1974:H2152,MATCH(Controls!$B$5,A1974:A2152,1)+104),"")</f>
        <v/>
      </c>
      <c r="AA2078" t="str" cm="1">
        <f t="array" ref="AA2078">IF(104&lt;Controls!$B$7,INDEX(M1974:M2152,MATCH(Controls!$B$5,A1974:A2152,1)+104)*INDEX(I1974:I2152,MATCH(Controls!$B$5,A1974:A2152,1)+104),"")</f>
        <v/>
      </c>
      <c r="AB2078">
        <f t="shared" si="248"/>
        <v>0</v>
      </c>
    </row>
    <row r="2079" spans="1:28" x14ac:dyDescent="0.35">
      <c r="A2079" s="153">
        <v>49249</v>
      </c>
      <c r="B2079" s="155" t="s">
        <v>959</v>
      </c>
      <c r="C2079" s="15" t="s">
        <v>28</v>
      </c>
      <c r="D2079" s="15" t="s">
        <v>29</v>
      </c>
      <c r="E2079" s="199">
        <f>H2078</f>
        <v>0</v>
      </c>
      <c r="F2079" s="199">
        <f>IFERROR(SUMIFS('Demand Inputs'!$DG$5:$DG$202,'Demand Inputs'!$A$5:$A$202,"188mg LP - EU Stock",'Demand Inputs'!$B$5:$B$202,"&lt;&gt;AGGREGATE",'Demand Inputs'!$E$5:$E$202,1),0)</f>
        <v>0</v>
      </c>
      <c r="G2079" s="199" cm="1">
        <f t="array" ref="G2079">IFERROR(SUMPRODUCT(('Production Inputs'!$A:$A="188mg LP - EU Stock")*('Production Inputs'!$B:$B="TOTAL ACTIVE")*'Production Inputs'!$DM:$DM),0)</f>
        <v>0</v>
      </c>
      <c r="H2079" s="199">
        <f t="shared" si="242"/>
        <v>0</v>
      </c>
      <c r="I2079" s="30">
        <f ca="1">IFERROR(AVERAGEIF(OFFSET(F2079,0,0,MIN(Controls!$B$8,COUNTIF(B2079:B$2152,B2079)),1),"&gt;"&amp;0),0)</f>
        <v>0</v>
      </c>
      <c r="J2079" s="38">
        <f t="shared" ca="1" si="243"/>
        <v>0</v>
      </c>
      <c r="K2079" s="30">
        <f t="shared" ca="1" si="244"/>
        <v>0</v>
      </c>
      <c r="L2079" t="str">
        <f t="shared" si="245"/>
        <v>High</v>
      </c>
      <c r="M2079" s="39">
        <f>IFERROR(VLOOKUP("188mg LP - EU Stock",Controls!A:I,7,0),6)</f>
        <v>9</v>
      </c>
      <c r="N2079" s="39">
        <f>IFERROR(VLOOKUP("188mg LP - EU Stock",Controls!A:I,8,0),3)</f>
        <v>8</v>
      </c>
      <c r="O2079" s="39">
        <f>IFERROR(VLOOKUP("188mg LP - EU Stock",Controls!A:I,9,0),18)</f>
        <v>18</v>
      </c>
      <c r="P2079" s="40">
        <f>IFERROR(VLOOKUP("188mg LP - EU Stock",Controls!A:J,5,0),0)</f>
        <v>16200</v>
      </c>
      <c r="Q2079" s="39">
        <f>IFERROR(VLOOKUP("188mg LP - EU Stock",Controls!A:J,6,0),3)</f>
        <v>3</v>
      </c>
      <c r="R2079" s="21" t="str">
        <f>IFERROR(VLOOKUP("188mg LP - EU Stock",Controls!A:K,10,0),"")</f>
        <v>Patheon (L&amp;P EU)</v>
      </c>
      <c r="S2079" s="41">
        <f t="shared" si="246"/>
        <v>49157</v>
      </c>
      <c r="T2079" s="30">
        <f t="shared" si="247"/>
        <v>0</v>
      </c>
      <c r="W2079" s="205" t="str" cm="1">
        <f t="array" ref="W2079">IF(105&lt;Controls!$B$7,TEXT(INDEX(A1974:A2152,MATCH(Controls!$B$5,A1974:A2152,1)+105),"MMM-YY"),"")</f>
        <v/>
      </c>
      <c r="X2079" t="str" cm="1">
        <f t="array" ref="X2079">IF(105&lt;Controls!$B$7,INDEX(F1974:F2152,MATCH(Controls!$B$5,A1974:A2152,1)+105),"")</f>
        <v/>
      </c>
      <c r="Y2079" t="str" cm="1">
        <f t="array" ref="Y2079">IF(105&lt;Controls!$B$7,INDEX(G1974:G2152,MATCH(Controls!$B$5,A1974:A2152,1)+105),"")</f>
        <v/>
      </c>
      <c r="Z2079" t="str" cm="1">
        <f t="array" ref="Z2079">IF(105&lt;Controls!$B$7,INDEX(H1974:H2152,MATCH(Controls!$B$5,A1974:A2152,1)+105),"")</f>
        <v/>
      </c>
      <c r="AA2079" t="str" cm="1">
        <f t="array" ref="AA2079">IF(105&lt;Controls!$B$7,INDEX(M1974:M2152,MATCH(Controls!$B$5,A1974:A2152,1)+105)*INDEX(I1974:I2152,MATCH(Controls!$B$5,A1974:A2152,1)+105),"")</f>
        <v/>
      </c>
      <c r="AB2079">
        <f t="shared" si="248"/>
        <v>0</v>
      </c>
    </row>
    <row r="2080" spans="1:28" x14ac:dyDescent="0.35">
      <c r="A2080" s="153">
        <v>49279</v>
      </c>
      <c r="B2080" s="155" t="s">
        <v>959</v>
      </c>
      <c r="C2080" s="15" t="s">
        <v>28</v>
      </c>
      <c r="D2080" s="15" t="s">
        <v>29</v>
      </c>
      <c r="E2080" s="199">
        <f>H2079</f>
        <v>0</v>
      </c>
      <c r="F2080" s="199">
        <f>IFERROR(SUMIFS('Demand Inputs'!$DH$5:$DH$202,'Demand Inputs'!$A$5:$A$202,"188mg LP - EU Stock",'Demand Inputs'!$B$5:$B$202,"&lt;&gt;AGGREGATE",'Demand Inputs'!$E$5:$E$202,1),0)</f>
        <v>0</v>
      </c>
      <c r="G2080" s="199" cm="1">
        <f t="array" ref="G2080">IFERROR(SUMPRODUCT(('Production Inputs'!$A:$A="188mg LP - EU Stock")*('Production Inputs'!$B:$B="TOTAL ACTIVE")*'Production Inputs'!$DN:$DN),0)</f>
        <v>0</v>
      </c>
      <c r="H2080" s="199">
        <f t="shared" si="242"/>
        <v>0</v>
      </c>
      <c r="I2080" s="30">
        <f ca="1">IFERROR(AVERAGEIF(OFFSET(F2080,0,0,MIN(Controls!$B$8,COUNTIF(B2080:B$2152,B2080)),1),"&gt;"&amp;0),0)</f>
        <v>0</v>
      </c>
      <c r="J2080" s="38">
        <f t="shared" ca="1" si="243"/>
        <v>0</v>
      </c>
      <c r="K2080" s="30">
        <f t="shared" ca="1" si="244"/>
        <v>0</v>
      </c>
      <c r="L2080" t="str">
        <f t="shared" si="245"/>
        <v>High</v>
      </c>
      <c r="M2080" s="39">
        <f>IFERROR(VLOOKUP("188mg LP - EU Stock",Controls!A:I,7,0),6)</f>
        <v>9</v>
      </c>
      <c r="N2080" s="39">
        <f>IFERROR(VLOOKUP("188mg LP - EU Stock",Controls!A:I,8,0),3)</f>
        <v>8</v>
      </c>
      <c r="O2080" s="39">
        <f>IFERROR(VLOOKUP("188mg LP - EU Stock",Controls!A:I,9,0),18)</f>
        <v>18</v>
      </c>
      <c r="P2080" s="40">
        <f>IFERROR(VLOOKUP("188mg LP - EU Stock",Controls!A:J,5,0),0)</f>
        <v>16200</v>
      </c>
      <c r="Q2080" s="39">
        <f>IFERROR(VLOOKUP("188mg LP - EU Stock",Controls!A:J,6,0),3)</f>
        <v>3</v>
      </c>
      <c r="R2080" s="21" t="str">
        <f>IFERROR(VLOOKUP("188mg LP - EU Stock",Controls!A:K,10,0),"")</f>
        <v>Patheon (L&amp;P EU)</v>
      </c>
      <c r="S2080" s="41">
        <f t="shared" si="246"/>
        <v>49188</v>
      </c>
      <c r="T2080" s="30">
        <f t="shared" si="247"/>
        <v>0</v>
      </c>
      <c r="W2080" s="205" t="str" cm="1">
        <f t="array" ref="W2080">IF(106&lt;Controls!$B$7,TEXT(INDEX(A1974:A2152,MATCH(Controls!$B$5,A1974:A2152,1)+106),"MMM-YY"),"")</f>
        <v/>
      </c>
      <c r="X2080" t="str" cm="1">
        <f t="array" ref="X2080">IF(106&lt;Controls!$B$7,INDEX(F1974:F2152,MATCH(Controls!$B$5,A1974:A2152,1)+106),"")</f>
        <v/>
      </c>
      <c r="Y2080" t="str" cm="1">
        <f t="array" ref="Y2080">IF(106&lt;Controls!$B$7,INDEX(G1974:G2152,MATCH(Controls!$B$5,A1974:A2152,1)+106),"")</f>
        <v/>
      </c>
      <c r="Z2080" t="str" cm="1">
        <f t="array" ref="Z2080">IF(106&lt;Controls!$B$7,INDEX(H1974:H2152,MATCH(Controls!$B$5,A1974:A2152,1)+106),"")</f>
        <v/>
      </c>
      <c r="AA2080" t="str" cm="1">
        <f t="array" ref="AA2080">IF(106&lt;Controls!$B$7,INDEX(M1974:M2152,MATCH(Controls!$B$5,A1974:A2152,1)+106)*INDEX(I1974:I2152,MATCH(Controls!$B$5,A1974:A2152,1)+106),"")</f>
        <v/>
      </c>
      <c r="AB2080">
        <f t="shared" si="248"/>
        <v>0</v>
      </c>
    </row>
    <row r="2081" spans="1:28" x14ac:dyDescent="0.35">
      <c r="A2081" s="153">
        <v>49310</v>
      </c>
      <c r="B2081" s="155" t="s">
        <v>959</v>
      </c>
      <c r="C2081" s="15" t="s">
        <v>28</v>
      </c>
      <c r="D2081" s="15" t="s">
        <v>29</v>
      </c>
      <c r="E2081" s="199">
        <f>H2080</f>
        <v>0</v>
      </c>
      <c r="F2081" s="199">
        <f>IFERROR(SUMIFS('Demand Inputs'!$DI$5:$DI$202,'Demand Inputs'!$A$5:$A$202,"188mg LP - EU Stock",'Demand Inputs'!$B$5:$B$202,"&lt;&gt;AGGREGATE",'Demand Inputs'!$E$5:$E$202,1),0)</f>
        <v>0</v>
      </c>
      <c r="G2081" s="199" cm="1">
        <f t="array" ref="G2081">IFERROR(SUMPRODUCT(('Production Inputs'!$A:$A="188mg LP - EU Stock")*('Production Inputs'!$B:$B="TOTAL ACTIVE")*'Production Inputs'!$DO:$DO),0)</f>
        <v>0</v>
      </c>
      <c r="H2081" s="199">
        <f t="shared" si="242"/>
        <v>0</v>
      </c>
      <c r="I2081" s="30">
        <f ca="1">IFERROR(AVERAGEIF(OFFSET(F2081,0,0,MIN(Controls!$B$8,COUNTIF(B2081:B$2152,B2081)),1),"&gt;"&amp;0),0)</f>
        <v>0</v>
      </c>
      <c r="J2081" s="38">
        <f t="shared" ca="1" si="243"/>
        <v>0</v>
      </c>
      <c r="K2081" s="30">
        <f t="shared" ca="1" si="244"/>
        <v>0</v>
      </c>
      <c r="L2081" t="str">
        <f t="shared" si="245"/>
        <v>High</v>
      </c>
      <c r="M2081" s="39">
        <f>IFERROR(VLOOKUP("188mg LP - EU Stock",Controls!A:I,7,0),6)</f>
        <v>9</v>
      </c>
      <c r="N2081" s="39">
        <f>IFERROR(VLOOKUP("188mg LP - EU Stock",Controls!A:I,8,0),3)</f>
        <v>8</v>
      </c>
      <c r="O2081" s="39">
        <f>IFERROR(VLOOKUP("188mg LP - EU Stock",Controls!A:I,9,0),18)</f>
        <v>18</v>
      </c>
      <c r="P2081" s="40">
        <f>IFERROR(VLOOKUP("188mg LP - EU Stock",Controls!A:J,5,0),0)</f>
        <v>16200</v>
      </c>
      <c r="Q2081" s="39">
        <f>IFERROR(VLOOKUP("188mg LP - EU Stock",Controls!A:J,6,0),3)</f>
        <v>3</v>
      </c>
      <c r="R2081" s="21" t="str">
        <f>IFERROR(VLOOKUP("188mg LP - EU Stock",Controls!A:K,10,0),"")</f>
        <v>Patheon (L&amp;P EU)</v>
      </c>
      <c r="S2081" s="41">
        <f t="shared" si="246"/>
        <v>49218</v>
      </c>
      <c r="T2081" s="30">
        <f t="shared" si="247"/>
        <v>0</v>
      </c>
      <c r="W2081" s="205" t="str" cm="1">
        <f t="array" ref="W2081">IF(107&lt;Controls!$B$7,TEXT(INDEX(A1974:A2152,MATCH(Controls!$B$5,A1974:A2152,1)+107),"MMM-YY"),"")</f>
        <v/>
      </c>
      <c r="X2081" t="str" cm="1">
        <f t="array" ref="X2081">IF(107&lt;Controls!$B$7,INDEX(F1974:F2152,MATCH(Controls!$B$5,A1974:A2152,1)+107),"")</f>
        <v/>
      </c>
      <c r="Y2081" t="str" cm="1">
        <f t="array" ref="Y2081">IF(107&lt;Controls!$B$7,INDEX(G1974:G2152,MATCH(Controls!$B$5,A1974:A2152,1)+107),"")</f>
        <v/>
      </c>
      <c r="Z2081" t="str" cm="1">
        <f t="array" ref="Z2081">IF(107&lt;Controls!$B$7,INDEX(H1974:H2152,MATCH(Controls!$B$5,A1974:A2152,1)+107),"")</f>
        <v/>
      </c>
      <c r="AA2081" t="str" cm="1">
        <f t="array" ref="AA2081">IF(107&lt;Controls!$B$7,INDEX(M1974:M2152,MATCH(Controls!$B$5,A1974:A2152,1)+107)*INDEX(I1974:I2152,MATCH(Controls!$B$5,A1974:A2152,1)+107),"")</f>
        <v/>
      </c>
      <c r="AB2081">
        <f t="shared" si="248"/>
        <v>0</v>
      </c>
    </row>
    <row r="2082" spans="1:28" x14ac:dyDescent="0.35">
      <c r="A2082" s="153">
        <v>49341</v>
      </c>
      <c r="B2082" s="155" t="s">
        <v>959</v>
      </c>
      <c r="C2082" s="15" t="s">
        <v>28</v>
      </c>
      <c r="D2082" s="15" t="s">
        <v>29</v>
      </c>
      <c r="E2082" s="199">
        <f>H2081</f>
        <v>0</v>
      </c>
      <c r="F2082" s="199">
        <f>IFERROR(SUMIFS('Demand Inputs'!$DJ$5:$DJ$202,'Demand Inputs'!$A$5:$A$202,"188mg LP - EU Stock",'Demand Inputs'!$B$5:$B$202,"&lt;&gt;AGGREGATE",'Demand Inputs'!$E$5:$E$202,1),0)</f>
        <v>0</v>
      </c>
      <c r="G2082" s="199" cm="1">
        <f t="array" ref="G2082">IFERROR(SUMPRODUCT(('Production Inputs'!$A:$A="188mg LP - EU Stock")*('Production Inputs'!$B:$B="TOTAL ACTIVE")*'Production Inputs'!$DP:$DP),0)</f>
        <v>0</v>
      </c>
      <c r="H2082" s="199">
        <f t="shared" si="242"/>
        <v>0</v>
      </c>
      <c r="I2082" s="30">
        <f ca="1">IFERROR(AVERAGEIF(OFFSET(F2082,0,0,MIN(Controls!$B$8,COUNTIF(B2082:B$2152,B2082)),1),"&gt;"&amp;0),0)</f>
        <v>0</v>
      </c>
      <c r="J2082" s="38">
        <f t="shared" ca="1" si="243"/>
        <v>0</v>
      </c>
      <c r="K2082" s="30">
        <f t="shared" ca="1" si="244"/>
        <v>0</v>
      </c>
      <c r="L2082" t="str">
        <f t="shared" si="245"/>
        <v>High</v>
      </c>
      <c r="M2082" s="39">
        <f>IFERROR(VLOOKUP("188mg LP - EU Stock",Controls!A:I,7,0),6)</f>
        <v>9</v>
      </c>
      <c r="N2082" s="39">
        <f>IFERROR(VLOOKUP("188mg LP - EU Stock",Controls!A:I,8,0),3)</f>
        <v>8</v>
      </c>
      <c r="O2082" s="39">
        <f>IFERROR(VLOOKUP("188mg LP - EU Stock",Controls!A:I,9,0),18)</f>
        <v>18</v>
      </c>
      <c r="P2082" s="40">
        <f>IFERROR(VLOOKUP("188mg LP - EU Stock",Controls!A:J,5,0),0)</f>
        <v>16200</v>
      </c>
      <c r="Q2082" s="39">
        <f>IFERROR(VLOOKUP("188mg LP - EU Stock",Controls!A:J,6,0),3)</f>
        <v>3</v>
      </c>
      <c r="R2082" s="21" t="str">
        <f>IFERROR(VLOOKUP("188mg LP - EU Stock",Controls!A:K,10,0),"")</f>
        <v>Patheon (L&amp;P EU)</v>
      </c>
      <c r="S2082" s="41">
        <f t="shared" si="246"/>
        <v>49249</v>
      </c>
      <c r="T2082" s="30">
        <f t="shared" si="247"/>
        <v>0</v>
      </c>
      <c r="W2082" s="205" t="str" cm="1">
        <f t="array" ref="W2082">IF(108&lt;Controls!$B$7,TEXT(INDEX(A1974:A2152,MATCH(Controls!$B$5,A1974:A2152,1)+108),"MMM-YY"),"")</f>
        <v/>
      </c>
      <c r="X2082" t="str" cm="1">
        <f t="array" ref="X2082">IF(108&lt;Controls!$B$7,INDEX(F1974:F2152,MATCH(Controls!$B$5,A1974:A2152,1)+108),"")</f>
        <v/>
      </c>
      <c r="Y2082" t="str" cm="1">
        <f t="array" ref="Y2082">IF(108&lt;Controls!$B$7,INDEX(G1974:G2152,MATCH(Controls!$B$5,A1974:A2152,1)+108),"")</f>
        <v/>
      </c>
      <c r="Z2082" t="str" cm="1">
        <f t="array" ref="Z2082">IF(108&lt;Controls!$B$7,INDEX(H1974:H2152,MATCH(Controls!$B$5,A1974:A2152,1)+108),"")</f>
        <v/>
      </c>
      <c r="AA2082" t="str" cm="1">
        <f t="array" ref="AA2082">IF(108&lt;Controls!$B$7,INDEX(M1974:M2152,MATCH(Controls!$B$5,A1974:A2152,1)+108)*INDEX(I1974:I2152,MATCH(Controls!$B$5,A1974:A2152,1)+108),"")</f>
        <v/>
      </c>
      <c r="AB2082">
        <f t="shared" si="248"/>
        <v>0</v>
      </c>
    </row>
    <row r="2083" spans="1:28" x14ac:dyDescent="0.35">
      <c r="A2083" s="153">
        <v>49369</v>
      </c>
      <c r="B2083" s="155" t="s">
        <v>959</v>
      </c>
      <c r="C2083" s="15" t="s">
        <v>28</v>
      </c>
      <c r="D2083" s="15" t="s">
        <v>29</v>
      </c>
      <c r="E2083" s="199">
        <f>H2082</f>
        <v>0</v>
      </c>
      <c r="F2083" s="199">
        <f>IFERROR(SUMIFS('Demand Inputs'!$DK$5:$DK$202,'Demand Inputs'!$A$5:$A$202,"188mg LP - EU Stock",'Demand Inputs'!$B$5:$B$202,"&lt;&gt;AGGREGATE",'Demand Inputs'!$E$5:$E$202,1),0)</f>
        <v>0</v>
      </c>
      <c r="G2083" s="199" cm="1">
        <f t="array" ref="G2083">IFERROR(SUMPRODUCT(('Production Inputs'!$A:$A="188mg LP - EU Stock")*('Production Inputs'!$B:$B="TOTAL ACTIVE")*'Production Inputs'!$DQ:$DQ),0)</f>
        <v>0</v>
      </c>
      <c r="H2083" s="199">
        <f t="shared" si="242"/>
        <v>0</v>
      </c>
      <c r="I2083" s="30">
        <f ca="1">IFERROR(AVERAGEIF(OFFSET(F2083,0,0,MIN(Controls!$B$8,COUNTIF(B2083:B$2152,B2083)),1),"&gt;"&amp;0),0)</f>
        <v>0</v>
      </c>
      <c r="J2083" s="38">
        <f t="shared" ca="1" si="243"/>
        <v>0</v>
      </c>
      <c r="K2083" s="30">
        <f t="shared" ca="1" si="244"/>
        <v>0</v>
      </c>
      <c r="L2083" t="str">
        <f t="shared" si="245"/>
        <v>High</v>
      </c>
      <c r="M2083" s="39">
        <f>IFERROR(VLOOKUP("188mg LP - EU Stock",Controls!A:I,7,0),6)</f>
        <v>9</v>
      </c>
      <c r="N2083" s="39">
        <f>IFERROR(VLOOKUP("188mg LP - EU Stock",Controls!A:I,8,0),3)</f>
        <v>8</v>
      </c>
      <c r="O2083" s="39">
        <f>IFERROR(VLOOKUP("188mg LP - EU Stock",Controls!A:I,9,0),18)</f>
        <v>18</v>
      </c>
      <c r="P2083" s="40">
        <f>IFERROR(VLOOKUP("188mg LP - EU Stock",Controls!A:J,5,0),0)</f>
        <v>16200</v>
      </c>
      <c r="Q2083" s="39">
        <f>IFERROR(VLOOKUP("188mg LP - EU Stock",Controls!A:J,6,0),3)</f>
        <v>3</v>
      </c>
      <c r="R2083" s="21" t="str">
        <f>IFERROR(VLOOKUP("188mg LP - EU Stock",Controls!A:K,10,0),"")</f>
        <v>Patheon (L&amp;P EU)</v>
      </c>
      <c r="S2083" s="41">
        <f t="shared" si="246"/>
        <v>49279</v>
      </c>
      <c r="T2083" s="30">
        <f t="shared" si="247"/>
        <v>0</v>
      </c>
      <c r="W2083" s="205" t="str" cm="1">
        <f t="array" ref="W2083">IF(109&lt;Controls!$B$7,TEXT(INDEX(A1974:A2152,MATCH(Controls!$B$5,A1974:A2152,1)+109),"MMM-YY"),"")</f>
        <v/>
      </c>
      <c r="X2083" t="str" cm="1">
        <f t="array" ref="X2083">IF(109&lt;Controls!$B$7,INDEX(F1974:F2152,MATCH(Controls!$B$5,A1974:A2152,1)+109),"")</f>
        <v/>
      </c>
      <c r="Y2083" t="str" cm="1">
        <f t="array" ref="Y2083">IF(109&lt;Controls!$B$7,INDEX(G1974:G2152,MATCH(Controls!$B$5,A1974:A2152,1)+109),"")</f>
        <v/>
      </c>
      <c r="Z2083" t="str" cm="1">
        <f t="array" ref="Z2083">IF(109&lt;Controls!$B$7,INDEX(H1974:H2152,MATCH(Controls!$B$5,A1974:A2152,1)+109),"")</f>
        <v/>
      </c>
      <c r="AA2083" t="str" cm="1">
        <f t="array" ref="AA2083">IF(109&lt;Controls!$B$7,INDEX(M1974:M2152,MATCH(Controls!$B$5,A1974:A2152,1)+109)*INDEX(I1974:I2152,MATCH(Controls!$B$5,A1974:A2152,1)+109),"")</f>
        <v/>
      </c>
      <c r="AB2083">
        <f t="shared" si="248"/>
        <v>0</v>
      </c>
    </row>
    <row r="2084" spans="1:28" x14ac:dyDescent="0.35">
      <c r="A2084" s="153">
        <v>49400</v>
      </c>
      <c r="B2084" s="155" t="s">
        <v>959</v>
      </c>
      <c r="C2084" s="15" t="s">
        <v>28</v>
      </c>
      <c r="D2084" s="15" t="s">
        <v>29</v>
      </c>
      <c r="E2084" s="199">
        <f>H2083</f>
        <v>0</v>
      </c>
      <c r="F2084" s="199">
        <f>IFERROR(SUMIFS('Demand Inputs'!$DL$5:$DL$202,'Demand Inputs'!$A$5:$A$202,"188mg LP - EU Stock",'Demand Inputs'!$B$5:$B$202,"&lt;&gt;AGGREGATE",'Demand Inputs'!$E$5:$E$202,1),0)</f>
        <v>0</v>
      </c>
      <c r="G2084" s="199" cm="1">
        <f t="array" ref="G2084">IFERROR(SUMPRODUCT(('Production Inputs'!$A:$A="188mg LP - EU Stock")*('Production Inputs'!$B:$B="TOTAL ACTIVE")*'Production Inputs'!$DR:$DR),0)</f>
        <v>0</v>
      </c>
      <c r="H2084" s="199">
        <f t="shared" si="242"/>
        <v>0</v>
      </c>
      <c r="I2084" s="30">
        <f ca="1">IFERROR(AVERAGEIF(OFFSET(F2084,0,0,MIN(Controls!$B$8,COUNTIF(B2084:B$2152,B2084)),1),"&gt;"&amp;0),0)</f>
        <v>0</v>
      </c>
      <c r="J2084" s="38">
        <f t="shared" ca="1" si="243"/>
        <v>0</v>
      </c>
      <c r="K2084" s="30">
        <f t="shared" ca="1" si="244"/>
        <v>0</v>
      </c>
      <c r="L2084" t="str">
        <f t="shared" si="245"/>
        <v>High</v>
      </c>
      <c r="M2084" s="39">
        <f>IFERROR(VLOOKUP("188mg LP - EU Stock",Controls!A:I,7,0),6)</f>
        <v>9</v>
      </c>
      <c r="N2084" s="39">
        <f>IFERROR(VLOOKUP("188mg LP - EU Stock",Controls!A:I,8,0),3)</f>
        <v>8</v>
      </c>
      <c r="O2084" s="39">
        <f>IFERROR(VLOOKUP("188mg LP - EU Stock",Controls!A:I,9,0),18)</f>
        <v>18</v>
      </c>
      <c r="P2084" s="40">
        <f>IFERROR(VLOOKUP("188mg LP - EU Stock",Controls!A:J,5,0),0)</f>
        <v>16200</v>
      </c>
      <c r="Q2084" s="39">
        <f>IFERROR(VLOOKUP("188mg LP - EU Stock",Controls!A:J,6,0),3)</f>
        <v>3</v>
      </c>
      <c r="R2084" s="21" t="str">
        <f>IFERROR(VLOOKUP("188mg LP - EU Stock",Controls!A:K,10,0),"")</f>
        <v>Patheon (L&amp;P EU)</v>
      </c>
      <c r="S2084" s="41">
        <f t="shared" si="246"/>
        <v>49310</v>
      </c>
      <c r="T2084" s="30">
        <f t="shared" si="247"/>
        <v>0</v>
      </c>
      <c r="W2084" s="205" t="str" cm="1">
        <f t="array" ref="W2084">IF(110&lt;Controls!$B$7,TEXT(INDEX(A1974:A2152,MATCH(Controls!$B$5,A1974:A2152,1)+110),"MMM-YY"),"")</f>
        <v/>
      </c>
      <c r="X2084" t="str" cm="1">
        <f t="array" ref="X2084">IF(110&lt;Controls!$B$7,INDEX(F1974:F2152,MATCH(Controls!$B$5,A1974:A2152,1)+110),"")</f>
        <v/>
      </c>
      <c r="Y2084" t="str" cm="1">
        <f t="array" ref="Y2084">IF(110&lt;Controls!$B$7,INDEX(G1974:G2152,MATCH(Controls!$B$5,A1974:A2152,1)+110),"")</f>
        <v/>
      </c>
      <c r="Z2084" t="str" cm="1">
        <f t="array" ref="Z2084">IF(110&lt;Controls!$B$7,INDEX(H1974:H2152,MATCH(Controls!$B$5,A1974:A2152,1)+110),"")</f>
        <v/>
      </c>
      <c r="AA2084" t="str" cm="1">
        <f t="array" ref="AA2084">IF(110&lt;Controls!$B$7,INDEX(M1974:M2152,MATCH(Controls!$B$5,A1974:A2152,1)+110)*INDEX(I1974:I2152,MATCH(Controls!$B$5,A1974:A2152,1)+110),"")</f>
        <v/>
      </c>
      <c r="AB2084">
        <f t="shared" si="248"/>
        <v>0</v>
      </c>
    </row>
    <row r="2085" spans="1:28" x14ac:dyDescent="0.35">
      <c r="A2085" s="153">
        <v>49430</v>
      </c>
      <c r="B2085" s="155" t="s">
        <v>959</v>
      </c>
      <c r="C2085" s="15" t="s">
        <v>28</v>
      </c>
      <c r="D2085" s="15" t="s">
        <v>29</v>
      </c>
      <c r="E2085" s="199">
        <f>H2084</f>
        <v>0</v>
      </c>
      <c r="F2085" s="199">
        <f>IFERROR(SUMIFS('Demand Inputs'!$DM$5:$DM$202,'Demand Inputs'!$A$5:$A$202,"188mg LP - EU Stock",'Demand Inputs'!$B$5:$B$202,"&lt;&gt;AGGREGATE",'Demand Inputs'!$E$5:$E$202,1),0)</f>
        <v>0</v>
      </c>
      <c r="G2085" s="199" cm="1">
        <f t="array" ref="G2085">IFERROR(SUMPRODUCT(('Production Inputs'!$A:$A="188mg LP - EU Stock")*('Production Inputs'!$B:$B="TOTAL ACTIVE")*'Production Inputs'!$DS:$DS),0)</f>
        <v>0</v>
      </c>
      <c r="H2085" s="199">
        <f t="shared" si="242"/>
        <v>0</v>
      </c>
      <c r="I2085" s="30">
        <f ca="1">IFERROR(AVERAGEIF(OFFSET(F2085,0,0,MIN(Controls!$B$8,COUNTIF(B2085:B$2152,B2085)),1),"&gt;"&amp;0),0)</f>
        <v>0</v>
      </c>
      <c r="J2085" s="38">
        <f t="shared" ca="1" si="243"/>
        <v>0</v>
      </c>
      <c r="K2085" s="30">
        <f t="shared" ca="1" si="244"/>
        <v>0</v>
      </c>
      <c r="L2085" t="str">
        <f t="shared" si="245"/>
        <v>High</v>
      </c>
      <c r="M2085" s="39">
        <f>IFERROR(VLOOKUP("188mg LP - EU Stock",Controls!A:I,7,0),6)</f>
        <v>9</v>
      </c>
      <c r="N2085" s="39">
        <f>IFERROR(VLOOKUP("188mg LP - EU Stock",Controls!A:I,8,0),3)</f>
        <v>8</v>
      </c>
      <c r="O2085" s="39">
        <f>IFERROR(VLOOKUP("188mg LP - EU Stock",Controls!A:I,9,0),18)</f>
        <v>18</v>
      </c>
      <c r="P2085" s="40">
        <f>IFERROR(VLOOKUP("188mg LP - EU Stock",Controls!A:J,5,0),0)</f>
        <v>16200</v>
      </c>
      <c r="Q2085" s="39">
        <f>IFERROR(VLOOKUP("188mg LP - EU Stock",Controls!A:J,6,0),3)</f>
        <v>3</v>
      </c>
      <c r="R2085" s="21" t="str">
        <f>IFERROR(VLOOKUP("188mg LP - EU Stock",Controls!A:K,10,0),"")</f>
        <v>Patheon (L&amp;P EU)</v>
      </c>
      <c r="S2085" s="41">
        <f t="shared" si="246"/>
        <v>49341</v>
      </c>
      <c r="T2085" s="30">
        <f t="shared" si="247"/>
        <v>0</v>
      </c>
      <c r="W2085" s="205" t="str" cm="1">
        <f t="array" ref="W2085">IF(111&lt;Controls!$B$7,TEXT(INDEX(A1974:A2152,MATCH(Controls!$B$5,A1974:A2152,1)+111),"MMM-YY"),"")</f>
        <v/>
      </c>
      <c r="X2085" t="str" cm="1">
        <f t="array" ref="X2085">IF(111&lt;Controls!$B$7,INDEX(F1974:F2152,MATCH(Controls!$B$5,A1974:A2152,1)+111),"")</f>
        <v/>
      </c>
      <c r="Y2085" t="str" cm="1">
        <f t="array" ref="Y2085">IF(111&lt;Controls!$B$7,INDEX(G1974:G2152,MATCH(Controls!$B$5,A1974:A2152,1)+111),"")</f>
        <v/>
      </c>
      <c r="Z2085" t="str" cm="1">
        <f t="array" ref="Z2085">IF(111&lt;Controls!$B$7,INDEX(H1974:H2152,MATCH(Controls!$B$5,A1974:A2152,1)+111),"")</f>
        <v/>
      </c>
      <c r="AA2085" t="str" cm="1">
        <f t="array" ref="AA2085">IF(111&lt;Controls!$B$7,INDEX(M1974:M2152,MATCH(Controls!$B$5,A1974:A2152,1)+111)*INDEX(I1974:I2152,MATCH(Controls!$B$5,A1974:A2152,1)+111),"")</f>
        <v/>
      </c>
      <c r="AB2085">
        <f t="shared" si="248"/>
        <v>0</v>
      </c>
    </row>
    <row r="2086" spans="1:28" x14ac:dyDescent="0.35">
      <c r="A2086" s="153">
        <v>49461</v>
      </c>
      <c r="B2086" s="155" t="s">
        <v>959</v>
      </c>
      <c r="C2086" s="15" t="s">
        <v>28</v>
      </c>
      <c r="D2086" s="15" t="s">
        <v>29</v>
      </c>
      <c r="E2086" s="199">
        <f>H2085</f>
        <v>0</v>
      </c>
      <c r="F2086" s="199">
        <f>IFERROR(SUMIFS('Demand Inputs'!$DN$5:$DN$202,'Demand Inputs'!$A$5:$A$202,"188mg LP - EU Stock",'Demand Inputs'!$B$5:$B$202,"&lt;&gt;AGGREGATE",'Demand Inputs'!$E$5:$E$202,1),0)</f>
        <v>0</v>
      </c>
      <c r="G2086" s="199" cm="1">
        <f t="array" ref="G2086">IFERROR(SUMPRODUCT(('Production Inputs'!$A:$A="188mg LP - EU Stock")*('Production Inputs'!$B:$B="TOTAL ACTIVE")*'Production Inputs'!$DT:$DT),0)</f>
        <v>0</v>
      </c>
      <c r="H2086" s="199">
        <f t="shared" si="242"/>
        <v>0</v>
      </c>
      <c r="I2086" s="30">
        <f ca="1">IFERROR(AVERAGEIF(OFFSET(F2086,0,0,MIN(Controls!$B$8,COUNTIF(B2086:B$2152,B2086)),1),"&gt;"&amp;0),0)</f>
        <v>0</v>
      </c>
      <c r="J2086" s="38">
        <f t="shared" ca="1" si="243"/>
        <v>0</v>
      </c>
      <c r="K2086" s="30">
        <f t="shared" ca="1" si="244"/>
        <v>0</v>
      </c>
      <c r="L2086" t="str">
        <f t="shared" si="245"/>
        <v>High</v>
      </c>
      <c r="M2086" s="39">
        <f>IFERROR(VLOOKUP("188mg LP - EU Stock",Controls!A:I,7,0),6)</f>
        <v>9</v>
      </c>
      <c r="N2086" s="39">
        <f>IFERROR(VLOOKUP("188mg LP - EU Stock",Controls!A:I,8,0),3)</f>
        <v>8</v>
      </c>
      <c r="O2086" s="39">
        <f>IFERROR(VLOOKUP("188mg LP - EU Stock",Controls!A:I,9,0),18)</f>
        <v>18</v>
      </c>
      <c r="P2086" s="40">
        <f>IFERROR(VLOOKUP("188mg LP - EU Stock",Controls!A:J,5,0),0)</f>
        <v>16200</v>
      </c>
      <c r="Q2086" s="39">
        <f>IFERROR(VLOOKUP("188mg LP - EU Stock",Controls!A:J,6,0),3)</f>
        <v>3</v>
      </c>
      <c r="R2086" s="21" t="str">
        <f>IFERROR(VLOOKUP("188mg LP - EU Stock",Controls!A:K,10,0),"")</f>
        <v>Patheon (L&amp;P EU)</v>
      </c>
      <c r="S2086" s="41">
        <f t="shared" si="246"/>
        <v>49369</v>
      </c>
      <c r="T2086" s="30">
        <f t="shared" si="247"/>
        <v>0</v>
      </c>
      <c r="W2086" s="205" t="str" cm="1">
        <f t="array" ref="W2086">IF(112&lt;Controls!$B$7,TEXT(INDEX(A1974:A2152,MATCH(Controls!$B$5,A1974:A2152,1)+112),"MMM-YY"),"")</f>
        <v/>
      </c>
      <c r="X2086" t="str" cm="1">
        <f t="array" ref="X2086">IF(112&lt;Controls!$B$7,INDEX(F1974:F2152,MATCH(Controls!$B$5,A1974:A2152,1)+112),"")</f>
        <v/>
      </c>
      <c r="Y2086" t="str" cm="1">
        <f t="array" ref="Y2086">IF(112&lt;Controls!$B$7,INDEX(G1974:G2152,MATCH(Controls!$B$5,A1974:A2152,1)+112),"")</f>
        <v/>
      </c>
      <c r="Z2086" t="str" cm="1">
        <f t="array" ref="Z2086">IF(112&lt;Controls!$B$7,INDEX(H1974:H2152,MATCH(Controls!$B$5,A1974:A2152,1)+112),"")</f>
        <v/>
      </c>
      <c r="AA2086" t="str" cm="1">
        <f t="array" ref="AA2086">IF(112&lt;Controls!$B$7,INDEX(M1974:M2152,MATCH(Controls!$B$5,A1974:A2152,1)+112)*INDEX(I1974:I2152,MATCH(Controls!$B$5,A1974:A2152,1)+112),"")</f>
        <v/>
      </c>
      <c r="AB2086">
        <f t="shared" si="248"/>
        <v>0</v>
      </c>
    </row>
    <row r="2087" spans="1:28" x14ac:dyDescent="0.35">
      <c r="A2087" s="153">
        <v>49491</v>
      </c>
      <c r="B2087" s="155" t="s">
        <v>959</v>
      </c>
      <c r="C2087" s="15" t="s">
        <v>28</v>
      </c>
      <c r="D2087" s="15" t="s">
        <v>29</v>
      </c>
      <c r="E2087" s="199">
        <f>H2086</f>
        <v>0</v>
      </c>
      <c r="F2087" s="199">
        <f>IFERROR(SUMIFS('Demand Inputs'!$DO$5:$DO$202,'Demand Inputs'!$A$5:$A$202,"188mg LP - EU Stock",'Demand Inputs'!$B$5:$B$202,"&lt;&gt;AGGREGATE",'Demand Inputs'!$E$5:$E$202,1),0)</f>
        <v>0</v>
      </c>
      <c r="G2087" s="199" cm="1">
        <f t="array" ref="G2087">IFERROR(SUMPRODUCT(('Production Inputs'!$A:$A="188mg LP - EU Stock")*('Production Inputs'!$B:$B="TOTAL ACTIVE")*'Production Inputs'!$DU:$DU),0)</f>
        <v>0</v>
      </c>
      <c r="H2087" s="199">
        <f t="shared" si="242"/>
        <v>0</v>
      </c>
      <c r="I2087" s="30">
        <f ca="1">IFERROR(AVERAGEIF(OFFSET(F2087,0,0,MIN(Controls!$B$8,COUNTIF(B2087:B$2152,B2087)),1),"&gt;"&amp;0),0)</f>
        <v>0</v>
      </c>
      <c r="J2087" s="38">
        <f t="shared" ca="1" si="243"/>
        <v>0</v>
      </c>
      <c r="K2087" s="30">
        <f t="shared" ca="1" si="244"/>
        <v>0</v>
      </c>
      <c r="L2087" t="str">
        <f t="shared" si="245"/>
        <v>High</v>
      </c>
      <c r="M2087" s="39">
        <f>IFERROR(VLOOKUP("188mg LP - EU Stock",Controls!A:I,7,0),6)</f>
        <v>9</v>
      </c>
      <c r="N2087" s="39">
        <f>IFERROR(VLOOKUP("188mg LP - EU Stock",Controls!A:I,8,0),3)</f>
        <v>8</v>
      </c>
      <c r="O2087" s="39">
        <f>IFERROR(VLOOKUP("188mg LP - EU Stock",Controls!A:I,9,0),18)</f>
        <v>18</v>
      </c>
      <c r="P2087" s="40">
        <f>IFERROR(VLOOKUP("188mg LP - EU Stock",Controls!A:J,5,0),0)</f>
        <v>16200</v>
      </c>
      <c r="Q2087" s="39">
        <f>IFERROR(VLOOKUP("188mg LP - EU Stock",Controls!A:J,6,0),3)</f>
        <v>3</v>
      </c>
      <c r="R2087" s="21" t="str">
        <f>IFERROR(VLOOKUP("188mg LP - EU Stock",Controls!A:K,10,0),"")</f>
        <v>Patheon (L&amp;P EU)</v>
      </c>
      <c r="S2087" s="41">
        <f t="shared" si="246"/>
        <v>49400</v>
      </c>
      <c r="T2087" s="30">
        <f t="shared" si="247"/>
        <v>0</v>
      </c>
      <c r="W2087" s="205" t="str" cm="1">
        <f t="array" ref="W2087">IF(113&lt;Controls!$B$7,TEXT(INDEX(A1974:A2152,MATCH(Controls!$B$5,A1974:A2152,1)+113),"MMM-YY"),"")</f>
        <v/>
      </c>
      <c r="X2087" t="str" cm="1">
        <f t="array" ref="X2087">IF(113&lt;Controls!$B$7,INDEX(F1974:F2152,MATCH(Controls!$B$5,A1974:A2152,1)+113),"")</f>
        <v/>
      </c>
      <c r="Y2087" t="str" cm="1">
        <f t="array" ref="Y2087">IF(113&lt;Controls!$B$7,INDEX(G1974:G2152,MATCH(Controls!$B$5,A1974:A2152,1)+113),"")</f>
        <v/>
      </c>
      <c r="Z2087" t="str" cm="1">
        <f t="array" ref="Z2087">IF(113&lt;Controls!$B$7,INDEX(H1974:H2152,MATCH(Controls!$B$5,A1974:A2152,1)+113),"")</f>
        <v/>
      </c>
      <c r="AA2087" t="str" cm="1">
        <f t="array" ref="AA2087">IF(113&lt;Controls!$B$7,INDEX(M1974:M2152,MATCH(Controls!$B$5,A1974:A2152,1)+113)*INDEX(I1974:I2152,MATCH(Controls!$B$5,A1974:A2152,1)+113),"")</f>
        <v/>
      </c>
      <c r="AB2087">
        <f t="shared" si="248"/>
        <v>0</v>
      </c>
    </row>
    <row r="2088" spans="1:28" x14ac:dyDescent="0.35">
      <c r="A2088" s="153">
        <v>49522</v>
      </c>
      <c r="B2088" s="155" t="s">
        <v>959</v>
      </c>
      <c r="C2088" s="15" t="s">
        <v>28</v>
      </c>
      <c r="D2088" s="15" t="s">
        <v>29</v>
      </c>
      <c r="E2088" s="199">
        <f>H2087</f>
        <v>0</v>
      </c>
      <c r="F2088" s="199">
        <f>IFERROR(SUMIFS('Demand Inputs'!$DP$5:$DP$202,'Demand Inputs'!$A$5:$A$202,"188mg LP - EU Stock",'Demand Inputs'!$B$5:$B$202,"&lt;&gt;AGGREGATE",'Demand Inputs'!$E$5:$E$202,1),0)</f>
        <v>0</v>
      </c>
      <c r="G2088" s="199" cm="1">
        <f t="array" ref="G2088">IFERROR(SUMPRODUCT(('Production Inputs'!$A:$A="188mg LP - EU Stock")*('Production Inputs'!$B:$B="TOTAL ACTIVE")*'Production Inputs'!$DV:$DV),0)</f>
        <v>0</v>
      </c>
      <c r="H2088" s="199">
        <f t="shared" si="242"/>
        <v>0</v>
      </c>
      <c r="I2088" s="30">
        <f ca="1">IFERROR(AVERAGEIF(OFFSET(F2088,0,0,MIN(Controls!$B$8,COUNTIF(B2088:B$2152,B2088)),1),"&gt;"&amp;0),0)</f>
        <v>0</v>
      </c>
      <c r="J2088" s="38">
        <f t="shared" ca="1" si="243"/>
        <v>0</v>
      </c>
      <c r="K2088" s="30">
        <f t="shared" ca="1" si="244"/>
        <v>0</v>
      </c>
      <c r="L2088" t="str">
        <f t="shared" si="245"/>
        <v>High</v>
      </c>
      <c r="M2088" s="39">
        <f>IFERROR(VLOOKUP("188mg LP - EU Stock",Controls!A:I,7,0),6)</f>
        <v>9</v>
      </c>
      <c r="N2088" s="39">
        <f>IFERROR(VLOOKUP("188mg LP - EU Stock",Controls!A:I,8,0),3)</f>
        <v>8</v>
      </c>
      <c r="O2088" s="39">
        <f>IFERROR(VLOOKUP("188mg LP - EU Stock",Controls!A:I,9,0),18)</f>
        <v>18</v>
      </c>
      <c r="P2088" s="40">
        <f>IFERROR(VLOOKUP("188mg LP - EU Stock",Controls!A:J,5,0),0)</f>
        <v>16200</v>
      </c>
      <c r="Q2088" s="39">
        <f>IFERROR(VLOOKUP("188mg LP - EU Stock",Controls!A:J,6,0),3)</f>
        <v>3</v>
      </c>
      <c r="R2088" s="21" t="str">
        <f>IFERROR(VLOOKUP("188mg LP - EU Stock",Controls!A:K,10,0),"")</f>
        <v>Patheon (L&amp;P EU)</v>
      </c>
      <c r="S2088" s="41">
        <f t="shared" si="246"/>
        <v>49430</v>
      </c>
      <c r="T2088" s="30">
        <f t="shared" si="247"/>
        <v>0</v>
      </c>
      <c r="W2088" s="205" t="str" cm="1">
        <f t="array" ref="W2088">IF(114&lt;Controls!$B$7,TEXT(INDEX(A1974:A2152,MATCH(Controls!$B$5,A1974:A2152,1)+114),"MMM-YY"),"")</f>
        <v/>
      </c>
      <c r="X2088" t="str" cm="1">
        <f t="array" ref="X2088">IF(114&lt;Controls!$B$7,INDEX(F1974:F2152,MATCH(Controls!$B$5,A1974:A2152,1)+114),"")</f>
        <v/>
      </c>
      <c r="Y2088" t="str" cm="1">
        <f t="array" ref="Y2088">IF(114&lt;Controls!$B$7,INDEX(G1974:G2152,MATCH(Controls!$B$5,A1974:A2152,1)+114),"")</f>
        <v/>
      </c>
      <c r="Z2088" t="str" cm="1">
        <f t="array" ref="Z2088">IF(114&lt;Controls!$B$7,INDEX(H1974:H2152,MATCH(Controls!$B$5,A1974:A2152,1)+114),"")</f>
        <v/>
      </c>
      <c r="AA2088" t="str" cm="1">
        <f t="array" ref="AA2088">IF(114&lt;Controls!$B$7,INDEX(M1974:M2152,MATCH(Controls!$B$5,A1974:A2152,1)+114)*INDEX(I1974:I2152,MATCH(Controls!$B$5,A1974:A2152,1)+114),"")</f>
        <v/>
      </c>
      <c r="AB2088">
        <f t="shared" si="248"/>
        <v>0</v>
      </c>
    </row>
    <row r="2089" spans="1:28" x14ac:dyDescent="0.35">
      <c r="A2089" s="153">
        <v>49553</v>
      </c>
      <c r="B2089" s="155" t="s">
        <v>959</v>
      </c>
      <c r="C2089" s="15" t="s">
        <v>28</v>
      </c>
      <c r="D2089" s="15" t="s">
        <v>29</v>
      </c>
      <c r="E2089" s="199">
        <f>H2088</f>
        <v>0</v>
      </c>
      <c r="F2089" s="199">
        <f>IFERROR(SUMIFS('Demand Inputs'!$DQ$5:$DQ$202,'Demand Inputs'!$A$5:$A$202,"188mg LP - EU Stock",'Demand Inputs'!$B$5:$B$202,"&lt;&gt;AGGREGATE",'Demand Inputs'!$E$5:$E$202,1),0)</f>
        <v>0</v>
      </c>
      <c r="G2089" s="199" cm="1">
        <f t="array" ref="G2089">IFERROR(SUMPRODUCT(('Production Inputs'!$A:$A="188mg LP - EU Stock")*('Production Inputs'!$B:$B="TOTAL ACTIVE")*'Production Inputs'!$DW:$DW),0)</f>
        <v>0</v>
      </c>
      <c r="H2089" s="199">
        <f t="shared" si="242"/>
        <v>0</v>
      </c>
      <c r="I2089" s="30">
        <f ca="1">IFERROR(AVERAGEIF(OFFSET(F2089,0,0,MIN(Controls!$B$8,COUNTIF(B2089:B$2152,B2089)),1),"&gt;"&amp;0),0)</f>
        <v>0</v>
      </c>
      <c r="J2089" s="38">
        <f t="shared" ca="1" si="243"/>
        <v>0</v>
      </c>
      <c r="K2089" s="30">
        <f t="shared" ca="1" si="244"/>
        <v>0</v>
      </c>
      <c r="L2089" t="str">
        <f t="shared" si="245"/>
        <v>High</v>
      </c>
      <c r="M2089" s="39">
        <f>IFERROR(VLOOKUP("188mg LP - EU Stock",Controls!A:I,7,0),6)</f>
        <v>9</v>
      </c>
      <c r="N2089" s="39">
        <f>IFERROR(VLOOKUP("188mg LP - EU Stock",Controls!A:I,8,0),3)</f>
        <v>8</v>
      </c>
      <c r="O2089" s="39">
        <f>IFERROR(VLOOKUP("188mg LP - EU Stock",Controls!A:I,9,0),18)</f>
        <v>18</v>
      </c>
      <c r="P2089" s="40">
        <f>IFERROR(VLOOKUP("188mg LP - EU Stock",Controls!A:J,5,0),0)</f>
        <v>16200</v>
      </c>
      <c r="Q2089" s="39">
        <f>IFERROR(VLOOKUP("188mg LP - EU Stock",Controls!A:J,6,0),3)</f>
        <v>3</v>
      </c>
      <c r="R2089" s="21" t="str">
        <f>IFERROR(VLOOKUP("188mg LP - EU Stock",Controls!A:K,10,0),"")</f>
        <v>Patheon (L&amp;P EU)</v>
      </c>
      <c r="S2089" s="41">
        <f t="shared" si="246"/>
        <v>49461</v>
      </c>
      <c r="T2089" s="30">
        <f t="shared" si="247"/>
        <v>0</v>
      </c>
      <c r="W2089" s="205" t="str" cm="1">
        <f t="array" ref="W2089">IF(115&lt;Controls!$B$7,TEXT(INDEX(A1974:A2152,MATCH(Controls!$B$5,A1974:A2152,1)+115),"MMM-YY"),"")</f>
        <v/>
      </c>
      <c r="X2089" t="str" cm="1">
        <f t="array" ref="X2089">IF(115&lt;Controls!$B$7,INDEX(F1974:F2152,MATCH(Controls!$B$5,A1974:A2152,1)+115),"")</f>
        <v/>
      </c>
      <c r="Y2089" t="str" cm="1">
        <f t="array" ref="Y2089">IF(115&lt;Controls!$B$7,INDEX(G1974:G2152,MATCH(Controls!$B$5,A1974:A2152,1)+115),"")</f>
        <v/>
      </c>
      <c r="Z2089" t="str" cm="1">
        <f t="array" ref="Z2089">IF(115&lt;Controls!$B$7,INDEX(H1974:H2152,MATCH(Controls!$B$5,A1974:A2152,1)+115),"")</f>
        <v/>
      </c>
      <c r="AA2089" t="str" cm="1">
        <f t="array" ref="AA2089">IF(115&lt;Controls!$B$7,INDEX(M1974:M2152,MATCH(Controls!$B$5,A1974:A2152,1)+115)*INDEX(I1974:I2152,MATCH(Controls!$B$5,A1974:A2152,1)+115),"")</f>
        <v/>
      </c>
      <c r="AB2089">
        <f t="shared" si="248"/>
        <v>0</v>
      </c>
    </row>
    <row r="2090" spans="1:28" x14ac:dyDescent="0.35">
      <c r="A2090" s="153">
        <v>49583</v>
      </c>
      <c r="B2090" s="155" t="s">
        <v>959</v>
      </c>
      <c r="C2090" s="15" t="s">
        <v>28</v>
      </c>
      <c r="D2090" s="15" t="s">
        <v>29</v>
      </c>
      <c r="E2090" s="199">
        <f>H2089</f>
        <v>0</v>
      </c>
      <c r="F2090" s="199">
        <f>IFERROR(SUMIFS('Demand Inputs'!$DR$5:$DR$202,'Demand Inputs'!$A$5:$A$202,"188mg LP - EU Stock",'Demand Inputs'!$B$5:$B$202,"&lt;&gt;AGGREGATE",'Demand Inputs'!$E$5:$E$202,1),0)</f>
        <v>0</v>
      </c>
      <c r="G2090" s="199" cm="1">
        <f t="array" ref="G2090">IFERROR(SUMPRODUCT(('Production Inputs'!$A:$A="188mg LP - EU Stock")*('Production Inputs'!$B:$B="TOTAL ACTIVE")*'Production Inputs'!$DX:$DX),0)</f>
        <v>0</v>
      </c>
      <c r="H2090" s="199">
        <f t="shared" si="242"/>
        <v>0</v>
      </c>
      <c r="I2090" s="30">
        <f ca="1">IFERROR(AVERAGEIF(OFFSET(F2090,0,0,MIN(Controls!$B$8,COUNTIF(B2090:B$2152,B2090)),1),"&gt;"&amp;0),0)</f>
        <v>0</v>
      </c>
      <c r="J2090" s="38">
        <f t="shared" ca="1" si="243"/>
        <v>0</v>
      </c>
      <c r="K2090" s="30">
        <f t="shared" ca="1" si="244"/>
        <v>0</v>
      </c>
      <c r="L2090" t="str">
        <f t="shared" si="245"/>
        <v>High</v>
      </c>
      <c r="M2090" s="39">
        <f>IFERROR(VLOOKUP("188mg LP - EU Stock",Controls!A:I,7,0),6)</f>
        <v>9</v>
      </c>
      <c r="N2090" s="39">
        <f>IFERROR(VLOOKUP("188mg LP - EU Stock",Controls!A:I,8,0),3)</f>
        <v>8</v>
      </c>
      <c r="O2090" s="39">
        <f>IFERROR(VLOOKUP("188mg LP - EU Stock",Controls!A:I,9,0),18)</f>
        <v>18</v>
      </c>
      <c r="P2090" s="40">
        <f>IFERROR(VLOOKUP("188mg LP - EU Stock",Controls!A:J,5,0),0)</f>
        <v>16200</v>
      </c>
      <c r="Q2090" s="39">
        <f>IFERROR(VLOOKUP("188mg LP - EU Stock",Controls!A:J,6,0),3)</f>
        <v>3</v>
      </c>
      <c r="R2090" s="21" t="str">
        <f>IFERROR(VLOOKUP("188mg LP - EU Stock",Controls!A:K,10,0),"")</f>
        <v>Patheon (L&amp;P EU)</v>
      </c>
      <c r="S2090" s="41">
        <f t="shared" si="246"/>
        <v>49491</v>
      </c>
      <c r="T2090" s="30">
        <f t="shared" si="247"/>
        <v>0</v>
      </c>
      <c r="W2090" s="205" t="str" cm="1">
        <f t="array" ref="W2090">IF(116&lt;Controls!$B$7,TEXT(INDEX(A1974:A2152,MATCH(Controls!$B$5,A1974:A2152,1)+116),"MMM-YY"),"")</f>
        <v/>
      </c>
      <c r="X2090" t="str" cm="1">
        <f t="array" ref="X2090">IF(116&lt;Controls!$B$7,INDEX(F1974:F2152,MATCH(Controls!$B$5,A1974:A2152,1)+116),"")</f>
        <v/>
      </c>
      <c r="Y2090" t="str" cm="1">
        <f t="array" ref="Y2090">IF(116&lt;Controls!$B$7,INDEX(G1974:G2152,MATCH(Controls!$B$5,A1974:A2152,1)+116),"")</f>
        <v/>
      </c>
      <c r="Z2090" t="str" cm="1">
        <f t="array" ref="Z2090">IF(116&lt;Controls!$B$7,INDEX(H1974:H2152,MATCH(Controls!$B$5,A1974:A2152,1)+116),"")</f>
        <v/>
      </c>
      <c r="AA2090" t="str" cm="1">
        <f t="array" ref="AA2090">IF(116&lt;Controls!$B$7,INDEX(M1974:M2152,MATCH(Controls!$B$5,A1974:A2152,1)+116)*INDEX(I1974:I2152,MATCH(Controls!$B$5,A1974:A2152,1)+116),"")</f>
        <v/>
      </c>
      <c r="AB2090">
        <f t="shared" si="248"/>
        <v>0</v>
      </c>
    </row>
    <row r="2091" spans="1:28" x14ac:dyDescent="0.35">
      <c r="A2091" s="153">
        <v>49614</v>
      </c>
      <c r="B2091" s="155" t="s">
        <v>959</v>
      </c>
      <c r="C2091" s="15" t="s">
        <v>28</v>
      </c>
      <c r="D2091" s="15" t="s">
        <v>29</v>
      </c>
      <c r="E2091" s="199">
        <f>H2090</f>
        <v>0</v>
      </c>
      <c r="F2091" s="199">
        <f>IFERROR(SUMIFS('Demand Inputs'!$DS$5:$DS$202,'Demand Inputs'!$A$5:$A$202,"188mg LP - EU Stock",'Demand Inputs'!$B$5:$B$202,"&lt;&gt;AGGREGATE",'Demand Inputs'!$E$5:$E$202,1),0)</f>
        <v>0</v>
      </c>
      <c r="G2091" s="199" cm="1">
        <f t="array" ref="G2091">IFERROR(SUMPRODUCT(('Production Inputs'!$A:$A="188mg LP - EU Stock")*('Production Inputs'!$B:$B="TOTAL ACTIVE")*'Production Inputs'!$DY:$DY),0)</f>
        <v>0</v>
      </c>
      <c r="H2091" s="199">
        <f t="shared" si="242"/>
        <v>0</v>
      </c>
      <c r="I2091" s="30">
        <f ca="1">IFERROR(AVERAGEIF(OFFSET(F2091,0,0,MIN(Controls!$B$8,COUNTIF(B2091:B$2152,B2091)),1),"&gt;"&amp;0),0)</f>
        <v>0</v>
      </c>
      <c r="J2091" s="38">
        <f t="shared" ca="1" si="243"/>
        <v>0</v>
      </c>
      <c r="K2091" s="30">
        <f t="shared" ca="1" si="244"/>
        <v>0</v>
      </c>
      <c r="L2091" t="str">
        <f t="shared" si="245"/>
        <v>High</v>
      </c>
      <c r="M2091" s="39">
        <f>IFERROR(VLOOKUP("188mg LP - EU Stock",Controls!A:I,7,0),6)</f>
        <v>9</v>
      </c>
      <c r="N2091" s="39">
        <f>IFERROR(VLOOKUP("188mg LP - EU Stock",Controls!A:I,8,0),3)</f>
        <v>8</v>
      </c>
      <c r="O2091" s="39">
        <f>IFERROR(VLOOKUP("188mg LP - EU Stock",Controls!A:I,9,0),18)</f>
        <v>18</v>
      </c>
      <c r="P2091" s="40">
        <f>IFERROR(VLOOKUP("188mg LP - EU Stock",Controls!A:J,5,0),0)</f>
        <v>16200</v>
      </c>
      <c r="Q2091" s="39">
        <f>IFERROR(VLOOKUP("188mg LP - EU Stock",Controls!A:J,6,0),3)</f>
        <v>3</v>
      </c>
      <c r="R2091" s="21" t="str">
        <f>IFERROR(VLOOKUP("188mg LP - EU Stock",Controls!A:K,10,0),"")</f>
        <v>Patheon (L&amp;P EU)</v>
      </c>
      <c r="S2091" s="41">
        <f t="shared" si="246"/>
        <v>49522</v>
      </c>
      <c r="T2091" s="30">
        <f t="shared" si="247"/>
        <v>0</v>
      </c>
      <c r="W2091" s="205" t="str" cm="1">
        <f t="array" ref="W2091">IF(117&lt;Controls!$B$7,TEXT(INDEX(A1974:A2152,MATCH(Controls!$B$5,A1974:A2152,1)+117),"MMM-YY"),"")</f>
        <v/>
      </c>
      <c r="X2091" t="str" cm="1">
        <f t="array" ref="X2091">IF(117&lt;Controls!$B$7,INDEX(F1974:F2152,MATCH(Controls!$B$5,A1974:A2152,1)+117),"")</f>
        <v/>
      </c>
      <c r="Y2091" t="str" cm="1">
        <f t="array" ref="Y2091">IF(117&lt;Controls!$B$7,INDEX(G1974:G2152,MATCH(Controls!$B$5,A1974:A2152,1)+117),"")</f>
        <v/>
      </c>
      <c r="Z2091" t="str" cm="1">
        <f t="array" ref="Z2091">IF(117&lt;Controls!$B$7,INDEX(H1974:H2152,MATCH(Controls!$B$5,A1974:A2152,1)+117),"")</f>
        <v/>
      </c>
      <c r="AA2091" t="str" cm="1">
        <f t="array" ref="AA2091">IF(117&lt;Controls!$B$7,INDEX(M1974:M2152,MATCH(Controls!$B$5,A1974:A2152,1)+117)*INDEX(I1974:I2152,MATCH(Controls!$B$5,A1974:A2152,1)+117),"")</f>
        <v/>
      </c>
      <c r="AB2091">
        <f t="shared" si="248"/>
        <v>0</v>
      </c>
    </row>
    <row r="2092" spans="1:28" x14ac:dyDescent="0.35">
      <c r="A2092" s="153">
        <v>49644</v>
      </c>
      <c r="B2092" s="155" t="s">
        <v>959</v>
      </c>
      <c r="C2092" s="15" t="s">
        <v>28</v>
      </c>
      <c r="D2092" s="15" t="s">
        <v>29</v>
      </c>
      <c r="E2092" s="199">
        <f>H2091</f>
        <v>0</v>
      </c>
      <c r="F2092" s="199">
        <f>IFERROR(SUMIFS('Demand Inputs'!$DT$5:$DT$202,'Demand Inputs'!$A$5:$A$202,"188mg LP - EU Stock",'Demand Inputs'!$B$5:$B$202,"&lt;&gt;AGGREGATE",'Demand Inputs'!$E$5:$E$202,1),0)</f>
        <v>0</v>
      </c>
      <c r="G2092" s="199" cm="1">
        <f t="array" ref="G2092">IFERROR(SUMPRODUCT(('Production Inputs'!$A:$A="188mg LP - EU Stock")*('Production Inputs'!$B:$B="TOTAL ACTIVE")*'Production Inputs'!$DZ:$DZ),0)</f>
        <v>0</v>
      </c>
      <c r="H2092" s="199">
        <f t="shared" si="242"/>
        <v>0</v>
      </c>
      <c r="I2092" s="30">
        <f ca="1">IFERROR(AVERAGEIF(OFFSET(F2092,0,0,MIN(Controls!$B$8,COUNTIF(B2092:B$2152,B2092)),1),"&gt;"&amp;0),0)</f>
        <v>0</v>
      </c>
      <c r="J2092" s="38">
        <f t="shared" ca="1" si="243"/>
        <v>0</v>
      </c>
      <c r="K2092" s="30">
        <f t="shared" ca="1" si="244"/>
        <v>0</v>
      </c>
      <c r="L2092" t="str">
        <f t="shared" si="245"/>
        <v>High</v>
      </c>
      <c r="M2092" s="39">
        <f>IFERROR(VLOOKUP("188mg LP - EU Stock",Controls!A:I,7,0),6)</f>
        <v>9</v>
      </c>
      <c r="N2092" s="39">
        <f>IFERROR(VLOOKUP("188mg LP - EU Stock",Controls!A:I,8,0),3)</f>
        <v>8</v>
      </c>
      <c r="O2092" s="39">
        <f>IFERROR(VLOOKUP("188mg LP - EU Stock",Controls!A:I,9,0),18)</f>
        <v>18</v>
      </c>
      <c r="P2092" s="40">
        <f>IFERROR(VLOOKUP("188mg LP - EU Stock",Controls!A:J,5,0),0)</f>
        <v>16200</v>
      </c>
      <c r="Q2092" s="39">
        <f>IFERROR(VLOOKUP("188mg LP - EU Stock",Controls!A:J,6,0),3)</f>
        <v>3</v>
      </c>
      <c r="R2092" s="21" t="str">
        <f>IFERROR(VLOOKUP("188mg LP - EU Stock",Controls!A:K,10,0),"")</f>
        <v>Patheon (L&amp;P EU)</v>
      </c>
      <c r="S2092" s="41">
        <f t="shared" si="246"/>
        <v>49553</v>
      </c>
      <c r="T2092" s="30">
        <f t="shared" si="247"/>
        <v>0</v>
      </c>
      <c r="W2092" s="205" t="str" cm="1">
        <f t="array" ref="W2092">IF(118&lt;Controls!$B$7,TEXT(INDEX(A1974:A2152,MATCH(Controls!$B$5,A1974:A2152,1)+118),"MMM-YY"),"")</f>
        <v/>
      </c>
      <c r="X2092" t="str" cm="1">
        <f t="array" ref="X2092">IF(118&lt;Controls!$B$7,INDEX(F1974:F2152,MATCH(Controls!$B$5,A1974:A2152,1)+118),"")</f>
        <v/>
      </c>
      <c r="Y2092" t="str" cm="1">
        <f t="array" ref="Y2092">IF(118&lt;Controls!$B$7,INDEX(G1974:G2152,MATCH(Controls!$B$5,A1974:A2152,1)+118),"")</f>
        <v/>
      </c>
      <c r="Z2092" t="str" cm="1">
        <f t="array" ref="Z2092">IF(118&lt;Controls!$B$7,INDEX(H1974:H2152,MATCH(Controls!$B$5,A1974:A2152,1)+118),"")</f>
        <v/>
      </c>
      <c r="AA2092" t="str" cm="1">
        <f t="array" ref="AA2092">IF(118&lt;Controls!$B$7,INDEX(M1974:M2152,MATCH(Controls!$B$5,A1974:A2152,1)+118)*INDEX(I1974:I2152,MATCH(Controls!$B$5,A1974:A2152,1)+118),"")</f>
        <v/>
      </c>
      <c r="AB2092">
        <f t="shared" si="248"/>
        <v>0</v>
      </c>
    </row>
    <row r="2093" spans="1:28" x14ac:dyDescent="0.35">
      <c r="A2093" s="153">
        <v>49675</v>
      </c>
      <c r="B2093" s="155" t="s">
        <v>959</v>
      </c>
      <c r="C2093" s="15" t="s">
        <v>28</v>
      </c>
      <c r="D2093" s="15" t="s">
        <v>29</v>
      </c>
      <c r="E2093" s="199">
        <f>H2092</f>
        <v>0</v>
      </c>
      <c r="F2093" s="199">
        <f>IFERROR(SUMIFS('Demand Inputs'!$DU$5:$DU$202,'Demand Inputs'!$A$5:$A$202,"188mg LP - EU Stock",'Demand Inputs'!$B$5:$B$202,"&lt;&gt;AGGREGATE",'Demand Inputs'!$E$5:$E$202,1),0)</f>
        <v>0</v>
      </c>
      <c r="G2093" s="199" cm="1">
        <f t="array" ref="G2093">IFERROR(SUMPRODUCT(('Production Inputs'!$A:$A="188mg LP - EU Stock")*('Production Inputs'!$B:$B="TOTAL ACTIVE")*'Production Inputs'!$EA:$EA),0)</f>
        <v>0</v>
      </c>
      <c r="H2093" s="199">
        <f t="shared" si="242"/>
        <v>0</v>
      </c>
      <c r="I2093" s="30">
        <f ca="1">IFERROR(AVERAGEIF(OFFSET(F2093,0,0,MIN(Controls!$B$8,COUNTIF(B2093:B$2152,B2093)),1),"&gt;"&amp;0),0)</f>
        <v>0</v>
      </c>
      <c r="J2093" s="38">
        <f t="shared" ca="1" si="243"/>
        <v>0</v>
      </c>
      <c r="K2093" s="30">
        <f t="shared" ca="1" si="244"/>
        <v>0</v>
      </c>
      <c r="L2093" t="str">
        <f t="shared" si="245"/>
        <v>High</v>
      </c>
      <c r="M2093" s="39">
        <f>IFERROR(VLOOKUP("188mg LP - EU Stock",Controls!A:I,7,0),6)</f>
        <v>9</v>
      </c>
      <c r="N2093" s="39">
        <f>IFERROR(VLOOKUP("188mg LP - EU Stock",Controls!A:I,8,0),3)</f>
        <v>8</v>
      </c>
      <c r="O2093" s="39">
        <f>IFERROR(VLOOKUP("188mg LP - EU Stock",Controls!A:I,9,0),18)</f>
        <v>18</v>
      </c>
      <c r="P2093" s="40">
        <f>IFERROR(VLOOKUP("188mg LP - EU Stock",Controls!A:J,5,0),0)</f>
        <v>16200</v>
      </c>
      <c r="Q2093" s="39">
        <f>IFERROR(VLOOKUP("188mg LP - EU Stock",Controls!A:J,6,0),3)</f>
        <v>3</v>
      </c>
      <c r="R2093" s="21" t="str">
        <f>IFERROR(VLOOKUP("188mg LP - EU Stock",Controls!A:K,10,0),"")</f>
        <v>Patheon (L&amp;P EU)</v>
      </c>
      <c r="S2093" s="41">
        <f t="shared" si="246"/>
        <v>49583</v>
      </c>
      <c r="T2093" s="30">
        <f t="shared" si="247"/>
        <v>0</v>
      </c>
      <c r="W2093" s="205" t="str" cm="1">
        <f t="array" ref="W2093">IF(119&lt;Controls!$B$7,TEXT(INDEX(A1974:A2152,MATCH(Controls!$B$5,A1974:A2152,1)+119),"MMM-YY"),"")</f>
        <v/>
      </c>
      <c r="X2093" t="str" cm="1">
        <f t="array" ref="X2093">IF(119&lt;Controls!$B$7,INDEX(F1974:F2152,MATCH(Controls!$B$5,A1974:A2152,1)+119),"")</f>
        <v/>
      </c>
      <c r="Y2093" t="str" cm="1">
        <f t="array" ref="Y2093">IF(119&lt;Controls!$B$7,INDEX(G1974:G2152,MATCH(Controls!$B$5,A1974:A2152,1)+119),"")</f>
        <v/>
      </c>
      <c r="Z2093" t="str" cm="1">
        <f t="array" ref="Z2093">IF(119&lt;Controls!$B$7,INDEX(H1974:H2152,MATCH(Controls!$B$5,A1974:A2152,1)+119),"")</f>
        <v/>
      </c>
      <c r="AA2093" t="str" cm="1">
        <f t="array" ref="AA2093">IF(119&lt;Controls!$B$7,INDEX(M1974:M2152,MATCH(Controls!$B$5,A1974:A2152,1)+119)*INDEX(I1974:I2152,MATCH(Controls!$B$5,A1974:A2152,1)+119),"")</f>
        <v/>
      </c>
      <c r="AB2093">
        <f t="shared" si="248"/>
        <v>0</v>
      </c>
    </row>
    <row r="2094" spans="1:28" x14ac:dyDescent="0.35">
      <c r="A2094" s="153">
        <v>49706</v>
      </c>
      <c r="B2094" s="155" t="s">
        <v>959</v>
      </c>
      <c r="C2094" s="15" t="s">
        <v>28</v>
      </c>
      <c r="D2094" s="15" t="s">
        <v>29</v>
      </c>
      <c r="E2094" s="199">
        <f>H2093</f>
        <v>0</v>
      </c>
      <c r="F2094" s="199">
        <f>IFERROR(SUMIFS('Demand Inputs'!$DV$5:$DV$202,'Demand Inputs'!$A$5:$A$202,"188mg LP - EU Stock",'Demand Inputs'!$B$5:$B$202,"&lt;&gt;AGGREGATE",'Demand Inputs'!$E$5:$E$202,1),0)</f>
        <v>0</v>
      </c>
      <c r="G2094" s="199" cm="1">
        <f t="array" ref="G2094">IFERROR(SUMPRODUCT(('Production Inputs'!$A:$A="188mg LP - EU Stock")*('Production Inputs'!$B:$B="TOTAL ACTIVE")*'Production Inputs'!$EB:$EB),0)</f>
        <v>0</v>
      </c>
      <c r="H2094" s="199">
        <f t="shared" si="242"/>
        <v>0</v>
      </c>
      <c r="I2094" s="30">
        <f ca="1">IFERROR(AVERAGEIF(OFFSET(F2094,0,0,MIN(Controls!$B$8,COUNTIF(B2094:B$2152,B2094)),1),"&gt;"&amp;0),0)</f>
        <v>0</v>
      </c>
      <c r="J2094" s="38">
        <f t="shared" ca="1" si="243"/>
        <v>0</v>
      </c>
      <c r="K2094" s="30">
        <f t="shared" ca="1" si="244"/>
        <v>0</v>
      </c>
      <c r="L2094" t="str">
        <f t="shared" si="245"/>
        <v>High</v>
      </c>
      <c r="M2094" s="39">
        <f>IFERROR(VLOOKUP("188mg LP - EU Stock",Controls!A:I,7,0),6)</f>
        <v>9</v>
      </c>
      <c r="N2094" s="39">
        <f>IFERROR(VLOOKUP("188mg LP - EU Stock",Controls!A:I,8,0),3)</f>
        <v>8</v>
      </c>
      <c r="O2094" s="39">
        <f>IFERROR(VLOOKUP("188mg LP - EU Stock",Controls!A:I,9,0),18)</f>
        <v>18</v>
      </c>
      <c r="P2094" s="40">
        <f>IFERROR(VLOOKUP("188mg LP - EU Stock",Controls!A:J,5,0),0)</f>
        <v>16200</v>
      </c>
      <c r="Q2094" s="39">
        <f>IFERROR(VLOOKUP("188mg LP - EU Stock",Controls!A:J,6,0),3)</f>
        <v>3</v>
      </c>
      <c r="R2094" s="21" t="str">
        <f>IFERROR(VLOOKUP("188mg LP - EU Stock",Controls!A:K,10,0),"")</f>
        <v>Patheon (L&amp;P EU)</v>
      </c>
      <c r="S2094" s="41">
        <f t="shared" si="246"/>
        <v>49614</v>
      </c>
      <c r="T2094" s="30">
        <f t="shared" si="247"/>
        <v>0</v>
      </c>
      <c r="W2094" s="205" t="str" cm="1">
        <f t="array" ref="W2094">IF(120&lt;Controls!$B$7,TEXT(INDEX(A1974:A2152,MATCH(Controls!$B$5,A1974:A2152,1)+120),"MMM-YY"),"")</f>
        <v/>
      </c>
      <c r="X2094" t="str" cm="1">
        <f t="array" ref="X2094">IF(120&lt;Controls!$B$7,INDEX(F1974:F2152,MATCH(Controls!$B$5,A1974:A2152,1)+120),"")</f>
        <v/>
      </c>
      <c r="Y2094" t="str" cm="1">
        <f t="array" ref="Y2094">IF(120&lt;Controls!$B$7,INDEX(G1974:G2152,MATCH(Controls!$B$5,A1974:A2152,1)+120),"")</f>
        <v/>
      </c>
      <c r="Z2094" t="str" cm="1">
        <f t="array" ref="Z2094">IF(120&lt;Controls!$B$7,INDEX(H1974:H2152,MATCH(Controls!$B$5,A1974:A2152,1)+120),"")</f>
        <v/>
      </c>
      <c r="AA2094" t="str" cm="1">
        <f t="array" ref="AA2094">IF(120&lt;Controls!$B$7,INDEX(M1974:M2152,MATCH(Controls!$B$5,A1974:A2152,1)+120)*INDEX(I1974:I2152,MATCH(Controls!$B$5,A1974:A2152,1)+120),"")</f>
        <v/>
      </c>
      <c r="AB2094">
        <f t="shared" si="248"/>
        <v>0</v>
      </c>
    </row>
    <row r="2095" spans="1:28" x14ac:dyDescent="0.35">
      <c r="A2095" s="153">
        <v>49735</v>
      </c>
      <c r="B2095" s="155" t="s">
        <v>959</v>
      </c>
      <c r="C2095" s="15" t="s">
        <v>28</v>
      </c>
      <c r="D2095" s="15" t="s">
        <v>29</v>
      </c>
      <c r="E2095" s="199">
        <f>H2094</f>
        <v>0</v>
      </c>
      <c r="F2095" s="199">
        <f>IFERROR(SUMIFS('Demand Inputs'!$DW$5:$DW$202,'Demand Inputs'!$A$5:$A$202,"188mg LP - EU Stock",'Demand Inputs'!$B$5:$B$202,"&lt;&gt;AGGREGATE",'Demand Inputs'!$E$5:$E$202,1),0)</f>
        <v>0</v>
      </c>
      <c r="G2095" s="199" cm="1">
        <f t="array" ref="G2095">IFERROR(SUMPRODUCT(('Production Inputs'!$A:$A="188mg LP - EU Stock")*('Production Inputs'!$B:$B="TOTAL ACTIVE")*'Production Inputs'!$EC:$EC),0)</f>
        <v>0</v>
      </c>
      <c r="H2095" s="199">
        <f t="shared" si="242"/>
        <v>0</v>
      </c>
      <c r="I2095" s="30">
        <f ca="1">IFERROR(AVERAGEIF(OFFSET(F2095,0,0,MIN(Controls!$B$8,COUNTIF(B2095:B$2152,B2095)),1),"&gt;"&amp;0),0)</f>
        <v>0</v>
      </c>
      <c r="J2095" s="38">
        <f t="shared" ca="1" si="243"/>
        <v>0</v>
      </c>
      <c r="K2095" s="30">
        <f t="shared" ca="1" si="244"/>
        <v>0</v>
      </c>
      <c r="L2095" t="str">
        <f t="shared" si="245"/>
        <v>High</v>
      </c>
      <c r="M2095" s="39">
        <f>IFERROR(VLOOKUP("188mg LP - EU Stock",Controls!A:I,7,0),6)</f>
        <v>9</v>
      </c>
      <c r="N2095" s="39">
        <f>IFERROR(VLOOKUP("188mg LP - EU Stock",Controls!A:I,8,0),3)</f>
        <v>8</v>
      </c>
      <c r="O2095" s="39">
        <f>IFERROR(VLOOKUP("188mg LP - EU Stock",Controls!A:I,9,0),18)</f>
        <v>18</v>
      </c>
      <c r="P2095" s="40">
        <f>IFERROR(VLOOKUP("188mg LP - EU Stock",Controls!A:J,5,0),0)</f>
        <v>16200</v>
      </c>
      <c r="Q2095" s="39">
        <f>IFERROR(VLOOKUP("188mg LP - EU Stock",Controls!A:J,6,0),3)</f>
        <v>3</v>
      </c>
      <c r="R2095" s="21" t="str">
        <f>IFERROR(VLOOKUP("188mg LP - EU Stock",Controls!A:K,10,0),"")</f>
        <v>Patheon (L&amp;P EU)</v>
      </c>
      <c r="S2095" s="41">
        <f t="shared" si="246"/>
        <v>49644</v>
      </c>
      <c r="T2095" s="30">
        <f t="shared" si="247"/>
        <v>0</v>
      </c>
      <c r="W2095" s="205" t="str" cm="1">
        <f t="array" ref="W2095">IF(121&lt;Controls!$B$7,TEXT(INDEX(A1974:A2152,MATCH(Controls!$B$5,A1974:A2152,1)+121),"MMM-YY"),"")</f>
        <v/>
      </c>
      <c r="X2095" t="str" cm="1">
        <f t="array" ref="X2095">IF(121&lt;Controls!$B$7,INDEX(F1974:F2152,MATCH(Controls!$B$5,A1974:A2152,1)+121),"")</f>
        <v/>
      </c>
      <c r="Y2095" t="str" cm="1">
        <f t="array" ref="Y2095">IF(121&lt;Controls!$B$7,INDEX(G1974:G2152,MATCH(Controls!$B$5,A1974:A2152,1)+121),"")</f>
        <v/>
      </c>
      <c r="Z2095" t="str" cm="1">
        <f t="array" ref="Z2095">IF(121&lt;Controls!$B$7,INDEX(H1974:H2152,MATCH(Controls!$B$5,A1974:A2152,1)+121),"")</f>
        <v/>
      </c>
      <c r="AA2095" t="str" cm="1">
        <f t="array" ref="AA2095">IF(121&lt;Controls!$B$7,INDEX(M1974:M2152,MATCH(Controls!$B$5,A1974:A2152,1)+121)*INDEX(I1974:I2152,MATCH(Controls!$B$5,A1974:A2152,1)+121),"")</f>
        <v/>
      </c>
      <c r="AB2095">
        <f t="shared" si="248"/>
        <v>0</v>
      </c>
    </row>
    <row r="2096" spans="1:28" x14ac:dyDescent="0.35">
      <c r="A2096" s="153">
        <v>49766</v>
      </c>
      <c r="B2096" s="155" t="s">
        <v>959</v>
      </c>
      <c r="C2096" s="15" t="s">
        <v>28</v>
      </c>
      <c r="D2096" s="15" t="s">
        <v>29</v>
      </c>
      <c r="E2096" s="199">
        <f>H2095</f>
        <v>0</v>
      </c>
      <c r="F2096" s="199">
        <f>IFERROR(SUMIFS('Demand Inputs'!$DX$5:$DX$202,'Demand Inputs'!$A$5:$A$202,"188mg LP - EU Stock",'Demand Inputs'!$B$5:$B$202,"&lt;&gt;AGGREGATE",'Demand Inputs'!$E$5:$E$202,1),0)</f>
        <v>0</v>
      </c>
      <c r="G2096" s="199" cm="1">
        <f t="array" ref="G2096">IFERROR(SUMPRODUCT(('Production Inputs'!$A:$A="188mg LP - EU Stock")*('Production Inputs'!$B:$B="TOTAL ACTIVE")*'Production Inputs'!$ED:$ED),0)</f>
        <v>0</v>
      </c>
      <c r="H2096" s="199">
        <f t="shared" si="242"/>
        <v>0</v>
      </c>
      <c r="I2096" s="30">
        <f ca="1">IFERROR(AVERAGEIF(OFFSET(F2096,0,0,MIN(Controls!$B$8,COUNTIF(B2096:B$2152,B2096)),1),"&gt;"&amp;0),0)</f>
        <v>0</v>
      </c>
      <c r="J2096" s="38">
        <f t="shared" ca="1" si="243"/>
        <v>0</v>
      </c>
      <c r="K2096" s="30">
        <f t="shared" ca="1" si="244"/>
        <v>0</v>
      </c>
      <c r="L2096" t="str">
        <f t="shared" si="245"/>
        <v>High</v>
      </c>
      <c r="M2096" s="39">
        <f>IFERROR(VLOOKUP("188mg LP - EU Stock",Controls!A:I,7,0),6)</f>
        <v>9</v>
      </c>
      <c r="N2096" s="39">
        <f>IFERROR(VLOOKUP("188mg LP - EU Stock",Controls!A:I,8,0),3)</f>
        <v>8</v>
      </c>
      <c r="O2096" s="39">
        <f>IFERROR(VLOOKUP("188mg LP - EU Stock",Controls!A:I,9,0),18)</f>
        <v>18</v>
      </c>
      <c r="P2096" s="40">
        <f>IFERROR(VLOOKUP("188mg LP - EU Stock",Controls!A:J,5,0),0)</f>
        <v>16200</v>
      </c>
      <c r="Q2096" s="39">
        <f>IFERROR(VLOOKUP("188mg LP - EU Stock",Controls!A:J,6,0),3)</f>
        <v>3</v>
      </c>
      <c r="R2096" s="21" t="str">
        <f>IFERROR(VLOOKUP("188mg LP - EU Stock",Controls!A:K,10,0),"")</f>
        <v>Patheon (L&amp;P EU)</v>
      </c>
      <c r="S2096" s="41">
        <f t="shared" si="246"/>
        <v>49675</v>
      </c>
      <c r="T2096" s="30">
        <f t="shared" si="247"/>
        <v>0</v>
      </c>
      <c r="W2096" s="205" t="str" cm="1">
        <f t="array" ref="W2096">IF(122&lt;Controls!$B$7,TEXT(INDEX(A1974:A2152,MATCH(Controls!$B$5,A1974:A2152,1)+122),"MMM-YY"),"")</f>
        <v/>
      </c>
      <c r="X2096" t="str" cm="1">
        <f t="array" ref="X2096">IF(122&lt;Controls!$B$7,INDEX(F1974:F2152,MATCH(Controls!$B$5,A1974:A2152,1)+122),"")</f>
        <v/>
      </c>
      <c r="Y2096" t="str" cm="1">
        <f t="array" ref="Y2096">IF(122&lt;Controls!$B$7,INDEX(G1974:G2152,MATCH(Controls!$B$5,A1974:A2152,1)+122),"")</f>
        <v/>
      </c>
      <c r="Z2096" t="str" cm="1">
        <f t="array" ref="Z2096">IF(122&lt;Controls!$B$7,INDEX(H1974:H2152,MATCH(Controls!$B$5,A1974:A2152,1)+122),"")</f>
        <v/>
      </c>
      <c r="AA2096" t="str" cm="1">
        <f t="array" ref="AA2096">IF(122&lt;Controls!$B$7,INDEX(M1974:M2152,MATCH(Controls!$B$5,A1974:A2152,1)+122)*INDEX(I1974:I2152,MATCH(Controls!$B$5,A1974:A2152,1)+122),"")</f>
        <v/>
      </c>
      <c r="AB2096">
        <f t="shared" si="248"/>
        <v>0</v>
      </c>
    </row>
    <row r="2097" spans="1:28" x14ac:dyDescent="0.35">
      <c r="A2097" s="153">
        <v>49796</v>
      </c>
      <c r="B2097" s="155" t="s">
        <v>959</v>
      </c>
      <c r="C2097" s="15" t="s">
        <v>28</v>
      </c>
      <c r="D2097" s="15" t="s">
        <v>29</v>
      </c>
      <c r="E2097" s="199">
        <f>H2096</f>
        <v>0</v>
      </c>
      <c r="F2097" s="199">
        <f>IFERROR(SUMIFS('Demand Inputs'!$DY$5:$DY$202,'Demand Inputs'!$A$5:$A$202,"188mg LP - EU Stock",'Demand Inputs'!$B$5:$B$202,"&lt;&gt;AGGREGATE",'Demand Inputs'!$E$5:$E$202,1),0)</f>
        <v>0</v>
      </c>
      <c r="G2097" s="199" cm="1">
        <f t="array" ref="G2097">IFERROR(SUMPRODUCT(('Production Inputs'!$A:$A="188mg LP - EU Stock")*('Production Inputs'!$B:$B="TOTAL ACTIVE")*'Production Inputs'!$EE:$EE),0)</f>
        <v>0</v>
      </c>
      <c r="H2097" s="199">
        <f t="shared" si="242"/>
        <v>0</v>
      </c>
      <c r="I2097" s="30">
        <f ca="1">IFERROR(AVERAGEIF(OFFSET(F2097,0,0,MIN(Controls!$B$8,COUNTIF(B2097:B$2152,B2097)),1),"&gt;"&amp;0),0)</f>
        <v>0</v>
      </c>
      <c r="J2097" s="38">
        <f t="shared" ca="1" si="243"/>
        <v>0</v>
      </c>
      <c r="K2097" s="30">
        <f t="shared" ca="1" si="244"/>
        <v>0</v>
      </c>
      <c r="L2097" t="str">
        <f t="shared" si="245"/>
        <v>High</v>
      </c>
      <c r="M2097" s="39">
        <f>IFERROR(VLOOKUP("188mg LP - EU Stock",Controls!A:I,7,0),6)</f>
        <v>9</v>
      </c>
      <c r="N2097" s="39">
        <f>IFERROR(VLOOKUP("188mg LP - EU Stock",Controls!A:I,8,0),3)</f>
        <v>8</v>
      </c>
      <c r="O2097" s="39">
        <f>IFERROR(VLOOKUP("188mg LP - EU Stock",Controls!A:I,9,0),18)</f>
        <v>18</v>
      </c>
      <c r="P2097" s="40">
        <f>IFERROR(VLOOKUP("188mg LP - EU Stock",Controls!A:J,5,0),0)</f>
        <v>16200</v>
      </c>
      <c r="Q2097" s="39">
        <f>IFERROR(VLOOKUP("188mg LP - EU Stock",Controls!A:J,6,0),3)</f>
        <v>3</v>
      </c>
      <c r="R2097" s="21" t="str">
        <f>IFERROR(VLOOKUP("188mg LP - EU Stock",Controls!A:K,10,0),"")</f>
        <v>Patheon (L&amp;P EU)</v>
      </c>
      <c r="S2097" s="41">
        <f t="shared" si="246"/>
        <v>49706</v>
      </c>
      <c r="T2097" s="30">
        <f t="shared" si="247"/>
        <v>0</v>
      </c>
      <c r="W2097" s="205" t="str" cm="1">
        <f t="array" ref="W2097">IF(123&lt;Controls!$B$7,TEXT(INDEX(A1974:A2152,MATCH(Controls!$B$5,A1974:A2152,1)+123),"MMM-YY"),"")</f>
        <v/>
      </c>
      <c r="X2097" t="str" cm="1">
        <f t="array" ref="X2097">IF(123&lt;Controls!$B$7,INDEX(F1974:F2152,MATCH(Controls!$B$5,A1974:A2152,1)+123),"")</f>
        <v/>
      </c>
      <c r="Y2097" t="str" cm="1">
        <f t="array" ref="Y2097">IF(123&lt;Controls!$B$7,INDEX(G1974:G2152,MATCH(Controls!$B$5,A1974:A2152,1)+123),"")</f>
        <v/>
      </c>
      <c r="Z2097" t="str" cm="1">
        <f t="array" ref="Z2097">IF(123&lt;Controls!$B$7,INDEX(H1974:H2152,MATCH(Controls!$B$5,A1974:A2152,1)+123),"")</f>
        <v/>
      </c>
      <c r="AA2097" t="str" cm="1">
        <f t="array" ref="AA2097">IF(123&lt;Controls!$B$7,INDEX(M1974:M2152,MATCH(Controls!$B$5,A1974:A2152,1)+123)*INDEX(I1974:I2152,MATCH(Controls!$B$5,A1974:A2152,1)+123),"")</f>
        <v/>
      </c>
      <c r="AB2097">
        <f t="shared" si="248"/>
        <v>0</v>
      </c>
    </row>
    <row r="2098" spans="1:28" x14ac:dyDescent="0.35">
      <c r="A2098" s="153">
        <v>49827</v>
      </c>
      <c r="B2098" s="155" t="s">
        <v>959</v>
      </c>
      <c r="C2098" s="15" t="s">
        <v>28</v>
      </c>
      <c r="D2098" s="15" t="s">
        <v>29</v>
      </c>
      <c r="E2098" s="199">
        <f>H2097</f>
        <v>0</v>
      </c>
      <c r="F2098" s="199">
        <f>IFERROR(SUMIFS('Demand Inputs'!$DZ$5:$DZ$202,'Demand Inputs'!$A$5:$A$202,"188mg LP - EU Stock",'Demand Inputs'!$B$5:$B$202,"&lt;&gt;AGGREGATE",'Demand Inputs'!$E$5:$E$202,1),0)</f>
        <v>0</v>
      </c>
      <c r="G2098" s="199" cm="1">
        <f t="array" ref="G2098">IFERROR(SUMPRODUCT(('Production Inputs'!$A:$A="188mg LP - EU Stock")*('Production Inputs'!$B:$B="TOTAL ACTIVE")*'Production Inputs'!$EF:$EF),0)</f>
        <v>0</v>
      </c>
      <c r="H2098" s="199">
        <f t="shared" si="242"/>
        <v>0</v>
      </c>
      <c r="I2098" s="30">
        <f ca="1">IFERROR(AVERAGEIF(OFFSET(F2098,0,0,MIN(Controls!$B$8,COUNTIF(B2098:B$2152,B2098)),1),"&gt;"&amp;0),0)</f>
        <v>0</v>
      </c>
      <c r="J2098" s="38">
        <f t="shared" ca="1" si="243"/>
        <v>0</v>
      </c>
      <c r="K2098" s="30">
        <f t="shared" ca="1" si="244"/>
        <v>0</v>
      </c>
      <c r="L2098" t="str">
        <f t="shared" si="245"/>
        <v>High</v>
      </c>
      <c r="M2098" s="39">
        <f>IFERROR(VLOOKUP("188mg LP - EU Stock",Controls!A:I,7,0),6)</f>
        <v>9</v>
      </c>
      <c r="N2098" s="39">
        <f>IFERROR(VLOOKUP("188mg LP - EU Stock",Controls!A:I,8,0),3)</f>
        <v>8</v>
      </c>
      <c r="O2098" s="39">
        <f>IFERROR(VLOOKUP("188mg LP - EU Stock",Controls!A:I,9,0),18)</f>
        <v>18</v>
      </c>
      <c r="P2098" s="40">
        <f>IFERROR(VLOOKUP("188mg LP - EU Stock",Controls!A:J,5,0),0)</f>
        <v>16200</v>
      </c>
      <c r="Q2098" s="39">
        <f>IFERROR(VLOOKUP("188mg LP - EU Stock",Controls!A:J,6,0),3)</f>
        <v>3</v>
      </c>
      <c r="R2098" s="21" t="str">
        <f>IFERROR(VLOOKUP("188mg LP - EU Stock",Controls!A:K,10,0),"")</f>
        <v>Patheon (L&amp;P EU)</v>
      </c>
      <c r="S2098" s="41">
        <f t="shared" si="246"/>
        <v>49735</v>
      </c>
      <c r="T2098" s="30">
        <f t="shared" si="247"/>
        <v>0</v>
      </c>
      <c r="W2098" s="205" t="str" cm="1">
        <f t="array" ref="W2098">IF(124&lt;Controls!$B$7,TEXT(INDEX(A1974:A2152,MATCH(Controls!$B$5,A1974:A2152,1)+124),"MMM-YY"),"")</f>
        <v/>
      </c>
      <c r="X2098" t="str" cm="1">
        <f t="array" ref="X2098">IF(124&lt;Controls!$B$7,INDEX(F1974:F2152,MATCH(Controls!$B$5,A1974:A2152,1)+124),"")</f>
        <v/>
      </c>
      <c r="Y2098" t="str" cm="1">
        <f t="array" ref="Y2098">IF(124&lt;Controls!$B$7,INDEX(G1974:G2152,MATCH(Controls!$B$5,A1974:A2152,1)+124),"")</f>
        <v/>
      </c>
      <c r="Z2098" t="str" cm="1">
        <f t="array" ref="Z2098">IF(124&lt;Controls!$B$7,INDEX(H1974:H2152,MATCH(Controls!$B$5,A1974:A2152,1)+124),"")</f>
        <v/>
      </c>
      <c r="AA2098" t="str" cm="1">
        <f t="array" ref="AA2098">IF(124&lt;Controls!$B$7,INDEX(M1974:M2152,MATCH(Controls!$B$5,A1974:A2152,1)+124)*INDEX(I1974:I2152,MATCH(Controls!$B$5,A1974:A2152,1)+124),"")</f>
        <v/>
      </c>
      <c r="AB2098">
        <f t="shared" si="248"/>
        <v>0</v>
      </c>
    </row>
    <row r="2099" spans="1:28" x14ac:dyDescent="0.35">
      <c r="A2099" s="153">
        <v>49857</v>
      </c>
      <c r="B2099" s="155" t="s">
        <v>959</v>
      </c>
      <c r="C2099" s="15" t="s">
        <v>28</v>
      </c>
      <c r="D2099" s="15" t="s">
        <v>29</v>
      </c>
      <c r="E2099" s="199">
        <f>H2098</f>
        <v>0</v>
      </c>
      <c r="F2099" s="199">
        <f>IFERROR(SUMIFS('Demand Inputs'!$EA$5:$EA$202,'Demand Inputs'!$A$5:$A$202,"188mg LP - EU Stock",'Demand Inputs'!$B$5:$B$202,"&lt;&gt;AGGREGATE",'Demand Inputs'!$E$5:$E$202,1),0)</f>
        <v>0</v>
      </c>
      <c r="G2099" s="199" cm="1">
        <f t="array" ref="G2099">IFERROR(SUMPRODUCT(('Production Inputs'!$A:$A="188mg LP - EU Stock")*('Production Inputs'!$B:$B="TOTAL ACTIVE")*'Production Inputs'!$EG:$EG),0)</f>
        <v>0</v>
      </c>
      <c r="H2099" s="199">
        <f t="shared" si="242"/>
        <v>0</v>
      </c>
      <c r="I2099" s="30">
        <f ca="1">IFERROR(AVERAGEIF(OFFSET(F2099,0,0,MIN(Controls!$B$8,COUNTIF(B2099:B$2152,B2099)),1),"&gt;"&amp;0),0)</f>
        <v>0</v>
      </c>
      <c r="J2099" s="38">
        <f t="shared" ca="1" si="243"/>
        <v>0</v>
      </c>
      <c r="K2099" s="30">
        <f t="shared" ca="1" si="244"/>
        <v>0</v>
      </c>
      <c r="L2099" t="str">
        <f t="shared" si="245"/>
        <v>High</v>
      </c>
      <c r="M2099" s="39">
        <f>IFERROR(VLOOKUP("188mg LP - EU Stock",Controls!A:I,7,0),6)</f>
        <v>9</v>
      </c>
      <c r="N2099" s="39">
        <f>IFERROR(VLOOKUP("188mg LP - EU Stock",Controls!A:I,8,0),3)</f>
        <v>8</v>
      </c>
      <c r="O2099" s="39">
        <f>IFERROR(VLOOKUP("188mg LP - EU Stock",Controls!A:I,9,0),18)</f>
        <v>18</v>
      </c>
      <c r="P2099" s="40">
        <f>IFERROR(VLOOKUP("188mg LP - EU Stock",Controls!A:J,5,0),0)</f>
        <v>16200</v>
      </c>
      <c r="Q2099" s="39">
        <f>IFERROR(VLOOKUP("188mg LP - EU Stock",Controls!A:J,6,0),3)</f>
        <v>3</v>
      </c>
      <c r="R2099" s="21" t="str">
        <f>IFERROR(VLOOKUP("188mg LP - EU Stock",Controls!A:K,10,0),"")</f>
        <v>Patheon (L&amp;P EU)</v>
      </c>
      <c r="S2099" s="41">
        <f t="shared" si="246"/>
        <v>49766</v>
      </c>
      <c r="T2099" s="30">
        <f t="shared" si="247"/>
        <v>0</v>
      </c>
      <c r="W2099" s="205" t="str" cm="1">
        <f t="array" ref="W2099">IF(125&lt;Controls!$B$7,TEXT(INDEX(A1974:A2152,MATCH(Controls!$B$5,A1974:A2152,1)+125),"MMM-YY"),"")</f>
        <v/>
      </c>
      <c r="X2099" t="str" cm="1">
        <f t="array" ref="X2099">IF(125&lt;Controls!$B$7,INDEX(F1974:F2152,MATCH(Controls!$B$5,A1974:A2152,1)+125),"")</f>
        <v/>
      </c>
      <c r="Y2099" t="str" cm="1">
        <f t="array" ref="Y2099">IF(125&lt;Controls!$B$7,INDEX(G1974:G2152,MATCH(Controls!$B$5,A1974:A2152,1)+125),"")</f>
        <v/>
      </c>
      <c r="Z2099" t="str" cm="1">
        <f t="array" ref="Z2099">IF(125&lt;Controls!$B$7,INDEX(H1974:H2152,MATCH(Controls!$B$5,A1974:A2152,1)+125),"")</f>
        <v/>
      </c>
      <c r="AA2099" t="str" cm="1">
        <f t="array" ref="AA2099">IF(125&lt;Controls!$B$7,INDEX(M1974:M2152,MATCH(Controls!$B$5,A1974:A2152,1)+125)*INDEX(I1974:I2152,MATCH(Controls!$B$5,A1974:A2152,1)+125),"")</f>
        <v/>
      </c>
      <c r="AB2099">
        <f t="shared" si="248"/>
        <v>0</v>
      </c>
    </row>
    <row r="2100" spans="1:28" x14ac:dyDescent="0.35">
      <c r="A2100" s="153">
        <v>49888</v>
      </c>
      <c r="B2100" s="155" t="s">
        <v>959</v>
      </c>
      <c r="C2100" s="15" t="s">
        <v>28</v>
      </c>
      <c r="D2100" s="15" t="s">
        <v>29</v>
      </c>
      <c r="E2100" s="199">
        <f>H2099</f>
        <v>0</v>
      </c>
      <c r="F2100" s="199">
        <f>IFERROR(SUMIFS('Demand Inputs'!$EB$5:$EB$202,'Demand Inputs'!$A$5:$A$202,"188mg LP - EU Stock",'Demand Inputs'!$B$5:$B$202,"&lt;&gt;AGGREGATE",'Demand Inputs'!$E$5:$E$202,1),0)</f>
        <v>0</v>
      </c>
      <c r="G2100" s="199" cm="1">
        <f t="array" ref="G2100">IFERROR(SUMPRODUCT(('Production Inputs'!$A:$A="188mg LP - EU Stock")*('Production Inputs'!$B:$B="TOTAL ACTIVE")*'Production Inputs'!$EH:$EH),0)</f>
        <v>0</v>
      </c>
      <c r="H2100" s="199">
        <f t="shared" si="242"/>
        <v>0</v>
      </c>
      <c r="I2100" s="30">
        <f ca="1">IFERROR(AVERAGEIF(OFFSET(F2100,0,0,MIN(Controls!$B$8,COUNTIF(B2100:B$2152,B2100)),1),"&gt;"&amp;0),0)</f>
        <v>0</v>
      </c>
      <c r="J2100" s="38">
        <f t="shared" ca="1" si="243"/>
        <v>0</v>
      </c>
      <c r="K2100" s="30">
        <f t="shared" ca="1" si="244"/>
        <v>0</v>
      </c>
      <c r="L2100" t="str">
        <f t="shared" si="245"/>
        <v>High</v>
      </c>
      <c r="M2100" s="39">
        <f>IFERROR(VLOOKUP("188mg LP - EU Stock",Controls!A:I,7,0),6)</f>
        <v>9</v>
      </c>
      <c r="N2100" s="39">
        <f>IFERROR(VLOOKUP("188mg LP - EU Stock",Controls!A:I,8,0),3)</f>
        <v>8</v>
      </c>
      <c r="O2100" s="39">
        <f>IFERROR(VLOOKUP("188mg LP - EU Stock",Controls!A:I,9,0),18)</f>
        <v>18</v>
      </c>
      <c r="P2100" s="40">
        <f>IFERROR(VLOOKUP("188mg LP - EU Stock",Controls!A:J,5,0),0)</f>
        <v>16200</v>
      </c>
      <c r="Q2100" s="39">
        <f>IFERROR(VLOOKUP("188mg LP - EU Stock",Controls!A:J,6,0),3)</f>
        <v>3</v>
      </c>
      <c r="R2100" s="21" t="str">
        <f>IFERROR(VLOOKUP("188mg LP - EU Stock",Controls!A:K,10,0),"")</f>
        <v>Patheon (L&amp;P EU)</v>
      </c>
      <c r="S2100" s="41">
        <f t="shared" si="246"/>
        <v>49796</v>
      </c>
      <c r="T2100" s="30">
        <f t="shared" si="247"/>
        <v>0</v>
      </c>
      <c r="W2100" s="205" t="str" cm="1">
        <f t="array" ref="W2100">IF(126&lt;Controls!$B$7,TEXT(INDEX(A1974:A2152,MATCH(Controls!$B$5,A1974:A2152,1)+126),"MMM-YY"),"")</f>
        <v/>
      </c>
      <c r="X2100" t="str" cm="1">
        <f t="array" ref="X2100">IF(126&lt;Controls!$B$7,INDEX(F1974:F2152,MATCH(Controls!$B$5,A1974:A2152,1)+126),"")</f>
        <v/>
      </c>
      <c r="Y2100" t="str" cm="1">
        <f t="array" ref="Y2100">IF(126&lt;Controls!$B$7,INDEX(G1974:G2152,MATCH(Controls!$B$5,A1974:A2152,1)+126),"")</f>
        <v/>
      </c>
      <c r="Z2100" t="str" cm="1">
        <f t="array" ref="Z2100">IF(126&lt;Controls!$B$7,INDEX(H1974:H2152,MATCH(Controls!$B$5,A1974:A2152,1)+126),"")</f>
        <v/>
      </c>
      <c r="AA2100" t="str" cm="1">
        <f t="array" ref="AA2100">IF(126&lt;Controls!$B$7,INDEX(M1974:M2152,MATCH(Controls!$B$5,A1974:A2152,1)+126)*INDEX(I1974:I2152,MATCH(Controls!$B$5,A1974:A2152,1)+126),"")</f>
        <v/>
      </c>
      <c r="AB2100">
        <f t="shared" si="248"/>
        <v>0</v>
      </c>
    </row>
    <row r="2101" spans="1:28" x14ac:dyDescent="0.35">
      <c r="A2101" s="153">
        <v>49919</v>
      </c>
      <c r="B2101" s="155" t="s">
        <v>959</v>
      </c>
      <c r="C2101" s="15" t="s">
        <v>28</v>
      </c>
      <c r="D2101" s="15" t="s">
        <v>29</v>
      </c>
      <c r="E2101" s="199">
        <f>H2100</f>
        <v>0</v>
      </c>
      <c r="F2101" s="199">
        <f>IFERROR(SUMIFS('Demand Inputs'!$EC$5:$EC$202,'Demand Inputs'!$A$5:$A$202,"188mg LP - EU Stock",'Demand Inputs'!$B$5:$B$202,"&lt;&gt;AGGREGATE",'Demand Inputs'!$E$5:$E$202,1),0)</f>
        <v>0</v>
      </c>
      <c r="G2101" s="199" cm="1">
        <f t="array" ref="G2101">IFERROR(SUMPRODUCT(('Production Inputs'!$A:$A="188mg LP - EU Stock")*('Production Inputs'!$B:$B="TOTAL ACTIVE")*'Production Inputs'!$EI:$EI),0)</f>
        <v>0</v>
      </c>
      <c r="H2101" s="199">
        <f t="shared" si="242"/>
        <v>0</v>
      </c>
      <c r="I2101" s="30">
        <f ca="1">IFERROR(AVERAGEIF(OFFSET(F2101,0,0,MIN(Controls!$B$8,COUNTIF(B2101:B$2152,B2101)),1),"&gt;"&amp;0),0)</f>
        <v>0</v>
      </c>
      <c r="J2101" s="38">
        <f t="shared" ca="1" si="243"/>
        <v>0</v>
      </c>
      <c r="K2101" s="30">
        <f t="shared" ca="1" si="244"/>
        <v>0</v>
      </c>
      <c r="L2101" t="str">
        <f t="shared" si="245"/>
        <v>High</v>
      </c>
      <c r="M2101" s="39">
        <f>IFERROR(VLOOKUP("188mg LP - EU Stock",Controls!A:I,7,0),6)</f>
        <v>9</v>
      </c>
      <c r="N2101" s="39">
        <f>IFERROR(VLOOKUP("188mg LP - EU Stock",Controls!A:I,8,0),3)</f>
        <v>8</v>
      </c>
      <c r="O2101" s="39">
        <f>IFERROR(VLOOKUP("188mg LP - EU Stock",Controls!A:I,9,0),18)</f>
        <v>18</v>
      </c>
      <c r="P2101" s="40">
        <f>IFERROR(VLOOKUP("188mg LP - EU Stock",Controls!A:J,5,0),0)</f>
        <v>16200</v>
      </c>
      <c r="Q2101" s="39">
        <f>IFERROR(VLOOKUP("188mg LP - EU Stock",Controls!A:J,6,0),3)</f>
        <v>3</v>
      </c>
      <c r="R2101" s="21" t="str">
        <f>IFERROR(VLOOKUP("188mg LP - EU Stock",Controls!A:K,10,0),"")</f>
        <v>Patheon (L&amp;P EU)</v>
      </c>
      <c r="S2101" s="41">
        <f t="shared" si="246"/>
        <v>49827</v>
      </c>
      <c r="T2101" s="30">
        <f t="shared" si="247"/>
        <v>0</v>
      </c>
      <c r="W2101" s="205" t="str" cm="1">
        <f t="array" ref="W2101">IF(127&lt;Controls!$B$7,TEXT(INDEX(A1974:A2152,MATCH(Controls!$B$5,A1974:A2152,1)+127),"MMM-YY"),"")</f>
        <v/>
      </c>
      <c r="X2101" t="str" cm="1">
        <f t="array" ref="X2101">IF(127&lt;Controls!$B$7,INDEX(F1974:F2152,MATCH(Controls!$B$5,A1974:A2152,1)+127),"")</f>
        <v/>
      </c>
      <c r="Y2101" t="str" cm="1">
        <f t="array" ref="Y2101">IF(127&lt;Controls!$B$7,INDEX(G1974:G2152,MATCH(Controls!$B$5,A1974:A2152,1)+127),"")</f>
        <v/>
      </c>
      <c r="Z2101" t="str" cm="1">
        <f t="array" ref="Z2101">IF(127&lt;Controls!$B$7,INDEX(H1974:H2152,MATCH(Controls!$B$5,A1974:A2152,1)+127),"")</f>
        <v/>
      </c>
      <c r="AA2101" t="str" cm="1">
        <f t="array" ref="AA2101">IF(127&lt;Controls!$B$7,INDEX(M1974:M2152,MATCH(Controls!$B$5,A1974:A2152,1)+127)*INDEX(I1974:I2152,MATCH(Controls!$B$5,A1974:A2152,1)+127),"")</f>
        <v/>
      </c>
      <c r="AB2101">
        <f t="shared" si="248"/>
        <v>0</v>
      </c>
    </row>
    <row r="2102" spans="1:28" x14ac:dyDescent="0.35">
      <c r="A2102" s="153">
        <v>49949</v>
      </c>
      <c r="B2102" s="155" t="s">
        <v>959</v>
      </c>
      <c r="C2102" s="15" t="s">
        <v>28</v>
      </c>
      <c r="D2102" s="15" t="s">
        <v>29</v>
      </c>
      <c r="E2102" s="199">
        <f>H2101</f>
        <v>0</v>
      </c>
      <c r="F2102" s="199">
        <f>IFERROR(SUMIFS('Demand Inputs'!$ED$5:$ED$202,'Demand Inputs'!$A$5:$A$202,"188mg LP - EU Stock",'Demand Inputs'!$B$5:$B$202,"&lt;&gt;AGGREGATE",'Demand Inputs'!$E$5:$E$202,1),0)</f>
        <v>0</v>
      </c>
      <c r="G2102" s="199" cm="1">
        <f t="array" ref="G2102">IFERROR(SUMPRODUCT(('Production Inputs'!$A:$A="188mg LP - EU Stock")*('Production Inputs'!$B:$B="TOTAL ACTIVE")*'Production Inputs'!$EJ:$EJ),0)</f>
        <v>0</v>
      </c>
      <c r="H2102" s="199">
        <f t="shared" ref="H2102:H2165" si="249">E2102+G2102-F2102</f>
        <v>0</v>
      </c>
      <c r="I2102" s="30">
        <f ca="1">IFERROR(AVERAGEIF(OFFSET(F2102,0,0,MIN(Controls!$B$8,COUNTIF(B2102:B$2152,B2102)),1),"&gt;"&amp;0),0)</f>
        <v>0</v>
      </c>
      <c r="J2102" s="38">
        <f t="shared" ref="J2102:J2165" ca="1" si="250">IFERROR(H2102/I2102,IF(H2102&gt;0,999,0))</f>
        <v>0</v>
      </c>
      <c r="K2102" s="30">
        <f t="shared" ref="K2102:K2165" ca="1" si="251">IFERROR(IF(H2102&lt;(N2102*I2102), CEILING(MAX(0,ROUND((M2102*I2102-H2102)/P2102,0)*P2102),P2102), 0), 0)</f>
        <v>0</v>
      </c>
      <c r="L2102" t="str">
        <f t="shared" ref="L2102:L2165" si="252">IF(H2102&lt;=0,"High",IF(J2102&lt;N2102,"High",IF(J2102&lt;M2102,"Medium",IF(J2102&gt;O2102,"Overstock","Low"))))</f>
        <v>High</v>
      </c>
      <c r="M2102" s="39">
        <f>IFERROR(VLOOKUP("188mg LP - EU Stock",Controls!A:I,7,0),6)</f>
        <v>9</v>
      </c>
      <c r="N2102" s="39">
        <f>IFERROR(VLOOKUP("188mg LP - EU Stock",Controls!A:I,8,0),3)</f>
        <v>8</v>
      </c>
      <c r="O2102" s="39">
        <f>IFERROR(VLOOKUP("188mg LP - EU Stock",Controls!A:I,9,0),18)</f>
        <v>18</v>
      </c>
      <c r="P2102" s="40">
        <f>IFERROR(VLOOKUP("188mg LP - EU Stock",Controls!A:J,5,0),0)</f>
        <v>16200</v>
      </c>
      <c r="Q2102" s="39">
        <f>IFERROR(VLOOKUP("188mg LP - EU Stock",Controls!A:J,6,0),3)</f>
        <v>3</v>
      </c>
      <c r="R2102" s="21" t="str">
        <f>IFERROR(VLOOKUP("188mg LP - EU Stock",Controls!A:K,10,0),"")</f>
        <v>Patheon (L&amp;P EU)</v>
      </c>
      <c r="S2102" s="41">
        <f t="shared" ref="S2102:S2165" si="253">IFERROR(EDATE(A2102,-Q2102),"")</f>
        <v>49857</v>
      </c>
      <c r="T2102" s="30">
        <f t="shared" ref="T2102:T2165" si="254">G2102</f>
        <v>0</v>
      </c>
      <c r="W2102" s="205" t="str" cm="1">
        <f t="array" ref="W2102">IF(128&lt;Controls!$B$7,TEXT(INDEX(A1974:A2152,MATCH(Controls!$B$5,A1974:A2152,1)+128),"MMM-YY"),"")</f>
        <v/>
      </c>
      <c r="X2102" t="str" cm="1">
        <f t="array" ref="X2102">IF(128&lt;Controls!$B$7,INDEX(F1974:F2152,MATCH(Controls!$B$5,A1974:A2152,1)+128),"")</f>
        <v/>
      </c>
      <c r="Y2102" t="str" cm="1">
        <f t="array" ref="Y2102">IF(128&lt;Controls!$B$7,INDEX(G1974:G2152,MATCH(Controls!$B$5,A1974:A2152,1)+128),"")</f>
        <v/>
      </c>
      <c r="Z2102" t="str" cm="1">
        <f t="array" ref="Z2102">IF(128&lt;Controls!$B$7,INDEX(H1974:H2152,MATCH(Controls!$B$5,A1974:A2152,1)+128),"")</f>
        <v/>
      </c>
      <c r="AA2102" t="str" cm="1">
        <f t="array" ref="AA2102">IF(128&lt;Controls!$B$7,INDEX(M1974:M2152,MATCH(Controls!$B$5,A1974:A2152,1)+128)*INDEX(I1974:I2152,MATCH(Controls!$B$5,A1974:A2152,1)+128),"")</f>
        <v/>
      </c>
      <c r="AB2102">
        <f t="shared" si="248"/>
        <v>0</v>
      </c>
    </row>
    <row r="2103" spans="1:28" x14ac:dyDescent="0.35">
      <c r="A2103" s="153">
        <v>49980</v>
      </c>
      <c r="B2103" s="155" t="s">
        <v>959</v>
      </c>
      <c r="C2103" s="15" t="s">
        <v>28</v>
      </c>
      <c r="D2103" s="15" t="s">
        <v>29</v>
      </c>
      <c r="E2103" s="199">
        <f>H2102</f>
        <v>0</v>
      </c>
      <c r="F2103" s="199">
        <f>IFERROR(SUMIFS('Demand Inputs'!$EE$5:$EE$202,'Demand Inputs'!$A$5:$A$202,"188mg LP - EU Stock",'Demand Inputs'!$B$5:$B$202,"&lt;&gt;AGGREGATE",'Demand Inputs'!$E$5:$E$202,1),0)</f>
        <v>0</v>
      </c>
      <c r="G2103" s="199" cm="1">
        <f t="array" ref="G2103">IFERROR(SUMPRODUCT(('Production Inputs'!$A:$A="188mg LP - EU Stock")*('Production Inputs'!$B:$B="TOTAL ACTIVE")*'Production Inputs'!$EK:$EK),0)</f>
        <v>0</v>
      </c>
      <c r="H2103" s="199">
        <f t="shared" si="249"/>
        <v>0</v>
      </c>
      <c r="I2103" s="30">
        <f ca="1">IFERROR(AVERAGEIF(OFFSET(F2103,0,0,MIN(Controls!$B$8,COUNTIF(B2103:B$2152,B2103)),1),"&gt;"&amp;0),0)</f>
        <v>0</v>
      </c>
      <c r="J2103" s="38">
        <f t="shared" ca="1" si="250"/>
        <v>0</v>
      </c>
      <c r="K2103" s="30">
        <f t="shared" ca="1" si="251"/>
        <v>0</v>
      </c>
      <c r="L2103" t="str">
        <f t="shared" si="252"/>
        <v>High</v>
      </c>
      <c r="M2103" s="39">
        <f>IFERROR(VLOOKUP("188mg LP - EU Stock",Controls!A:I,7,0),6)</f>
        <v>9</v>
      </c>
      <c r="N2103" s="39">
        <f>IFERROR(VLOOKUP("188mg LP - EU Stock",Controls!A:I,8,0),3)</f>
        <v>8</v>
      </c>
      <c r="O2103" s="39">
        <f>IFERROR(VLOOKUP("188mg LP - EU Stock",Controls!A:I,9,0),18)</f>
        <v>18</v>
      </c>
      <c r="P2103" s="40">
        <f>IFERROR(VLOOKUP("188mg LP - EU Stock",Controls!A:J,5,0),0)</f>
        <v>16200</v>
      </c>
      <c r="Q2103" s="39">
        <f>IFERROR(VLOOKUP("188mg LP - EU Stock",Controls!A:J,6,0),3)</f>
        <v>3</v>
      </c>
      <c r="R2103" s="21" t="str">
        <f>IFERROR(VLOOKUP("188mg LP - EU Stock",Controls!A:K,10,0),"")</f>
        <v>Patheon (L&amp;P EU)</v>
      </c>
      <c r="S2103" s="41">
        <f t="shared" si="253"/>
        <v>49888</v>
      </c>
      <c r="T2103" s="30">
        <f t="shared" si="254"/>
        <v>0</v>
      </c>
      <c r="W2103" s="205" t="str" cm="1">
        <f t="array" ref="W2103">IF(129&lt;Controls!$B$7,TEXT(INDEX(A1974:A2152,MATCH(Controls!$B$5,A1974:A2152,1)+129),"MMM-YY"),"")</f>
        <v/>
      </c>
      <c r="X2103" t="str" cm="1">
        <f t="array" ref="X2103">IF(129&lt;Controls!$B$7,INDEX(F1974:F2152,MATCH(Controls!$B$5,A1974:A2152,1)+129),"")</f>
        <v/>
      </c>
      <c r="Y2103" t="str" cm="1">
        <f t="array" ref="Y2103">IF(129&lt;Controls!$B$7,INDEX(G1974:G2152,MATCH(Controls!$B$5,A1974:A2152,1)+129),"")</f>
        <v/>
      </c>
      <c r="Z2103" t="str" cm="1">
        <f t="array" ref="Z2103">IF(129&lt;Controls!$B$7,INDEX(H1974:H2152,MATCH(Controls!$B$5,A1974:A2152,1)+129),"")</f>
        <v/>
      </c>
      <c r="AA2103" t="str" cm="1">
        <f t="array" ref="AA2103">IF(129&lt;Controls!$B$7,INDEX(M1974:M2152,MATCH(Controls!$B$5,A1974:A2152,1)+129)*INDEX(I1974:I2152,MATCH(Controls!$B$5,A1974:A2152,1)+129),"")</f>
        <v/>
      </c>
      <c r="AB2103">
        <f t="shared" si="248"/>
        <v>0</v>
      </c>
    </row>
    <row r="2104" spans="1:28" x14ac:dyDescent="0.35">
      <c r="A2104" s="153">
        <v>50010</v>
      </c>
      <c r="B2104" s="155" t="s">
        <v>959</v>
      </c>
      <c r="C2104" s="15" t="s">
        <v>28</v>
      </c>
      <c r="D2104" s="15" t="s">
        <v>29</v>
      </c>
      <c r="E2104" s="199">
        <f>H2103</f>
        <v>0</v>
      </c>
      <c r="F2104" s="199">
        <f>IFERROR(SUMIFS('Demand Inputs'!$EF$5:$EF$202,'Demand Inputs'!$A$5:$A$202,"188mg LP - EU Stock",'Demand Inputs'!$B$5:$B$202,"&lt;&gt;AGGREGATE",'Demand Inputs'!$E$5:$E$202,1),0)</f>
        <v>0</v>
      </c>
      <c r="G2104" s="199" cm="1">
        <f t="array" ref="G2104">IFERROR(SUMPRODUCT(('Production Inputs'!$A:$A="188mg LP - EU Stock")*('Production Inputs'!$B:$B="TOTAL ACTIVE")*'Production Inputs'!$EL:$EL),0)</f>
        <v>0</v>
      </c>
      <c r="H2104" s="199">
        <f t="shared" si="249"/>
        <v>0</v>
      </c>
      <c r="I2104" s="30">
        <f ca="1">IFERROR(AVERAGEIF(OFFSET(F2104,0,0,MIN(Controls!$B$8,COUNTIF(B2104:B$2152,B2104)),1),"&gt;"&amp;0),0)</f>
        <v>0</v>
      </c>
      <c r="J2104" s="38">
        <f t="shared" ca="1" si="250"/>
        <v>0</v>
      </c>
      <c r="K2104" s="30">
        <f t="shared" ca="1" si="251"/>
        <v>0</v>
      </c>
      <c r="L2104" t="str">
        <f t="shared" si="252"/>
        <v>High</v>
      </c>
      <c r="M2104" s="39">
        <f>IFERROR(VLOOKUP("188mg LP - EU Stock",Controls!A:I,7,0),6)</f>
        <v>9</v>
      </c>
      <c r="N2104" s="39">
        <f>IFERROR(VLOOKUP("188mg LP - EU Stock",Controls!A:I,8,0),3)</f>
        <v>8</v>
      </c>
      <c r="O2104" s="39">
        <f>IFERROR(VLOOKUP("188mg LP - EU Stock",Controls!A:I,9,0),18)</f>
        <v>18</v>
      </c>
      <c r="P2104" s="40">
        <f>IFERROR(VLOOKUP("188mg LP - EU Stock",Controls!A:J,5,0),0)</f>
        <v>16200</v>
      </c>
      <c r="Q2104" s="39">
        <f>IFERROR(VLOOKUP("188mg LP - EU Stock",Controls!A:J,6,0),3)</f>
        <v>3</v>
      </c>
      <c r="R2104" s="21" t="str">
        <f>IFERROR(VLOOKUP("188mg LP - EU Stock",Controls!A:K,10,0),"")</f>
        <v>Patheon (L&amp;P EU)</v>
      </c>
      <c r="S2104" s="41">
        <f t="shared" si="253"/>
        <v>49919</v>
      </c>
      <c r="T2104" s="30">
        <f t="shared" si="254"/>
        <v>0</v>
      </c>
      <c r="W2104" s="205" t="str" cm="1">
        <f t="array" ref="W2104">IF(130&lt;Controls!$B$7,TEXT(INDEX(A1974:A2152,MATCH(Controls!$B$5,A1974:A2152,1)+130),"MMM-YY"),"")</f>
        <v/>
      </c>
      <c r="X2104" t="str" cm="1">
        <f t="array" ref="X2104">IF(130&lt;Controls!$B$7,INDEX(F1974:F2152,MATCH(Controls!$B$5,A1974:A2152,1)+130),"")</f>
        <v/>
      </c>
      <c r="Y2104" t="str" cm="1">
        <f t="array" ref="Y2104">IF(130&lt;Controls!$B$7,INDEX(G1974:G2152,MATCH(Controls!$B$5,A1974:A2152,1)+130),"")</f>
        <v/>
      </c>
      <c r="Z2104" t="str" cm="1">
        <f t="array" ref="Z2104">IF(130&lt;Controls!$B$7,INDEX(H1974:H2152,MATCH(Controls!$B$5,A1974:A2152,1)+130),"")</f>
        <v/>
      </c>
      <c r="AA2104" t="str" cm="1">
        <f t="array" ref="AA2104">IF(130&lt;Controls!$B$7,INDEX(M1974:M2152,MATCH(Controls!$B$5,A1974:A2152,1)+130)*INDEX(I1974:I2152,MATCH(Controls!$B$5,A1974:A2152,1)+130),"")</f>
        <v/>
      </c>
      <c r="AB2104">
        <f t="shared" si="248"/>
        <v>0</v>
      </c>
    </row>
    <row r="2105" spans="1:28" x14ac:dyDescent="0.35">
      <c r="A2105" s="153">
        <v>50041</v>
      </c>
      <c r="B2105" s="155" t="s">
        <v>959</v>
      </c>
      <c r="C2105" s="15" t="s">
        <v>28</v>
      </c>
      <c r="D2105" s="15" t="s">
        <v>29</v>
      </c>
      <c r="E2105" s="199">
        <f>H2104</f>
        <v>0</v>
      </c>
      <c r="F2105" s="199">
        <f>IFERROR(SUMIFS('Demand Inputs'!$EG$5:$EG$202,'Demand Inputs'!$A$5:$A$202,"188mg LP - EU Stock",'Demand Inputs'!$B$5:$B$202,"&lt;&gt;AGGREGATE",'Demand Inputs'!$E$5:$E$202,1),0)</f>
        <v>0</v>
      </c>
      <c r="G2105" s="199" cm="1">
        <f t="array" ref="G2105">IFERROR(SUMPRODUCT(('Production Inputs'!$A:$A="188mg LP - EU Stock")*('Production Inputs'!$B:$B="TOTAL ACTIVE")*'Production Inputs'!$EM:$EM),0)</f>
        <v>0</v>
      </c>
      <c r="H2105" s="199">
        <f t="shared" si="249"/>
        <v>0</v>
      </c>
      <c r="I2105" s="30">
        <f ca="1">IFERROR(AVERAGEIF(OFFSET(F2105,0,0,MIN(Controls!$B$8,COUNTIF(B2105:B$2152,B2105)),1),"&gt;"&amp;0),0)</f>
        <v>0</v>
      </c>
      <c r="J2105" s="38">
        <f t="shared" ca="1" si="250"/>
        <v>0</v>
      </c>
      <c r="K2105" s="30">
        <f t="shared" ca="1" si="251"/>
        <v>0</v>
      </c>
      <c r="L2105" t="str">
        <f t="shared" si="252"/>
        <v>High</v>
      </c>
      <c r="M2105" s="39">
        <f>IFERROR(VLOOKUP("188mg LP - EU Stock",Controls!A:I,7,0),6)</f>
        <v>9</v>
      </c>
      <c r="N2105" s="39">
        <f>IFERROR(VLOOKUP("188mg LP - EU Stock",Controls!A:I,8,0),3)</f>
        <v>8</v>
      </c>
      <c r="O2105" s="39">
        <f>IFERROR(VLOOKUP("188mg LP - EU Stock",Controls!A:I,9,0),18)</f>
        <v>18</v>
      </c>
      <c r="P2105" s="40">
        <f>IFERROR(VLOOKUP("188mg LP - EU Stock",Controls!A:J,5,0),0)</f>
        <v>16200</v>
      </c>
      <c r="Q2105" s="39">
        <f>IFERROR(VLOOKUP("188mg LP - EU Stock",Controls!A:J,6,0),3)</f>
        <v>3</v>
      </c>
      <c r="R2105" s="21" t="str">
        <f>IFERROR(VLOOKUP("188mg LP - EU Stock",Controls!A:K,10,0),"")</f>
        <v>Patheon (L&amp;P EU)</v>
      </c>
      <c r="S2105" s="41">
        <f t="shared" si="253"/>
        <v>49949</v>
      </c>
      <c r="T2105" s="30">
        <f t="shared" si="254"/>
        <v>0</v>
      </c>
      <c r="W2105" s="205" t="str" cm="1">
        <f t="array" ref="W2105">IF(131&lt;Controls!$B$7,TEXT(INDEX(A1974:A2152,MATCH(Controls!$B$5,A1974:A2152,1)+131),"MMM-YY"),"")</f>
        <v/>
      </c>
      <c r="X2105" t="str" cm="1">
        <f t="array" ref="X2105">IF(131&lt;Controls!$B$7,INDEX(F1974:F2152,MATCH(Controls!$B$5,A1974:A2152,1)+131),"")</f>
        <v/>
      </c>
      <c r="Y2105" t="str" cm="1">
        <f t="array" ref="Y2105">IF(131&lt;Controls!$B$7,INDEX(G1974:G2152,MATCH(Controls!$B$5,A1974:A2152,1)+131),"")</f>
        <v/>
      </c>
      <c r="Z2105" t="str" cm="1">
        <f t="array" ref="Z2105">IF(131&lt;Controls!$B$7,INDEX(H1974:H2152,MATCH(Controls!$B$5,A1974:A2152,1)+131),"")</f>
        <v/>
      </c>
      <c r="AA2105" t="str" cm="1">
        <f t="array" ref="AA2105">IF(131&lt;Controls!$B$7,INDEX(M1974:M2152,MATCH(Controls!$B$5,A1974:A2152,1)+131)*INDEX(I1974:I2152,MATCH(Controls!$B$5,A1974:A2152,1)+131),"")</f>
        <v/>
      </c>
      <c r="AB2105">
        <f t="shared" si="248"/>
        <v>0</v>
      </c>
    </row>
    <row r="2106" spans="1:28" x14ac:dyDescent="0.35">
      <c r="A2106" s="153">
        <v>50072</v>
      </c>
      <c r="B2106" s="155" t="s">
        <v>959</v>
      </c>
      <c r="C2106" s="15" t="s">
        <v>28</v>
      </c>
      <c r="D2106" s="15" t="s">
        <v>29</v>
      </c>
      <c r="E2106" s="199">
        <f>H2105</f>
        <v>0</v>
      </c>
      <c r="F2106" s="199">
        <f>IFERROR(SUMIFS('Demand Inputs'!$EH$5:$EH$202,'Demand Inputs'!$A$5:$A$202,"188mg LP - EU Stock",'Demand Inputs'!$B$5:$B$202,"&lt;&gt;AGGREGATE",'Demand Inputs'!$E$5:$E$202,1),0)</f>
        <v>0</v>
      </c>
      <c r="G2106" s="199" cm="1">
        <f t="array" ref="G2106">IFERROR(SUMPRODUCT(('Production Inputs'!$A:$A="188mg LP - EU Stock")*('Production Inputs'!$B:$B="TOTAL ACTIVE")*'Production Inputs'!$EN:$EN),0)</f>
        <v>0</v>
      </c>
      <c r="H2106" s="199">
        <f t="shared" si="249"/>
        <v>0</v>
      </c>
      <c r="I2106" s="30">
        <f ca="1">IFERROR(AVERAGEIF(OFFSET(F2106,0,0,MIN(Controls!$B$8,COUNTIF(B2106:B$2152,B2106)),1),"&gt;"&amp;0),0)</f>
        <v>0</v>
      </c>
      <c r="J2106" s="38">
        <f t="shared" ca="1" si="250"/>
        <v>0</v>
      </c>
      <c r="K2106" s="30">
        <f t="shared" ca="1" si="251"/>
        <v>0</v>
      </c>
      <c r="L2106" t="str">
        <f t="shared" si="252"/>
        <v>High</v>
      </c>
      <c r="M2106" s="39">
        <f>IFERROR(VLOOKUP("188mg LP - EU Stock",Controls!A:I,7,0),6)</f>
        <v>9</v>
      </c>
      <c r="N2106" s="39">
        <f>IFERROR(VLOOKUP("188mg LP - EU Stock",Controls!A:I,8,0),3)</f>
        <v>8</v>
      </c>
      <c r="O2106" s="39">
        <f>IFERROR(VLOOKUP("188mg LP - EU Stock",Controls!A:I,9,0),18)</f>
        <v>18</v>
      </c>
      <c r="P2106" s="40">
        <f>IFERROR(VLOOKUP("188mg LP - EU Stock",Controls!A:J,5,0),0)</f>
        <v>16200</v>
      </c>
      <c r="Q2106" s="39">
        <f>IFERROR(VLOOKUP("188mg LP - EU Stock",Controls!A:J,6,0),3)</f>
        <v>3</v>
      </c>
      <c r="R2106" s="21" t="str">
        <f>IFERROR(VLOOKUP("188mg LP - EU Stock",Controls!A:K,10,0),"")</f>
        <v>Patheon (L&amp;P EU)</v>
      </c>
      <c r="S2106" s="41">
        <f t="shared" si="253"/>
        <v>49980</v>
      </c>
      <c r="T2106" s="30">
        <f t="shared" si="254"/>
        <v>0</v>
      </c>
      <c r="W2106" s="205" t="str" cm="1">
        <f t="array" ref="W2106">IF(132&lt;Controls!$B$7,TEXT(INDEX(A1974:A2152,MATCH(Controls!$B$5,A1974:A2152,1)+132),"MMM-YY"),"")</f>
        <v/>
      </c>
      <c r="X2106" t="str" cm="1">
        <f t="array" ref="X2106">IF(132&lt;Controls!$B$7,INDEX(F1974:F2152,MATCH(Controls!$B$5,A1974:A2152,1)+132),"")</f>
        <v/>
      </c>
      <c r="Y2106" t="str" cm="1">
        <f t="array" ref="Y2106">IF(132&lt;Controls!$B$7,INDEX(G1974:G2152,MATCH(Controls!$B$5,A1974:A2152,1)+132),"")</f>
        <v/>
      </c>
      <c r="Z2106" t="str" cm="1">
        <f t="array" ref="Z2106">IF(132&lt;Controls!$B$7,INDEX(H1974:H2152,MATCH(Controls!$B$5,A1974:A2152,1)+132),"")</f>
        <v/>
      </c>
      <c r="AA2106" t="str" cm="1">
        <f t="array" ref="AA2106">IF(132&lt;Controls!$B$7,INDEX(M1974:M2152,MATCH(Controls!$B$5,A1974:A2152,1)+132)*INDEX(I1974:I2152,MATCH(Controls!$B$5,A1974:A2152,1)+132),"")</f>
        <v/>
      </c>
      <c r="AB2106">
        <f t="shared" si="248"/>
        <v>0</v>
      </c>
    </row>
    <row r="2107" spans="1:28" x14ac:dyDescent="0.35">
      <c r="A2107" s="153">
        <v>50100</v>
      </c>
      <c r="B2107" s="155" t="s">
        <v>959</v>
      </c>
      <c r="C2107" s="15" t="s">
        <v>28</v>
      </c>
      <c r="D2107" s="15" t="s">
        <v>29</v>
      </c>
      <c r="E2107" s="199">
        <f>H2106</f>
        <v>0</v>
      </c>
      <c r="F2107" s="199">
        <f>IFERROR(SUMIFS('Demand Inputs'!$EI$5:$EI$202,'Demand Inputs'!$A$5:$A$202,"188mg LP - EU Stock",'Demand Inputs'!$B$5:$B$202,"&lt;&gt;AGGREGATE",'Demand Inputs'!$E$5:$E$202,1),0)</f>
        <v>0</v>
      </c>
      <c r="G2107" s="199" cm="1">
        <f t="array" ref="G2107">IFERROR(SUMPRODUCT(('Production Inputs'!$A:$A="188mg LP - EU Stock")*('Production Inputs'!$B:$B="TOTAL ACTIVE")*'Production Inputs'!$EO:$EO),0)</f>
        <v>0</v>
      </c>
      <c r="H2107" s="199">
        <f t="shared" si="249"/>
        <v>0</v>
      </c>
      <c r="I2107" s="30">
        <f ca="1">IFERROR(AVERAGEIF(OFFSET(F2107,0,0,MIN(Controls!$B$8,COUNTIF(B2107:B$2152,B2107)),1),"&gt;"&amp;0),0)</f>
        <v>0</v>
      </c>
      <c r="J2107" s="38">
        <f t="shared" ca="1" si="250"/>
        <v>0</v>
      </c>
      <c r="K2107" s="30">
        <f t="shared" ca="1" si="251"/>
        <v>0</v>
      </c>
      <c r="L2107" t="str">
        <f t="shared" si="252"/>
        <v>High</v>
      </c>
      <c r="M2107" s="39">
        <f>IFERROR(VLOOKUP("188mg LP - EU Stock",Controls!A:I,7,0),6)</f>
        <v>9</v>
      </c>
      <c r="N2107" s="39">
        <f>IFERROR(VLOOKUP("188mg LP - EU Stock",Controls!A:I,8,0),3)</f>
        <v>8</v>
      </c>
      <c r="O2107" s="39">
        <f>IFERROR(VLOOKUP("188mg LP - EU Stock",Controls!A:I,9,0),18)</f>
        <v>18</v>
      </c>
      <c r="P2107" s="40">
        <f>IFERROR(VLOOKUP("188mg LP - EU Stock",Controls!A:J,5,0),0)</f>
        <v>16200</v>
      </c>
      <c r="Q2107" s="39">
        <f>IFERROR(VLOOKUP("188mg LP - EU Stock",Controls!A:J,6,0),3)</f>
        <v>3</v>
      </c>
      <c r="R2107" s="21" t="str">
        <f>IFERROR(VLOOKUP("188mg LP - EU Stock",Controls!A:K,10,0),"")</f>
        <v>Patheon (L&amp;P EU)</v>
      </c>
      <c r="S2107" s="41">
        <f t="shared" si="253"/>
        <v>50010</v>
      </c>
      <c r="T2107" s="30">
        <f t="shared" si="254"/>
        <v>0</v>
      </c>
      <c r="W2107" s="205" t="str" cm="1">
        <f t="array" ref="W2107">IF(133&lt;Controls!$B$7,TEXT(INDEX(A1974:A2152,MATCH(Controls!$B$5,A1974:A2152,1)+133),"MMM-YY"),"")</f>
        <v/>
      </c>
      <c r="X2107" t="str" cm="1">
        <f t="array" ref="X2107">IF(133&lt;Controls!$B$7,INDEX(F1974:F2152,MATCH(Controls!$B$5,A1974:A2152,1)+133),"")</f>
        <v/>
      </c>
      <c r="Y2107" t="str" cm="1">
        <f t="array" ref="Y2107">IF(133&lt;Controls!$B$7,INDEX(G1974:G2152,MATCH(Controls!$B$5,A1974:A2152,1)+133),"")</f>
        <v/>
      </c>
      <c r="Z2107" t="str" cm="1">
        <f t="array" ref="Z2107">IF(133&lt;Controls!$B$7,INDEX(H1974:H2152,MATCH(Controls!$B$5,A1974:A2152,1)+133),"")</f>
        <v/>
      </c>
      <c r="AA2107" t="str" cm="1">
        <f t="array" ref="AA2107">IF(133&lt;Controls!$B$7,INDEX(M1974:M2152,MATCH(Controls!$B$5,A1974:A2152,1)+133)*INDEX(I1974:I2152,MATCH(Controls!$B$5,A1974:A2152,1)+133),"")</f>
        <v/>
      </c>
      <c r="AB2107">
        <f t="shared" si="248"/>
        <v>0</v>
      </c>
    </row>
    <row r="2108" spans="1:28" x14ac:dyDescent="0.35">
      <c r="A2108" s="153">
        <v>50131</v>
      </c>
      <c r="B2108" s="155" t="s">
        <v>959</v>
      </c>
      <c r="C2108" s="15" t="s">
        <v>28</v>
      </c>
      <c r="D2108" s="15" t="s">
        <v>29</v>
      </c>
      <c r="E2108" s="199">
        <f>H2107</f>
        <v>0</v>
      </c>
      <c r="F2108" s="199">
        <f>IFERROR(SUMIFS('Demand Inputs'!$EJ$5:$EJ$202,'Demand Inputs'!$A$5:$A$202,"188mg LP - EU Stock",'Demand Inputs'!$B$5:$B$202,"&lt;&gt;AGGREGATE",'Demand Inputs'!$E$5:$E$202,1),0)</f>
        <v>0</v>
      </c>
      <c r="G2108" s="199" cm="1">
        <f t="array" ref="G2108">IFERROR(SUMPRODUCT(('Production Inputs'!$A:$A="188mg LP - EU Stock")*('Production Inputs'!$B:$B="TOTAL ACTIVE")*'Production Inputs'!$EP:$EP),0)</f>
        <v>0</v>
      </c>
      <c r="H2108" s="199">
        <f t="shared" si="249"/>
        <v>0</v>
      </c>
      <c r="I2108" s="30">
        <f ca="1">IFERROR(AVERAGEIF(OFFSET(F2108,0,0,MIN(Controls!$B$8,COUNTIF(B2108:B$2152,B2108)),1),"&gt;"&amp;0),0)</f>
        <v>0</v>
      </c>
      <c r="J2108" s="38">
        <f t="shared" ca="1" si="250"/>
        <v>0</v>
      </c>
      <c r="K2108" s="30">
        <f t="shared" ca="1" si="251"/>
        <v>0</v>
      </c>
      <c r="L2108" t="str">
        <f t="shared" si="252"/>
        <v>High</v>
      </c>
      <c r="M2108" s="39">
        <f>IFERROR(VLOOKUP("188mg LP - EU Stock",Controls!A:I,7,0),6)</f>
        <v>9</v>
      </c>
      <c r="N2108" s="39">
        <f>IFERROR(VLOOKUP("188mg LP - EU Stock",Controls!A:I,8,0),3)</f>
        <v>8</v>
      </c>
      <c r="O2108" s="39">
        <f>IFERROR(VLOOKUP("188mg LP - EU Stock",Controls!A:I,9,0),18)</f>
        <v>18</v>
      </c>
      <c r="P2108" s="40">
        <f>IFERROR(VLOOKUP("188mg LP - EU Stock",Controls!A:J,5,0),0)</f>
        <v>16200</v>
      </c>
      <c r="Q2108" s="39">
        <f>IFERROR(VLOOKUP("188mg LP - EU Stock",Controls!A:J,6,0),3)</f>
        <v>3</v>
      </c>
      <c r="R2108" s="21" t="str">
        <f>IFERROR(VLOOKUP("188mg LP - EU Stock",Controls!A:K,10,0),"")</f>
        <v>Patheon (L&amp;P EU)</v>
      </c>
      <c r="S2108" s="41">
        <f t="shared" si="253"/>
        <v>50041</v>
      </c>
      <c r="T2108" s="30">
        <f t="shared" si="254"/>
        <v>0</v>
      </c>
      <c r="W2108" s="205" t="str" cm="1">
        <f t="array" ref="W2108">IF(134&lt;Controls!$B$7,TEXT(INDEX(A1974:A2152,MATCH(Controls!$B$5,A1974:A2152,1)+134),"MMM-YY"),"")</f>
        <v/>
      </c>
      <c r="X2108" t="str" cm="1">
        <f t="array" ref="X2108">IF(134&lt;Controls!$B$7,INDEX(F1974:F2152,MATCH(Controls!$B$5,A1974:A2152,1)+134),"")</f>
        <v/>
      </c>
      <c r="Y2108" t="str" cm="1">
        <f t="array" ref="Y2108">IF(134&lt;Controls!$B$7,INDEX(G1974:G2152,MATCH(Controls!$B$5,A1974:A2152,1)+134),"")</f>
        <v/>
      </c>
      <c r="Z2108" t="str" cm="1">
        <f t="array" ref="Z2108">IF(134&lt;Controls!$B$7,INDEX(H1974:H2152,MATCH(Controls!$B$5,A1974:A2152,1)+134),"")</f>
        <v/>
      </c>
      <c r="AA2108" t="str" cm="1">
        <f t="array" ref="AA2108">IF(134&lt;Controls!$B$7,INDEX(M1974:M2152,MATCH(Controls!$B$5,A1974:A2152,1)+134)*INDEX(I1974:I2152,MATCH(Controls!$B$5,A1974:A2152,1)+134),"")</f>
        <v/>
      </c>
      <c r="AB2108">
        <f t="shared" si="248"/>
        <v>0</v>
      </c>
    </row>
    <row r="2109" spans="1:28" x14ac:dyDescent="0.35">
      <c r="A2109" s="153">
        <v>50161</v>
      </c>
      <c r="B2109" s="155" t="s">
        <v>959</v>
      </c>
      <c r="C2109" s="15" t="s">
        <v>28</v>
      </c>
      <c r="D2109" s="15" t="s">
        <v>29</v>
      </c>
      <c r="E2109" s="199">
        <f>H2108</f>
        <v>0</v>
      </c>
      <c r="F2109" s="199">
        <f>IFERROR(SUMIFS('Demand Inputs'!$EK$5:$EK$202,'Demand Inputs'!$A$5:$A$202,"188mg LP - EU Stock",'Demand Inputs'!$B$5:$B$202,"&lt;&gt;AGGREGATE",'Demand Inputs'!$E$5:$E$202,1),0)</f>
        <v>0</v>
      </c>
      <c r="G2109" s="199" cm="1">
        <f t="array" ref="G2109">IFERROR(SUMPRODUCT(('Production Inputs'!$A:$A="188mg LP - EU Stock")*('Production Inputs'!$B:$B="TOTAL ACTIVE")*'Production Inputs'!$EQ:$EQ),0)</f>
        <v>0</v>
      </c>
      <c r="H2109" s="199">
        <f t="shared" si="249"/>
        <v>0</v>
      </c>
      <c r="I2109" s="30">
        <f ca="1">IFERROR(AVERAGEIF(OFFSET(F2109,0,0,MIN(Controls!$B$8,COUNTIF(B2109:B$2152,B2109)),1),"&gt;"&amp;0),0)</f>
        <v>0</v>
      </c>
      <c r="J2109" s="38">
        <f t="shared" ca="1" si="250"/>
        <v>0</v>
      </c>
      <c r="K2109" s="30">
        <f t="shared" ca="1" si="251"/>
        <v>0</v>
      </c>
      <c r="L2109" t="str">
        <f t="shared" si="252"/>
        <v>High</v>
      </c>
      <c r="M2109" s="39">
        <f>IFERROR(VLOOKUP("188mg LP - EU Stock",Controls!A:I,7,0),6)</f>
        <v>9</v>
      </c>
      <c r="N2109" s="39">
        <f>IFERROR(VLOOKUP("188mg LP - EU Stock",Controls!A:I,8,0),3)</f>
        <v>8</v>
      </c>
      <c r="O2109" s="39">
        <f>IFERROR(VLOOKUP("188mg LP - EU Stock",Controls!A:I,9,0),18)</f>
        <v>18</v>
      </c>
      <c r="P2109" s="40">
        <f>IFERROR(VLOOKUP("188mg LP - EU Stock",Controls!A:J,5,0),0)</f>
        <v>16200</v>
      </c>
      <c r="Q2109" s="39">
        <f>IFERROR(VLOOKUP("188mg LP - EU Stock",Controls!A:J,6,0),3)</f>
        <v>3</v>
      </c>
      <c r="R2109" s="21" t="str">
        <f>IFERROR(VLOOKUP("188mg LP - EU Stock",Controls!A:K,10,0),"")</f>
        <v>Patheon (L&amp;P EU)</v>
      </c>
      <c r="S2109" s="41">
        <f t="shared" si="253"/>
        <v>50072</v>
      </c>
      <c r="T2109" s="30">
        <f t="shared" si="254"/>
        <v>0</v>
      </c>
      <c r="W2109" s="205" t="str" cm="1">
        <f t="array" ref="W2109">IF(135&lt;Controls!$B$7,TEXT(INDEX(A1974:A2152,MATCH(Controls!$B$5,A1974:A2152,1)+135),"MMM-YY"),"")</f>
        <v/>
      </c>
      <c r="X2109" t="str" cm="1">
        <f t="array" ref="X2109">IF(135&lt;Controls!$B$7,INDEX(F1974:F2152,MATCH(Controls!$B$5,A1974:A2152,1)+135),"")</f>
        <v/>
      </c>
      <c r="Y2109" t="str" cm="1">
        <f t="array" ref="Y2109">IF(135&lt;Controls!$B$7,INDEX(G1974:G2152,MATCH(Controls!$B$5,A1974:A2152,1)+135),"")</f>
        <v/>
      </c>
      <c r="Z2109" t="str" cm="1">
        <f t="array" ref="Z2109">IF(135&lt;Controls!$B$7,INDEX(H1974:H2152,MATCH(Controls!$B$5,A1974:A2152,1)+135),"")</f>
        <v/>
      </c>
      <c r="AA2109" t="str" cm="1">
        <f t="array" ref="AA2109">IF(135&lt;Controls!$B$7,INDEX(M1974:M2152,MATCH(Controls!$B$5,A1974:A2152,1)+135)*INDEX(I1974:I2152,MATCH(Controls!$B$5,A1974:A2152,1)+135),"")</f>
        <v/>
      </c>
      <c r="AB2109">
        <f t="shared" si="248"/>
        <v>0</v>
      </c>
    </row>
    <row r="2110" spans="1:28" x14ac:dyDescent="0.35">
      <c r="A2110" s="153">
        <v>50192</v>
      </c>
      <c r="B2110" s="155" t="s">
        <v>959</v>
      </c>
      <c r="C2110" s="15" t="s">
        <v>28</v>
      </c>
      <c r="D2110" s="15" t="s">
        <v>29</v>
      </c>
      <c r="E2110" s="199">
        <f>H2109</f>
        <v>0</v>
      </c>
      <c r="F2110" s="199">
        <f>IFERROR(SUMIFS('Demand Inputs'!$EL$5:$EL$202,'Demand Inputs'!$A$5:$A$202,"188mg LP - EU Stock",'Demand Inputs'!$B$5:$B$202,"&lt;&gt;AGGREGATE",'Demand Inputs'!$E$5:$E$202,1),0)</f>
        <v>0</v>
      </c>
      <c r="G2110" s="199" cm="1">
        <f t="array" ref="G2110">IFERROR(SUMPRODUCT(('Production Inputs'!$A:$A="188mg LP - EU Stock")*('Production Inputs'!$B:$B="TOTAL ACTIVE")*'Production Inputs'!$ER:$ER),0)</f>
        <v>0</v>
      </c>
      <c r="H2110" s="199">
        <f t="shared" si="249"/>
        <v>0</v>
      </c>
      <c r="I2110" s="30">
        <f ca="1">IFERROR(AVERAGEIF(OFFSET(F2110,0,0,MIN(Controls!$B$8,COUNTIF(B2110:B$2152,B2110)),1),"&gt;"&amp;0),0)</f>
        <v>0</v>
      </c>
      <c r="J2110" s="38">
        <f t="shared" ca="1" si="250"/>
        <v>0</v>
      </c>
      <c r="K2110" s="30">
        <f t="shared" ca="1" si="251"/>
        <v>0</v>
      </c>
      <c r="L2110" t="str">
        <f t="shared" si="252"/>
        <v>High</v>
      </c>
      <c r="M2110" s="39">
        <f>IFERROR(VLOOKUP("188mg LP - EU Stock",Controls!A:I,7,0),6)</f>
        <v>9</v>
      </c>
      <c r="N2110" s="39">
        <f>IFERROR(VLOOKUP("188mg LP - EU Stock",Controls!A:I,8,0),3)</f>
        <v>8</v>
      </c>
      <c r="O2110" s="39">
        <f>IFERROR(VLOOKUP("188mg LP - EU Stock",Controls!A:I,9,0),18)</f>
        <v>18</v>
      </c>
      <c r="P2110" s="40">
        <f>IFERROR(VLOOKUP("188mg LP - EU Stock",Controls!A:J,5,0),0)</f>
        <v>16200</v>
      </c>
      <c r="Q2110" s="39">
        <f>IFERROR(VLOOKUP("188mg LP - EU Stock",Controls!A:J,6,0),3)</f>
        <v>3</v>
      </c>
      <c r="R2110" s="21" t="str">
        <f>IFERROR(VLOOKUP("188mg LP - EU Stock",Controls!A:K,10,0),"")</f>
        <v>Patheon (L&amp;P EU)</v>
      </c>
      <c r="S2110" s="41">
        <f t="shared" si="253"/>
        <v>50100</v>
      </c>
      <c r="T2110" s="30">
        <f t="shared" si="254"/>
        <v>0</v>
      </c>
      <c r="W2110" s="205" t="str" cm="1">
        <f t="array" ref="W2110">IF(136&lt;Controls!$B$7,TEXT(INDEX(A1974:A2152,MATCH(Controls!$B$5,A1974:A2152,1)+136),"MMM-YY"),"")</f>
        <v/>
      </c>
      <c r="X2110" t="str" cm="1">
        <f t="array" ref="X2110">IF(136&lt;Controls!$B$7,INDEX(F1974:F2152,MATCH(Controls!$B$5,A1974:A2152,1)+136),"")</f>
        <v/>
      </c>
      <c r="Y2110" t="str" cm="1">
        <f t="array" ref="Y2110">IF(136&lt;Controls!$B$7,INDEX(G1974:G2152,MATCH(Controls!$B$5,A1974:A2152,1)+136),"")</f>
        <v/>
      </c>
      <c r="Z2110" t="str" cm="1">
        <f t="array" ref="Z2110">IF(136&lt;Controls!$B$7,INDEX(H1974:H2152,MATCH(Controls!$B$5,A1974:A2152,1)+136),"")</f>
        <v/>
      </c>
      <c r="AA2110" t="str" cm="1">
        <f t="array" ref="AA2110">IF(136&lt;Controls!$B$7,INDEX(M1974:M2152,MATCH(Controls!$B$5,A1974:A2152,1)+136)*INDEX(I1974:I2152,MATCH(Controls!$B$5,A1974:A2152,1)+136),"")</f>
        <v/>
      </c>
      <c r="AB2110">
        <f t="shared" si="248"/>
        <v>0</v>
      </c>
    </row>
    <row r="2111" spans="1:28" x14ac:dyDescent="0.35">
      <c r="A2111" s="153">
        <v>50222</v>
      </c>
      <c r="B2111" s="155" t="s">
        <v>959</v>
      </c>
      <c r="C2111" s="15" t="s">
        <v>28</v>
      </c>
      <c r="D2111" s="15" t="s">
        <v>29</v>
      </c>
      <c r="E2111" s="199">
        <f>H2110</f>
        <v>0</v>
      </c>
      <c r="F2111" s="199">
        <f>IFERROR(SUMIFS('Demand Inputs'!$EM$5:$EM$202,'Demand Inputs'!$A$5:$A$202,"188mg LP - EU Stock",'Demand Inputs'!$B$5:$B$202,"&lt;&gt;AGGREGATE",'Demand Inputs'!$E$5:$E$202,1),0)</f>
        <v>0</v>
      </c>
      <c r="G2111" s="199" cm="1">
        <f t="array" ref="G2111">IFERROR(SUMPRODUCT(('Production Inputs'!$A:$A="188mg LP - EU Stock")*('Production Inputs'!$B:$B="TOTAL ACTIVE")*'Production Inputs'!$ES:$ES),0)</f>
        <v>0</v>
      </c>
      <c r="H2111" s="199">
        <f t="shared" si="249"/>
        <v>0</v>
      </c>
      <c r="I2111" s="30">
        <f ca="1">IFERROR(AVERAGEIF(OFFSET(F2111,0,0,MIN(Controls!$B$8,COUNTIF(B2111:B$2152,B2111)),1),"&gt;"&amp;0),0)</f>
        <v>0</v>
      </c>
      <c r="J2111" s="38">
        <f t="shared" ca="1" si="250"/>
        <v>0</v>
      </c>
      <c r="K2111" s="30">
        <f t="shared" ca="1" si="251"/>
        <v>0</v>
      </c>
      <c r="L2111" t="str">
        <f t="shared" si="252"/>
        <v>High</v>
      </c>
      <c r="M2111" s="39">
        <f>IFERROR(VLOOKUP("188mg LP - EU Stock",Controls!A:I,7,0),6)</f>
        <v>9</v>
      </c>
      <c r="N2111" s="39">
        <f>IFERROR(VLOOKUP("188mg LP - EU Stock",Controls!A:I,8,0),3)</f>
        <v>8</v>
      </c>
      <c r="O2111" s="39">
        <f>IFERROR(VLOOKUP("188mg LP - EU Stock",Controls!A:I,9,0),18)</f>
        <v>18</v>
      </c>
      <c r="P2111" s="40">
        <f>IFERROR(VLOOKUP("188mg LP - EU Stock",Controls!A:J,5,0),0)</f>
        <v>16200</v>
      </c>
      <c r="Q2111" s="39">
        <f>IFERROR(VLOOKUP("188mg LP - EU Stock",Controls!A:J,6,0),3)</f>
        <v>3</v>
      </c>
      <c r="R2111" s="21" t="str">
        <f>IFERROR(VLOOKUP("188mg LP - EU Stock",Controls!A:K,10,0),"")</f>
        <v>Patheon (L&amp;P EU)</v>
      </c>
      <c r="S2111" s="41">
        <f t="shared" si="253"/>
        <v>50131</v>
      </c>
      <c r="T2111" s="30">
        <f t="shared" si="254"/>
        <v>0</v>
      </c>
      <c r="W2111" s="205" t="str" cm="1">
        <f t="array" ref="W2111">IF(137&lt;Controls!$B$7,TEXT(INDEX(A1974:A2152,MATCH(Controls!$B$5,A1974:A2152,1)+137),"MMM-YY"),"")</f>
        <v/>
      </c>
      <c r="X2111" t="str" cm="1">
        <f t="array" ref="X2111">IF(137&lt;Controls!$B$7,INDEX(F1974:F2152,MATCH(Controls!$B$5,A1974:A2152,1)+137),"")</f>
        <v/>
      </c>
      <c r="Y2111" t="str" cm="1">
        <f t="array" ref="Y2111">IF(137&lt;Controls!$B$7,INDEX(G1974:G2152,MATCH(Controls!$B$5,A1974:A2152,1)+137),"")</f>
        <v/>
      </c>
      <c r="Z2111" t="str" cm="1">
        <f t="array" ref="Z2111">IF(137&lt;Controls!$B$7,INDEX(H1974:H2152,MATCH(Controls!$B$5,A1974:A2152,1)+137),"")</f>
        <v/>
      </c>
      <c r="AA2111" t="str" cm="1">
        <f t="array" ref="AA2111">IF(137&lt;Controls!$B$7,INDEX(M1974:M2152,MATCH(Controls!$B$5,A1974:A2152,1)+137)*INDEX(I1974:I2152,MATCH(Controls!$B$5,A1974:A2152,1)+137),"")</f>
        <v/>
      </c>
      <c r="AB2111">
        <f t="shared" si="248"/>
        <v>0</v>
      </c>
    </row>
    <row r="2112" spans="1:28" x14ac:dyDescent="0.35">
      <c r="A2112" s="153">
        <v>50253</v>
      </c>
      <c r="B2112" s="155" t="s">
        <v>959</v>
      </c>
      <c r="C2112" s="15" t="s">
        <v>28</v>
      </c>
      <c r="D2112" s="15" t="s">
        <v>29</v>
      </c>
      <c r="E2112" s="199">
        <f>H2111</f>
        <v>0</v>
      </c>
      <c r="F2112" s="199">
        <f>IFERROR(SUMIFS('Demand Inputs'!$EN$5:$EN$202,'Demand Inputs'!$A$5:$A$202,"188mg LP - EU Stock",'Demand Inputs'!$B$5:$B$202,"&lt;&gt;AGGREGATE",'Demand Inputs'!$E$5:$E$202,1),0)</f>
        <v>0</v>
      </c>
      <c r="G2112" s="199" cm="1">
        <f t="array" ref="G2112">IFERROR(SUMPRODUCT(('Production Inputs'!$A:$A="188mg LP - EU Stock")*('Production Inputs'!$B:$B="TOTAL ACTIVE")*'Production Inputs'!$ET:$ET),0)</f>
        <v>0</v>
      </c>
      <c r="H2112" s="199">
        <f t="shared" si="249"/>
        <v>0</v>
      </c>
      <c r="I2112" s="30">
        <f ca="1">IFERROR(AVERAGEIF(OFFSET(F2112,0,0,MIN(Controls!$B$8,COUNTIF(B2112:B$2152,B2112)),1),"&gt;"&amp;0),0)</f>
        <v>0</v>
      </c>
      <c r="J2112" s="38">
        <f t="shared" ca="1" si="250"/>
        <v>0</v>
      </c>
      <c r="K2112" s="30">
        <f t="shared" ca="1" si="251"/>
        <v>0</v>
      </c>
      <c r="L2112" t="str">
        <f t="shared" si="252"/>
        <v>High</v>
      </c>
      <c r="M2112" s="39">
        <f>IFERROR(VLOOKUP("188mg LP - EU Stock",Controls!A:I,7,0),6)</f>
        <v>9</v>
      </c>
      <c r="N2112" s="39">
        <f>IFERROR(VLOOKUP("188mg LP - EU Stock",Controls!A:I,8,0),3)</f>
        <v>8</v>
      </c>
      <c r="O2112" s="39">
        <f>IFERROR(VLOOKUP("188mg LP - EU Stock",Controls!A:I,9,0),18)</f>
        <v>18</v>
      </c>
      <c r="P2112" s="40">
        <f>IFERROR(VLOOKUP("188mg LP - EU Stock",Controls!A:J,5,0),0)</f>
        <v>16200</v>
      </c>
      <c r="Q2112" s="39">
        <f>IFERROR(VLOOKUP("188mg LP - EU Stock",Controls!A:J,6,0),3)</f>
        <v>3</v>
      </c>
      <c r="R2112" s="21" t="str">
        <f>IFERROR(VLOOKUP("188mg LP - EU Stock",Controls!A:K,10,0),"")</f>
        <v>Patheon (L&amp;P EU)</v>
      </c>
      <c r="S2112" s="41">
        <f t="shared" si="253"/>
        <v>50161</v>
      </c>
      <c r="T2112" s="30">
        <f t="shared" si="254"/>
        <v>0</v>
      </c>
      <c r="W2112" s="205" t="str" cm="1">
        <f t="array" ref="W2112">IF(138&lt;Controls!$B$7,TEXT(INDEX(A1974:A2152,MATCH(Controls!$B$5,A1974:A2152,1)+138),"MMM-YY"),"")</f>
        <v/>
      </c>
      <c r="X2112" t="str" cm="1">
        <f t="array" ref="X2112">IF(138&lt;Controls!$B$7,INDEX(F1974:F2152,MATCH(Controls!$B$5,A1974:A2152,1)+138),"")</f>
        <v/>
      </c>
      <c r="Y2112" t="str" cm="1">
        <f t="array" ref="Y2112">IF(138&lt;Controls!$B$7,INDEX(G1974:G2152,MATCH(Controls!$B$5,A1974:A2152,1)+138),"")</f>
        <v/>
      </c>
      <c r="Z2112" t="str" cm="1">
        <f t="array" ref="Z2112">IF(138&lt;Controls!$B$7,INDEX(H1974:H2152,MATCH(Controls!$B$5,A1974:A2152,1)+138),"")</f>
        <v/>
      </c>
      <c r="AA2112" t="str" cm="1">
        <f t="array" ref="AA2112">IF(138&lt;Controls!$B$7,INDEX(M1974:M2152,MATCH(Controls!$B$5,A1974:A2152,1)+138)*INDEX(I1974:I2152,MATCH(Controls!$B$5,A1974:A2152,1)+138),"")</f>
        <v/>
      </c>
      <c r="AB2112">
        <f t="shared" si="248"/>
        <v>0</v>
      </c>
    </row>
    <row r="2113" spans="1:28" x14ac:dyDescent="0.35">
      <c r="A2113" s="153">
        <v>50284</v>
      </c>
      <c r="B2113" s="155" t="s">
        <v>959</v>
      </c>
      <c r="C2113" s="15" t="s">
        <v>28</v>
      </c>
      <c r="D2113" s="15" t="s">
        <v>29</v>
      </c>
      <c r="E2113" s="199">
        <f>H2112</f>
        <v>0</v>
      </c>
      <c r="F2113" s="199">
        <f>IFERROR(SUMIFS('Demand Inputs'!$EO$5:$EO$202,'Demand Inputs'!$A$5:$A$202,"188mg LP - EU Stock",'Demand Inputs'!$B$5:$B$202,"&lt;&gt;AGGREGATE",'Demand Inputs'!$E$5:$E$202,1),0)</f>
        <v>0</v>
      </c>
      <c r="G2113" s="199" cm="1">
        <f t="array" ref="G2113">IFERROR(SUMPRODUCT(('Production Inputs'!$A:$A="188mg LP - EU Stock")*('Production Inputs'!$B:$B="TOTAL ACTIVE")*'Production Inputs'!$EU:$EU),0)</f>
        <v>0</v>
      </c>
      <c r="H2113" s="199">
        <f t="shared" si="249"/>
        <v>0</v>
      </c>
      <c r="I2113" s="30">
        <f ca="1">IFERROR(AVERAGEIF(OFFSET(F2113,0,0,MIN(Controls!$B$8,COUNTIF(B2113:B$2152,B2113)),1),"&gt;"&amp;0),0)</f>
        <v>0</v>
      </c>
      <c r="J2113" s="38">
        <f t="shared" ca="1" si="250"/>
        <v>0</v>
      </c>
      <c r="K2113" s="30">
        <f t="shared" ca="1" si="251"/>
        <v>0</v>
      </c>
      <c r="L2113" t="str">
        <f t="shared" si="252"/>
        <v>High</v>
      </c>
      <c r="M2113" s="39">
        <f>IFERROR(VLOOKUP("188mg LP - EU Stock",Controls!A:I,7,0),6)</f>
        <v>9</v>
      </c>
      <c r="N2113" s="39">
        <f>IFERROR(VLOOKUP("188mg LP - EU Stock",Controls!A:I,8,0),3)</f>
        <v>8</v>
      </c>
      <c r="O2113" s="39">
        <f>IFERROR(VLOOKUP("188mg LP - EU Stock",Controls!A:I,9,0),18)</f>
        <v>18</v>
      </c>
      <c r="P2113" s="40">
        <f>IFERROR(VLOOKUP("188mg LP - EU Stock",Controls!A:J,5,0),0)</f>
        <v>16200</v>
      </c>
      <c r="Q2113" s="39">
        <f>IFERROR(VLOOKUP("188mg LP - EU Stock",Controls!A:J,6,0),3)</f>
        <v>3</v>
      </c>
      <c r="R2113" s="21" t="str">
        <f>IFERROR(VLOOKUP("188mg LP - EU Stock",Controls!A:K,10,0),"")</f>
        <v>Patheon (L&amp;P EU)</v>
      </c>
      <c r="S2113" s="41">
        <f t="shared" si="253"/>
        <v>50192</v>
      </c>
      <c r="T2113" s="30">
        <f t="shared" si="254"/>
        <v>0</v>
      </c>
      <c r="W2113" s="205" t="str" cm="1">
        <f t="array" ref="W2113">IF(139&lt;Controls!$B$7,TEXT(INDEX(A1974:A2152,MATCH(Controls!$B$5,A1974:A2152,1)+139),"MMM-YY"),"")</f>
        <v/>
      </c>
      <c r="X2113" t="str" cm="1">
        <f t="array" ref="X2113">IF(139&lt;Controls!$B$7,INDEX(F1974:F2152,MATCH(Controls!$B$5,A1974:A2152,1)+139),"")</f>
        <v/>
      </c>
      <c r="Y2113" t="str" cm="1">
        <f t="array" ref="Y2113">IF(139&lt;Controls!$B$7,INDEX(G1974:G2152,MATCH(Controls!$B$5,A1974:A2152,1)+139),"")</f>
        <v/>
      </c>
      <c r="Z2113" t="str" cm="1">
        <f t="array" ref="Z2113">IF(139&lt;Controls!$B$7,INDEX(H1974:H2152,MATCH(Controls!$B$5,A1974:A2152,1)+139),"")</f>
        <v/>
      </c>
      <c r="AA2113" t="str" cm="1">
        <f t="array" ref="AA2113">IF(139&lt;Controls!$B$7,INDEX(M1974:M2152,MATCH(Controls!$B$5,A1974:A2152,1)+139)*INDEX(I1974:I2152,MATCH(Controls!$B$5,A1974:A2152,1)+139),"")</f>
        <v/>
      </c>
      <c r="AB2113">
        <f t="shared" si="248"/>
        <v>0</v>
      </c>
    </row>
    <row r="2114" spans="1:28" x14ac:dyDescent="0.35">
      <c r="A2114" s="153">
        <v>50314</v>
      </c>
      <c r="B2114" s="155" t="s">
        <v>959</v>
      </c>
      <c r="C2114" s="15" t="s">
        <v>28</v>
      </c>
      <c r="D2114" s="15" t="s">
        <v>29</v>
      </c>
      <c r="E2114" s="199">
        <f>H2113</f>
        <v>0</v>
      </c>
      <c r="F2114" s="199">
        <f>IFERROR(SUMIFS('Demand Inputs'!$EP$5:$EP$202,'Demand Inputs'!$A$5:$A$202,"188mg LP - EU Stock",'Demand Inputs'!$B$5:$B$202,"&lt;&gt;AGGREGATE",'Demand Inputs'!$E$5:$E$202,1),0)</f>
        <v>0</v>
      </c>
      <c r="G2114" s="199" cm="1">
        <f t="array" ref="G2114">IFERROR(SUMPRODUCT(('Production Inputs'!$A:$A="188mg LP - EU Stock")*('Production Inputs'!$B:$B="TOTAL ACTIVE")*'Production Inputs'!$EV:$EV),0)</f>
        <v>0</v>
      </c>
      <c r="H2114" s="199">
        <f t="shared" si="249"/>
        <v>0</v>
      </c>
      <c r="I2114" s="30">
        <f ca="1">IFERROR(AVERAGEIF(OFFSET(F2114,0,0,MIN(Controls!$B$8,COUNTIF(B2114:B$2152,B2114)),1),"&gt;"&amp;0),0)</f>
        <v>0</v>
      </c>
      <c r="J2114" s="38">
        <f t="shared" ca="1" si="250"/>
        <v>0</v>
      </c>
      <c r="K2114" s="30">
        <f t="shared" ca="1" si="251"/>
        <v>0</v>
      </c>
      <c r="L2114" t="str">
        <f t="shared" si="252"/>
        <v>High</v>
      </c>
      <c r="M2114" s="39">
        <f>IFERROR(VLOOKUP("188mg LP - EU Stock",Controls!A:I,7,0),6)</f>
        <v>9</v>
      </c>
      <c r="N2114" s="39">
        <f>IFERROR(VLOOKUP("188mg LP - EU Stock",Controls!A:I,8,0),3)</f>
        <v>8</v>
      </c>
      <c r="O2114" s="39">
        <f>IFERROR(VLOOKUP("188mg LP - EU Stock",Controls!A:I,9,0),18)</f>
        <v>18</v>
      </c>
      <c r="P2114" s="40">
        <f>IFERROR(VLOOKUP("188mg LP - EU Stock",Controls!A:J,5,0),0)</f>
        <v>16200</v>
      </c>
      <c r="Q2114" s="39">
        <f>IFERROR(VLOOKUP("188mg LP - EU Stock",Controls!A:J,6,0),3)</f>
        <v>3</v>
      </c>
      <c r="R2114" s="21" t="str">
        <f>IFERROR(VLOOKUP("188mg LP - EU Stock",Controls!A:K,10,0),"")</f>
        <v>Patheon (L&amp;P EU)</v>
      </c>
      <c r="S2114" s="41">
        <f t="shared" si="253"/>
        <v>50222</v>
      </c>
      <c r="T2114" s="30">
        <f t="shared" si="254"/>
        <v>0</v>
      </c>
      <c r="W2114" s="205" t="str" cm="1">
        <f t="array" ref="W2114">IF(140&lt;Controls!$B$7,TEXT(INDEX(A1974:A2152,MATCH(Controls!$B$5,A1974:A2152,1)+140),"MMM-YY"),"")</f>
        <v/>
      </c>
      <c r="X2114" t="str" cm="1">
        <f t="array" ref="X2114">IF(140&lt;Controls!$B$7,INDEX(F1974:F2152,MATCH(Controls!$B$5,A1974:A2152,1)+140),"")</f>
        <v/>
      </c>
      <c r="Y2114" t="str" cm="1">
        <f t="array" ref="Y2114">IF(140&lt;Controls!$B$7,INDEX(G1974:G2152,MATCH(Controls!$B$5,A1974:A2152,1)+140),"")</f>
        <v/>
      </c>
      <c r="Z2114" t="str" cm="1">
        <f t="array" ref="Z2114">IF(140&lt;Controls!$B$7,INDEX(H1974:H2152,MATCH(Controls!$B$5,A1974:A2152,1)+140),"")</f>
        <v/>
      </c>
      <c r="AA2114" t="str" cm="1">
        <f t="array" ref="AA2114">IF(140&lt;Controls!$B$7,INDEX(M1974:M2152,MATCH(Controls!$B$5,A1974:A2152,1)+140)*INDEX(I1974:I2152,MATCH(Controls!$B$5,A1974:A2152,1)+140),"")</f>
        <v/>
      </c>
      <c r="AB2114">
        <f t="shared" si="248"/>
        <v>0</v>
      </c>
    </row>
    <row r="2115" spans="1:28" x14ac:dyDescent="0.35">
      <c r="A2115" s="153">
        <v>50345</v>
      </c>
      <c r="B2115" s="155" t="s">
        <v>959</v>
      </c>
      <c r="C2115" s="15" t="s">
        <v>28</v>
      </c>
      <c r="D2115" s="15" t="s">
        <v>29</v>
      </c>
      <c r="E2115" s="199">
        <f>H2114</f>
        <v>0</v>
      </c>
      <c r="F2115" s="199">
        <f>IFERROR(SUMIFS('Demand Inputs'!$EQ$5:$EQ$202,'Demand Inputs'!$A$5:$A$202,"188mg LP - EU Stock",'Demand Inputs'!$B$5:$B$202,"&lt;&gt;AGGREGATE",'Demand Inputs'!$E$5:$E$202,1),0)</f>
        <v>0</v>
      </c>
      <c r="G2115" s="199" cm="1">
        <f t="array" ref="G2115">IFERROR(SUMPRODUCT(('Production Inputs'!$A:$A="188mg LP - EU Stock")*('Production Inputs'!$B:$B="TOTAL ACTIVE")*'Production Inputs'!$EW:$EW),0)</f>
        <v>0</v>
      </c>
      <c r="H2115" s="199">
        <f t="shared" si="249"/>
        <v>0</v>
      </c>
      <c r="I2115" s="30">
        <f ca="1">IFERROR(AVERAGEIF(OFFSET(F2115,0,0,MIN(Controls!$B$8,COUNTIF(B2115:B$2152,B2115)),1),"&gt;"&amp;0),0)</f>
        <v>0</v>
      </c>
      <c r="J2115" s="38">
        <f t="shared" ca="1" si="250"/>
        <v>0</v>
      </c>
      <c r="K2115" s="30">
        <f t="shared" ca="1" si="251"/>
        <v>0</v>
      </c>
      <c r="L2115" t="str">
        <f t="shared" si="252"/>
        <v>High</v>
      </c>
      <c r="M2115" s="39">
        <f>IFERROR(VLOOKUP("188mg LP - EU Stock",Controls!A:I,7,0),6)</f>
        <v>9</v>
      </c>
      <c r="N2115" s="39">
        <f>IFERROR(VLOOKUP("188mg LP - EU Stock",Controls!A:I,8,0),3)</f>
        <v>8</v>
      </c>
      <c r="O2115" s="39">
        <f>IFERROR(VLOOKUP("188mg LP - EU Stock",Controls!A:I,9,0),18)</f>
        <v>18</v>
      </c>
      <c r="P2115" s="40">
        <f>IFERROR(VLOOKUP("188mg LP - EU Stock",Controls!A:J,5,0),0)</f>
        <v>16200</v>
      </c>
      <c r="Q2115" s="39">
        <f>IFERROR(VLOOKUP("188mg LP - EU Stock",Controls!A:J,6,0),3)</f>
        <v>3</v>
      </c>
      <c r="R2115" s="21" t="str">
        <f>IFERROR(VLOOKUP("188mg LP - EU Stock",Controls!A:K,10,0),"")</f>
        <v>Patheon (L&amp;P EU)</v>
      </c>
      <c r="S2115" s="41">
        <f t="shared" si="253"/>
        <v>50253</v>
      </c>
      <c r="T2115" s="30">
        <f t="shared" si="254"/>
        <v>0</v>
      </c>
      <c r="W2115" s="205" t="str" cm="1">
        <f t="array" ref="W2115">IF(141&lt;Controls!$B$7,TEXT(INDEX(A1974:A2152,MATCH(Controls!$B$5,A1974:A2152,1)+141),"MMM-YY"),"")</f>
        <v/>
      </c>
      <c r="X2115" t="str" cm="1">
        <f t="array" ref="X2115">IF(141&lt;Controls!$B$7,INDEX(F1974:F2152,MATCH(Controls!$B$5,A1974:A2152,1)+141),"")</f>
        <v/>
      </c>
      <c r="Y2115" t="str" cm="1">
        <f t="array" ref="Y2115">IF(141&lt;Controls!$B$7,INDEX(G1974:G2152,MATCH(Controls!$B$5,A1974:A2152,1)+141),"")</f>
        <v/>
      </c>
      <c r="Z2115" t="str" cm="1">
        <f t="array" ref="Z2115">IF(141&lt;Controls!$B$7,INDEX(H1974:H2152,MATCH(Controls!$B$5,A1974:A2152,1)+141),"")</f>
        <v/>
      </c>
      <c r="AA2115" t="str" cm="1">
        <f t="array" ref="AA2115">IF(141&lt;Controls!$B$7,INDEX(M1974:M2152,MATCH(Controls!$B$5,A1974:A2152,1)+141)*INDEX(I1974:I2152,MATCH(Controls!$B$5,A1974:A2152,1)+141),"")</f>
        <v/>
      </c>
      <c r="AB2115">
        <f t="shared" si="248"/>
        <v>0</v>
      </c>
    </row>
    <row r="2116" spans="1:28" x14ac:dyDescent="0.35">
      <c r="A2116" s="153">
        <v>50375</v>
      </c>
      <c r="B2116" s="155" t="s">
        <v>959</v>
      </c>
      <c r="C2116" s="15" t="s">
        <v>28</v>
      </c>
      <c r="D2116" s="15" t="s">
        <v>29</v>
      </c>
      <c r="E2116" s="199">
        <f>H2115</f>
        <v>0</v>
      </c>
      <c r="F2116" s="199">
        <f>IFERROR(SUMIFS('Demand Inputs'!$ER$5:$ER$202,'Demand Inputs'!$A$5:$A$202,"188mg LP - EU Stock",'Demand Inputs'!$B$5:$B$202,"&lt;&gt;AGGREGATE",'Demand Inputs'!$E$5:$E$202,1),0)</f>
        <v>0</v>
      </c>
      <c r="G2116" s="199" cm="1">
        <f t="array" ref="G2116">IFERROR(SUMPRODUCT(('Production Inputs'!$A:$A="188mg LP - EU Stock")*('Production Inputs'!$B:$B="TOTAL ACTIVE")*'Production Inputs'!$EX:$EX),0)</f>
        <v>0</v>
      </c>
      <c r="H2116" s="199">
        <f t="shared" si="249"/>
        <v>0</v>
      </c>
      <c r="I2116" s="30">
        <f ca="1">IFERROR(AVERAGEIF(OFFSET(F2116,0,0,MIN(Controls!$B$8,COUNTIF(B2116:B$2152,B2116)),1),"&gt;"&amp;0),0)</f>
        <v>0</v>
      </c>
      <c r="J2116" s="38">
        <f t="shared" ca="1" si="250"/>
        <v>0</v>
      </c>
      <c r="K2116" s="30">
        <f t="shared" ca="1" si="251"/>
        <v>0</v>
      </c>
      <c r="L2116" t="str">
        <f t="shared" si="252"/>
        <v>High</v>
      </c>
      <c r="M2116" s="39">
        <f>IFERROR(VLOOKUP("188mg LP - EU Stock",Controls!A:I,7,0),6)</f>
        <v>9</v>
      </c>
      <c r="N2116" s="39">
        <f>IFERROR(VLOOKUP("188mg LP - EU Stock",Controls!A:I,8,0),3)</f>
        <v>8</v>
      </c>
      <c r="O2116" s="39">
        <f>IFERROR(VLOOKUP("188mg LP - EU Stock",Controls!A:I,9,0),18)</f>
        <v>18</v>
      </c>
      <c r="P2116" s="40">
        <f>IFERROR(VLOOKUP("188mg LP - EU Stock",Controls!A:J,5,0),0)</f>
        <v>16200</v>
      </c>
      <c r="Q2116" s="39">
        <f>IFERROR(VLOOKUP("188mg LP - EU Stock",Controls!A:J,6,0),3)</f>
        <v>3</v>
      </c>
      <c r="R2116" s="21" t="str">
        <f>IFERROR(VLOOKUP("188mg LP - EU Stock",Controls!A:K,10,0),"")</f>
        <v>Patheon (L&amp;P EU)</v>
      </c>
      <c r="S2116" s="41">
        <f t="shared" si="253"/>
        <v>50284</v>
      </c>
      <c r="T2116" s="30">
        <f t="shared" si="254"/>
        <v>0</v>
      </c>
      <c r="W2116" s="205" t="str" cm="1">
        <f t="array" ref="W2116">IF(142&lt;Controls!$B$7,TEXT(INDEX(A1974:A2152,MATCH(Controls!$B$5,A1974:A2152,1)+142),"MMM-YY"),"")</f>
        <v/>
      </c>
      <c r="X2116" t="str" cm="1">
        <f t="array" ref="X2116">IF(142&lt;Controls!$B$7,INDEX(F1974:F2152,MATCH(Controls!$B$5,A1974:A2152,1)+142),"")</f>
        <v/>
      </c>
      <c r="Y2116" t="str" cm="1">
        <f t="array" ref="Y2116">IF(142&lt;Controls!$B$7,INDEX(G1974:G2152,MATCH(Controls!$B$5,A1974:A2152,1)+142),"")</f>
        <v/>
      </c>
      <c r="Z2116" t="str" cm="1">
        <f t="array" ref="Z2116">IF(142&lt;Controls!$B$7,INDEX(H1974:H2152,MATCH(Controls!$B$5,A1974:A2152,1)+142),"")</f>
        <v/>
      </c>
      <c r="AA2116" t="str" cm="1">
        <f t="array" ref="AA2116">IF(142&lt;Controls!$B$7,INDEX(M1974:M2152,MATCH(Controls!$B$5,A1974:A2152,1)+142)*INDEX(I1974:I2152,MATCH(Controls!$B$5,A1974:A2152,1)+142),"")</f>
        <v/>
      </c>
      <c r="AB2116">
        <f t="shared" si="248"/>
        <v>0</v>
      </c>
    </row>
    <row r="2117" spans="1:28" x14ac:dyDescent="0.35">
      <c r="A2117" s="153">
        <v>50406</v>
      </c>
      <c r="B2117" s="155" t="s">
        <v>959</v>
      </c>
      <c r="C2117" s="15" t="s">
        <v>28</v>
      </c>
      <c r="D2117" s="15" t="s">
        <v>29</v>
      </c>
      <c r="E2117" s="199">
        <f>H2116</f>
        <v>0</v>
      </c>
      <c r="F2117" s="199">
        <f>IFERROR(SUMIFS('Demand Inputs'!$ES$5:$ES$202,'Demand Inputs'!$A$5:$A$202,"188mg LP - EU Stock",'Demand Inputs'!$B$5:$B$202,"&lt;&gt;AGGREGATE",'Demand Inputs'!$E$5:$E$202,1),0)</f>
        <v>0</v>
      </c>
      <c r="G2117" s="199" cm="1">
        <f t="array" ref="G2117">IFERROR(SUMPRODUCT(('Production Inputs'!$A:$A="188mg LP - EU Stock")*('Production Inputs'!$B:$B="TOTAL ACTIVE")*'Production Inputs'!$EY:$EY),0)</f>
        <v>0</v>
      </c>
      <c r="H2117" s="199">
        <f t="shared" si="249"/>
        <v>0</v>
      </c>
      <c r="I2117" s="30">
        <f ca="1">IFERROR(AVERAGEIF(OFFSET(F2117,0,0,MIN(Controls!$B$8,COUNTIF(B2117:B$2152,B2117)),1),"&gt;"&amp;0),0)</f>
        <v>0</v>
      </c>
      <c r="J2117" s="38">
        <f t="shared" ca="1" si="250"/>
        <v>0</v>
      </c>
      <c r="K2117" s="30">
        <f t="shared" ca="1" si="251"/>
        <v>0</v>
      </c>
      <c r="L2117" t="str">
        <f t="shared" si="252"/>
        <v>High</v>
      </c>
      <c r="M2117" s="39">
        <f>IFERROR(VLOOKUP("188mg LP - EU Stock",Controls!A:I,7,0),6)</f>
        <v>9</v>
      </c>
      <c r="N2117" s="39">
        <f>IFERROR(VLOOKUP("188mg LP - EU Stock",Controls!A:I,8,0),3)</f>
        <v>8</v>
      </c>
      <c r="O2117" s="39">
        <f>IFERROR(VLOOKUP("188mg LP - EU Stock",Controls!A:I,9,0),18)</f>
        <v>18</v>
      </c>
      <c r="P2117" s="40">
        <f>IFERROR(VLOOKUP("188mg LP - EU Stock",Controls!A:J,5,0),0)</f>
        <v>16200</v>
      </c>
      <c r="Q2117" s="39">
        <f>IFERROR(VLOOKUP("188mg LP - EU Stock",Controls!A:J,6,0),3)</f>
        <v>3</v>
      </c>
      <c r="R2117" s="21" t="str">
        <f>IFERROR(VLOOKUP("188mg LP - EU Stock",Controls!A:K,10,0),"")</f>
        <v>Patheon (L&amp;P EU)</v>
      </c>
      <c r="S2117" s="41">
        <f t="shared" si="253"/>
        <v>50314</v>
      </c>
      <c r="T2117" s="30">
        <f t="shared" si="254"/>
        <v>0</v>
      </c>
      <c r="W2117" s="205" t="str" cm="1">
        <f t="array" ref="W2117">IF(143&lt;Controls!$B$7,TEXT(INDEX(A1974:A2152,MATCH(Controls!$B$5,A1974:A2152,1)+143),"MMM-YY"),"")</f>
        <v/>
      </c>
      <c r="X2117" t="str" cm="1">
        <f t="array" ref="X2117">IF(143&lt;Controls!$B$7,INDEX(F1974:F2152,MATCH(Controls!$B$5,A1974:A2152,1)+143),"")</f>
        <v/>
      </c>
      <c r="Y2117" t="str" cm="1">
        <f t="array" ref="Y2117">IF(143&lt;Controls!$B$7,INDEX(G1974:G2152,MATCH(Controls!$B$5,A1974:A2152,1)+143),"")</f>
        <v/>
      </c>
      <c r="Z2117" t="str" cm="1">
        <f t="array" ref="Z2117">IF(143&lt;Controls!$B$7,INDEX(H1974:H2152,MATCH(Controls!$B$5,A1974:A2152,1)+143),"")</f>
        <v/>
      </c>
      <c r="AA2117" t="str" cm="1">
        <f t="array" ref="AA2117">IF(143&lt;Controls!$B$7,INDEX(M1974:M2152,MATCH(Controls!$B$5,A1974:A2152,1)+143)*INDEX(I1974:I2152,MATCH(Controls!$B$5,A1974:A2152,1)+143),"")</f>
        <v/>
      </c>
      <c r="AB2117">
        <f t="shared" ref="AB2117:AB2180" si="255">SUMIFS($F$4:$F$2331,$B$4:$B$2331,B2117,$A$4:$A$2331,"&lt;="&amp;A2117)</f>
        <v>0</v>
      </c>
    </row>
    <row r="2118" spans="1:28" x14ac:dyDescent="0.35">
      <c r="A2118" s="153">
        <v>50437</v>
      </c>
      <c r="B2118" s="155" t="s">
        <v>959</v>
      </c>
      <c r="C2118" s="15" t="s">
        <v>28</v>
      </c>
      <c r="D2118" s="15" t="s">
        <v>29</v>
      </c>
      <c r="E2118" s="199">
        <f>H2117</f>
        <v>0</v>
      </c>
      <c r="F2118" s="199">
        <f>IFERROR(SUMIFS('Demand Inputs'!$ET$5:$ET$202,'Demand Inputs'!$A$5:$A$202,"188mg LP - EU Stock",'Demand Inputs'!$B$5:$B$202,"&lt;&gt;AGGREGATE",'Demand Inputs'!$E$5:$E$202,1),0)</f>
        <v>0</v>
      </c>
      <c r="G2118" s="199" cm="1">
        <f t="array" ref="G2118">IFERROR(SUMPRODUCT(('Production Inputs'!$A:$A="188mg LP - EU Stock")*('Production Inputs'!$B:$B="TOTAL ACTIVE")*'Production Inputs'!$EZ:$EZ),0)</f>
        <v>0</v>
      </c>
      <c r="H2118" s="199">
        <f t="shared" si="249"/>
        <v>0</v>
      </c>
      <c r="I2118" s="30">
        <f ca="1">IFERROR(AVERAGEIF(OFFSET(F2118,0,0,MIN(Controls!$B$8,COUNTIF(B2118:B$2152,B2118)),1),"&gt;"&amp;0),0)</f>
        <v>0</v>
      </c>
      <c r="J2118" s="38">
        <f t="shared" ca="1" si="250"/>
        <v>0</v>
      </c>
      <c r="K2118" s="30">
        <f t="shared" ca="1" si="251"/>
        <v>0</v>
      </c>
      <c r="L2118" t="str">
        <f t="shared" si="252"/>
        <v>High</v>
      </c>
      <c r="M2118" s="39">
        <f>IFERROR(VLOOKUP("188mg LP - EU Stock",Controls!A:I,7,0),6)</f>
        <v>9</v>
      </c>
      <c r="N2118" s="39">
        <f>IFERROR(VLOOKUP("188mg LP - EU Stock",Controls!A:I,8,0),3)</f>
        <v>8</v>
      </c>
      <c r="O2118" s="39">
        <f>IFERROR(VLOOKUP("188mg LP - EU Stock",Controls!A:I,9,0),18)</f>
        <v>18</v>
      </c>
      <c r="P2118" s="40">
        <f>IFERROR(VLOOKUP("188mg LP - EU Stock",Controls!A:J,5,0),0)</f>
        <v>16200</v>
      </c>
      <c r="Q2118" s="39">
        <f>IFERROR(VLOOKUP("188mg LP - EU Stock",Controls!A:J,6,0),3)</f>
        <v>3</v>
      </c>
      <c r="R2118" s="21" t="str">
        <f>IFERROR(VLOOKUP("188mg LP - EU Stock",Controls!A:K,10,0),"")</f>
        <v>Patheon (L&amp;P EU)</v>
      </c>
      <c r="S2118" s="41">
        <f t="shared" si="253"/>
        <v>50345</v>
      </c>
      <c r="T2118" s="30">
        <f t="shared" si="254"/>
        <v>0</v>
      </c>
      <c r="W2118" s="205" t="str" cm="1">
        <f t="array" ref="W2118">IF(144&lt;Controls!$B$7,TEXT(INDEX(A1974:A2152,MATCH(Controls!$B$5,A1974:A2152,1)+144),"MMM-YY"),"")</f>
        <v/>
      </c>
      <c r="X2118" t="str" cm="1">
        <f t="array" ref="X2118">IF(144&lt;Controls!$B$7,INDEX(F1974:F2152,MATCH(Controls!$B$5,A1974:A2152,1)+144),"")</f>
        <v/>
      </c>
      <c r="Y2118" t="str" cm="1">
        <f t="array" ref="Y2118">IF(144&lt;Controls!$B$7,INDEX(G1974:G2152,MATCH(Controls!$B$5,A1974:A2152,1)+144),"")</f>
        <v/>
      </c>
      <c r="Z2118" t="str" cm="1">
        <f t="array" ref="Z2118">IF(144&lt;Controls!$B$7,INDEX(H1974:H2152,MATCH(Controls!$B$5,A1974:A2152,1)+144),"")</f>
        <v/>
      </c>
      <c r="AA2118" t="str" cm="1">
        <f t="array" ref="AA2118">IF(144&lt;Controls!$B$7,INDEX(M1974:M2152,MATCH(Controls!$B$5,A1974:A2152,1)+144)*INDEX(I1974:I2152,MATCH(Controls!$B$5,A1974:A2152,1)+144),"")</f>
        <v/>
      </c>
      <c r="AB2118">
        <f t="shared" si="255"/>
        <v>0</v>
      </c>
    </row>
    <row r="2119" spans="1:28" x14ac:dyDescent="0.35">
      <c r="A2119" s="153">
        <v>50465</v>
      </c>
      <c r="B2119" s="155" t="s">
        <v>959</v>
      </c>
      <c r="C2119" s="15" t="s">
        <v>28</v>
      </c>
      <c r="D2119" s="15" t="s">
        <v>29</v>
      </c>
      <c r="E2119" s="199">
        <f>H2118</f>
        <v>0</v>
      </c>
      <c r="F2119" s="199">
        <f>IFERROR(SUMIFS('Demand Inputs'!$EU$5:$EU$202,'Demand Inputs'!$A$5:$A$202,"188mg LP - EU Stock",'Demand Inputs'!$B$5:$B$202,"&lt;&gt;AGGREGATE",'Demand Inputs'!$E$5:$E$202,1),0)</f>
        <v>0</v>
      </c>
      <c r="G2119" s="199" cm="1">
        <f t="array" ref="G2119">IFERROR(SUMPRODUCT(('Production Inputs'!$A:$A="188mg LP - EU Stock")*('Production Inputs'!$B:$B="TOTAL ACTIVE")*'Production Inputs'!$FA:$FA),0)</f>
        <v>0</v>
      </c>
      <c r="H2119" s="199">
        <f t="shared" si="249"/>
        <v>0</v>
      </c>
      <c r="I2119" s="30">
        <f ca="1">IFERROR(AVERAGEIF(OFFSET(F2119,0,0,MIN(Controls!$B$8,COUNTIF(B2119:B$2152,B2119)),1),"&gt;"&amp;0),0)</f>
        <v>0</v>
      </c>
      <c r="J2119" s="38">
        <f t="shared" ca="1" si="250"/>
        <v>0</v>
      </c>
      <c r="K2119" s="30">
        <f t="shared" ca="1" si="251"/>
        <v>0</v>
      </c>
      <c r="L2119" t="str">
        <f t="shared" si="252"/>
        <v>High</v>
      </c>
      <c r="M2119" s="39">
        <f>IFERROR(VLOOKUP("188mg LP - EU Stock",Controls!A:I,7,0),6)</f>
        <v>9</v>
      </c>
      <c r="N2119" s="39">
        <f>IFERROR(VLOOKUP("188mg LP - EU Stock",Controls!A:I,8,0),3)</f>
        <v>8</v>
      </c>
      <c r="O2119" s="39">
        <f>IFERROR(VLOOKUP("188mg LP - EU Stock",Controls!A:I,9,0),18)</f>
        <v>18</v>
      </c>
      <c r="P2119" s="40">
        <f>IFERROR(VLOOKUP("188mg LP - EU Stock",Controls!A:J,5,0),0)</f>
        <v>16200</v>
      </c>
      <c r="Q2119" s="39">
        <f>IFERROR(VLOOKUP("188mg LP - EU Stock",Controls!A:J,6,0),3)</f>
        <v>3</v>
      </c>
      <c r="R2119" s="21" t="str">
        <f>IFERROR(VLOOKUP("188mg LP - EU Stock",Controls!A:K,10,0),"")</f>
        <v>Patheon (L&amp;P EU)</v>
      </c>
      <c r="S2119" s="41">
        <f t="shared" si="253"/>
        <v>50375</v>
      </c>
      <c r="T2119" s="30">
        <f t="shared" si="254"/>
        <v>0</v>
      </c>
      <c r="W2119" s="205" t="str" cm="1">
        <f t="array" ref="W2119">IF(145&lt;Controls!$B$7,TEXT(INDEX(A1974:A2152,MATCH(Controls!$B$5,A1974:A2152,1)+145),"MMM-YY"),"")</f>
        <v/>
      </c>
      <c r="X2119" t="str" cm="1">
        <f t="array" ref="X2119">IF(145&lt;Controls!$B$7,INDEX(F1974:F2152,MATCH(Controls!$B$5,A1974:A2152,1)+145),"")</f>
        <v/>
      </c>
      <c r="Y2119" t="str" cm="1">
        <f t="array" ref="Y2119">IF(145&lt;Controls!$B$7,INDEX(G1974:G2152,MATCH(Controls!$B$5,A1974:A2152,1)+145),"")</f>
        <v/>
      </c>
      <c r="Z2119" t="str" cm="1">
        <f t="array" ref="Z2119">IF(145&lt;Controls!$B$7,INDEX(H1974:H2152,MATCH(Controls!$B$5,A1974:A2152,1)+145),"")</f>
        <v/>
      </c>
      <c r="AA2119" t="str" cm="1">
        <f t="array" ref="AA2119">IF(145&lt;Controls!$B$7,INDEX(M1974:M2152,MATCH(Controls!$B$5,A1974:A2152,1)+145)*INDEX(I1974:I2152,MATCH(Controls!$B$5,A1974:A2152,1)+145),"")</f>
        <v/>
      </c>
      <c r="AB2119">
        <f t="shared" si="255"/>
        <v>0</v>
      </c>
    </row>
    <row r="2120" spans="1:28" x14ac:dyDescent="0.35">
      <c r="A2120" s="153">
        <v>50496</v>
      </c>
      <c r="B2120" s="155" t="s">
        <v>959</v>
      </c>
      <c r="C2120" s="15" t="s">
        <v>28</v>
      </c>
      <c r="D2120" s="15" t="s">
        <v>29</v>
      </c>
      <c r="E2120" s="199">
        <f>H2119</f>
        <v>0</v>
      </c>
      <c r="F2120" s="199">
        <f>IFERROR(SUMIFS('Demand Inputs'!$EV$5:$EV$202,'Demand Inputs'!$A$5:$A$202,"188mg LP - EU Stock",'Demand Inputs'!$B$5:$B$202,"&lt;&gt;AGGREGATE",'Demand Inputs'!$E$5:$E$202,1),0)</f>
        <v>0</v>
      </c>
      <c r="G2120" s="199" cm="1">
        <f t="array" ref="G2120">IFERROR(SUMPRODUCT(('Production Inputs'!$A:$A="188mg LP - EU Stock")*('Production Inputs'!$B:$B="TOTAL ACTIVE")*'Production Inputs'!$FB:$FB),0)</f>
        <v>0</v>
      </c>
      <c r="H2120" s="199">
        <f t="shared" si="249"/>
        <v>0</v>
      </c>
      <c r="I2120" s="30">
        <f ca="1">IFERROR(AVERAGEIF(OFFSET(F2120,0,0,MIN(Controls!$B$8,COUNTIF(B2120:B$2152,B2120)),1),"&gt;"&amp;0),0)</f>
        <v>0</v>
      </c>
      <c r="J2120" s="38">
        <f t="shared" ca="1" si="250"/>
        <v>0</v>
      </c>
      <c r="K2120" s="30">
        <f t="shared" ca="1" si="251"/>
        <v>0</v>
      </c>
      <c r="L2120" t="str">
        <f t="shared" si="252"/>
        <v>High</v>
      </c>
      <c r="M2120" s="39">
        <f>IFERROR(VLOOKUP("188mg LP - EU Stock",Controls!A:I,7,0),6)</f>
        <v>9</v>
      </c>
      <c r="N2120" s="39">
        <f>IFERROR(VLOOKUP("188mg LP - EU Stock",Controls!A:I,8,0),3)</f>
        <v>8</v>
      </c>
      <c r="O2120" s="39">
        <f>IFERROR(VLOOKUP("188mg LP - EU Stock",Controls!A:I,9,0),18)</f>
        <v>18</v>
      </c>
      <c r="P2120" s="40">
        <f>IFERROR(VLOOKUP("188mg LP - EU Stock",Controls!A:J,5,0),0)</f>
        <v>16200</v>
      </c>
      <c r="Q2120" s="39">
        <f>IFERROR(VLOOKUP("188mg LP - EU Stock",Controls!A:J,6,0),3)</f>
        <v>3</v>
      </c>
      <c r="R2120" s="21" t="str">
        <f>IFERROR(VLOOKUP("188mg LP - EU Stock",Controls!A:K,10,0),"")</f>
        <v>Patheon (L&amp;P EU)</v>
      </c>
      <c r="S2120" s="41">
        <f t="shared" si="253"/>
        <v>50406</v>
      </c>
      <c r="T2120" s="30">
        <f t="shared" si="254"/>
        <v>0</v>
      </c>
      <c r="W2120" s="205" t="str" cm="1">
        <f t="array" ref="W2120">IF(146&lt;Controls!$B$7,TEXT(INDEX(A1974:A2152,MATCH(Controls!$B$5,A1974:A2152,1)+146),"MMM-YY"),"")</f>
        <v/>
      </c>
      <c r="X2120" t="str" cm="1">
        <f t="array" ref="X2120">IF(146&lt;Controls!$B$7,INDEX(F1974:F2152,MATCH(Controls!$B$5,A1974:A2152,1)+146),"")</f>
        <v/>
      </c>
      <c r="Y2120" t="str" cm="1">
        <f t="array" ref="Y2120">IF(146&lt;Controls!$B$7,INDEX(G1974:G2152,MATCH(Controls!$B$5,A1974:A2152,1)+146),"")</f>
        <v/>
      </c>
      <c r="Z2120" t="str" cm="1">
        <f t="array" ref="Z2120">IF(146&lt;Controls!$B$7,INDEX(H1974:H2152,MATCH(Controls!$B$5,A1974:A2152,1)+146),"")</f>
        <v/>
      </c>
      <c r="AA2120" t="str" cm="1">
        <f t="array" ref="AA2120">IF(146&lt;Controls!$B$7,INDEX(M1974:M2152,MATCH(Controls!$B$5,A1974:A2152,1)+146)*INDEX(I1974:I2152,MATCH(Controls!$B$5,A1974:A2152,1)+146),"")</f>
        <v/>
      </c>
      <c r="AB2120">
        <f t="shared" si="255"/>
        <v>0</v>
      </c>
    </row>
    <row r="2121" spans="1:28" x14ac:dyDescent="0.35">
      <c r="A2121" s="153">
        <v>50526</v>
      </c>
      <c r="B2121" s="155" t="s">
        <v>959</v>
      </c>
      <c r="C2121" s="15" t="s">
        <v>28</v>
      </c>
      <c r="D2121" s="15" t="s">
        <v>29</v>
      </c>
      <c r="E2121" s="199">
        <f>H2120</f>
        <v>0</v>
      </c>
      <c r="F2121" s="199">
        <f>IFERROR(SUMIFS('Demand Inputs'!$EW$5:$EW$202,'Demand Inputs'!$A$5:$A$202,"188mg LP - EU Stock",'Demand Inputs'!$B$5:$B$202,"&lt;&gt;AGGREGATE",'Demand Inputs'!$E$5:$E$202,1),0)</f>
        <v>0</v>
      </c>
      <c r="G2121" s="199" cm="1">
        <f t="array" ref="G2121">IFERROR(SUMPRODUCT(('Production Inputs'!$A:$A="188mg LP - EU Stock")*('Production Inputs'!$B:$B="TOTAL ACTIVE")*'Production Inputs'!$FC:$FC),0)</f>
        <v>0</v>
      </c>
      <c r="H2121" s="199">
        <f t="shared" si="249"/>
        <v>0</v>
      </c>
      <c r="I2121" s="30">
        <f ca="1">IFERROR(AVERAGEIF(OFFSET(F2121,0,0,MIN(Controls!$B$8,COUNTIF(B2121:B$2152,B2121)),1),"&gt;"&amp;0),0)</f>
        <v>0</v>
      </c>
      <c r="J2121" s="38">
        <f t="shared" ca="1" si="250"/>
        <v>0</v>
      </c>
      <c r="K2121" s="30">
        <f t="shared" ca="1" si="251"/>
        <v>0</v>
      </c>
      <c r="L2121" t="str">
        <f t="shared" si="252"/>
        <v>High</v>
      </c>
      <c r="M2121" s="39">
        <f>IFERROR(VLOOKUP("188mg LP - EU Stock",Controls!A:I,7,0),6)</f>
        <v>9</v>
      </c>
      <c r="N2121" s="39">
        <f>IFERROR(VLOOKUP("188mg LP - EU Stock",Controls!A:I,8,0),3)</f>
        <v>8</v>
      </c>
      <c r="O2121" s="39">
        <f>IFERROR(VLOOKUP("188mg LP - EU Stock",Controls!A:I,9,0),18)</f>
        <v>18</v>
      </c>
      <c r="P2121" s="40">
        <f>IFERROR(VLOOKUP("188mg LP - EU Stock",Controls!A:J,5,0),0)</f>
        <v>16200</v>
      </c>
      <c r="Q2121" s="39">
        <f>IFERROR(VLOOKUP("188mg LP - EU Stock",Controls!A:J,6,0),3)</f>
        <v>3</v>
      </c>
      <c r="R2121" s="21" t="str">
        <f>IFERROR(VLOOKUP("188mg LP - EU Stock",Controls!A:K,10,0),"")</f>
        <v>Patheon (L&amp;P EU)</v>
      </c>
      <c r="S2121" s="41">
        <f t="shared" si="253"/>
        <v>50437</v>
      </c>
      <c r="T2121" s="30">
        <f t="shared" si="254"/>
        <v>0</v>
      </c>
      <c r="W2121" s="205" t="str" cm="1">
        <f t="array" ref="W2121">IF(147&lt;Controls!$B$7,TEXT(INDEX(A1974:A2152,MATCH(Controls!$B$5,A1974:A2152,1)+147),"MMM-YY"),"")</f>
        <v/>
      </c>
      <c r="X2121" t="str" cm="1">
        <f t="array" ref="X2121">IF(147&lt;Controls!$B$7,INDEX(F1974:F2152,MATCH(Controls!$B$5,A1974:A2152,1)+147),"")</f>
        <v/>
      </c>
      <c r="Y2121" t="str" cm="1">
        <f t="array" ref="Y2121">IF(147&lt;Controls!$B$7,INDEX(G1974:G2152,MATCH(Controls!$B$5,A1974:A2152,1)+147),"")</f>
        <v/>
      </c>
      <c r="Z2121" t="str" cm="1">
        <f t="array" ref="Z2121">IF(147&lt;Controls!$B$7,INDEX(H1974:H2152,MATCH(Controls!$B$5,A1974:A2152,1)+147),"")</f>
        <v/>
      </c>
      <c r="AA2121" t="str" cm="1">
        <f t="array" ref="AA2121">IF(147&lt;Controls!$B$7,INDEX(M1974:M2152,MATCH(Controls!$B$5,A1974:A2152,1)+147)*INDEX(I1974:I2152,MATCH(Controls!$B$5,A1974:A2152,1)+147),"")</f>
        <v/>
      </c>
      <c r="AB2121">
        <f t="shared" si="255"/>
        <v>0</v>
      </c>
    </row>
    <row r="2122" spans="1:28" x14ac:dyDescent="0.35">
      <c r="A2122" s="153">
        <v>50557</v>
      </c>
      <c r="B2122" s="155" t="s">
        <v>959</v>
      </c>
      <c r="C2122" s="15" t="s">
        <v>28</v>
      </c>
      <c r="D2122" s="15" t="s">
        <v>29</v>
      </c>
      <c r="E2122" s="199">
        <f>H2121</f>
        <v>0</v>
      </c>
      <c r="F2122" s="199">
        <f>IFERROR(SUMIFS('Demand Inputs'!$EX$5:$EX$202,'Demand Inputs'!$A$5:$A$202,"188mg LP - EU Stock",'Demand Inputs'!$B$5:$B$202,"&lt;&gt;AGGREGATE",'Demand Inputs'!$E$5:$E$202,1),0)</f>
        <v>0</v>
      </c>
      <c r="G2122" s="199" cm="1">
        <f t="array" ref="G2122">IFERROR(SUMPRODUCT(('Production Inputs'!$A:$A="188mg LP - EU Stock")*('Production Inputs'!$B:$B="TOTAL ACTIVE")*'Production Inputs'!$FD:$FD),0)</f>
        <v>0</v>
      </c>
      <c r="H2122" s="199">
        <f t="shared" si="249"/>
        <v>0</v>
      </c>
      <c r="I2122" s="30">
        <f ca="1">IFERROR(AVERAGEIF(OFFSET(F2122,0,0,MIN(Controls!$B$8,COUNTIF(B2122:B$2152,B2122)),1),"&gt;"&amp;0),0)</f>
        <v>0</v>
      </c>
      <c r="J2122" s="38">
        <f t="shared" ca="1" si="250"/>
        <v>0</v>
      </c>
      <c r="K2122" s="30">
        <f t="shared" ca="1" si="251"/>
        <v>0</v>
      </c>
      <c r="L2122" t="str">
        <f t="shared" si="252"/>
        <v>High</v>
      </c>
      <c r="M2122" s="39">
        <f>IFERROR(VLOOKUP("188mg LP - EU Stock",Controls!A:I,7,0),6)</f>
        <v>9</v>
      </c>
      <c r="N2122" s="39">
        <f>IFERROR(VLOOKUP("188mg LP - EU Stock",Controls!A:I,8,0),3)</f>
        <v>8</v>
      </c>
      <c r="O2122" s="39">
        <f>IFERROR(VLOOKUP("188mg LP - EU Stock",Controls!A:I,9,0),18)</f>
        <v>18</v>
      </c>
      <c r="P2122" s="40">
        <f>IFERROR(VLOOKUP("188mg LP - EU Stock",Controls!A:J,5,0),0)</f>
        <v>16200</v>
      </c>
      <c r="Q2122" s="39">
        <f>IFERROR(VLOOKUP("188mg LP - EU Stock",Controls!A:J,6,0),3)</f>
        <v>3</v>
      </c>
      <c r="R2122" s="21" t="str">
        <f>IFERROR(VLOOKUP("188mg LP - EU Stock",Controls!A:K,10,0),"")</f>
        <v>Patheon (L&amp;P EU)</v>
      </c>
      <c r="S2122" s="41">
        <f t="shared" si="253"/>
        <v>50465</v>
      </c>
      <c r="T2122" s="30">
        <f t="shared" si="254"/>
        <v>0</v>
      </c>
      <c r="W2122" s="205" t="str" cm="1">
        <f t="array" ref="W2122">IF(148&lt;Controls!$B$7,TEXT(INDEX(A1974:A2152,MATCH(Controls!$B$5,A1974:A2152,1)+148),"MMM-YY"),"")</f>
        <v/>
      </c>
      <c r="X2122" t="str" cm="1">
        <f t="array" ref="X2122">IF(148&lt;Controls!$B$7,INDEX(F1974:F2152,MATCH(Controls!$B$5,A1974:A2152,1)+148),"")</f>
        <v/>
      </c>
      <c r="Y2122" t="str" cm="1">
        <f t="array" ref="Y2122">IF(148&lt;Controls!$B$7,INDEX(G1974:G2152,MATCH(Controls!$B$5,A1974:A2152,1)+148),"")</f>
        <v/>
      </c>
      <c r="Z2122" t="str" cm="1">
        <f t="array" ref="Z2122">IF(148&lt;Controls!$B$7,INDEX(H1974:H2152,MATCH(Controls!$B$5,A1974:A2152,1)+148),"")</f>
        <v/>
      </c>
      <c r="AA2122" t="str" cm="1">
        <f t="array" ref="AA2122">IF(148&lt;Controls!$B$7,INDEX(M1974:M2152,MATCH(Controls!$B$5,A1974:A2152,1)+148)*INDEX(I1974:I2152,MATCH(Controls!$B$5,A1974:A2152,1)+148),"")</f>
        <v/>
      </c>
      <c r="AB2122">
        <f t="shared" si="255"/>
        <v>0</v>
      </c>
    </row>
    <row r="2123" spans="1:28" x14ac:dyDescent="0.35">
      <c r="A2123" s="153">
        <v>50587</v>
      </c>
      <c r="B2123" s="155" t="s">
        <v>959</v>
      </c>
      <c r="C2123" s="15" t="s">
        <v>28</v>
      </c>
      <c r="D2123" s="15" t="s">
        <v>29</v>
      </c>
      <c r="E2123" s="199">
        <f>H2122</f>
        <v>0</v>
      </c>
      <c r="F2123" s="199">
        <f>IFERROR(SUMIFS('Demand Inputs'!$EY$5:$EY$202,'Demand Inputs'!$A$5:$A$202,"188mg LP - EU Stock",'Demand Inputs'!$B$5:$B$202,"&lt;&gt;AGGREGATE",'Demand Inputs'!$E$5:$E$202,1),0)</f>
        <v>0</v>
      </c>
      <c r="G2123" s="199" cm="1">
        <f t="array" ref="G2123">IFERROR(SUMPRODUCT(('Production Inputs'!$A:$A="188mg LP - EU Stock")*('Production Inputs'!$B:$B="TOTAL ACTIVE")*'Production Inputs'!$FE:$FE),0)</f>
        <v>0</v>
      </c>
      <c r="H2123" s="199">
        <f t="shared" si="249"/>
        <v>0</v>
      </c>
      <c r="I2123" s="30">
        <f ca="1">IFERROR(AVERAGEIF(OFFSET(F2123,0,0,MIN(Controls!$B$8,COUNTIF(B2123:B$2152,B2123)),1),"&gt;"&amp;0),0)</f>
        <v>0</v>
      </c>
      <c r="J2123" s="38">
        <f t="shared" ca="1" si="250"/>
        <v>0</v>
      </c>
      <c r="K2123" s="30">
        <f t="shared" ca="1" si="251"/>
        <v>0</v>
      </c>
      <c r="L2123" t="str">
        <f t="shared" si="252"/>
        <v>High</v>
      </c>
      <c r="M2123" s="39">
        <f>IFERROR(VLOOKUP("188mg LP - EU Stock",Controls!A:I,7,0),6)</f>
        <v>9</v>
      </c>
      <c r="N2123" s="39">
        <f>IFERROR(VLOOKUP("188mg LP - EU Stock",Controls!A:I,8,0),3)</f>
        <v>8</v>
      </c>
      <c r="O2123" s="39">
        <f>IFERROR(VLOOKUP("188mg LP - EU Stock",Controls!A:I,9,0),18)</f>
        <v>18</v>
      </c>
      <c r="P2123" s="40">
        <f>IFERROR(VLOOKUP("188mg LP - EU Stock",Controls!A:J,5,0),0)</f>
        <v>16200</v>
      </c>
      <c r="Q2123" s="39">
        <f>IFERROR(VLOOKUP("188mg LP - EU Stock",Controls!A:J,6,0),3)</f>
        <v>3</v>
      </c>
      <c r="R2123" s="21" t="str">
        <f>IFERROR(VLOOKUP("188mg LP - EU Stock",Controls!A:K,10,0),"")</f>
        <v>Patheon (L&amp;P EU)</v>
      </c>
      <c r="S2123" s="41">
        <f t="shared" si="253"/>
        <v>50496</v>
      </c>
      <c r="T2123" s="30">
        <f t="shared" si="254"/>
        <v>0</v>
      </c>
      <c r="W2123" s="205" t="str" cm="1">
        <f t="array" ref="W2123">IF(149&lt;Controls!$B$7,TEXT(INDEX(A1974:A2152,MATCH(Controls!$B$5,A1974:A2152,1)+149),"MMM-YY"),"")</f>
        <v/>
      </c>
      <c r="X2123" t="str" cm="1">
        <f t="array" ref="X2123">IF(149&lt;Controls!$B$7,INDEX(F1974:F2152,MATCH(Controls!$B$5,A1974:A2152,1)+149),"")</f>
        <v/>
      </c>
      <c r="Y2123" t="str" cm="1">
        <f t="array" ref="Y2123">IF(149&lt;Controls!$B$7,INDEX(G1974:G2152,MATCH(Controls!$B$5,A1974:A2152,1)+149),"")</f>
        <v/>
      </c>
      <c r="Z2123" t="str" cm="1">
        <f t="array" ref="Z2123">IF(149&lt;Controls!$B$7,INDEX(H1974:H2152,MATCH(Controls!$B$5,A1974:A2152,1)+149),"")</f>
        <v/>
      </c>
      <c r="AA2123" t="str" cm="1">
        <f t="array" ref="AA2123">IF(149&lt;Controls!$B$7,INDEX(M1974:M2152,MATCH(Controls!$B$5,A1974:A2152,1)+149)*INDEX(I1974:I2152,MATCH(Controls!$B$5,A1974:A2152,1)+149),"")</f>
        <v/>
      </c>
      <c r="AB2123">
        <f t="shared" si="255"/>
        <v>0</v>
      </c>
    </row>
    <row r="2124" spans="1:28" x14ac:dyDescent="0.35">
      <c r="A2124" s="153">
        <v>50618</v>
      </c>
      <c r="B2124" s="155" t="s">
        <v>959</v>
      </c>
      <c r="C2124" s="15" t="s">
        <v>28</v>
      </c>
      <c r="D2124" s="15" t="s">
        <v>29</v>
      </c>
      <c r="E2124" s="199">
        <f>H2123</f>
        <v>0</v>
      </c>
      <c r="F2124" s="199">
        <f>IFERROR(SUMIFS('Demand Inputs'!$EZ$5:$EZ$202,'Demand Inputs'!$A$5:$A$202,"188mg LP - EU Stock",'Demand Inputs'!$B$5:$B$202,"&lt;&gt;AGGREGATE",'Demand Inputs'!$E$5:$E$202,1),0)</f>
        <v>0</v>
      </c>
      <c r="G2124" s="199" cm="1">
        <f t="array" ref="G2124">IFERROR(SUMPRODUCT(('Production Inputs'!$A:$A="188mg LP - EU Stock")*('Production Inputs'!$B:$B="TOTAL ACTIVE")*'Production Inputs'!$FF:$FF),0)</f>
        <v>0</v>
      </c>
      <c r="H2124" s="199">
        <f t="shared" si="249"/>
        <v>0</v>
      </c>
      <c r="I2124" s="30">
        <f ca="1">IFERROR(AVERAGEIF(OFFSET(F2124,0,0,MIN(Controls!$B$8,COUNTIF(B2124:B$2152,B2124)),1),"&gt;"&amp;0),0)</f>
        <v>0</v>
      </c>
      <c r="J2124" s="38">
        <f t="shared" ca="1" si="250"/>
        <v>0</v>
      </c>
      <c r="K2124" s="30">
        <f t="shared" ca="1" si="251"/>
        <v>0</v>
      </c>
      <c r="L2124" t="str">
        <f t="shared" si="252"/>
        <v>High</v>
      </c>
      <c r="M2124" s="39">
        <f>IFERROR(VLOOKUP("188mg LP - EU Stock",Controls!A:I,7,0),6)</f>
        <v>9</v>
      </c>
      <c r="N2124" s="39">
        <f>IFERROR(VLOOKUP("188mg LP - EU Stock",Controls!A:I,8,0),3)</f>
        <v>8</v>
      </c>
      <c r="O2124" s="39">
        <f>IFERROR(VLOOKUP("188mg LP - EU Stock",Controls!A:I,9,0),18)</f>
        <v>18</v>
      </c>
      <c r="P2124" s="40">
        <f>IFERROR(VLOOKUP("188mg LP - EU Stock",Controls!A:J,5,0),0)</f>
        <v>16200</v>
      </c>
      <c r="Q2124" s="39">
        <f>IFERROR(VLOOKUP("188mg LP - EU Stock",Controls!A:J,6,0),3)</f>
        <v>3</v>
      </c>
      <c r="R2124" s="21" t="str">
        <f>IFERROR(VLOOKUP("188mg LP - EU Stock",Controls!A:K,10,0),"")</f>
        <v>Patheon (L&amp;P EU)</v>
      </c>
      <c r="S2124" s="41">
        <f t="shared" si="253"/>
        <v>50526</v>
      </c>
      <c r="T2124" s="30">
        <f t="shared" si="254"/>
        <v>0</v>
      </c>
      <c r="W2124" s="205" t="str" cm="1">
        <f t="array" ref="W2124">IF(150&lt;Controls!$B$7,TEXT(INDEX(A1974:A2152,MATCH(Controls!$B$5,A1974:A2152,1)+150),"MMM-YY"),"")</f>
        <v/>
      </c>
      <c r="X2124" t="str" cm="1">
        <f t="array" ref="X2124">IF(150&lt;Controls!$B$7,INDEX(F1974:F2152,MATCH(Controls!$B$5,A1974:A2152,1)+150),"")</f>
        <v/>
      </c>
      <c r="Y2124" t="str" cm="1">
        <f t="array" ref="Y2124">IF(150&lt;Controls!$B$7,INDEX(G1974:G2152,MATCH(Controls!$B$5,A1974:A2152,1)+150),"")</f>
        <v/>
      </c>
      <c r="Z2124" t="str" cm="1">
        <f t="array" ref="Z2124">IF(150&lt;Controls!$B$7,INDEX(H1974:H2152,MATCH(Controls!$B$5,A1974:A2152,1)+150),"")</f>
        <v/>
      </c>
      <c r="AA2124" t="str" cm="1">
        <f t="array" ref="AA2124">IF(150&lt;Controls!$B$7,INDEX(M1974:M2152,MATCH(Controls!$B$5,A1974:A2152,1)+150)*INDEX(I1974:I2152,MATCH(Controls!$B$5,A1974:A2152,1)+150),"")</f>
        <v/>
      </c>
      <c r="AB2124">
        <f t="shared" si="255"/>
        <v>0</v>
      </c>
    </row>
    <row r="2125" spans="1:28" x14ac:dyDescent="0.35">
      <c r="A2125" s="153">
        <v>50649</v>
      </c>
      <c r="B2125" s="155" t="s">
        <v>959</v>
      </c>
      <c r="C2125" s="15" t="s">
        <v>28</v>
      </c>
      <c r="D2125" s="15" t="s">
        <v>29</v>
      </c>
      <c r="E2125" s="199">
        <f>H2124</f>
        <v>0</v>
      </c>
      <c r="F2125" s="199">
        <f>IFERROR(SUMIFS('Demand Inputs'!$FA$5:$FA$202,'Demand Inputs'!$A$5:$A$202,"188mg LP - EU Stock",'Demand Inputs'!$B$5:$B$202,"&lt;&gt;AGGREGATE",'Demand Inputs'!$E$5:$E$202,1),0)</f>
        <v>0</v>
      </c>
      <c r="G2125" s="199" cm="1">
        <f t="array" ref="G2125">IFERROR(SUMPRODUCT(('Production Inputs'!$A:$A="188mg LP - EU Stock")*('Production Inputs'!$B:$B="TOTAL ACTIVE")*'Production Inputs'!$FG:$FG),0)</f>
        <v>0</v>
      </c>
      <c r="H2125" s="199">
        <f t="shared" si="249"/>
        <v>0</v>
      </c>
      <c r="I2125" s="30">
        <f ca="1">IFERROR(AVERAGEIF(OFFSET(F2125,0,0,MIN(Controls!$B$8,COUNTIF(B2125:B$2152,B2125)),1),"&gt;"&amp;0),0)</f>
        <v>0</v>
      </c>
      <c r="J2125" s="38">
        <f t="shared" ca="1" si="250"/>
        <v>0</v>
      </c>
      <c r="K2125" s="30">
        <f t="shared" ca="1" si="251"/>
        <v>0</v>
      </c>
      <c r="L2125" t="str">
        <f t="shared" si="252"/>
        <v>High</v>
      </c>
      <c r="M2125" s="39">
        <f>IFERROR(VLOOKUP("188mg LP - EU Stock",Controls!A:I,7,0),6)</f>
        <v>9</v>
      </c>
      <c r="N2125" s="39">
        <f>IFERROR(VLOOKUP("188mg LP - EU Stock",Controls!A:I,8,0),3)</f>
        <v>8</v>
      </c>
      <c r="O2125" s="39">
        <f>IFERROR(VLOOKUP("188mg LP - EU Stock",Controls!A:I,9,0),18)</f>
        <v>18</v>
      </c>
      <c r="P2125" s="40">
        <f>IFERROR(VLOOKUP("188mg LP - EU Stock",Controls!A:J,5,0),0)</f>
        <v>16200</v>
      </c>
      <c r="Q2125" s="39">
        <f>IFERROR(VLOOKUP("188mg LP - EU Stock",Controls!A:J,6,0),3)</f>
        <v>3</v>
      </c>
      <c r="R2125" s="21" t="str">
        <f>IFERROR(VLOOKUP("188mg LP - EU Stock",Controls!A:K,10,0),"")</f>
        <v>Patheon (L&amp;P EU)</v>
      </c>
      <c r="S2125" s="41">
        <f t="shared" si="253"/>
        <v>50557</v>
      </c>
      <c r="T2125" s="30">
        <f t="shared" si="254"/>
        <v>0</v>
      </c>
      <c r="W2125" s="205" t="str" cm="1">
        <f t="array" ref="W2125">IF(151&lt;Controls!$B$7,TEXT(INDEX(A1974:A2152,MATCH(Controls!$B$5,A1974:A2152,1)+151),"MMM-YY"),"")</f>
        <v/>
      </c>
      <c r="X2125" t="str" cm="1">
        <f t="array" ref="X2125">IF(151&lt;Controls!$B$7,INDEX(F1974:F2152,MATCH(Controls!$B$5,A1974:A2152,1)+151),"")</f>
        <v/>
      </c>
      <c r="Y2125" t="str" cm="1">
        <f t="array" ref="Y2125">IF(151&lt;Controls!$B$7,INDEX(G1974:G2152,MATCH(Controls!$B$5,A1974:A2152,1)+151),"")</f>
        <v/>
      </c>
      <c r="Z2125" t="str" cm="1">
        <f t="array" ref="Z2125">IF(151&lt;Controls!$B$7,INDEX(H1974:H2152,MATCH(Controls!$B$5,A1974:A2152,1)+151),"")</f>
        <v/>
      </c>
      <c r="AA2125" t="str" cm="1">
        <f t="array" ref="AA2125">IF(151&lt;Controls!$B$7,INDEX(M1974:M2152,MATCH(Controls!$B$5,A1974:A2152,1)+151)*INDEX(I1974:I2152,MATCH(Controls!$B$5,A1974:A2152,1)+151),"")</f>
        <v/>
      </c>
      <c r="AB2125">
        <f t="shared" si="255"/>
        <v>0</v>
      </c>
    </row>
    <row r="2126" spans="1:28" x14ac:dyDescent="0.35">
      <c r="A2126" s="153">
        <v>50679</v>
      </c>
      <c r="B2126" s="155" t="s">
        <v>959</v>
      </c>
      <c r="C2126" s="15" t="s">
        <v>28</v>
      </c>
      <c r="D2126" s="15" t="s">
        <v>29</v>
      </c>
      <c r="E2126" s="199">
        <f>H2125</f>
        <v>0</v>
      </c>
      <c r="F2126" s="199">
        <f>IFERROR(SUMIFS('Demand Inputs'!$FB$5:$FB$202,'Demand Inputs'!$A$5:$A$202,"188mg LP - EU Stock",'Demand Inputs'!$B$5:$B$202,"&lt;&gt;AGGREGATE",'Demand Inputs'!$E$5:$E$202,1),0)</f>
        <v>0</v>
      </c>
      <c r="G2126" s="199" cm="1">
        <f t="array" ref="G2126">IFERROR(SUMPRODUCT(('Production Inputs'!$A:$A="188mg LP - EU Stock")*('Production Inputs'!$B:$B="TOTAL ACTIVE")*'Production Inputs'!$FH:$FH),0)</f>
        <v>0</v>
      </c>
      <c r="H2126" s="199">
        <f t="shared" si="249"/>
        <v>0</v>
      </c>
      <c r="I2126" s="30">
        <f ca="1">IFERROR(AVERAGEIF(OFFSET(F2126,0,0,MIN(Controls!$B$8,COUNTIF(B2126:B$2152,B2126)),1),"&gt;"&amp;0),0)</f>
        <v>0</v>
      </c>
      <c r="J2126" s="38">
        <f t="shared" ca="1" si="250"/>
        <v>0</v>
      </c>
      <c r="K2126" s="30">
        <f t="shared" ca="1" si="251"/>
        <v>0</v>
      </c>
      <c r="L2126" t="str">
        <f t="shared" si="252"/>
        <v>High</v>
      </c>
      <c r="M2126" s="39">
        <f>IFERROR(VLOOKUP("188mg LP - EU Stock",Controls!A:I,7,0),6)</f>
        <v>9</v>
      </c>
      <c r="N2126" s="39">
        <f>IFERROR(VLOOKUP("188mg LP - EU Stock",Controls!A:I,8,0),3)</f>
        <v>8</v>
      </c>
      <c r="O2126" s="39">
        <f>IFERROR(VLOOKUP("188mg LP - EU Stock",Controls!A:I,9,0),18)</f>
        <v>18</v>
      </c>
      <c r="P2126" s="40">
        <f>IFERROR(VLOOKUP("188mg LP - EU Stock",Controls!A:J,5,0),0)</f>
        <v>16200</v>
      </c>
      <c r="Q2126" s="39">
        <f>IFERROR(VLOOKUP("188mg LP - EU Stock",Controls!A:J,6,0),3)</f>
        <v>3</v>
      </c>
      <c r="R2126" s="21" t="str">
        <f>IFERROR(VLOOKUP("188mg LP - EU Stock",Controls!A:K,10,0),"")</f>
        <v>Patheon (L&amp;P EU)</v>
      </c>
      <c r="S2126" s="41">
        <f t="shared" si="253"/>
        <v>50587</v>
      </c>
      <c r="T2126" s="30">
        <f t="shared" si="254"/>
        <v>0</v>
      </c>
      <c r="W2126" s="205" t="str" cm="1">
        <f t="array" ref="W2126">IF(152&lt;Controls!$B$7,TEXT(INDEX(A1974:A2152,MATCH(Controls!$B$5,A1974:A2152,1)+152),"MMM-YY"),"")</f>
        <v/>
      </c>
      <c r="X2126" t="str" cm="1">
        <f t="array" ref="X2126">IF(152&lt;Controls!$B$7,INDEX(F1974:F2152,MATCH(Controls!$B$5,A1974:A2152,1)+152),"")</f>
        <v/>
      </c>
      <c r="Y2126" t="str" cm="1">
        <f t="array" ref="Y2126">IF(152&lt;Controls!$B$7,INDEX(G1974:G2152,MATCH(Controls!$B$5,A1974:A2152,1)+152),"")</f>
        <v/>
      </c>
      <c r="Z2126" t="str" cm="1">
        <f t="array" ref="Z2126">IF(152&lt;Controls!$B$7,INDEX(H1974:H2152,MATCH(Controls!$B$5,A1974:A2152,1)+152),"")</f>
        <v/>
      </c>
      <c r="AA2126" t="str" cm="1">
        <f t="array" ref="AA2126">IF(152&lt;Controls!$B$7,INDEX(M1974:M2152,MATCH(Controls!$B$5,A1974:A2152,1)+152)*INDEX(I1974:I2152,MATCH(Controls!$B$5,A1974:A2152,1)+152),"")</f>
        <v/>
      </c>
      <c r="AB2126">
        <f t="shared" si="255"/>
        <v>0</v>
      </c>
    </row>
    <row r="2127" spans="1:28" x14ac:dyDescent="0.35">
      <c r="A2127" s="153">
        <v>50710</v>
      </c>
      <c r="B2127" s="155" t="s">
        <v>959</v>
      </c>
      <c r="C2127" s="15" t="s">
        <v>28</v>
      </c>
      <c r="D2127" s="15" t="s">
        <v>29</v>
      </c>
      <c r="E2127" s="199">
        <f>H2126</f>
        <v>0</v>
      </c>
      <c r="F2127" s="199">
        <f>IFERROR(SUMIFS('Demand Inputs'!$FC$5:$FC$202,'Demand Inputs'!$A$5:$A$202,"188mg LP - EU Stock",'Demand Inputs'!$B$5:$B$202,"&lt;&gt;AGGREGATE",'Demand Inputs'!$E$5:$E$202,1),0)</f>
        <v>0</v>
      </c>
      <c r="G2127" s="199" cm="1">
        <f t="array" ref="G2127">IFERROR(SUMPRODUCT(('Production Inputs'!$A:$A="188mg LP - EU Stock")*('Production Inputs'!$B:$B="TOTAL ACTIVE")*'Production Inputs'!$FI:$FI),0)</f>
        <v>0</v>
      </c>
      <c r="H2127" s="199">
        <f t="shared" si="249"/>
        <v>0</v>
      </c>
      <c r="I2127" s="30">
        <f ca="1">IFERROR(AVERAGEIF(OFFSET(F2127,0,0,MIN(Controls!$B$8,COUNTIF(B2127:B$2152,B2127)),1),"&gt;"&amp;0),0)</f>
        <v>0</v>
      </c>
      <c r="J2127" s="38">
        <f t="shared" ca="1" si="250"/>
        <v>0</v>
      </c>
      <c r="K2127" s="30">
        <f t="shared" ca="1" si="251"/>
        <v>0</v>
      </c>
      <c r="L2127" t="str">
        <f t="shared" si="252"/>
        <v>High</v>
      </c>
      <c r="M2127" s="39">
        <f>IFERROR(VLOOKUP("188mg LP - EU Stock",Controls!A:I,7,0),6)</f>
        <v>9</v>
      </c>
      <c r="N2127" s="39">
        <f>IFERROR(VLOOKUP("188mg LP - EU Stock",Controls!A:I,8,0),3)</f>
        <v>8</v>
      </c>
      <c r="O2127" s="39">
        <f>IFERROR(VLOOKUP("188mg LP - EU Stock",Controls!A:I,9,0),18)</f>
        <v>18</v>
      </c>
      <c r="P2127" s="40">
        <f>IFERROR(VLOOKUP("188mg LP - EU Stock",Controls!A:J,5,0),0)</f>
        <v>16200</v>
      </c>
      <c r="Q2127" s="39">
        <f>IFERROR(VLOOKUP("188mg LP - EU Stock",Controls!A:J,6,0),3)</f>
        <v>3</v>
      </c>
      <c r="R2127" s="21" t="str">
        <f>IFERROR(VLOOKUP("188mg LP - EU Stock",Controls!A:K,10,0),"")</f>
        <v>Patheon (L&amp;P EU)</v>
      </c>
      <c r="S2127" s="41">
        <f t="shared" si="253"/>
        <v>50618</v>
      </c>
      <c r="T2127" s="30">
        <f t="shared" si="254"/>
        <v>0</v>
      </c>
      <c r="W2127" s="205" t="str" cm="1">
        <f t="array" ref="W2127">IF(153&lt;Controls!$B$7,TEXT(INDEX(A1974:A2152,MATCH(Controls!$B$5,A1974:A2152,1)+153),"MMM-YY"),"")</f>
        <v/>
      </c>
      <c r="X2127" t="str" cm="1">
        <f t="array" ref="X2127">IF(153&lt;Controls!$B$7,INDEX(F1974:F2152,MATCH(Controls!$B$5,A1974:A2152,1)+153),"")</f>
        <v/>
      </c>
      <c r="Y2127" t="str" cm="1">
        <f t="array" ref="Y2127">IF(153&lt;Controls!$B$7,INDEX(G1974:G2152,MATCH(Controls!$B$5,A1974:A2152,1)+153),"")</f>
        <v/>
      </c>
      <c r="Z2127" t="str" cm="1">
        <f t="array" ref="Z2127">IF(153&lt;Controls!$B$7,INDEX(H1974:H2152,MATCH(Controls!$B$5,A1974:A2152,1)+153),"")</f>
        <v/>
      </c>
      <c r="AA2127" t="str" cm="1">
        <f t="array" ref="AA2127">IF(153&lt;Controls!$B$7,INDEX(M1974:M2152,MATCH(Controls!$B$5,A1974:A2152,1)+153)*INDEX(I1974:I2152,MATCH(Controls!$B$5,A1974:A2152,1)+153),"")</f>
        <v/>
      </c>
      <c r="AB2127">
        <f t="shared" si="255"/>
        <v>0</v>
      </c>
    </row>
    <row r="2128" spans="1:28" x14ac:dyDescent="0.35">
      <c r="A2128" s="153">
        <v>50740</v>
      </c>
      <c r="B2128" s="155" t="s">
        <v>959</v>
      </c>
      <c r="C2128" s="15" t="s">
        <v>28</v>
      </c>
      <c r="D2128" s="15" t="s">
        <v>29</v>
      </c>
      <c r="E2128" s="199">
        <f>H2127</f>
        <v>0</v>
      </c>
      <c r="F2128" s="199">
        <f>IFERROR(SUMIFS('Demand Inputs'!$FD$5:$FD$202,'Demand Inputs'!$A$5:$A$202,"188mg LP - EU Stock",'Demand Inputs'!$B$5:$B$202,"&lt;&gt;AGGREGATE",'Demand Inputs'!$E$5:$E$202,1),0)</f>
        <v>0</v>
      </c>
      <c r="G2128" s="199" cm="1">
        <f t="array" ref="G2128">IFERROR(SUMPRODUCT(('Production Inputs'!$A:$A="188mg LP - EU Stock")*('Production Inputs'!$B:$B="TOTAL ACTIVE")*'Production Inputs'!$FJ:$FJ),0)</f>
        <v>0</v>
      </c>
      <c r="H2128" s="199">
        <f t="shared" si="249"/>
        <v>0</v>
      </c>
      <c r="I2128" s="30">
        <f ca="1">IFERROR(AVERAGEIF(OFFSET(F2128,0,0,MIN(Controls!$B$8,COUNTIF(B2128:B$2152,B2128)),1),"&gt;"&amp;0),0)</f>
        <v>0</v>
      </c>
      <c r="J2128" s="38">
        <f t="shared" ca="1" si="250"/>
        <v>0</v>
      </c>
      <c r="K2128" s="30">
        <f t="shared" ca="1" si="251"/>
        <v>0</v>
      </c>
      <c r="L2128" t="str">
        <f t="shared" si="252"/>
        <v>High</v>
      </c>
      <c r="M2128" s="39">
        <f>IFERROR(VLOOKUP("188mg LP - EU Stock",Controls!A:I,7,0),6)</f>
        <v>9</v>
      </c>
      <c r="N2128" s="39">
        <f>IFERROR(VLOOKUP("188mg LP - EU Stock",Controls!A:I,8,0),3)</f>
        <v>8</v>
      </c>
      <c r="O2128" s="39">
        <f>IFERROR(VLOOKUP("188mg LP - EU Stock",Controls!A:I,9,0),18)</f>
        <v>18</v>
      </c>
      <c r="P2128" s="40">
        <f>IFERROR(VLOOKUP("188mg LP - EU Stock",Controls!A:J,5,0),0)</f>
        <v>16200</v>
      </c>
      <c r="Q2128" s="39">
        <f>IFERROR(VLOOKUP("188mg LP - EU Stock",Controls!A:J,6,0),3)</f>
        <v>3</v>
      </c>
      <c r="R2128" s="21" t="str">
        <f>IFERROR(VLOOKUP("188mg LP - EU Stock",Controls!A:K,10,0),"")</f>
        <v>Patheon (L&amp;P EU)</v>
      </c>
      <c r="S2128" s="41">
        <f t="shared" si="253"/>
        <v>50649</v>
      </c>
      <c r="T2128" s="30">
        <f t="shared" si="254"/>
        <v>0</v>
      </c>
      <c r="W2128" s="205" t="str" cm="1">
        <f t="array" ref="W2128">IF(154&lt;Controls!$B$7,TEXT(INDEX(A1974:A2152,MATCH(Controls!$B$5,A1974:A2152,1)+154),"MMM-YY"),"")</f>
        <v/>
      </c>
      <c r="X2128" t="str" cm="1">
        <f t="array" ref="X2128">IF(154&lt;Controls!$B$7,INDEX(F1974:F2152,MATCH(Controls!$B$5,A1974:A2152,1)+154),"")</f>
        <v/>
      </c>
      <c r="Y2128" t="str" cm="1">
        <f t="array" ref="Y2128">IF(154&lt;Controls!$B$7,INDEX(G1974:G2152,MATCH(Controls!$B$5,A1974:A2152,1)+154),"")</f>
        <v/>
      </c>
      <c r="Z2128" t="str" cm="1">
        <f t="array" ref="Z2128">IF(154&lt;Controls!$B$7,INDEX(H1974:H2152,MATCH(Controls!$B$5,A1974:A2152,1)+154),"")</f>
        <v/>
      </c>
      <c r="AA2128" t="str" cm="1">
        <f t="array" ref="AA2128">IF(154&lt;Controls!$B$7,INDEX(M1974:M2152,MATCH(Controls!$B$5,A1974:A2152,1)+154)*INDEX(I1974:I2152,MATCH(Controls!$B$5,A1974:A2152,1)+154),"")</f>
        <v/>
      </c>
      <c r="AB2128">
        <f t="shared" si="255"/>
        <v>0</v>
      </c>
    </row>
    <row r="2129" spans="1:28" x14ac:dyDescent="0.35">
      <c r="A2129" s="153">
        <v>50771</v>
      </c>
      <c r="B2129" s="155" t="s">
        <v>959</v>
      </c>
      <c r="C2129" s="15" t="s">
        <v>28</v>
      </c>
      <c r="D2129" s="15" t="s">
        <v>29</v>
      </c>
      <c r="E2129" s="199">
        <f>H2128</f>
        <v>0</v>
      </c>
      <c r="F2129" s="199">
        <f>IFERROR(SUMIFS('Demand Inputs'!$FE$5:$FE$202,'Demand Inputs'!$A$5:$A$202,"188mg LP - EU Stock",'Demand Inputs'!$B$5:$B$202,"&lt;&gt;AGGREGATE",'Demand Inputs'!$E$5:$E$202,1),0)</f>
        <v>0</v>
      </c>
      <c r="G2129" s="199" cm="1">
        <f t="array" ref="G2129">IFERROR(SUMPRODUCT(('Production Inputs'!$A:$A="188mg LP - EU Stock")*('Production Inputs'!$B:$B="TOTAL ACTIVE")*'Production Inputs'!$FK:$FK),0)</f>
        <v>0</v>
      </c>
      <c r="H2129" s="199">
        <f t="shared" si="249"/>
        <v>0</v>
      </c>
      <c r="I2129" s="30">
        <f ca="1">IFERROR(AVERAGEIF(OFFSET(F2129,0,0,MIN(Controls!$B$8,COUNTIF(B2129:B$2152,B2129)),1),"&gt;"&amp;0),0)</f>
        <v>0</v>
      </c>
      <c r="J2129" s="38">
        <f t="shared" ca="1" si="250"/>
        <v>0</v>
      </c>
      <c r="K2129" s="30">
        <f t="shared" ca="1" si="251"/>
        <v>0</v>
      </c>
      <c r="L2129" t="str">
        <f t="shared" si="252"/>
        <v>High</v>
      </c>
      <c r="M2129" s="39">
        <f>IFERROR(VLOOKUP("188mg LP - EU Stock",Controls!A:I,7,0),6)</f>
        <v>9</v>
      </c>
      <c r="N2129" s="39">
        <f>IFERROR(VLOOKUP("188mg LP - EU Stock",Controls!A:I,8,0),3)</f>
        <v>8</v>
      </c>
      <c r="O2129" s="39">
        <f>IFERROR(VLOOKUP("188mg LP - EU Stock",Controls!A:I,9,0),18)</f>
        <v>18</v>
      </c>
      <c r="P2129" s="40">
        <f>IFERROR(VLOOKUP("188mg LP - EU Stock",Controls!A:J,5,0),0)</f>
        <v>16200</v>
      </c>
      <c r="Q2129" s="39">
        <f>IFERROR(VLOOKUP("188mg LP - EU Stock",Controls!A:J,6,0),3)</f>
        <v>3</v>
      </c>
      <c r="R2129" s="21" t="str">
        <f>IFERROR(VLOOKUP("188mg LP - EU Stock",Controls!A:K,10,0),"")</f>
        <v>Patheon (L&amp;P EU)</v>
      </c>
      <c r="S2129" s="41">
        <f t="shared" si="253"/>
        <v>50679</v>
      </c>
      <c r="T2129" s="30">
        <f t="shared" si="254"/>
        <v>0</v>
      </c>
      <c r="W2129" s="205" t="str" cm="1">
        <f t="array" ref="W2129">IF(155&lt;Controls!$B$7,TEXT(INDEX(A1974:A2152,MATCH(Controls!$B$5,A1974:A2152,1)+155),"MMM-YY"),"")</f>
        <v/>
      </c>
      <c r="X2129" t="str" cm="1">
        <f t="array" ref="X2129">IF(155&lt;Controls!$B$7,INDEX(F1974:F2152,MATCH(Controls!$B$5,A1974:A2152,1)+155),"")</f>
        <v/>
      </c>
      <c r="Y2129" t="str" cm="1">
        <f t="array" ref="Y2129">IF(155&lt;Controls!$B$7,INDEX(G1974:G2152,MATCH(Controls!$B$5,A1974:A2152,1)+155),"")</f>
        <v/>
      </c>
      <c r="Z2129" t="str" cm="1">
        <f t="array" ref="Z2129">IF(155&lt;Controls!$B$7,INDEX(H1974:H2152,MATCH(Controls!$B$5,A1974:A2152,1)+155),"")</f>
        <v/>
      </c>
      <c r="AA2129" t="str" cm="1">
        <f t="array" ref="AA2129">IF(155&lt;Controls!$B$7,INDEX(M1974:M2152,MATCH(Controls!$B$5,A1974:A2152,1)+155)*INDEX(I1974:I2152,MATCH(Controls!$B$5,A1974:A2152,1)+155),"")</f>
        <v/>
      </c>
      <c r="AB2129">
        <f t="shared" si="255"/>
        <v>0</v>
      </c>
    </row>
    <row r="2130" spans="1:28" x14ac:dyDescent="0.35">
      <c r="A2130" s="153">
        <v>50802</v>
      </c>
      <c r="B2130" s="155" t="s">
        <v>959</v>
      </c>
      <c r="C2130" s="15" t="s">
        <v>28</v>
      </c>
      <c r="D2130" s="15" t="s">
        <v>29</v>
      </c>
      <c r="E2130" s="199">
        <f>H2129</f>
        <v>0</v>
      </c>
      <c r="F2130" s="199">
        <f>IFERROR(SUMIFS('Demand Inputs'!$FF$5:$FF$202,'Demand Inputs'!$A$5:$A$202,"188mg LP - EU Stock",'Demand Inputs'!$B$5:$B$202,"&lt;&gt;AGGREGATE",'Demand Inputs'!$E$5:$E$202,1),0)</f>
        <v>0</v>
      </c>
      <c r="G2130" s="199" cm="1">
        <f t="array" ref="G2130">IFERROR(SUMPRODUCT(('Production Inputs'!$A:$A="188mg LP - EU Stock")*('Production Inputs'!$B:$B="TOTAL ACTIVE")*'Production Inputs'!$FL:$FL),0)</f>
        <v>0</v>
      </c>
      <c r="H2130" s="199">
        <f t="shared" si="249"/>
        <v>0</v>
      </c>
      <c r="I2130" s="30">
        <f ca="1">IFERROR(AVERAGEIF(OFFSET(F2130,0,0,MIN(Controls!$B$8,COUNTIF(B2130:B$2152,B2130)),1),"&gt;"&amp;0),0)</f>
        <v>0</v>
      </c>
      <c r="J2130" s="38">
        <f t="shared" ca="1" si="250"/>
        <v>0</v>
      </c>
      <c r="K2130" s="30">
        <f t="shared" ca="1" si="251"/>
        <v>0</v>
      </c>
      <c r="L2130" t="str">
        <f t="shared" si="252"/>
        <v>High</v>
      </c>
      <c r="M2130" s="39">
        <f>IFERROR(VLOOKUP("188mg LP - EU Stock",Controls!A:I,7,0),6)</f>
        <v>9</v>
      </c>
      <c r="N2130" s="39">
        <f>IFERROR(VLOOKUP("188mg LP - EU Stock",Controls!A:I,8,0),3)</f>
        <v>8</v>
      </c>
      <c r="O2130" s="39">
        <f>IFERROR(VLOOKUP("188mg LP - EU Stock",Controls!A:I,9,0),18)</f>
        <v>18</v>
      </c>
      <c r="P2130" s="40">
        <f>IFERROR(VLOOKUP("188mg LP - EU Stock",Controls!A:J,5,0),0)</f>
        <v>16200</v>
      </c>
      <c r="Q2130" s="39">
        <f>IFERROR(VLOOKUP("188mg LP - EU Stock",Controls!A:J,6,0),3)</f>
        <v>3</v>
      </c>
      <c r="R2130" s="21" t="str">
        <f>IFERROR(VLOOKUP("188mg LP - EU Stock",Controls!A:K,10,0),"")</f>
        <v>Patheon (L&amp;P EU)</v>
      </c>
      <c r="S2130" s="41">
        <f t="shared" si="253"/>
        <v>50710</v>
      </c>
      <c r="T2130" s="30">
        <f t="shared" si="254"/>
        <v>0</v>
      </c>
      <c r="W2130" s="205" t="str" cm="1">
        <f t="array" ref="W2130">IF(156&lt;Controls!$B$7,TEXT(INDEX(A1974:A2152,MATCH(Controls!$B$5,A1974:A2152,1)+156),"MMM-YY"),"")</f>
        <v/>
      </c>
      <c r="X2130" t="str" cm="1">
        <f t="array" ref="X2130">IF(156&lt;Controls!$B$7,INDEX(F1974:F2152,MATCH(Controls!$B$5,A1974:A2152,1)+156),"")</f>
        <v/>
      </c>
      <c r="Y2130" t="str" cm="1">
        <f t="array" ref="Y2130">IF(156&lt;Controls!$B$7,INDEX(G1974:G2152,MATCH(Controls!$B$5,A1974:A2152,1)+156),"")</f>
        <v/>
      </c>
      <c r="Z2130" t="str" cm="1">
        <f t="array" ref="Z2130">IF(156&lt;Controls!$B$7,INDEX(H1974:H2152,MATCH(Controls!$B$5,A1974:A2152,1)+156),"")</f>
        <v/>
      </c>
      <c r="AA2130" t="str" cm="1">
        <f t="array" ref="AA2130">IF(156&lt;Controls!$B$7,INDEX(M1974:M2152,MATCH(Controls!$B$5,A1974:A2152,1)+156)*INDEX(I1974:I2152,MATCH(Controls!$B$5,A1974:A2152,1)+156),"")</f>
        <v/>
      </c>
      <c r="AB2130">
        <f t="shared" si="255"/>
        <v>0</v>
      </c>
    </row>
    <row r="2131" spans="1:28" x14ac:dyDescent="0.35">
      <c r="A2131" s="153">
        <v>50830</v>
      </c>
      <c r="B2131" s="155" t="s">
        <v>959</v>
      </c>
      <c r="C2131" s="15" t="s">
        <v>28</v>
      </c>
      <c r="D2131" s="15" t="s">
        <v>29</v>
      </c>
      <c r="E2131" s="199">
        <f>H2130</f>
        <v>0</v>
      </c>
      <c r="F2131" s="199">
        <f>IFERROR(SUMIFS('Demand Inputs'!$FG$5:$FG$202,'Demand Inputs'!$A$5:$A$202,"188mg LP - EU Stock",'Demand Inputs'!$B$5:$B$202,"&lt;&gt;AGGREGATE",'Demand Inputs'!$E$5:$E$202,1),0)</f>
        <v>0</v>
      </c>
      <c r="G2131" s="199" cm="1">
        <f t="array" ref="G2131">IFERROR(SUMPRODUCT(('Production Inputs'!$A:$A="188mg LP - EU Stock")*('Production Inputs'!$B:$B="TOTAL ACTIVE")*'Production Inputs'!$FM:$FM),0)</f>
        <v>0</v>
      </c>
      <c r="H2131" s="199">
        <f t="shared" si="249"/>
        <v>0</v>
      </c>
      <c r="I2131" s="30">
        <f ca="1">IFERROR(AVERAGEIF(OFFSET(F2131,0,0,MIN(Controls!$B$8,COUNTIF(B2131:B$2152,B2131)),1),"&gt;"&amp;0),0)</f>
        <v>0</v>
      </c>
      <c r="J2131" s="38">
        <f t="shared" ca="1" si="250"/>
        <v>0</v>
      </c>
      <c r="K2131" s="30">
        <f t="shared" ca="1" si="251"/>
        <v>0</v>
      </c>
      <c r="L2131" t="str">
        <f t="shared" si="252"/>
        <v>High</v>
      </c>
      <c r="M2131" s="39">
        <f>IFERROR(VLOOKUP("188mg LP - EU Stock",Controls!A:I,7,0),6)</f>
        <v>9</v>
      </c>
      <c r="N2131" s="39">
        <f>IFERROR(VLOOKUP("188mg LP - EU Stock",Controls!A:I,8,0),3)</f>
        <v>8</v>
      </c>
      <c r="O2131" s="39">
        <f>IFERROR(VLOOKUP("188mg LP - EU Stock",Controls!A:I,9,0),18)</f>
        <v>18</v>
      </c>
      <c r="P2131" s="40">
        <f>IFERROR(VLOOKUP("188mg LP - EU Stock",Controls!A:J,5,0),0)</f>
        <v>16200</v>
      </c>
      <c r="Q2131" s="39">
        <f>IFERROR(VLOOKUP("188mg LP - EU Stock",Controls!A:J,6,0),3)</f>
        <v>3</v>
      </c>
      <c r="R2131" s="21" t="str">
        <f>IFERROR(VLOOKUP("188mg LP - EU Stock",Controls!A:K,10,0),"")</f>
        <v>Patheon (L&amp;P EU)</v>
      </c>
      <c r="S2131" s="41">
        <f t="shared" si="253"/>
        <v>50740</v>
      </c>
      <c r="T2131" s="30">
        <f t="shared" si="254"/>
        <v>0</v>
      </c>
      <c r="W2131" s="205" t="str" cm="1">
        <f t="array" ref="W2131">IF(157&lt;Controls!$B$7,TEXT(INDEX(A1974:A2152,MATCH(Controls!$B$5,A1974:A2152,1)+157),"MMM-YY"),"")</f>
        <v/>
      </c>
      <c r="X2131" t="str" cm="1">
        <f t="array" ref="X2131">IF(157&lt;Controls!$B$7,INDEX(F1974:F2152,MATCH(Controls!$B$5,A1974:A2152,1)+157),"")</f>
        <v/>
      </c>
      <c r="Y2131" t="str" cm="1">
        <f t="array" ref="Y2131">IF(157&lt;Controls!$B$7,INDEX(G1974:G2152,MATCH(Controls!$B$5,A1974:A2152,1)+157),"")</f>
        <v/>
      </c>
      <c r="Z2131" t="str" cm="1">
        <f t="array" ref="Z2131">IF(157&lt;Controls!$B$7,INDEX(H1974:H2152,MATCH(Controls!$B$5,A1974:A2152,1)+157),"")</f>
        <v/>
      </c>
      <c r="AA2131" t="str" cm="1">
        <f t="array" ref="AA2131">IF(157&lt;Controls!$B$7,INDEX(M1974:M2152,MATCH(Controls!$B$5,A1974:A2152,1)+157)*INDEX(I1974:I2152,MATCH(Controls!$B$5,A1974:A2152,1)+157),"")</f>
        <v/>
      </c>
      <c r="AB2131">
        <f t="shared" si="255"/>
        <v>0</v>
      </c>
    </row>
    <row r="2132" spans="1:28" x14ac:dyDescent="0.35">
      <c r="A2132" s="153">
        <v>50861</v>
      </c>
      <c r="B2132" s="155" t="s">
        <v>959</v>
      </c>
      <c r="C2132" s="15" t="s">
        <v>28</v>
      </c>
      <c r="D2132" s="15" t="s">
        <v>29</v>
      </c>
      <c r="E2132" s="199">
        <f>H2131</f>
        <v>0</v>
      </c>
      <c r="F2132" s="199">
        <f>IFERROR(SUMIFS('Demand Inputs'!$FH$5:$FH$202,'Demand Inputs'!$A$5:$A$202,"188mg LP - EU Stock",'Demand Inputs'!$B$5:$B$202,"&lt;&gt;AGGREGATE",'Demand Inputs'!$E$5:$E$202,1),0)</f>
        <v>0</v>
      </c>
      <c r="G2132" s="199" cm="1">
        <f t="array" ref="G2132">IFERROR(SUMPRODUCT(('Production Inputs'!$A:$A="188mg LP - EU Stock")*('Production Inputs'!$B:$B="TOTAL ACTIVE")*'Production Inputs'!$FN:$FN),0)</f>
        <v>0</v>
      </c>
      <c r="H2132" s="199">
        <f t="shared" si="249"/>
        <v>0</v>
      </c>
      <c r="I2132" s="30">
        <f ca="1">IFERROR(AVERAGEIF(OFFSET(F2132,0,0,MIN(Controls!$B$8,COUNTIF(B2132:B$2152,B2132)),1),"&gt;"&amp;0),0)</f>
        <v>0</v>
      </c>
      <c r="J2132" s="38">
        <f t="shared" ca="1" si="250"/>
        <v>0</v>
      </c>
      <c r="K2132" s="30">
        <f t="shared" ca="1" si="251"/>
        <v>0</v>
      </c>
      <c r="L2132" t="str">
        <f t="shared" si="252"/>
        <v>High</v>
      </c>
      <c r="M2132" s="39">
        <f>IFERROR(VLOOKUP("188mg LP - EU Stock",Controls!A:I,7,0),6)</f>
        <v>9</v>
      </c>
      <c r="N2132" s="39">
        <f>IFERROR(VLOOKUP("188mg LP - EU Stock",Controls!A:I,8,0),3)</f>
        <v>8</v>
      </c>
      <c r="O2132" s="39">
        <f>IFERROR(VLOOKUP("188mg LP - EU Stock",Controls!A:I,9,0),18)</f>
        <v>18</v>
      </c>
      <c r="P2132" s="40">
        <f>IFERROR(VLOOKUP("188mg LP - EU Stock",Controls!A:J,5,0),0)</f>
        <v>16200</v>
      </c>
      <c r="Q2132" s="39">
        <f>IFERROR(VLOOKUP("188mg LP - EU Stock",Controls!A:J,6,0),3)</f>
        <v>3</v>
      </c>
      <c r="R2132" s="21" t="str">
        <f>IFERROR(VLOOKUP("188mg LP - EU Stock",Controls!A:K,10,0),"")</f>
        <v>Patheon (L&amp;P EU)</v>
      </c>
      <c r="S2132" s="41">
        <f t="shared" si="253"/>
        <v>50771</v>
      </c>
      <c r="T2132" s="30">
        <f t="shared" si="254"/>
        <v>0</v>
      </c>
      <c r="W2132" s="205" t="str" cm="1">
        <f t="array" ref="W2132">IF(158&lt;Controls!$B$7,TEXT(INDEX(A1974:A2152,MATCH(Controls!$B$5,A1974:A2152,1)+158),"MMM-YY"),"")</f>
        <v/>
      </c>
      <c r="X2132" t="str" cm="1">
        <f t="array" ref="X2132">IF(158&lt;Controls!$B$7,INDEX(F1974:F2152,MATCH(Controls!$B$5,A1974:A2152,1)+158),"")</f>
        <v/>
      </c>
      <c r="Y2132" t="str" cm="1">
        <f t="array" ref="Y2132">IF(158&lt;Controls!$B$7,INDEX(G1974:G2152,MATCH(Controls!$B$5,A1974:A2152,1)+158),"")</f>
        <v/>
      </c>
      <c r="Z2132" t="str" cm="1">
        <f t="array" ref="Z2132">IF(158&lt;Controls!$B$7,INDEX(H1974:H2152,MATCH(Controls!$B$5,A1974:A2152,1)+158),"")</f>
        <v/>
      </c>
      <c r="AA2132" t="str" cm="1">
        <f t="array" ref="AA2132">IF(158&lt;Controls!$B$7,INDEX(M1974:M2152,MATCH(Controls!$B$5,A1974:A2152,1)+158)*INDEX(I1974:I2152,MATCH(Controls!$B$5,A1974:A2152,1)+158),"")</f>
        <v/>
      </c>
      <c r="AB2132">
        <f t="shared" si="255"/>
        <v>0</v>
      </c>
    </row>
    <row r="2133" spans="1:28" x14ac:dyDescent="0.35">
      <c r="A2133" s="153">
        <v>50891</v>
      </c>
      <c r="B2133" s="155" t="s">
        <v>959</v>
      </c>
      <c r="C2133" s="15" t="s">
        <v>28</v>
      </c>
      <c r="D2133" s="15" t="s">
        <v>29</v>
      </c>
      <c r="E2133" s="199">
        <f>H2132</f>
        <v>0</v>
      </c>
      <c r="F2133" s="199">
        <f>IFERROR(SUMIFS('Demand Inputs'!$FI$5:$FI$202,'Demand Inputs'!$A$5:$A$202,"188mg LP - EU Stock",'Demand Inputs'!$B$5:$B$202,"&lt;&gt;AGGREGATE",'Demand Inputs'!$E$5:$E$202,1),0)</f>
        <v>0</v>
      </c>
      <c r="G2133" s="199" cm="1">
        <f t="array" ref="G2133">IFERROR(SUMPRODUCT(('Production Inputs'!$A:$A="188mg LP - EU Stock")*('Production Inputs'!$B:$B="TOTAL ACTIVE")*'Production Inputs'!$FO:$FO),0)</f>
        <v>0</v>
      </c>
      <c r="H2133" s="199">
        <f t="shared" si="249"/>
        <v>0</v>
      </c>
      <c r="I2133" s="30">
        <f ca="1">IFERROR(AVERAGEIF(OFFSET(F2133,0,0,MIN(Controls!$B$8,COUNTIF(B2133:B$2152,B2133)),1),"&gt;"&amp;0),0)</f>
        <v>0</v>
      </c>
      <c r="J2133" s="38">
        <f t="shared" ca="1" si="250"/>
        <v>0</v>
      </c>
      <c r="K2133" s="30">
        <f t="shared" ca="1" si="251"/>
        <v>0</v>
      </c>
      <c r="L2133" t="str">
        <f t="shared" si="252"/>
        <v>High</v>
      </c>
      <c r="M2133" s="39">
        <f>IFERROR(VLOOKUP("188mg LP - EU Stock",Controls!A:I,7,0),6)</f>
        <v>9</v>
      </c>
      <c r="N2133" s="39">
        <f>IFERROR(VLOOKUP("188mg LP - EU Stock",Controls!A:I,8,0),3)</f>
        <v>8</v>
      </c>
      <c r="O2133" s="39">
        <f>IFERROR(VLOOKUP("188mg LP - EU Stock",Controls!A:I,9,0),18)</f>
        <v>18</v>
      </c>
      <c r="P2133" s="40">
        <f>IFERROR(VLOOKUP("188mg LP - EU Stock",Controls!A:J,5,0),0)</f>
        <v>16200</v>
      </c>
      <c r="Q2133" s="39">
        <f>IFERROR(VLOOKUP("188mg LP - EU Stock",Controls!A:J,6,0),3)</f>
        <v>3</v>
      </c>
      <c r="R2133" s="21" t="str">
        <f>IFERROR(VLOOKUP("188mg LP - EU Stock",Controls!A:K,10,0),"")</f>
        <v>Patheon (L&amp;P EU)</v>
      </c>
      <c r="S2133" s="41">
        <f t="shared" si="253"/>
        <v>50802</v>
      </c>
      <c r="T2133" s="30">
        <f t="shared" si="254"/>
        <v>0</v>
      </c>
      <c r="W2133" s="205" t="str" cm="1">
        <f t="array" ref="W2133">IF(159&lt;Controls!$B$7,TEXT(INDEX(A1974:A2152,MATCH(Controls!$B$5,A1974:A2152,1)+159),"MMM-YY"),"")</f>
        <v/>
      </c>
      <c r="X2133" t="str" cm="1">
        <f t="array" ref="X2133">IF(159&lt;Controls!$B$7,INDEX(F1974:F2152,MATCH(Controls!$B$5,A1974:A2152,1)+159),"")</f>
        <v/>
      </c>
      <c r="Y2133" t="str" cm="1">
        <f t="array" ref="Y2133">IF(159&lt;Controls!$B$7,INDEX(G1974:G2152,MATCH(Controls!$B$5,A1974:A2152,1)+159),"")</f>
        <v/>
      </c>
      <c r="Z2133" t="str" cm="1">
        <f t="array" ref="Z2133">IF(159&lt;Controls!$B$7,INDEX(H1974:H2152,MATCH(Controls!$B$5,A1974:A2152,1)+159),"")</f>
        <v/>
      </c>
      <c r="AA2133" t="str" cm="1">
        <f t="array" ref="AA2133">IF(159&lt;Controls!$B$7,INDEX(M1974:M2152,MATCH(Controls!$B$5,A1974:A2152,1)+159)*INDEX(I1974:I2152,MATCH(Controls!$B$5,A1974:A2152,1)+159),"")</f>
        <v/>
      </c>
      <c r="AB2133">
        <f t="shared" si="255"/>
        <v>0</v>
      </c>
    </row>
    <row r="2134" spans="1:28" x14ac:dyDescent="0.35">
      <c r="A2134" s="153">
        <v>50922</v>
      </c>
      <c r="B2134" s="155" t="s">
        <v>959</v>
      </c>
      <c r="C2134" s="15" t="s">
        <v>28</v>
      </c>
      <c r="D2134" s="15" t="s">
        <v>29</v>
      </c>
      <c r="E2134" s="199">
        <f>H2133</f>
        <v>0</v>
      </c>
      <c r="F2134" s="199">
        <f>IFERROR(SUMIFS('Demand Inputs'!$FJ$5:$FJ$202,'Demand Inputs'!$A$5:$A$202,"188mg LP - EU Stock",'Demand Inputs'!$B$5:$B$202,"&lt;&gt;AGGREGATE",'Demand Inputs'!$E$5:$E$202,1),0)</f>
        <v>0</v>
      </c>
      <c r="G2134" s="199" cm="1">
        <f t="array" ref="G2134">IFERROR(SUMPRODUCT(('Production Inputs'!$A:$A="188mg LP - EU Stock")*('Production Inputs'!$B:$B="TOTAL ACTIVE")*'Production Inputs'!$FP:$FP),0)</f>
        <v>0</v>
      </c>
      <c r="H2134" s="199">
        <f t="shared" si="249"/>
        <v>0</v>
      </c>
      <c r="I2134" s="30">
        <f ca="1">IFERROR(AVERAGEIF(OFFSET(F2134,0,0,MIN(Controls!$B$8,COUNTIF(B2134:B$2152,B2134)),1),"&gt;"&amp;0),0)</f>
        <v>0</v>
      </c>
      <c r="J2134" s="38">
        <f t="shared" ca="1" si="250"/>
        <v>0</v>
      </c>
      <c r="K2134" s="30">
        <f t="shared" ca="1" si="251"/>
        <v>0</v>
      </c>
      <c r="L2134" t="str">
        <f t="shared" si="252"/>
        <v>High</v>
      </c>
      <c r="M2134" s="39">
        <f>IFERROR(VLOOKUP("188mg LP - EU Stock",Controls!A:I,7,0),6)</f>
        <v>9</v>
      </c>
      <c r="N2134" s="39">
        <f>IFERROR(VLOOKUP("188mg LP - EU Stock",Controls!A:I,8,0),3)</f>
        <v>8</v>
      </c>
      <c r="O2134" s="39">
        <f>IFERROR(VLOOKUP("188mg LP - EU Stock",Controls!A:I,9,0),18)</f>
        <v>18</v>
      </c>
      <c r="P2134" s="40">
        <f>IFERROR(VLOOKUP("188mg LP - EU Stock",Controls!A:J,5,0),0)</f>
        <v>16200</v>
      </c>
      <c r="Q2134" s="39">
        <f>IFERROR(VLOOKUP("188mg LP - EU Stock",Controls!A:J,6,0),3)</f>
        <v>3</v>
      </c>
      <c r="R2134" s="21" t="str">
        <f>IFERROR(VLOOKUP("188mg LP - EU Stock",Controls!A:K,10,0),"")</f>
        <v>Patheon (L&amp;P EU)</v>
      </c>
      <c r="S2134" s="41">
        <f t="shared" si="253"/>
        <v>50830</v>
      </c>
      <c r="T2134" s="30">
        <f t="shared" si="254"/>
        <v>0</v>
      </c>
      <c r="W2134" s="205" t="str" cm="1">
        <f t="array" ref="W2134">IF(160&lt;Controls!$B$7,TEXT(INDEX(A1974:A2152,MATCH(Controls!$B$5,A1974:A2152,1)+160),"MMM-YY"),"")</f>
        <v/>
      </c>
      <c r="X2134" t="str" cm="1">
        <f t="array" ref="X2134">IF(160&lt;Controls!$B$7,INDEX(F1974:F2152,MATCH(Controls!$B$5,A1974:A2152,1)+160),"")</f>
        <v/>
      </c>
      <c r="Y2134" t="str" cm="1">
        <f t="array" ref="Y2134">IF(160&lt;Controls!$B$7,INDEX(G1974:G2152,MATCH(Controls!$B$5,A1974:A2152,1)+160),"")</f>
        <v/>
      </c>
      <c r="Z2134" t="str" cm="1">
        <f t="array" ref="Z2134">IF(160&lt;Controls!$B$7,INDEX(H1974:H2152,MATCH(Controls!$B$5,A1974:A2152,1)+160),"")</f>
        <v/>
      </c>
      <c r="AA2134" t="str" cm="1">
        <f t="array" ref="AA2134">IF(160&lt;Controls!$B$7,INDEX(M1974:M2152,MATCH(Controls!$B$5,A1974:A2152,1)+160)*INDEX(I1974:I2152,MATCH(Controls!$B$5,A1974:A2152,1)+160),"")</f>
        <v/>
      </c>
      <c r="AB2134">
        <f t="shared" si="255"/>
        <v>0</v>
      </c>
    </row>
    <row r="2135" spans="1:28" x14ac:dyDescent="0.35">
      <c r="A2135" s="153">
        <v>50952</v>
      </c>
      <c r="B2135" s="155" t="s">
        <v>959</v>
      </c>
      <c r="C2135" s="15" t="s">
        <v>28</v>
      </c>
      <c r="D2135" s="15" t="s">
        <v>29</v>
      </c>
      <c r="E2135" s="199">
        <f>H2134</f>
        <v>0</v>
      </c>
      <c r="F2135" s="199">
        <f>IFERROR(SUMIFS('Demand Inputs'!$FK$5:$FK$202,'Demand Inputs'!$A$5:$A$202,"188mg LP - EU Stock",'Demand Inputs'!$B$5:$B$202,"&lt;&gt;AGGREGATE",'Demand Inputs'!$E$5:$E$202,1),0)</f>
        <v>0</v>
      </c>
      <c r="G2135" s="199" cm="1">
        <f t="array" ref="G2135">IFERROR(SUMPRODUCT(('Production Inputs'!$A:$A="188mg LP - EU Stock")*('Production Inputs'!$B:$B="TOTAL ACTIVE")*'Production Inputs'!$FQ:$FQ),0)</f>
        <v>0</v>
      </c>
      <c r="H2135" s="199">
        <f t="shared" si="249"/>
        <v>0</v>
      </c>
      <c r="I2135" s="30">
        <f ca="1">IFERROR(AVERAGEIF(OFFSET(F2135,0,0,MIN(Controls!$B$8,COUNTIF(B2135:B$2152,B2135)),1),"&gt;"&amp;0),0)</f>
        <v>0</v>
      </c>
      <c r="J2135" s="38">
        <f t="shared" ca="1" si="250"/>
        <v>0</v>
      </c>
      <c r="K2135" s="30">
        <f t="shared" ca="1" si="251"/>
        <v>0</v>
      </c>
      <c r="L2135" t="str">
        <f t="shared" si="252"/>
        <v>High</v>
      </c>
      <c r="M2135" s="39">
        <f>IFERROR(VLOOKUP("188mg LP - EU Stock",Controls!A:I,7,0),6)</f>
        <v>9</v>
      </c>
      <c r="N2135" s="39">
        <f>IFERROR(VLOOKUP("188mg LP - EU Stock",Controls!A:I,8,0),3)</f>
        <v>8</v>
      </c>
      <c r="O2135" s="39">
        <f>IFERROR(VLOOKUP("188mg LP - EU Stock",Controls!A:I,9,0),18)</f>
        <v>18</v>
      </c>
      <c r="P2135" s="40">
        <f>IFERROR(VLOOKUP("188mg LP - EU Stock",Controls!A:J,5,0),0)</f>
        <v>16200</v>
      </c>
      <c r="Q2135" s="39">
        <f>IFERROR(VLOOKUP("188mg LP - EU Stock",Controls!A:J,6,0),3)</f>
        <v>3</v>
      </c>
      <c r="R2135" s="21" t="str">
        <f>IFERROR(VLOOKUP("188mg LP - EU Stock",Controls!A:K,10,0),"")</f>
        <v>Patheon (L&amp;P EU)</v>
      </c>
      <c r="S2135" s="41">
        <f t="shared" si="253"/>
        <v>50861</v>
      </c>
      <c r="T2135" s="30">
        <f t="shared" si="254"/>
        <v>0</v>
      </c>
      <c r="W2135" s="205" t="str" cm="1">
        <f t="array" ref="W2135">IF(161&lt;Controls!$B$7,TEXT(INDEX(A1974:A2152,MATCH(Controls!$B$5,A1974:A2152,1)+161),"MMM-YY"),"")</f>
        <v/>
      </c>
      <c r="X2135" t="str" cm="1">
        <f t="array" ref="X2135">IF(161&lt;Controls!$B$7,INDEX(F1974:F2152,MATCH(Controls!$B$5,A1974:A2152,1)+161),"")</f>
        <v/>
      </c>
      <c r="Y2135" t="str" cm="1">
        <f t="array" ref="Y2135">IF(161&lt;Controls!$B$7,INDEX(G1974:G2152,MATCH(Controls!$B$5,A1974:A2152,1)+161),"")</f>
        <v/>
      </c>
      <c r="Z2135" t="str" cm="1">
        <f t="array" ref="Z2135">IF(161&lt;Controls!$B$7,INDEX(H1974:H2152,MATCH(Controls!$B$5,A1974:A2152,1)+161),"")</f>
        <v/>
      </c>
      <c r="AA2135" t="str" cm="1">
        <f t="array" ref="AA2135">IF(161&lt;Controls!$B$7,INDEX(M1974:M2152,MATCH(Controls!$B$5,A1974:A2152,1)+161)*INDEX(I1974:I2152,MATCH(Controls!$B$5,A1974:A2152,1)+161),"")</f>
        <v/>
      </c>
      <c r="AB2135">
        <f t="shared" si="255"/>
        <v>0</v>
      </c>
    </row>
    <row r="2136" spans="1:28" x14ac:dyDescent="0.35">
      <c r="A2136" s="153">
        <v>50983</v>
      </c>
      <c r="B2136" s="155" t="s">
        <v>959</v>
      </c>
      <c r="C2136" s="15" t="s">
        <v>28</v>
      </c>
      <c r="D2136" s="15" t="s">
        <v>29</v>
      </c>
      <c r="E2136" s="199">
        <f>H2135</f>
        <v>0</v>
      </c>
      <c r="F2136" s="199">
        <f>IFERROR(SUMIFS('Demand Inputs'!$FL$5:$FL$202,'Demand Inputs'!$A$5:$A$202,"188mg LP - EU Stock",'Demand Inputs'!$B$5:$B$202,"&lt;&gt;AGGREGATE",'Demand Inputs'!$E$5:$E$202,1),0)</f>
        <v>0</v>
      </c>
      <c r="G2136" s="199" cm="1">
        <f t="array" ref="G2136">IFERROR(SUMPRODUCT(('Production Inputs'!$A:$A="188mg LP - EU Stock")*('Production Inputs'!$B:$B="TOTAL ACTIVE")*'Production Inputs'!$FR:$FR),0)</f>
        <v>0</v>
      </c>
      <c r="H2136" s="199">
        <f t="shared" si="249"/>
        <v>0</v>
      </c>
      <c r="I2136" s="30">
        <f ca="1">IFERROR(AVERAGEIF(OFFSET(F2136,0,0,MIN(Controls!$B$8,COUNTIF(B2136:B$2152,B2136)),1),"&gt;"&amp;0),0)</f>
        <v>0</v>
      </c>
      <c r="J2136" s="38">
        <f t="shared" ca="1" si="250"/>
        <v>0</v>
      </c>
      <c r="K2136" s="30">
        <f t="shared" ca="1" si="251"/>
        <v>0</v>
      </c>
      <c r="L2136" t="str">
        <f t="shared" si="252"/>
        <v>High</v>
      </c>
      <c r="M2136" s="39">
        <f>IFERROR(VLOOKUP("188mg LP - EU Stock",Controls!A:I,7,0),6)</f>
        <v>9</v>
      </c>
      <c r="N2136" s="39">
        <f>IFERROR(VLOOKUP("188mg LP - EU Stock",Controls!A:I,8,0),3)</f>
        <v>8</v>
      </c>
      <c r="O2136" s="39">
        <f>IFERROR(VLOOKUP("188mg LP - EU Stock",Controls!A:I,9,0),18)</f>
        <v>18</v>
      </c>
      <c r="P2136" s="40">
        <f>IFERROR(VLOOKUP("188mg LP - EU Stock",Controls!A:J,5,0),0)</f>
        <v>16200</v>
      </c>
      <c r="Q2136" s="39">
        <f>IFERROR(VLOOKUP("188mg LP - EU Stock",Controls!A:J,6,0),3)</f>
        <v>3</v>
      </c>
      <c r="R2136" s="21" t="str">
        <f>IFERROR(VLOOKUP("188mg LP - EU Stock",Controls!A:K,10,0),"")</f>
        <v>Patheon (L&amp;P EU)</v>
      </c>
      <c r="S2136" s="41">
        <f t="shared" si="253"/>
        <v>50891</v>
      </c>
      <c r="T2136" s="30">
        <f t="shared" si="254"/>
        <v>0</v>
      </c>
      <c r="W2136" s="205" t="str" cm="1">
        <f t="array" ref="W2136">IF(162&lt;Controls!$B$7,TEXT(INDEX(A1974:A2152,MATCH(Controls!$B$5,A1974:A2152,1)+162),"MMM-YY"),"")</f>
        <v/>
      </c>
      <c r="X2136" t="str" cm="1">
        <f t="array" ref="X2136">IF(162&lt;Controls!$B$7,INDEX(F1974:F2152,MATCH(Controls!$B$5,A1974:A2152,1)+162),"")</f>
        <v/>
      </c>
      <c r="Y2136" t="str" cm="1">
        <f t="array" ref="Y2136">IF(162&lt;Controls!$B$7,INDEX(G1974:G2152,MATCH(Controls!$B$5,A1974:A2152,1)+162),"")</f>
        <v/>
      </c>
      <c r="Z2136" t="str" cm="1">
        <f t="array" ref="Z2136">IF(162&lt;Controls!$B$7,INDEX(H1974:H2152,MATCH(Controls!$B$5,A1974:A2152,1)+162),"")</f>
        <v/>
      </c>
      <c r="AA2136" t="str" cm="1">
        <f t="array" ref="AA2136">IF(162&lt;Controls!$B$7,INDEX(M1974:M2152,MATCH(Controls!$B$5,A1974:A2152,1)+162)*INDEX(I1974:I2152,MATCH(Controls!$B$5,A1974:A2152,1)+162),"")</f>
        <v/>
      </c>
      <c r="AB2136">
        <f t="shared" si="255"/>
        <v>0</v>
      </c>
    </row>
    <row r="2137" spans="1:28" x14ac:dyDescent="0.35">
      <c r="A2137" s="153">
        <v>51014</v>
      </c>
      <c r="B2137" s="155" t="s">
        <v>959</v>
      </c>
      <c r="C2137" s="15" t="s">
        <v>28</v>
      </c>
      <c r="D2137" s="15" t="s">
        <v>29</v>
      </c>
      <c r="E2137" s="199">
        <f>H2136</f>
        <v>0</v>
      </c>
      <c r="F2137" s="199">
        <f>IFERROR(SUMIFS('Demand Inputs'!$FM$5:$FM$202,'Demand Inputs'!$A$5:$A$202,"188mg LP - EU Stock",'Demand Inputs'!$B$5:$B$202,"&lt;&gt;AGGREGATE",'Demand Inputs'!$E$5:$E$202,1),0)</f>
        <v>0</v>
      </c>
      <c r="G2137" s="199" cm="1">
        <f t="array" ref="G2137">IFERROR(SUMPRODUCT(('Production Inputs'!$A:$A="188mg LP - EU Stock")*('Production Inputs'!$B:$B="TOTAL ACTIVE")*'Production Inputs'!$FS:$FS),0)</f>
        <v>0</v>
      </c>
      <c r="H2137" s="199">
        <f t="shared" si="249"/>
        <v>0</v>
      </c>
      <c r="I2137" s="30">
        <f ca="1">IFERROR(AVERAGEIF(OFFSET(F2137,0,0,MIN(Controls!$B$8,COUNTIF(B2137:B$2152,B2137)),1),"&gt;"&amp;0),0)</f>
        <v>0</v>
      </c>
      <c r="J2137" s="38">
        <f t="shared" ca="1" si="250"/>
        <v>0</v>
      </c>
      <c r="K2137" s="30">
        <f t="shared" ca="1" si="251"/>
        <v>0</v>
      </c>
      <c r="L2137" t="str">
        <f t="shared" si="252"/>
        <v>High</v>
      </c>
      <c r="M2137" s="39">
        <f>IFERROR(VLOOKUP("188mg LP - EU Stock",Controls!A:I,7,0),6)</f>
        <v>9</v>
      </c>
      <c r="N2137" s="39">
        <f>IFERROR(VLOOKUP("188mg LP - EU Stock",Controls!A:I,8,0),3)</f>
        <v>8</v>
      </c>
      <c r="O2137" s="39">
        <f>IFERROR(VLOOKUP("188mg LP - EU Stock",Controls!A:I,9,0),18)</f>
        <v>18</v>
      </c>
      <c r="P2137" s="40">
        <f>IFERROR(VLOOKUP("188mg LP - EU Stock",Controls!A:J,5,0),0)</f>
        <v>16200</v>
      </c>
      <c r="Q2137" s="39">
        <f>IFERROR(VLOOKUP("188mg LP - EU Stock",Controls!A:J,6,0),3)</f>
        <v>3</v>
      </c>
      <c r="R2137" s="21" t="str">
        <f>IFERROR(VLOOKUP("188mg LP - EU Stock",Controls!A:K,10,0),"")</f>
        <v>Patheon (L&amp;P EU)</v>
      </c>
      <c r="S2137" s="41">
        <f t="shared" si="253"/>
        <v>50922</v>
      </c>
      <c r="T2137" s="30">
        <f t="shared" si="254"/>
        <v>0</v>
      </c>
      <c r="W2137" s="205" t="str" cm="1">
        <f t="array" ref="W2137">IF(163&lt;Controls!$B$7,TEXT(INDEX(A1974:A2152,MATCH(Controls!$B$5,A1974:A2152,1)+163),"MMM-YY"),"")</f>
        <v/>
      </c>
      <c r="X2137" t="str" cm="1">
        <f t="array" ref="X2137">IF(163&lt;Controls!$B$7,INDEX(F1974:F2152,MATCH(Controls!$B$5,A1974:A2152,1)+163),"")</f>
        <v/>
      </c>
      <c r="Y2137" t="str" cm="1">
        <f t="array" ref="Y2137">IF(163&lt;Controls!$B$7,INDEX(G1974:G2152,MATCH(Controls!$B$5,A1974:A2152,1)+163),"")</f>
        <v/>
      </c>
      <c r="Z2137" t="str" cm="1">
        <f t="array" ref="Z2137">IF(163&lt;Controls!$B$7,INDEX(H1974:H2152,MATCH(Controls!$B$5,A1974:A2152,1)+163),"")</f>
        <v/>
      </c>
      <c r="AA2137" t="str" cm="1">
        <f t="array" ref="AA2137">IF(163&lt;Controls!$B$7,INDEX(M1974:M2152,MATCH(Controls!$B$5,A1974:A2152,1)+163)*INDEX(I1974:I2152,MATCH(Controls!$B$5,A1974:A2152,1)+163),"")</f>
        <v/>
      </c>
      <c r="AB2137">
        <f t="shared" si="255"/>
        <v>0</v>
      </c>
    </row>
    <row r="2138" spans="1:28" x14ac:dyDescent="0.35">
      <c r="A2138" s="153">
        <v>51044</v>
      </c>
      <c r="B2138" s="155" t="s">
        <v>959</v>
      </c>
      <c r="C2138" s="15" t="s">
        <v>28</v>
      </c>
      <c r="D2138" s="15" t="s">
        <v>29</v>
      </c>
      <c r="E2138" s="199">
        <f>H2137</f>
        <v>0</v>
      </c>
      <c r="F2138" s="199">
        <f>IFERROR(SUMIFS('Demand Inputs'!$FN$5:$FN$202,'Demand Inputs'!$A$5:$A$202,"188mg LP - EU Stock",'Demand Inputs'!$B$5:$B$202,"&lt;&gt;AGGREGATE",'Demand Inputs'!$E$5:$E$202,1),0)</f>
        <v>0</v>
      </c>
      <c r="G2138" s="199" cm="1">
        <f t="array" ref="G2138">IFERROR(SUMPRODUCT(('Production Inputs'!$A:$A="188mg LP - EU Stock")*('Production Inputs'!$B:$B="TOTAL ACTIVE")*'Production Inputs'!$FT:$FT),0)</f>
        <v>0</v>
      </c>
      <c r="H2138" s="199">
        <f t="shared" si="249"/>
        <v>0</v>
      </c>
      <c r="I2138" s="30">
        <f ca="1">IFERROR(AVERAGEIF(OFFSET(F2138,0,0,MIN(Controls!$B$8,COUNTIF(B2138:B$2152,B2138)),1),"&gt;"&amp;0),0)</f>
        <v>0</v>
      </c>
      <c r="J2138" s="38">
        <f t="shared" ca="1" si="250"/>
        <v>0</v>
      </c>
      <c r="K2138" s="30">
        <f t="shared" ca="1" si="251"/>
        <v>0</v>
      </c>
      <c r="L2138" t="str">
        <f t="shared" si="252"/>
        <v>High</v>
      </c>
      <c r="M2138" s="39">
        <f>IFERROR(VLOOKUP("188mg LP - EU Stock",Controls!A:I,7,0),6)</f>
        <v>9</v>
      </c>
      <c r="N2138" s="39">
        <f>IFERROR(VLOOKUP("188mg LP - EU Stock",Controls!A:I,8,0),3)</f>
        <v>8</v>
      </c>
      <c r="O2138" s="39">
        <f>IFERROR(VLOOKUP("188mg LP - EU Stock",Controls!A:I,9,0),18)</f>
        <v>18</v>
      </c>
      <c r="P2138" s="40">
        <f>IFERROR(VLOOKUP("188mg LP - EU Stock",Controls!A:J,5,0),0)</f>
        <v>16200</v>
      </c>
      <c r="Q2138" s="39">
        <f>IFERROR(VLOOKUP("188mg LP - EU Stock",Controls!A:J,6,0),3)</f>
        <v>3</v>
      </c>
      <c r="R2138" s="21" t="str">
        <f>IFERROR(VLOOKUP("188mg LP - EU Stock",Controls!A:K,10,0),"")</f>
        <v>Patheon (L&amp;P EU)</v>
      </c>
      <c r="S2138" s="41">
        <f t="shared" si="253"/>
        <v>50952</v>
      </c>
      <c r="T2138" s="30">
        <f t="shared" si="254"/>
        <v>0</v>
      </c>
      <c r="W2138" s="205" t="str" cm="1">
        <f t="array" ref="W2138">IF(164&lt;Controls!$B$7,TEXT(INDEX(A1974:A2152,MATCH(Controls!$B$5,A1974:A2152,1)+164),"MMM-YY"),"")</f>
        <v/>
      </c>
      <c r="X2138" t="str" cm="1">
        <f t="array" ref="X2138">IF(164&lt;Controls!$B$7,INDEX(F1974:F2152,MATCH(Controls!$B$5,A1974:A2152,1)+164),"")</f>
        <v/>
      </c>
      <c r="Y2138" t="str" cm="1">
        <f t="array" ref="Y2138">IF(164&lt;Controls!$B$7,INDEX(G1974:G2152,MATCH(Controls!$B$5,A1974:A2152,1)+164),"")</f>
        <v/>
      </c>
      <c r="Z2138" t="str" cm="1">
        <f t="array" ref="Z2138">IF(164&lt;Controls!$B$7,INDEX(H1974:H2152,MATCH(Controls!$B$5,A1974:A2152,1)+164),"")</f>
        <v/>
      </c>
      <c r="AA2138" t="str" cm="1">
        <f t="array" ref="AA2138">IF(164&lt;Controls!$B$7,INDEX(M1974:M2152,MATCH(Controls!$B$5,A1974:A2152,1)+164)*INDEX(I1974:I2152,MATCH(Controls!$B$5,A1974:A2152,1)+164),"")</f>
        <v/>
      </c>
      <c r="AB2138">
        <f t="shared" si="255"/>
        <v>0</v>
      </c>
    </row>
    <row r="2139" spans="1:28" x14ac:dyDescent="0.35">
      <c r="A2139" s="153">
        <v>51075</v>
      </c>
      <c r="B2139" s="155" t="s">
        <v>959</v>
      </c>
      <c r="C2139" s="15" t="s">
        <v>28</v>
      </c>
      <c r="D2139" s="15" t="s">
        <v>29</v>
      </c>
      <c r="E2139" s="199">
        <f>H2138</f>
        <v>0</v>
      </c>
      <c r="F2139" s="199">
        <f>IFERROR(SUMIFS('Demand Inputs'!$FO$5:$FO$202,'Demand Inputs'!$A$5:$A$202,"188mg LP - EU Stock",'Demand Inputs'!$B$5:$B$202,"&lt;&gt;AGGREGATE",'Demand Inputs'!$E$5:$E$202,1),0)</f>
        <v>0</v>
      </c>
      <c r="G2139" s="199" cm="1">
        <f t="array" ref="G2139">IFERROR(SUMPRODUCT(('Production Inputs'!$A:$A="188mg LP - EU Stock")*('Production Inputs'!$B:$B="TOTAL ACTIVE")*'Production Inputs'!$FU:$FU),0)</f>
        <v>0</v>
      </c>
      <c r="H2139" s="199">
        <f t="shared" si="249"/>
        <v>0</v>
      </c>
      <c r="I2139" s="30">
        <f ca="1">IFERROR(AVERAGEIF(OFFSET(F2139,0,0,MIN(Controls!$B$8,COUNTIF(B2139:B$2152,B2139)),1),"&gt;"&amp;0),0)</f>
        <v>0</v>
      </c>
      <c r="J2139" s="38">
        <f t="shared" ca="1" si="250"/>
        <v>0</v>
      </c>
      <c r="K2139" s="30">
        <f t="shared" ca="1" si="251"/>
        <v>0</v>
      </c>
      <c r="L2139" t="str">
        <f t="shared" si="252"/>
        <v>High</v>
      </c>
      <c r="M2139" s="39">
        <f>IFERROR(VLOOKUP("188mg LP - EU Stock",Controls!A:I,7,0),6)</f>
        <v>9</v>
      </c>
      <c r="N2139" s="39">
        <f>IFERROR(VLOOKUP("188mg LP - EU Stock",Controls!A:I,8,0),3)</f>
        <v>8</v>
      </c>
      <c r="O2139" s="39">
        <f>IFERROR(VLOOKUP("188mg LP - EU Stock",Controls!A:I,9,0),18)</f>
        <v>18</v>
      </c>
      <c r="P2139" s="40">
        <f>IFERROR(VLOOKUP("188mg LP - EU Stock",Controls!A:J,5,0),0)</f>
        <v>16200</v>
      </c>
      <c r="Q2139" s="39">
        <f>IFERROR(VLOOKUP("188mg LP - EU Stock",Controls!A:J,6,0),3)</f>
        <v>3</v>
      </c>
      <c r="R2139" s="21" t="str">
        <f>IFERROR(VLOOKUP("188mg LP - EU Stock",Controls!A:K,10,0),"")</f>
        <v>Patheon (L&amp;P EU)</v>
      </c>
      <c r="S2139" s="41">
        <f t="shared" si="253"/>
        <v>50983</v>
      </c>
      <c r="T2139" s="30">
        <f t="shared" si="254"/>
        <v>0</v>
      </c>
      <c r="W2139" s="205" t="str" cm="1">
        <f t="array" ref="W2139">IF(165&lt;Controls!$B$7,TEXT(INDEX(A1974:A2152,MATCH(Controls!$B$5,A1974:A2152,1)+165),"MMM-YY"),"")</f>
        <v/>
      </c>
      <c r="X2139" t="str" cm="1">
        <f t="array" ref="X2139">IF(165&lt;Controls!$B$7,INDEX(F1974:F2152,MATCH(Controls!$B$5,A1974:A2152,1)+165),"")</f>
        <v/>
      </c>
      <c r="Y2139" t="str" cm="1">
        <f t="array" ref="Y2139">IF(165&lt;Controls!$B$7,INDEX(G1974:G2152,MATCH(Controls!$B$5,A1974:A2152,1)+165),"")</f>
        <v/>
      </c>
      <c r="Z2139" t="str" cm="1">
        <f t="array" ref="Z2139">IF(165&lt;Controls!$B$7,INDEX(H1974:H2152,MATCH(Controls!$B$5,A1974:A2152,1)+165),"")</f>
        <v/>
      </c>
      <c r="AA2139" t="str" cm="1">
        <f t="array" ref="AA2139">IF(165&lt;Controls!$B$7,INDEX(M1974:M2152,MATCH(Controls!$B$5,A1974:A2152,1)+165)*INDEX(I1974:I2152,MATCH(Controls!$B$5,A1974:A2152,1)+165),"")</f>
        <v/>
      </c>
      <c r="AB2139">
        <f t="shared" si="255"/>
        <v>0</v>
      </c>
    </row>
    <row r="2140" spans="1:28" x14ac:dyDescent="0.35">
      <c r="A2140" s="153">
        <v>51105</v>
      </c>
      <c r="B2140" s="155" t="s">
        <v>959</v>
      </c>
      <c r="C2140" s="15" t="s">
        <v>28</v>
      </c>
      <c r="D2140" s="15" t="s">
        <v>29</v>
      </c>
      <c r="E2140" s="199">
        <f>H2139</f>
        <v>0</v>
      </c>
      <c r="F2140" s="199">
        <f>IFERROR(SUMIFS('Demand Inputs'!$FP$5:$FP$202,'Demand Inputs'!$A$5:$A$202,"188mg LP - EU Stock",'Demand Inputs'!$B$5:$B$202,"&lt;&gt;AGGREGATE",'Demand Inputs'!$E$5:$E$202,1),0)</f>
        <v>0</v>
      </c>
      <c r="G2140" s="199" cm="1">
        <f t="array" ref="G2140">IFERROR(SUMPRODUCT(('Production Inputs'!$A:$A="188mg LP - EU Stock")*('Production Inputs'!$B:$B="TOTAL ACTIVE")*'Production Inputs'!$FV:$FV),0)</f>
        <v>0</v>
      </c>
      <c r="H2140" s="199">
        <f t="shared" si="249"/>
        <v>0</v>
      </c>
      <c r="I2140" s="30">
        <f ca="1">IFERROR(AVERAGEIF(OFFSET(F2140,0,0,MIN(Controls!$B$8,COUNTIF(B2140:B$2152,B2140)),1),"&gt;"&amp;0),0)</f>
        <v>0</v>
      </c>
      <c r="J2140" s="38">
        <f t="shared" ca="1" si="250"/>
        <v>0</v>
      </c>
      <c r="K2140" s="30">
        <f t="shared" ca="1" si="251"/>
        <v>0</v>
      </c>
      <c r="L2140" t="str">
        <f t="shared" si="252"/>
        <v>High</v>
      </c>
      <c r="M2140" s="39">
        <f>IFERROR(VLOOKUP("188mg LP - EU Stock",Controls!A:I,7,0),6)</f>
        <v>9</v>
      </c>
      <c r="N2140" s="39">
        <f>IFERROR(VLOOKUP("188mg LP - EU Stock",Controls!A:I,8,0),3)</f>
        <v>8</v>
      </c>
      <c r="O2140" s="39">
        <f>IFERROR(VLOOKUP("188mg LP - EU Stock",Controls!A:I,9,0),18)</f>
        <v>18</v>
      </c>
      <c r="P2140" s="40">
        <f>IFERROR(VLOOKUP("188mg LP - EU Stock",Controls!A:J,5,0),0)</f>
        <v>16200</v>
      </c>
      <c r="Q2140" s="39">
        <f>IFERROR(VLOOKUP("188mg LP - EU Stock",Controls!A:J,6,0),3)</f>
        <v>3</v>
      </c>
      <c r="R2140" s="21" t="str">
        <f>IFERROR(VLOOKUP("188mg LP - EU Stock",Controls!A:K,10,0),"")</f>
        <v>Patheon (L&amp;P EU)</v>
      </c>
      <c r="S2140" s="41">
        <f t="shared" si="253"/>
        <v>51014</v>
      </c>
      <c r="T2140" s="30">
        <f t="shared" si="254"/>
        <v>0</v>
      </c>
      <c r="W2140" s="205" t="str" cm="1">
        <f t="array" ref="W2140">IF(166&lt;Controls!$B$7,TEXT(INDEX(A1974:A2152,MATCH(Controls!$B$5,A1974:A2152,1)+166),"MMM-YY"),"")</f>
        <v/>
      </c>
      <c r="X2140" t="str" cm="1">
        <f t="array" ref="X2140">IF(166&lt;Controls!$B$7,INDEX(F1974:F2152,MATCH(Controls!$B$5,A1974:A2152,1)+166),"")</f>
        <v/>
      </c>
      <c r="Y2140" t="str" cm="1">
        <f t="array" ref="Y2140">IF(166&lt;Controls!$B$7,INDEX(G1974:G2152,MATCH(Controls!$B$5,A1974:A2152,1)+166),"")</f>
        <v/>
      </c>
      <c r="Z2140" t="str" cm="1">
        <f t="array" ref="Z2140">IF(166&lt;Controls!$B$7,INDEX(H1974:H2152,MATCH(Controls!$B$5,A1974:A2152,1)+166),"")</f>
        <v/>
      </c>
      <c r="AA2140" t="str" cm="1">
        <f t="array" ref="AA2140">IF(166&lt;Controls!$B$7,INDEX(M1974:M2152,MATCH(Controls!$B$5,A1974:A2152,1)+166)*INDEX(I1974:I2152,MATCH(Controls!$B$5,A1974:A2152,1)+166),"")</f>
        <v/>
      </c>
      <c r="AB2140">
        <f t="shared" si="255"/>
        <v>0</v>
      </c>
    </row>
    <row r="2141" spans="1:28" x14ac:dyDescent="0.35">
      <c r="A2141" s="153">
        <v>51136</v>
      </c>
      <c r="B2141" s="155" t="s">
        <v>959</v>
      </c>
      <c r="C2141" s="15" t="s">
        <v>28</v>
      </c>
      <c r="D2141" s="15" t="s">
        <v>29</v>
      </c>
      <c r="E2141" s="199">
        <f>H2140</f>
        <v>0</v>
      </c>
      <c r="F2141" s="199">
        <f>IFERROR(SUMIFS('Demand Inputs'!$FQ$5:$FQ$202,'Demand Inputs'!$A$5:$A$202,"188mg LP - EU Stock",'Demand Inputs'!$B$5:$B$202,"&lt;&gt;AGGREGATE",'Demand Inputs'!$E$5:$E$202,1),0)</f>
        <v>0</v>
      </c>
      <c r="G2141" s="199" cm="1">
        <f t="array" ref="G2141">IFERROR(SUMPRODUCT(('Production Inputs'!$A:$A="188mg LP - EU Stock")*('Production Inputs'!$B:$B="TOTAL ACTIVE")*'Production Inputs'!$FW:$FW),0)</f>
        <v>0</v>
      </c>
      <c r="H2141" s="199">
        <f t="shared" si="249"/>
        <v>0</v>
      </c>
      <c r="I2141" s="30">
        <f ca="1">IFERROR(AVERAGEIF(OFFSET(F2141,0,0,MIN(Controls!$B$8,COUNTIF(B2141:B$2152,B2141)),1),"&gt;"&amp;0),0)</f>
        <v>0</v>
      </c>
      <c r="J2141" s="38">
        <f t="shared" ca="1" si="250"/>
        <v>0</v>
      </c>
      <c r="K2141" s="30">
        <f t="shared" ca="1" si="251"/>
        <v>0</v>
      </c>
      <c r="L2141" t="str">
        <f t="shared" si="252"/>
        <v>High</v>
      </c>
      <c r="M2141" s="39">
        <f>IFERROR(VLOOKUP("188mg LP - EU Stock",Controls!A:I,7,0),6)</f>
        <v>9</v>
      </c>
      <c r="N2141" s="39">
        <f>IFERROR(VLOOKUP("188mg LP - EU Stock",Controls!A:I,8,0),3)</f>
        <v>8</v>
      </c>
      <c r="O2141" s="39">
        <f>IFERROR(VLOOKUP("188mg LP - EU Stock",Controls!A:I,9,0),18)</f>
        <v>18</v>
      </c>
      <c r="P2141" s="40">
        <f>IFERROR(VLOOKUP("188mg LP - EU Stock",Controls!A:J,5,0),0)</f>
        <v>16200</v>
      </c>
      <c r="Q2141" s="39">
        <f>IFERROR(VLOOKUP("188mg LP - EU Stock",Controls!A:J,6,0),3)</f>
        <v>3</v>
      </c>
      <c r="R2141" s="21" t="str">
        <f>IFERROR(VLOOKUP("188mg LP - EU Stock",Controls!A:K,10,0),"")</f>
        <v>Patheon (L&amp;P EU)</v>
      </c>
      <c r="S2141" s="41">
        <f t="shared" si="253"/>
        <v>51044</v>
      </c>
      <c r="T2141" s="30">
        <f t="shared" si="254"/>
        <v>0</v>
      </c>
      <c r="W2141" s="205" t="str" cm="1">
        <f t="array" ref="W2141">IF(167&lt;Controls!$B$7,TEXT(INDEX(A1974:A2152,MATCH(Controls!$B$5,A1974:A2152,1)+167),"MMM-YY"),"")</f>
        <v/>
      </c>
      <c r="X2141" t="str" cm="1">
        <f t="array" ref="X2141">IF(167&lt;Controls!$B$7,INDEX(F1974:F2152,MATCH(Controls!$B$5,A1974:A2152,1)+167),"")</f>
        <v/>
      </c>
      <c r="Y2141" t="str" cm="1">
        <f t="array" ref="Y2141">IF(167&lt;Controls!$B$7,INDEX(G1974:G2152,MATCH(Controls!$B$5,A1974:A2152,1)+167),"")</f>
        <v/>
      </c>
      <c r="Z2141" t="str" cm="1">
        <f t="array" ref="Z2141">IF(167&lt;Controls!$B$7,INDEX(H1974:H2152,MATCH(Controls!$B$5,A1974:A2152,1)+167),"")</f>
        <v/>
      </c>
      <c r="AA2141" t="str" cm="1">
        <f t="array" ref="AA2141">IF(167&lt;Controls!$B$7,INDEX(M1974:M2152,MATCH(Controls!$B$5,A1974:A2152,1)+167)*INDEX(I1974:I2152,MATCH(Controls!$B$5,A1974:A2152,1)+167),"")</f>
        <v/>
      </c>
      <c r="AB2141">
        <f t="shared" si="255"/>
        <v>0</v>
      </c>
    </row>
    <row r="2142" spans="1:28" x14ac:dyDescent="0.35">
      <c r="A2142" s="153">
        <v>51167</v>
      </c>
      <c r="B2142" s="155" t="s">
        <v>959</v>
      </c>
      <c r="C2142" s="15" t="s">
        <v>28</v>
      </c>
      <c r="D2142" s="15" t="s">
        <v>29</v>
      </c>
      <c r="E2142" s="199">
        <f>H2141</f>
        <v>0</v>
      </c>
      <c r="F2142" s="199">
        <f>IFERROR(SUMIFS('Demand Inputs'!$FR$5:$FR$202,'Demand Inputs'!$A$5:$A$202,"188mg LP - EU Stock",'Demand Inputs'!$B$5:$B$202,"&lt;&gt;AGGREGATE",'Demand Inputs'!$E$5:$E$202,1),0)</f>
        <v>0</v>
      </c>
      <c r="G2142" s="199" cm="1">
        <f t="array" ref="G2142">IFERROR(SUMPRODUCT(('Production Inputs'!$A:$A="188mg LP - EU Stock")*('Production Inputs'!$B:$B="TOTAL ACTIVE")*'Production Inputs'!$FX:$FX),0)</f>
        <v>0</v>
      </c>
      <c r="H2142" s="199">
        <f t="shared" si="249"/>
        <v>0</v>
      </c>
      <c r="I2142" s="30">
        <f ca="1">IFERROR(AVERAGEIF(OFFSET(F2142,0,0,MIN(Controls!$B$8,COUNTIF(B2142:B$2152,B2142)),1),"&gt;"&amp;0),0)</f>
        <v>0</v>
      </c>
      <c r="J2142" s="38">
        <f t="shared" ca="1" si="250"/>
        <v>0</v>
      </c>
      <c r="K2142" s="30">
        <f t="shared" ca="1" si="251"/>
        <v>0</v>
      </c>
      <c r="L2142" t="str">
        <f t="shared" si="252"/>
        <v>High</v>
      </c>
      <c r="M2142" s="39">
        <f>IFERROR(VLOOKUP("188mg LP - EU Stock",Controls!A:I,7,0),6)</f>
        <v>9</v>
      </c>
      <c r="N2142" s="39">
        <f>IFERROR(VLOOKUP("188mg LP - EU Stock",Controls!A:I,8,0),3)</f>
        <v>8</v>
      </c>
      <c r="O2142" s="39">
        <f>IFERROR(VLOOKUP("188mg LP - EU Stock",Controls!A:I,9,0),18)</f>
        <v>18</v>
      </c>
      <c r="P2142" s="40">
        <f>IFERROR(VLOOKUP("188mg LP - EU Stock",Controls!A:J,5,0),0)</f>
        <v>16200</v>
      </c>
      <c r="Q2142" s="39">
        <f>IFERROR(VLOOKUP("188mg LP - EU Stock",Controls!A:J,6,0),3)</f>
        <v>3</v>
      </c>
      <c r="R2142" s="21" t="str">
        <f>IFERROR(VLOOKUP("188mg LP - EU Stock",Controls!A:K,10,0),"")</f>
        <v>Patheon (L&amp;P EU)</v>
      </c>
      <c r="S2142" s="41">
        <f t="shared" si="253"/>
        <v>51075</v>
      </c>
      <c r="T2142" s="30">
        <f t="shared" si="254"/>
        <v>0</v>
      </c>
      <c r="W2142" s="205" t="str" cm="1">
        <f t="array" ref="W2142">IF(168&lt;Controls!$B$7,TEXT(INDEX(A1974:A2152,MATCH(Controls!$B$5,A1974:A2152,1)+168),"MMM-YY"),"")</f>
        <v/>
      </c>
      <c r="X2142" t="str" cm="1">
        <f t="array" ref="X2142">IF(168&lt;Controls!$B$7,INDEX(F1974:F2152,MATCH(Controls!$B$5,A1974:A2152,1)+168),"")</f>
        <v/>
      </c>
      <c r="Y2142" t="str" cm="1">
        <f t="array" ref="Y2142">IF(168&lt;Controls!$B$7,INDEX(G1974:G2152,MATCH(Controls!$B$5,A1974:A2152,1)+168),"")</f>
        <v/>
      </c>
      <c r="Z2142" t="str" cm="1">
        <f t="array" ref="Z2142">IF(168&lt;Controls!$B$7,INDEX(H1974:H2152,MATCH(Controls!$B$5,A1974:A2152,1)+168),"")</f>
        <v/>
      </c>
      <c r="AA2142" t="str" cm="1">
        <f t="array" ref="AA2142">IF(168&lt;Controls!$B$7,INDEX(M1974:M2152,MATCH(Controls!$B$5,A1974:A2152,1)+168)*INDEX(I1974:I2152,MATCH(Controls!$B$5,A1974:A2152,1)+168),"")</f>
        <v/>
      </c>
      <c r="AB2142">
        <f t="shared" si="255"/>
        <v>0</v>
      </c>
    </row>
    <row r="2143" spans="1:28" x14ac:dyDescent="0.35">
      <c r="A2143" s="153">
        <v>51196</v>
      </c>
      <c r="B2143" s="155" t="s">
        <v>959</v>
      </c>
      <c r="C2143" s="15" t="s">
        <v>28</v>
      </c>
      <c r="D2143" s="15" t="s">
        <v>29</v>
      </c>
      <c r="E2143" s="199">
        <f>H2142</f>
        <v>0</v>
      </c>
      <c r="F2143" s="199">
        <f>IFERROR(SUMIFS('Demand Inputs'!$FS$5:$FS$202,'Demand Inputs'!$A$5:$A$202,"188mg LP - EU Stock",'Demand Inputs'!$B$5:$B$202,"&lt;&gt;AGGREGATE",'Demand Inputs'!$E$5:$E$202,1),0)</f>
        <v>0</v>
      </c>
      <c r="G2143" s="199" cm="1">
        <f t="array" ref="G2143">IFERROR(SUMPRODUCT(('Production Inputs'!$A:$A="188mg LP - EU Stock")*('Production Inputs'!$B:$B="TOTAL ACTIVE")*'Production Inputs'!$FY:$FY),0)</f>
        <v>0</v>
      </c>
      <c r="H2143" s="199">
        <f t="shared" si="249"/>
        <v>0</v>
      </c>
      <c r="I2143" s="30">
        <f ca="1">IFERROR(AVERAGEIF(OFFSET(F2143,0,0,MIN(Controls!$B$8,COUNTIF(B2143:B$2152,B2143)),1),"&gt;"&amp;0),0)</f>
        <v>0</v>
      </c>
      <c r="J2143" s="38">
        <f t="shared" ca="1" si="250"/>
        <v>0</v>
      </c>
      <c r="K2143" s="30">
        <f t="shared" ca="1" si="251"/>
        <v>0</v>
      </c>
      <c r="L2143" t="str">
        <f t="shared" si="252"/>
        <v>High</v>
      </c>
      <c r="M2143" s="39">
        <f>IFERROR(VLOOKUP("188mg LP - EU Stock",Controls!A:I,7,0),6)</f>
        <v>9</v>
      </c>
      <c r="N2143" s="39">
        <f>IFERROR(VLOOKUP("188mg LP - EU Stock",Controls!A:I,8,0),3)</f>
        <v>8</v>
      </c>
      <c r="O2143" s="39">
        <f>IFERROR(VLOOKUP("188mg LP - EU Stock",Controls!A:I,9,0),18)</f>
        <v>18</v>
      </c>
      <c r="P2143" s="40">
        <f>IFERROR(VLOOKUP("188mg LP - EU Stock",Controls!A:J,5,0),0)</f>
        <v>16200</v>
      </c>
      <c r="Q2143" s="39">
        <f>IFERROR(VLOOKUP("188mg LP - EU Stock",Controls!A:J,6,0),3)</f>
        <v>3</v>
      </c>
      <c r="R2143" s="21" t="str">
        <f>IFERROR(VLOOKUP("188mg LP - EU Stock",Controls!A:K,10,0),"")</f>
        <v>Patheon (L&amp;P EU)</v>
      </c>
      <c r="S2143" s="41">
        <f t="shared" si="253"/>
        <v>51105</v>
      </c>
      <c r="T2143" s="30">
        <f t="shared" si="254"/>
        <v>0</v>
      </c>
      <c r="W2143" s="205" t="str" cm="1">
        <f t="array" ref="W2143">IF(169&lt;Controls!$B$7,TEXT(INDEX(A1974:A2152,MATCH(Controls!$B$5,A1974:A2152,1)+169),"MMM-YY"),"")</f>
        <v/>
      </c>
      <c r="X2143" t="str" cm="1">
        <f t="array" ref="X2143">IF(169&lt;Controls!$B$7,INDEX(F1974:F2152,MATCH(Controls!$B$5,A1974:A2152,1)+169),"")</f>
        <v/>
      </c>
      <c r="Y2143" t="str" cm="1">
        <f t="array" ref="Y2143">IF(169&lt;Controls!$B$7,INDEX(G1974:G2152,MATCH(Controls!$B$5,A1974:A2152,1)+169),"")</f>
        <v/>
      </c>
      <c r="Z2143" t="str" cm="1">
        <f t="array" ref="Z2143">IF(169&lt;Controls!$B$7,INDEX(H1974:H2152,MATCH(Controls!$B$5,A1974:A2152,1)+169),"")</f>
        <v/>
      </c>
      <c r="AA2143" t="str" cm="1">
        <f t="array" ref="AA2143">IF(169&lt;Controls!$B$7,INDEX(M1974:M2152,MATCH(Controls!$B$5,A1974:A2152,1)+169)*INDEX(I1974:I2152,MATCH(Controls!$B$5,A1974:A2152,1)+169),"")</f>
        <v/>
      </c>
      <c r="AB2143">
        <f t="shared" si="255"/>
        <v>0</v>
      </c>
    </row>
    <row r="2144" spans="1:28" x14ac:dyDescent="0.35">
      <c r="A2144" s="153">
        <v>51227</v>
      </c>
      <c r="B2144" s="155" t="s">
        <v>959</v>
      </c>
      <c r="C2144" s="15" t="s">
        <v>28</v>
      </c>
      <c r="D2144" s="15" t="s">
        <v>29</v>
      </c>
      <c r="E2144" s="199">
        <f>H2143</f>
        <v>0</v>
      </c>
      <c r="F2144" s="199">
        <f>IFERROR(SUMIFS('Demand Inputs'!$FT$5:$FT$202,'Demand Inputs'!$A$5:$A$202,"188mg LP - EU Stock",'Demand Inputs'!$B$5:$B$202,"&lt;&gt;AGGREGATE",'Demand Inputs'!$E$5:$E$202,1),0)</f>
        <v>0</v>
      </c>
      <c r="G2144" s="199" cm="1">
        <f t="array" ref="G2144">IFERROR(SUMPRODUCT(('Production Inputs'!$A:$A="188mg LP - EU Stock")*('Production Inputs'!$B:$B="TOTAL ACTIVE")*'Production Inputs'!$FZ:$FZ),0)</f>
        <v>0</v>
      </c>
      <c r="H2144" s="199">
        <f t="shared" si="249"/>
        <v>0</v>
      </c>
      <c r="I2144" s="30">
        <f ca="1">IFERROR(AVERAGEIF(OFFSET(F2144,0,0,MIN(Controls!$B$8,COUNTIF(B2144:B$2152,B2144)),1),"&gt;"&amp;0),0)</f>
        <v>0</v>
      </c>
      <c r="J2144" s="38">
        <f t="shared" ca="1" si="250"/>
        <v>0</v>
      </c>
      <c r="K2144" s="30">
        <f t="shared" ca="1" si="251"/>
        <v>0</v>
      </c>
      <c r="L2144" t="str">
        <f t="shared" si="252"/>
        <v>High</v>
      </c>
      <c r="M2144" s="39">
        <f>IFERROR(VLOOKUP("188mg LP - EU Stock",Controls!A:I,7,0),6)</f>
        <v>9</v>
      </c>
      <c r="N2144" s="39">
        <f>IFERROR(VLOOKUP("188mg LP - EU Stock",Controls!A:I,8,0),3)</f>
        <v>8</v>
      </c>
      <c r="O2144" s="39">
        <f>IFERROR(VLOOKUP("188mg LP - EU Stock",Controls!A:I,9,0),18)</f>
        <v>18</v>
      </c>
      <c r="P2144" s="40">
        <f>IFERROR(VLOOKUP("188mg LP - EU Stock",Controls!A:J,5,0),0)</f>
        <v>16200</v>
      </c>
      <c r="Q2144" s="39">
        <f>IFERROR(VLOOKUP("188mg LP - EU Stock",Controls!A:J,6,0),3)</f>
        <v>3</v>
      </c>
      <c r="R2144" s="21" t="str">
        <f>IFERROR(VLOOKUP("188mg LP - EU Stock",Controls!A:K,10,0),"")</f>
        <v>Patheon (L&amp;P EU)</v>
      </c>
      <c r="S2144" s="41">
        <f t="shared" si="253"/>
        <v>51136</v>
      </c>
      <c r="T2144" s="30">
        <f t="shared" si="254"/>
        <v>0</v>
      </c>
      <c r="W2144" s="205" t="str" cm="1">
        <f t="array" ref="W2144">IF(170&lt;Controls!$B$7,TEXT(INDEX(A1974:A2152,MATCH(Controls!$B$5,A1974:A2152,1)+170),"MMM-YY"),"")</f>
        <v/>
      </c>
      <c r="X2144" t="str" cm="1">
        <f t="array" ref="X2144">IF(170&lt;Controls!$B$7,INDEX(F1974:F2152,MATCH(Controls!$B$5,A1974:A2152,1)+170),"")</f>
        <v/>
      </c>
      <c r="Y2144" t="str" cm="1">
        <f t="array" ref="Y2144">IF(170&lt;Controls!$B$7,INDEX(G1974:G2152,MATCH(Controls!$B$5,A1974:A2152,1)+170),"")</f>
        <v/>
      </c>
      <c r="Z2144" t="str" cm="1">
        <f t="array" ref="Z2144">IF(170&lt;Controls!$B$7,INDEX(H1974:H2152,MATCH(Controls!$B$5,A1974:A2152,1)+170),"")</f>
        <v/>
      </c>
      <c r="AA2144" t="str" cm="1">
        <f t="array" ref="AA2144">IF(170&lt;Controls!$B$7,INDEX(M1974:M2152,MATCH(Controls!$B$5,A1974:A2152,1)+170)*INDEX(I1974:I2152,MATCH(Controls!$B$5,A1974:A2152,1)+170),"")</f>
        <v/>
      </c>
      <c r="AB2144">
        <f t="shared" si="255"/>
        <v>0</v>
      </c>
    </row>
    <row r="2145" spans="1:28" x14ac:dyDescent="0.35">
      <c r="A2145" s="153">
        <v>51257</v>
      </c>
      <c r="B2145" s="155" t="s">
        <v>959</v>
      </c>
      <c r="C2145" s="15" t="s">
        <v>28</v>
      </c>
      <c r="D2145" s="15" t="s">
        <v>29</v>
      </c>
      <c r="E2145" s="199">
        <f>H2144</f>
        <v>0</v>
      </c>
      <c r="F2145" s="199">
        <f>IFERROR(SUMIFS('Demand Inputs'!$FU$5:$FU$202,'Demand Inputs'!$A$5:$A$202,"188mg LP - EU Stock",'Demand Inputs'!$B$5:$B$202,"&lt;&gt;AGGREGATE",'Demand Inputs'!$E$5:$E$202,1),0)</f>
        <v>0</v>
      </c>
      <c r="G2145" s="199" cm="1">
        <f t="array" ref="G2145">IFERROR(SUMPRODUCT(('Production Inputs'!$A:$A="188mg LP - EU Stock")*('Production Inputs'!$B:$B="TOTAL ACTIVE")*'Production Inputs'!$GA:$GA),0)</f>
        <v>0</v>
      </c>
      <c r="H2145" s="199">
        <f t="shared" si="249"/>
        <v>0</v>
      </c>
      <c r="I2145" s="30">
        <f ca="1">IFERROR(AVERAGEIF(OFFSET(F2145,0,0,MIN(Controls!$B$8,COUNTIF(B2145:B$2152,B2145)),1),"&gt;"&amp;0),0)</f>
        <v>0</v>
      </c>
      <c r="J2145" s="38">
        <f t="shared" ca="1" si="250"/>
        <v>0</v>
      </c>
      <c r="K2145" s="30">
        <f t="shared" ca="1" si="251"/>
        <v>0</v>
      </c>
      <c r="L2145" t="str">
        <f t="shared" si="252"/>
        <v>High</v>
      </c>
      <c r="M2145" s="39">
        <f>IFERROR(VLOOKUP("188mg LP - EU Stock",Controls!A:I,7,0),6)</f>
        <v>9</v>
      </c>
      <c r="N2145" s="39">
        <f>IFERROR(VLOOKUP("188mg LP - EU Stock",Controls!A:I,8,0),3)</f>
        <v>8</v>
      </c>
      <c r="O2145" s="39">
        <f>IFERROR(VLOOKUP("188mg LP - EU Stock",Controls!A:I,9,0),18)</f>
        <v>18</v>
      </c>
      <c r="P2145" s="40">
        <f>IFERROR(VLOOKUP("188mg LP - EU Stock",Controls!A:J,5,0),0)</f>
        <v>16200</v>
      </c>
      <c r="Q2145" s="39">
        <f>IFERROR(VLOOKUP("188mg LP - EU Stock",Controls!A:J,6,0),3)</f>
        <v>3</v>
      </c>
      <c r="R2145" s="21" t="str">
        <f>IFERROR(VLOOKUP("188mg LP - EU Stock",Controls!A:K,10,0),"")</f>
        <v>Patheon (L&amp;P EU)</v>
      </c>
      <c r="S2145" s="41">
        <f t="shared" si="253"/>
        <v>51167</v>
      </c>
      <c r="T2145" s="30">
        <f t="shared" si="254"/>
        <v>0</v>
      </c>
      <c r="W2145" s="205" t="str" cm="1">
        <f t="array" ref="W2145">IF(171&lt;Controls!$B$7,TEXT(INDEX(A1974:A2152,MATCH(Controls!$B$5,A1974:A2152,1)+171),"MMM-YY"),"")</f>
        <v/>
      </c>
      <c r="X2145" t="str" cm="1">
        <f t="array" ref="X2145">IF(171&lt;Controls!$B$7,INDEX(F1974:F2152,MATCH(Controls!$B$5,A1974:A2152,1)+171),"")</f>
        <v/>
      </c>
      <c r="Y2145" t="str" cm="1">
        <f t="array" ref="Y2145">IF(171&lt;Controls!$B$7,INDEX(G1974:G2152,MATCH(Controls!$B$5,A1974:A2152,1)+171),"")</f>
        <v/>
      </c>
      <c r="Z2145" t="str" cm="1">
        <f t="array" ref="Z2145">IF(171&lt;Controls!$B$7,INDEX(H1974:H2152,MATCH(Controls!$B$5,A1974:A2152,1)+171),"")</f>
        <v/>
      </c>
      <c r="AA2145" t="str" cm="1">
        <f t="array" ref="AA2145">IF(171&lt;Controls!$B$7,INDEX(M1974:M2152,MATCH(Controls!$B$5,A1974:A2152,1)+171)*INDEX(I1974:I2152,MATCH(Controls!$B$5,A1974:A2152,1)+171),"")</f>
        <v/>
      </c>
      <c r="AB2145">
        <f t="shared" si="255"/>
        <v>0</v>
      </c>
    </row>
    <row r="2146" spans="1:28" x14ac:dyDescent="0.35">
      <c r="A2146" s="153">
        <v>51288</v>
      </c>
      <c r="B2146" s="155" t="s">
        <v>959</v>
      </c>
      <c r="C2146" s="15" t="s">
        <v>28</v>
      </c>
      <c r="D2146" s="15" t="s">
        <v>29</v>
      </c>
      <c r="E2146" s="199">
        <f>H2145</f>
        <v>0</v>
      </c>
      <c r="F2146" s="199">
        <f>IFERROR(SUMIFS('Demand Inputs'!$FV$5:$FV$202,'Demand Inputs'!$A$5:$A$202,"188mg LP - EU Stock",'Demand Inputs'!$B$5:$B$202,"&lt;&gt;AGGREGATE",'Demand Inputs'!$E$5:$E$202,1),0)</f>
        <v>0</v>
      </c>
      <c r="G2146" s="199" cm="1">
        <f t="array" ref="G2146">IFERROR(SUMPRODUCT(('Production Inputs'!$A:$A="188mg LP - EU Stock")*('Production Inputs'!$B:$B="TOTAL ACTIVE")*'Production Inputs'!$GB:$GB),0)</f>
        <v>0</v>
      </c>
      <c r="H2146" s="199">
        <f t="shared" si="249"/>
        <v>0</v>
      </c>
      <c r="I2146" s="30">
        <f ca="1">IFERROR(AVERAGEIF(OFFSET(F2146,0,0,MIN(Controls!$B$8,COUNTIF(B2146:B$2152,B2146)),1),"&gt;"&amp;0),0)</f>
        <v>0</v>
      </c>
      <c r="J2146" s="38">
        <f t="shared" ca="1" si="250"/>
        <v>0</v>
      </c>
      <c r="K2146" s="30">
        <f t="shared" ca="1" si="251"/>
        <v>0</v>
      </c>
      <c r="L2146" t="str">
        <f t="shared" si="252"/>
        <v>High</v>
      </c>
      <c r="M2146" s="39">
        <f>IFERROR(VLOOKUP("188mg LP - EU Stock",Controls!A:I,7,0),6)</f>
        <v>9</v>
      </c>
      <c r="N2146" s="39">
        <f>IFERROR(VLOOKUP("188mg LP - EU Stock",Controls!A:I,8,0),3)</f>
        <v>8</v>
      </c>
      <c r="O2146" s="39">
        <f>IFERROR(VLOOKUP("188mg LP - EU Stock",Controls!A:I,9,0),18)</f>
        <v>18</v>
      </c>
      <c r="P2146" s="40">
        <f>IFERROR(VLOOKUP("188mg LP - EU Stock",Controls!A:J,5,0),0)</f>
        <v>16200</v>
      </c>
      <c r="Q2146" s="39">
        <f>IFERROR(VLOOKUP("188mg LP - EU Stock",Controls!A:J,6,0),3)</f>
        <v>3</v>
      </c>
      <c r="R2146" s="21" t="str">
        <f>IFERROR(VLOOKUP("188mg LP - EU Stock",Controls!A:K,10,0),"")</f>
        <v>Patheon (L&amp;P EU)</v>
      </c>
      <c r="S2146" s="41">
        <f t="shared" si="253"/>
        <v>51196</v>
      </c>
      <c r="T2146" s="30">
        <f t="shared" si="254"/>
        <v>0</v>
      </c>
      <c r="W2146" s="205" t="str" cm="1">
        <f t="array" ref="W2146">IF(172&lt;Controls!$B$7,TEXT(INDEX(A1974:A2152,MATCH(Controls!$B$5,A1974:A2152,1)+172),"MMM-YY"),"")</f>
        <v/>
      </c>
      <c r="X2146" t="str" cm="1">
        <f t="array" ref="X2146">IF(172&lt;Controls!$B$7,INDEX(F1974:F2152,MATCH(Controls!$B$5,A1974:A2152,1)+172),"")</f>
        <v/>
      </c>
      <c r="Y2146" t="str" cm="1">
        <f t="array" ref="Y2146">IF(172&lt;Controls!$B$7,INDEX(G1974:G2152,MATCH(Controls!$B$5,A1974:A2152,1)+172),"")</f>
        <v/>
      </c>
      <c r="Z2146" t="str" cm="1">
        <f t="array" ref="Z2146">IF(172&lt;Controls!$B$7,INDEX(H1974:H2152,MATCH(Controls!$B$5,A1974:A2152,1)+172),"")</f>
        <v/>
      </c>
      <c r="AA2146" t="str" cm="1">
        <f t="array" ref="AA2146">IF(172&lt;Controls!$B$7,INDEX(M1974:M2152,MATCH(Controls!$B$5,A1974:A2152,1)+172)*INDEX(I1974:I2152,MATCH(Controls!$B$5,A1974:A2152,1)+172),"")</f>
        <v/>
      </c>
      <c r="AB2146">
        <f t="shared" si="255"/>
        <v>0</v>
      </c>
    </row>
    <row r="2147" spans="1:28" x14ac:dyDescent="0.35">
      <c r="A2147" s="153">
        <v>51318</v>
      </c>
      <c r="B2147" s="155" t="s">
        <v>959</v>
      </c>
      <c r="C2147" s="15" t="s">
        <v>28</v>
      </c>
      <c r="D2147" s="15" t="s">
        <v>29</v>
      </c>
      <c r="E2147" s="199">
        <f>H2146</f>
        <v>0</v>
      </c>
      <c r="F2147" s="199">
        <f>IFERROR(SUMIFS('Demand Inputs'!$FW$5:$FW$202,'Demand Inputs'!$A$5:$A$202,"188mg LP - EU Stock",'Demand Inputs'!$B$5:$B$202,"&lt;&gt;AGGREGATE",'Demand Inputs'!$E$5:$E$202,1),0)</f>
        <v>0</v>
      </c>
      <c r="G2147" s="199" cm="1">
        <f t="array" ref="G2147">IFERROR(SUMPRODUCT(('Production Inputs'!$A:$A="188mg LP - EU Stock")*('Production Inputs'!$B:$B="TOTAL ACTIVE")*'Production Inputs'!$GC:$GC),0)</f>
        <v>0</v>
      </c>
      <c r="H2147" s="199">
        <f t="shared" si="249"/>
        <v>0</v>
      </c>
      <c r="I2147" s="30">
        <f ca="1">IFERROR(AVERAGEIF(OFFSET(F2147,0,0,MIN(Controls!$B$8,COUNTIF(B2147:B$2152,B2147)),1),"&gt;"&amp;0),0)</f>
        <v>0</v>
      </c>
      <c r="J2147" s="38">
        <f t="shared" ca="1" si="250"/>
        <v>0</v>
      </c>
      <c r="K2147" s="30">
        <f t="shared" ca="1" si="251"/>
        <v>0</v>
      </c>
      <c r="L2147" t="str">
        <f t="shared" si="252"/>
        <v>High</v>
      </c>
      <c r="M2147" s="39">
        <f>IFERROR(VLOOKUP("188mg LP - EU Stock",Controls!A:I,7,0),6)</f>
        <v>9</v>
      </c>
      <c r="N2147" s="39">
        <f>IFERROR(VLOOKUP("188mg LP - EU Stock",Controls!A:I,8,0),3)</f>
        <v>8</v>
      </c>
      <c r="O2147" s="39">
        <f>IFERROR(VLOOKUP("188mg LP - EU Stock",Controls!A:I,9,0),18)</f>
        <v>18</v>
      </c>
      <c r="P2147" s="40">
        <f>IFERROR(VLOOKUP("188mg LP - EU Stock",Controls!A:J,5,0),0)</f>
        <v>16200</v>
      </c>
      <c r="Q2147" s="39">
        <f>IFERROR(VLOOKUP("188mg LP - EU Stock",Controls!A:J,6,0),3)</f>
        <v>3</v>
      </c>
      <c r="R2147" s="21" t="str">
        <f>IFERROR(VLOOKUP("188mg LP - EU Stock",Controls!A:K,10,0),"")</f>
        <v>Patheon (L&amp;P EU)</v>
      </c>
      <c r="S2147" s="41">
        <f t="shared" si="253"/>
        <v>51227</v>
      </c>
      <c r="T2147" s="30">
        <f t="shared" si="254"/>
        <v>0</v>
      </c>
      <c r="W2147" s="205" t="str" cm="1">
        <f t="array" ref="W2147">IF(173&lt;Controls!$B$7,TEXT(INDEX(A1974:A2152,MATCH(Controls!$B$5,A1974:A2152,1)+173),"MMM-YY"),"")</f>
        <v/>
      </c>
      <c r="X2147" t="str" cm="1">
        <f t="array" ref="X2147">IF(173&lt;Controls!$B$7,INDEX(F1974:F2152,MATCH(Controls!$B$5,A1974:A2152,1)+173),"")</f>
        <v/>
      </c>
      <c r="Y2147" t="str" cm="1">
        <f t="array" ref="Y2147">IF(173&lt;Controls!$B$7,INDEX(G1974:G2152,MATCH(Controls!$B$5,A1974:A2152,1)+173),"")</f>
        <v/>
      </c>
      <c r="Z2147" t="str" cm="1">
        <f t="array" ref="Z2147">IF(173&lt;Controls!$B$7,INDEX(H1974:H2152,MATCH(Controls!$B$5,A1974:A2152,1)+173),"")</f>
        <v/>
      </c>
      <c r="AA2147" t="str" cm="1">
        <f t="array" ref="AA2147">IF(173&lt;Controls!$B$7,INDEX(M1974:M2152,MATCH(Controls!$B$5,A1974:A2152,1)+173)*INDEX(I1974:I2152,MATCH(Controls!$B$5,A1974:A2152,1)+173),"")</f>
        <v/>
      </c>
      <c r="AB2147">
        <f t="shared" si="255"/>
        <v>0</v>
      </c>
    </row>
    <row r="2148" spans="1:28" x14ac:dyDescent="0.35">
      <c r="A2148" s="153">
        <v>51349</v>
      </c>
      <c r="B2148" s="155" t="s">
        <v>959</v>
      </c>
      <c r="C2148" s="15" t="s">
        <v>28</v>
      </c>
      <c r="D2148" s="15" t="s">
        <v>29</v>
      </c>
      <c r="E2148" s="199">
        <f>H2147</f>
        <v>0</v>
      </c>
      <c r="F2148" s="199">
        <f>IFERROR(SUMIFS('Demand Inputs'!$FX$5:$FX$202,'Demand Inputs'!$A$5:$A$202,"188mg LP - EU Stock",'Demand Inputs'!$B$5:$B$202,"&lt;&gt;AGGREGATE",'Demand Inputs'!$E$5:$E$202,1),0)</f>
        <v>0</v>
      </c>
      <c r="G2148" s="199" cm="1">
        <f t="array" ref="G2148">IFERROR(SUMPRODUCT(('Production Inputs'!$A:$A="188mg LP - EU Stock")*('Production Inputs'!$B:$B="TOTAL ACTIVE")*'Production Inputs'!$GD:$GD),0)</f>
        <v>0</v>
      </c>
      <c r="H2148" s="199">
        <f t="shared" si="249"/>
        <v>0</v>
      </c>
      <c r="I2148" s="30">
        <f ca="1">IFERROR(AVERAGEIF(OFFSET(F2148,0,0,MIN(Controls!$B$8,COUNTIF(B2148:B$2152,B2148)),1),"&gt;"&amp;0),0)</f>
        <v>0</v>
      </c>
      <c r="J2148" s="38">
        <f t="shared" ca="1" si="250"/>
        <v>0</v>
      </c>
      <c r="K2148" s="30">
        <f t="shared" ca="1" si="251"/>
        <v>0</v>
      </c>
      <c r="L2148" t="str">
        <f t="shared" si="252"/>
        <v>High</v>
      </c>
      <c r="M2148" s="39">
        <f>IFERROR(VLOOKUP("188mg LP - EU Stock",Controls!A:I,7,0),6)</f>
        <v>9</v>
      </c>
      <c r="N2148" s="39">
        <f>IFERROR(VLOOKUP("188mg LP - EU Stock",Controls!A:I,8,0),3)</f>
        <v>8</v>
      </c>
      <c r="O2148" s="39">
        <f>IFERROR(VLOOKUP("188mg LP - EU Stock",Controls!A:I,9,0),18)</f>
        <v>18</v>
      </c>
      <c r="P2148" s="40">
        <f>IFERROR(VLOOKUP("188mg LP - EU Stock",Controls!A:J,5,0),0)</f>
        <v>16200</v>
      </c>
      <c r="Q2148" s="39">
        <f>IFERROR(VLOOKUP("188mg LP - EU Stock",Controls!A:J,6,0),3)</f>
        <v>3</v>
      </c>
      <c r="R2148" s="21" t="str">
        <f>IFERROR(VLOOKUP("188mg LP - EU Stock",Controls!A:K,10,0),"")</f>
        <v>Patheon (L&amp;P EU)</v>
      </c>
      <c r="S2148" s="41">
        <f t="shared" si="253"/>
        <v>51257</v>
      </c>
      <c r="T2148" s="30">
        <f t="shared" si="254"/>
        <v>0</v>
      </c>
      <c r="W2148" s="205" t="str" cm="1">
        <f t="array" ref="W2148">IF(174&lt;Controls!$B$7,TEXT(INDEX(A1974:A2152,MATCH(Controls!$B$5,A1974:A2152,1)+174),"MMM-YY"),"")</f>
        <v/>
      </c>
      <c r="X2148" t="str" cm="1">
        <f t="array" ref="X2148">IF(174&lt;Controls!$B$7,INDEX(F1974:F2152,MATCH(Controls!$B$5,A1974:A2152,1)+174),"")</f>
        <v/>
      </c>
      <c r="Y2148" t="str" cm="1">
        <f t="array" ref="Y2148">IF(174&lt;Controls!$B$7,INDEX(G1974:G2152,MATCH(Controls!$B$5,A1974:A2152,1)+174),"")</f>
        <v/>
      </c>
      <c r="Z2148" t="str" cm="1">
        <f t="array" ref="Z2148">IF(174&lt;Controls!$B$7,INDEX(H1974:H2152,MATCH(Controls!$B$5,A1974:A2152,1)+174),"")</f>
        <v/>
      </c>
      <c r="AA2148" t="str" cm="1">
        <f t="array" ref="AA2148">IF(174&lt;Controls!$B$7,INDEX(M1974:M2152,MATCH(Controls!$B$5,A1974:A2152,1)+174)*INDEX(I1974:I2152,MATCH(Controls!$B$5,A1974:A2152,1)+174),"")</f>
        <v/>
      </c>
      <c r="AB2148">
        <f t="shared" si="255"/>
        <v>0</v>
      </c>
    </row>
    <row r="2149" spans="1:28" x14ac:dyDescent="0.35">
      <c r="A2149" s="153">
        <v>51380</v>
      </c>
      <c r="B2149" s="155" t="s">
        <v>959</v>
      </c>
      <c r="C2149" s="15" t="s">
        <v>28</v>
      </c>
      <c r="D2149" s="15" t="s">
        <v>29</v>
      </c>
      <c r="E2149" s="199">
        <f>H2148</f>
        <v>0</v>
      </c>
      <c r="F2149" s="199">
        <f>IFERROR(SUMIFS('Demand Inputs'!$FY$5:$FY$202,'Demand Inputs'!$A$5:$A$202,"188mg LP - EU Stock",'Demand Inputs'!$B$5:$B$202,"&lt;&gt;AGGREGATE",'Demand Inputs'!$E$5:$E$202,1),0)</f>
        <v>0</v>
      </c>
      <c r="G2149" s="199" cm="1">
        <f t="array" ref="G2149">IFERROR(SUMPRODUCT(('Production Inputs'!$A:$A="188mg LP - EU Stock")*('Production Inputs'!$B:$B="TOTAL ACTIVE")*'Production Inputs'!$GE:$GE),0)</f>
        <v>0</v>
      </c>
      <c r="H2149" s="199">
        <f t="shared" si="249"/>
        <v>0</v>
      </c>
      <c r="I2149" s="30">
        <f ca="1">IFERROR(AVERAGEIF(OFFSET(F2149,0,0,MIN(Controls!$B$8,COUNTIF(B2149:B$2152,B2149)),1),"&gt;"&amp;0),0)</f>
        <v>0</v>
      </c>
      <c r="J2149" s="38">
        <f t="shared" ca="1" si="250"/>
        <v>0</v>
      </c>
      <c r="K2149" s="30">
        <f t="shared" ca="1" si="251"/>
        <v>0</v>
      </c>
      <c r="L2149" t="str">
        <f t="shared" si="252"/>
        <v>High</v>
      </c>
      <c r="M2149" s="39">
        <f>IFERROR(VLOOKUP("188mg LP - EU Stock",Controls!A:I,7,0),6)</f>
        <v>9</v>
      </c>
      <c r="N2149" s="39">
        <f>IFERROR(VLOOKUP("188mg LP - EU Stock",Controls!A:I,8,0),3)</f>
        <v>8</v>
      </c>
      <c r="O2149" s="39">
        <f>IFERROR(VLOOKUP("188mg LP - EU Stock",Controls!A:I,9,0),18)</f>
        <v>18</v>
      </c>
      <c r="P2149" s="40">
        <f>IFERROR(VLOOKUP("188mg LP - EU Stock",Controls!A:J,5,0),0)</f>
        <v>16200</v>
      </c>
      <c r="Q2149" s="39">
        <f>IFERROR(VLOOKUP("188mg LP - EU Stock",Controls!A:J,6,0),3)</f>
        <v>3</v>
      </c>
      <c r="R2149" s="21" t="str">
        <f>IFERROR(VLOOKUP("188mg LP - EU Stock",Controls!A:K,10,0),"")</f>
        <v>Patheon (L&amp;P EU)</v>
      </c>
      <c r="S2149" s="41">
        <f t="shared" si="253"/>
        <v>51288</v>
      </c>
      <c r="T2149" s="30">
        <f t="shared" si="254"/>
        <v>0</v>
      </c>
      <c r="W2149" s="205" t="str" cm="1">
        <f t="array" ref="W2149">IF(175&lt;Controls!$B$7,TEXT(INDEX(A1974:A2152,MATCH(Controls!$B$5,A1974:A2152,1)+175),"MMM-YY"),"")</f>
        <v/>
      </c>
      <c r="X2149" t="str" cm="1">
        <f t="array" ref="X2149">IF(175&lt;Controls!$B$7,INDEX(F1974:F2152,MATCH(Controls!$B$5,A1974:A2152,1)+175),"")</f>
        <v/>
      </c>
      <c r="Y2149" t="str" cm="1">
        <f t="array" ref="Y2149">IF(175&lt;Controls!$B$7,INDEX(G1974:G2152,MATCH(Controls!$B$5,A1974:A2152,1)+175),"")</f>
        <v/>
      </c>
      <c r="Z2149" t="str" cm="1">
        <f t="array" ref="Z2149">IF(175&lt;Controls!$B$7,INDEX(H1974:H2152,MATCH(Controls!$B$5,A1974:A2152,1)+175),"")</f>
        <v/>
      </c>
      <c r="AA2149" t="str" cm="1">
        <f t="array" ref="AA2149">IF(175&lt;Controls!$B$7,INDEX(M1974:M2152,MATCH(Controls!$B$5,A1974:A2152,1)+175)*INDEX(I1974:I2152,MATCH(Controls!$B$5,A1974:A2152,1)+175),"")</f>
        <v/>
      </c>
      <c r="AB2149">
        <f t="shared" si="255"/>
        <v>0</v>
      </c>
    </row>
    <row r="2150" spans="1:28" x14ac:dyDescent="0.35">
      <c r="A2150" s="153">
        <v>51410</v>
      </c>
      <c r="B2150" s="155" t="s">
        <v>959</v>
      </c>
      <c r="C2150" s="15" t="s">
        <v>28</v>
      </c>
      <c r="D2150" s="15" t="s">
        <v>29</v>
      </c>
      <c r="E2150" s="199">
        <f>H2149</f>
        <v>0</v>
      </c>
      <c r="F2150" s="199">
        <f>IFERROR(SUMIFS('Demand Inputs'!$FZ$5:$FZ$202,'Demand Inputs'!$A$5:$A$202,"188mg LP - EU Stock",'Demand Inputs'!$B$5:$B$202,"&lt;&gt;AGGREGATE",'Demand Inputs'!$E$5:$E$202,1),0)</f>
        <v>0</v>
      </c>
      <c r="G2150" s="199" cm="1">
        <f t="array" ref="G2150">IFERROR(SUMPRODUCT(('Production Inputs'!$A:$A="188mg LP - EU Stock")*('Production Inputs'!$B:$B="TOTAL ACTIVE")*'Production Inputs'!$GF:$GF),0)</f>
        <v>0</v>
      </c>
      <c r="H2150" s="199">
        <f t="shared" si="249"/>
        <v>0</v>
      </c>
      <c r="I2150" s="30">
        <f ca="1">IFERROR(AVERAGEIF(OFFSET(F2150,0,0,MIN(Controls!$B$8,COUNTIF(B2150:B$2152,B2150)),1),"&gt;"&amp;0),0)</f>
        <v>0</v>
      </c>
      <c r="J2150" s="38">
        <f t="shared" ca="1" si="250"/>
        <v>0</v>
      </c>
      <c r="K2150" s="30">
        <f t="shared" ca="1" si="251"/>
        <v>0</v>
      </c>
      <c r="L2150" t="str">
        <f t="shared" si="252"/>
        <v>High</v>
      </c>
      <c r="M2150" s="39">
        <f>IFERROR(VLOOKUP("188mg LP - EU Stock",Controls!A:I,7,0),6)</f>
        <v>9</v>
      </c>
      <c r="N2150" s="39">
        <f>IFERROR(VLOOKUP("188mg LP - EU Stock",Controls!A:I,8,0),3)</f>
        <v>8</v>
      </c>
      <c r="O2150" s="39">
        <f>IFERROR(VLOOKUP("188mg LP - EU Stock",Controls!A:I,9,0),18)</f>
        <v>18</v>
      </c>
      <c r="P2150" s="40">
        <f>IFERROR(VLOOKUP("188mg LP - EU Stock",Controls!A:J,5,0),0)</f>
        <v>16200</v>
      </c>
      <c r="Q2150" s="39">
        <f>IFERROR(VLOOKUP("188mg LP - EU Stock",Controls!A:J,6,0),3)</f>
        <v>3</v>
      </c>
      <c r="R2150" s="21" t="str">
        <f>IFERROR(VLOOKUP("188mg LP - EU Stock",Controls!A:K,10,0),"")</f>
        <v>Patheon (L&amp;P EU)</v>
      </c>
      <c r="S2150" s="41">
        <f t="shared" si="253"/>
        <v>51318</v>
      </c>
      <c r="T2150" s="30">
        <f t="shared" si="254"/>
        <v>0</v>
      </c>
      <c r="W2150" s="205" t="str" cm="1">
        <f t="array" ref="W2150">IF(176&lt;Controls!$B$7,TEXT(INDEX(A1974:A2152,MATCH(Controls!$B$5,A1974:A2152,1)+176),"MMM-YY"),"")</f>
        <v/>
      </c>
      <c r="X2150" t="str" cm="1">
        <f t="array" ref="X2150">IF(176&lt;Controls!$B$7,INDEX(F1974:F2152,MATCH(Controls!$B$5,A1974:A2152,1)+176),"")</f>
        <v/>
      </c>
      <c r="Y2150" t="str" cm="1">
        <f t="array" ref="Y2150">IF(176&lt;Controls!$B$7,INDEX(G1974:G2152,MATCH(Controls!$B$5,A1974:A2152,1)+176),"")</f>
        <v/>
      </c>
      <c r="Z2150" t="str" cm="1">
        <f t="array" ref="Z2150">IF(176&lt;Controls!$B$7,INDEX(H1974:H2152,MATCH(Controls!$B$5,A1974:A2152,1)+176),"")</f>
        <v/>
      </c>
      <c r="AA2150" t="str" cm="1">
        <f t="array" ref="AA2150">IF(176&lt;Controls!$B$7,INDEX(M1974:M2152,MATCH(Controls!$B$5,A1974:A2152,1)+176)*INDEX(I1974:I2152,MATCH(Controls!$B$5,A1974:A2152,1)+176),"")</f>
        <v/>
      </c>
      <c r="AB2150">
        <f t="shared" si="255"/>
        <v>0</v>
      </c>
    </row>
    <row r="2151" spans="1:28" x14ac:dyDescent="0.35">
      <c r="A2151" s="153">
        <v>51441</v>
      </c>
      <c r="B2151" s="155" t="s">
        <v>959</v>
      </c>
      <c r="C2151" s="15" t="s">
        <v>28</v>
      </c>
      <c r="D2151" s="15" t="s">
        <v>29</v>
      </c>
      <c r="E2151" s="199">
        <f>H2150</f>
        <v>0</v>
      </c>
      <c r="F2151" s="199">
        <f>IFERROR(SUMIFS('Demand Inputs'!$GA$5:$GA$202,'Demand Inputs'!$A$5:$A$202,"188mg LP - EU Stock",'Demand Inputs'!$B$5:$B$202,"&lt;&gt;AGGREGATE",'Demand Inputs'!$E$5:$E$202,1),0)</f>
        <v>0</v>
      </c>
      <c r="G2151" s="199" cm="1">
        <f t="array" ref="G2151">IFERROR(SUMPRODUCT(('Production Inputs'!$A:$A="188mg LP - EU Stock")*('Production Inputs'!$B:$B="TOTAL ACTIVE")*'Production Inputs'!$GG:$GG),0)</f>
        <v>0</v>
      </c>
      <c r="H2151" s="199">
        <f t="shared" si="249"/>
        <v>0</v>
      </c>
      <c r="I2151" s="30">
        <f ca="1">IFERROR(AVERAGEIF(OFFSET(F2151,0,0,MIN(Controls!$B$8,COUNTIF(B2151:B$2152,B2151)),1),"&gt;"&amp;0),0)</f>
        <v>0</v>
      </c>
      <c r="J2151" s="38">
        <f t="shared" ca="1" si="250"/>
        <v>0</v>
      </c>
      <c r="K2151" s="30">
        <f t="shared" ca="1" si="251"/>
        <v>0</v>
      </c>
      <c r="L2151" t="str">
        <f t="shared" si="252"/>
        <v>High</v>
      </c>
      <c r="M2151" s="39">
        <f>IFERROR(VLOOKUP("188mg LP - EU Stock",Controls!A:I,7,0),6)</f>
        <v>9</v>
      </c>
      <c r="N2151" s="39">
        <f>IFERROR(VLOOKUP("188mg LP - EU Stock",Controls!A:I,8,0),3)</f>
        <v>8</v>
      </c>
      <c r="O2151" s="39">
        <f>IFERROR(VLOOKUP("188mg LP - EU Stock",Controls!A:I,9,0),18)</f>
        <v>18</v>
      </c>
      <c r="P2151" s="40">
        <f>IFERROR(VLOOKUP("188mg LP - EU Stock",Controls!A:J,5,0),0)</f>
        <v>16200</v>
      </c>
      <c r="Q2151" s="39">
        <f>IFERROR(VLOOKUP("188mg LP - EU Stock",Controls!A:J,6,0),3)</f>
        <v>3</v>
      </c>
      <c r="R2151" s="21" t="str">
        <f>IFERROR(VLOOKUP("188mg LP - EU Stock",Controls!A:K,10,0),"")</f>
        <v>Patheon (L&amp;P EU)</v>
      </c>
      <c r="S2151" s="41">
        <f t="shared" si="253"/>
        <v>51349</v>
      </c>
      <c r="T2151" s="30">
        <f t="shared" si="254"/>
        <v>0</v>
      </c>
      <c r="W2151" s="205" t="str" cm="1">
        <f t="array" ref="W2151">IF(177&lt;Controls!$B$7,TEXT(INDEX(A1974:A2152,MATCH(Controls!$B$5,A1974:A2152,1)+177),"MMM-YY"),"")</f>
        <v/>
      </c>
      <c r="X2151" t="str" cm="1">
        <f t="array" ref="X2151">IF(177&lt;Controls!$B$7,INDEX(F1974:F2152,MATCH(Controls!$B$5,A1974:A2152,1)+177),"")</f>
        <v/>
      </c>
      <c r="Y2151" t="str" cm="1">
        <f t="array" ref="Y2151">IF(177&lt;Controls!$B$7,INDEX(G1974:G2152,MATCH(Controls!$B$5,A1974:A2152,1)+177),"")</f>
        <v/>
      </c>
      <c r="Z2151" t="str" cm="1">
        <f t="array" ref="Z2151">IF(177&lt;Controls!$B$7,INDEX(H1974:H2152,MATCH(Controls!$B$5,A1974:A2152,1)+177),"")</f>
        <v/>
      </c>
      <c r="AA2151" t="str" cm="1">
        <f t="array" ref="AA2151">IF(177&lt;Controls!$B$7,INDEX(M1974:M2152,MATCH(Controls!$B$5,A1974:A2152,1)+177)*INDEX(I1974:I2152,MATCH(Controls!$B$5,A1974:A2152,1)+177),"")</f>
        <v/>
      </c>
      <c r="AB2151">
        <f t="shared" si="255"/>
        <v>0</v>
      </c>
    </row>
    <row r="2152" spans="1:28" x14ac:dyDescent="0.35">
      <c r="A2152" s="153">
        <v>51471</v>
      </c>
      <c r="B2152" s="155" t="s">
        <v>959</v>
      </c>
      <c r="C2152" s="15" t="s">
        <v>28</v>
      </c>
      <c r="D2152" s="15" t="s">
        <v>29</v>
      </c>
      <c r="E2152" s="199">
        <f>H2151</f>
        <v>0</v>
      </c>
      <c r="F2152" s="199">
        <f>IFERROR(SUMIFS('Demand Inputs'!$GB$5:$GB$202,'Demand Inputs'!$A$5:$A$202,"188mg LP - EU Stock",'Demand Inputs'!$B$5:$B$202,"&lt;&gt;AGGREGATE",'Demand Inputs'!$E$5:$E$202,1),0)</f>
        <v>0</v>
      </c>
      <c r="G2152" s="199" cm="1">
        <f t="array" ref="G2152">IFERROR(SUMPRODUCT(('Production Inputs'!$A:$A="188mg LP - EU Stock")*('Production Inputs'!$B:$B="TOTAL ACTIVE")*'Production Inputs'!$GH:$GH),0)</f>
        <v>0</v>
      </c>
      <c r="H2152" s="199">
        <f t="shared" si="249"/>
        <v>0</v>
      </c>
      <c r="I2152" s="30">
        <f ca="1">IFERROR(AVERAGEIF(OFFSET(F2152,0,0,MIN(Controls!$B$8,COUNTIF(B2152:B$2152,B2152)),1),"&gt;"&amp;0),0)</f>
        <v>0</v>
      </c>
      <c r="J2152" s="38">
        <f t="shared" ca="1" si="250"/>
        <v>0</v>
      </c>
      <c r="K2152" s="30">
        <f t="shared" ca="1" si="251"/>
        <v>0</v>
      </c>
      <c r="L2152" t="str">
        <f t="shared" si="252"/>
        <v>High</v>
      </c>
      <c r="M2152" s="39">
        <f>IFERROR(VLOOKUP("188mg LP - EU Stock",Controls!A:I,7,0),6)</f>
        <v>9</v>
      </c>
      <c r="N2152" s="39">
        <f>IFERROR(VLOOKUP("188mg LP - EU Stock",Controls!A:I,8,0),3)</f>
        <v>8</v>
      </c>
      <c r="O2152" s="39">
        <f>IFERROR(VLOOKUP("188mg LP - EU Stock",Controls!A:I,9,0),18)</f>
        <v>18</v>
      </c>
      <c r="P2152" s="40">
        <f>IFERROR(VLOOKUP("188mg LP - EU Stock",Controls!A:J,5,0),0)</f>
        <v>16200</v>
      </c>
      <c r="Q2152" s="39">
        <f>IFERROR(VLOOKUP("188mg LP - EU Stock",Controls!A:J,6,0),3)</f>
        <v>3</v>
      </c>
      <c r="R2152" s="21" t="str">
        <f>IFERROR(VLOOKUP("188mg LP - EU Stock",Controls!A:K,10,0),"")</f>
        <v>Patheon (L&amp;P EU)</v>
      </c>
      <c r="S2152" s="41">
        <f t="shared" si="253"/>
        <v>51380</v>
      </c>
      <c r="T2152" s="30">
        <f t="shared" si="254"/>
        <v>0</v>
      </c>
      <c r="W2152" s="205" t="str" cm="1">
        <f t="array" ref="W2152">IF(178&lt;Controls!$B$7,TEXT(INDEX(A1974:A2152,MATCH(Controls!$B$5,A1974:A2152,1)+178),"MMM-YY"),"")</f>
        <v/>
      </c>
      <c r="X2152" t="str" cm="1">
        <f t="array" ref="X2152">IF(178&lt;Controls!$B$7,INDEX(F1974:F2152,MATCH(Controls!$B$5,A1974:A2152,1)+178),"")</f>
        <v/>
      </c>
      <c r="Y2152" t="str" cm="1">
        <f t="array" ref="Y2152">IF(178&lt;Controls!$B$7,INDEX(G1974:G2152,MATCH(Controls!$B$5,A1974:A2152,1)+178),"")</f>
        <v/>
      </c>
      <c r="Z2152" t="str" cm="1">
        <f t="array" ref="Z2152">IF(178&lt;Controls!$B$7,INDEX(H1974:H2152,MATCH(Controls!$B$5,A1974:A2152,1)+178),"")</f>
        <v/>
      </c>
      <c r="AA2152" t="str" cm="1">
        <f t="array" ref="AA2152">IF(178&lt;Controls!$B$7,INDEX(M1974:M2152,MATCH(Controls!$B$5,A1974:A2152,1)+178)*INDEX(I1974:I2152,MATCH(Controls!$B$5,A1974:A2152,1)+178),"")</f>
        <v/>
      </c>
      <c r="AB2152">
        <f t="shared" si="255"/>
        <v>0</v>
      </c>
    </row>
    <row r="2153" spans="1:28" x14ac:dyDescent="0.35">
      <c r="A2153" s="153">
        <v>46054</v>
      </c>
      <c r="B2153" s="155" t="s">
        <v>960</v>
      </c>
      <c r="C2153" s="15" t="s">
        <v>28</v>
      </c>
      <c r="D2153" s="15" t="s">
        <v>29</v>
      </c>
      <c r="E2153" s="199">
        <f>IFERROR(VLOOKUP("47mg LP - EU Stock",Controls!A:D,4,0),0)</f>
        <v>0</v>
      </c>
      <c r="F2153" s="199">
        <f>IFERROR(SUMIFS('Demand Inputs'!$F$5:$F$202,'Demand Inputs'!$A$5:$A$202,"47mg LP - EU Stock",'Demand Inputs'!$B$5:$B$202,"&lt;&gt;AGGREGATE",'Demand Inputs'!$E$5:$E$202,1),0)</f>
        <v>0</v>
      </c>
      <c r="G2153" s="199" cm="1">
        <f t="array" ref="G2153">IFERROR(SUMPRODUCT(('Production Inputs'!$A:$A="47mg LP - EU Stock")*('Production Inputs'!$B:$B="TOTAL ACTIVE")*'Production Inputs'!$L:$L),0)</f>
        <v>0</v>
      </c>
      <c r="H2153" s="199">
        <f t="shared" si="249"/>
        <v>0</v>
      </c>
      <c r="I2153" s="30">
        <f ca="1">IFERROR(AVERAGEIF(OFFSET(F2153,0,0,MIN(Controls!$B$8,COUNTIF(B2153:B$2331,B2153)),1),"&gt;"&amp;0),0)</f>
        <v>0</v>
      </c>
      <c r="J2153" s="38">
        <f t="shared" ca="1" si="250"/>
        <v>0</v>
      </c>
      <c r="K2153" s="30">
        <f t="shared" ca="1" si="251"/>
        <v>0</v>
      </c>
      <c r="L2153" t="str">
        <f t="shared" si="252"/>
        <v>High</v>
      </c>
      <c r="M2153" s="39">
        <f>IFERROR(VLOOKUP("47mg LP - EU Stock",Controls!A:I,7,0),6)</f>
        <v>9</v>
      </c>
      <c r="N2153" s="39">
        <f>IFERROR(VLOOKUP("47mg LP - EU Stock",Controls!A:I,8,0),3)</f>
        <v>8</v>
      </c>
      <c r="O2153" s="39">
        <f>IFERROR(VLOOKUP("47mg LP - EU Stock",Controls!A:I,9,0),18)</f>
        <v>18</v>
      </c>
      <c r="P2153" s="40">
        <f>IFERROR(VLOOKUP("47mg LP - EU Stock",Controls!A:J,5,0),0)</f>
        <v>10000</v>
      </c>
      <c r="Q2153" s="39">
        <f>IFERROR(VLOOKUP("47mg LP - EU Stock",Controls!A:J,6,0),3)</f>
        <v>3</v>
      </c>
      <c r="R2153" s="21" t="str">
        <f>IFERROR(VLOOKUP("47mg LP - EU Stock",Controls!A:K,10,0),"")</f>
        <v>Patheon (L&amp;P EU)</v>
      </c>
      <c r="S2153" s="41">
        <f t="shared" si="253"/>
        <v>45962</v>
      </c>
      <c r="T2153" s="30">
        <f t="shared" si="254"/>
        <v>0</v>
      </c>
      <c r="W2153" s="205" t="str" cm="1">
        <f t="array" ref="W2153">IF(0&lt;Controls!$B$7,TEXT(INDEX(A2153:A2331,MATCH(Controls!$B$5,A2153:A2331,1)+0),"MMM-YY"),"")</f>
        <v>Apr-26</v>
      </c>
      <c r="X2153" cm="1">
        <f t="array" ref="X2153">IF(0&lt;Controls!$B$7,INDEX(F2153:F2331,MATCH(Controls!$B$5,A2153:A2331,1)+0),"")</f>
        <v>0</v>
      </c>
      <c r="Y2153" cm="1">
        <f t="array" ref="Y2153">IF(0&lt;Controls!$B$7,INDEX(G2153:G2331,MATCH(Controls!$B$5,A2153:A2331,1)+0),"")</f>
        <v>0</v>
      </c>
      <c r="Z2153" cm="1">
        <f t="array" ref="Z2153">IF(0&lt;Controls!$B$7,INDEX(H2153:H2331,MATCH(Controls!$B$5,A2153:A2331,1)+0),"")</f>
        <v>0</v>
      </c>
      <c r="AA2153" cm="1">
        <f t="array" aca="1" ref="AA2153" ca="1">IF(0&lt;Controls!$B$7,INDEX(M2153:M2331,MATCH(Controls!$B$5,A2153:A2331,1)+0)*INDEX(I2153:I2331,MATCH(Controls!$B$5,A2153:A2331,1)+0),"")</f>
        <v>0</v>
      </c>
      <c r="AB2153">
        <f t="shared" si="255"/>
        <v>0</v>
      </c>
    </row>
    <row r="2154" spans="1:28" x14ac:dyDescent="0.35">
      <c r="A2154" s="153">
        <v>46082</v>
      </c>
      <c r="B2154" s="155" t="s">
        <v>960</v>
      </c>
      <c r="C2154" s="15" t="s">
        <v>28</v>
      </c>
      <c r="D2154" s="15" t="s">
        <v>29</v>
      </c>
      <c r="E2154" s="199">
        <f>H2153</f>
        <v>0</v>
      </c>
      <c r="F2154" s="199">
        <f>IFERROR(SUMIFS('Demand Inputs'!$G$5:$G$202,'Demand Inputs'!$A$5:$A$202,"47mg LP - EU Stock",'Demand Inputs'!$B$5:$B$202,"&lt;&gt;AGGREGATE",'Demand Inputs'!$E$5:$E$202,1),0)</f>
        <v>0</v>
      </c>
      <c r="G2154" s="199" cm="1">
        <f t="array" ref="G2154">IFERROR(SUMPRODUCT(('Production Inputs'!$A:$A="47mg LP - EU Stock")*('Production Inputs'!$B:$B="TOTAL ACTIVE")*'Production Inputs'!$M:$M),0)</f>
        <v>0</v>
      </c>
      <c r="H2154" s="199">
        <f t="shared" si="249"/>
        <v>0</v>
      </c>
      <c r="I2154" s="30">
        <f ca="1">IFERROR(AVERAGEIF(OFFSET(F2154,0,0,MIN(Controls!$B$8,COUNTIF(B2154:B$2331,B2154)),1),"&gt;"&amp;0),0)</f>
        <v>0</v>
      </c>
      <c r="J2154" s="38">
        <f t="shared" ca="1" si="250"/>
        <v>0</v>
      </c>
      <c r="K2154" s="30">
        <f t="shared" ca="1" si="251"/>
        <v>0</v>
      </c>
      <c r="L2154" t="str">
        <f t="shared" si="252"/>
        <v>High</v>
      </c>
      <c r="M2154" s="39">
        <f>IFERROR(VLOOKUP("47mg LP - EU Stock",Controls!A:I,7,0),6)</f>
        <v>9</v>
      </c>
      <c r="N2154" s="39">
        <f>IFERROR(VLOOKUP("47mg LP - EU Stock",Controls!A:I,8,0),3)</f>
        <v>8</v>
      </c>
      <c r="O2154" s="39">
        <f>IFERROR(VLOOKUP("47mg LP - EU Stock",Controls!A:I,9,0),18)</f>
        <v>18</v>
      </c>
      <c r="P2154" s="40">
        <f>IFERROR(VLOOKUP("47mg LP - EU Stock",Controls!A:J,5,0),0)</f>
        <v>10000</v>
      </c>
      <c r="Q2154" s="39">
        <f>IFERROR(VLOOKUP("47mg LP - EU Stock",Controls!A:J,6,0),3)</f>
        <v>3</v>
      </c>
      <c r="R2154" s="21" t="str">
        <f>IFERROR(VLOOKUP("47mg LP - EU Stock",Controls!A:K,10,0),"")</f>
        <v>Patheon (L&amp;P EU)</v>
      </c>
      <c r="S2154" s="41">
        <f t="shared" si="253"/>
        <v>45992</v>
      </c>
      <c r="T2154" s="30">
        <f t="shared" si="254"/>
        <v>0</v>
      </c>
      <c r="W2154" s="205" t="str" cm="1">
        <f t="array" ref="W2154">IF(1&lt;Controls!$B$7,TEXT(INDEX(A2153:A2331,MATCH(Controls!$B$5,A2153:A2331,1)+1),"MMM-YY"),"")</f>
        <v>May-26</v>
      </c>
      <c r="X2154" cm="1">
        <f t="array" ref="X2154">IF(1&lt;Controls!$B$7,INDEX(F2153:F2331,MATCH(Controls!$B$5,A2153:A2331,1)+1),"")</f>
        <v>0</v>
      </c>
      <c r="Y2154" cm="1">
        <f t="array" ref="Y2154">IF(1&lt;Controls!$B$7,INDEX(G2153:G2331,MATCH(Controls!$B$5,A2153:A2331,1)+1),"")</f>
        <v>0</v>
      </c>
      <c r="Z2154" cm="1">
        <f t="array" ref="Z2154">IF(1&lt;Controls!$B$7,INDEX(H2153:H2331,MATCH(Controls!$B$5,A2153:A2331,1)+1),"")</f>
        <v>0</v>
      </c>
      <c r="AA2154" cm="1">
        <f t="array" aca="1" ref="AA2154" ca="1">IF(1&lt;Controls!$B$7,INDEX(M2153:M2331,MATCH(Controls!$B$5,A2153:A2331,1)+1)*INDEX(I2153:I2331,MATCH(Controls!$B$5,A2153:A2331,1)+1),"")</f>
        <v>0</v>
      </c>
      <c r="AB2154">
        <f t="shared" si="255"/>
        <v>0</v>
      </c>
    </row>
    <row r="2155" spans="1:28" x14ac:dyDescent="0.35">
      <c r="A2155" s="153">
        <v>46113</v>
      </c>
      <c r="B2155" s="155" t="s">
        <v>960</v>
      </c>
      <c r="C2155" s="15" t="s">
        <v>28</v>
      </c>
      <c r="D2155" s="15" t="s">
        <v>29</v>
      </c>
      <c r="E2155" s="199">
        <f>H2154</f>
        <v>0</v>
      </c>
      <c r="F2155" s="199">
        <f>IFERROR(SUMIFS('Demand Inputs'!$H$5:$H$202,'Demand Inputs'!$A$5:$A$202,"47mg LP - EU Stock",'Demand Inputs'!$B$5:$B$202,"&lt;&gt;AGGREGATE",'Demand Inputs'!$E$5:$E$202,1),0)</f>
        <v>0</v>
      </c>
      <c r="G2155" s="199" cm="1">
        <f t="array" ref="G2155">IFERROR(SUMPRODUCT(('Production Inputs'!$A:$A="47mg LP - EU Stock")*('Production Inputs'!$B:$B="TOTAL ACTIVE")*'Production Inputs'!$N:$N),0)</f>
        <v>0</v>
      </c>
      <c r="H2155" s="199">
        <f t="shared" si="249"/>
        <v>0</v>
      </c>
      <c r="I2155" s="30">
        <f ca="1">IFERROR(AVERAGEIF(OFFSET(F2155,0,0,MIN(Controls!$B$8,COUNTIF(B2155:B$2331,B2155)),1),"&gt;"&amp;0),0)</f>
        <v>0</v>
      </c>
      <c r="J2155" s="38">
        <f t="shared" ca="1" si="250"/>
        <v>0</v>
      </c>
      <c r="K2155" s="30">
        <f t="shared" ca="1" si="251"/>
        <v>0</v>
      </c>
      <c r="L2155" t="str">
        <f t="shared" si="252"/>
        <v>High</v>
      </c>
      <c r="M2155" s="39">
        <f>IFERROR(VLOOKUP("47mg LP - EU Stock",Controls!A:I,7,0),6)</f>
        <v>9</v>
      </c>
      <c r="N2155" s="39">
        <f>IFERROR(VLOOKUP("47mg LP - EU Stock",Controls!A:I,8,0),3)</f>
        <v>8</v>
      </c>
      <c r="O2155" s="39">
        <f>IFERROR(VLOOKUP("47mg LP - EU Stock",Controls!A:I,9,0),18)</f>
        <v>18</v>
      </c>
      <c r="P2155" s="40">
        <f>IFERROR(VLOOKUP("47mg LP - EU Stock",Controls!A:J,5,0),0)</f>
        <v>10000</v>
      </c>
      <c r="Q2155" s="39">
        <f>IFERROR(VLOOKUP("47mg LP - EU Stock",Controls!A:J,6,0),3)</f>
        <v>3</v>
      </c>
      <c r="R2155" s="21" t="str">
        <f>IFERROR(VLOOKUP("47mg LP - EU Stock",Controls!A:K,10,0),"")</f>
        <v>Patheon (L&amp;P EU)</v>
      </c>
      <c r="S2155" s="41">
        <f t="shared" si="253"/>
        <v>46023</v>
      </c>
      <c r="T2155" s="30">
        <f t="shared" si="254"/>
        <v>0</v>
      </c>
      <c r="W2155" s="205" t="str" cm="1">
        <f t="array" ref="W2155">IF(2&lt;Controls!$B$7,TEXT(INDEX(A2153:A2331,MATCH(Controls!$B$5,A2153:A2331,1)+2),"MMM-YY"),"")</f>
        <v>Jun-26</v>
      </c>
      <c r="X2155" cm="1">
        <f t="array" ref="X2155">IF(2&lt;Controls!$B$7,INDEX(F2153:F2331,MATCH(Controls!$B$5,A2153:A2331,1)+2),"")</f>
        <v>0</v>
      </c>
      <c r="Y2155" cm="1">
        <f t="array" ref="Y2155">IF(2&lt;Controls!$B$7,INDEX(G2153:G2331,MATCH(Controls!$B$5,A2153:A2331,1)+2),"")</f>
        <v>0</v>
      </c>
      <c r="Z2155" cm="1">
        <f t="array" ref="Z2155">IF(2&lt;Controls!$B$7,INDEX(H2153:H2331,MATCH(Controls!$B$5,A2153:A2331,1)+2),"")</f>
        <v>0</v>
      </c>
      <c r="AA2155" cm="1">
        <f t="array" aca="1" ref="AA2155" ca="1">IF(2&lt;Controls!$B$7,INDEX(M2153:M2331,MATCH(Controls!$B$5,A2153:A2331,1)+2)*INDEX(I2153:I2331,MATCH(Controls!$B$5,A2153:A2331,1)+2),"")</f>
        <v>0</v>
      </c>
      <c r="AB2155">
        <f t="shared" si="255"/>
        <v>0</v>
      </c>
    </row>
    <row r="2156" spans="1:28" x14ac:dyDescent="0.35">
      <c r="A2156" s="153">
        <v>46143</v>
      </c>
      <c r="B2156" s="155" t="s">
        <v>960</v>
      </c>
      <c r="C2156" s="15" t="s">
        <v>28</v>
      </c>
      <c r="D2156" s="15" t="s">
        <v>29</v>
      </c>
      <c r="E2156" s="199">
        <f>H2155</f>
        <v>0</v>
      </c>
      <c r="F2156" s="199">
        <f>IFERROR(SUMIFS('Demand Inputs'!$I$5:$I$202,'Demand Inputs'!$A$5:$A$202,"47mg LP - EU Stock",'Demand Inputs'!$B$5:$B$202,"&lt;&gt;AGGREGATE",'Demand Inputs'!$E$5:$E$202,1),0)</f>
        <v>0</v>
      </c>
      <c r="G2156" s="199" cm="1">
        <f t="array" ref="G2156">IFERROR(SUMPRODUCT(('Production Inputs'!$A:$A="47mg LP - EU Stock")*('Production Inputs'!$B:$B="TOTAL ACTIVE")*'Production Inputs'!$O:$O),0)</f>
        <v>0</v>
      </c>
      <c r="H2156" s="199">
        <f t="shared" si="249"/>
        <v>0</v>
      </c>
      <c r="I2156" s="30">
        <f ca="1">IFERROR(AVERAGEIF(OFFSET(F2156,0,0,MIN(Controls!$B$8,COUNTIF(B2156:B$2331,B2156)),1),"&gt;"&amp;0),0)</f>
        <v>0</v>
      </c>
      <c r="J2156" s="38">
        <f t="shared" ca="1" si="250"/>
        <v>0</v>
      </c>
      <c r="K2156" s="30">
        <f t="shared" ca="1" si="251"/>
        <v>0</v>
      </c>
      <c r="L2156" t="str">
        <f t="shared" si="252"/>
        <v>High</v>
      </c>
      <c r="M2156" s="39">
        <f>IFERROR(VLOOKUP("47mg LP - EU Stock",Controls!A:I,7,0),6)</f>
        <v>9</v>
      </c>
      <c r="N2156" s="39">
        <f>IFERROR(VLOOKUP("47mg LP - EU Stock",Controls!A:I,8,0),3)</f>
        <v>8</v>
      </c>
      <c r="O2156" s="39">
        <f>IFERROR(VLOOKUP("47mg LP - EU Stock",Controls!A:I,9,0),18)</f>
        <v>18</v>
      </c>
      <c r="P2156" s="40">
        <f>IFERROR(VLOOKUP("47mg LP - EU Stock",Controls!A:J,5,0),0)</f>
        <v>10000</v>
      </c>
      <c r="Q2156" s="39">
        <f>IFERROR(VLOOKUP("47mg LP - EU Stock",Controls!A:J,6,0),3)</f>
        <v>3</v>
      </c>
      <c r="R2156" s="21" t="str">
        <f>IFERROR(VLOOKUP("47mg LP - EU Stock",Controls!A:K,10,0),"")</f>
        <v>Patheon (L&amp;P EU)</v>
      </c>
      <c r="S2156" s="41">
        <f t="shared" si="253"/>
        <v>46054</v>
      </c>
      <c r="T2156" s="30">
        <f t="shared" si="254"/>
        <v>0</v>
      </c>
      <c r="W2156" s="205" t="str" cm="1">
        <f t="array" ref="W2156">IF(3&lt;Controls!$B$7,TEXT(INDEX(A2153:A2331,MATCH(Controls!$B$5,A2153:A2331,1)+3),"MMM-YY"),"")</f>
        <v>Jul-26</v>
      </c>
      <c r="X2156" cm="1">
        <f t="array" ref="X2156">IF(3&lt;Controls!$B$7,INDEX(F2153:F2331,MATCH(Controls!$B$5,A2153:A2331,1)+3),"")</f>
        <v>0</v>
      </c>
      <c r="Y2156" cm="1">
        <f t="array" ref="Y2156">IF(3&lt;Controls!$B$7,INDEX(G2153:G2331,MATCH(Controls!$B$5,A2153:A2331,1)+3),"")</f>
        <v>0</v>
      </c>
      <c r="Z2156" cm="1">
        <f t="array" ref="Z2156">IF(3&lt;Controls!$B$7,INDEX(H2153:H2331,MATCH(Controls!$B$5,A2153:A2331,1)+3),"")</f>
        <v>0</v>
      </c>
      <c r="AA2156" cm="1">
        <f t="array" aca="1" ref="AA2156" ca="1">IF(3&lt;Controls!$B$7,INDEX(M2153:M2331,MATCH(Controls!$B$5,A2153:A2331,1)+3)*INDEX(I2153:I2331,MATCH(Controls!$B$5,A2153:A2331,1)+3),"")</f>
        <v>0</v>
      </c>
      <c r="AB2156">
        <f t="shared" si="255"/>
        <v>0</v>
      </c>
    </row>
    <row r="2157" spans="1:28" x14ac:dyDescent="0.35">
      <c r="A2157" s="153">
        <v>46174</v>
      </c>
      <c r="B2157" s="155" t="s">
        <v>960</v>
      </c>
      <c r="C2157" s="15" t="s">
        <v>28</v>
      </c>
      <c r="D2157" s="15" t="s">
        <v>29</v>
      </c>
      <c r="E2157" s="199">
        <f>H2156</f>
        <v>0</v>
      </c>
      <c r="F2157" s="199">
        <f>IFERROR(SUMIFS('Demand Inputs'!$J$5:$J$202,'Demand Inputs'!$A$5:$A$202,"47mg LP - EU Stock",'Demand Inputs'!$B$5:$B$202,"&lt;&gt;AGGREGATE",'Demand Inputs'!$E$5:$E$202,1),0)</f>
        <v>0</v>
      </c>
      <c r="G2157" s="199" cm="1">
        <f t="array" ref="G2157">IFERROR(SUMPRODUCT(('Production Inputs'!$A:$A="47mg LP - EU Stock")*('Production Inputs'!$B:$B="TOTAL ACTIVE")*'Production Inputs'!$P:$P),0)</f>
        <v>0</v>
      </c>
      <c r="H2157" s="199">
        <f t="shared" si="249"/>
        <v>0</v>
      </c>
      <c r="I2157" s="30">
        <f ca="1">IFERROR(AVERAGEIF(OFFSET(F2157,0,0,MIN(Controls!$B$8,COUNTIF(B2157:B$2331,B2157)),1),"&gt;"&amp;0),0)</f>
        <v>0</v>
      </c>
      <c r="J2157" s="38">
        <f t="shared" ca="1" si="250"/>
        <v>0</v>
      </c>
      <c r="K2157" s="30">
        <f t="shared" ca="1" si="251"/>
        <v>0</v>
      </c>
      <c r="L2157" t="str">
        <f t="shared" si="252"/>
        <v>High</v>
      </c>
      <c r="M2157" s="39">
        <f>IFERROR(VLOOKUP("47mg LP - EU Stock",Controls!A:I,7,0),6)</f>
        <v>9</v>
      </c>
      <c r="N2157" s="39">
        <f>IFERROR(VLOOKUP("47mg LP - EU Stock",Controls!A:I,8,0),3)</f>
        <v>8</v>
      </c>
      <c r="O2157" s="39">
        <f>IFERROR(VLOOKUP("47mg LP - EU Stock",Controls!A:I,9,0),18)</f>
        <v>18</v>
      </c>
      <c r="P2157" s="40">
        <f>IFERROR(VLOOKUP("47mg LP - EU Stock",Controls!A:J,5,0),0)</f>
        <v>10000</v>
      </c>
      <c r="Q2157" s="39">
        <f>IFERROR(VLOOKUP("47mg LP - EU Stock",Controls!A:J,6,0),3)</f>
        <v>3</v>
      </c>
      <c r="R2157" s="21" t="str">
        <f>IFERROR(VLOOKUP("47mg LP - EU Stock",Controls!A:K,10,0),"")</f>
        <v>Patheon (L&amp;P EU)</v>
      </c>
      <c r="S2157" s="41">
        <f t="shared" si="253"/>
        <v>46082</v>
      </c>
      <c r="T2157" s="30">
        <f t="shared" si="254"/>
        <v>0</v>
      </c>
      <c r="W2157" s="205" t="str" cm="1">
        <f t="array" ref="W2157">IF(4&lt;Controls!$B$7,TEXT(INDEX(A2153:A2331,MATCH(Controls!$B$5,A2153:A2331,1)+4),"MMM-YY"),"")</f>
        <v>Aug-26</v>
      </c>
      <c r="X2157" cm="1">
        <f t="array" ref="X2157">IF(4&lt;Controls!$B$7,INDEX(F2153:F2331,MATCH(Controls!$B$5,A2153:A2331,1)+4),"")</f>
        <v>0</v>
      </c>
      <c r="Y2157" cm="1">
        <f t="array" ref="Y2157">IF(4&lt;Controls!$B$7,INDEX(G2153:G2331,MATCH(Controls!$B$5,A2153:A2331,1)+4),"")</f>
        <v>0</v>
      </c>
      <c r="Z2157" cm="1">
        <f t="array" ref="Z2157">IF(4&lt;Controls!$B$7,INDEX(H2153:H2331,MATCH(Controls!$B$5,A2153:A2331,1)+4),"")</f>
        <v>0</v>
      </c>
      <c r="AA2157" cm="1">
        <f t="array" aca="1" ref="AA2157" ca="1">IF(4&lt;Controls!$B$7,INDEX(M2153:M2331,MATCH(Controls!$B$5,A2153:A2331,1)+4)*INDEX(I2153:I2331,MATCH(Controls!$B$5,A2153:A2331,1)+4),"")</f>
        <v>0</v>
      </c>
      <c r="AB2157">
        <f t="shared" si="255"/>
        <v>0</v>
      </c>
    </row>
    <row r="2158" spans="1:28" x14ac:dyDescent="0.35">
      <c r="A2158" s="153">
        <v>46204</v>
      </c>
      <c r="B2158" s="155" t="s">
        <v>960</v>
      </c>
      <c r="C2158" s="15" t="s">
        <v>28</v>
      </c>
      <c r="D2158" s="15" t="s">
        <v>29</v>
      </c>
      <c r="E2158" s="199">
        <f>H2157</f>
        <v>0</v>
      </c>
      <c r="F2158" s="199">
        <f>IFERROR(SUMIFS('Demand Inputs'!$K$5:$K$202,'Demand Inputs'!$A$5:$A$202,"47mg LP - EU Stock",'Demand Inputs'!$B$5:$B$202,"&lt;&gt;AGGREGATE",'Demand Inputs'!$E$5:$E$202,1),0)</f>
        <v>0</v>
      </c>
      <c r="G2158" s="199" cm="1">
        <f t="array" ref="G2158">IFERROR(SUMPRODUCT(('Production Inputs'!$A:$A="47mg LP - EU Stock")*('Production Inputs'!$B:$B="TOTAL ACTIVE")*'Production Inputs'!$Q:$Q),0)</f>
        <v>0</v>
      </c>
      <c r="H2158" s="199">
        <f t="shared" si="249"/>
        <v>0</v>
      </c>
      <c r="I2158" s="30">
        <f ca="1">IFERROR(AVERAGEIF(OFFSET(F2158,0,0,MIN(Controls!$B$8,COUNTIF(B2158:B$2331,B2158)),1),"&gt;"&amp;0),0)</f>
        <v>0</v>
      </c>
      <c r="J2158" s="38">
        <f t="shared" ca="1" si="250"/>
        <v>0</v>
      </c>
      <c r="K2158" s="30">
        <f t="shared" ca="1" si="251"/>
        <v>0</v>
      </c>
      <c r="L2158" t="str">
        <f t="shared" si="252"/>
        <v>High</v>
      </c>
      <c r="M2158" s="39">
        <f>IFERROR(VLOOKUP("47mg LP - EU Stock",Controls!A:I,7,0),6)</f>
        <v>9</v>
      </c>
      <c r="N2158" s="39">
        <f>IFERROR(VLOOKUP("47mg LP - EU Stock",Controls!A:I,8,0),3)</f>
        <v>8</v>
      </c>
      <c r="O2158" s="39">
        <f>IFERROR(VLOOKUP("47mg LP - EU Stock",Controls!A:I,9,0),18)</f>
        <v>18</v>
      </c>
      <c r="P2158" s="40">
        <f>IFERROR(VLOOKUP("47mg LP - EU Stock",Controls!A:J,5,0),0)</f>
        <v>10000</v>
      </c>
      <c r="Q2158" s="39">
        <f>IFERROR(VLOOKUP("47mg LP - EU Stock",Controls!A:J,6,0),3)</f>
        <v>3</v>
      </c>
      <c r="R2158" s="21" t="str">
        <f>IFERROR(VLOOKUP("47mg LP - EU Stock",Controls!A:K,10,0),"")</f>
        <v>Patheon (L&amp;P EU)</v>
      </c>
      <c r="S2158" s="41">
        <f t="shared" si="253"/>
        <v>46113</v>
      </c>
      <c r="T2158" s="30">
        <f t="shared" si="254"/>
        <v>0</v>
      </c>
      <c r="W2158" s="205" t="str" cm="1">
        <f t="array" ref="W2158">IF(5&lt;Controls!$B$7,TEXT(INDEX(A2153:A2331,MATCH(Controls!$B$5,A2153:A2331,1)+5),"MMM-YY"),"")</f>
        <v>Sep-26</v>
      </c>
      <c r="X2158" cm="1">
        <f t="array" ref="X2158">IF(5&lt;Controls!$B$7,INDEX(F2153:F2331,MATCH(Controls!$B$5,A2153:A2331,1)+5),"")</f>
        <v>0</v>
      </c>
      <c r="Y2158" cm="1">
        <f t="array" ref="Y2158">IF(5&lt;Controls!$B$7,INDEX(G2153:G2331,MATCH(Controls!$B$5,A2153:A2331,1)+5),"")</f>
        <v>0</v>
      </c>
      <c r="Z2158" cm="1">
        <f t="array" ref="Z2158">IF(5&lt;Controls!$B$7,INDEX(H2153:H2331,MATCH(Controls!$B$5,A2153:A2331,1)+5),"")</f>
        <v>0</v>
      </c>
      <c r="AA2158" cm="1">
        <f t="array" aca="1" ref="AA2158" ca="1">IF(5&lt;Controls!$B$7,INDEX(M2153:M2331,MATCH(Controls!$B$5,A2153:A2331,1)+5)*INDEX(I2153:I2331,MATCH(Controls!$B$5,A2153:A2331,1)+5),"")</f>
        <v>0</v>
      </c>
      <c r="AB2158">
        <f t="shared" si="255"/>
        <v>0</v>
      </c>
    </row>
    <row r="2159" spans="1:28" x14ac:dyDescent="0.35">
      <c r="A2159" s="153">
        <v>46235</v>
      </c>
      <c r="B2159" s="155" t="s">
        <v>960</v>
      </c>
      <c r="C2159" s="15" t="s">
        <v>28</v>
      </c>
      <c r="D2159" s="15" t="s">
        <v>29</v>
      </c>
      <c r="E2159" s="199">
        <f>H2158</f>
        <v>0</v>
      </c>
      <c r="F2159" s="199">
        <f>IFERROR(SUMIFS('Demand Inputs'!$L$5:$L$202,'Demand Inputs'!$A$5:$A$202,"47mg LP - EU Stock",'Demand Inputs'!$B$5:$B$202,"&lt;&gt;AGGREGATE",'Demand Inputs'!$E$5:$E$202,1),0)</f>
        <v>0</v>
      </c>
      <c r="G2159" s="199" cm="1">
        <f t="array" ref="G2159">IFERROR(SUMPRODUCT(('Production Inputs'!$A:$A="47mg LP - EU Stock")*('Production Inputs'!$B:$B="TOTAL ACTIVE")*'Production Inputs'!$R:$R),0)</f>
        <v>0</v>
      </c>
      <c r="H2159" s="199">
        <f t="shared" si="249"/>
        <v>0</v>
      </c>
      <c r="I2159" s="30">
        <f ca="1">IFERROR(AVERAGEIF(OFFSET(F2159,0,0,MIN(Controls!$B$8,COUNTIF(B2159:B$2331,B2159)),1),"&gt;"&amp;0),0)</f>
        <v>0</v>
      </c>
      <c r="J2159" s="38">
        <f t="shared" ca="1" si="250"/>
        <v>0</v>
      </c>
      <c r="K2159" s="30">
        <f t="shared" ca="1" si="251"/>
        <v>0</v>
      </c>
      <c r="L2159" t="str">
        <f t="shared" si="252"/>
        <v>High</v>
      </c>
      <c r="M2159" s="39">
        <f>IFERROR(VLOOKUP("47mg LP - EU Stock",Controls!A:I,7,0),6)</f>
        <v>9</v>
      </c>
      <c r="N2159" s="39">
        <f>IFERROR(VLOOKUP("47mg LP - EU Stock",Controls!A:I,8,0),3)</f>
        <v>8</v>
      </c>
      <c r="O2159" s="39">
        <f>IFERROR(VLOOKUP("47mg LP - EU Stock",Controls!A:I,9,0),18)</f>
        <v>18</v>
      </c>
      <c r="P2159" s="40">
        <f>IFERROR(VLOOKUP("47mg LP - EU Stock",Controls!A:J,5,0),0)</f>
        <v>10000</v>
      </c>
      <c r="Q2159" s="39">
        <f>IFERROR(VLOOKUP("47mg LP - EU Stock",Controls!A:J,6,0),3)</f>
        <v>3</v>
      </c>
      <c r="R2159" s="21" t="str">
        <f>IFERROR(VLOOKUP("47mg LP - EU Stock",Controls!A:K,10,0),"")</f>
        <v>Patheon (L&amp;P EU)</v>
      </c>
      <c r="S2159" s="41">
        <f t="shared" si="253"/>
        <v>46143</v>
      </c>
      <c r="T2159" s="30">
        <f t="shared" si="254"/>
        <v>0</v>
      </c>
      <c r="W2159" s="205" t="str" cm="1">
        <f t="array" ref="W2159">IF(6&lt;Controls!$B$7,TEXT(INDEX(A2153:A2331,MATCH(Controls!$B$5,A2153:A2331,1)+6),"MMM-YY"),"")</f>
        <v>Oct-26</v>
      </c>
      <c r="X2159" cm="1">
        <f t="array" ref="X2159">IF(6&lt;Controls!$B$7,INDEX(F2153:F2331,MATCH(Controls!$B$5,A2153:A2331,1)+6),"")</f>
        <v>0</v>
      </c>
      <c r="Y2159" cm="1">
        <f t="array" ref="Y2159">IF(6&lt;Controls!$B$7,INDEX(G2153:G2331,MATCH(Controls!$B$5,A2153:A2331,1)+6),"")</f>
        <v>0</v>
      </c>
      <c r="Z2159" cm="1">
        <f t="array" ref="Z2159">IF(6&lt;Controls!$B$7,INDEX(H2153:H2331,MATCH(Controls!$B$5,A2153:A2331,1)+6),"")</f>
        <v>0</v>
      </c>
      <c r="AA2159" cm="1">
        <f t="array" aca="1" ref="AA2159" ca="1">IF(6&lt;Controls!$B$7,INDEX(M2153:M2331,MATCH(Controls!$B$5,A2153:A2331,1)+6)*INDEX(I2153:I2331,MATCH(Controls!$B$5,A2153:A2331,1)+6),"")</f>
        <v>0</v>
      </c>
      <c r="AB2159">
        <f t="shared" si="255"/>
        <v>0</v>
      </c>
    </row>
    <row r="2160" spans="1:28" x14ac:dyDescent="0.35">
      <c r="A2160" s="153">
        <v>46266</v>
      </c>
      <c r="B2160" s="155" t="s">
        <v>960</v>
      </c>
      <c r="C2160" s="15" t="s">
        <v>28</v>
      </c>
      <c r="D2160" s="15" t="s">
        <v>29</v>
      </c>
      <c r="E2160" s="199">
        <f>H2159</f>
        <v>0</v>
      </c>
      <c r="F2160" s="199">
        <f>IFERROR(SUMIFS('Demand Inputs'!$M$5:$M$202,'Demand Inputs'!$A$5:$A$202,"47mg LP - EU Stock",'Demand Inputs'!$B$5:$B$202,"&lt;&gt;AGGREGATE",'Demand Inputs'!$E$5:$E$202,1),0)</f>
        <v>0</v>
      </c>
      <c r="G2160" s="199" cm="1">
        <f t="array" ref="G2160">IFERROR(SUMPRODUCT(('Production Inputs'!$A:$A="47mg LP - EU Stock")*('Production Inputs'!$B:$B="TOTAL ACTIVE")*'Production Inputs'!$S:$S),0)</f>
        <v>0</v>
      </c>
      <c r="H2160" s="199">
        <f t="shared" si="249"/>
        <v>0</v>
      </c>
      <c r="I2160" s="30">
        <f ca="1">IFERROR(AVERAGEIF(OFFSET(F2160,0,0,MIN(Controls!$B$8,COUNTIF(B2160:B$2331,B2160)),1),"&gt;"&amp;0),0)</f>
        <v>0</v>
      </c>
      <c r="J2160" s="38">
        <f t="shared" ca="1" si="250"/>
        <v>0</v>
      </c>
      <c r="K2160" s="30">
        <f t="shared" ca="1" si="251"/>
        <v>0</v>
      </c>
      <c r="L2160" t="str">
        <f t="shared" si="252"/>
        <v>High</v>
      </c>
      <c r="M2160" s="39">
        <f>IFERROR(VLOOKUP("47mg LP - EU Stock",Controls!A:I,7,0),6)</f>
        <v>9</v>
      </c>
      <c r="N2160" s="39">
        <f>IFERROR(VLOOKUP("47mg LP - EU Stock",Controls!A:I,8,0),3)</f>
        <v>8</v>
      </c>
      <c r="O2160" s="39">
        <f>IFERROR(VLOOKUP("47mg LP - EU Stock",Controls!A:I,9,0),18)</f>
        <v>18</v>
      </c>
      <c r="P2160" s="40">
        <f>IFERROR(VLOOKUP("47mg LP - EU Stock",Controls!A:J,5,0),0)</f>
        <v>10000</v>
      </c>
      <c r="Q2160" s="39">
        <f>IFERROR(VLOOKUP("47mg LP - EU Stock",Controls!A:J,6,0),3)</f>
        <v>3</v>
      </c>
      <c r="R2160" s="21" t="str">
        <f>IFERROR(VLOOKUP("47mg LP - EU Stock",Controls!A:K,10,0),"")</f>
        <v>Patheon (L&amp;P EU)</v>
      </c>
      <c r="S2160" s="41">
        <f t="shared" si="253"/>
        <v>46174</v>
      </c>
      <c r="T2160" s="30">
        <f t="shared" si="254"/>
        <v>0</v>
      </c>
      <c r="W2160" s="205" t="str" cm="1">
        <f t="array" ref="W2160">IF(7&lt;Controls!$B$7,TEXT(INDEX(A2153:A2331,MATCH(Controls!$B$5,A2153:A2331,1)+7),"MMM-YY"),"")</f>
        <v>Nov-26</v>
      </c>
      <c r="X2160" cm="1">
        <f t="array" ref="X2160">IF(7&lt;Controls!$B$7,INDEX(F2153:F2331,MATCH(Controls!$B$5,A2153:A2331,1)+7),"")</f>
        <v>0</v>
      </c>
      <c r="Y2160" cm="1">
        <f t="array" ref="Y2160">IF(7&lt;Controls!$B$7,INDEX(G2153:G2331,MATCH(Controls!$B$5,A2153:A2331,1)+7),"")</f>
        <v>0</v>
      </c>
      <c r="Z2160" cm="1">
        <f t="array" ref="Z2160">IF(7&lt;Controls!$B$7,INDEX(H2153:H2331,MATCH(Controls!$B$5,A2153:A2331,1)+7),"")</f>
        <v>0</v>
      </c>
      <c r="AA2160" cm="1">
        <f t="array" aca="1" ref="AA2160" ca="1">IF(7&lt;Controls!$B$7,INDEX(M2153:M2331,MATCH(Controls!$B$5,A2153:A2331,1)+7)*INDEX(I2153:I2331,MATCH(Controls!$B$5,A2153:A2331,1)+7),"")</f>
        <v>0</v>
      </c>
      <c r="AB2160">
        <f t="shared" si="255"/>
        <v>0</v>
      </c>
    </row>
    <row r="2161" spans="1:28" x14ac:dyDescent="0.35">
      <c r="A2161" s="153">
        <v>46296</v>
      </c>
      <c r="B2161" s="155" t="s">
        <v>960</v>
      </c>
      <c r="C2161" s="15" t="s">
        <v>28</v>
      </c>
      <c r="D2161" s="15" t="s">
        <v>29</v>
      </c>
      <c r="E2161" s="199">
        <f>H2160</f>
        <v>0</v>
      </c>
      <c r="F2161" s="199">
        <f>IFERROR(SUMIFS('Demand Inputs'!$N$5:$N$202,'Demand Inputs'!$A$5:$A$202,"47mg LP - EU Stock",'Demand Inputs'!$B$5:$B$202,"&lt;&gt;AGGREGATE",'Demand Inputs'!$E$5:$E$202,1),0)</f>
        <v>0</v>
      </c>
      <c r="G2161" s="199" cm="1">
        <f t="array" ref="G2161">IFERROR(SUMPRODUCT(('Production Inputs'!$A:$A="47mg LP - EU Stock")*('Production Inputs'!$B:$B="TOTAL ACTIVE")*'Production Inputs'!$T:$T),0)</f>
        <v>0</v>
      </c>
      <c r="H2161" s="199">
        <f t="shared" si="249"/>
        <v>0</v>
      </c>
      <c r="I2161" s="30">
        <f ca="1">IFERROR(AVERAGEIF(OFFSET(F2161,0,0,MIN(Controls!$B$8,COUNTIF(B2161:B$2331,B2161)),1),"&gt;"&amp;0),0)</f>
        <v>0</v>
      </c>
      <c r="J2161" s="38">
        <f t="shared" ca="1" si="250"/>
        <v>0</v>
      </c>
      <c r="K2161" s="30">
        <f t="shared" ca="1" si="251"/>
        <v>0</v>
      </c>
      <c r="L2161" t="str">
        <f t="shared" si="252"/>
        <v>High</v>
      </c>
      <c r="M2161" s="39">
        <f>IFERROR(VLOOKUP("47mg LP - EU Stock",Controls!A:I,7,0),6)</f>
        <v>9</v>
      </c>
      <c r="N2161" s="39">
        <f>IFERROR(VLOOKUP("47mg LP - EU Stock",Controls!A:I,8,0),3)</f>
        <v>8</v>
      </c>
      <c r="O2161" s="39">
        <f>IFERROR(VLOOKUP("47mg LP - EU Stock",Controls!A:I,9,0),18)</f>
        <v>18</v>
      </c>
      <c r="P2161" s="40">
        <f>IFERROR(VLOOKUP("47mg LP - EU Stock",Controls!A:J,5,0),0)</f>
        <v>10000</v>
      </c>
      <c r="Q2161" s="39">
        <f>IFERROR(VLOOKUP("47mg LP - EU Stock",Controls!A:J,6,0),3)</f>
        <v>3</v>
      </c>
      <c r="R2161" s="21" t="str">
        <f>IFERROR(VLOOKUP("47mg LP - EU Stock",Controls!A:K,10,0),"")</f>
        <v>Patheon (L&amp;P EU)</v>
      </c>
      <c r="S2161" s="41">
        <f t="shared" si="253"/>
        <v>46204</v>
      </c>
      <c r="T2161" s="30">
        <f t="shared" si="254"/>
        <v>0</v>
      </c>
      <c r="W2161" s="205" t="str" cm="1">
        <f t="array" ref="W2161">IF(8&lt;Controls!$B$7,TEXT(INDEX(A2153:A2331,MATCH(Controls!$B$5,A2153:A2331,1)+8),"MMM-YY"),"")</f>
        <v>Dec-26</v>
      </c>
      <c r="X2161" cm="1">
        <f t="array" ref="X2161">IF(8&lt;Controls!$B$7,INDEX(F2153:F2331,MATCH(Controls!$B$5,A2153:A2331,1)+8),"")</f>
        <v>0</v>
      </c>
      <c r="Y2161" cm="1">
        <f t="array" ref="Y2161">IF(8&lt;Controls!$B$7,INDEX(G2153:G2331,MATCH(Controls!$B$5,A2153:A2331,1)+8),"")</f>
        <v>0</v>
      </c>
      <c r="Z2161" cm="1">
        <f t="array" ref="Z2161">IF(8&lt;Controls!$B$7,INDEX(H2153:H2331,MATCH(Controls!$B$5,A2153:A2331,1)+8),"")</f>
        <v>0</v>
      </c>
      <c r="AA2161" cm="1">
        <f t="array" aca="1" ref="AA2161" ca="1">IF(8&lt;Controls!$B$7,INDEX(M2153:M2331,MATCH(Controls!$B$5,A2153:A2331,1)+8)*INDEX(I2153:I2331,MATCH(Controls!$B$5,A2153:A2331,1)+8),"")</f>
        <v>0</v>
      </c>
      <c r="AB2161">
        <f t="shared" si="255"/>
        <v>0</v>
      </c>
    </row>
    <row r="2162" spans="1:28" x14ac:dyDescent="0.35">
      <c r="A2162" s="153">
        <v>46327</v>
      </c>
      <c r="B2162" s="155" t="s">
        <v>960</v>
      </c>
      <c r="C2162" s="15" t="s">
        <v>28</v>
      </c>
      <c r="D2162" s="15" t="s">
        <v>29</v>
      </c>
      <c r="E2162" s="199">
        <f>H2161</f>
        <v>0</v>
      </c>
      <c r="F2162" s="199">
        <f>IFERROR(SUMIFS('Demand Inputs'!$O$5:$O$202,'Demand Inputs'!$A$5:$A$202,"47mg LP - EU Stock",'Demand Inputs'!$B$5:$B$202,"&lt;&gt;AGGREGATE",'Demand Inputs'!$E$5:$E$202,1),0)</f>
        <v>0</v>
      </c>
      <c r="G2162" s="199" cm="1">
        <f t="array" ref="G2162">IFERROR(SUMPRODUCT(('Production Inputs'!$A:$A="47mg LP - EU Stock")*('Production Inputs'!$B:$B="TOTAL ACTIVE")*'Production Inputs'!$U:$U),0)</f>
        <v>0</v>
      </c>
      <c r="H2162" s="199">
        <f t="shared" si="249"/>
        <v>0</v>
      </c>
      <c r="I2162" s="30">
        <f ca="1">IFERROR(AVERAGEIF(OFFSET(F2162,0,0,MIN(Controls!$B$8,COUNTIF(B2162:B$2331,B2162)),1),"&gt;"&amp;0),0)</f>
        <v>0</v>
      </c>
      <c r="J2162" s="38">
        <f t="shared" ca="1" si="250"/>
        <v>0</v>
      </c>
      <c r="K2162" s="30">
        <f t="shared" ca="1" si="251"/>
        <v>0</v>
      </c>
      <c r="L2162" t="str">
        <f t="shared" si="252"/>
        <v>High</v>
      </c>
      <c r="M2162" s="39">
        <f>IFERROR(VLOOKUP("47mg LP - EU Stock",Controls!A:I,7,0),6)</f>
        <v>9</v>
      </c>
      <c r="N2162" s="39">
        <f>IFERROR(VLOOKUP("47mg LP - EU Stock",Controls!A:I,8,0),3)</f>
        <v>8</v>
      </c>
      <c r="O2162" s="39">
        <f>IFERROR(VLOOKUP("47mg LP - EU Stock",Controls!A:I,9,0),18)</f>
        <v>18</v>
      </c>
      <c r="P2162" s="40">
        <f>IFERROR(VLOOKUP("47mg LP - EU Stock",Controls!A:J,5,0),0)</f>
        <v>10000</v>
      </c>
      <c r="Q2162" s="39">
        <f>IFERROR(VLOOKUP("47mg LP - EU Stock",Controls!A:J,6,0),3)</f>
        <v>3</v>
      </c>
      <c r="R2162" s="21" t="str">
        <f>IFERROR(VLOOKUP("47mg LP - EU Stock",Controls!A:K,10,0),"")</f>
        <v>Patheon (L&amp;P EU)</v>
      </c>
      <c r="S2162" s="41">
        <f t="shared" si="253"/>
        <v>46235</v>
      </c>
      <c r="T2162" s="30">
        <f t="shared" si="254"/>
        <v>0</v>
      </c>
      <c r="W2162" s="205" t="str" cm="1">
        <f t="array" ref="W2162">IF(9&lt;Controls!$B$7,TEXT(INDEX(A2153:A2331,MATCH(Controls!$B$5,A2153:A2331,1)+9),"MMM-YY"),"")</f>
        <v>Jan-27</v>
      </c>
      <c r="X2162" cm="1">
        <f t="array" ref="X2162">IF(9&lt;Controls!$B$7,INDEX(F2153:F2331,MATCH(Controls!$B$5,A2153:A2331,1)+9),"")</f>
        <v>0</v>
      </c>
      <c r="Y2162" cm="1">
        <f t="array" ref="Y2162">IF(9&lt;Controls!$B$7,INDEX(G2153:G2331,MATCH(Controls!$B$5,A2153:A2331,1)+9),"")</f>
        <v>0</v>
      </c>
      <c r="Z2162" cm="1">
        <f t="array" ref="Z2162">IF(9&lt;Controls!$B$7,INDEX(H2153:H2331,MATCH(Controls!$B$5,A2153:A2331,1)+9),"")</f>
        <v>0</v>
      </c>
      <c r="AA2162" cm="1">
        <f t="array" aca="1" ref="AA2162" ca="1">IF(9&lt;Controls!$B$7,INDEX(M2153:M2331,MATCH(Controls!$B$5,A2153:A2331,1)+9)*INDEX(I2153:I2331,MATCH(Controls!$B$5,A2153:A2331,1)+9),"")</f>
        <v>0</v>
      </c>
      <c r="AB2162">
        <f t="shared" si="255"/>
        <v>0</v>
      </c>
    </row>
    <row r="2163" spans="1:28" x14ac:dyDescent="0.35">
      <c r="A2163" s="153">
        <v>46357</v>
      </c>
      <c r="B2163" s="155" t="s">
        <v>960</v>
      </c>
      <c r="C2163" s="15" t="s">
        <v>28</v>
      </c>
      <c r="D2163" s="15" t="s">
        <v>29</v>
      </c>
      <c r="E2163" s="199">
        <f>H2162</f>
        <v>0</v>
      </c>
      <c r="F2163" s="199">
        <f>IFERROR(SUMIFS('Demand Inputs'!$P$5:$P$202,'Demand Inputs'!$A$5:$A$202,"47mg LP - EU Stock",'Demand Inputs'!$B$5:$B$202,"&lt;&gt;AGGREGATE",'Demand Inputs'!$E$5:$E$202,1),0)</f>
        <v>0</v>
      </c>
      <c r="G2163" s="199" cm="1">
        <f t="array" ref="G2163">IFERROR(SUMPRODUCT(('Production Inputs'!$A:$A="47mg LP - EU Stock")*('Production Inputs'!$B:$B="TOTAL ACTIVE")*'Production Inputs'!$V:$V),0)</f>
        <v>0</v>
      </c>
      <c r="H2163" s="199">
        <f t="shared" si="249"/>
        <v>0</v>
      </c>
      <c r="I2163" s="30">
        <f ca="1">IFERROR(AVERAGEIF(OFFSET(F2163,0,0,MIN(Controls!$B$8,COUNTIF(B2163:B$2331,B2163)),1),"&gt;"&amp;0),0)</f>
        <v>0</v>
      </c>
      <c r="J2163" s="38">
        <f t="shared" ca="1" si="250"/>
        <v>0</v>
      </c>
      <c r="K2163" s="30">
        <f t="shared" ca="1" si="251"/>
        <v>0</v>
      </c>
      <c r="L2163" t="str">
        <f t="shared" si="252"/>
        <v>High</v>
      </c>
      <c r="M2163" s="39">
        <f>IFERROR(VLOOKUP("47mg LP - EU Stock",Controls!A:I,7,0),6)</f>
        <v>9</v>
      </c>
      <c r="N2163" s="39">
        <f>IFERROR(VLOOKUP("47mg LP - EU Stock",Controls!A:I,8,0),3)</f>
        <v>8</v>
      </c>
      <c r="O2163" s="39">
        <f>IFERROR(VLOOKUP("47mg LP - EU Stock",Controls!A:I,9,0),18)</f>
        <v>18</v>
      </c>
      <c r="P2163" s="40">
        <f>IFERROR(VLOOKUP("47mg LP - EU Stock",Controls!A:J,5,0),0)</f>
        <v>10000</v>
      </c>
      <c r="Q2163" s="39">
        <f>IFERROR(VLOOKUP("47mg LP - EU Stock",Controls!A:J,6,0),3)</f>
        <v>3</v>
      </c>
      <c r="R2163" s="21" t="str">
        <f>IFERROR(VLOOKUP("47mg LP - EU Stock",Controls!A:K,10,0),"")</f>
        <v>Patheon (L&amp;P EU)</v>
      </c>
      <c r="S2163" s="41">
        <f t="shared" si="253"/>
        <v>46266</v>
      </c>
      <c r="T2163" s="30">
        <f t="shared" si="254"/>
        <v>0</v>
      </c>
      <c r="W2163" s="205" t="str" cm="1">
        <f t="array" ref="W2163">IF(10&lt;Controls!$B$7,TEXT(INDEX(A2153:A2331,MATCH(Controls!$B$5,A2153:A2331,1)+10),"MMM-YY"),"")</f>
        <v>Feb-27</v>
      </c>
      <c r="X2163" cm="1">
        <f t="array" ref="X2163">IF(10&lt;Controls!$B$7,INDEX(F2153:F2331,MATCH(Controls!$B$5,A2153:A2331,1)+10),"")</f>
        <v>0</v>
      </c>
      <c r="Y2163" cm="1">
        <f t="array" ref="Y2163">IF(10&lt;Controls!$B$7,INDEX(G2153:G2331,MATCH(Controls!$B$5,A2153:A2331,1)+10),"")</f>
        <v>0</v>
      </c>
      <c r="Z2163" cm="1">
        <f t="array" ref="Z2163">IF(10&lt;Controls!$B$7,INDEX(H2153:H2331,MATCH(Controls!$B$5,A2153:A2331,1)+10),"")</f>
        <v>0</v>
      </c>
      <c r="AA2163" cm="1">
        <f t="array" aca="1" ref="AA2163" ca="1">IF(10&lt;Controls!$B$7,INDEX(M2153:M2331,MATCH(Controls!$B$5,A2153:A2331,1)+10)*INDEX(I2153:I2331,MATCH(Controls!$B$5,A2153:A2331,1)+10),"")</f>
        <v>0</v>
      </c>
      <c r="AB2163">
        <f t="shared" si="255"/>
        <v>0</v>
      </c>
    </row>
    <row r="2164" spans="1:28" x14ac:dyDescent="0.35">
      <c r="A2164" s="153">
        <v>46388</v>
      </c>
      <c r="B2164" s="155" t="s">
        <v>960</v>
      </c>
      <c r="C2164" s="15" t="s">
        <v>28</v>
      </c>
      <c r="D2164" s="15" t="s">
        <v>29</v>
      </c>
      <c r="E2164" s="199">
        <f>H2163</f>
        <v>0</v>
      </c>
      <c r="F2164" s="199">
        <f>IFERROR(SUMIFS('Demand Inputs'!$Q$5:$Q$202,'Demand Inputs'!$A$5:$A$202,"47mg LP - EU Stock",'Demand Inputs'!$B$5:$B$202,"&lt;&gt;AGGREGATE",'Demand Inputs'!$E$5:$E$202,1),0)</f>
        <v>0</v>
      </c>
      <c r="G2164" s="199" cm="1">
        <f t="array" ref="G2164">IFERROR(SUMPRODUCT(('Production Inputs'!$A:$A="47mg LP - EU Stock")*('Production Inputs'!$B:$B="TOTAL ACTIVE")*'Production Inputs'!$W:$W),0)</f>
        <v>0</v>
      </c>
      <c r="H2164" s="199">
        <f t="shared" si="249"/>
        <v>0</v>
      </c>
      <c r="I2164" s="30">
        <f ca="1">IFERROR(AVERAGEIF(OFFSET(F2164,0,0,MIN(Controls!$B$8,COUNTIF(B2164:B$2331,B2164)),1),"&gt;"&amp;0),0)</f>
        <v>0</v>
      </c>
      <c r="J2164" s="38">
        <f t="shared" ca="1" si="250"/>
        <v>0</v>
      </c>
      <c r="K2164" s="30">
        <f t="shared" ca="1" si="251"/>
        <v>0</v>
      </c>
      <c r="L2164" t="str">
        <f t="shared" si="252"/>
        <v>High</v>
      </c>
      <c r="M2164" s="39">
        <f>IFERROR(VLOOKUP("47mg LP - EU Stock",Controls!A:I,7,0),6)</f>
        <v>9</v>
      </c>
      <c r="N2164" s="39">
        <f>IFERROR(VLOOKUP("47mg LP - EU Stock",Controls!A:I,8,0),3)</f>
        <v>8</v>
      </c>
      <c r="O2164" s="39">
        <f>IFERROR(VLOOKUP("47mg LP - EU Stock",Controls!A:I,9,0),18)</f>
        <v>18</v>
      </c>
      <c r="P2164" s="40">
        <f>IFERROR(VLOOKUP("47mg LP - EU Stock",Controls!A:J,5,0),0)</f>
        <v>10000</v>
      </c>
      <c r="Q2164" s="39">
        <f>IFERROR(VLOOKUP("47mg LP - EU Stock",Controls!A:J,6,0),3)</f>
        <v>3</v>
      </c>
      <c r="R2164" s="21" t="str">
        <f>IFERROR(VLOOKUP("47mg LP - EU Stock",Controls!A:K,10,0),"")</f>
        <v>Patheon (L&amp;P EU)</v>
      </c>
      <c r="S2164" s="41">
        <f t="shared" si="253"/>
        <v>46296</v>
      </c>
      <c r="T2164" s="30">
        <f t="shared" si="254"/>
        <v>0</v>
      </c>
      <c r="W2164" s="205" t="str" cm="1">
        <f t="array" ref="W2164">IF(11&lt;Controls!$B$7,TEXT(INDEX(A2153:A2331,MATCH(Controls!$B$5,A2153:A2331,1)+11),"MMM-YY"),"")</f>
        <v>Mar-27</v>
      </c>
      <c r="X2164" cm="1">
        <f t="array" ref="X2164">IF(11&lt;Controls!$B$7,INDEX(F2153:F2331,MATCH(Controls!$B$5,A2153:A2331,1)+11),"")</f>
        <v>0</v>
      </c>
      <c r="Y2164" cm="1">
        <f t="array" ref="Y2164">IF(11&lt;Controls!$B$7,INDEX(G2153:G2331,MATCH(Controls!$B$5,A2153:A2331,1)+11),"")</f>
        <v>0</v>
      </c>
      <c r="Z2164" cm="1">
        <f t="array" ref="Z2164">IF(11&lt;Controls!$B$7,INDEX(H2153:H2331,MATCH(Controls!$B$5,A2153:A2331,1)+11),"")</f>
        <v>0</v>
      </c>
      <c r="AA2164" cm="1">
        <f t="array" aca="1" ref="AA2164" ca="1">IF(11&lt;Controls!$B$7,INDEX(M2153:M2331,MATCH(Controls!$B$5,A2153:A2331,1)+11)*INDEX(I2153:I2331,MATCH(Controls!$B$5,A2153:A2331,1)+11),"")</f>
        <v>0</v>
      </c>
      <c r="AB2164">
        <f t="shared" si="255"/>
        <v>0</v>
      </c>
    </row>
    <row r="2165" spans="1:28" x14ac:dyDescent="0.35">
      <c r="A2165" s="153">
        <v>46419</v>
      </c>
      <c r="B2165" s="155" t="s">
        <v>960</v>
      </c>
      <c r="C2165" s="15" t="s">
        <v>28</v>
      </c>
      <c r="D2165" s="15" t="s">
        <v>29</v>
      </c>
      <c r="E2165" s="199">
        <f>H2164</f>
        <v>0</v>
      </c>
      <c r="F2165" s="199">
        <f>IFERROR(SUMIFS('Demand Inputs'!$R$5:$R$202,'Demand Inputs'!$A$5:$A$202,"47mg LP - EU Stock",'Demand Inputs'!$B$5:$B$202,"&lt;&gt;AGGREGATE",'Demand Inputs'!$E$5:$E$202,1),0)</f>
        <v>0</v>
      </c>
      <c r="G2165" s="199" cm="1">
        <f t="array" ref="G2165">IFERROR(SUMPRODUCT(('Production Inputs'!$A:$A="47mg LP - EU Stock")*('Production Inputs'!$B:$B="TOTAL ACTIVE")*'Production Inputs'!$X:$X),0)</f>
        <v>0</v>
      </c>
      <c r="H2165" s="199">
        <f t="shared" si="249"/>
        <v>0</v>
      </c>
      <c r="I2165" s="30">
        <f ca="1">IFERROR(AVERAGEIF(OFFSET(F2165,0,0,MIN(Controls!$B$8,COUNTIF(B2165:B$2331,B2165)),1),"&gt;"&amp;0),0)</f>
        <v>0</v>
      </c>
      <c r="J2165" s="38">
        <f t="shared" ca="1" si="250"/>
        <v>0</v>
      </c>
      <c r="K2165" s="30">
        <f t="shared" ca="1" si="251"/>
        <v>0</v>
      </c>
      <c r="L2165" t="str">
        <f t="shared" si="252"/>
        <v>High</v>
      </c>
      <c r="M2165" s="39">
        <f>IFERROR(VLOOKUP("47mg LP - EU Stock",Controls!A:I,7,0),6)</f>
        <v>9</v>
      </c>
      <c r="N2165" s="39">
        <f>IFERROR(VLOOKUP("47mg LP - EU Stock",Controls!A:I,8,0),3)</f>
        <v>8</v>
      </c>
      <c r="O2165" s="39">
        <f>IFERROR(VLOOKUP("47mg LP - EU Stock",Controls!A:I,9,0),18)</f>
        <v>18</v>
      </c>
      <c r="P2165" s="40">
        <f>IFERROR(VLOOKUP("47mg LP - EU Stock",Controls!A:J,5,0),0)</f>
        <v>10000</v>
      </c>
      <c r="Q2165" s="39">
        <f>IFERROR(VLOOKUP("47mg LP - EU Stock",Controls!A:J,6,0),3)</f>
        <v>3</v>
      </c>
      <c r="R2165" s="21" t="str">
        <f>IFERROR(VLOOKUP("47mg LP - EU Stock",Controls!A:K,10,0),"")</f>
        <v>Patheon (L&amp;P EU)</v>
      </c>
      <c r="S2165" s="41">
        <f t="shared" si="253"/>
        <v>46327</v>
      </c>
      <c r="T2165" s="30">
        <f t="shared" si="254"/>
        <v>0</v>
      </c>
      <c r="W2165" s="205" t="str" cm="1">
        <f t="array" ref="W2165">IF(12&lt;Controls!$B$7,TEXT(INDEX(A2153:A2331,MATCH(Controls!$B$5,A2153:A2331,1)+12),"MMM-YY"),"")</f>
        <v>Apr-27</v>
      </c>
      <c r="X2165" cm="1">
        <f t="array" ref="X2165">IF(12&lt;Controls!$B$7,INDEX(F2153:F2331,MATCH(Controls!$B$5,A2153:A2331,1)+12),"")</f>
        <v>0</v>
      </c>
      <c r="Y2165" cm="1">
        <f t="array" ref="Y2165">IF(12&lt;Controls!$B$7,INDEX(G2153:G2331,MATCH(Controls!$B$5,A2153:A2331,1)+12),"")</f>
        <v>0</v>
      </c>
      <c r="Z2165" cm="1">
        <f t="array" ref="Z2165">IF(12&lt;Controls!$B$7,INDEX(H2153:H2331,MATCH(Controls!$B$5,A2153:A2331,1)+12),"")</f>
        <v>0</v>
      </c>
      <c r="AA2165" cm="1">
        <f t="array" aca="1" ref="AA2165" ca="1">IF(12&lt;Controls!$B$7,INDEX(M2153:M2331,MATCH(Controls!$B$5,A2153:A2331,1)+12)*INDEX(I2153:I2331,MATCH(Controls!$B$5,A2153:A2331,1)+12),"")</f>
        <v>0</v>
      </c>
      <c r="AB2165">
        <f t="shared" si="255"/>
        <v>0</v>
      </c>
    </row>
    <row r="2166" spans="1:28" x14ac:dyDescent="0.35">
      <c r="A2166" s="153">
        <v>46447</v>
      </c>
      <c r="B2166" s="155" t="s">
        <v>960</v>
      </c>
      <c r="C2166" s="15" t="s">
        <v>28</v>
      </c>
      <c r="D2166" s="15" t="s">
        <v>29</v>
      </c>
      <c r="E2166" s="199">
        <f>H2165</f>
        <v>0</v>
      </c>
      <c r="F2166" s="199">
        <f>IFERROR(SUMIFS('Demand Inputs'!$S$5:$S$202,'Demand Inputs'!$A$5:$A$202,"47mg LP - EU Stock",'Demand Inputs'!$B$5:$B$202,"&lt;&gt;AGGREGATE",'Demand Inputs'!$E$5:$E$202,1),0)</f>
        <v>0</v>
      </c>
      <c r="G2166" s="199" cm="1">
        <f t="array" ref="G2166">IFERROR(SUMPRODUCT(('Production Inputs'!$A:$A="47mg LP - EU Stock")*('Production Inputs'!$B:$B="TOTAL ACTIVE")*'Production Inputs'!$Y:$Y),0)</f>
        <v>0</v>
      </c>
      <c r="H2166" s="199">
        <f t="shared" ref="H2166:H2229" si="256">E2166+G2166-F2166</f>
        <v>0</v>
      </c>
      <c r="I2166" s="30">
        <f ca="1">IFERROR(AVERAGEIF(OFFSET(F2166,0,0,MIN(Controls!$B$8,COUNTIF(B2166:B$2331,B2166)),1),"&gt;"&amp;0),0)</f>
        <v>0</v>
      </c>
      <c r="J2166" s="38">
        <f t="shared" ref="J2166:J2229" ca="1" si="257">IFERROR(H2166/I2166,IF(H2166&gt;0,999,0))</f>
        <v>0</v>
      </c>
      <c r="K2166" s="30">
        <f t="shared" ref="K2166:K2229" ca="1" si="258">IFERROR(IF(H2166&lt;(N2166*I2166), CEILING(MAX(0,ROUND((M2166*I2166-H2166)/P2166,0)*P2166),P2166), 0), 0)</f>
        <v>0</v>
      </c>
      <c r="L2166" t="str">
        <f t="shared" ref="L2166:L2229" si="259">IF(H2166&lt;=0,"High",IF(J2166&lt;N2166,"High",IF(J2166&lt;M2166,"Medium",IF(J2166&gt;O2166,"Overstock","Low"))))</f>
        <v>High</v>
      </c>
      <c r="M2166" s="39">
        <f>IFERROR(VLOOKUP("47mg LP - EU Stock",Controls!A:I,7,0),6)</f>
        <v>9</v>
      </c>
      <c r="N2166" s="39">
        <f>IFERROR(VLOOKUP("47mg LP - EU Stock",Controls!A:I,8,0),3)</f>
        <v>8</v>
      </c>
      <c r="O2166" s="39">
        <f>IFERROR(VLOOKUP("47mg LP - EU Stock",Controls!A:I,9,0),18)</f>
        <v>18</v>
      </c>
      <c r="P2166" s="40">
        <f>IFERROR(VLOOKUP("47mg LP - EU Stock",Controls!A:J,5,0),0)</f>
        <v>10000</v>
      </c>
      <c r="Q2166" s="39">
        <f>IFERROR(VLOOKUP("47mg LP - EU Stock",Controls!A:J,6,0),3)</f>
        <v>3</v>
      </c>
      <c r="R2166" s="21" t="str">
        <f>IFERROR(VLOOKUP("47mg LP - EU Stock",Controls!A:K,10,0),"")</f>
        <v>Patheon (L&amp;P EU)</v>
      </c>
      <c r="S2166" s="41">
        <f t="shared" ref="S2166:S2229" si="260">IFERROR(EDATE(A2166,-Q2166),"")</f>
        <v>46357</v>
      </c>
      <c r="T2166" s="30">
        <f t="shared" ref="T2166:T2229" si="261">G2166</f>
        <v>0</v>
      </c>
      <c r="W2166" s="205" t="str" cm="1">
        <f t="array" ref="W2166">IF(13&lt;Controls!$B$7,TEXT(INDEX(A2153:A2331,MATCH(Controls!$B$5,A2153:A2331,1)+13),"MMM-YY"),"")</f>
        <v>May-27</v>
      </c>
      <c r="X2166" cm="1">
        <f t="array" ref="X2166">IF(13&lt;Controls!$B$7,INDEX(F2153:F2331,MATCH(Controls!$B$5,A2153:A2331,1)+13),"")</f>
        <v>0</v>
      </c>
      <c r="Y2166" cm="1">
        <f t="array" ref="Y2166">IF(13&lt;Controls!$B$7,INDEX(G2153:G2331,MATCH(Controls!$B$5,A2153:A2331,1)+13),"")</f>
        <v>0</v>
      </c>
      <c r="Z2166" cm="1">
        <f t="array" ref="Z2166">IF(13&lt;Controls!$B$7,INDEX(H2153:H2331,MATCH(Controls!$B$5,A2153:A2331,1)+13),"")</f>
        <v>0</v>
      </c>
      <c r="AA2166" cm="1">
        <f t="array" aca="1" ref="AA2166" ca="1">IF(13&lt;Controls!$B$7,INDEX(M2153:M2331,MATCH(Controls!$B$5,A2153:A2331,1)+13)*INDEX(I2153:I2331,MATCH(Controls!$B$5,A2153:A2331,1)+13),"")</f>
        <v>0</v>
      </c>
      <c r="AB2166">
        <f t="shared" si="255"/>
        <v>0</v>
      </c>
    </row>
    <row r="2167" spans="1:28" x14ac:dyDescent="0.35">
      <c r="A2167" s="153">
        <v>46478</v>
      </c>
      <c r="B2167" s="155" t="s">
        <v>960</v>
      </c>
      <c r="C2167" s="15" t="s">
        <v>28</v>
      </c>
      <c r="D2167" s="15" t="s">
        <v>29</v>
      </c>
      <c r="E2167" s="199">
        <f>H2166</f>
        <v>0</v>
      </c>
      <c r="F2167" s="199">
        <f>IFERROR(SUMIFS('Demand Inputs'!$T$5:$T$202,'Demand Inputs'!$A$5:$A$202,"47mg LP - EU Stock",'Demand Inputs'!$B$5:$B$202,"&lt;&gt;AGGREGATE",'Demand Inputs'!$E$5:$E$202,1),0)</f>
        <v>0</v>
      </c>
      <c r="G2167" s="199" cm="1">
        <f t="array" ref="G2167">IFERROR(SUMPRODUCT(('Production Inputs'!$A:$A="47mg LP - EU Stock")*('Production Inputs'!$B:$B="TOTAL ACTIVE")*'Production Inputs'!$Z:$Z),0)</f>
        <v>0</v>
      </c>
      <c r="H2167" s="199">
        <f t="shared" si="256"/>
        <v>0</v>
      </c>
      <c r="I2167" s="30">
        <f ca="1">IFERROR(AVERAGEIF(OFFSET(F2167,0,0,MIN(Controls!$B$8,COUNTIF(B2167:B$2331,B2167)),1),"&gt;"&amp;0),0)</f>
        <v>0</v>
      </c>
      <c r="J2167" s="38">
        <f t="shared" ca="1" si="257"/>
        <v>0</v>
      </c>
      <c r="K2167" s="30">
        <f t="shared" ca="1" si="258"/>
        <v>0</v>
      </c>
      <c r="L2167" t="str">
        <f t="shared" si="259"/>
        <v>High</v>
      </c>
      <c r="M2167" s="39">
        <f>IFERROR(VLOOKUP("47mg LP - EU Stock",Controls!A:I,7,0),6)</f>
        <v>9</v>
      </c>
      <c r="N2167" s="39">
        <f>IFERROR(VLOOKUP("47mg LP - EU Stock",Controls!A:I,8,0),3)</f>
        <v>8</v>
      </c>
      <c r="O2167" s="39">
        <f>IFERROR(VLOOKUP("47mg LP - EU Stock",Controls!A:I,9,0),18)</f>
        <v>18</v>
      </c>
      <c r="P2167" s="40">
        <f>IFERROR(VLOOKUP("47mg LP - EU Stock",Controls!A:J,5,0),0)</f>
        <v>10000</v>
      </c>
      <c r="Q2167" s="39">
        <f>IFERROR(VLOOKUP("47mg LP - EU Stock",Controls!A:J,6,0),3)</f>
        <v>3</v>
      </c>
      <c r="R2167" s="21" t="str">
        <f>IFERROR(VLOOKUP("47mg LP - EU Stock",Controls!A:K,10,0),"")</f>
        <v>Patheon (L&amp;P EU)</v>
      </c>
      <c r="S2167" s="41">
        <f t="shared" si="260"/>
        <v>46388</v>
      </c>
      <c r="T2167" s="30">
        <f t="shared" si="261"/>
        <v>0</v>
      </c>
      <c r="W2167" s="205" t="str" cm="1">
        <f t="array" ref="W2167">IF(14&lt;Controls!$B$7,TEXT(INDEX(A2153:A2331,MATCH(Controls!$B$5,A2153:A2331,1)+14),"MMM-YY"),"")</f>
        <v>Jun-27</v>
      </c>
      <c r="X2167" cm="1">
        <f t="array" ref="X2167">IF(14&lt;Controls!$B$7,INDEX(F2153:F2331,MATCH(Controls!$B$5,A2153:A2331,1)+14),"")</f>
        <v>0</v>
      </c>
      <c r="Y2167" cm="1">
        <f t="array" ref="Y2167">IF(14&lt;Controls!$B$7,INDEX(G2153:G2331,MATCH(Controls!$B$5,A2153:A2331,1)+14),"")</f>
        <v>0</v>
      </c>
      <c r="Z2167" cm="1">
        <f t="array" ref="Z2167">IF(14&lt;Controls!$B$7,INDEX(H2153:H2331,MATCH(Controls!$B$5,A2153:A2331,1)+14),"")</f>
        <v>0</v>
      </c>
      <c r="AA2167" cm="1">
        <f t="array" aca="1" ref="AA2167" ca="1">IF(14&lt;Controls!$B$7,INDEX(M2153:M2331,MATCH(Controls!$B$5,A2153:A2331,1)+14)*INDEX(I2153:I2331,MATCH(Controls!$B$5,A2153:A2331,1)+14),"")</f>
        <v>0</v>
      </c>
      <c r="AB2167">
        <f t="shared" si="255"/>
        <v>0</v>
      </c>
    </row>
    <row r="2168" spans="1:28" x14ac:dyDescent="0.35">
      <c r="A2168" s="153">
        <v>46508</v>
      </c>
      <c r="B2168" s="155" t="s">
        <v>960</v>
      </c>
      <c r="C2168" s="15" t="s">
        <v>28</v>
      </c>
      <c r="D2168" s="15" t="s">
        <v>29</v>
      </c>
      <c r="E2168" s="199">
        <f>H2167</f>
        <v>0</v>
      </c>
      <c r="F2168" s="199">
        <f>IFERROR(SUMIFS('Demand Inputs'!$U$5:$U$202,'Demand Inputs'!$A$5:$A$202,"47mg LP - EU Stock",'Demand Inputs'!$B$5:$B$202,"&lt;&gt;AGGREGATE",'Demand Inputs'!$E$5:$E$202,1),0)</f>
        <v>0</v>
      </c>
      <c r="G2168" s="199" cm="1">
        <f t="array" ref="G2168">IFERROR(SUMPRODUCT(('Production Inputs'!$A:$A="47mg LP - EU Stock")*('Production Inputs'!$B:$B="TOTAL ACTIVE")*'Production Inputs'!$AA:$AA),0)</f>
        <v>0</v>
      </c>
      <c r="H2168" s="199">
        <f t="shared" si="256"/>
        <v>0</v>
      </c>
      <c r="I2168" s="30">
        <f ca="1">IFERROR(AVERAGEIF(OFFSET(F2168,0,0,MIN(Controls!$B$8,COUNTIF(B2168:B$2331,B2168)),1),"&gt;"&amp;0),0)</f>
        <v>0</v>
      </c>
      <c r="J2168" s="38">
        <f t="shared" ca="1" si="257"/>
        <v>0</v>
      </c>
      <c r="K2168" s="30">
        <f t="shared" ca="1" si="258"/>
        <v>0</v>
      </c>
      <c r="L2168" t="str">
        <f t="shared" si="259"/>
        <v>High</v>
      </c>
      <c r="M2168" s="39">
        <f>IFERROR(VLOOKUP("47mg LP - EU Stock",Controls!A:I,7,0),6)</f>
        <v>9</v>
      </c>
      <c r="N2168" s="39">
        <f>IFERROR(VLOOKUP("47mg LP - EU Stock",Controls!A:I,8,0),3)</f>
        <v>8</v>
      </c>
      <c r="O2168" s="39">
        <f>IFERROR(VLOOKUP("47mg LP - EU Stock",Controls!A:I,9,0),18)</f>
        <v>18</v>
      </c>
      <c r="P2168" s="40">
        <f>IFERROR(VLOOKUP("47mg LP - EU Stock",Controls!A:J,5,0),0)</f>
        <v>10000</v>
      </c>
      <c r="Q2168" s="39">
        <f>IFERROR(VLOOKUP("47mg LP - EU Stock",Controls!A:J,6,0),3)</f>
        <v>3</v>
      </c>
      <c r="R2168" s="21" t="str">
        <f>IFERROR(VLOOKUP("47mg LP - EU Stock",Controls!A:K,10,0),"")</f>
        <v>Patheon (L&amp;P EU)</v>
      </c>
      <c r="S2168" s="41">
        <f t="shared" si="260"/>
        <v>46419</v>
      </c>
      <c r="T2168" s="30">
        <f t="shared" si="261"/>
        <v>0</v>
      </c>
      <c r="W2168" s="205" t="str" cm="1">
        <f t="array" ref="W2168">IF(15&lt;Controls!$B$7,TEXT(INDEX(A2153:A2331,MATCH(Controls!$B$5,A2153:A2331,1)+15),"MMM-YY"),"")</f>
        <v>Jul-27</v>
      </c>
      <c r="X2168" cm="1">
        <f t="array" ref="X2168">IF(15&lt;Controls!$B$7,INDEX(F2153:F2331,MATCH(Controls!$B$5,A2153:A2331,1)+15),"")</f>
        <v>0</v>
      </c>
      <c r="Y2168" cm="1">
        <f t="array" ref="Y2168">IF(15&lt;Controls!$B$7,INDEX(G2153:G2331,MATCH(Controls!$B$5,A2153:A2331,1)+15),"")</f>
        <v>0</v>
      </c>
      <c r="Z2168" cm="1">
        <f t="array" ref="Z2168">IF(15&lt;Controls!$B$7,INDEX(H2153:H2331,MATCH(Controls!$B$5,A2153:A2331,1)+15),"")</f>
        <v>0</v>
      </c>
      <c r="AA2168" cm="1">
        <f t="array" aca="1" ref="AA2168" ca="1">IF(15&lt;Controls!$B$7,INDEX(M2153:M2331,MATCH(Controls!$B$5,A2153:A2331,1)+15)*INDEX(I2153:I2331,MATCH(Controls!$B$5,A2153:A2331,1)+15),"")</f>
        <v>0</v>
      </c>
      <c r="AB2168">
        <f t="shared" si="255"/>
        <v>0</v>
      </c>
    </row>
    <row r="2169" spans="1:28" x14ac:dyDescent="0.35">
      <c r="A2169" s="153">
        <v>46539</v>
      </c>
      <c r="B2169" s="155" t="s">
        <v>960</v>
      </c>
      <c r="C2169" s="15" t="s">
        <v>28</v>
      </c>
      <c r="D2169" s="15" t="s">
        <v>29</v>
      </c>
      <c r="E2169" s="199">
        <f>H2168</f>
        <v>0</v>
      </c>
      <c r="F2169" s="199">
        <f>IFERROR(SUMIFS('Demand Inputs'!$V$5:$V$202,'Demand Inputs'!$A$5:$A$202,"47mg LP - EU Stock",'Demand Inputs'!$B$5:$B$202,"&lt;&gt;AGGREGATE",'Demand Inputs'!$E$5:$E$202,1),0)</f>
        <v>0</v>
      </c>
      <c r="G2169" s="199" cm="1">
        <f t="array" ref="G2169">IFERROR(SUMPRODUCT(('Production Inputs'!$A:$A="47mg LP - EU Stock")*('Production Inputs'!$B:$B="TOTAL ACTIVE")*'Production Inputs'!$AB:$AB),0)</f>
        <v>0</v>
      </c>
      <c r="H2169" s="199">
        <f t="shared" si="256"/>
        <v>0</v>
      </c>
      <c r="I2169" s="30">
        <f ca="1">IFERROR(AVERAGEIF(OFFSET(F2169,0,0,MIN(Controls!$B$8,COUNTIF(B2169:B$2331,B2169)),1),"&gt;"&amp;0),0)</f>
        <v>0</v>
      </c>
      <c r="J2169" s="38">
        <f t="shared" ca="1" si="257"/>
        <v>0</v>
      </c>
      <c r="K2169" s="30">
        <f t="shared" ca="1" si="258"/>
        <v>0</v>
      </c>
      <c r="L2169" t="str">
        <f t="shared" si="259"/>
        <v>High</v>
      </c>
      <c r="M2169" s="39">
        <f>IFERROR(VLOOKUP("47mg LP - EU Stock",Controls!A:I,7,0),6)</f>
        <v>9</v>
      </c>
      <c r="N2169" s="39">
        <f>IFERROR(VLOOKUP("47mg LP - EU Stock",Controls!A:I,8,0),3)</f>
        <v>8</v>
      </c>
      <c r="O2169" s="39">
        <f>IFERROR(VLOOKUP("47mg LP - EU Stock",Controls!A:I,9,0),18)</f>
        <v>18</v>
      </c>
      <c r="P2169" s="40">
        <f>IFERROR(VLOOKUP("47mg LP - EU Stock",Controls!A:J,5,0),0)</f>
        <v>10000</v>
      </c>
      <c r="Q2169" s="39">
        <f>IFERROR(VLOOKUP("47mg LP - EU Stock",Controls!A:J,6,0),3)</f>
        <v>3</v>
      </c>
      <c r="R2169" s="21" t="str">
        <f>IFERROR(VLOOKUP("47mg LP - EU Stock",Controls!A:K,10,0),"")</f>
        <v>Patheon (L&amp;P EU)</v>
      </c>
      <c r="S2169" s="41">
        <f t="shared" si="260"/>
        <v>46447</v>
      </c>
      <c r="T2169" s="30">
        <f t="shared" si="261"/>
        <v>0</v>
      </c>
      <c r="W2169" s="205" t="str" cm="1">
        <f t="array" ref="W2169">IF(16&lt;Controls!$B$7,TEXT(INDEX(A2153:A2331,MATCH(Controls!$B$5,A2153:A2331,1)+16),"MMM-YY"),"")</f>
        <v>Aug-27</v>
      </c>
      <c r="X2169" cm="1">
        <f t="array" ref="X2169">IF(16&lt;Controls!$B$7,INDEX(F2153:F2331,MATCH(Controls!$B$5,A2153:A2331,1)+16),"")</f>
        <v>0</v>
      </c>
      <c r="Y2169" cm="1">
        <f t="array" ref="Y2169">IF(16&lt;Controls!$B$7,INDEX(G2153:G2331,MATCH(Controls!$B$5,A2153:A2331,1)+16),"")</f>
        <v>0</v>
      </c>
      <c r="Z2169" cm="1">
        <f t="array" ref="Z2169">IF(16&lt;Controls!$B$7,INDEX(H2153:H2331,MATCH(Controls!$B$5,A2153:A2331,1)+16),"")</f>
        <v>0</v>
      </c>
      <c r="AA2169" cm="1">
        <f t="array" aca="1" ref="AA2169" ca="1">IF(16&lt;Controls!$B$7,INDEX(M2153:M2331,MATCH(Controls!$B$5,A2153:A2331,1)+16)*INDEX(I2153:I2331,MATCH(Controls!$B$5,A2153:A2331,1)+16),"")</f>
        <v>0</v>
      </c>
      <c r="AB2169">
        <f t="shared" si="255"/>
        <v>0</v>
      </c>
    </row>
    <row r="2170" spans="1:28" x14ac:dyDescent="0.35">
      <c r="A2170" s="153">
        <v>46569</v>
      </c>
      <c r="B2170" s="155" t="s">
        <v>960</v>
      </c>
      <c r="C2170" s="15" t="s">
        <v>28</v>
      </c>
      <c r="D2170" s="15" t="s">
        <v>29</v>
      </c>
      <c r="E2170" s="199">
        <f>H2169</f>
        <v>0</v>
      </c>
      <c r="F2170" s="199">
        <f>IFERROR(SUMIFS('Demand Inputs'!$W$5:$W$202,'Demand Inputs'!$A$5:$A$202,"47mg LP - EU Stock",'Demand Inputs'!$B$5:$B$202,"&lt;&gt;AGGREGATE",'Demand Inputs'!$E$5:$E$202,1),0)</f>
        <v>0</v>
      </c>
      <c r="G2170" s="199" cm="1">
        <f t="array" ref="G2170">IFERROR(SUMPRODUCT(('Production Inputs'!$A:$A="47mg LP - EU Stock")*('Production Inputs'!$B:$B="TOTAL ACTIVE")*'Production Inputs'!$AC:$AC),0)</f>
        <v>0</v>
      </c>
      <c r="H2170" s="199">
        <f t="shared" si="256"/>
        <v>0</v>
      </c>
      <c r="I2170" s="30">
        <f ca="1">IFERROR(AVERAGEIF(OFFSET(F2170,0,0,MIN(Controls!$B$8,COUNTIF(B2170:B$2331,B2170)),1),"&gt;"&amp;0),0)</f>
        <v>0</v>
      </c>
      <c r="J2170" s="38">
        <f t="shared" ca="1" si="257"/>
        <v>0</v>
      </c>
      <c r="K2170" s="30">
        <f t="shared" ca="1" si="258"/>
        <v>0</v>
      </c>
      <c r="L2170" t="str">
        <f t="shared" si="259"/>
        <v>High</v>
      </c>
      <c r="M2170" s="39">
        <f>IFERROR(VLOOKUP("47mg LP - EU Stock",Controls!A:I,7,0),6)</f>
        <v>9</v>
      </c>
      <c r="N2170" s="39">
        <f>IFERROR(VLOOKUP("47mg LP - EU Stock",Controls!A:I,8,0),3)</f>
        <v>8</v>
      </c>
      <c r="O2170" s="39">
        <f>IFERROR(VLOOKUP("47mg LP - EU Stock",Controls!A:I,9,0),18)</f>
        <v>18</v>
      </c>
      <c r="P2170" s="40">
        <f>IFERROR(VLOOKUP("47mg LP - EU Stock",Controls!A:J,5,0),0)</f>
        <v>10000</v>
      </c>
      <c r="Q2170" s="39">
        <f>IFERROR(VLOOKUP("47mg LP - EU Stock",Controls!A:J,6,0),3)</f>
        <v>3</v>
      </c>
      <c r="R2170" s="21" t="str">
        <f>IFERROR(VLOOKUP("47mg LP - EU Stock",Controls!A:K,10,0),"")</f>
        <v>Patheon (L&amp;P EU)</v>
      </c>
      <c r="S2170" s="41">
        <f t="shared" si="260"/>
        <v>46478</v>
      </c>
      <c r="T2170" s="30">
        <f t="shared" si="261"/>
        <v>0</v>
      </c>
      <c r="W2170" s="205" t="str" cm="1">
        <f t="array" ref="W2170">IF(17&lt;Controls!$B$7,TEXT(INDEX(A2153:A2331,MATCH(Controls!$B$5,A2153:A2331,1)+17),"MMM-YY"),"")</f>
        <v>Sep-27</v>
      </c>
      <c r="X2170" cm="1">
        <f t="array" ref="X2170">IF(17&lt;Controls!$B$7,INDEX(F2153:F2331,MATCH(Controls!$B$5,A2153:A2331,1)+17),"")</f>
        <v>0</v>
      </c>
      <c r="Y2170" cm="1">
        <f t="array" ref="Y2170">IF(17&lt;Controls!$B$7,INDEX(G2153:G2331,MATCH(Controls!$B$5,A2153:A2331,1)+17),"")</f>
        <v>0</v>
      </c>
      <c r="Z2170" cm="1">
        <f t="array" ref="Z2170">IF(17&lt;Controls!$B$7,INDEX(H2153:H2331,MATCH(Controls!$B$5,A2153:A2331,1)+17),"")</f>
        <v>0</v>
      </c>
      <c r="AA2170" cm="1">
        <f t="array" aca="1" ref="AA2170" ca="1">IF(17&lt;Controls!$B$7,INDEX(M2153:M2331,MATCH(Controls!$B$5,A2153:A2331,1)+17)*INDEX(I2153:I2331,MATCH(Controls!$B$5,A2153:A2331,1)+17),"")</f>
        <v>0</v>
      </c>
      <c r="AB2170">
        <f t="shared" si="255"/>
        <v>0</v>
      </c>
    </row>
    <row r="2171" spans="1:28" x14ac:dyDescent="0.35">
      <c r="A2171" s="153">
        <v>46600</v>
      </c>
      <c r="B2171" s="155" t="s">
        <v>960</v>
      </c>
      <c r="C2171" s="15" t="s">
        <v>28</v>
      </c>
      <c r="D2171" s="15" t="s">
        <v>29</v>
      </c>
      <c r="E2171" s="199">
        <f>H2170</f>
        <v>0</v>
      </c>
      <c r="F2171" s="199">
        <f>IFERROR(SUMIFS('Demand Inputs'!$X$5:$X$202,'Demand Inputs'!$A$5:$A$202,"47mg LP - EU Stock",'Demand Inputs'!$B$5:$B$202,"&lt;&gt;AGGREGATE",'Demand Inputs'!$E$5:$E$202,1),0)</f>
        <v>0</v>
      </c>
      <c r="G2171" s="199" cm="1">
        <f t="array" ref="G2171">IFERROR(SUMPRODUCT(('Production Inputs'!$A:$A="47mg LP - EU Stock")*('Production Inputs'!$B:$B="TOTAL ACTIVE")*'Production Inputs'!$AD:$AD),0)</f>
        <v>0</v>
      </c>
      <c r="H2171" s="199">
        <f t="shared" si="256"/>
        <v>0</v>
      </c>
      <c r="I2171" s="30">
        <f ca="1">IFERROR(AVERAGEIF(OFFSET(F2171,0,0,MIN(Controls!$B$8,COUNTIF(B2171:B$2331,B2171)),1),"&gt;"&amp;0),0)</f>
        <v>0</v>
      </c>
      <c r="J2171" s="38">
        <f t="shared" ca="1" si="257"/>
        <v>0</v>
      </c>
      <c r="K2171" s="30">
        <f t="shared" ca="1" si="258"/>
        <v>0</v>
      </c>
      <c r="L2171" t="str">
        <f t="shared" si="259"/>
        <v>High</v>
      </c>
      <c r="M2171" s="39">
        <f>IFERROR(VLOOKUP("47mg LP - EU Stock",Controls!A:I,7,0),6)</f>
        <v>9</v>
      </c>
      <c r="N2171" s="39">
        <f>IFERROR(VLOOKUP("47mg LP - EU Stock",Controls!A:I,8,0),3)</f>
        <v>8</v>
      </c>
      <c r="O2171" s="39">
        <f>IFERROR(VLOOKUP("47mg LP - EU Stock",Controls!A:I,9,0),18)</f>
        <v>18</v>
      </c>
      <c r="P2171" s="40">
        <f>IFERROR(VLOOKUP("47mg LP - EU Stock",Controls!A:J,5,0),0)</f>
        <v>10000</v>
      </c>
      <c r="Q2171" s="39">
        <f>IFERROR(VLOOKUP("47mg LP - EU Stock",Controls!A:J,6,0),3)</f>
        <v>3</v>
      </c>
      <c r="R2171" s="21" t="str">
        <f>IFERROR(VLOOKUP("47mg LP - EU Stock",Controls!A:K,10,0),"")</f>
        <v>Patheon (L&amp;P EU)</v>
      </c>
      <c r="S2171" s="41">
        <f t="shared" si="260"/>
        <v>46508</v>
      </c>
      <c r="T2171" s="30">
        <f t="shared" si="261"/>
        <v>0</v>
      </c>
      <c r="W2171" s="205" t="str" cm="1">
        <f t="array" ref="W2171">IF(18&lt;Controls!$B$7,TEXT(INDEX(A2153:A2331,MATCH(Controls!$B$5,A2153:A2331,1)+18),"MMM-YY"),"")</f>
        <v/>
      </c>
      <c r="X2171" t="str" cm="1">
        <f t="array" ref="X2171">IF(18&lt;Controls!$B$7,INDEX(F2153:F2331,MATCH(Controls!$B$5,A2153:A2331,1)+18),"")</f>
        <v/>
      </c>
      <c r="Y2171" t="str" cm="1">
        <f t="array" ref="Y2171">IF(18&lt;Controls!$B$7,INDEX(G2153:G2331,MATCH(Controls!$B$5,A2153:A2331,1)+18),"")</f>
        <v/>
      </c>
      <c r="Z2171" t="str" cm="1">
        <f t="array" ref="Z2171">IF(18&lt;Controls!$B$7,INDEX(H2153:H2331,MATCH(Controls!$B$5,A2153:A2331,1)+18),"")</f>
        <v/>
      </c>
      <c r="AA2171" t="str" cm="1">
        <f t="array" ref="AA2171">IF(18&lt;Controls!$B$7,INDEX(M2153:M2331,MATCH(Controls!$B$5,A2153:A2331,1)+18)*INDEX(I2153:I2331,MATCH(Controls!$B$5,A2153:A2331,1)+18),"")</f>
        <v/>
      </c>
      <c r="AB2171">
        <f t="shared" si="255"/>
        <v>0</v>
      </c>
    </row>
    <row r="2172" spans="1:28" x14ac:dyDescent="0.35">
      <c r="A2172" s="153">
        <v>46631</v>
      </c>
      <c r="B2172" s="155" t="s">
        <v>960</v>
      </c>
      <c r="C2172" s="15" t="s">
        <v>28</v>
      </c>
      <c r="D2172" s="15" t="s">
        <v>29</v>
      </c>
      <c r="E2172" s="199">
        <f>H2171</f>
        <v>0</v>
      </c>
      <c r="F2172" s="199">
        <f>IFERROR(SUMIFS('Demand Inputs'!$Y$5:$Y$202,'Demand Inputs'!$A$5:$A$202,"47mg LP - EU Stock",'Demand Inputs'!$B$5:$B$202,"&lt;&gt;AGGREGATE",'Demand Inputs'!$E$5:$E$202,1),0)</f>
        <v>0</v>
      </c>
      <c r="G2172" s="199" cm="1">
        <f t="array" ref="G2172">IFERROR(SUMPRODUCT(('Production Inputs'!$A:$A="47mg LP - EU Stock")*('Production Inputs'!$B:$B="TOTAL ACTIVE")*'Production Inputs'!$AE:$AE),0)</f>
        <v>0</v>
      </c>
      <c r="H2172" s="199">
        <f t="shared" si="256"/>
        <v>0</v>
      </c>
      <c r="I2172" s="30">
        <f ca="1">IFERROR(AVERAGEIF(OFFSET(F2172,0,0,MIN(Controls!$B$8,COUNTIF(B2172:B$2331,B2172)),1),"&gt;"&amp;0),0)</f>
        <v>0</v>
      </c>
      <c r="J2172" s="38">
        <f t="shared" ca="1" si="257"/>
        <v>0</v>
      </c>
      <c r="K2172" s="30">
        <f t="shared" ca="1" si="258"/>
        <v>0</v>
      </c>
      <c r="L2172" t="str">
        <f t="shared" si="259"/>
        <v>High</v>
      </c>
      <c r="M2172" s="39">
        <f>IFERROR(VLOOKUP("47mg LP - EU Stock",Controls!A:I,7,0),6)</f>
        <v>9</v>
      </c>
      <c r="N2172" s="39">
        <f>IFERROR(VLOOKUP("47mg LP - EU Stock",Controls!A:I,8,0),3)</f>
        <v>8</v>
      </c>
      <c r="O2172" s="39">
        <f>IFERROR(VLOOKUP("47mg LP - EU Stock",Controls!A:I,9,0),18)</f>
        <v>18</v>
      </c>
      <c r="P2172" s="40">
        <f>IFERROR(VLOOKUP("47mg LP - EU Stock",Controls!A:J,5,0),0)</f>
        <v>10000</v>
      </c>
      <c r="Q2172" s="39">
        <f>IFERROR(VLOOKUP("47mg LP - EU Stock",Controls!A:J,6,0),3)</f>
        <v>3</v>
      </c>
      <c r="R2172" s="21" t="str">
        <f>IFERROR(VLOOKUP("47mg LP - EU Stock",Controls!A:K,10,0),"")</f>
        <v>Patheon (L&amp;P EU)</v>
      </c>
      <c r="S2172" s="41">
        <f t="shared" si="260"/>
        <v>46539</v>
      </c>
      <c r="T2172" s="30">
        <f t="shared" si="261"/>
        <v>0</v>
      </c>
      <c r="W2172" s="205" t="str" cm="1">
        <f t="array" ref="W2172">IF(19&lt;Controls!$B$7,TEXT(INDEX(A2153:A2331,MATCH(Controls!$B$5,A2153:A2331,1)+19),"MMM-YY"),"")</f>
        <v/>
      </c>
      <c r="X2172" t="str" cm="1">
        <f t="array" ref="X2172">IF(19&lt;Controls!$B$7,INDEX(F2153:F2331,MATCH(Controls!$B$5,A2153:A2331,1)+19),"")</f>
        <v/>
      </c>
      <c r="Y2172" t="str" cm="1">
        <f t="array" ref="Y2172">IF(19&lt;Controls!$B$7,INDEX(G2153:G2331,MATCH(Controls!$B$5,A2153:A2331,1)+19),"")</f>
        <v/>
      </c>
      <c r="Z2172" t="str" cm="1">
        <f t="array" ref="Z2172">IF(19&lt;Controls!$B$7,INDEX(H2153:H2331,MATCH(Controls!$B$5,A2153:A2331,1)+19),"")</f>
        <v/>
      </c>
      <c r="AA2172" t="str" cm="1">
        <f t="array" ref="AA2172">IF(19&lt;Controls!$B$7,INDEX(M2153:M2331,MATCH(Controls!$B$5,A2153:A2331,1)+19)*INDEX(I2153:I2331,MATCH(Controls!$B$5,A2153:A2331,1)+19),"")</f>
        <v/>
      </c>
      <c r="AB2172">
        <f t="shared" si="255"/>
        <v>0</v>
      </c>
    </row>
    <row r="2173" spans="1:28" x14ac:dyDescent="0.35">
      <c r="A2173" s="153">
        <v>46661</v>
      </c>
      <c r="B2173" s="155" t="s">
        <v>960</v>
      </c>
      <c r="C2173" s="15" t="s">
        <v>28</v>
      </c>
      <c r="D2173" s="15" t="s">
        <v>29</v>
      </c>
      <c r="E2173" s="199">
        <f>H2172</f>
        <v>0</v>
      </c>
      <c r="F2173" s="199">
        <f>IFERROR(SUMIFS('Demand Inputs'!$Z$5:$Z$202,'Demand Inputs'!$A$5:$A$202,"47mg LP - EU Stock",'Demand Inputs'!$B$5:$B$202,"&lt;&gt;AGGREGATE",'Demand Inputs'!$E$5:$E$202,1),0)</f>
        <v>0</v>
      </c>
      <c r="G2173" s="199" cm="1">
        <f t="array" ref="G2173">IFERROR(SUMPRODUCT(('Production Inputs'!$A:$A="47mg LP - EU Stock")*('Production Inputs'!$B:$B="TOTAL ACTIVE")*'Production Inputs'!$AF:$AF),0)</f>
        <v>0</v>
      </c>
      <c r="H2173" s="199">
        <f t="shared" si="256"/>
        <v>0</v>
      </c>
      <c r="I2173" s="30">
        <f ca="1">IFERROR(AVERAGEIF(OFFSET(F2173,0,0,MIN(Controls!$B$8,COUNTIF(B2173:B$2331,B2173)),1),"&gt;"&amp;0),0)</f>
        <v>0</v>
      </c>
      <c r="J2173" s="38">
        <f t="shared" ca="1" si="257"/>
        <v>0</v>
      </c>
      <c r="K2173" s="30">
        <f t="shared" ca="1" si="258"/>
        <v>0</v>
      </c>
      <c r="L2173" t="str">
        <f t="shared" si="259"/>
        <v>High</v>
      </c>
      <c r="M2173" s="39">
        <f>IFERROR(VLOOKUP("47mg LP - EU Stock",Controls!A:I,7,0),6)</f>
        <v>9</v>
      </c>
      <c r="N2173" s="39">
        <f>IFERROR(VLOOKUP("47mg LP - EU Stock",Controls!A:I,8,0),3)</f>
        <v>8</v>
      </c>
      <c r="O2173" s="39">
        <f>IFERROR(VLOOKUP("47mg LP - EU Stock",Controls!A:I,9,0),18)</f>
        <v>18</v>
      </c>
      <c r="P2173" s="40">
        <f>IFERROR(VLOOKUP("47mg LP - EU Stock",Controls!A:J,5,0),0)</f>
        <v>10000</v>
      </c>
      <c r="Q2173" s="39">
        <f>IFERROR(VLOOKUP("47mg LP - EU Stock",Controls!A:J,6,0),3)</f>
        <v>3</v>
      </c>
      <c r="R2173" s="21" t="str">
        <f>IFERROR(VLOOKUP("47mg LP - EU Stock",Controls!A:K,10,0),"")</f>
        <v>Patheon (L&amp;P EU)</v>
      </c>
      <c r="S2173" s="41">
        <f t="shared" si="260"/>
        <v>46569</v>
      </c>
      <c r="T2173" s="30">
        <f t="shared" si="261"/>
        <v>0</v>
      </c>
      <c r="W2173" s="205" t="str" cm="1">
        <f t="array" ref="W2173">IF(20&lt;Controls!$B$7,TEXT(INDEX(A2153:A2331,MATCH(Controls!$B$5,A2153:A2331,1)+20),"MMM-YY"),"")</f>
        <v/>
      </c>
      <c r="X2173" t="str" cm="1">
        <f t="array" ref="X2173">IF(20&lt;Controls!$B$7,INDEX(F2153:F2331,MATCH(Controls!$B$5,A2153:A2331,1)+20),"")</f>
        <v/>
      </c>
      <c r="Y2173" t="str" cm="1">
        <f t="array" ref="Y2173">IF(20&lt;Controls!$B$7,INDEX(G2153:G2331,MATCH(Controls!$B$5,A2153:A2331,1)+20),"")</f>
        <v/>
      </c>
      <c r="Z2173" t="str" cm="1">
        <f t="array" ref="Z2173">IF(20&lt;Controls!$B$7,INDEX(H2153:H2331,MATCH(Controls!$B$5,A2153:A2331,1)+20),"")</f>
        <v/>
      </c>
      <c r="AA2173" t="str" cm="1">
        <f t="array" ref="AA2173">IF(20&lt;Controls!$B$7,INDEX(M2153:M2331,MATCH(Controls!$B$5,A2153:A2331,1)+20)*INDEX(I2153:I2331,MATCH(Controls!$B$5,A2153:A2331,1)+20),"")</f>
        <v/>
      </c>
      <c r="AB2173">
        <f t="shared" si="255"/>
        <v>0</v>
      </c>
    </row>
    <row r="2174" spans="1:28" x14ac:dyDescent="0.35">
      <c r="A2174" s="153">
        <v>46692</v>
      </c>
      <c r="B2174" s="155" t="s">
        <v>960</v>
      </c>
      <c r="C2174" s="15" t="s">
        <v>28</v>
      </c>
      <c r="D2174" s="15" t="s">
        <v>29</v>
      </c>
      <c r="E2174" s="199">
        <f>H2173</f>
        <v>0</v>
      </c>
      <c r="F2174" s="199">
        <f>IFERROR(SUMIFS('Demand Inputs'!$AA$5:$AA$202,'Demand Inputs'!$A$5:$A$202,"47mg LP - EU Stock",'Demand Inputs'!$B$5:$B$202,"&lt;&gt;AGGREGATE",'Demand Inputs'!$E$5:$E$202,1),0)</f>
        <v>0</v>
      </c>
      <c r="G2174" s="199" cm="1">
        <f t="array" ref="G2174">IFERROR(SUMPRODUCT(('Production Inputs'!$A:$A="47mg LP - EU Stock")*('Production Inputs'!$B:$B="TOTAL ACTIVE")*'Production Inputs'!$AG:$AG),0)</f>
        <v>0</v>
      </c>
      <c r="H2174" s="199">
        <f t="shared" si="256"/>
        <v>0</v>
      </c>
      <c r="I2174" s="30">
        <f ca="1">IFERROR(AVERAGEIF(OFFSET(F2174,0,0,MIN(Controls!$B$8,COUNTIF(B2174:B$2331,B2174)),1),"&gt;"&amp;0),0)</f>
        <v>0</v>
      </c>
      <c r="J2174" s="38">
        <f t="shared" ca="1" si="257"/>
        <v>0</v>
      </c>
      <c r="K2174" s="30">
        <f t="shared" ca="1" si="258"/>
        <v>0</v>
      </c>
      <c r="L2174" t="str">
        <f t="shared" si="259"/>
        <v>High</v>
      </c>
      <c r="M2174" s="39">
        <f>IFERROR(VLOOKUP("47mg LP - EU Stock",Controls!A:I,7,0),6)</f>
        <v>9</v>
      </c>
      <c r="N2174" s="39">
        <f>IFERROR(VLOOKUP("47mg LP - EU Stock",Controls!A:I,8,0),3)</f>
        <v>8</v>
      </c>
      <c r="O2174" s="39">
        <f>IFERROR(VLOOKUP("47mg LP - EU Stock",Controls!A:I,9,0),18)</f>
        <v>18</v>
      </c>
      <c r="P2174" s="40">
        <f>IFERROR(VLOOKUP("47mg LP - EU Stock",Controls!A:J,5,0),0)</f>
        <v>10000</v>
      </c>
      <c r="Q2174" s="39">
        <f>IFERROR(VLOOKUP("47mg LP - EU Stock",Controls!A:J,6,0),3)</f>
        <v>3</v>
      </c>
      <c r="R2174" s="21" t="str">
        <f>IFERROR(VLOOKUP("47mg LP - EU Stock",Controls!A:K,10,0),"")</f>
        <v>Patheon (L&amp;P EU)</v>
      </c>
      <c r="S2174" s="41">
        <f t="shared" si="260"/>
        <v>46600</v>
      </c>
      <c r="T2174" s="30">
        <f t="shared" si="261"/>
        <v>0</v>
      </c>
      <c r="W2174" s="205" t="str" cm="1">
        <f t="array" ref="W2174">IF(21&lt;Controls!$B$7,TEXT(INDEX(A2153:A2331,MATCH(Controls!$B$5,A2153:A2331,1)+21),"MMM-YY"),"")</f>
        <v/>
      </c>
      <c r="X2174" t="str" cm="1">
        <f t="array" ref="X2174">IF(21&lt;Controls!$B$7,INDEX(F2153:F2331,MATCH(Controls!$B$5,A2153:A2331,1)+21),"")</f>
        <v/>
      </c>
      <c r="Y2174" t="str" cm="1">
        <f t="array" ref="Y2174">IF(21&lt;Controls!$B$7,INDEX(G2153:G2331,MATCH(Controls!$B$5,A2153:A2331,1)+21),"")</f>
        <v/>
      </c>
      <c r="Z2174" t="str" cm="1">
        <f t="array" ref="Z2174">IF(21&lt;Controls!$B$7,INDEX(H2153:H2331,MATCH(Controls!$B$5,A2153:A2331,1)+21),"")</f>
        <v/>
      </c>
      <c r="AA2174" t="str" cm="1">
        <f t="array" ref="AA2174">IF(21&lt;Controls!$B$7,INDEX(M2153:M2331,MATCH(Controls!$B$5,A2153:A2331,1)+21)*INDEX(I2153:I2331,MATCH(Controls!$B$5,A2153:A2331,1)+21),"")</f>
        <v/>
      </c>
      <c r="AB2174">
        <f t="shared" si="255"/>
        <v>0</v>
      </c>
    </row>
    <row r="2175" spans="1:28" x14ac:dyDescent="0.35">
      <c r="A2175" s="153">
        <v>46722</v>
      </c>
      <c r="B2175" s="155" t="s">
        <v>960</v>
      </c>
      <c r="C2175" s="15" t="s">
        <v>28</v>
      </c>
      <c r="D2175" s="15" t="s">
        <v>29</v>
      </c>
      <c r="E2175" s="199">
        <f>H2174</f>
        <v>0</v>
      </c>
      <c r="F2175" s="199">
        <f>IFERROR(SUMIFS('Demand Inputs'!$AB$5:$AB$202,'Demand Inputs'!$A$5:$A$202,"47mg LP - EU Stock",'Demand Inputs'!$B$5:$B$202,"&lt;&gt;AGGREGATE",'Demand Inputs'!$E$5:$E$202,1),0)</f>
        <v>0</v>
      </c>
      <c r="G2175" s="199" cm="1">
        <f t="array" ref="G2175">IFERROR(SUMPRODUCT(('Production Inputs'!$A:$A="47mg LP - EU Stock")*('Production Inputs'!$B:$B="TOTAL ACTIVE")*'Production Inputs'!$AH:$AH),0)</f>
        <v>0</v>
      </c>
      <c r="H2175" s="199">
        <f t="shared" si="256"/>
        <v>0</v>
      </c>
      <c r="I2175" s="30">
        <f ca="1">IFERROR(AVERAGEIF(OFFSET(F2175,0,0,MIN(Controls!$B$8,COUNTIF(B2175:B$2331,B2175)),1),"&gt;"&amp;0),0)</f>
        <v>0</v>
      </c>
      <c r="J2175" s="38">
        <f t="shared" ca="1" si="257"/>
        <v>0</v>
      </c>
      <c r="K2175" s="30">
        <f t="shared" ca="1" si="258"/>
        <v>0</v>
      </c>
      <c r="L2175" t="str">
        <f t="shared" si="259"/>
        <v>High</v>
      </c>
      <c r="M2175" s="39">
        <f>IFERROR(VLOOKUP("47mg LP - EU Stock",Controls!A:I,7,0),6)</f>
        <v>9</v>
      </c>
      <c r="N2175" s="39">
        <f>IFERROR(VLOOKUP("47mg LP - EU Stock",Controls!A:I,8,0),3)</f>
        <v>8</v>
      </c>
      <c r="O2175" s="39">
        <f>IFERROR(VLOOKUP("47mg LP - EU Stock",Controls!A:I,9,0),18)</f>
        <v>18</v>
      </c>
      <c r="P2175" s="40">
        <f>IFERROR(VLOOKUP("47mg LP - EU Stock",Controls!A:J,5,0),0)</f>
        <v>10000</v>
      </c>
      <c r="Q2175" s="39">
        <f>IFERROR(VLOOKUP("47mg LP - EU Stock",Controls!A:J,6,0),3)</f>
        <v>3</v>
      </c>
      <c r="R2175" s="21" t="str">
        <f>IFERROR(VLOOKUP("47mg LP - EU Stock",Controls!A:K,10,0),"")</f>
        <v>Patheon (L&amp;P EU)</v>
      </c>
      <c r="S2175" s="41">
        <f t="shared" si="260"/>
        <v>46631</v>
      </c>
      <c r="T2175" s="30">
        <f t="shared" si="261"/>
        <v>0</v>
      </c>
      <c r="W2175" s="205" t="str" cm="1">
        <f t="array" ref="W2175">IF(22&lt;Controls!$B$7,TEXT(INDEX(A2153:A2331,MATCH(Controls!$B$5,A2153:A2331,1)+22),"MMM-YY"),"")</f>
        <v/>
      </c>
      <c r="X2175" t="str" cm="1">
        <f t="array" ref="X2175">IF(22&lt;Controls!$B$7,INDEX(F2153:F2331,MATCH(Controls!$B$5,A2153:A2331,1)+22),"")</f>
        <v/>
      </c>
      <c r="Y2175" t="str" cm="1">
        <f t="array" ref="Y2175">IF(22&lt;Controls!$B$7,INDEX(G2153:G2331,MATCH(Controls!$B$5,A2153:A2331,1)+22),"")</f>
        <v/>
      </c>
      <c r="Z2175" t="str" cm="1">
        <f t="array" ref="Z2175">IF(22&lt;Controls!$B$7,INDEX(H2153:H2331,MATCH(Controls!$B$5,A2153:A2331,1)+22),"")</f>
        <v/>
      </c>
      <c r="AA2175" t="str" cm="1">
        <f t="array" ref="AA2175">IF(22&lt;Controls!$B$7,INDEX(M2153:M2331,MATCH(Controls!$B$5,A2153:A2331,1)+22)*INDEX(I2153:I2331,MATCH(Controls!$B$5,A2153:A2331,1)+22),"")</f>
        <v/>
      </c>
      <c r="AB2175">
        <f t="shared" si="255"/>
        <v>0</v>
      </c>
    </row>
    <row r="2176" spans="1:28" x14ac:dyDescent="0.35">
      <c r="A2176" s="153">
        <v>46753</v>
      </c>
      <c r="B2176" s="155" t="s">
        <v>960</v>
      </c>
      <c r="C2176" s="15" t="s">
        <v>28</v>
      </c>
      <c r="D2176" s="15" t="s">
        <v>29</v>
      </c>
      <c r="E2176" s="199">
        <f>H2175</f>
        <v>0</v>
      </c>
      <c r="F2176" s="199">
        <f>IFERROR(SUMIFS('Demand Inputs'!$AC$5:$AC$202,'Demand Inputs'!$A$5:$A$202,"47mg LP - EU Stock",'Demand Inputs'!$B$5:$B$202,"&lt;&gt;AGGREGATE",'Demand Inputs'!$E$5:$E$202,1),0)</f>
        <v>0</v>
      </c>
      <c r="G2176" s="199" cm="1">
        <f t="array" ref="G2176">IFERROR(SUMPRODUCT(('Production Inputs'!$A:$A="47mg LP - EU Stock")*('Production Inputs'!$B:$B="TOTAL ACTIVE")*'Production Inputs'!$AI:$AI),0)</f>
        <v>0</v>
      </c>
      <c r="H2176" s="199">
        <f t="shared" si="256"/>
        <v>0</v>
      </c>
      <c r="I2176" s="30">
        <f ca="1">IFERROR(AVERAGEIF(OFFSET(F2176,0,0,MIN(Controls!$B$8,COUNTIF(B2176:B$2331,B2176)),1),"&gt;"&amp;0),0)</f>
        <v>0</v>
      </c>
      <c r="J2176" s="38">
        <f t="shared" ca="1" si="257"/>
        <v>0</v>
      </c>
      <c r="K2176" s="30">
        <f t="shared" ca="1" si="258"/>
        <v>0</v>
      </c>
      <c r="L2176" t="str">
        <f t="shared" si="259"/>
        <v>High</v>
      </c>
      <c r="M2176" s="39">
        <f>IFERROR(VLOOKUP("47mg LP - EU Stock",Controls!A:I,7,0),6)</f>
        <v>9</v>
      </c>
      <c r="N2176" s="39">
        <f>IFERROR(VLOOKUP("47mg LP - EU Stock",Controls!A:I,8,0),3)</f>
        <v>8</v>
      </c>
      <c r="O2176" s="39">
        <f>IFERROR(VLOOKUP("47mg LP - EU Stock",Controls!A:I,9,0),18)</f>
        <v>18</v>
      </c>
      <c r="P2176" s="40">
        <f>IFERROR(VLOOKUP("47mg LP - EU Stock",Controls!A:J,5,0),0)</f>
        <v>10000</v>
      </c>
      <c r="Q2176" s="39">
        <f>IFERROR(VLOOKUP("47mg LP - EU Stock",Controls!A:J,6,0),3)</f>
        <v>3</v>
      </c>
      <c r="R2176" s="21" t="str">
        <f>IFERROR(VLOOKUP("47mg LP - EU Stock",Controls!A:K,10,0),"")</f>
        <v>Patheon (L&amp;P EU)</v>
      </c>
      <c r="S2176" s="41">
        <f t="shared" si="260"/>
        <v>46661</v>
      </c>
      <c r="T2176" s="30">
        <f t="shared" si="261"/>
        <v>0</v>
      </c>
      <c r="W2176" s="205" t="str" cm="1">
        <f t="array" ref="W2176">IF(23&lt;Controls!$B$7,TEXT(INDEX(A2153:A2331,MATCH(Controls!$B$5,A2153:A2331,1)+23),"MMM-YY"),"")</f>
        <v/>
      </c>
      <c r="X2176" t="str" cm="1">
        <f t="array" ref="X2176">IF(23&lt;Controls!$B$7,INDEX(F2153:F2331,MATCH(Controls!$B$5,A2153:A2331,1)+23),"")</f>
        <v/>
      </c>
      <c r="Y2176" t="str" cm="1">
        <f t="array" ref="Y2176">IF(23&lt;Controls!$B$7,INDEX(G2153:G2331,MATCH(Controls!$B$5,A2153:A2331,1)+23),"")</f>
        <v/>
      </c>
      <c r="Z2176" t="str" cm="1">
        <f t="array" ref="Z2176">IF(23&lt;Controls!$B$7,INDEX(H2153:H2331,MATCH(Controls!$B$5,A2153:A2331,1)+23),"")</f>
        <v/>
      </c>
      <c r="AA2176" t="str" cm="1">
        <f t="array" ref="AA2176">IF(23&lt;Controls!$B$7,INDEX(M2153:M2331,MATCH(Controls!$B$5,A2153:A2331,1)+23)*INDEX(I2153:I2331,MATCH(Controls!$B$5,A2153:A2331,1)+23),"")</f>
        <v/>
      </c>
      <c r="AB2176">
        <f t="shared" si="255"/>
        <v>0</v>
      </c>
    </row>
    <row r="2177" spans="1:28" x14ac:dyDescent="0.35">
      <c r="A2177" s="153">
        <v>46784</v>
      </c>
      <c r="B2177" s="155" t="s">
        <v>960</v>
      </c>
      <c r="C2177" s="15" t="s">
        <v>28</v>
      </c>
      <c r="D2177" s="15" t="s">
        <v>29</v>
      </c>
      <c r="E2177" s="199">
        <f>H2176</f>
        <v>0</v>
      </c>
      <c r="F2177" s="199">
        <f>IFERROR(SUMIFS('Demand Inputs'!$AD$5:$AD$202,'Demand Inputs'!$A$5:$A$202,"47mg LP - EU Stock",'Demand Inputs'!$B$5:$B$202,"&lt;&gt;AGGREGATE",'Demand Inputs'!$E$5:$E$202,1),0)</f>
        <v>0</v>
      </c>
      <c r="G2177" s="199" cm="1">
        <f t="array" ref="G2177">IFERROR(SUMPRODUCT(('Production Inputs'!$A:$A="47mg LP - EU Stock")*('Production Inputs'!$B:$B="TOTAL ACTIVE")*'Production Inputs'!$AJ:$AJ),0)</f>
        <v>0</v>
      </c>
      <c r="H2177" s="199">
        <f t="shared" si="256"/>
        <v>0</v>
      </c>
      <c r="I2177" s="30">
        <f ca="1">IFERROR(AVERAGEIF(OFFSET(F2177,0,0,MIN(Controls!$B$8,COUNTIF(B2177:B$2331,B2177)),1),"&gt;"&amp;0),0)</f>
        <v>0</v>
      </c>
      <c r="J2177" s="38">
        <f t="shared" ca="1" si="257"/>
        <v>0</v>
      </c>
      <c r="K2177" s="30">
        <f t="shared" ca="1" si="258"/>
        <v>0</v>
      </c>
      <c r="L2177" t="str">
        <f t="shared" si="259"/>
        <v>High</v>
      </c>
      <c r="M2177" s="39">
        <f>IFERROR(VLOOKUP("47mg LP - EU Stock",Controls!A:I,7,0),6)</f>
        <v>9</v>
      </c>
      <c r="N2177" s="39">
        <f>IFERROR(VLOOKUP("47mg LP - EU Stock",Controls!A:I,8,0),3)</f>
        <v>8</v>
      </c>
      <c r="O2177" s="39">
        <f>IFERROR(VLOOKUP("47mg LP - EU Stock",Controls!A:I,9,0),18)</f>
        <v>18</v>
      </c>
      <c r="P2177" s="40">
        <f>IFERROR(VLOOKUP("47mg LP - EU Stock",Controls!A:J,5,0),0)</f>
        <v>10000</v>
      </c>
      <c r="Q2177" s="39">
        <f>IFERROR(VLOOKUP("47mg LP - EU Stock",Controls!A:J,6,0),3)</f>
        <v>3</v>
      </c>
      <c r="R2177" s="21" t="str">
        <f>IFERROR(VLOOKUP("47mg LP - EU Stock",Controls!A:K,10,0),"")</f>
        <v>Patheon (L&amp;P EU)</v>
      </c>
      <c r="S2177" s="41">
        <f t="shared" si="260"/>
        <v>46692</v>
      </c>
      <c r="T2177" s="30">
        <f t="shared" si="261"/>
        <v>0</v>
      </c>
      <c r="W2177" s="205" t="str" cm="1">
        <f t="array" ref="W2177">IF(24&lt;Controls!$B$7,TEXT(INDEX(A2153:A2331,MATCH(Controls!$B$5,A2153:A2331,1)+24),"MMM-YY"),"")</f>
        <v/>
      </c>
      <c r="X2177" t="str" cm="1">
        <f t="array" ref="X2177">IF(24&lt;Controls!$B$7,INDEX(F2153:F2331,MATCH(Controls!$B$5,A2153:A2331,1)+24),"")</f>
        <v/>
      </c>
      <c r="Y2177" t="str" cm="1">
        <f t="array" ref="Y2177">IF(24&lt;Controls!$B$7,INDEX(G2153:G2331,MATCH(Controls!$B$5,A2153:A2331,1)+24),"")</f>
        <v/>
      </c>
      <c r="Z2177" t="str" cm="1">
        <f t="array" ref="Z2177">IF(24&lt;Controls!$B$7,INDEX(H2153:H2331,MATCH(Controls!$B$5,A2153:A2331,1)+24),"")</f>
        <v/>
      </c>
      <c r="AA2177" t="str" cm="1">
        <f t="array" ref="AA2177">IF(24&lt;Controls!$B$7,INDEX(M2153:M2331,MATCH(Controls!$B$5,A2153:A2331,1)+24)*INDEX(I2153:I2331,MATCH(Controls!$B$5,A2153:A2331,1)+24),"")</f>
        <v/>
      </c>
      <c r="AB2177">
        <f t="shared" si="255"/>
        <v>0</v>
      </c>
    </row>
    <row r="2178" spans="1:28" x14ac:dyDescent="0.35">
      <c r="A2178" s="153">
        <v>46813</v>
      </c>
      <c r="B2178" s="155" t="s">
        <v>960</v>
      </c>
      <c r="C2178" s="15" t="s">
        <v>28</v>
      </c>
      <c r="D2178" s="15" t="s">
        <v>29</v>
      </c>
      <c r="E2178" s="199">
        <f>H2177</f>
        <v>0</v>
      </c>
      <c r="F2178" s="199">
        <f>IFERROR(SUMIFS('Demand Inputs'!$AE$5:$AE$202,'Demand Inputs'!$A$5:$A$202,"47mg LP - EU Stock",'Demand Inputs'!$B$5:$B$202,"&lt;&gt;AGGREGATE",'Demand Inputs'!$E$5:$E$202,1),0)</f>
        <v>0</v>
      </c>
      <c r="G2178" s="199" cm="1">
        <f t="array" ref="G2178">IFERROR(SUMPRODUCT(('Production Inputs'!$A:$A="47mg LP - EU Stock")*('Production Inputs'!$B:$B="TOTAL ACTIVE")*'Production Inputs'!$AK:$AK),0)</f>
        <v>0</v>
      </c>
      <c r="H2178" s="199">
        <f t="shared" si="256"/>
        <v>0</v>
      </c>
      <c r="I2178" s="30">
        <f ca="1">IFERROR(AVERAGEIF(OFFSET(F2178,0,0,MIN(Controls!$B$8,COUNTIF(B2178:B$2331,B2178)),1),"&gt;"&amp;0),0)</f>
        <v>0</v>
      </c>
      <c r="J2178" s="38">
        <f t="shared" ca="1" si="257"/>
        <v>0</v>
      </c>
      <c r="K2178" s="30">
        <f t="shared" ca="1" si="258"/>
        <v>0</v>
      </c>
      <c r="L2178" t="str">
        <f t="shared" si="259"/>
        <v>High</v>
      </c>
      <c r="M2178" s="39">
        <f>IFERROR(VLOOKUP("47mg LP - EU Stock",Controls!A:I,7,0),6)</f>
        <v>9</v>
      </c>
      <c r="N2178" s="39">
        <f>IFERROR(VLOOKUP("47mg LP - EU Stock",Controls!A:I,8,0),3)</f>
        <v>8</v>
      </c>
      <c r="O2178" s="39">
        <f>IFERROR(VLOOKUP("47mg LP - EU Stock",Controls!A:I,9,0),18)</f>
        <v>18</v>
      </c>
      <c r="P2178" s="40">
        <f>IFERROR(VLOOKUP("47mg LP - EU Stock",Controls!A:J,5,0),0)</f>
        <v>10000</v>
      </c>
      <c r="Q2178" s="39">
        <f>IFERROR(VLOOKUP("47mg LP - EU Stock",Controls!A:J,6,0),3)</f>
        <v>3</v>
      </c>
      <c r="R2178" s="21" t="str">
        <f>IFERROR(VLOOKUP("47mg LP - EU Stock",Controls!A:K,10,0),"")</f>
        <v>Patheon (L&amp;P EU)</v>
      </c>
      <c r="S2178" s="41">
        <f t="shared" si="260"/>
        <v>46722</v>
      </c>
      <c r="T2178" s="30">
        <f t="shared" si="261"/>
        <v>0</v>
      </c>
      <c r="W2178" s="205" t="str" cm="1">
        <f t="array" ref="W2178">IF(25&lt;Controls!$B$7,TEXT(INDEX(A2153:A2331,MATCH(Controls!$B$5,A2153:A2331,1)+25),"MMM-YY"),"")</f>
        <v/>
      </c>
      <c r="X2178" t="str" cm="1">
        <f t="array" ref="X2178">IF(25&lt;Controls!$B$7,INDEX(F2153:F2331,MATCH(Controls!$B$5,A2153:A2331,1)+25),"")</f>
        <v/>
      </c>
      <c r="Y2178" t="str" cm="1">
        <f t="array" ref="Y2178">IF(25&lt;Controls!$B$7,INDEX(G2153:G2331,MATCH(Controls!$B$5,A2153:A2331,1)+25),"")</f>
        <v/>
      </c>
      <c r="Z2178" t="str" cm="1">
        <f t="array" ref="Z2178">IF(25&lt;Controls!$B$7,INDEX(H2153:H2331,MATCH(Controls!$B$5,A2153:A2331,1)+25),"")</f>
        <v/>
      </c>
      <c r="AA2178" t="str" cm="1">
        <f t="array" ref="AA2178">IF(25&lt;Controls!$B$7,INDEX(M2153:M2331,MATCH(Controls!$B$5,A2153:A2331,1)+25)*INDEX(I2153:I2331,MATCH(Controls!$B$5,A2153:A2331,1)+25),"")</f>
        <v/>
      </c>
      <c r="AB2178">
        <f t="shared" si="255"/>
        <v>0</v>
      </c>
    </row>
    <row r="2179" spans="1:28" x14ac:dyDescent="0.35">
      <c r="A2179" s="153">
        <v>46844</v>
      </c>
      <c r="B2179" s="155" t="s">
        <v>960</v>
      </c>
      <c r="C2179" s="15" t="s">
        <v>28</v>
      </c>
      <c r="D2179" s="15" t="s">
        <v>29</v>
      </c>
      <c r="E2179" s="199">
        <f>H2178</f>
        <v>0</v>
      </c>
      <c r="F2179" s="199">
        <f>IFERROR(SUMIFS('Demand Inputs'!$AF$5:$AF$202,'Demand Inputs'!$A$5:$A$202,"47mg LP - EU Stock",'Demand Inputs'!$B$5:$B$202,"&lt;&gt;AGGREGATE",'Demand Inputs'!$E$5:$E$202,1),0)</f>
        <v>0</v>
      </c>
      <c r="G2179" s="199" cm="1">
        <f t="array" ref="G2179">IFERROR(SUMPRODUCT(('Production Inputs'!$A:$A="47mg LP - EU Stock")*('Production Inputs'!$B:$B="TOTAL ACTIVE")*'Production Inputs'!$AL:$AL),0)</f>
        <v>0</v>
      </c>
      <c r="H2179" s="199">
        <f t="shared" si="256"/>
        <v>0</v>
      </c>
      <c r="I2179" s="30">
        <f ca="1">IFERROR(AVERAGEIF(OFFSET(F2179,0,0,MIN(Controls!$B$8,COUNTIF(B2179:B$2331,B2179)),1),"&gt;"&amp;0),0)</f>
        <v>0</v>
      </c>
      <c r="J2179" s="38">
        <f t="shared" ca="1" si="257"/>
        <v>0</v>
      </c>
      <c r="K2179" s="30">
        <f t="shared" ca="1" si="258"/>
        <v>0</v>
      </c>
      <c r="L2179" t="str">
        <f t="shared" si="259"/>
        <v>High</v>
      </c>
      <c r="M2179" s="39">
        <f>IFERROR(VLOOKUP("47mg LP - EU Stock",Controls!A:I,7,0),6)</f>
        <v>9</v>
      </c>
      <c r="N2179" s="39">
        <f>IFERROR(VLOOKUP("47mg LP - EU Stock",Controls!A:I,8,0),3)</f>
        <v>8</v>
      </c>
      <c r="O2179" s="39">
        <f>IFERROR(VLOOKUP("47mg LP - EU Stock",Controls!A:I,9,0),18)</f>
        <v>18</v>
      </c>
      <c r="P2179" s="40">
        <f>IFERROR(VLOOKUP("47mg LP - EU Stock",Controls!A:J,5,0),0)</f>
        <v>10000</v>
      </c>
      <c r="Q2179" s="39">
        <f>IFERROR(VLOOKUP("47mg LP - EU Stock",Controls!A:J,6,0),3)</f>
        <v>3</v>
      </c>
      <c r="R2179" s="21" t="str">
        <f>IFERROR(VLOOKUP("47mg LP - EU Stock",Controls!A:K,10,0),"")</f>
        <v>Patheon (L&amp;P EU)</v>
      </c>
      <c r="S2179" s="41">
        <f t="shared" si="260"/>
        <v>46753</v>
      </c>
      <c r="T2179" s="30">
        <f t="shared" si="261"/>
        <v>0</v>
      </c>
      <c r="W2179" s="205" t="str" cm="1">
        <f t="array" ref="W2179">IF(26&lt;Controls!$B$7,TEXT(INDEX(A2153:A2331,MATCH(Controls!$B$5,A2153:A2331,1)+26),"MMM-YY"),"")</f>
        <v/>
      </c>
      <c r="X2179" t="str" cm="1">
        <f t="array" ref="X2179">IF(26&lt;Controls!$B$7,INDEX(F2153:F2331,MATCH(Controls!$B$5,A2153:A2331,1)+26),"")</f>
        <v/>
      </c>
      <c r="Y2179" t="str" cm="1">
        <f t="array" ref="Y2179">IF(26&lt;Controls!$B$7,INDEX(G2153:G2331,MATCH(Controls!$B$5,A2153:A2331,1)+26),"")</f>
        <v/>
      </c>
      <c r="Z2179" t="str" cm="1">
        <f t="array" ref="Z2179">IF(26&lt;Controls!$B$7,INDEX(H2153:H2331,MATCH(Controls!$B$5,A2153:A2331,1)+26),"")</f>
        <v/>
      </c>
      <c r="AA2179" t="str" cm="1">
        <f t="array" ref="AA2179">IF(26&lt;Controls!$B$7,INDEX(M2153:M2331,MATCH(Controls!$B$5,A2153:A2331,1)+26)*INDEX(I2153:I2331,MATCH(Controls!$B$5,A2153:A2331,1)+26),"")</f>
        <v/>
      </c>
      <c r="AB2179">
        <f t="shared" si="255"/>
        <v>0</v>
      </c>
    </row>
    <row r="2180" spans="1:28" x14ac:dyDescent="0.35">
      <c r="A2180" s="153">
        <v>46874</v>
      </c>
      <c r="B2180" s="155" t="s">
        <v>960</v>
      </c>
      <c r="C2180" s="15" t="s">
        <v>28</v>
      </c>
      <c r="D2180" s="15" t="s">
        <v>29</v>
      </c>
      <c r="E2180" s="199">
        <f>H2179</f>
        <v>0</v>
      </c>
      <c r="F2180" s="199">
        <f>IFERROR(SUMIFS('Demand Inputs'!$AG$5:$AG$202,'Demand Inputs'!$A$5:$A$202,"47mg LP - EU Stock",'Demand Inputs'!$B$5:$B$202,"&lt;&gt;AGGREGATE",'Demand Inputs'!$E$5:$E$202,1),0)</f>
        <v>0</v>
      </c>
      <c r="G2180" s="199" cm="1">
        <f t="array" ref="G2180">IFERROR(SUMPRODUCT(('Production Inputs'!$A:$A="47mg LP - EU Stock")*('Production Inputs'!$B:$B="TOTAL ACTIVE")*'Production Inputs'!$AM:$AM),0)</f>
        <v>0</v>
      </c>
      <c r="H2180" s="199">
        <f t="shared" si="256"/>
        <v>0</v>
      </c>
      <c r="I2180" s="30">
        <f ca="1">IFERROR(AVERAGEIF(OFFSET(F2180,0,0,MIN(Controls!$B$8,COUNTIF(B2180:B$2331,B2180)),1),"&gt;"&amp;0),0)</f>
        <v>0</v>
      </c>
      <c r="J2180" s="38">
        <f t="shared" ca="1" si="257"/>
        <v>0</v>
      </c>
      <c r="K2180" s="30">
        <f t="shared" ca="1" si="258"/>
        <v>0</v>
      </c>
      <c r="L2180" t="str">
        <f t="shared" si="259"/>
        <v>High</v>
      </c>
      <c r="M2180" s="39">
        <f>IFERROR(VLOOKUP("47mg LP - EU Stock",Controls!A:I,7,0),6)</f>
        <v>9</v>
      </c>
      <c r="N2180" s="39">
        <f>IFERROR(VLOOKUP("47mg LP - EU Stock",Controls!A:I,8,0),3)</f>
        <v>8</v>
      </c>
      <c r="O2180" s="39">
        <f>IFERROR(VLOOKUP("47mg LP - EU Stock",Controls!A:I,9,0),18)</f>
        <v>18</v>
      </c>
      <c r="P2180" s="40">
        <f>IFERROR(VLOOKUP("47mg LP - EU Stock",Controls!A:J,5,0),0)</f>
        <v>10000</v>
      </c>
      <c r="Q2180" s="39">
        <f>IFERROR(VLOOKUP("47mg LP - EU Stock",Controls!A:J,6,0),3)</f>
        <v>3</v>
      </c>
      <c r="R2180" s="21" t="str">
        <f>IFERROR(VLOOKUP("47mg LP - EU Stock",Controls!A:K,10,0),"")</f>
        <v>Patheon (L&amp;P EU)</v>
      </c>
      <c r="S2180" s="41">
        <f t="shared" si="260"/>
        <v>46784</v>
      </c>
      <c r="T2180" s="30">
        <f t="shared" si="261"/>
        <v>0</v>
      </c>
      <c r="W2180" s="205" t="str" cm="1">
        <f t="array" ref="W2180">IF(27&lt;Controls!$B$7,TEXT(INDEX(A2153:A2331,MATCH(Controls!$B$5,A2153:A2331,1)+27),"MMM-YY"),"")</f>
        <v/>
      </c>
      <c r="X2180" t="str" cm="1">
        <f t="array" ref="X2180">IF(27&lt;Controls!$B$7,INDEX(F2153:F2331,MATCH(Controls!$B$5,A2153:A2331,1)+27),"")</f>
        <v/>
      </c>
      <c r="Y2180" t="str" cm="1">
        <f t="array" ref="Y2180">IF(27&lt;Controls!$B$7,INDEX(G2153:G2331,MATCH(Controls!$B$5,A2153:A2331,1)+27),"")</f>
        <v/>
      </c>
      <c r="Z2180" t="str" cm="1">
        <f t="array" ref="Z2180">IF(27&lt;Controls!$B$7,INDEX(H2153:H2331,MATCH(Controls!$B$5,A2153:A2331,1)+27),"")</f>
        <v/>
      </c>
      <c r="AA2180" t="str" cm="1">
        <f t="array" ref="AA2180">IF(27&lt;Controls!$B$7,INDEX(M2153:M2331,MATCH(Controls!$B$5,A2153:A2331,1)+27)*INDEX(I2153:I2331,MATCH(Controls!$B$5,A2153:A2331,1)+27),"")</f>
        <v/>
      </c>
      <c r="AB2180">
        <f t="shared" si="255"/>
        <v>0</v>
      </c>
    </row>
    <row r="2181" spans="1:28" x14ac:dyDescent="0.35">
      <c r="A2181" s="153">
        <v>46905</v>
      </c>
      <c r="B2181" s="155" t="s">
        <v>960</v>
      </c>
      <c r="C2181" s="15" t="s">
        <v>28</v>
      </c>
      <c r="D2181" s="15" t="s">
        <v>29</v>
      </c>
      <c r="E2181" s="199">
        <f>H2180</f>
        <v>0</v>
      </c>
      <c r="F2181" s="199">
        <f>IFERROR(SUMIFS('Demand Inputs'!$AH$5:$AH$202,'Demand Inputs'!$A$5:$A$202,"47mg LP - EU Stock",'Demand Inputs'!$B$5:$B$202,"&lt;&gt;AGGREGATE",'Demand Inputs'!$E$5:$E$202,1),0)</f>
        <v>0</v>
      </c>
      <c r="G2181" s="199" cm="1">
        <f t="array" ref="G2181">IFERROR(SUMPRODUCT(('Production Inputs'!$A:$A="47mg LP - EU Stock")*('Production Inputs'!$B:$B="TOTAL ACTIVE")*'Production Inputs'!$AN:$AN),0)</f>
        <v>0</v>
      </c>
      <c r="H2181" s="199">
        <f t="shared" si="256"/>
        <v>0</v>
      </c>
      <c r="I2181" s="30">
        <f ca="1">IFERROR(AVERAGEIF(OFFSET(F2181,0,0,MIN(Controls!$B$8,COUNTIF(B2181:B$2331,B2181)),1),"&gt;"&amp;0),0)</f>
        <v>0</v>
      </c>
      <c r="J2181" s="38">
        <f t="shared" ca="1" si="257"/>
        <v>0</v>
      </c>
      <c r="K2181" s="30">
        <f t="shared" ca="1" si="258"/>
        <v>0</v>
      </c>
      <c r="L2181" t="str">
        <f t="shared" si="259"/>
        <v>High</v>
      </c>
      <c r="M2181" s="39">
        <f>IFERROR(VLOOKUP("47mg LP - EU Stock",Controls!A:I,7,0),6)</f>
        <v>9</v>
      </c>
      <c r="N2181" s="39">
        <f>IFERROR(VLOOKUP("47mg LP - EU Stock",Controls!A:I,8,0),3)</f>
        <v>8</v>
      </c>
      <c r="O2181" s="39">
        <f>IFERROR(VLOOKUP("47mg LP - EU Stock",Controls!A:I,9,0),18)</f>
        <v>18</v>
      </c>
      <c r="P2181" s="40">
        <f>IFERROR(VLOOKUP("47mg LP - EU Stock",Controls!A:J,5,0),0)</f>
        <v>10000</v>
      </c>
      <c r="Q2181" s="39">
        <f>IFERROR(VLOOKUP("47mg LP - EU Stock",Controls!A:J,6,0),3)</f>
        <v>3</v>
      </c>
      <c r="R2181" s="21" t="str">
        <f>IFERROR(VLOOKUP("47mg LP - EU Stock",Controls!A:K,10,0),"")</f>
        <v>Patheon (L&amp;P EU)</v>
      </c>
      <c r="S2181" s="41">
        <f t="shared" si="260"/>
        <v>46813</v>
      </c>
      <c r="T2181" s="30">
        <f t="shared" si="261"/>
        <v>0</v>
      </c>
      <c r="W2181" s="205" t="str" cm="1">
        <f t="array" ref="W2181">IF(28&lt;Controls!$B$7,TEXT(INDEX(A2153:A2331,MATCH(Controls!$B$5,A2153:A2331,1)+28),"MMM-YY"),"")</f>
        <v/>
      </c>
      <c r="X2181" t="str" cm="1">
        <f t="array" ref="X2181">IF(28&lt;Controls!$B$7,INDEX(F2153:F2331,MATCH(Controls!$B$5,A2153:A2331,1)+28),"")</f>
        <v/>
      </c>
      <c r="Y2181" t="str" cm="1">
        <f t="array" ref="Y2181">IF(28&lt;Controls!$B$7,INDEX(G2153:G2331,MATCH(Controls!$B$5,A2153:A2331,1)+28),"")</f>
        <v/>
      </c>
      <c r="Z2181" t="str" cm="1">
        <f t="array" ref="Z2181">IF(28&lt;Controls!$B$7,INDEX(H2153:H2331,MATCH(Controls!$B$5,A2153:A2331,1)+28),"")</f>
        <v/>
      </c>
      <c r="AA2181" t="str" cm="1">
        <f t="array" ref="AA2181">IF(28&lt;Controls!$B$7,INDEX(M2153:M2331,MATCH(Controls!$B$5,A2153:A2331,1)+28)*INDEX(I2153:I2331,MATCH(Controls!$B$5,A2153:A2331,1)+28),"")</f>
        <v/>
      </c>
      <c r="AB2181">
        <f t="shared" ref="AB2181:AB2244" si="262">SUMIFS($F$4:$F$2331,$B$4:$B$2331,B2181,$A$4:$A$2331,"&lt;="&amp;A2181)</f>
        <v>0</v>
      </c>
    </row>
    <row r="2182" spans="1:28" x14ac:dyDescent="0.35">
      <c r="A2182" s="153">
        <v>46935</v>
      </c>
      <c r="B2182" s="155" t="s">
        <v>960</v>
      </c>
      <c r="C2182" s="15" t="s">
        <v>28</v>
      </c>
      <c r="D2182" s="15" t="s">
        <v>29</v>
      </c>
      <c r="E2182" s="199">
        <f>H2181</f>
        <v>0</v>
      </c>
      <c r="F2182" s="199">
        <f>IFERROR(SUMIFS('Demand Inputs'!$AI$5:$AI$202,'Demand Inputs'!$A$5:$A$202,"47mg LP - EU Stock",'Demand Inputs'!$B$5:$B$202,"&lt;&gt;AGGREGATE",'Demand Inputs'!$E$5:$E$202,1),0)</f>
        <v>0</v>
      </c>
      <c r="G2182" s="199" cm="1">
        <f t="array" ref="G2182">IFERROR(SUMPRODUCT(('Production Inputs'!$A:$A="47mg LP - EU Stock")*('Production Inputs'!$B:$B="TOTAL ACTIVE")*'Production Inputs'!$AO:$AO),0)</f>
        <v>0</v>
      </c>
      <c r="H2182" s="199">
        <f t="shared" si="256"/>
        <v>0</v>
      </c>
      <c r="I2182" s="30">
        <f ca="1">IFERROR(AVERAGEIF(OFFSET(F2182,0,0,MIN(Controls!$B$8,COUNTIF(B2182:B$2331,B2182)),1),"&gt;"&amp;0),0)</f>
        <v>0</v>
      </c>
      <c r="J2182" s="38">
        <f t="shared" ca="1" si="257"/>
        <v>0</v>
      </c>
      <c r="K2182" s="30">
        <f t="shared" ca="1" si="258"/>
        <v>0</v>
      </c>
      <c r="L2182" t="str">
        <f t="shared" si="259"/>
        <v>High</v>
      </c>
      <c r="M2182" s="39">
        <f>IFERROR(VLOOKUP("47mg LP - EU Stock",Controls!A:I,7,0),6)</f>
        <v>9</v>
      </c>
      <c r="N2182" s="39">
        <f>IFERROR(VLOOKUP("47mg LP - EU Stock",Controls!A:I,8,0),3)</f>
        <v>8</v>
      </c>
      <c r="O2182" s="39">
        <f>IFERROR(VLOOKUP("47mg LP - EU Stock",Controls!A:I,9,0),18)</f>
        <v>18</v>
      </c>
      <c r="P2182" s="40">
        <f>IFERROR(VLOOKUP("47mg LP - EU Stock",Controls!A:J,5,0),0)</f>
        <v>10000</v>
      </c>
      <c r="Q2182" s="39">
        <f>IFERROR(VLOOKUP("47mg LP - EU Stock",Controls!A:J,6,0),3)</f>
        <v>3</v>
      </c>
      <c r="R2182" s="21" t="str">
        <f>IFERROR(VLOOKUP("47mg LP - EU Stock",Controls!A:K,10,0),"")</f>
        <v>Patheon (L&amp;P EU)</v>
      </c>
      <c r="S2182" s="41">
        <f t="shared" si="260"/>
        <v>46844</v>
      </c>
      <c r="T2182" s="30">
        <f t="shared" si="261"/>
        <v>0</v>
      </c>
      <c r="W2182" s="205" t="str" cm="1">
        <f t="array" ref="W2182">IF(29&lt;Controls!$B$7,TEXT(INDEX(A2153:A2331,MATCH(Controls!$B$5,A2153:A2331,1)+29),"MMM-YY"),"")</f>
        <v/>
      </c>
      <c r="X2182" t="str" cm="1">
        <f t="array" ref="X2182">IF(29&lt;Controls!$B$7,INDEX(F2153:F2331,MATCH(Controls!$B$5,A2153:A2331,1)+29),"")</f>
        <v/>
      </c>
      <c r="Y2182" t="str" cm="1">
        <f t="array" ref="Y2182">IF(29&lt;Controls!$B$7,INDEX(G2153:G2331,MATCH(Controls!$B$5,A2153:A2331,1)+29),"")</f>
        <v/>
      </c>
      <c r="Z2182" t="str" cm="1">
        <f t="array" ref="Z2182">IF(29&lt;Controls!$B$7,INDEX(H2153:H2331,MATCH(Controls!$B$5,A2153:A2331,1)+29),"")</f>
        <v/>
      </c>
      <c r="AA2182" t="str" cm="1">
        <f t="array" ref="AA2182">IF(29&lt;Controls!$B$7,INDEX(M2153:M2331,MATCH(Controls!$B$5,A2153:A2331,1)+29)*INDEX(I2153:I2331,MATCH(Controls!$B$5,A2153:A2331,1)+29),"")</f>
        <v/>
      </c>
      <c r="AB2182">
        <f t="shared" si="262"/>
        <v>0</v>
      </c>
    </row>
    <row r="2183" spans="1:28" x14ac:dyDescent="0.35">
      <c r="A2183" s="153">
        <v>46966</v>
      </c>
      <c r="B2183" s="155" t="s">
        <v>960</v>
      </c>
      <c r="C2183" s="15" t="s">
        <v>28</v>
      </c>
      <c r="D2183" s="15" t="s">
        <v>29</v>
      </c>
      <c r="E2183" s="199">
        <f>H2182</f>
        <v>0</v>
      </c>
      <c r="F2183" s="199">
        <f>IFERROR(SUMIFS('Demand Inputs'!$AJ$5:$AJ$202,'Demand Inputs'!$A$5:$A$202,"47mg LP - EU Stock",'Demand Inputs'!$B$5:$B$202,"&lt;&gt;AGGREGATE",'Demand Inputs'!$E$5:$E$202,1),0)</f>
        <v>0</v>
      </c>
      <c r="G2183" s="199" cm="1">
        <f t="array" ref="G2183">IFERROR(SUMPRODUCT(('Production Inputs'!$A:$A="47mg LP - EU Stock")*('Production Inputs'!$B:$B="TOTAL ACTIVE")*'Production Inputs'!$AP:$AP),0)</f>
        <v>0</v>
      </c>
      <c r="H2183" s="199">
        <f t="shared" si="256"/>
        <v>0</v>
      </c>
      <c r="I2183" s="30">
        <f ca="1">IFERROR(AVERAGEIF(OFFSET(F2183,0,0,MIN(Controls!$B$8,COUNTIF(B2183:B$2331,B2183)),1),"&gt;"&amp;0),0)</f>
        <v>0</v>
      </c>
      <c r="J2183" s="38">
        <f t="shared" ca="1" si="257"/>
        <v>0</v>
      </c>
      <c r="K2183" s="30">
        <f t="shared" ca="1" si="258"/>
        <v>0</v>
      </c>
      <c r="L2183" t="str">
        <f t="shared" si="259"/>
        <v>High</v>
      </c>
      <c r="M2183" s="39">
        <f>IFERROR(VLOOKUP("47mg LP - EU Stock",Controls!A:I,7,0),6)</f>
        <v>9</v>
      </c>
      <c r="N2183" s="39">
        <f>IFERROR(VLOOKUP("47mg LP - EU Stock",Controls!A:I,8,0),3)</f>
        <v>8</v>
      </c>
      <c r="O2183" s="39">
        <f>IFERROR(VLOOKUP("47mg LP - EU Stock",Controls!A:I,9,0),18)</f>
        <v>18</v>
      </c>
      <c r="P2183" s="40">
        <f>IFERROR(VLOOKUP("47mg LP - EU Stock",Controls!A:J,5,0),0)</f>
        <v>10000</v>
      </c>
      <c r="Q2183" s="39">
        <f>IFERROR(VLOOKUP("47mg LP - EU Stock",Controls!A:J,6,0),3)</f>
        <v>3</v>
      </c>
      <c r="R2183" s="21" t="str">
        <f>IFERROR(VLOOKUP("47mg LP - EU Stock",Controls!A:K,10,0),"")</f>
        <v>Patheon (L&amp;P EU)</v>
      </c>
      <c r="S2183" s="41">
        <f t="shared" si="260"/>
        <v>46874</v>
      </c>
      <c r="T2183" s="30">
        <f t="shared" si="261"/>
        <v>0</v>
      </c>
      <c r="W2183" s="205" t="str" cm="1">
        <f t="array" ref="W2183">IF(30&lt;Controls!$B$7,TEXT(INDEX(A2153:A2331,MATCH(Controls!$B$5,A2153:A2331,1)+30),"MMM-YY"),"")</f>
        <v/>
      </c>
      <c r="X2183" t="str" cm="1">
        <f t="array" ref="X2183">IF(30&lt;Controls!$B$7,INDEX(F2153:F2331,MATCH(Controls!$B$5,A2153:A2331,1)+30),"")</f>
        <v/>
      </c>
      <c r="Y2183" t="str" cm="1">
        <f t="array" ref="Y2183">IF(30&lt;Controls!$B$7,INDEX(G2153:G2331,MATCH(Controls!$B$5,A2153:A2331,1)+30),"")</f>
        <v/>
      </c>
      <c r="Z2183" t="str" cm="1">
        <f t="array" ref="Z2183">IF(30&lt;Controls!$B$7,INDEX(H2153:H2331,MATCH(Controls!$B$5,A2153:A2331,1)+30),"")</f>
        <v/>
      </c>
      <c r="AA2183" t="str" cm="1">
        <f t="array" ref="AA2183">IF(30&lt;Controls!$B$7,INDEX(M2153:M2331,MATCH(Controls!$B$5,A2153:A2331,1)+30)*INDEX(I2153:I2331,MATCH(Controls!$B$5,A2153:A2331,1)+30),"")</f>
        <v/>
      </c>
      <c r="AB2183">
        <f t="shared" si="262"/>
        <v>0</v>
      </c>
    </row>
    <row r="2184" spans="1:28" x14ac:dyDescent="0.35">
      <c r="A2184" s="153">
        <v>46997</v>
      </c>
      <c r="B2184" s="155" t="s">
        <v>960</v>
      </c>
      <c r="C2184" s="15" t="s">
        <v>28</v>
      </c>
      <c r="D2184" s="15" t="s">
        <v>29</v>
      </c>
      <c r="E2184" s="199">
        <f>H2183</f>
        <v>0</v>
      </c>
      <c r="F2184" s="199">
        <f>IFERROR(SUMIFS('Demand Inputs'!$AK$5:$AK$202,'Demand Inputs'!$A$5:$A$202,"47mg LP - EU Stock",'Demand Inputs'!$B$5:$B$202,"&lt;&gt;AGGREGATE",'Demand Inputs'!$E$5:$E$202,1),0)</f>
        <v>0</v>
      </c>
      <c r="G2184" s="199" cm="1">
        <f t="array" ref="G2184">IFERROR(SUMPRODUCT(('Production Inputs'!$A:$A="47mg LP - EU Stock")*('Production Inputs'!$B:$B="TOTAL ACTIVE")*'Production Inputs'!$AQ:$AQ),0)</f>
        <v>0</v>
      </c>
      <c r="H2184" s="199">
        <f t="shared" si="256"/>
        <v>0</v>
      </c>
      <c r="I2184" s="30">
        <f ca="1">IFERROR(AVERAGEIF(OFFSET(F2184,0,0,MIN(Controls!$B$8,COUNTIF(B2184:B$2331,B2184)),1),"&gt;"&amp;0),0)</f>
        <v>0</v>
      </c>
      <c r="J2184" s="38">
        <f t="shared" ca="1" si="257"/>
        <v>0</v>
      </c>
      <c r="K2184" s="30">
        <f t="shared" ca="1" si="258"/>
        <v>0</v>
      </c>
      <c r="L2184" t="str">
        <f t="shared" si="259"/>
        <v>High</v>
      </c>
      <c r="M2184" s="39">
        <f>IFERROR(VLOOKUP("47mg LP - EU Stock",Controls!A:I,7,0),6)</f>
        <v>9</v>
      </c>
      <c r="N2184" s="39">
        <f>IFERROR(VLOOKUP("47mg LP - EU Stock",Controls!A:I,8,0),3)</f>
        <v>8</v>
      </c>
      <c r="O2184" s="39">
        <f>IFERROR(VLOOKUP("47mg LP - EU Stock",Controls!A:I,9,0),18)</f>
        <v>18</v>
      </c>
      <c r="P2184" s="40">
        <f>IFERROR(VLOOKUP("47mg LP - EU Stock",Controls!A:J,5,0),0)</f>
        <v>10000</v>
      </c>
      <c r="Q2184" s="39">
        <f>IFERROR(VLOOKUP("47mg LP - EU Stock",Controls!A:J,6,0),3)</f>
        <v>3</v>
      </c>
      <c r="R2184" s="21" t="str">
        <f>IFERROR(VLOOKUP("47mg LP - EU Stock",Controls!A:K,10,0),"")</f>
        <v>Patheon (L&amp;P EU)</v>
      </c>
      <c r="S2184" s="41">
        <f t="shared" si="260"/>
        <v>46905</v>
      </c>
      <c r="T2184" s="30">
        <f t="shared" si="261"/>
        <v>0</v>
      </c>
      <c r="W2184" s="205" t="str" cm="1">
        <f t="array" ref="W2184">IF(31&lt;Controls!$B$7,TEXT(INDEX(A2153:A2331,MATCH(Controls!$B$5,A2153:A2331,1)+31),"MMM-YY"),"")</f>
        <v/>
      </c>
      <c r="X2184" t="str" cm="1">
        <f t="array" ref="X2184">IF(31&lt;Controls!$B$7,INDEX(F2153:F2331,MATCH(Controls!$B$5,A2153:A2331,1)+31),"")</f>
        <v/>
      </c>
      <c r="Y2184" t="str" cm="1">
        <f t="array" ref="Y2184">IF(31&lt;Controls!$B$7,INDEX(G2153:G2331,MATCH(Controls!$B$5,A2153:A2331,1)+31),"")</f>
        <v/>
      </c>
      <c r="Z2184" t="str" cm="1">
        <f t="array" ref="Z2184">IF(31&lt;Controls!$B$7,INDEX(H2153:H2331,MATCH(Controls!$B$5,A2153:A2331,1)+31),"")</f>
        <v/>
      </c>
      <c r="AA2184" t="str" cm="1">
        <f t="array" ref="AA2184">IF(31&lt;Controls!$B$7,INDEX(M2153:M2331,MATCH(Controls!$B$5,A2153:A2331,1)+31)*INDEX(I2153:I2331,MATCH(Controls!$B$5,A2153:A2331,1)+31),"")</f>
        <v/>
      </c>
      <c r="AB2184">
        <f t="shared" si="262"/>
        <v>0</v>
      </c>
    </row>
    <row r="2185" spans="1:28" x14ac:dyDescent="0.35">
      <c r="A2185" s="153">
        <v>47027</v>
      </c>
      <c r="B2185" s="155" t="s">
        <v>960</v>
      </c>
      <c r="C2185" s="15" t="s">
        <v>28</v>
      </c>
      <c r="D2185" s="15" t="s">
        <v>29</v>
      </c>
      <c r="E2185" s="199">
        <f>H2184</f>
        <v>0</v>
      </c>
      <c r="F2185" s="199">
        <f>IFERROR(SUMIFS('Demand Inputs'!$AL$5:$AL$202,'Demand Inputs'!$A$5:$A$202,"47mg LP - EU Stock",'Demand Inputs'!$B$5:$B$202,"&lt;&gt;AGGREGATE",'Demand Inputs'!$E$5:$E$202,1),0)</f>
        <v>0</v>
      </c>
      <c r="G2185" s="199" cm="1">
        <f t="array" ref="G2185">IFERROR(SUMPRODUCT(('Production Inputs'!$A:$A="47mg LP - EU Stock")*('Production Inputs'!$B:$B="TOTAL ACTIVE")*'Production Inputs'!$AR:$AR),0)</f>
        <v>0</v>
      </c>
      <c r="H2185" s="199">
        <f t="shared" si="256"/>
        <v>0</v>
      </c>
      <c r="I2185" s="30">
        <f ca="1">IFERROR(AVERAGEIF(OFFSET(F2185,0,0,MIN(Controls!$B$8,COUNTIF(B2185:B$2331,B2185)),1),"&gt;"&amp;0),0)</f>
        <v>0</v>
      </c>
      <c r="J2185" s="38">
        <f t="shared" ca="1" si="257"/>
        <v>0</v>
      </c>
      <c r="K2185" s="30">
        <f t="shared" ca="1" si="258"/>
        <v>0</v>
      </c>
      <c r="L2185" t="str">
        <f t="shared" si="259"/>
        <v>High</v>
      </c>
      <c r="M2185" s="39">
        <f>IFERROR(VLOOKUP("47mg LP - EU Stock",Controls!A:I,7,0),6)</f>
        <v>9</v>
      </c>
      <c r="N2185" s="39">
        <f>IFERROR(VLOOKUP("47mg LP - EU Stock",Controls!A:I,8,0),3)</f>
        <v>8</v>
      </c>
      <c r="O2185" s="39">
        <f>IFERROR(VLOOKUP("47mg LP - EU Stock",Controls!A:I,9,0),18)</f>
        <v>18</v>
      </c>
      <c r="P2185" s="40">
        <f>IFERROR(VLOOKUP("47mg LP - EU Stock",Controls!A:J,5,0),0)</f>
        <v>10000</v>
      </c>
      <c r="Q2185" s="39">
        <f>IFERROR(VLOOKUP("47mg LP - EU Stock",Controls!A:J,6,0),3)</f>
        <v>3</v>
      </c>
      <c r="R2185" s="21" t="str">
        <f>IFERROR(VLOOKUP("47mg LP - EU Stock",Controls!A:K,10,0),"")</f>
        <v>Patheon (L&amp;P EU)</v>
      </c>
      <c r="S2185" s="41">
        <f t="shared" si="260"/>
        <v>46935</v>
      </c>
      <c r="T2185" s="30">
        <f t="shared" si="261"/>
        <v>0</v>
      </c>
      <c r="W2185" s="205" t="str" cm="1">
        <f t="array" ref="W2185">IF(32&lt;Controls!$B$7,TEXT(INDEX(A2153:A2331,MATCH(Controls!$B$5,A2153:A2331,1)+32),"MMM-YY"),"")</f>
        <v/>
      </c>
      <c r="X2185" t="str" cm="1">
        <f t="array" ref="X2185">IF(32&lt;Controls!$B$7,INDEX(F2153:F2331,MATCH(Controls!$B$5,A2153:A2331,1)+32),"")</f>
        <v/>
      </c>
      <c r="Y2185" t="str" cm="1">
        <f t="array" ref="Y2185">IF(32&lt;Controls!$B$7,INDEX(G2153:G2331,MATCH(Controls!$B$5,A2153:A2331,1)+32),"")</f>
        <v/>
      </c>
      <c r="Z2185" t="str" cm="1">
        <f t="array" ref="Z2185">IF(32&lt;Controls!$B$7,INDEX(H2153:H2331,MATCH(Controls!$B$5,A2153:A2331,1)+32),"")</f>
        <v/>
      </c>
      <c r="AA2185" t="str" cm="1">
        <f t="array" ref="AA2185">IF(32&lt;Controls!$B$7,INDEX(M2153:M2331,MATCH(Controls!$B$5,A2153:A2331,1)+32)*INDEX(I2153:I2331,MATCH(Controls!$B$5,A2153:A2331,1)+32),"")</f>
        <v/>
      </c>
      <c r="AB2185">
        <f t="shared" si="262"/>
        <v>0</v>
      </c>
    </row>
    <row r="2186" spans="1:28" x14ac:dyDescent="0.35">
      <c r="A2186" s="153">
        <v>47058</v>
      </c>
      <c r="B2186" s="155" t="s">
        <v>960</v>
      </c>
      <c r="C2186" s="15" t="s">
        <v>28</v>
      </c>
      <c r="D2186" s="15" t="s">
        <v>29</v>
      </c>
      <c r="E2186" s="199">
        <f>H2185</f>
        <v>0</v>
      </c>
      <c r="F2186" s="199">
        <f>IFERROR(SUMIFS('Demand Inputs'!$AM$5:$AM$202,'Demand Inputs'!$A$5:$A$202,"47mg LP - EU Stock",'Demand Inputs'!$B$5:$B$202,"&lt;&gt;AGGREGATE",'Demand Inputs'!$E$5:$E$202,1),0)</f>
        <v>0</v>
      </c>
      <c r="G2186" s="199" cm="1">
        <f t="array" ref="G2186">IFERROR(SUMPRODUCT(('Production Inputs'!$A:$A="47mg LP - EU Stock")*('Production Inputs'!$B:$B="TOTAL ACTIVE")*'Production Inputs'!$AS:$AS),0)</f>
        <v>0</v>
      </c>
      <c r="H2186" s="199">
        <f t="shared" si="256"/>
        <v>0</v>
      </c>
      <c r="I2186" s="30">
        <f ca="1">IFERROR(AVERAGEIF(OFFSET(F2186,0,0,MIN(Controls!$B$8,COUNTIF(B2186:B$2331,B2186)),1),"&gt;"&amp;0),0)</f>
        <v>0</v>
      </c>
      <c r="J2186" s="38">
        <f t="shared" ca="1" si="257"/>
        <v>0</v>
      </c>
      <c r="K2186" s="30">
        <f t="shared" ca="1" si="258"/>
        <v>0</v>
      </c>
      <c r="L2186" t="str">
        <f t="shared" si="259"/>
        <v>High</v>
      </c>
      <c r="M2186" s="39">
        <f>IFERROR(VLOOKUP("47mg LP - EU Stock",Controls!A:I,7,0),6)</f>
        <v>9</v>
      </c>
      <c r="N2186" s="39">
        <f>IFERROR(VLOOKUP("47mg LP - EU Stock",Controls!A:I,8,0),3)</f>
        <v>8</v>
      </c>
      <c r="O2186" s="39">
        <f>IFERROR(VLOOKUP("47mg LP - EU Stock",Controls!A:I,9,0),18)</f>
        <v>18</v>
      </c>
      <c r="P2186" s="40">
        <f>IFERROR(VLOOKUP("47mg LP - EU Stock",Controls!A:J,5,0),0)</f>
        <v>10000</v>
      </c>
      <c r="Q2186" s="39">
        <f>IFERROR(VLOOKUP("47mg LP - EU Stock",Controls!A:J,6,0),3)</f>
        <v>3</v>
      </c>
      <c r="R2186" s="21" t="str">
        <f>IFERROR(VLOOKUP("47mg LP - EU Stock",Controls!A:K,10,0),"")</f>
        <v>Patheon (L&amp;P EU)</v>
      </c>
      <c r="S2186" s="41">
        <f t="shared" si="260"/>
        <v>46966</v>
      </c>
      <c r="T2186" s="30">
        <f t="shared" si="261"/>
        <v>0</v>
      </c>
      <c r="W2186" s="205" t="str" cm="1">
        <f t="array" ref="W2186">IF(33&lt;Controls!$B$7,TEXT(INDEX(A2153:A2331,MATCH(Controls!$B$5,A2153:A2331,1)+33),"MMM-YY"),"")</f>
        <v/>
      </c>
      <c r="X2186" t="str" cm="1">
        <f t="array" ref="X2186">IF(33&lt;Controls!$B$7,INDEX(F2153:F2331,MATCH(Controls!$B$5,A2153:A2331,1)+33),"")</f>
        <v/>
      </c>
      <c r="Y2186" t="str" cm="1">
        <f t="array" ref="Y2186">IF(33&lt;Controls!$B$7,INDEX(G2153:G2331,MATCH(Controls!$B$5,A2153:A2331,1)+33),"")</f>
        <v/>
      </c>
      <c r="Z2186" t="str" cm="1">
        <f t="array" ref="Z2186">IF(33&lt;Controls!$B$7,INDEX(H2153:H2331,MATCH(Controls!$B$5,A2153:A2331,1)+33),"")</f>
        <v/>
      </c>
      <c r="AA2186" t="str" cm="1">
        <f t="array" ref="AA2186">IF(33&lt;Controls!$B$7,INDEX(M2153:M2331,MATCH(Controls!$B$5,A2153:A2331,1)+33)*INDEX(I2153:I2331,MATCH(Controls!$B$5,A2153:A2331,1)+33),"")</f>
        <v/>
      </c>
      <c r="AB2186">
        <f t="shared" si="262"/>
        <v>0</v>
      </c>
    </row>
    <row r="2187" spans="1:28" x14ac:dyDescent="0.35">
      <c r="A2187" s="153">
        <v>47088</v>
      </c>
      <c r="B2187" s="155" t="s">
        <v>960</v>
      </c>
      <c r="C2187" s="15" t="s">
        <v>28</v>
      </c>
      <c r="D2187" s="15" t="s">
        <v>29</v>
      </c>
      <c r="E2187" s="199">
        <f>H2186</f>
        <v>0</v>
      </c>
      <c r="F2187" s="199">
        <f>IFERROR(SUMIFS('Demand Inputs'!$AN$5:$AN$202,'Demand Inputs'!$A$5:$A$202,"47mg LP - EU Stock",'Demand Inputs'!$B$5:$B$202,"&lt;&gt;AGGREGATE",'Demand Inputs'!$E$5:$E$202,1),0)</f>
        <v>0</v>
      </c>
      <c r="G2187" s="199" cm="1">
        <f t="array" ref="G2187">IFERROR(SUMPRODUCT(('Production Inputs'!$A:$A="47mg LP - EU Stock")*('Production Inputs'!$B:$B="TOTAL ACTIVE")*'Production Inputs'!$AT:$AT),0)</f>
        <v>0</v>
      </c>
      <c r="H2187" s="199">
        <f t="shared" si="256"/>
        <v>0</v>
      </c>
      <c r="I2187" s="30">
        <f ca="1">IFERROR(AVERAGEIF(OFFSET(F2187,0,0,MIN(Controls!$B$8,COUNTIF(B2187:B$2331,B2187)),1),"&gt;"&amp;0),0)</f>
        <v>0</v>
      </c>
      <c r="J2187" s="38">
        <f t="shared" ca="1" si="257"/>
        <v>0</v>
      </c>
      <c r="K2187" s="30">
        <f t="shared" ca="1" si="258"/>
        <v>0</v>
      </c>
      <c r="L2187" t="str">
        <f t="shared" si="259"/>
        <v>High</v>
      </c>
      <c r="M2187" s="39">
        <f>IFERROR(VLOOKUP("47mg LP - EU Stock",Controls!A:I,7,0),6)</f>
        <v>9</v>
      </c>
      <c r="N2187" s="39">
        <f>IFERROR(VLOOKUP("47mg LP - EU Stock",Controls!A:I,8,0),3)</f>
        <v>8</v>
      </c>
      <c r="O2187" s="39">
        <f>IFERROR(VLOOKUP("47mg LP - EU Stock",Controls!A:I,9,0),18)</f>
        <v>18</v>
      </c>
      <c r="P2187" s="40">
        <f>IFERROR(VLOOKUP("47mg LP - EU Stock",Controls!A:J,5,0),0)</f>
        <v>10000</v>
      </c>
      <c r="Q2187" s="39">
        <f>IFERROR(VLOOKUP("47mg LP - EU Stock",Controls!A:J,6,0),3)</f>
        <v>3</v>
      </c>
      <c r="R2187" s="21" t="str">
        <f>IFERROR(VLOOKUP("47mg LP - EU Stock",Controls!A:K,10,0),"")</f>
        <v>Patheon (L&amp;P EU)</v>
      </c>
      <c r="S2187" s="41">
        <f t="shared" si="260"/>
        <v>46997</v>
      </c>
      <c r="T2187" s="30">
        <f t="shared" si="261"/>
        <v>0</v>
      </c>
      <c r="W2187" s="205" t="str" cm="1">
        <f t="array" ref="W2187">IF(34&lt;Controls!$B$7,TEXT(INDEX(A2153:A2331,MATCH(Controls!$B$5,A2153:A2331,1)+34),"MMM-YY"),"")</f>
        <v/>
      </c>
      <c r="X2187" t="str" cm="1">
        <f t="array" ref="X2187">IF(34&lt;Controls!$B$7,INDEX(F2153:F2331,MATCH(Controls!$B$5,A2153:A2331,1)+34),"")</f>
        <v/>
      </c>
      <c r="Y2187" t="str" cm="1">
        <f t="array" ref="Y2187">IF(34&lt;Controls!$B$7,INDEX(G2153:G2331,MATCH(Controls!$B$5,A2153:A2331,1)+34),"")</f>
        <v/>
      </c>
      <c r="Z2187" t="str" cm="1">
        <f t="array" ref="Z2187">IF(34&lt;Controls!$B$7,INDEX(H2153:H2331,MATCH(Controls!$B$5,A2153:A2331,1)+34),"")</f>
        <v/>
      </c>
      <c r="AA2187" t="str" cm="1">
        <f t="array" ref="AA2187">IF(34&lt;Controls!$B$7,INDEX(M2153:M2331,MATCH(Controls!$B$5,A2153:A2331,1)+34)*INDEX(I2153:I2331,MATCH(Controls!$B$5,A2153:A2331,1)+34),"")</f>
        <v/>
      </c>
      <c r="AB2187">
        <f t="shared" si="262"/>
        <v>0</v>
      </c>
    </row>
    <row r="2188" spans="1:28" x14ac:dyDescent="0.35">
      <c r="A2188" s="153">
        <v>47119</v>
      </c>
      <c r="B2188" s="155" t="s">
        <v>960</v>
      </c>
      <c r="C2188" s="15" t="s">
        <v>28</v>
      </c>
      <c r="D2188" s="15" t="s">
        <v>29</v>
      </c>
      <c r="E2188" s="199">
        <f>H2187</f>
        <v>0</v>
      </c>
      <c r="F2188" s="199">
        <f>IFERROR(SUMIFS('Demand Inputs'!$AO$5:$AO$202,'Demand Inputs'!$A$5:$A$202,"47mg LP - EU Stock",'Demand Inputs'!$B$5:$B$202,"&lt;&gt;AGGREGATE",'Demand Inputs'!$E$5:$E$202,1),0)</f>
        <v>0</v>
      </c>
      <c r="G2188" s="199" cm="1">
        <f t="array" ref="G2188">IFERROR(SUMPRODUCT(('Production Inputs'!$A:$A="47mg LP - EU Stock")*('Production Inputs'!$B:$B="TOTAL ACTIVE")*'Production Inputs'!$AU:$AU),0)</f>
        <v>0</v>
      </c>
      <c r="H2188" s="199">
        <f t="shared" si="256"/>
        <v>0</v>
      </c>
      <c r="I2188" s="30">
        <f ca="1">IFERROR(AVERAGEIF(OFFSET(F2188,0,0,MIN(Controls!$B$8,COUNTIF(B2188:B$2331,B2188)),1),"&gt;"&amp;0),0)</f>
        <v>0</v>
      </c>
      <c r="J2188" s="38">
        <f t="shared" ca="1" si="257"/>
        <v>0</v>
      </c>
      <c r="K2188" s="30">
        <f t="shared" ca="1" si="258"/>
        <v>0</v>
      </c>
      <c r="L2188" t="str">
        <f t="shared" si="259"/>
        <v>High</v>
      </c>
      <c r="M2188" s="39">
        <f>IFERROR(VLOOKUP("47mg LP - EU Stock",Controls!A:I,7,0),6)</f>
        <v>9</v>
      </c>
      <c r="N2188" s="39">
        <f>IFERROR(VLOOKUP("47mg LP - EU Stock",Controls!A:I,8,0),3)</f>
        <v>8</v>
      </c>
      <c r="O2188" s="39">
        <f>IFERROR(VLOOKUP("47mg LP - EU Stock",Controls!A:I,9,0),18)</f>
        <v>18</v>
      </c>
      <c r="P2188" s="40">
        <f>IFERROR(VLOOKUP("47mg LP - EU Stock",Controls!A:J,5,0),0)</f>
        <v>10000</v>
      </c>
      <c r="Q2188" s="39">
        <f>IFERROR(VLOOKUP("47mg LP - EU Stock",Controls!A:J,6,0),3)</f>
        <v>3</v>
      </c>
      <c r="R2188" s="21" t="str">
        <f>IFERROR(VLOOKUP("47mg LP - EU Stock",Controls!A:K,10,0),"")</f>
        <v>Patheon (L&amp;P EU)</v>
      </c>
      <c r="S2188" s="41">
        <f t="shared" si="260"/>
        <v>47027</v>
      </c>
      <c r="T2188" s="30">
        <f t="shared" si="261"/>
        <v>0</v>
      </c>
      <c r="W2188" s="205" t="str" cm="1">
        <f t="array" ref="W2188">IF(35&lt;Controls!$B$7,TEXT(INDEX(A2153:A2331,MATCH(Controls!$B$5,A2153:A2331,1)+35),"MMM-YY"),"")</f>
        <v/>
      </c>
      <c r="X2188" t="str" cm="1">
        <f t="array" ref="X2188">IF(35&lt;Controls!$B$7,INDEX(F2153:F2331,MATCH(Controls!$B$5,A2153:A2331,1)+35),"")</f>
        <v/>
      </c>
      <c r="Y2188" t="str" cm="1">
        <f t="array" ref="Y2188">IF(35&lt;Controls!$B$7,INDEX(G2153:G2331,MATCH(Controls!$B$5,A2153:A2331,1)+35),"")</f>
        <v/>
      </c>
      <c r="Z2188" t="str" cm="1">
        <f t="array" ref="Z2188">IF(35&lt;Controls!$B$7,INDEX(H2153:H2331,MATCH(Controls!$B$5,A2153:A2331,1)+35),"")</f>
        <v/>
      </c>
      <c r="AA2188" t="str" cm="1">
        <f t="array" ref="AA2188">IF(35&lt;Controls!$B$7,INDEX(M2153:M2331,MATCH(Controls!$B$5,A2153:A2331,1)+35)*INDEX(I2153:I2331,MATCH(Controls!$B$5,A2153:A2331,1)+35),"")</f>
        <v/>
      </c>
      <c r="AB2188">
        <f t="shared" si="262"/>
        <v>0</v>
      </c>
    </row>
    <row r="2189" spans="1:28" x14ac:dyDescent="0.35">
      <c r="A2189" s="153">
        <v>47150</v>
      </c>
      <c r="B2189" s="155" t="s">
        <v>960</v>
      </c>
      <c r="C2189" s="15" t="s">
        <v>28</v>
      </c>
      <c r="D2189" s="15" t="s">
        <v>29</v>
      </c>
      <c r="E2189" s="199">
        <f>H2188</f>
        <v>0</v>
      </c>
      <c r="F2189" s="199">
        <f>IFERROR(SUMIFS('Demand Inputs'!$AP$5:$AP$202,'Demand Inputs'!$A$5:$A$202,"47mg LP - EU Stock",'Demand Inputs'!$B$5:$B$202,"&lt;&gt;AGGREGATE",'Demand Inputs'!$E$5:$E$202,1),0)</f>
        <v>0</v>
      </c>
      <c r="G2189" s="199" cm="1">
        <f t="array" ref="G2189">IFERROR(SUMPRODUCT(('Production Inputs'!$A:$A="47mg LP - EU Stock")*('Production Inputs'!$B:$B="TOTAL ACTIVE")*'Production Inputs'!$AV:$AV),0)</f>
        <v>0</v>
      </c>
      <c r="H2189" s="199">
        <f t="shared" si="256"/>
        <v>0</v>
      </c>
      <c r="I2189" s="30">
        <f ca="1">IFERROR(AVERAGEIF(OFFSET(F2189,0,0,MIN(Controls!$B$8,COUNTIF(B2189:B$2331,B2189)),1),"&gt;"&amp;0),0)</f>
        <v>0</v>
      </c>
      <c r="J2189" s="38">
        <f t="shared" ca="1" si="257"/>
        <v>0</v>
      </c>
      <c r="K2189" s="30">
        <f t="shared" ca="1" si="258"/>
        <v>0</v>
      </c>
      <c r="L2189" t="str">
        <f t="shared" si="259"/>
        <v>High</v>
      </c>
      <c r="M2189" s="39">
        <f>IFERROR(VLOOKUP("47mg LP - EU Stock",Controls!A:I,7,0),6)</f>
        <v>9</v>
      </c>
      <c r="N2189" s="39">
        <f>IFERROR(VLOOKUP("47mg LP - EU Stock",Controls!A:I,8,0),3)</f>
        <v>8</v>
      </c>
      <c r="O2189" s="39">
        <f>IFERROR(VLOOKUP("47mg LP - EU Stock",Controls!A:I,9,0),18)</f>
        <v>18</v>
      </c>
      <c r="P2189" s="40">
        <f>IFERROR(VLOOKUP("47mg LP - EU Stock",Controls!A:J,5,0),0)</f>
        <v>10000</v>
      </c>
      <c r="Q2189" s="39">
        <f>IFERROR(VLOOKUP("47mg LP - EU Stock",Controls!A:J,6,0),3)</f>
        <v>3</v>
      </c>
      <c r="R2189" s="21" t="str">
        <f>IFERROR(VLOOKUP("47mg LP - EU Stock",Controls!A:K,10,0),"")</f>
        <v>Patheon (L&amp;P EU)</v>
      </c>
      <c r="S2189" s="41">
        <f t="shared" si="260"/>
        <v>47058</v>
      </c>
      <c r="T2189" s="30">
        <f t="shared" si="261"/>
        <v>0</v>
      </c>
      <c r="W2189" s="205" t="str" cm="1">
        <f t="array" ref="W2189">IF(36&lt;Controls!$B$7,TEXT(INDEX(A2153:A2331,MATCH(Controls!$B$5,A2153:A2331,1)+36),"MMM-YY"),"")</f>
        <v/>
      </c>
      <c r="X2189" t="str" cm="1">
        <f t="array" ref="X2189">IF(36&lt;Controls!$B$7,INDEX(F2153:F2331,MATCH(Controls!$B$5,A2153:A2331,1)+36),"")</f>
        <v/>
      </c>
      <c r="Y2189" t="str" cm="1">
        <f t="array" ref="Y2189">IF(36&lt;Controls!$B$7,INDEX(G2153:G2331,MATCH(Controls!$B$5,A2153:A2331,1)+36),"")</f>
        <v/>
      </c>
      <c r="Z2189" t="str" cm="1">
        <f t="array" ref="Z2189">IF(36&lt;Controls!$B$7,INDEX(H2153:H2331,MATCH(Controls!$B$5,A2153:A2331,1)+36),"")</f>
        <v/>
      </c>
      <c r="AA2189" t="str" cm="1">
        <f t="array" ref="AA2189">IF(36&lt;Controls!$B$7,INDEX(M2153:M2331,MATCH(Controls!$B$5,A2153:A2331,1)+36)*INDEX(I2153:I2331,MATCH(Controls!$B$5,A2153:A2331,1)+36),"")</f>
        <v/>
      </c>
      <c r="AB2189">
        <f t="shared" si="262"/>
        <v>0</v>
      </c>
    </row>
    <row r="2190" spans="1:28" x14ac:dyDescent="0.35">
      <c r="A2190" s="153">
        <v>47178</v>
      </c>
      <c r="B2190" s="155" t="s">
        <v>960</v>
      </c>
      <c r="C2190" s="15" t="s">
        <v>28</v>
      </c>
      <c r="D2190" s="15" t="s">
        <v>29</v>
      </c>
      <c r="E2190" s="199">
        <f>H2189</f>
        <v>0</v>
      </c>
      <c r="F2190" s="199">
        <f>IFERROR(SUMIFS('Demand Inputs'!$AQ$5:$AQ$202,'Demand Inputs'!$A$5:$A$202,"47mg LP - EU Stock",'Demand Inputs'!$B$5:$B$202,"&lt;&gt;AGGREGATE",'Demand Inputs'!$E$5:$E$202,1),0)</f>
        <v>0</v>
      </c>
      <c r="G2190" s="199" cm="1">
        <f t="array" ref="G2190">IFERROR(SUMPRODUCT(('Production Inputs'!$A:$A="47mg LP - EU Stock")*('Production Inputs'!$B:$B="TOTAL ACTIVE")*'Production Inputs'!$AW:$AW),0)</f>
        <v>0</v>
      </c>
      <c r="H2190" s="199">
        <f t="shared" si="256"/>
        <v>0</v>
      </c>
      <c r="I2190" s="30">
        <f ca="1">IFERROR(AVERAGEIF(OFFSET(F2190,0,0,MIN(Controls!$B$8,COUNTIF(B2190:B$2331,B2190)),1),"&gt;"&amp;0),0)</f>
        <v>0</v>
      </c>
      <c r="J2190" s="38">
        <f t="shared" ca="1" si="257"/>
        <v>0</v>
      </c>
      <c r="K2190" s="30">
        <f t="shared" ca="1" si="258"/>
        <v>0</v>
      </c>
      <c r="L2190" t="str">
        <f t="shared" si="259"/>
        <v>High</v>
      </c>
      <c r="M2190" s="39">
        <f>IFERROR(VLOOKUP("47mg LP - EU Stock",Controls!A:I,7,0),6)</f>
        <v>9</v>
      </c>
      <c r="N2190" s="39">
        <f>IFERROR(VLOOKUP("47mg LP - EU Stock",Controls!A:I,8,0),3)</f>
        <v>8</v>
      </c>
      <c r="O2190" s="39">
        <f>IFERROR(VLOOKUP("47mg LP - EU Stock",Controls!A:I,9,0),18)</f>
        <v>18</v>
      </c>
      <c r="P2190" s="40">
        <f>IFERROR(VLOOKUP("47mg LP - EU Stock",Controls!A:J,5,0),0)</f>
        <v>10000</v>
      </c>
      <c r="Q2190" s="39">
        <f>IFERROR(VLOOKUP("47mg LP - EU Stock",Controls!A:J,6,0),3)</f>
        <v>3</v>
      </c>
      <c r="R2190" s="21" t="str">
        <f>IFERROR(VLOOKUP("47mg LP - EU Stock",Controls!A:K,10,0),"")</f>
        <v>Patheon (L&amp;P EU)</v>
      </c>
      <c r="S2190" s="41">
        <f t="shared" si="260"/>
        <v>47088</v>
      </c>
      <c r="T2190" s="30">
        <f t="shared" si="261"/>
        <v>0</v>
      </c>
      <c r="W2190" s="205" t="str" cm="1">
        <f t="array" ref="W2190">IF(37&lt;Controls!$B$7,TEXT(INDEX(A2153:A2331,MATCH(Controls!$B$5,A2153:A2331,1)+37),"MMM-YY"),"")</f>
        <v/>
      </c>
      <c r="X2190" t="str" cm="1">
        <f t="array" ref="X2190">IF(37&lt;Controls!$B$7,INDEX(F2153:F2331,MATCH(Controls!$B$5,A2153:A2331,1)+37),"")</f>
        <v/>
      </c>
      <c r="Y2190" t="str" cm="1">
        <f t="array" ref="Y2190">IF(37&lt;Controls!$B$7,INDEX(G2153:G2331,MATCH(Controls!$B$5,A2153:A2331,1)+37),"")</f>
        <v/>
      </c>
      <c r="Z2190" t="str" cm="1">
        <f t="array" ref="Z2190">IF(37&lt;Controls!$B$7,INDEX(H2153:H2331,MATCH(Controls!$B$5,A2153:A2331,1)+37),"")</f>
        <v/>
      </c>
      <c r="AA2190" t="str" cm="1">
        <f t="array" ref="AA2190">IF(37&lt;Controls!$B$7,INDEX(M2153:M2331,MATCH(Controls!$B$5,A2153:A2331,1)+37)*INDEX(I2153:I2331,MATCH(Controls!$B$5,A2153:A2331,1)+37),"")</f>
        <v/>
      </c>
      <c r="AB2190">
        <f t="shared" si="262"/>
        <v>0</v>
      </c>
    </row>
    <row r="2191" spans="1:28" x14ac:dyDescent="0.35">
      <c r="A2191" s="153">
        <v>47209</v>
      </c>
      <c r="B2191" s="155" t="s">
        <v>960</v>
      </c>
      <c r="C2191" s="15" t="s">
        <v>28</v>
      </c>
      <c r="D2191" s="15" t="s">
        <v>29</v>
      </c>
      <c r="E2191" s="199">
        <f>H2190</f>
        <v>0</v>
      </c>
      <c r="F2191" s="199">
        <f>IFERROR(SUMIFS('Demand Inputs'!$AR$5:$AR$202,'Demand Inputs'!$A$5:$A$202,"47mg LP - EU Stock",'Demand Inputs'!$B$5:$B$202,"&lt;&gt;AGGREGATE",'Demand Inputs'!$E$5:$E$202,1),0)</f>
        <v>0</v>
      </c>
      <c r="G2191" s="199" cm="1">
        <f t="array" ref="G2191">IFERROR(SUMPRODUCT(('Production Inputs'!$A:$A="47mg LP - EU Stock")*('Production Inputs'!$B:$B="TOTAL ACTIVE")*'Production Inputs'!$AX:$AX),0)</f>
        <v>0</v>
      </c>
      <c r="H2191" s="199">
        <f t="shared" si="256"/>
        <v>0</v>
      </c>
      <c r="I2191" s="30">
        <f ca="1">IFERROR(AVERAGEIF(OFFSET(F2191,0,0,MIN(Controls!$B$8,COUNTIF(B2191:B$2331,B2191)),1),"&gt;"&amp;0),0)</f>
        <v>0</v>
      </c>
      <c r="J2191" s="38">
        <f t="shared" ca="1" si="257"/>
        <v>0</v>
      </c>
      <c r="K2191" s="30">
        <f t="shared" ca="1" si="258"/>
        <v>0</v>
      </c>
      <c r="L2191" t="str">
        <f t="shared" si="259"/>
        <v>High</v>
      </c>
      <c r="M2191" s="39">
        <f>IFERROR(VLOOKUP("47mg LP - EU Stock",Controls!A:I,7,0),6)</f>
        <v>9</v>
      </c>
      <c r="N2191" s="39">
        <f>IFERROR(VLOOKUP("47mg LP - EU Stock",Controls!A:I,8,0),3)</f>
        <v>8</v>
      </c>
      <c r="O2191" s="39">
        <f>IFERROR(VLOOKUP("47mg LP - EU Stock",Controls!A:I,9,0),18)</f>
        <v>18</v>
      </c>
      <c r="P2191" s="40">
        <f>IFERROR(VLOOKUP("47mg LP - EU Stock",Controls!A:J,5,0),0)</f>
        <v>10000</v>
      </c>
      <c r="Q2191" s="39">
        <f>IFERROR(VLOOKUP("47mg LP - EU Stock",Controls!A:J,6,0),3)</f>
        <v>3</v>
      </c>
      <c r="R2191" s="21" t="str">
        <f>IFERROR(VLOOKUP("47mg LP - EU Stock",Controls!A:K,10,0),"")</f>
        <v>Patheon (L&amp;P EU)</v>
      </c>
      <c r="S2191" s="41">
        <f t="shared" si="260"/>
        <v>47119</v>
      </c>
      <c r="T2191" s="30">
        <f t="shared" si="261"/>
        <v>0</v>
      </c>
      <c r="W2191" s="205" t="str" cm="1">
        <f t="array" ref="W2191">IF(38&lt;Controls!$B$7,TEXT(INDEX(A2153:A2331,MATCH(Controls!$B$5,A2153:A2331,1)+38),"MMM-YY"),"")</f>
        <v/>
      </c>
      <c r="X2191" t="str" cm="1">
        <f t="array" ref="X2191">IF(38&lt;Controls!$B$7,INDEX(F2153:F2331,MATCH(Controls!$B$5,A2153:A2331,1)+38),"")</f>
        <v/>
      </c>
      <c r="Y2191" t="str" cm="1">
        <f t="array" ref="Y2191">IF(38&lt;Controls!$B$7,INDEX(G2153:G2331,MATCH(Controls!$B$5,A2153:A2331,1)+38),"")</f>
        <v/>
      </c>
      <c r="Z2191" t="str" cm="1">
        <f t="array" ref="Z2191">IF(38&lt;Controls!$B$7,INDEX(H2153:H2331,MATCH(Controls!$B$5,A2153:A2331,1)+38),"")</f>
        <v/>
      </c>
      <c r="AA2191" t="str" cm="1">
        <f t="array" ref="AA2191">IF(38&lt;Controls!$B$7,INDEX(M2153:M2331,MATCH(Controls!$B$5,A2153:A2331,1)+38)*INDEX(I2153:I2331,MATCH(Controls!$B$5,A2153:A2331,1)+38),"")</f>
        <v/>
      </c>
      <c r="AB2191">
        <f t="shared" si="262"/>
        <v>0</v>
      </c>
    </row>
    <row r="2192" spans="1:28" x14ac:dyDescent="0.35">
      <c r="A2192" s="153">
        <v>47239</v>
      </c>
      <c r="B2192" s="155" t="s">
        <v>960</v>
      </c>
      <c r="C2192" s="15" t="s">
        <v>28</v>
      </c>
      <c r="D2192" s="15" t="s">
        <v>29</v>
      </c>
      <c r="E2192" s="199">
        <f>H2191</f>
        <v>0</v>
      </c>
      <c r="F2192" s="199">
        <f>IFERROR(SUMIFS('Demand Inputs'!$AS$5:$AS$202,'Demand Inputs'!$A$5:$A$202,"47mg LP - EU Stock",'Demand Inputs'!$B$5:$B$202,"&lt;&gt;AGGREGATE",'Demand Inputs'!$E$5:$E$202,1),0)</f>
        <v>0</v>
      </c>
      <c r="G2192" s="199" cm="1">
        <f t="array" ref="G2192">IFERROR(SUMPRODUCT(('Production Inputs'!$A:$A="47mg LP - EU Stock")*('Production Inputs'!$B:$B="TOTAL ACTIVE")*'Production Inputs'!$AY:$AY),0)</f>
        <v>0</v>
      </c>
      <c r="H2192" s="199">
        <f t="shared" si="256"/>
        <v>0</v>
      </c>
      <c r="I2192" s="30">
        <f ca="1">IFERROR(AVERAGEIF(OFFSET(F2192,0,0,MIN(Controls!$B$8,COUNTIF(B2192:B$2331,B2192)),1),"&gt;"&amp;0),0)</f>
        <v>0</v>
      </c>
      <c r="J2192" s="38">
        <f t="shared" ca="1" si="257"/>
        <v>0</v>
      </c>
      <c r="K2192" s="30">
        <f t="shared" ca="1" si="258"/>
        <v>0</v>
      </c>
      <c r="L2192" t="str">
        <f t="shared" si="259"/>
        <v>High</v>
      </c>
      <c r="M2192" s="39">
        <f>IFERROR(VLOOKUP("47mg LP - EU Stock",Controls!A:I,7,0),6)</f>
        <v>9</v>
      </c>
      <c r="N2192" s="39">
        <f>IFERROR(VLOOKUP("47mg LP - EU Stock",Controls!A:I,8,0),3)</f>
        <v>8</v>
      </c>
      <c r="O2192" s="39">
        <f>IFERROR(VLOOKUP("47mg LP - EU Stock",Controls!A:I,9,0),18)</f>
        <v>18</v>
      </c>
      <c r="P2192" s="40">
        <f>IFERROR(VLOOKUP("47mg LP - EU Stock",Controls!A:J,5,0),0)</f>
        <v>10000</v>
      </c>
      <c r="Q2192" s="39">
        <f>IFERROR(VLOOKUP("47mg LP - EU Stock",Controls!A:J,6,0),3)</f>
        <v>3</v>
      </c>
      <c r="R2192" s="21" t="str">
        <f>IFERROR(VLOOKUP("47mg LP - EU Stock",Controls!A:K,10,0),"")</f>
        <v>Patheon (L&amp;P EU)</v>
      </c>
      <c r="S2192" s="41">
        <f t="shared" si="260"/>
        <v>47150</v>
      </c>
      <c r="T2192" s="30">
        <f t="shared" si="261"/>
        <v>0</v>
      </c>
      <c r="W2192" s="205" t="str" cm="1">
        <f t="array" ref="W2192">IF(39&lt;Controls!$B$7,TEXT(INDEX(A2153:A2331,MATCH(Controls!$B$5,A2153:A2331,1)+39),"MMM-YY"),"")</f>
        <v/>
      </c>
      <c r="X2192" t="str" cm="1">
        <f t="array" ref="X2192">IF(39&lt;Controls!$B$7,INDEX(F2153:F2331,MATCH(Controls!$B$5,A2153:A2331,1)+39),"")</f>
        <v/>
      </c>
      <c r="Y2192" t="str" cm="1">
        <f t="array" ref="Y2192">IF(39&lt;Controls!$B$7,INDEX(G2153:G2331,MATCH(Controls!$B$5,A2153:A2331,1)+39),"")</f>
        <v/>
      </c>
      <c r="Z2192" t="str" cm="1">
        <f t="array" ref="Z2192">IF(39&lt;Controls!$B$7,INDEX(H2153:H2331,MATCH(Controls!$B$5,A2153:A2331,1)+39),"")</f>
        <v/>
      </c>
      <c r="AA2192" t="str" cm="1">
        <f t="array" ref="AA2192">IF(39&lt;Controls!$B$7,INDEX(M2153:M2331,MATCH(Controls!$B$5,A2153:A2331,1)+39)*INDEX(I2153:I2331,MATCH(Controls!$B$5,A2153:A2331,1)+39),"")</f>
        <v/>
      </c>
      <c r="AB2192">
        <f t="shared" si="262"/>
        <v>0</v>
      </c>
    </row>
    <row r="2193" spans="1:28" x14ac:dyDescent="0.35">
      <c r="A2193" s="153">
        <v>47270</v>
      </c>
      <c r="B2193" s="155" t="s">
        <v>960</v>
      </c>
      <c r="C2193" s="15" t="s">
        <v>28</v>
      </c>
      <c r="D2193" s="15" t="s">
        <v>29</v>
      </c>
      <c r="E2193" s="199">
        <f>H2192</f>
        <v>0</v>
      </c>
      <c r="F2193" s="199">
        <f>IFERROR(SUMIFS('Demand Inputs'!$AT$5:$AT$202,'Demand Inputs'!$A$5:$A$202,"47mg LP - EU Stock",'Demand Inputs'!$B$5:$B$202,"&lt;&gt;AGGREGATE",'Demand Inputs'!$E$5:$E$202,1),0)</f>
        <v>0</v>
      </c>
      <c r="G2193" s="199" cm="1">
        <f t="array" ref="G2193">IFERROR(SUMPRODUCT(('Production Inputs'!$A:$A="47mg LP - EU Stock")*('Production Inputs'!$B:$B="TOTAL ACTIVE")*'Production Inputs'!$AZ:$AZ),0)</f>
        <v>0</v>
      </c>
      <c r="H2193" s="199">
        <f t="shared" si="256"/>
        <v>0</v>
      </c>
      <c r="I2193" s="30">
        <f ca="1">IFERROR(AVERAGEIF(OFFSET(F2193,0,0,MIN(Controls!$B$8,COUNTIF(B2193:B$2331,B2193)),1),"&gt;"&amp;0),0)</f>
        <v>0</v>
      </c>
      <c r="J2193" s="38">
        <f t="shared" ca="1" si="257"/>
        <v>0</v>
      </c>
      <c r="K2193" s="30">
        <f t="shared" ca="1" si="258"/>
        <v>0</v>
      </c>
      <c r="L2193" t="str">
        <f t="shared" si="259"/>
        <v>High</v>
      </c>
      <c r="M2193" s="39">
        <f>IFERROR(VLOOKUP("47mg LP - EU Stock",Controls!A:I,7,0),6)</f>
        <v>9</v>
      </c>
      <c r="N2193" s="39">
        <f>IFERROR(VLOOKUP("47mg LP - EU Stock",Controls!A:I,8,0),3)</f>
        <v>8</v>
      </c>
      <c r="O2193" s="39">
        <f>IFERROR(VLOOKUP("47mg LP - EU Stock",Controls!A:I,9,0),18)</f>
        <v>18</v>
      </c>
      <c r="P2193" s="40">
        <f>IFERROR(VLOOKUP("47mg LP - EU Stock",Controls!A:J,5,0),0)</f>
        <v>10000</v>
      </c>
      <c r="Q2193" s="39">
        <f>IFERROR(VLOOKUP("47mg LP - EU Stock",Controls!A:J,6,0),3)</f>
        <v>3</v>
      </c>
      <c r="R2193" s="21" t="str">
        <f>IFERROR(VLOOKUP("47mg LP - EU Stock",Controls!A:K,10,0),"")</f>
        <v>Patheon (L&amp;P EU)</v>
      </c>
      <c r="S2193" s="41">
        <f t="shared" si="260"/>
        <v>47178</v>
      </c>
      <c r="T2193" s="30">
        <f t="shared" si="261"/>
        <v>0</v>
      </c>
      <c r="W2193" s="205" t="str" cm="1">
        <f t="array" ref="W2193">IF(40&lt;Controls!$B$7,TEXT(INDEX(A2153:A2331,MATCH(Controls!$B$5,A2153:A2331,1)+40),"MMM-YY"),"")</f>
        <v/>
      </c>
      <c r="X2193" t="str" cm="1">
        <f t="array" ref="X2193">IF(40&lt;Controls!$B$7,INDEX(F2153:F2331,MATCH(Controls!$B$5,A2153:A2331,1)+40),"")</f>
        <v/>
      </c>
      <c r="Y2193" t="str" cm="1">
        <f t="array" ref="Y2193">IF(40&lt;Controls!$B$7,INDEX(G2153:G2331,MATCH(Controls!$B$5,A2153:A2331,1)+40),"")</f>
        <v/>
      </c>
      <c r="Z2193" t="str" cm="1">
        <f t="array" ref="Z2193">IF(40&lt;Controls!$B$7,INDEX(H2153:H2331,MATCH(Controls!$B$5,A2153:A2331,1)+40),"")</f>
        <v/>
      </c>
      <c r="AA2193" t="str" cm="1">
        <f t="array" ref="AA2193">IF(40&lt;Controls!$B$7,INDEX(M2153:M2331,MATCH(Controls!$B$5,A2153:A2331,1)+40)*INDEX(I2153:I2331,MATCH(Controls!$B$5,A2153:A2331,1)+40),"")</f>
        <v/>
      </c>
      <c r="AB2193">
        <f t="shared" si="262"/>
        <v>0</v>
      </c>
    </row>
    <row r="2194" spans="1:28" x14ac:dyDescent="0.35">
      <c r="A2194" s="153">
        <v>47300</v>
      </c>
      <c r="B2194" s="155" t="s">
        <v>960</v>
      </c>
      <c r="C2194" s="15" t="s">
        <v>28</v>
      </c>
      <c r="D2194" s="15" t="s">
        <v>29</v>
      </c>
      <c r="E2194" s="199">
        <f>H2193</f>
        <v>0</v>
      </c>
      <c r="F2194" s="199">
        <f>IFERROR(SUMIFS('Demand Inputs'!$AU$5:$AU$202,'Demand Inputs'!$A$5:$A$202,"47mg LP - EU Stock",'Demand Inputs'!$B$5:$B$202,"&lt;&gt;AGGREGATE",'Demand Inputs'!$E$5:$E$202,1),0)</f>
        <v>0</v>
      </c>
      <c r="G2194" s="199" cm="1">
        <f t="array" ref="G2194">IFERROR(SUMPRODUCT(('Production Inputs'!$A:$A="47mg LP - EU Stock")*('Production Inputs'!$B:$B="TOTAL ACTIVE")*'Production Inputs'!$BA:$BA),0)</f>
        <v>0</v>
      </c>
      <c r="H2194" s="199">
        <f t="shared" si="256"/>
        <v>0</v>
      </c>
      <c r="I2194" s="30">
        <f ca="1">IFERROR(AVERAGEIF(OFFSET(F2194,0,0,MIN(Controls!$B$8,COUNTIF(B2194:B$2331,B2194)),1),"&gt;"&amp;0),0)</f>
        <v>0</v>
      </c>
      <c r="J2194" s="38">
        <f t="shared" ca="1" si="257"/>
        <v>0</v>
      </c>
      <c r="K2194" s="30">
        <f t="shared" ca="1" si="258"/>
        <v>0</v>
      </c>
      <c r="L2194" t="str">
        <f t="shared" si="259"/>
        <v>High</v>
      </c>
      <c r="M2194" s="39">
        <f>IFERROR(VLOOKUP("47mg LP - EU Stock",Controls!A:I,7,0),6)</f>
        <v>9</v>
      </c>
      <c r="N2194" s="39">
        <f>IFERROR(VLOOKUP("47mg LP - EU Stock",Controls!A:I,8,0),3)</f>
        <v>8</v>
      </c>
      <c r="O2194" s="39">
        <f>IFERROR(VLOOKUP("47mg LP - EU Stock",Controls!A:I,9,0),18)</f>
        <v>18</v>
      </c>
      <c r="P2194" s="40">
        <f>IFERROR(VLOOKUP("47mg LP - EU Stock",Controls!A:J,5,0),0)</f>
        <v>10000</v>
      </c>
      <c r="Q2194" s="39">
        <f>IFERROR(VLOOKUP("47mg LP - EU Stock",Controls!A:J,6,0),3)</f>
        <v>3</v>
      </c>
      <c r="R2194" s="21" t="str">
        <f>IFERROR(VLOOKUP("47mg LP - EU Stock",Controls!A:K,10,0),"")</f>
        <v>Patheon (L&amp;P EU)</v>
      </c>
      <c r="S2194" s="41">
        <f t="shared" si="260"/>
        <v>47209</v>
      </c>
      <c r="T2194" s="30">
        <f t="shared" si="261"/>
        <v>0</v>
      </c>
      <c r="W2194" s="205" t="str" cm="1">
        <f t="array" ref="W2194">IF(41&lt;Controls!$B$7,TEXT(INDEX(A2153:A2331,MATCH(Controls!$B$5,A2153:A2331,1)+41),"MMM-YY"),"")</f>
        <v/>
      </c>
      <c r="X2194" t="str" cm="1">
        <f t="array" ref="X2194">IF(41&lt;Controls!$B$7,INDEX(F2153:F2331,MATCH(Controls!$B$5,A2153:A2331,1)+41),"")</f>
        <v/>
      </c>
      <c r="Y2194" t="str" cm="1">
        <f t="array" ref="Y2194">IF(41&lt;Controls!$B$7,INDEX(G2153:G2331,MATCH(Controls!$B$5,A2153:A2331,1)+41),"")</f>
        <v/>
      </c>
      <c r="Z2194" t="str" cm="1">
        <f t="array" ref="Z2194">IF(41&lt;Controls!$B$7,INDEX(H2153:H2331,MATCH(Controls!$B$5,A2153:A2331,1)+41),"")</f>
        <v/>
      </c>
      <c r="AA2194" t="str" cm="1">
        <f t="array" ref="AA2194">IF(41&lt;Controls!$B$7,INDEX(M2153:M2331,MATCH(Controls!$B$5,A2153:A2331,1)+41)*INDEX(I2153:I2331,MATCH(Controls!$B$5,A2153:A2331,1)+41),"")</f>
        <v/>
      </c>
      <c r="AB2194">
        <f t="shared" si="262"/>
        <v>0</v>
      </c>
    </row>
    <row r="2195" spans="1:28" x14ac:dyDescent="0.35">
      <c r="A2195" s="153">
        <v>47331</v>
      </c>
      <c r="B2195" s="155" t="s">
        <v>960</v>
      </c>
      <c r="C2195" s="15" t="s">
        <v>28</v>
      </c>
      <c r="D2195" s="15" t="s">
        <v>29</v>
      </c>
      <c r="E2195" s="199">
        <f>H2194</f>
        <v>0</v>
      </c>
      <c r="F2195" s="199">
        <f>IFERROR(SUMIFS('Demand Inputs'!$AV$5:$AV$202,'Demand Inputs'!$A$5:$A$202,"47mg LP - EU Stock",'Demand Inputs'!$B$5:$B$202,"&lt;&gt;AGGREGATE",'Demand Inputs'!$E$5:$E$202,1),0)</f>
        <v>0</v>
      </c>
      <c r="G2195" s="199" cm="1">
        <f t="array" ref="G2195">IFERROR(SUMPRODUCT(('Production Inputs'!$A:$A="47mg LP - EU Stock")*('Production Inputs'!$B:$B="TOTAL ACTIVE")*'Production Inputs'!$BB:$BB),0)</f>
        <v>0</v>
      </c>
      <c r="H2195" s="199">
        <f t="shared" si="256"/>
        <v>0</v>
      </c>
      <c r="I2195" s="30">
        <f ca="1">IFERROR(AVERAGEIF(OFFSET(F2195,0,0,MIN(Controls!$B$8,COUNTIF(B2195:B$2331,B2195)),1),"&gt;"&amp;0),0)</f>
        <v>0</v>
      </c>
      <c r="J2195" s="38">
        <f t="shared" ca="1" si="257"/>
        <v>0</v>
      </c>
      <c r="K2195" s="30">
        <f t="shared" ca="1" si="258"/>
        <v>0</v>
      </c>
      <c r="L2195" t="str">
        <f t="shared" si="259"/>
        <v>High</v>
      </c>
      <c r="M2195" s="39">
        <f>IFERROR(VLOOKUP("47mg LP - EU Stock",Controls!A:I,7,0),6)</f>
        <v>9</v>
      </c>
      <c r="N2195" s="39">
        <f>IFERROR(VLOOKUP("47mg LP - EU Stock",Controls!A:I,8,0),3)</f>
        <v>8</v>
      </c>
      <c r="O2195" s="39">
        <f>IFERROR(VLOOKUP("47mg LP - EU Stock",Controls!A:I,9,0),18)</f>
        <v>18</v>
      </c>
      <c r="P2195" s="40">
        <f>IFERROR(VLOOKUP("47mg LP - EU Stock",Controls!A:J,5,0),0)</f>
        <v>10000</v>
      </c>
      <c r="Q2195" s="39">
        <f>IFERROR(VLOOKUP("47mg LP - EU Stock",Controls!A:J,6,0),3)</f>
        <v>3</v>
      </c>
      <c r="R2195" s="21" t="str">
        <f>IFERROR(VLOOKUP("47mg LP - EU Stock",Controls!A:K,10,0),"")</f>
        <v>Patheon (L&amp;P EU)</v>
      </c>
      <c r="S2195" s="41">
        <f t="shared" si="260"/>
        <v>47239</v>
      </c>
      <c r="T2195" s="30">
        <f t="shared" si="261"/>
        <v>0</v>
      </c>
      <c r="W2195" s="205" t="str" cm="1">
        <f t="array" ref="W2195">IF(42&lt;Controls!$B$7,TEXT(INDEX(A2153:A2331,MATCH(Controls!$B$5,A2153:A2331,1)+42),"MMM-YY"),"")</f>
        <v/>
      </c>
      <c r="X2195" t="str" cm="1">
        <f t="array" ref="X2195">IF(42&lt;Controls!$B$7,INDEX(F2153:F2331,MATCH(Controls!$B$5,A2153:A2331,1)+42),"")</f>
        <v/>
      </c>
      <c r="Y2195" t="str" cm="1">
        <f t="array" ref="Y2195">IF(42&lt;Controls!$B$7,INDEX(G2153:G2331,MATCH(Controls!$B$5,A2153:A2331,1)+42),"")</f>
        <v/>
      </c>
      <c r="Z2195" t="str" cm="1">
        <f t="array" ref="Z2195">IF(42&lt;Controls!$B$7,INDEX(H2153:H2331,MATCH(Controls!$B$5,A2153:A2331,1)+42),"")</f>
        <v/>
      </c>
      <c r="AA2195" t="str" cm="1">
        <f t="array" ref="AA2195">IF(42&lt;Controls!$B$7,INDEX(M2153:M2331,MATCH(Controls!$B$5,A2153:A2331,1)+42)*INDEX(I2153:I2331,MATCH(Controls!$B$5,A2153:A2331,1)+42),"")</f>
        <v/>
      </c>
      <c r="AB2195">
        <f t="shared" si="262"/>
        <v>0</v>
      </c>
    </row>
    <row r="2196" spans="1:28" x14ac:dyDescent="0.35">
      <c r="A2196" s="153">
        <v>47362</v>
      </c>
      <c r="B2196" s="155" t="s">
        <v>960</v>
      </c>
      <c r="C2196" s="15" t="s">
        <v>28</v>
      </c>
      <c r="D2196" s="15" t="s">
        <v>29</v>
      </c>
      <c r="E2196" s="199">
        <f>H2195</f>
        <v>0</v>
      </c>
      <c r="F2196" s="199">
        <f>IFERROR(SUMIFS('Demand Inputs'!$AW$5:$AW$202,'Demand Inputs'!$A$5:$A$202,"47mg LP - EU Stock",'Demand Inputs'!$B$5:$B$202,"&lt;&gt;AGGREGATE",'Demand Inputs'!$E$5:$E$202,1),0)</f>
        <v>0</v>
      </c>
      <c r="G2196" s="199" cm="1">
        <f t="array" ref="G2196">IFERROR(SUMPRODUCT(('Production Inputs'!$A:$A="47mg LP - EU Stock")*('Production Inputs'!$B:$B="TOTAL ACTIVE")*'Production Inputs'!$BC:$BC),0)</f>
        <v>0</v>
      </c>
      <c r="H2196" s="199">
        <f t="shared" si="256"/>
        <v>0</v>
      </c>
      <c r="I2196" s="30">
        <f ca="1">IFERROR(AVERAGEIF(OFFSET(F2196,0,0,MIN(Controls!$B$8,COUNTIF(B2196:B$2331,B2196)),1),"&gt;"&amp;0),0)</f>
        <v>0</v>
      </c>
      <c r="J2196" s="38">
        <f t="shared" ca="1" si="257"/>
        <v>0</v>
      </c>
      <c r="K2196" s="30">
        <f t="shared" ca="1" si="258"/>
        <v>0</v>
      </c>
      <c r="L2196" t="str">
        <f t="shared" si="259"/>
        <v>High</v>
      </c>
      <c r="M2196" s="39">
        <f>IFERROR(VLOOKUP("47mg LP - EU Stock",Controls!A:I,7,0),6)</f>
        <v>9</v>
      </c>
      <c r="N2196" s="39">
        <f>IFERROR(VLOOKUP("47mg LP - EU Stock",Controls!A:I,8,0),3)</f>
        <v>8</v>
      </c>
      <c r="O2196" s="39">
        <f>IFERROR(VLOOKUP("47mg LP - EU Stock",Controls!A:I,9,0),18)</f>
        <v>18</v>
      </c>
      <c r="P2196" s="40">
        <f>IFERROR(VLOOKUP("47mg LP - EU Stock",Controls!A:J,5,0),0)</f>
        <v>10000</v>
      </c>
      <c r="Q2196" s="39">
        <f>IFERROR(VLOOKUP("47mg LP - EU Stock",Controls!A:J,6,0),3)</f>
        <v>3</v>
      </c>
      <c r="R2196" s="21" t="str">
        <f>IFERROR(VLOOKUP("47mg LP - EU Stock",Controls!A:K,10,0),"")</f>
        <v>Patheon (L&amp;P EU)</v>
      </c>
      <c r="S2196" s="41">
        <f t="shared" si="260"/>
        <v>47270</v>
      </c>
      <c r="T2196" s="30">
        <f t="shared" si="261"/>
        <v>0</v>
      </c>
      <c r="W2196" s="205" t="str" cm="1">
        <f t="array" ref="W2196">IF(43&lt;Controls!$B$7,TEXT(INDEX(A2153:A2331,MATCH(Controls!$B$5,A2153:A2331,1)+43),"MMM-YY"),"")</f>
        <v/>
      </c>
      <c r="X2196" t="str" cm="1">
        <f t="array" ref="X2196">IF(43&lt;Controls!$B$7,INDEX(F2153:F2331,MATCH(Controls!$B$5,A2153:A2331,1)+43),"")</f>
        <v/>
      </c>
      <c r="Y2196" t="str" cm="1">
        <f t="array" ref="Y2196">IF(43&lt;Controls!$B$7,INDEX(G2153:G2331,MATCH(Controls!$B$5,A2153:A2331,1)+43),"")</f>
        <v/>
      </c>
      <c r="Z2196" t="str" cm="1">
        <f t="array" ref="Z2196">IF(43&lt;Controls!$B$7,INDEX(H2153:H2331,MATCH(Controls!$B$5,A2153:A2331,1)+43),"")</f>
        <v/>
      </c>
      <c r="AA2196" t="str" cm="1">
        <f t="array" ref="AA2196">IF(43&lt;Controls!$B$7,INDEX(M2153:M2331,MATCH(Controls!$B$5,A2153:A2331,1)+43)*INDEX(I2153:I2331,MATCH(Controls!$B$5,A2153:A2331,1)+43),"")</f>
        <v/>
      </c>
      <c r="AB2196">
        <f t="shared" si="262"/>
        <v>0</v>
      </c>
    </row>
    <row r="2197" spans="1:28" x14ac:dyDescent="0.35">
      <c r="A2197" s="153">
        <v>47392</v>
      </c>
      <c r="B2197" s="155" t="s">
        <v>960</v>
      </c>
      <c r="C2197" s="15" t="s">
        <v>28</v>
      </c>
      <c r="D2197" s="15" t="s">
        <v>29</v>
      </c>
      <c r="E2197" s="199">
        <f>H2196</f>
        <v>0</v>
      </c>
      <c r="F2197" s="199">
        <f>IFERROR(SUMIFS('Demand Inputs'!$AX$5:$AX$202,'Demand Inputs'!$A$5:$A$202,"47mg LP - EU Stock",'Demand Inputs'!$B$5:$B$202,"&lt;&gt;AGGREGATE",'Demand Inputs'!$E$5:$E$202,1),0)</f>
        <v>0</v>
      </c>
      <c r="G2197" s="199" cm="1">
        <f t="array" ref="G2197">IFERROR(SUMPRODUCT(('Production Inputs'!$A:$A="47mg LP - EU Stock")*('Production Inputs'!$B:$B="TOTAL ACTIVE")*'Production Inputs'!$BD:$BD),0)</f>
        <v>0</v>
      </c>
      <c r="H2197" s="199">
        <f t="shared" si="256"/>
        <v>0</v>
      </c>
      <c r="I2197" s="30">
        <f ca="1">IFERROR(AVERAGEIF(OFFSET(F2197,0,0,MIN(Controls!$B$8,COUNTIF(B2197:B$2331,B2197)),1),"&gt;"&amp;0),0)</f>
        <v>0</v>
      </c>
      <c r="J2197" s="38">
        <f t="shared" ca="1" si="257"/>
        <v>0</v>
      </c>
      <c r="K2197" s="30">
        <f t="shared" ca="1" si="258"/>
        <v>0</v>
      </c>
      <c r="L2197" t="str">
        <f t="shared" si="259"/>
        <v>High</v>
      </c>
      <c r="M2197" s="39">
        <f>IFERROR(VLOOKUP("47mg LP - EU Stock",Controls!A:I,7,0),6)</f>
        <v>9</v>
      </c>
      <c r="N2197" s="39">
        <f>IFERROR(VLOOKUP("47mg LP - EU Stock",Controls!A:I,8,0),3)</f>
        <v>8</v>
      </c>
      <c r="O2197" s="39">
        <f>IFERROR(VLOOKUP("47mg LP - EU Stock",Controls!A:I,9,0),18)</f>
        <v>18</v>
      </c>
      <c r="P2197" s="40">
        <f>IFERROR(VLOOKUP("47mg LP - EU Stock",Controls!A:J,5,0),0)</f>
        <v>10000</v>
      </c>
      <c r="Q2197" s="39">
        <f>IFERROR(VLOOKUP("47mg LP - EU Stock",Controls!A:J,6,0),3)</f>
        <v>3</v>
      </c>
      <c r="R2197" s="21" t="str">
        <f>IFERROR(VLOOKUP("47mg LP - EU Stock",Controls!A:K,10,0),"")</f>
        <v>Patheon (L&amp;P EU)</v>
      </c>
      <c r="S2197" s="41">
        <f t="shared" si="260"/>
        <v>47300</v>
      </c>
      <c r="T2197" s="30">
        <f t="shared" si="261"/>
        <v>0</v>
      </c>
      <c r="W2197" s="205" t="str" cm="1">
        <f t="array" ref="W2197">IF(44&lt;Controls!$B$7,TEXT(INDEX(A2153:A2331,MATCH(Controls!$B$5,A2153:A2331,1)+44),"MMM-YY"),"")</f>
        <v/>
      </c>
      <c r="X2197" t="str" cm="1">
        <f t="array" ref="X2197">IF(44&lt;Controls!$B$7,INDEX(F2153:F2331,MATCH(Controls!$B$5,A2153:A2331,1)+44),"")</f>
        <v/>
      </c>
      <c r="Y2197" t="str" cm="1">
        <f t="array" ref="Y2197">IF(44&lt;Controls!$B$7,INDEX(G2153:G2331,MATCH(Controls!$B$5,A2153:A2331,1)+44),"")</f>
        <v/>
      </c>
      <c r="Z2197" t="str" cm="1">
        <f t="array" ref="Z2197">IF(44&lt;Controls!$B$7,INDEX(H2153:H2331,MATCH(Controls!$B$5,A2153:A2331,1)+44),"")</f>
        <v/>
      </c>
      <c r="AA2197" t="str" cm="1">
        <f t="array" ref="AA2197">IF(44&lt;Controls!$B$7,INDEX(M2153:M2331,MATCH(Controls!$B$5,A2153:A2331,1)+44)*INDEX(I2153:I2331,MATCH(Controls!$B$5,A2153:A2331,1)+44),"")</f>
        <v/>
      </c>
      <c r="AB2197">
        <f t="shared" si="262"/>
        <v>0</v>
      </c>
    </row>
    <row r="2198" spans="1:28" x14ac:dyDescent="0.35">
      <c r="A2198" s="153">
        <v>47423</v>
      </c>
      <c r="B2198" s="155" t="s">
        <v>960</v>
      </c>
      <c r="C2198" s="15" t="s">
        <v>28</v>
      </c>
      <c r="D2198" s="15" t="s">
        <v>29</v>
      </c>
      <c r="E2198" s="199">
        <f>H2197</f>
        <v>0</v>
      </c>
      <c r="F2198" s="199">
        <f>IFERROR(SUMIFS('Demand Inputs'!$AY$5:$AY$202,'Demand Inputs'!$A$5:$A$202,"47mg LP - EU Stock",'Demand Inputs'!$B$5:$B$202,"&lt;&gt;AGGREGATE",'Demand Inputs'!$E$5:$E$202,1),0)</f>
        <v>0</v>
      </c>
      <c r="G2198" s="199" cm="1">
        <f t="array" ref="G2198">IFERROR(SUMPRODUCT(('Production Inputs'!$A:$A="47mg LP - EU Stock")*('Production Inputs'!$B:$B="TOTAL ACTIVE")*'Production Inputs'!$BE:$BE),0)</f>
        <v>0</v>
      </c>
      <c r="H2198" s="199">
        <f t="shared" si="256"/>
        <v>0</v>
      </c>
      <c r="I2198" s="30">
        <f ca="1">IFERROR(AVERAGEIF(OFFSET(F2198,0,0,MIN(Controls!$B$8,COUNTIF(B2198:B$2331,B2198)),1),"&gt;"&amp;0),0)</f>
        <v>0</v>
      </c>
      <c r="J2198" s="38">
        <f t="shared" ca="1" si="257"/>
        <v>0</v>
      </c>
      <c r="K2198" s="30">
        <f t="shared" ca="1" si="258"/>
        <v>0</v>
      </c>
      <c r="L2198" t="str">
        <f t="shared" si="259"/>
        <v>High</v>
      </c>
      <c r="M2198" s="39">
        <f>IFERROR(VLOOKUP("47mg LP - EU Stock",Controls!A:I,7,0),6)</f>
        <v>9</v>
      </c>
      <c r="N2198" s="39">
        <f>IFERROR(VLOOKUP("47mg LP - EU Stock",Controls!A:I,8,0),3)</f>
        <v>8</v>
      </c>
      <c r="O2198" s="39">
        <f>IFERROR(VLOOKUP("47mg LP - EU Stock",Controls!A:I,9,0),18)</f>
        <v>18</v>
      </c>
      <c r="P2198" s="40">
        <f>IFERROR(VLOOKUP("47mg LP - EU Stock",Controls!A:J,5,0),0)</f>
        <v>10000</v>
      </c>
      <c r="Q2198" s="39">
        <f>IFERROR(VLOOKUP("47mg LP - EU Stock",Controls!A:J,6,0),3)</f>
        <v>3</v>
      </c>
      <c r="R2198" s="21" t="str">
        <f>IFERROR(VLOOKUP("47mg LP - EU Stock",Controls!A:K,10,0),"")</f>
        <v>Patheon (L&amp;P EU)</v>
      </c>
      <c r="S2198" s="41">
        <f t="shared" si="260"/>
        <v>47331</v>
      </c>
      <c r="T2198" s="30">
        <f t="shared" si="261"/>
        <v>0</v>
      </c>
      <c r="W2198" s="205" t="str" cm="1">
        <f t="array" ref="W2198">IF(45&lt;Controls!$B$7,TEXT(INDEX(A2153:A2331,MATCH(Controls!$B$5,A2153:A2331,1)+45),"MMM-YY"),"")</f>
        <v/>
      </c>
      <c r="X2198" t="str" cm="1">
        <f t="array" ref="X2198">IF(45&lt;Controls!$B$7,INDEX(F2153:F2331,MATCH(Controls!$B$5,A2153:A2331,1)+45),"")</f>
        <v/>
      </c>
      <c r="Y2198" t="str" cm="1">
        <f t="array" ref="Y2198">IF(45&lt;Controls!$B$7,INDEX(G2153:G2331,MATCH(Controls!$B$5,A2153:A2331,1)+45),"")</f>
        <v/>
      </c>
      <c r="Z2198" t="str" cm="1">
        <f t="array" ref="Z2198">IF(45&lt;Controls!$B$7,INDEX(H2153:H2331,MATCH(Controls!$B$5,A2153:A2331,1)+45),"")</f>
        <v/>
      </c>
      <c r="AA2198" t="str" cm="1">
        <f t="array" ref="AA2198">IF(45&lt;Controls!$B$7,INDEX(M2153:M2331,MATCH(Controls!$B$5,A2153:A2331,1)+45)*INDEX(I2153:I2331,MATCH(Controls!$B$5,A2153:A2331,1)+45),"")</f>
        <v/>
      </c>
      <c r="AB2198">
        <f t="shared" si="262"/>
        <v>0</v>
      </c>
    </row>
    <row r="2199" spans="1:28" x14ac:dyDescent="0.35">
      <c r="A2199" s="153">
        <v>47453</v>
      </c>
      <c r="B2199" s="155" t="s">
        <v>960</v>
      </c>
      <c r="C2199" s="15" t="s">
        <v>28</v>
      </c>
      <c r="D2199" s="15" t="s">
        <v>29</v>
      </c>
      <c r="E2199" s="199">
        <f>H2198</f>
        <v>0</v>
      </c>
      <c r="F2199" s="199">
        <f>IFERROR(SUMIFS('Demand Inputs'!$AZ$5:$AZ$202,'Demand Inputs'!$A$5:$A$202,"47mg LP - EU Stock",'Demand Inputs'!$B$5:$B$202,"&lt;&gt;AGGREGATE",'Demand Inputs'!$E$5:$E$202,1),0)</f>
        <v>0</v>
      </c>
      <c r="G2199" s="199" cm="1">
        <f t="array" ref="G2199">IFERROR(SUMPRODUCT(('Production Inputs'!$A:$A="47mg LP - EU Stock")*('Production Inputs'!$B:$B="TOTAL ACTIVE")*'Production Inputs'!$BF:$BF),0)</f>
        <v>0</v>
      </c>
      <c r="H2199" s="199">
        <f t="shared" si="256"/>
        <v>0</v>
      </c>
      <c r="I2199" s="30">
        <f ca="1">IFERROR(AVERAGEIF(OFFSET(F2199,0,0,MIN(Controls!$B$8,COUNTIF(B2199:B$2331,B2199)),1),"&gt;"&amp;0),0)</f>
        <v>0</v>
      </c>
      <c r="J2199" s="38">
        <f t="shared" ca="1" si="257"/>
        <v>0</v>
      </c>
      <c r="K2199" s="30">
        <f t="shared" ca="1" si="258"/>
        <v>0</v>
      </c>
      <c r="L2199" t="str">
        <f t="shared" si="259"/>
        <v>High</v>
      </c>
      <c r="M2199" s="39">
        <f>IFERROR(VLOOKUP("47mg LP - EU Stock",Controls!A:I,7,0),6)</f>
        <v>9</v>
      </c>
      <c r="N2199" s="39">
        <f>IFERROR(VLOOKUP("47mg LP - EU Stock",Controls!A:I,8,0),3)</f>
        <v>8</v>
      </c>
      <c r="O2199" s="39">
        <f>IFERROR(VLOOKUP("47mg LP - EU Stock",Controls!A:I,9,0),18)</f>
        <v>18</v>
      </c>
      <c r="P2199" s="40">
        <f>IFERROR(VLOOKUP("47mg LP - EU Stock",Controls!A:J,5,0),0)</f>
        <v>10000</v>
      </c>
      <c r="Q2199" s="39">
        <f>IFERROR(VLOOKUP("47mg LP - EU Stock",Controls!A:J,6,0),3)</f>
        <v>3</v>
      </c>
      <c r="R2199" s="21" t="str">
        <f>IFERROR(VLOOKUP("47mg LP - EU Stock",Controls!A:K,10,0),"")</f>
        <v>Patheon (L&amp;P EU)</v>
      </c>
      <c r="S2199" s="41">
        <f t="shared" si="260"/>
        <v>47362</v>
      </c>
      <c r="T2199" s="30">
        <f t="shared" si="261"/>
        <v>0</v>
      </c>
      <c r="W2199" s="205" t="str" cm="1">
        <f t="array" ref="W2199">IF(46&lt;Controls!$B$7,TEXT(INDEX(A2153:A2331,MATCH(Controls!$B$5,A2153:A2331,1)+46),"MMM-YY"),"")</f>
        <v/>
      </c>
      <c r="X2199" t="str" cm="1">
        <f t="array" ref="X2199">IF(46&lt;Controls!$B$7,INDEX(F2153:F2331,MATCH(Controls!$B$5,A2153:A2331,1)+46),"")</f>
        <v/>
      </c>
      <c r="Y2199" t="str" cm="1">
        <f t="array" ref="Y2199">IF(46&lt;Controls!$B$7,INDEX(G2153:G2331,MATCH(Controls!$B$5,A2153:A2331,1)+46),"")</f>
        <v/>
      </c>
      <c r="Z2199" t="str" cm="1">
        <f t="array" ref="Z2199">IF(46&lt;Controls!$B$7,INDEX(H2153:H2331,MATCH(Controls!$B$5,A2153:A2331,1)+46),"")</f>
        <v/>
      </c>
      <c r="AA2199" t="str" cm="1">
        <f t="array" ref="AA2199">IF(46&lt;Controls!$B$7,INDEX(M2153:M2331,MATCH(Controls!$B$5,A2153:A2331,1)+46)*INDEX(I2153:I2331,MATCH(Controls!$B$5,A2153:A2331,1)+46),"")</f>
        <v/>
      </c>
      <c r="AB2199">
        <f t="shared" si="262"/>
        <v>0</v>
      </c>
    </row>
    <row r="2200" spans="1:28" x14ac:dyDescent="0.35">
      <c r="A2200" s="153">
        <v>47484</v>
      </c>
      <c r="B2200" s="155" t="s">
        <v>960</v>
      </c>
      <c r="C2200" s="15" t="s">
        <v>28</v>
      </c>
      <c r="D2200" s="15" t="s">
        <v>29</v>
      </c>
      <c r="E2200" s="199">
        <f>H2199</f>
        <v>0</v>
      </c>
      <c r="F2200" s="199">
        <f>IFERROR(SUMIFS('Demand Inputs'!$BA$5:$BA$202,'Demand Inputs'!$A$5:$A$202,"47mg LP - EU Stock",'Demand Inputs'!$B$5:$B$202,"&lt;&gt;AGGREGATE",'Demand Inputs'!$E$5:$E$202,1),0)</f>
        <v>0</v>
      </c>
      <c r="G2200" s="199" cm="1">
        <f t="array" ref="G2200">IFERROR(SUMPRODUCT(('Production Inputs'!$A:$A="47mg LP - EU Stock")*('Production Inputs'!$B:$B="TOTAL ACTIVE")*'Production Inputs'!$BG:$BG),0)</f>
        <v>0</v>
      </c>
      <c r="H2200" s="199">
        <f t="shared" si="256"/>
        <v>0</v>
      </c>
      <c r="I2200" s="30">
        <f ca="1">IFERROR(AVERAGEIF(OFFSET(F2200,0,0,MIN(Controls!$B$8,COUNTIF(B2200:B$2331,B2200)),1),"&gt;"&amp;0),0)</f>
        <v>0</v>
      </c>
      <c r="J2200" s="38">
        <f t="shared" ca="1" si="257"/>
        <v>0</v>
      </c>
      <c r="K2200" s="30">
        <f t="shared" ca="1" si="258"/>
        <v>0</v>
      </c>
      <c r="L2200" t="str">
        <f t="shared" si="259"/>
        <v>High</v>
      </c>
      <c r="M2200" s="39">
        <f>IFERROR(VLOOKUP("47mg LP - EU Stock",Controls!A:I,7,0),6)</f>
        <v>9</v>
      </c>
      <c r="N2200" s="39">
        <f>IFERROR(VLOOKUP("47mg LP - EU Stock",Controls!A:I,8,0),3)</f>
        <v>8</v>
      </c>
      <c r="O2200" s="39">
        <f>IFERROR(VLOOKUP("47mg LP - EU Stock",Controls!A:I,9,0),18)</f>
        <v>18</v>
      </c>
      <c r="P2200" s="40">
        <f>IFERROR(VLOOKUP("47mg LP - EU Stock",Controls!A:J,5,0),0)</f>
        <v>10000</v>
      </c>
      <c r="Q2200" s="39">
        <f>IFERROR(VLOOKUP("47mg LP - EU Stock",Controls!A:J,6,0),3)</f>
        <v>3</v>
      </c>
      <c r="R2200" s="21" t="str">
        <f>IFERROR(VLOOKUP("47mg LP - EU Stock",Controls!A:K,10,0),"")</f>
        <v>Patheon (L&amp;P EU)</v>
      </c>
      <c r="S2200" s="41">
        <f t="shared" si="260"/>
        <v>47392</v>
      </c>
      <c r="T2200" s="30">
        <f t="shared" si="261"/>
        <v>0</v>
      </c>
      <c r="W2200" s="205" t="str" cm="1">
        <f t="array" ref="W2200">IF(47&lt;Controls!$B$7,TEXT(INDEX(A2153:A2331,MATCH(Controls!$B$5,A2153:A2331,1)+47),"MMM-YY"),"")</f>
        <v/>
      </c>
      <c r="X2200" t="str" cm="1">
        <f t="array" ref="X2200">IF(47&lt;Controls!$B$7,INDEX(F2153:F2331,MATCH(Controls!$B$5,A2153:A2331,1)+47),"")</f>
        <v/>
      </c>
      <c r="Y2200" t="str" cm="1">
        <f t="array" ref="Y2200">IF(47&lt;Controls!$B$7,INDEX(G2153:G2331,MATCH(Controls!$B$5,A2153:A2331,1)+47),"")</f>
        <v/>
      </c>
      <c r="Z2200" t="str" cm="1">
        <f t="array" ref="Z2200">IF(47&lt;Controls!$B$7,INDEX(H2153:H2331,MATCH(Controls!$B$5,A2153:A2331,1)+47),"")</f>
        <v/>
      </c>
      <c r="AA2200" t="str" cm="1">
        <f t="array" ref="AA2200">IF(47&lt;Controls!$B$7,INDEX(M2153:M2331,MATCH(Controls!$B$5,A2153:A2331,1)+47)*INDEX(I2153:I2331,MATCH(Controls!$B$5,A2153:A2331,1)+47),"")</f>
        <v/>
      </c>
      <c r="AB2200">
        <f t="shared" si="262"/>
        <v>0</v>
      </c>
    </row>
    <row r="2201" spans="1:28" x14ac:dyDescent="0.35">
      <c r="A2201" s="153">
        <v>47515</v>
      </c>
      <c r="B2201" s="155" t="s">
        <v>960</v>
      </c>
      <c r="C2201" s="15" t="s">
        <v>28</v>
      </c>
      <c r="D2201" s="15" t="s">
        <v>29</v>
      </c>
      <c r="E2201" s="199">
        <f>H2200</f>
        <v>0</v>
      </c>
      <c r="F2201" s="199">
        <f>IFERROR(SUMIFS('Demand Inputs'!$BB$5:$BB$202,'Demand Inputs'!$A$5:$A$202,"47mg LP - EU Stock",'Demand Inputs'!$B$5:$B$202,"&lt;&gt;AGGREGATE",'Demand Inputs'!$E$5:$E$202,1),0)</f>
        <v>0</v>
      </c>
      <c r="G2201" s="199" cm="1">
        <f t="array" ref="G2201">IFERROR(SUMPRODUCT(('Production Inputs'!$A:$A="47mg LP - EU Stock")*('Production Inputs'!$B:$B="TOTAL ACTIVE")*'Production Inputs'!$BH:$BH),0)</f>
        <v>0</v>
      </c>
      <c r="H2201" s="199">
        <f t="shared" si="256"/>
        <v>0</v>
      </c>
      <c r="I2201" s="30">
        <f ca="1">IFERROR(AVERAGEIF(OFFSET(F2201,0,0,MIN(Controls!$B$8,COUNTIF(B2201:B$2331,B2201)),1),"&gt;"&amp;0),0)</f>
        <v>0</v>
      </c>
      <c r="J2201" s="38">
        <f t="shared" ca="1" si="257"/>
        <v>0</v>
      </c>
      <c r="K2201" s="30">
        <f t="shared" ca="1" si="258"/>
        <v>0</v>
      </c>
      <c r="L2201" t="str">
        <f t="shared" si="259"/>
        <v>High</v>
      </c>
      <c r="M2201" s="39">
        <f>IFERROR(VLOOKUP("47mg LP - EU Stock",Controls!A:I,7,0),6)</f>
        <v>9</v>
      </c>
      <c r="N2201" s="39">
        <f>IFERROR(VLOOKUP("47mg LP - EU Stock",Controls!A:I,8,0),3)</f>
        <v>8</v>
      </c>
      <c r="O2201" s="39">
        <f>IFERROR(VLOOKUP("47mg LP - EU Stock",Controls!A:I,9,0),18)</f>
        <v>18</v>
      </c>
      <c r="P2201" s="40">
        <f>IFERROR(VLOOKUP("47mg LP - EU Stock",Controls!A:J,5,0),0)</f>
        <v>10000</v>
      </c>
      <c r="Q2201" s="39">
        <f>IFERROR(VLOOKUP("47mg LP - EU Stock",Controls!A:J,6,0),3)</f>
        <v>3</v>
      </c>
      <c r="R2201" s="21" t="str">
        <f>IFERROR(VLOOKUP("47mg LP - EU Stock",Controls!A:K,10,0),"")</f>
        <v>Patheon (L&amp;P EU)</v>
      </c>
      <c r="S2201" s="41">
        <f t="shared" si="260"/>
        <v>47423</v>
      </c>
      <c r="T2201" s="30">
        <f t="shared" si="261"/>
        <v>0</v>
      </c>
      <c r="W2201" s="205" t="str" cm="1">
        <f t="array" ref="W2201">IF(48&lt;Controls!$B$7,TEXT(INDEX(A2153:A2331,MATCH(Controls!$B$5,A2153:A2331,1)+48),"MMM-YY"),"")</f>
        <v/>
      </c>
      <c r="X2201" t="str" cm="1">
        <f t="array" ref="X2201">IF(48&lt;Controls!$B$7,INDEX(F2153:F2331,MATCH(Controls!$B$5,A2153:A2331,1)+48),"")</f>
        <v/>
      </c>
      <c r="Y2201" t="str" cm="1">
        <f t="array" ref="Y2201">IF(48&lt;Controls!$B$7,INDEX(G2153:G2331,MATCH(Controls!$B$5,A2153:A2331,1)+48),"")</f>
        <v/>
      </c>
      <c r="Z2201" t="str" cm="1">
        <f t="array" ref="Z2201">IF(48&lt;Controls!$B$7,INDEX(H2153:H2331,MATCH(Controls!$B$5,A2153:A2331,1)+48),"")</f>
        <v/>
      </c>
      <c r="AA2201" t="str" cm="1">
        <f t="array" ref="AA2201">IF(48&lt;Controls!$B$7,INDEX(M2153:M2331,MATCH(Controls!$B$5,A2153:A2331,1)+48)*INDEX(I2153:I2331,MATCH(Controls!$B$5,A2153:A2331,1)+48),"")</f>
        <v/>
      </c>
      <c r="AB2201">
        <f t="shared" si="262"/>
        <v>0</v>
      </c>
    </row>
    <row r="2202" spans="1:28" x14ac:dyDescent="0.35">
      <c r="A2202" s="153">
        <v>47543</v>
      </c>
      <c r="B2202" s="155" t="s">
        <v>960</v>
      </c>
      <c r="C2202" s="15" t="s">
        <v>28</v>
      </c>
      <c r="D2202" s="15" t="s">
        <v>29</v>
      </c>
      <c r="E2202" s="199">
        <f>H2201</f>
        <v>0</v>
      </c>
      <c r="F2202" s="199">
        <f>IFERROR(SUMIFS('Demand Inputs'!$BC$5:$BC$202,'Demand Inputs'!$A$5:$A$202,"47mg LP - EU Stock",'Demand Inputs'!$B$5:$B$202,"&lt;&gt;AGGREGATE",'Demand Inputs'!$E$5:$E$202,1),0)</f>
        <v>0</v>
      </c>
      <c r="G2202" s="199" cm="1">
        <f t="array" ref="G2202">IFERROR(SUMPRODUCT(('Production Inputs'!$A:$A="47mg LP - EU Stock")*('Production Inputs'!$B:$B="TOTAL ACTIVE")*'Production Inputs'!$BI:$BI),0)</f>
        <v>0</v>
      </c>
      <c r="H2202" s="199">
        <f t="shared" si="256"/>
        <v>0</v>
      </c>
      <c r="I2202" s="30">
        <f ca="1">IFERROR(AVERAGEIF(OFFSET(F2202,0,0,MIN(Controls!$B$8,COUNTIF(B2202:B$2331,B2202)),1),"&gt;"&amp;0),0)</f>
        <v>0</v>
      </c>
      <c r="J2202" s="38">
        <f t="shared" ca="1" si="257"/>
        <v>0</v>
      </c>
      <c r="K2202" s="30">
        <f t="shared" ca="1" si="258"/>
        <v>0</v>
      </c>
      <c r="L2202" t="str">
        <f t="shared" si="259"/>
        <v>High</v>
      </c>
      <c r="M2202" s="39">
        <f>IFERROR(VLOOKUP("47mg LP - EU Stock",Controls!A:I,7,0),6)</f>
        <v>9</v>
      </c>
      <c r="N2202" s="39">
        <f>IFERROR(VLOOKUP("47mg LP - EU Stock",Controls!A:I,8,0),3)</f>
        <v>8</v>
      </c>
      <c r="O2202" s="39">
        <f>IFERROR(VLOOKUP("47mg LP - EU Stock",Controls!A:I,9,0),18)</f>
        <v>18</v>
      </c>
      <c r="P2202" s="40">
        <f>IFERROR(VLOOKUP("47mg LP - EU Stock",Controls!A:J,5,0),0)</f>
        <v>10000</v>
      </c>
      <c r="Q2202" s="39">
        <f>IFERROR(VLOOKUP("47mg LP - EU Stock",Controls!A:J,6,0),3)</f>
        <v>3</v>
      </c>
      <c r="R2202" s="21" t="str">
        <f>IFERROR(VLOOKUP("47mg LP - EU Stock",Controls!A:K,10,0),"")</f>
        <v>Patheon (L&amp;P EU)</v>
      </c>
      <c r="S2202" s="41">
        <f t="shared" si="260"/>
        <v>47453</v>
      </c>
      <c r="T2202" s="30">
        <f t="shared" si="261"/>
        <v>0</v>
      </c>
      <c r="W2202" s="205" t="str" cm="1">
        <f t="array" ref="W2202">IF(49&lt;Controls!$B$7,TEXT(INDEX(A2153:A2331,MATCH(Controls!$B$5,A2153:A2331,1)+49),"MMM-YY"),"")</f>
        <v/>
      </c>
      <c r="X2202" t="str" cm="1">
        <f t="array" ref="X2202">IF(49&lt;Controls!$B$7,INDEX(F2153:F2331,MATCH(Controls!$B$5,A2153:A2331,1)+49),"")</f>
        <v/>
      </c>
      <c r="Y2202" t="str" cm="1">
        <f t="array" ref="Y2202">IF(49&lt;Controls!$B$7,INDEX(G2153:G2331,MATCH(Controls!$B$5,A2153:A2331,1)+49),"")</f>
        <v/>
      </c>
      <c r="Z2202" t="str" cm="1">
        <f t="array" ref="Z2202">IF(49&lt;Controls!$B$7,INDEX(H2153:H2331,MATCH(Controls!$B$5,A2153:A2331,1)+49),"")</f>
        <v/>
      </c>
      <c r="AA2202" t="str" cm="1">
        <f t="array" ref="AA2202">IF(49&lt;Controls!$B$7,INDEX(M2153:M2331,MATCH(Controls!$B$5,A2153:A2331,1)+49)*INDEX(I2153:I2331,MATCH(Controls!$B$5,A2153:A2331,1)+49),"")</f>
        <v/>
      </c>
      <c r="AB2202">
        <f t="shared" si="262"/>
        <v>0</v>
      </c>
    </row>
    <row r="2203" spans="1:28" x14ac:dyDescent="0.35">
      <c r="A2203" s="153">
        <v>47574</v>
      </c>
      <c r="B2203" s="155" t="s">
        <v>960</v>
      </c>
      <c r="C2203" s="15" t="s">
        <v>28</v>
      </c>
      <c r="D2203" s="15" t="s">
        <v>29</v>
      </c>
      <c r="E2203" s="199">
        <f>H2202</f>
        <v>0</v>
      </c>
      <c r="F2203" s="199">
        <f>IFERROR(SUMIFS('Demand Inputs'!$BD$5:$BD$202,'Demand Inputs'!$A$5:$A$202,"47mg LP - EU Stock",'Demand Inputs'!$B$5:$B$202,"&lt;&gt;AGGREGATE",'Demand Inputs'!$E$5:$E$202,1),0)</f>
        <v>0</v>
      </c>
      <c r="G2203" s="199" cm="1">
        <f t="array" ref="G2203">IFERROR(SUMPRODUCT(('Production Inputs'!$A:$A="47mg LP - EU Stock")*('Production Inputs'!$B:$B="TOTAL ACTIVE")*'Production Inputs'!$BJ:$BJ),0)</f>
        <v>0</v>
      </c>
      <c r="H2203" s="199">
        <f t="shared" si="256"/>
        <v>0</v>
      </c>
      <c r="I2203" s="30">
        <f ca="1">IFERROR(AVERAGEIF(OFFSET(F2203,0,0,MIN(Controls!$B$8,COUNTIF(B2203:B$2331,B2203)),1),"&gt;"&amp;0),0)</f>
        <v>0</v>
      </c>
      <c r="J2203" s="38">
        <f t="shared" ca="1" si="257"/>
        <v>0</v>
      </c>
      <c r="K2203" s="30">
        <f t="shared" ca="1" si="258"/>
        <v>0</v>
      </c>
      <c r="L2203" t="str">
        <f t="shared" si="259"/>
        <v>High</v>
      </c>
      <c r="M2203" s="39">
        <f>IFERROR(VLOOKUP("47mg LP - EU Stock",Controls!A:I,7,0),6)</f>
        <v>9</v>
      </c>
      <c r="N2203" s="39">
        <f>IFERROR(VLOOKUP("47mg LP - EU Stock",Controls!A:I,8,0),3)</f>
        <v>8</v>
      </c>
      <c r="O2203" s="39">
        <f>IFERROR(VLOOKUP("47mg LP - EU Stock",Controls!A:I,9,0),18)</f>
        <v>18</v>
      </c>
      <c r="P2203" s="40">
        <f>IFERROR(VLOOKUP("47mg LP - EU Stock",Controls!A:J,5,0),0)</f>
        <v>10000</v>
      </c>
      <c r="Q2203" s="39">
        <f>IFERROR(VLOOKUP("47mg LP - EU Stock",Controls!A:J,6,0),3)</f>
        <v>3</v>
      </c>
      <c r="R2203" s="21" t="str">
        <f>IFERROR(VLOOKUP("47mg LP - EU Stock",Controls!A:K,10,0),"")</f>
        <v>Patheon (L&amp;P EU)</v>
      </c>
      <c r="S2203" s="41">
        <f t="shared" si="260"/>
        <v>47484</v>
      </c>
      <c r="T2203" s="30">
        <f t="shared" si="261"/>
        <v>0</v>
      </c>
      <c r="W2203" s="205" t="str" cm="1">
        <f t="array" ref="W2203">IF(50&lt;Controls!$B$7,TEXT(INDEX(A2153:A2331,MATCH(Controls!$B$5,A2153:A2331,1)+50),"MMM-YY"),"")</f>
        <v/>
      </c>
      <c r="X2203" t="str" cm="1">
        <f t="array" ref="X2203">IF(50&lt;Controls!$B$7,INDEX(F2153:F2331,MATCH(Controls!$B$5,A2153:A2331,1)+50),"")</f>
        <v/>
      </c>
      <c r="Y2203" t="str" cm="1">
        <f t="array" ref="Y2203">IF(50&lt;Controls!$B$7,INDEX(G2153:G2331,MATCH(Controls!$B$5,A2153:A2331,1)+50),"")</f>
        <v/>
      </c>
      <c r="Z2203" t="str" cm="1">
        <f t="array" ref="Z2203">IF(50&lt;Controls!$B$7,INDEX(H2153:H2331,MATCH(Controls!$B$5,A2153:A2331,1)+50),"")</f>
        <v/>
      </c>
      <c r="AA2203" t="str" cm="1">
        <f t="array" ref="AA2203">IF(50&lt;Controls!$B$7,INDEX(M2153:M2331,MATCH(Controls!$B$5,A2153:A2331,1)+50)*INDEX(I2153:I2331,MATCH(Controls!$B$5,A2153:A2331,1)+50),"")</f>
        <v/>
      </c>
      <c r="AB2203">
        <f t="shared" si="262"/>
        <v>0</v>
      </c>
    </row>
    <row r="2204" spans="1:28" x14ac:dyDescent="0.35">
      <c r="A2204" s="153">
        <v>47604</v>
      </c>
      <c r="B2204" s="155" t="s">
        <v>960</v>
      </c>
      <c r="C2204" s="15" t="s">
        <v>28</v>
      </c>
      <c r="D2204" s="15" t="s">
        <v>29</v>
      </c>
      <c r="E2204" s="199">
        <f>H2203</f>
        <v>0</v>
      </c>
      <c r="F2204" s="199">
        <f>IFERROR(SUMIFS('Demand Inputs'!$BE$5:$BE$202,'Demand Inputs'!$A$5:$A$202,"47mg LP - EU Stock",'Demand Inputs'!$B$5:$B$202,"&lt;&gt;AGGREGATE",'Demand Inputs'!$E$5:$E$202,1),0)</f>
        <v>0</v>
      </c>
      <c r="G2204" s="199" cm="1">
        <f t="array" ref="G2204">IFERROR(SUMPRODUCT(('Production Inputs'!$A:$A="47mg LP - EU Stock")*('Production Inputs'!$B:$B="TOTAL ACTIVE")*'Production Inputs'!$BK:$BK),0)</f>
        <v>0</v>
      </c>
      <c r="H2204" s="199">
        <f t="shared" si="256"/>
        <v>0</v>
      </c>
      <c r="I2204" s="30">
        <f ca="1">IFERROR(AVERAGEIF(OFFSET(F2204,0,0,MIN(Controls!$B$8,COUNTIF(B2204:B$2331,B2204)),1),"&gt;"&amp;0),0)</f>
        <v>0</v>
      </c>
      <c r="J2204" s="38">
        <f t="shared" ca="1" si="257"/>
        <v>0</v>
      </c>
      <c r="K2204" s="30">
        <f t="shared" ca="1" si="258"/>
        <v>0</v>
      </c>
      <c r="L2204" t="str">
        <f t="shared" si="259"/>
        <v>High</v>
      </c>
      <c r="M2204" s="39">
        <f>IFERROR(VLOOKUP("47mg LP - EU Stock",Controls!A:I,7,0),6)</f>
        <v>9</v>
      </c>
      <c r="N2204" s="39">
        <f>IFERROR(VLOOKUP("47mg LP - EU Stock",Controls!A:I,8,0),3)</f>
        <v>8</v>
      </c>
      <c r="O2204" s="39">
        <f>IFERROR(VLOOKUP("47mg LP - EU Stock",Controls!A:I,9,0),18)</f>
        <v>18</v>
      </c>
      <c r="P2204" s="40">
        <f>IFERROR(VLOOKUP("47mg LP - EU Stock",Controls!A:J,5,0),0)</f>
        <v>10000</v>
      </c>
      <c r="Q2204" s="39">
        <f>IFERROR(VLOOKUP("47mg LP - EU Stock",Controls!A:J,6,0),3)</f>
        <v>3</v>
      </c>
      <c r="R2204" s="21" t="str">
        <f>IFERROR(VLOOKUP("47mg LP - EU Stock",Controls!A:K,10,0),"")</f>
        <v>Patheon (L&amp;P EU)</v>
      </c>
      <c r="S2204" s="41">
        <f t="shared" si="260"/>
        <v>47515</v>
      </c>
      <c r="T2204" s="30">
        <f t="shared" si="261"/>
        <v>0</v>
      </c>
      <c r="W2204" s="205" t="str" cm="1">
        <f t="array" ref="W2204">IF(51&lt;Controls!$B$7,TEXT(INDEX(A2153:A2331,MATCH(Controls!$B$5,A2153:A2331,1)+51),"MMM-YY"),"")</f>
        <v/>
      </c>
      <c r="X2204" t="str" cm="1">
        <f t="array" ref="X2204">IF(51&lt;Controls!$B$7,INDEX(F2153:F2331,MATCH(Controls!$B$5,A2153:A2331,1)+51),"")</f>
        <v/>
      </c>
      <c r="Y2204" t="str" cm="1">
        <f t="array" ref="Y2204">IF(51&lt;Controls!$B$7,INDEX(G2153:G2331,MATCH(Controls!$B$5,A2153:A2331,1)+51),"")</f>
        <v/>
      </c>
      <c r="Z2204" t="str" cm="1">
        <f t="array" ref="Z2204">IF(51&lt;Controls!$B$7,INDEX(H2153:H2331,MATCH(Controls!$B$5,A2153:A2331,1)+51),"")</f>
        <v/>
      </c>
      <c r="AA2204" t="str" cm="1">
        <f t="array" ref="AA2204">IF(51&lt;Controls!$B$7,INDEX(M2153:M2331,MATCH(Controls!$B$5,A2153:A2331,1)+51)*INDEX(I2153:I2331,MATCH(Controls!$B$5,A2153:A2331,1)+51),"")</f>
        <v/>
      </c>
      <c r="AB2204">
        <f t="shared" si="262"/>
        <v>0</v>
      </c>
    </row>
    <row r="2205" spans="1:28" x14ac:dyDescent="0.35">
      <c r="A2205" s="153">
        <v>47635</v>
      </c>
      <c r="B2205" s="155" t="s">
        <v>960</v>
      </c>
      <c r="C2205" s="15" t="s">
        <v>28</v>
      </c>
      <c r="D2205" s="15" t="s">
        <v>29</v>
      </c>
      <c r="E2205" s="199">
        <f>H2204</f>
        <v>0</v>
      </c>
      <c r="F2205" s="199">
        <f>IFERROR(SUMIFS('Demand Inputs'!$BF$5:$BF$202,'Demand Inputs'!$A$5:$A$202,"47mg LP - EU Stock",'Demand Inputs'!$B$5:$B$202,"&lt;&gt;AGGREGATE",'Demand Inputs'!$E$5:$E$202,1),0)</f>
        <v>0</v>
      </c>
      <c r="G2205" s="199" cm="1">
        <f t="array" ref="G2205">IFERROR(SUMPRODUCT(('Production Inputs'!$A:$A="47mg LP - EU Stock")*('Production Inputs'!$B:$B="TOTAL ACTIVE")*'Production Inputs'!$BL:$BL),0)</f>
        <v>0</v>
      </c>
      <c r="H2205" s="199">
        <f t="shared" si="256"/>
        <v>0</v>
      </c>
      <c r="I2205" s="30">
        <f ca="1">IFERROR(AVERAGEIF(OFFSET(F2205,0,0,MIN(Controls!$B$8,COUNTIF(B2205:B$2331,B2205)),1),"&gt;"&amp;0),0)</f>
        <v>0</v>
      </c>
      <c r="J2205" s="38">
        <f t="shared" ca="1" si="257"/>
        <v>0</v>
      </c>
      <c r="K2205" s="30">
        <f t="shared" ca="1" si="258"/>
        <v>0</v>
      </c>
      <c r="L2205" t="str">
        <f t="shared" si="259"/>
        <v>High</v>
      </c>
      <c r="M2205" s="39">
        <f>IFERROR(VLOOKUP("47mg LP - EU Stock",Controls!A:I,7,0),6)</f>
        <v>9</v>
      </c>
      <c r="N2205" s="39">
        <f>IFERROR(VLOOKUP("47mg LP - EU Stock",Controls!A:I,8,0),3)</f>
        <v>8</v>
      </c>
      <c r="O2205" s="39">
        <f>IFERROR(VLOOKUP("47mg LP - EU Stock",Controls!A:I,9,0),18)</f>
        <v>18</v>
      </c>
      <c r="P2205" s="40">
        <f>IFERROR(VLOOKUP("47mg LP - EU Stock",Controls!A:J,5,0),0)</f>
        <v>10000</v>
      </c>
      <c r="Q2205" s="39">
        <f>IFERROR(VLOOKUP("47mg LP - EU Stock",Controls!A:J,6,0),3)</f>
        <v>3</v>
      </c>
      <c r="R2205" s="21" t="str">
        <f>IFERROR(VLOOKUP("47mg LP - EU Stock",Controls!A:K,10,0),"")</f>
        <v>Patheon (L&amp;P EU)</v>
      </c>
      <c r="S2205" s="41">
        <f t="shared" si="260"/>
        <v>47543</v>
      </c>
      <c r="T2205" s="30">
        <f t="shared" si="261"/>
        <v>0</v>
      </c>
      <c r="W2205" s="205" t="str" cm="1">
        <f t="array" ref="W2205">IF(52&lt;Controls!$B$7,TEXT(INDEX(A2153:A2331,MATCH(Controls!$B$5,A2153:A2331,1)+52),"MMM-YY"),"")</f>
        <v/>
      </c>
      <c r="X2205" t="str" cm="1">
        <f t="array" ref="X2205">IF(52&lt;Controls!$B$7,INDEX(F2153:F2331,MATCH(Controls!$B$5,A2153:A2331,1)+52),"")</f>
        <v/>
      </c>
      <c r="Y2205" t="str" cm="1">
        <f t="array" ref="Y2205">IF(52&lt;Controls!$B$7,INDEX(G2153:G2331,MATCH(Controls!$B$5,A2153:A2331,1)+52),"")</f>
        <v/>
      </c>
      <c r="Z2205" t="str" cm="1">
        <f t="array" ref="Z2205">IF(52&lt;Controls!$B$7,INDEX(H2153:H2331,MATCH(Controls!$B$5,A2153:A2331,1)+52),"")</f>
        <v/>
      </c>
      <c r="AA2205" t="str" cm="1">
        <f t="array" ref="AA2205">IF(52&lt;Controls!$B$7,INDEX(M2153:M2331,MATCH(Controls!$B$5,A2153:A2331,1)+52)*INDEX(I2153:I2331,MATCH(Controls!$B$5,A2153:A2331,1)+52),"")</f>
        <v/>
      </c>
      <c r="AB2205">
        <f t="shared" si="262"/>
        <v>0</v>
      </c>
    </row>
    <row r="2206" spans="1:28" x14ac:dyDescent="0.35">
      <c r="A2206" s="153">
        <v>47665</v>
      </c>
      <c r="B2206" s="155" t="s">
        <v>960</v>
      </c>
      <c r="C2206" s="15" t="s">
        <v>28</v>
      </c>
      <c r="D2206" s="15" t="s">
        <v>29</v>
      </c>
      <c r="E2206" s="199">
        <f>H2205</f>
        <v>0</v>
      </c>
      <c r="F2206" s="199">
        <f>IFERROR(SUMIFS('Demand Inputs'!$BG$5:$BG$202,'Demand Inputs'!$A$5:$A$202,"47mg LP - EU Stock",'Demand Inputs'!$B$5:$B$202,"&lt;&gt;AGGREGATE",'Demand Inputs'!$E$5:$E$202,1),0)</f>
        <v>0</v>
      </c>
      <c r="G2206" s="199" cm="1">
        <f t="array" ref="G2206">IFERROR(SUMPRODUCT(('Production Inputs'!$A:$A="47mg LP - EU Stock")*('Production Inputs'!$B:$B="TOTAL ACTIVE")*'Production Inputs'!$BM:$BM),0)</f>
        <v>0</v>
      </c>
      <c r="H2206" s="199">
        <f t="shared" si="256"/>
        <v>0</v>
      </c>
      <c r="I2206" s="30">
        <f ca="1">IFERROR(AVERAGEIF(OFFSET(F2206,0,0,MIN(Controls!$B$8,COUNTIF(B2206:B$2331,B2206)),1),"&gt;"&amp;0),0)</f>
        <v>0</v>
      </c>
      <c r="J2206" s="38">
        <f t="shared" ca="1" si="257"/>
        <v>0</v>
      </c>
      <c r="K2206" s="30">
        <f t="shared" ca="1" si="258"/>
        <v>0</v>
      </c>
      <c r="L2206" t="str">
        <f t="shared" si="259"/>
        <v>High</v>
      </c>
      <c r="M2206" s="39">
        <f>IFERROR(VLOOKUP("47mg LP - EU Stock",Controls!A:I,7,0),6)</f>
        <v>9</v>
      </c>
      <c r="N2206" s="39">
        <f>IFERROR(VLOOKUP("47mg LP - EU Stock",Controls!A:I,8,0),3)</f>
        <v>8</v>
      </c>
      <c r="O2206" s="39">
        <f>IFERROR(VLOOKUP("47mg LP - EU Stock",Controls!A:I,9,0),18)</f>
        <v>18</v>
      </c>
      <c r="P2206" s="40">
        <f>IFERROR(VLOOKUP("47mg LP - EU Stock",Controls!A:J,5,0),0)</f>
        <v>10000</v>
      </c>
      <c r="Q2206" s="39">
        <f>IFERROR(VLOOKUP("47mg LP - EU Stock",Controls!A:J,6,0),3)</f>
        <v>3</v>
      </c>
      <c r="R2206" s="21" t="str">
        <f>IFERROR(VLOOKUP("47mg LP - EU Stock",Controls!A:K,10,0),"")</f>
        <v>Patheon (L&amp;P EU)</v>
      </c>
      <c r="S2206" s="41">
        <f t="shared" si="260"/>
        <v>47574</v>
      </c>
      <c r="T2206" s="30">
        <f t="shared" si="261"/>
        <v>0</v>
      </c>
      <c r="W2206" s="205" t="str" cm="1">
        <f t="array" ref="W2206">IF(53&lt;Controls!$B$7,TEXT(INDEX(A2153:A2331,MATCH(Controls!$B$5,A2153:A2331,1)+53),"MMM-YY"),"")</f>
        <v/>
      </c>
      <c r="X2206" t="str" cm="1">
        <f t="array" ref="X2206">IF(53&lt;Controls!$B$7,INDEX(F2153:F2331,MATCH(Controls!$B$5,A2153:A2331,1)+53),"")</f>
        <v/>
      </c>
      <c r="Y2206" t="str" cm="1">
        <f t="array" ref="Y2206">IF(53&lt;Controls!$B$7,INDEX(G2153:G2331,MATCH(Controls!$B$5,A2153:A2331,1)+53),"")</f>
        <v/>
      </c>
      <c r="Z2206" t="str" cm="1">
        <f t="array" ref="Z2206">IF(53&lt;Controls!$B$7,INDEX(H2153:H2331,MATCH(Controls!$B$5,A2153:A2331,1)+53),"")</f>
        <v/>
      </c>
      <c r="AA2206" t="str" cm="1">
        <f t="array" ref="AA2206">IF(53&lt;Controls!$B$7,INDEX(M2153:M2331,MATCH(Controls!$B$5,A2153:A2331,1)+53)*INDEX(I2153:I2331,MATCH(Controls!$B$5,A2153:A2331,1)+53),"")</f>
        <v/>
      </c>
      <c r="AB2206">
        <f t="shared" si="262"/>
        <v>0</v>
      </c>
    </row>
    <row r="2207" spans="1:28" x14ac:dyDescent="0.35">
      <c r="A2207" s="153">
        <v>47696</v>
      </c>
      <c r="B2207" s="155" t="s">
        <v>960</v>
      </c>
      <c r="C2207" s="15" t="s">
        <v>28</v>
      </c>
      <c r="D2207" s="15" t="s">
        <v>29</v>
      </c>
      <c r="E2207" s="199">
        <f>H2206</f>
        <v>0</v>
      </c>
      <c r="F2207" s="199">
        <f>IFERROR(SUMIFS('Demand Inputs'!$BH$5:$BH$202,'Demand Inputs'!$A$5:$A$202,"47mg LP - EU Stock",'Demand Inputs'!$B$5:$B$202,"&lt;&gt;AGGREGATE",'Demand Inputs'!$E$5:$E$202,1),0)</f>
        <v>0</v>
      </c>
      <c r="G2207" s="199" cm="1">
        <f t="array" ref="G2207">IFERROR(SUMPRODUCT(('Production Inputs'!$A:$A="47mg LP - EU Stock")*('Production Inputs'!$B:$B="TOTAL ACTIVE")*'Production Inputs'!$BN:$BN),0)</f>
        <v>0</v>
      </c>
      <c r="H2207" s="199">
        <f t="shared" si="256"/>
        <v>0</v>
      </c>
      <c r="I2207" s="30">
        <f ca="1">IFERROR(AVERAGEIF(OFFSET(F2207,0,0,MIN(Controls!$B$8,COUNTIF(B2207:B$2331,B2207)),1),"&gt;"&amp;0),0)</f>
        <v>0</v>
      </c>
      <c r="J2207" s="38">
        <f t="shared" ca="1" si="257"/>
        <v>0</v>
      </c>
      <c r="K2207" s="30">
        <f t="shared" ca="1" si="258"/>
        <v>0</v>
      </c>
      <c r="L2207" t="str">
        <f t="shared" si="259"/>
        <v>High</v>
      </c>
      <c r="M2207" s="39">
        <f>IFERROR(VLOOKUP("47mg LP - EU Stock",Controls!A:I,7,0),6)</f>
        <v>9</v>
      </c>
      <c r="N2207" s="39">
        <f>IFERROR(VLOOKUP("47mg LP - EU Stock",Controls!A:I,8,0),3)</f>
        <v>8</v>
      </c>
      <c r="O2207" s="39">
        <f>IFERROR(VLOOKUP("47mg LP - EU Stock",Controls!A:I,9,0),18)</f>
        <v>18</v>
      </c>
      <c r="P2207" s="40">
        <f>IFERROR(VLOOKUP("47mg LP - EU Stock",Controls!A:J,5,0),0)</f>
        <v>10000</v>
      </c>
      <c r="Q2207" s="39">
        <f>IFERROR(VLOOKUP("47mg LP - EU Stock",Controls!A:J,6,0),3)</f>
        <v>3</v>
      </c>
      <c r="R2207" s="21" t="str">
        <f>IFERROR(VLOOKUP("47mg LP - EU Stock",Controls!A:K,10,0),"")</f>
        <v>Patheon (L&amp;P EU)</v>
      </c>
      <c r="S2207" s="41">
        <f t="shared" si="260"/>
        <v>47604</v>
      </c>
      <c r="T2207" s="30">
        <f t="shared" si="261"/>
        <v>0</v>
      </c>
      <c r="W2207" s="205" t="str" cm="1">
        <f t="array" ref="W2207">IF(54&lt;Controls!$B$7,TEXT(INDEX(A2153:A2331,MATCH(Controls!$B$5,A2153:A2331,1)+54),"MMM-YY"),"")</f>
        <v/>
      </c>
      <c r="X2207" t="str" cm="1">
        <f t="array" ref="X2207">IF(54&lt;Controls!$B$7,INDEX(F2153:F2331,MATCH(Controls!$B$5,A2153:A2331,1)+54),"")</f>
        <v/>
      </c>
      <c r="Y2207" t="str" cm="1">
        <f t="array" ref="Y2207">IF(54&lt;Controls!$B$7,INDEX(G2153:G2331,MATCH(Controls!$B$5,A2153:A2331,1)+54),"")</f>
        <v/>
      </c>
      <c r="Z2207" t="str" cm="1">
        <f t="array" ref="Z2207">IF(54&lt;Controls!$B$7,INDEX(H2153:H2331,MATCH(Controls!$B$5,A2153:A2331,1)+54),"")</f>
        <v/>
      </c>
      <c r="AA2207" t="str" cm="1">
        <f t="array" ref="AA2207">IF(54&lt;Controls!$B$7,INDEX(M2153:M2331,MATCH(Controls!$B$5,A2153:A2331,1)+54)*INDEX(I2153:I2331,MATCH(Controls!$B$5,A2153:A2331,1)+54),"")</f>
        <v/>
      </c>
      <c r="AB2207">
        <f t="shared" si="262"/>
        <v>0</v>
      </c>
    </row>
    <row r="2208" spans="1:28" x14ac:dyDescent="0.35">
      <c r="A2208" s="153">
        <v>47727</v>
      </c>
      <c r="B2208" s="155" t="s">
        <v>960</v>
      </c>
      <c r="C2208" s="15" t="s">
        <v>28</v>
      </c>
      <c r="D2208" s="15" t="s">
        <v>29</v>
      </c>
      <c r="E2208" s="199">
        <f>H2207</f>
        <v>0</v>
      </c>
      <c r="F2208" s="199">
        <f>IFERROR(SUMIFS('Demand Inputs'!$BI$5:$BI$202,'Demand Inputs'!$A$5:$A$202,"47mg LP - EU Stock",'Demand Inputs'!$B$5:$B$202,"&lt;&gt;AGGREGATE",'Demand Inputs'!$E$5:$E$202,1),0)</f>
        <v>0</v>
      </c>
      <c r="G2208" s="199" cm="1">
        <f t="array" ref="G2208">IFERROR(SUMPRODUCT(('Production Inputs'!$A:$A="47mg LP - EU Stock")*('Production Inputs'!$B:$B="TOTAL ACTIVE")*'Production Inputs'!$BO:$BO),0)</f>
        <v>0</v>
      </c>
      <c r="H2208" s="199">
        <f t="shared" si="256"/>
        <v>0</v>
      </c>
      <c r="I2208" s="30">
        <f ca="1">IFERROR(AVERAGEIF(OFFSET(F2208,0,0,MIN(Controls!$B$8,COUNTIF(B2208:B$2331,B2208)),1),"&gt;"&amp;0),0)</f>
        <v>0</v>
      </c>
      <c r="J2208" s="38">
        <f t="shared" ca="1" si="257"/>
        <v>0</v>
      </c>
      <c r="K2208" s="30">
        <f t="shared" ca="1" si="258"/>
        <v>0</v>
      </c>
      <c r="L2208" t="str">
        <f t="shared" si="259"/>
        <v>High</v>
      </c>
      <c r="M2208" s="39">
        <f>IFERROR(VLOOKUP("47mg LP - EU Stock",Controls!A:I,7,0),6)</f>
        <v>9</v>
      </c>
      <c r="N2208" s="39">
        <f>IFERROR(VLOOKUP("47mg LP - EU Stock",Controls!A:I,8,0),3)</f>
        <v>8</v>
      </c>
      <c r="O2208" s="39">
        <f>IFERROR(VLOOKUP("47mg LP - EU Stock",Controls!A:I,9,0),18)</f>
        <v>18</v>
      </c>
      <c r="P2208" s="40">
        <f>IFERROR(VLOOKUP("47mg LP - EU Stock",Controls!A:J,5,0),0)</f>
        <v>10000</v>
      </c>
      <c r="Q2208" s="39">
        <f>IFERROR(VLOOKUP("47mg LP - EU Stock",Controls!A:J,6,0),3)</f>
        <v>3</v>
      </c>
      <c r="R2208" s="21" t="str">
        <f>IFERROR(VLOOKUP("47mg LP - EU Stock",Controls!A:K,10,0),"")</f>
        <v>Patheon (L&amp;P EU)</v>
      </c>
      <c r="S2208" s="41">
        <f t="shared" si="260"/>
        <v>47635</v>
      </c>
      <c r="T2208" s="30">
        <f t="shared" si="261"/>
        <v>0</v>
      </c>
      <c r="W2208" s="205" t="str" cm="1">
        <f t="array" ref="W2208">IF(55&lt;Controls!$B$7,TEXT(INDEX(A2153:A2331,MATCH(Controls!$B$5,A2153:A2331,1)+55),"MMM-YY"),"")</f>
        <v/>
      </c>
      <c r="X2208" t="str" cm="1">
        <f t="array" ref="X2208">IF(55&lt;Controls!$B$7,INDEX(F2153:F2331,MATCH(Controls!$B$5,A2153:A2331,1)+55),"")</f>
        <v/>
      </c>
      <c r="Y2208" t="str" cm="1">
        <f t="array" ref="Y2208">IF(55&lt;Controls!$B$7,INDEX(G2153:G2331,MATCH(Controls!$B$5,A2153:A2331,1)+55),"")</f>
        <v/>
      </c>
      <c r="Z2208" t="str" cm="1">
        <f t="array" ref="Z2208">IF(55&lt;Controls!$B$7,INDEX(H2153:H2331,MATCH(Controls!$B$5,A2153:A2331,1)+55),"")</f>
        <v/>
      </c>
      <c r="AA2208" t="str" cm="1">
        <f t="array" ref="AA2208">IF(55&lt;Controls!$B$7,INDEX(M2153:M2331,MATCH(Controls!$B$5,A2153:A2331,1)+55)*INDEX(I2153:I2331,MATCH(Controls!$B$5,A2153:A2331,1)+55),"")</f>
        <v/>
      </c>
      <c r="AB2208">
        <f t="shared" si="262"/>
        <v>0</v>
      </c>
    </row>
    <row r="2209" spans="1:28" x14ac:dyDescent="0.35">
      <c r="A2209" s="153">
        <v>47757</v>
      </c>
      <c r="B2209" s="155" t="s">
        <v>960</v>
      </c>
      <c r="C2209" s="15" t="s">
        <v>28</v>
      </c>
      <c r="D2209" s="15" t="s">
        <v>29</v>
      </c>
      <c r="E2209" s="199">
        <f>H2208</f>
        <v>0</v>
      </c>
      <c r="F2209" s="199">
        <f>IFERROR(SUMIFS('Demand Inputs'!$BJ$5:$BJ$202,'Demand Inputs'!$A$5:$A$202,"47mg LP - EU Stock",'Demand Inputs'!$B$5:$B$202,"&lt;&gt;AGGREGATE",'Demand Inputs'!$E$5:$E$202,1),0)</f>
        <v>0</v>
      </c>
      <c r="G2209" s="199" cm="1">
        <f t="array" ref="G2209">IFERROR(SUMPRODUCT(('Production Inputs'!$A:$A="47mg LP - EU Stock")*('Production Inputs'!$B:$B="TOTAL ACTIVE")*'Production Inputs'!$BP:$BP),0)</f>
        <v>0</v>
      </c>
      <c r="H2209" s="199">
        <f t="shared" si="256"/>
        <v>0</v>
      </c>
      <c r="I2209" s="30">
        <f ca="1">IFERROR(AVERAGEIF(OFFSET(F2209,0,0,MIN(Controls!$B$8,COUNTIF(B2209:B$2331,B2209)),1),"&gt;"&amp;0),0)</f>
        <v>0</v>
      </c>
      <c r="J2209" s="38">
        <f t="shared" ca="1" si="257"/>
        <v>0</v>
      </c>
      <c r="K2209" s="30">
        <f t="shared" ca="1" si="258"/>
        <v>0</v>
      </c>
      <c r="L2209" t="str">
        <f t="shared" si="259"/>
        <v>High</v>
      </c>
      <c r="M2209" s="39">
        <f>IFERROR(VLOOKUP("47mg LP - EU Stock",Controls!A:I,7,0),6)</f>
        <v>9</v>
      </c>
      <c r="N2209" s="39">
        <f>IFERROR(VLOOKUP("47mg LP - EU Stock",Controls!A:I,8,0),3)</f>
        <v>8</v>
      </c>
      <c r="O2209" s="39">
        <f>IFERROR(VLOOKUP("47mg LP - EU Stock",Controls!A:I,9,0),18)</f>
        <v>18</v>
      </c>
      <c r="P2209" s="40">
        <f>IFERROR(VLOOKUP("47mg LP - EU Stock",Controls!A:J,5,0),0)</f>
        <v>10000</v>
      </c>
      <c r="Q2209" s="39">
        <f>IFERROR(VLOOKUP("47mg LP - EU Stock",Controls!A:J,6,0),3)</f>
        <v>3</v>
      </c>
      <c r="R2209" s="21" t="str">
        <f>IFERROR(VLOOKUP("47mg LP - EU Stock",Controls!A:K,10,0),"")</f>
        <v>Patheon (L&amp;P EU)</v>
      </c>
      <c r="S2209" s="41">
        <f t="shared" si="260"/>
        <v>47665</v>
      </c>
      <c r="T2209" s="30">
        <f t="shared" si="261"/>
        <v>0</v>
      </c>
      <c r="W2209" s="205" t="str" cm="1">
        <f t="array" ref="W2209">IF(56&lt;Controls!$B$7,TEXT(INDEX(A2153:A2331,MATCH(Controls!$B$5,A2153:A2331,1)+56),"MMM-YY"),"")</f>
        <v/>
      </c>
      <c r="X2209" t="str" cm="1">
        <f t="array" ref="X2209">IF(56&lt;Controls!$B$7,INDEX(F2153:F2331,MATCH(Controls!$B$5,A2153:A2331,1)+56),"")</f>
        <v/>
      </c>
      <c r="Y2209" t="str" cm="1">
        <f t="array" ref="Y2209">IF(56&lt;Controls!$B$7,INDEX(G2153:G2331,MATCH(Controls!$B$5,A2153:A2331,1)+56),"")</f>
        <v/>
      </c>
      <c r="Z2209" t="str" cm="1">
        <f t="array" ref="Z2209">IF(56&lt;Controls!$B$7,INDEX(H2153:H2331,MATCH(Controls!$B$5,A2153:A2331,1)+56),"")</f>
        <v/>
      </c>
      <c r="AA2209" t="str" cm="1">
        <f t="array" ref="AA2209">IF(56&lt;Controls!$B$7,INDEX(M2153:M2331,MATCH(Controls!$B$5,A2153:A2331,1)+56)*INDEX(I2153:I2331,MATCH(Controls!$B$5,A2153:A2331,1)+56),"")</f>
        <v/>
      </c>
      <c r="AB2209">
        <f t="shared" si="262"/>
        <v>0</v>
      </c>
    </row>
    <row r="2210" spans="1:28" x14ac:dyDescent="0.35">
      <c r="A2210" s="153">
        <v>47788</v>
      </c>
      <c r="B2210" s="155" t="s">
        <v>960</v>
      </c>
      <c r="C2210" s="15" t="s">
        <v>28</v>
      </c>
      <c r="D2210" s="15" t="s">
        <v>29</v>
      </c>
      <c r="E2210" s="199">
        <f>H2209</f>
        <v>0</v>
      </c>
      <c r="F2210" s="199">
        <f>IFERROR(SUMIFS('Demand Inputs'!$BK$5:$BK$202,'Demand Inputs'!$A$5:$A$202,"47mg LP - EU Stock",'Demand Inputs'!$B$5:$B$202,"&lt;&gt;AGGREGATE",'Demand Inputs'!$E$5:$E$202,1),0)</f>
        <v>0</v>
      </c>
      <c r="G2210" s="199" cm="1">
        <f t="array" ref="G2210">IFERROR(SUMPRODUCT(('Production Inputs'!$A:$A="47mg LP - EU Stock")*('Production Inputs'!$B:$B="TOTAL ACTIVE")*'Production Inputs'!$BQ:$BQ),0)</f>
        <v>0</v>
      </c>
      <c r="H2210" s="199">
        <f t="shared" si="256"/>
        <v>0</v>
      </c>
      <c r="I2210" s="30">
        <f ca="1">IFERROR(AVERAGEIF(OFFSET(F2210,0,0,MIN(Controls!$B$8,COUNTIF(B2210:B$2331,B2210)),1),"&gt;"&amp;0),0)</f>
        <v>0</v>
      </c>
      <c r="J2210" s="38">
        <f t="shared" ca="1" si="257"/>
        <v>0</v>
      </c>
      <c r="K2210" s="30">
        <f t="shared" ca="1" si="258"/>
        <v>0</v>
      </c>
      <c r="L2210" t="str">
        <f t="shared" si="259"/>
        <v>High</v>
      </c>
      <c r="M2210" s="39">
        <f>IFERROR(VLOOKUP("47mg LP - EU Stock",Controls!A:I,7,0),6)</f>
        <v>9</v>
      </c>
      <c r="N2210" s="39">
        <f>IFERROR(VLOOKUP("47mg LP - EU Stock",Controls!A:I,8,0),3)</f>
        <v>8</v>
      </c>
      <c r="O2210" s="39">
        <f>IFERROR(VLOOKUP("47mg LP - EU Stock",Controls!A:I,9,0),18)</f>
        <v>18</v>
      </c>
      <c r="P2210" s="40">
        <f>IFERROR(VLOOKUP("47mg LP - EU Stock",Controls!A:J,5,0),0)</f>
        <v>10000</v>
      </c>
      <c r="Q2210" s="39">
        <f>IFERROR(VLOOKUP("47mg LP - EU Stock",Controls!A:J,6,0),3)</f>
        <v>3</v>
      </c>
      <c r="R2210" s="21" t="str">
        <f>IFERROR(VLOOKUP("47mg LP - EU Stock",Controls!A:K,10,0),"")</f>
        <v>Patheon (L&amp;P EU)</v>
      </c>
      <c r="S2210" s="41">
        <f t="shared" si="260"/>
        <v>47696</v>
      </c>
      <c r="T2210" s="30">
        <f t="shared" si="261"/>
        <v>0</v>
      </c>
      <c r="W2210" s="205" t="str" cm="1">
        <f t="array" ref="W2210">IF(57&lt;Controls!$B$7,TEXT(INDEX(A2153:A2331,MATCH(Controls!$B$5,A2153:A2331,1)+57),"MMM-YY"),"")</f>
        <v/>
      </c>
      <c r="X2210" t="str" cm="1">
        <f t="array" ref="X2210">IF(57&lt;Controls!$B$7,INDEX(F2153:F2331,MATCH(Controls!$B$5,A2153:A2331,1)+57),"")</f>
        <v/>
      </c>
      <c r="Y2210" t="str" cm="1">
        <f t="array" ref="Y2210">IF(57&lt;Controls!$B$7,INDEX(G2153:G2331,MATCH(Controls!$B$5,A2153:A2331,1)+57),"")</f>
        <v/>
      </c>
      <c r="Z2210" t="str" cm="1">
        <f t="array" ref="Z2210">IF(57&lt;Controls!$B$7,INDEX(H2153:H2331,MATCH(Controls!$B$5,A2153:A2331,1)+57),"")</f>
        <v/>
      </c>
      <c r="AA2210" t="str" cm="1">
        <f t="array" ref="AA2210">IF(57&lt;Controls!$B$7,INDEX(M2153:M2331,MATCH(Controls!$B$5,A2153:A2331,1)+57)*INDEX(I2153:I2331,MATCH(Controls!$B$5,A2153:A2331,1)+57),"")</f>
        <v/>
      </c>
      <c r="AB2210">
        <f t="shared" si="262"/>
        <v>0</v>
      </c>
    </row>
    <row r="2211" spans="1:28" x14ac:dyDescent="0.35">
      <c r="A2211" s="153">
        <v>47818</v>
      </c>
      <c r="B2211" s="155" t="s">
        <v>960</v>
      </c>
      <c r="C2211" s="15" t="s">
        <v>28</v>
      </c>
      <c r="D2211" s="15" t="s">
        <v>29</v>
      </c>
      <c r="E2211" s="199">
        <f>H2210</f>
        <v>0</v>
      </c>
      <c r="F2211" s="199">
        <f>IFERROR(SUMIFS('Demand Inputs'!$BL$5:$BL$202,'Demand Inputs'!$A$5:$A$202,"47mg LP - EU Stock",'Demand Inputs'!$B$5:$B$202,"&lt;&gt;AGGREGATE",'Demand Inputs'!$E$5:$E$202,1),0)</f>
        <v>0</v>
      </c>
      <c r="G2211" s="199" cm="1">
        <f t="array" ref="G2211">IFERROR(SUMPRODUCT(('Production Inputs'!$A:$A="47mg LP - EU Stock")*('Production Inputs'!$B:$B="TOTAL ACTIVE")*'Production Inputs'!$BR:$BR),0)</f>
        <v>0</v>
      </c>
      <c r="H2211" s="199">
        <f t="shared" si="256"/>
        <v>0</v>
      </c>
      <c r="I2211" s="30">
        <f ca="1">IFERROR(AVERAGEIF(OFFSET(F2211,0,0,MIN(Controls!$B$8,COUNTIF(B2211:B$2331,B2211)),1),"&gt;"&amp;0),0)</f>
        <v>0</v>
      </c>
      <c r="J2211" s="38">
        <f t="shared" ca="1" si="257"/>
        <v>0</v>
      </c>
      <c r="K2211" s="30">
        <f t="shared" ca="1" si="258"/>
        <v>0</v>
      </c>
      <c r="L2211" t="str">
        <f t="shared" si="259"/>
        <v>High</v>
      </c>
      <c r="M2211" s="39">
        <f>IFERROR(VLOOKUP("47mg LP - EU Stock",Controls!A:I,7,0),6)</f>
        <v>9</v>
      </c>
      <c r="N2211" s="39">
        <f>IFERROR(VLOOKUP("47mg LP - EU Stock",Controls!A:I,8,0),3)</f>
        <v>8</v>
      </c>
      <c r="O2211" s="39">
        <f>IFERROR(VLOOKUP("47mg LP - EU Stock",Controls!A:I,9,0),18)</f>
        <v>18</v>
      </c>
      <c r="P2211" s="40">
        <f>IFERROR(VLOOKUP("47mg LP - EU Stock",Controls!A:J,5,0),0)</f>
        <v>10000</v>
      </c>
      <c r="Q2211" s="39">
        <f>IFERROR(VLOOKUP("47mg LP - EU Stock",Controls!A:J,6,0),3)</f>
        <v>3</v>
      </c>
      <c r="R2211" s="21" t="str">
        <f>IFERROR(VLOOKUP("47mg LP - EU Stock",Controls!A:K,10,0),"")</f>
        <v>Patheon (L&amp;P EU)</v>
      </c>
      <c r="S2211" s="41">
        <f t="shared" si="260"/>
        <v>47727</v>
      </c>
      <c r="T2211" s="30">
        <f t="shared" si="261"/>
        <v>0</v>
      </c>
      <c r="W2211" s="205" t="str" cm="1">
        <f t="array" ref="W2211">IF(58&lt;Controls!$B$7,TEXT(INDEX(A2153:A2331,MATCH(Controls!$B$5,A2153:A2331,1)+58),"MMM-YY"),"")</f>
        <v/>
      </c>
      <c r="X2211" t="str" cm="1">
        <f t="array" ref="X2211">IF(58&lt;Controls!$B$7,INDEX(F2153:F2331,MATCH(Controls!$B$5,A2153:A2331,1)+58),"")</f>
        <v/>
      </c>
      <c r="Y2211" t="str" cm="1">
        <f t="array" ref="Y2211">IF(58&lt;Controls!$B$7,INDEX(G2153:G2331,MATCH(Controls!$B$5,A2153:A2331,1)+58),"")</f>
        <v/>
      </c>
      <c r="Z2211" t="str" cm="1">
        <f t="array" ref="Z2211">IF(58&lt;Controls!$B$7,INDEX(H2153:H2331,MATCH(Controls!$B$5,A2153:A2331,1)+58),"")</f>
        <v/>
      </c>
      <c r="AA2211" t="str" cm="1">
        <f t="array" ref="AA2211">IF(58&lt;Controls!$B$7,INDEX(M2153:M2331,MATCH(Controls!$B$5,A2153:A2331,1)+58)*INDEX(I2153:I2331,MATCH(Controls!$B$5,A2153:A2331,1)+58),"")</f>
        <v/>
      </c>
      <c r="AB2211">
        <f t="shared" si="262"/>
        <v>0</v>
      </c>
    </row>
    <row r="2212" spans="1:28" x14ac:dyDescent="0.35">
      <c r="A2212" s="153">
        <v>47849</v>
      </c>
      <c r="B2212" s="155" t="s">
        <v>960</v>
      </c>
      <c r="C2212" s="15" t="s">
        <v>28</v>
      </c>
      <c r="D2212" s="15" t="s">
        <v>29</v>
      </c>
      <c r="E2212" s="199">
        <f>H2211</f>
        <v>0</v>
      </c>
      <c r="F2212" s="199">
        <f>IFERROR(SUMIFS('Demand Inputs'!$BM$5:$BM$202,'Demand Inputs'!$A$5:$A$202,"47mg LP - EU Stock",'Demand Inputs'!$B$5:$B$202,"&lt;&gt;AGGREGATE",'Demand Inputs'!$E$5:$E$202,1),0)</f>
        <v>0</v>
      </c>
      <c r="G2212" s="199" cm="1">
        <f t="array" ref="G2212">IFERROR(SUMPRODUCT(('Production Inputs'!$A:$A="47mg LP - EU Stock")*('Production Inputs'!$B:$B="TOTAL ACTIVE")*'Production Inputs'!$BS:$BS),0)</f>
        <v>0</v>
      </c>
      <c r="H2212" s="199">
        <f t="shared" si="256"/>
        <v>0</v>
      </c>
      <c r="I2212" s="30">
        <f ca="1">IFERROR(AVERAGEIF(OFFSET(F2212,0,0,MIN(Controls!$B$8,COUNTIF(B2212:B$2331,B2212)),1),"&gt;"&amp;0),0)</f>
        <v>0</v>
      </c>
      <c r="J2212" s="38">
        <f t="shared" ca="1" si="257"/>
        <v>0</v>
      </c>
      <c r="K2212" s="30">
        <f t="shared" ca="1" si="258"/>
        <v>0</v>
      </c>
      <c r="L2212" t="str">
        <f t="shared" si="259"/>
        <v>High</v>
      </c>
      <c r="M2212" s="39">
        <f>IFERROR(VLOOKUP("47mg LP - EU Stock",Controls!A:I,7,0),6)</f>
        <v>9</v>
      </c>
      <c r="N2212" s="39">
        <f>IFERROR(VLOOKUP("47mg LP - EU Stock",Controls!A:I,8,0),3)</f>
        <v>8</v>
      </c>
      <c r="O2212" s="39">
        <f>IFERROR(VLOOKUP("47mg LP - EU Stock",Controls!A:I,9,0),18)</f>
        <v>18</v>
      </c>
      <c r="P2212" s="40">
        <f>IFERROR(VLOOKUP("47mg LP - EU Stock",Controls!A:J,5,0),0)</f>
        <v>10000</v>
      </c>
      <c r="Q2212" s="39">
        <f>IFERROR(VLOOKUP("47mg LP - EU Stock",Controls!A:J,6,0),3)</f>
        <v>3</v>
      </c>
      <c r="R2212" s="21" t="str">
        <f>IFERROR(VLOOKUP("47mg LP - EU Stock",Controls!A:K,10,0),"")</f>
        <v>Patheon (L&amp;P EU)</v>
      </c>
      <c r="S2212" s="41">
        <f t="shared" si="260"/>
        <v>47757</v>
      </c>
      <c r="T2212" s="30">
        <f t="shared" si="261"/>
        <v>0</v>
      </c>
      <c r="W2212" s="205" t="str" cm="1">
        <f t="array" ref="W2212">IF(59&lt;Controls!$B$7,TEXT(INDEX(A2153:A2331,MATCH(Controls!$B$5,A2153:A2331,1)+59),"MMM-YY"),"")</f>
        <v/>
      </c>
      <c r="X2212" t="str" cm="1">
        <f t="array" ref="X2212">IF(59&lt;Controls!$B$7,INDEX(F2153:F2331,MATCH(Controls!$B$5,A2153:A2331,1)+59),"")</f>
        <v/>
      </c>
      <c r="Y2212" t="str" cm="1">
        <f t="array" ref="Y2212">IF(59&lt;Controls!$B$7,INDEX(G2153:G2331,MATCH(Controls!$B$5,A2153:A2331,1)+59),"")</f>
        <v/>
      </c>
      <c r="Z2212" t="str" cm="1">
        <f t="array" ref="Z2212">IF(59&lt;Controls!$B$7,INDEX(H2153:H2331,MATCH(Controls!$B$5,A2153:A2331,1)+59),"")</f>
        <v/>
      </c>
      <c r="AA2212" t="str" cm="1">
        <f t="array" ref="AA2212">IF(59&lt;Controls!$B$7,INDEX(M2153:M2331,MATCH(Controls!$B$5,A2153:A2331,1)+59)*INDEX(I2153:I2331,MATCH(Controls!$B$5,A2153:A2331,1)+59),"")</f>
        <v/>
      </c>
      <c r="AB2212">
        <f t="shared" si="262"/>
        <v>0</v>
      </c>
    </row>
    <row r="2213" spans="1:28" x14ac:dyDescent="0.35">
      <c r="A2213" s="153">
        <v>47880</v>
      </c>
      <c r="B2213" s="155" t="s">
        <v>960</v>
      </c>
      <c r="C2213" s="15" t="s">
        <v>28</v>
      </c>
      <c r="D2213" s="15" t="s">
        <v>29</v>
      </c>
      <c r="E2213" s="199">
        <f>H2212</f>
        <v>0</v>
      </c>
      <c r="F2213" s="199">
        <f>IFERROR(SUMIFS('Demand Inputs'!$BN$5:$BN$202,'Demand Inputs'!$A$5:$A$202,"47mg LP - EU Stock",'Demand Inputs'!$B$5:$B$202,"&lt;&gt;AGGREGATE",'Demand Inputs'!$E$5:$E$202,1),0)</f>
        <v>0</v>
      </c>
      <c r="G2213" s="199" cm="1">
        <f t="array" ref="G2213">IFERROR(SUMPRODUCT(('Production Inputs'!$A:$A="47mg LP - EU Stock")*('Production Inputs'!$B:$B="TOTAL ACTIVE")*'Production Inputs'!$BT:$BT),0)</f>
        <v>0</v>
      </c>
      <c r="H2213" s="199">
        <f t="shared" si="256"/>
        <v>0</v>
      </c>
      <c r="I2213" s="30">
        <f ca="1">IFERROR(AVERAGEIF(OFFSET(F2213,0,0,MIN(Controls!$B$8,COUNTIF(B2213:B$2331,B2213)),1),"&gt;"&amp;0),0)</f>
        <v>0</v>
      </c>
      <c r="J2213" s="38">
        <f t="shared" ca="1" si="257"/>
        <v>0</v>
      </c>
      <c r="K2213" s="30">
        <f t="shared" ca="1" si="258"/>
        <v>0</v>
      </c>
      <c r="L2213" t="str">
        <f t="shared" si="259"/>
        <v>High</v>
      </c>
      <c r="M2213" s="39">
        <f>IFERROR(VLOOKUP("47mg LP - EU Stock",Controls!A:I,7,0),6)</f>
        <v>9</v>
      </c>
      <c r="N2213" s="39">
        <f>IFERROR(VLOOKUP("47mg LP - EU Stock",Controls!A:I,8,0),3)</f>
        <v>8</v>
      </c>
      <c r="O2213" s="39">
        <f>IFERROR(VLOOKUP("47mg LP - EU Stock",Controls!A:I,9,0),18)</f>
        <v>18</v>
      </c>
      <c r="P2213" s="40">
        <f>IFERROR(VLOOKUP("47mg LP - EU Stock",Controls!A:J,5,0),0)</f>
        <v>10000</v>
      </c>
      <c r="Q2213" s="39">
        <f>IFERROR(VLOOKUP("47mg LP - EU Stock",Controls!A:J,6,0),3)</f>
        <v>3</v>
      </c>
      <c r="R2213" s="21" t="str">
        <f>IFERROR(VLOOKUP("47mg LP - EU Stock",Controls!A:K,10,0),"")</f>
        <v>Patheon (L&amp;P EU)</v>
      </c>
      <c r="S2213" s="41">
        <f t="shared" si="260"/>
        <v>47788</v>
      </c>
      <c r="T2213" s="30">
        <f t="shared" si="261"/>
        <v>0</v>
      </c>
      <c r="W2213" s="205" t="str" cm="1">
        <f t="array" ref="W2213">IF(60&lt;Controls!$B$7,TEXT(INDEX(A2153:A2331,MATCH(Controls!$B$5,A2153:A2331,1)+60),"MMM-YY"),"")</f>
        <v/>
      </c>
      <c r="X2213" t="str" cm="1">
        <f t="array" ref="X2213">IF(60&lt;Controls!$B$7,INDEX(F2153:F2331,MATCH(Controls!$B$5,A2153:A2331,1)+60),"")</f>
        <v/>
      </c>
      <c r="Y2213" t="str" cm="1">
        <f t="array" ref="Y2213">IF(60&lt;Controls!$B$7,INDEX(G2153:G2331,MATCH(Controls!$B$5,A2153:A2331,1)+60),"")</f>
        <v/>
      </c>
      <c r="Z2213" t="str" cm="1">
        <f t="array" ref="Z2213">IF(60&lt;Controls!$B$7,INDEX(H2153:H2331,MATCH(Controls!$B$5,A2153:A2331,1)+60),"")</f>
        <v/>
      </c>
      <c r="AA2213" t="str" cm="1">
        <f t="array" ref="AA2213">IF(60&lt;Controls!$B$7,INDEX(M2153:M2331,MATCH(Controls!$B$5,A2153:A2331,1)+60)*INDEX(I2153:I2331,MATCH(Controls!$B$5,A2153:A2331,1)+60),"")</f>
        <v/>
      </c>
      <c r="AB2213">
        <f t="shared" si="262"/>
        <v>0</v>
      </c>
    </row>
    <row r="2214" spans="1:28" x14ac:dyDescent="0.35">
      <c r="A2214" s="153">
        <v>47908</v>
      </c>
      <c r="B2214" s="155" t="s">
        <v>960</v>
      </c>
      <c r="C2214" s="15" t="s">
        <v>28</v>
      </c>
      <c r="D2214" s="15" t="s">
        <v>29</v>
      </c>
      <c r="E2214" s="199">
        <f>H2213</f>
        <v>0</v>
      </c>
      <c r="F2214" s="199">
        <f>IFERROR(SUMIFS('Demand Inputs'!$BO$5:$BO$202,'Demand Inputs'!$A$5:$A$202,"47mg LP - EU Stock",'Demand Inputs'!$B$5:$B$202,"&lt;&gt;AGGREGATE",'Demand Inputs'!$E$5:$E$202,1),0)</f>
        <v>0</v>
      </c>
      <c r="G2214" s="199" cm="1">
        <f t="array" ref="G2214">IFERROR(SUMPRODUCT(('Production Inputs'!$A:$A="47mg LP - EU Stock")*('Production Inputs'!$B:$B="TOTAL ACTIVE")*'Production Inputs'!$BU:$BU),0)</f>
        <v>0</v>
      </c>
      <c r="H2214" s="199">
        <f t="shared" si="256"/>
        <v>0</v>
      </c>
      <c r="I2214" s="30">
        <f ca="1">IFERROR(AVERAGEIF(OFFSET(F2214,0,0,MIN(Controls!$B$8,COUNTIF(B2214:B$2331,B2214)),1),"&gt;"&amp;0),0)</f>
        <v>0</v>
      </c>
      <c r="J2214" s="38">
        <f t="shared" ca="1" si="257"/>
        <v>0</v>
      </c>
      <c r="K2214" s="30">
        <f t="shared" ca="1" si="258"/>
        <v>0</v>
      </c>
      <c r="L2214" t="str">
        <f t="shared" si="259"/>
        <v>High</v>
      </c>
      <c r="M2214" s="39">
        <f>IFERROR(VLOOKUP("47mg LP - EU Stock",Controls!A:I,7,0),6)</f>
        <v>9</v>
      </c>
      <c r="N2214" s="39">
        <f>IFERROR(VLOOKUP("47mg LP - EU Stock",Controls!A:I,8,0),3)</f>
        <v>8</v>
      </c>
      <c r="O2214" s="39">
        <f>IFERROR(VLOOKUP("47mg LP - EU Stock",Controls!A:I,9,0),18)</f>
        <v>18</v>
      </c>
      <c r="P2214" s="40">
        <f>IFERROR(VLOOKUP("47mg LP - EU Stock",Controls!A:J,5,0),0)</f>
        <v>10000</v>
      </c>
      <c r="Q2214" s="39">
        <f>IFERROR(VLOOKUP("47mg LP - EU Stock",Controls!A:J,6,0),3)</f>
        <v>3</v>
      </c>
      <c r="R2214" s="21" t="str">
        <f>IFERROR(VLOOKUP("47mg LP - EU Stock",Controls!A:K,10,0),"")</f>
        <v>Patheon (L&amp;P EU)</v>
      </c>
      <c r="S2214" s="41">
        <f t="shared" si="260"/>
        <v>47818</v>
      </c>
      <c r="T2214" s="30">
        <f t="shared" si="261"/>
        <v>0</v>
      </c>
      <c r="W2214" s="205" t="str" cm="1">
        <f t="array" ref="W2214">IF(61&lt;Controls!$B$7,TEXT(INDEX(A2153:A2331,MATCH(Controls!$B$5,A2153:A2331,1)+61),"MMM-YY"),"")</f>
        <v/>
      </c>
      <c r="X2214" t="str" cm="1">
        <f t="array" ref="X2214">IF(61&lt;Controls!$B$7,INDEX(F2153:F2331,MATCH(Controls!$B$5,A2153:A2331,1)+61),"")</f>
        <v/>
      </c>
      <c r="Y2214" t="str" cm="1">
        <f t="array" ref="Y2214">IF(61&lt;Controls!$B$7,INDEX(G2153:G2331,MATCH(Controls!$B$5,A2153:A2331,1)+61),"")</f>
        <v/>
      </c>
      <c r="Z2214" t="str" cm="1">
        <f t="array" ref="Z2214">IF(61&lt;Controls!$B$7,INDEX(H2153:H2331,MATCH(Controls!$B$5,A2153:A2331,1)+61),"")</f>
        <v/>
      </c>
      <c r="AA2214" t="str" cm="1">
        <f t="array" ref="AA2214">IF(61&lt;Controls!$B$7,INDEX(M2153:M2331,MATCH(Controls!$B$5,A2153:A2331,1)+61)*INDEX(I2153:I2331,MATCH(Controls!$B$5,A2153:A2331,1)+61),"")</f>
        <v/>
      </c>
      <c r="AB2214">
        <f t="shared" si="262"/>
        <v>0</v>
      </c>
    </row>
    <row r="2215" spans="1:28" x14ac:dyDescent="0.35">
      <c r="A2215" s="153">
        <v>47939</v>
      </c>
      <c r="B2215" s="155" t="s">
        <v>960</v>
      </c>
      <c r="C2215" s="15" t="s">
        <v>28</v>
      </c>
      <c r="D2215" s="15" t="s">
        <v>29</v>
      </c>
      <c r="E2215" s="199">
        <f>H2214</f>
        <v>0</v>
      </c>
      <c r="F2215" s="199">
        <f>IFERROR(SUMIFS('Demand Inputs'!$BP$5:$BP$202,'Demand Inputs'!$A$5:$A$202,"47mg LP - EU Stock",'Demand Inputs'!$B$5:$B$202,"&lt;&gt;AGGREGATE",'Demand Inputs'!$E$5:$E$202,1),0)</f>
        <v>0</v>
      </c>
      <c r="G2215" s="199" cm="1">
        <f t="array" ref="G2215">IFERROR(SUMPRODUCT(('Production Inputs'!$A:$A="47mg LP - EU Stock")*('Production Inputs'!$B:$B="TOTAL ACTIVE")*'Production Inputs'!$BV:$BV),0)</f>
        <v>0</v>
      </c>
      <c r="H2215" s="199">
        <f t="shared" si="256"/>
        <v>0</v>
      </c>
      <c r="I2215" s="30">
        <f ca="1">IFERROR(AVERAGEIF(OFFSET(F2215,0,0,MIN(Controls!$B$8,COUNTIF(B2215:B$2331,B2215)),1),"&gt;"&amp;0),0)</f>
        <v>0</v>
      </c>
      <c r="J2215" s="38">
        <f t="shared" ca="1" si="257"/>
        <v>0</v>
      </c>
      <c r="K2215" s="30">
        <f t="shared" ca="1" si="258"/>
        <v>0</v>
      </c>
      <c r="L2215" t="str">
        <f t="shared" si="259"/>
        <v>High</v>
      </c>
      <c r="M2215" s="39">
        <f>IFERROR(VLOOKUP("47mg LP - EU Stock",Controls!A:I,7,0),6)</f>
        <v>9</v>
      </c>
      <c r="N2215" s="39">
        <f>IFERROR(VLOOKUP("47mg LP - EU Stock",Controls!A:I,8,0),3)</f>
        <v>8</v>
      </c>
      <c r="O2215" s="39">
        <f>IFERROR(VLOOKUP("47mg LP - EU Stock",Controls!A:I,9,0),18)</f>
        <v>18</v>
      </c>
      <c r="P2215" s="40">
        <f>IFERROR(VLOOKUP("47mg LP - EU Stock",Controls!A:J,5,0),0)</f>
        <v>10000</v>
      </c>
      <c r="Q2215" s="39">
        <f>IFERROR(VLOOKUP("47mg LP - EU Stock",Controls!A:J,6,0),3)</f>
        <v>3</v>
      </c>
      <c r="R2215" s="21" t="str">
        <f>IFERROR(VLOOKUP("47mg LP - EU Stock",Controls!A:K,10,0),"")</f>
        <v>Patheon (L&amp;P EU)</v>
      </c>
      <c r="S2215" s="41">
        <f t="shared" si="260"/>
        <v>47849</v>
      </c>
      <c r="T2215" s="30">
        <f t="shared" si="261"/>
        <v>0</v>
      </c>
      <c r="W2215" s="205" t="str" cm="1">
        <f t="array" ref="W2215">IF(62&lt;Controls!$B$7,TEXT(INDEX(A2153:A2331,MATCH(Controls!$B$5,A2153:A2331,1)+62),"MMM-YY"),"")</f>
        <v/>
      </c>
      <c r="X2215" t="str" cm="1">
        <f t="array" ref="X2215">IF(62&lt;Controls!$B$7,INDEX(F2153:F2331,MATCH(Controls!$B$5,A2153:A2331,1)+62),"")</f>
        <v/>
      </c>
      <c r="Y2215" t="str" cm="1">
        <f t="array" ref="Y2215">IF(62&lt;Controls!$B$7,INDEX(G2153:G2331,MATCH(Controls!$B$5,A2153:A2331,1)+62),"")</f>
        <v/>
      </c>
      <c r="Z2215" t="str" cm="1">
        <f t="array" ref="Z2215">IF(62&lt;Controls!$B$7,INDEX(H2153:H2331,MATCH(Controls!$B$5,A2153:A2331,1)+62),"")</f>
        <v/>
      </c>
      <c r="AA2215" t="str" cm="1">
        <f t="array" ref="AA2215">IF(62&lt;Controls!$B$7,INDEX(M2153:M2331,MATCH(Controls!$B$5,A2153:A2331,1)+62)*INDEX(I2153:I2331,MATCH(Controls!$B$5,A2153:A2331,1)+62),"")</f>
        <v/>
      </c>
      <c r="AB2215">
        <f t="shared" si="262"/>
        <v>0</v>
      </c>
    </row>
    <row r="2216" spans="1:28" x14ac:dyDescent="0.35">
      <c r="A2216" s="153">
        <v>47969</v>
      </c>
      <c r="B2216" s="155" t="s">
        <v>960</v>
      </c>
      <c r="C2216" s="15" t="s">
        <v>28</v>
      </c>
      <c r="D2216" s="15" t="s">
        <v>29</v>
      </c>
      <c r="E2216" s="199">
        <f>H2215</f>
        <v>0</v>
      </c>
      <c r="F2216" s="199">
        <f>IFERROR(SUMIFS('Demand Inputs'!$BQ$5:$BQ$202,'Demand Inputs'!$A$5:$A$202,"47mg LP - EU Stock",'Demand Inputs'!$B$5:$B$202,"&lt;&gt;AGGREGATE",'Demand Inputs'!$E$5:$E$202,1),0)</f>
        <v>0</v>
      </c>
      <c r="G2216" s="199" cm="1">
        <f t="array" ref="G2216">IFERROR(SUMPRODUCT(('Production Inputs'!$A:$A="47mg LP - EU Stock")*('Production Inputs'!$B:$B="TOTAL ACTIVE")*'Production Inputs'!$BW:$BW),0)</f>
        <v>0</v>
      </c>
      <c r="H2216" s="199">
        <f t="shared" si="256"/>
        <v>0</v>
      </c>
      <c r="I2216" s="30">
        <f ca="1">IFERROR(AVERAGEIF(OFFSET(F2216,0,0,MIN(Controls!$B$8,COUNTIF(B2216:B$2331,B2216)),1),"&gt;"&amp;0),0)</f>
        <v>0</v>
      </c>
      <c r="J2216" s="38">
        <f t="shared" ca="1" si="257"/>
        <v>0</v>
      </c>
      <c r="K2216" s="30">
        <f t="shared" ca="1" si="258"/>
        <v>0</v>
      </c>
      <c r="L2216" t="str">
        <f t="shared" si="259"/>
        <v>High</v>
      </c>
      <c r="M2216" s="39">
        <f>IFERROR(VLOOKUP("47mg LP - EU Stock",Controls!A:I,7,0),6)</f>
        <v>9</v>
      </c>
      <c r="N2216" s="39">
        <f>IFERROR(VLOOKUP("47mg LP - EU Stock",Controls!A:I,8,0),3)</f>
        <v>8</v>
      </c>
      <c r="O2216" s="39">
        <f>IFERROR(VLOOKUP("47mg LP - EU Stock",Controls!A:I,9,0),18)</f>
        <v>18</v>
      </c>
      <c r="P2216" s="40">
        <f>IFERROR(VLOOKUP("47mg LP - EU Stock",Controls!A:J,5,0),0)</f>
        <v>10000</v>
      </c>
      <c r="Q2216" s="39">
        <f>IFERROR(VLOOKUP("47mg LP - EU Stock",Controls!A:J,6,0),3)</f>
        <v>3</v>
      </c>
      <c r="R2216" s="21" t="str">
        <f>IFERROR(VLOOKUP("47mg LP - EU Stock",Controls!A:K,10,0),"")</f>
        <v>Patheon (L&amp;P EU)</v>
      </c>
      <c r="S2216" s="41">
        <f t="shared" si="260"/>
        <v>47880</v>
      </c>
      <c r="T2216" s="30">
        <f t="shared" si="261"/>
        <v>0</v>
      </c>
      <c r="W2216" s="205" t="str" cm="1">
        <f t="array" ref="W2216">IF(63&lt;Controls!$B$7,TEXT(INDEX(A2153:A2331,MATCH(Controls!$B$5,A2153:A2331,1)+63),"MMM-YY"),"")</f>
        <v/>
      </c>
      <c r="X2216" t="str" cm="1">
        <f t="array" ref="X2216">IF(63&lt;Controls!$B$7,INDEX(F2153:F2331,MATCH(Controls!$B$5,A2153:A2331,1)+63),"")</f>
        <v/>
      </c>
      <c r="Y2216" t="str" cm="1">
        <f t="array" ref="Y2216">IF(63&lt;Controls!$B$7,INDEX(G2153:G2331,MATCH(Controls!$B$5,A2153:A2331,1)+63),"")</f>
        <v/>
      </c>
      <c r="Z2216" t="str" cm="1">
        <f t="array" ref="Z2216">IF(63&lt;Controls!$B$7,INDEX(H2153:H2331,MATCH(Controls!$B$5,A2153:A2331,1)+63),"")</f>
        <v/>
      </c>
      <c r="AA2216" t="str" cm="1">
        <f t="array" ref="AA2216">IF(63&lt;Controls!$B$7,INDEX(M2153:M2331,MATCH(Controls!$B$5,A2153:A2331,1)+63)*INDEX(I2153:I2331,MATCH(Controls!$B$5,A2153:A2331,1)+63),"")</f>
        <v/>
      </c>
      <c r="AB2216">
        <f t="shared" si="262"/>
        <v>0</v>
      </c>
    </row>
    <row r="2217" spans="1:28" x14ac:dyDescent="0.35">
      <c r="A2217" s="153">
        <v>48000</v>
      </c>
      <c r="B2217" s="155" t="s">
        <v>960</v>
      </c>
      <c r="C2217" s="15" t="s">
        <v>28</v>
      </c>
      <c r="D2217" s="15" t="s">
        <v>29</v>
      </c>
      <c r="E2217" s="199">
        <f>H2216</f>
        <v>0</v>
      </c>
      <c r="F2217" s="199">
        <f>IFERROR(SUMIFS('Demand Inputs'!$BR$5:$BR$202,'Demand Inputs'!$A$5:$A$202,"47mg LP - EU Stock",'Demand Inputs'!$B$5:$B$202,"&lt;&gt;AGGREGATE",'Demand Inputs'!$E$5:$E$202,1),0)</f>
        <v>0</v>
      </c>
      <c r="G2217" s="199" cm="1">
        <f t="array" ref="G2217">IFERROR(SUMPRODUCT(('Production Inputs'!$A:$A="47mg LP - EU Stock")*('Production Inputs'!$B:$B="TOTAL ACTIVE")*'Production Inputs'!$BX:$BX),0)</f>
        <v>0</v>
      </c>
      <c r="H2217" s="199">
        <f t="shared" si="256"/>
        <v>0</v>
      </c>
      <c r="I2217" s="30">
        <f ca="1">IFERROR(AVERAGEIF(OFFSET(F2217,0,0,MIN(Controls!$B$8,COUNTIF(B2217:B$2331,B2217)),1),"&gt;"&amp;0),0)</f>
        <v>0</v>
      </c>
      <c r="J2217" s="38">
        <f t="shared" ca="1" si="257"/>
        <v>0</v>
      </c>
      <c r="K2217" s="30">
        <f t="shared" ca="1" si="258"/>
        <v>0</v>
      </c>
      <c r="L2217" t="str">
        <f t="shared" si="259"/>
        <v>High</v>
      </c>
      <c r="M2217" s="39">
        <f>IFERROR(VLOOKUP("47mg LP - EU Stock",Controls!A:I,7,0),6)</f>
        <v>9</v>
      </c>
      <c r="N2217" s="39">
        <f>IFERROR(VLOOKUP("47mg LP - EU Stock",Controls!A:I,8,0),3)</f>
        <v>8</v>
      </c>
      <c r="O2217" s="39">
        <f>IFERROR(VLOOKUP("47mg LP - EU Stock",Controls!A:I,9,0),18)</f>
        <v>18</v>
      </c>
      <c r="P2217" s="40">
        <f>IFERROR(VLOOKUP("47mg LP - EU Stock",Controls!A:J,5,0),0)</f>
        <v>10000</v>
      </c>
      <c r="Q2217" s="39">
        <f>IFERROR(VLOOKUP("47mg LP - EU Stock",Controls!A:J,6,0),3)</f>
        <v>3</v>
      </c>
      <c r="R2217" s="21" t="str">
        <f>IFERROR(VLOOKUP("47mg LP - EU Stock",Controls!A:K,10,0),"")</f>
        <v>Patheon (L&amp;P EU)</v>
      </c>
      <c r="S2217" s="41">
        <f t="shared" si="260"/>
        <v>47908</v>
      </c>
      <c r="T2217" s="30">
        <f t="shared" si="261"/>
        <v>0</v>
      </c>
      <c r="W2217" s="205" t="str" cm="1">
        <f t="array" ref="W2217">IF(64&lt;Controls!$B$7,TEXT(INDEX(A2153:A2331,MATCH(Controls!$B$5,A2153:A2331,1)+64),"MMM-YY"),"")</f>
        <v/>
      </c>
      <c r="X2217" t="str" cm="1">
        <f t="array" ref="X2217">IF(64&lt;Controls!$B$7,INDEX(F2153:F2331,MATCH(Controls!$B$5,A2153:A2331,1)+64),"")</f>
        <v/>
      </c>
      <c r="Y2217" t="str" cm="1">
        <f t="array" ref="Y2217">IF(64&lt;Controls!$B$7,INDEX(G2153:G2331,MATCH(Controls!$B$5,A2153:A2331,1)+64),"")</f>
        <v/>
      </c>
      <c r="Z2217" t="str" cm="1">
        <f t="array" ref="Z2217">IF(64&lt;Controls!$B$7,INDEX(H2153:H2331,MATCH(Controls!$B$5,A2153:A2331,1)+64),"")</f>
        <v/>
      </c>
      <c r="AA2217" t="str" cm="1">
        <f t="array" ref="AA2217">IF(64&lt;Controls!$B$7,INDEX(M2153:M2331,MATCH(Controls!$B$5,A2153:A2331,1)+64)*INDEX(I2153:I2331,MATCH(Controls!$B$5,A2153:A2331,1)+64),"")</f>
        <v/>
      </c>
      <c r="AB2217">
        <f t="shared" si="262"/>
        <v>0</v>
      </c>
    </row>
    <row r="2218" spans="1:28" x14ac:dyDescent="0.35">
      <c r="A2218" s="153">
        <v>48030</v>
      </c>
      <c r="B2218" s="155" t="s">
        <v>960</v>
      </c>
      <c r="C2218" s="15" t="s">
        <v>28</v>
      </c>
      <c r="D2218" s="15" t="s">
        <v>29</v>
      </c>
      <c r="E2218" s="199">
        <f>H2217</f>
        <v>0</v>
      </c>
      <c r="F2218" s="199">
        <f>IFERROR(SUMIFS('Demand Inputs'!$BS$5:$BS$202,'Demand Inputs'!$A$5:$A$202,"47mg LP - EU Stock",'Demand Inputs'!$B$5:$B$202,"&lt;&gt;AGGREGATE",'Demand Inputs'!$E$5:$E$202,1),0)</f>
        <v>0</v>
      </c>
      <c r="G2218" s="199" cm="1">
        <f t="array" ref="G2218">IFERROR(SUMPRODUCT(('Production Inputs'!$A:$A="47mg LP - EU Stock")*('Production Inputs'!$B:$B="TOTAL ACTIVE")*'Production Inputs'!$BY:$BY),0)</f>
        <v>0</v>
      </c>
      <c r="H2218" s="199">
        <f t="shared" si="256"/>
        <v>0</v>
      </c>
      <c r="I2218" s="30">
        <f ca="1">IFERROR(AVERAGEIF(OFFSET(F2218,0,0,MIN(Controls!$B$8,COUNTIF(B2218:B$2331,B2218)),1),"&gt;"&amp;0),0)</f>
        <v>0</v>
      </c>
      <c r="J2218" s="38">
        <f t="shared" ca="1" si="257"/>
        <v>0</v>
      </c>
      <c r="K2218" s="30">
        <f t="shared" ca="1" si="258"/>
        <v>0</v>
      </c>
      <c r="L2218" t="str">
        <f t="shared" si="259"/>
        <v>High</v>
      </c>
      <c r="M2218" s="39">
        <f>IFERROR(VLOOKUP("47mg LP - EU Stock",Controls!A:I,7,0),6)</f>
        <v>9</v>
      </c>
      <c r="N2218" s="39">
        <f>IFERROR(VLOOKUP("47mg LP - EU Stock",Controls!A:I,8,0),3)</f>
        <v>8</v>
      </c>
      <c r="O2218" s="39">
        <f>IFERROR(VLOOKUP("47mg LP - EU Stock",Controls!A:I,9,0),18)</f>
        <v>18</v>
      </c>
      <c r="P2218" s="40">
        <f>IFERROR(VLOOKUP("47mg LP - EU Stock",Controls!A:J,5,0),0)</f>
        <v>10000</v>
      </c>
      <c r="Q2218" s="39">
        <f>IFERROR(VLOOKUP("47mg LP - EU Stock",Controls!A:J,6,0),3)</f>
        <v>3</v>
      </c>
      <c r="R2218" s="21" t="str">
        <f>IFERROR(VLOOKUP("47mg LP - EU Stock",Controls!A:K,10,0),"")</f>
        <v>Patheon (L&amp;P EU)</v>
      </c>
      <c r="S2218" s="41">
        <f t="shared" si="260"/>
        <v>47939</v>
      </c>
      <c r="T2218" s="30">
        <f t="shared" si="261"/>
        <v>0</v>
      </c>
      <c r="W2218" s="205" t="str" cm="1">
        <f t="array" ref="W2218">IF(65&lt;Controls!$B$7,TEXT(INDEX(A2153:A2331,MATCH(Controls!$B$5,A2153:A2331,1)+65),"MMM-YY"),"")</f>
        <v/>
      </c>
      <c r="X2218" t="str" cm="1">
        <f t="array" ref="X2218">IF(65&lt;Controls!$B$7,INDEX(F2153:F2331,MATCH(Controls!$B$5,A2153:A2331,1)+65),"")</f>
        <v/>
      </c>
      <c r="Y2218" t="str" cm="1">
        <f t="array" ref="Y2218">IF(65&lt;Controls!$B$7,INDEX(G2153:G2331,MATCH(Controls!$B$5,A2153:A2331,1)+65),"")</f>
        <v/>
      </c>
      <c r="Z2218" t="str" cm="1">
        <f t="array" ref="Z2218">IF(65&lt;Controls!$B$7,INDEX(H2153:H2331,MATCH(Controls!$B$5,A2153:A2331,1)+65),"")</f>
        <v/>
      </c>
      <c r="AA2218" t="str" cm="1">
        <f t="array" ref="AA2218">IF(65&lt;Controls!$B$7,INDEX(M2153:M2331,MATCH(Controls!$B$5,A2153:A2331,1)+65)*INDEX(I2153:I2331,MATCH(Controls!$B$5,A2153:A2331,1)+65),"")</f>
        <v/>
      </c>
      <c r="AB2218">
        <f t="shared" si="262"/>
        <v>0</v>
      </c>
    </row>
    <row r="2219" spans="1:28" x14ac:dyDescent="0.35">
      <c r="A2219" s="153">
        <v>48061</v>
      </c>
      <c r="B2219" s="155" t="s">
        <v>960</v>
      </c>
      <c r="C2219" s="15" t="s">
        <v>28</v>
      </c>
      <c r="D2219" s="15" t="s">
        <v>29</v>
      </c>
      <c r="E2219" s="199">
        <f>H2218</f>
        <v>0</v>
      </c>
      <c r="F2219" s="199">
        <f>IFERROR(SUMIFS('Demand Inputs'!$BT$5:$BT$202,'Demand Inputs'!$A$5:$A$202,"47mg LP - EU Stock",'Demand Inputs'!$B$5:$B$202,"&lt;&gt;AGGREGATE",'Demand Inputs'!$E$5:$E$202,1),0)</f>
        <v>0</v>
      </c>
      <c r="G2219" s="199" cm="1">
        <f t="array" ref="G2219">IFERROR(SUMPRODUCT(('Production Inputs'!$A:$A="47mg LP - EU Stock")*('Production Inputs'!$B:$B="TOTAL ACTIVE")*'Production Inputs'!$BZ:$BZ),0)</f>
        <v>0</v>
      </c>
      <c r="H2219" s="199">
        <f t="shared" si="256"/>
        <v>0</v>
      </c>
      <c r="I2219" s="30">
        <f ca="1">IFERROR(AVERAGEIF(OFFSET(F2219,0,0,MIN(Controls!$B$8,COUNTIF(B2219:B$2331,B2219)),1),"&gt;"&amp;0),0)</f>
        <v>0</v>
      </c>
      <c r="J2219" s="38">
        <f t="shared" ca="1" si="257"/>
        <v>0</v>
      </c>
      <c r="K2219" s="30">
        <f t="shared" ca="1" si="258"/>
        <v>0</v>
      </c>
      <c r="L2219" t="str">
        <f t="shared" si="259"/>
        <v>High</v>
      </c>
      <c r="M2219" s="39">
        <f>IFERROR(VLOOKUP("47mg LP - EU Stock",Controls!A:I,7,0),6)</f>
        <v>9</v>
      </c>
      <c r="N2219" s="39">
        <f>IFERROR(VLOOKUP("47mg LP - EU Stock",Controls!A:I,8,0),3)</f>
        <v>8</v>
      </c>
      <c r="O2219" s="39">
        <f>IFERROR(VLOOKUP("47mg LP - EU Stock",Controls!A:I,9,0),18)</f>
        <v>18</v>
      </c>
      <c r="P2219" s="40">
        <f>IFERROR(VLOOKUP("47mg LP - EU Stock",Controls!A:J,5,0),0)</f>
        <v>10000</v>
      </c>
      <c r="Q2219" s="39">
        <f>IFERROR(VLOOKUP("47mg LP - EU Stock",Controls!A:J,6,0),3)</f>
        <v>3</v>
      </c>
      <c r="R2219" s="21" t="str">
        <f>IFERROR(VLOOKUP("47mg LP - EU Stock",Controls!A:K,10,0),"")</f>
        <v>Patheon (L&amp;P EU)</v>
      </c>
      <c r="S2219" s="41">
        <f t="shared" si="260"/>
        <v>47969</v>
      </c>
      <c r="T2219" s="30">
        <f t="shared" si="261"/>
        <v>0</v>
      </c>
      <c r="W2219" s="205" t="str" cm="1">
        <f t="array" ref="W2219">IF(66&lt;Controls!$B$7,TEXT(INDEX(A2153:A2331,MATCH(Controls!$B$5,A2153:A2331,1)+66),"MMM-YY"),"")</f>
        <v/>
      </c>
      <c r="X2219" t="str" cm="1">
        <f t="array" ref="X2219">IF(66&lt;Controls!$B$7,INDEX(F2153:F2331,MATCH(Controls!$B$5,A2153:A2331,1)+66),"")</f>
        <v/>
      </c>
      <c r="Y2219" t="str" cm="1">
        <f t="array" ref="Y2219">IF(66&lt;Controls!$B$7,INDEX(G2153:G2331,MATCH(Controls!$B$5,A2153:A2331,1)+66),"")</f>
        <v/>
      </c>
      <c r="Z2219" t="str" cm="1">
        <f t="array" ref="Z2219">IF(66&lt;Controls!$B$7,INDEX(H2153:H2331,MATCH(Controls!$B$5,A2153:A2331,1)+66),"")</f>
        <v/>
      </c>
      <c r="AA2219" t="str" cm="1">
        <f t="array" ref="AA2219">IF(66&lt;Controls!$B$7,INDEX(M2153:M2331,MATCH(Controls!$B$5,A2153:A2331,1)+66)*INDEX(I2153:I2331,MATCH(Controls!$B$5,A2153:A2331,1)+66),"")</f>
        <v/>
      </c>
      <c r="AB2219">
        <f t="shared" si="262"/>
        <v>0</v>
      </c>
    </row>
    <row r="2220" spans="1:28" x14ac:dyDescent="0.35">
      <c r="A2220" s="153">
        <v>48092</v>
      </c>
      <c r="B2220" s="155" t="s">
        <v>960</v>
      </c>
      <c r="C2220" s="15" t="s">
        <v>28</v>
      </c>
      <c r="D2220" s="15" t="s">
        <v>29</v>
      </c>
      <c r="E2220" s="199">
        <f>H2219</f>
        <v>0</v>
      </c>
      <c r="F2220" s="199">
        <f>IFERROR(SUMIFS('Demand Inputs'!$BU$5:$BU$202,'Demand Inputs'!$A$5:$A$202,"47mg LP - EU Stock",'Demand Inputs'!$B$5:$B$202,"&lt;&gt;AGGREGATE",'Demand Inputs'!$E$5:$E$202,1),0)</f>
        <v>0</v>
      </c>
      <c r="G2220" s="199" cm="1">
        <f t="array" ref="G2220">IFERROR(SUMPRODUCT(('Production Inputs'!$A:$A="47mg LP - EU Stock")*('Production Inputs'!$B:$B="TOTAL ACTIVE")*'Production Inputs'!$CA:$CA),0)</f>
        <v>0</v>
      </c>
      <c r="H2220" s="199">
        <f t="shared" si="256"/>
        <v>0</v>
      </c>
      <c r="I2220" s="30">
        <f ca="1">IFERROR(AVERAGEIF(OFFSET(F2220,0,0,MIN(Controls!$B$8,COUNTIF(B2220:B$2331,B2220)),1),"&gt;"&amp;0),0)</f>
        <v>0</v>
      </c>
      <c r="J2220" s="38">
        <f t="shared" ca="1" si="257"/>
        <v>0</v>
      </c>
      <c r="K2220" s="30">
        <f t="shared" ca="1" si="258"/>
        <v>0</v>
      </c>
      <c r="L2220" t="str">
        <f t="shared" si="259"/>
        <v>High</v>
      </c>
      <c r="M2220" s="39">
        <f>IFERROR(VLOOKUP("47mg LP - EU Stock",Controls!A:I,7,0),6)</f>
        <v>9</v>
      </c>
      <c r="N2220" s="39">
        <f>IFERROR(VLOOKUP("47mg LP - EU Stock",Controls!A:I,8,0),3)</f>
        <v>8</v>
      </c>
      <c r="O2220" s="39">
        <f>IFERROR(VLOOKUP("47mg LP - EU Stock",Controls!A:I,9,0),18)</f>
        <v>18</v>
      </c>
      <c r="P2220" s="40">
        <f>IFERROR(VLOOKUP("47mg LP - EU Stock",Controls!A:J,5,0),0)</f>
        <v>10000</v>
      </c>
      <c r="Q2220" s="39">
        <f>IFERROR(VLOOKUP("47mg LP - EU Stock",Controls!A:J,6,0),3)</f>
        <v>3</v>
      </c>
      <c r="R2220" s="21" t="str">
        <f>IFERROR(VLOOKUP("47mg LP - EU Stock",Controls!A:K,10,0),"")</f>
        <v>Patheon (L&amp;P EU)</v>
      </c>
      <c r="S2220" s="41">
        <f t="shared" si="260"/>
        <v>48000</v>
      </c>
      <c r="T2220" s="30">
        <f t="shared" si="261"/>
        <v>0</v>
      </c>
      <c r="W2220" s="205" t="str" cm="1">
        <f t="array" ref="W2220">IF(67&lt;Controls!$B$7,TEXT(INDEX(A2153:A2331,MATCH(Controls!$B$5,A2153:A2331,1)+67),"MMM-YY"),"")</f>
        <v/>
      </c>
      <c r="X2220" t="str" cm="1">
        <f t="array" ref="X2220">IF(67&lt;Controls!$B$7,INDEX(F2153:F2331,MATCH(Controls!$B$5,A2153:A2331,1)+67),"")</f>
        <v/>
      </c>
      <c r="Y2220" t="str" cm="1">
        <f t="array" ref="Y2220">IF(67&lt;Controls!$B$7,INDEX(G2153:G2331,MATCH(Controls!$B$5,A2153:A2331,1)+67),"")</f>
        <v/>
      </c>
      <c r="Z2220" t="str" cm="1">
        <f t="array" ref="Z2220">IF(67&lt;Controls!$B$7,INDEX(H2153:H2331,MATCH(Controls!$B$5,A2153:A2331,1)+67),"")</f>
        <v/>
      </c>
      <c r="AA2220" t="str" cm="1">
        <f t="array" ref="AA2220">IF(67&lt;Controls!$B$7,INDEX(M2153:M2331,MATCH(Controls!$B$5,A2153:A2331,1)+67)*INDEX(I2153:I2331,MATCH(Controls!$B$5,A2153:A2331,1)+67),"")</f>
        <v/>
      </c>
      <c r="AB2220">
        <f t="shared" si="262"/>
        <v>0</v>
      </c>
    </row>
    <row r="2221" spans="1:28" x14ac:dyDescent="0.35">
      <c r="A2221" s="153">
        <v>48122</v>
      </c>
      <c r="B2221" s="155" t="s">
        <v>960</v>
      </c>
      <c r="C2221" s="15" t="s">
        <v>28</v>
      </c>
      <c r="D2221" s="15" t="s">
        <v>29</v>
      </c>
      <c r="E2221" s="199">
        <f>H2220</f>
        <v>0</v>
      </c>
      <c r="F2221" s="199">
        <f>IFERROR(SUMIFS('Demand Inputs'!$BV$5:$BV$202,'Demand Inputs'!$A$5:$A$202,"47mg LP - EU Stock",'Demand Inputs'!$B$5:$B$202,"&lt;&gt;AGGREGATE",'Demand Inputs'!$E$5:$E$202,1),0)</f>
        <v>0</v>
      </c>
      <c r="G2221" s="199" cm="1">
        <f t="array" ref="G2221">IFERROR(SUMPRODUCT(('Production Inputs'!$A:$A="47mg LP - EU Stock")*('Production Inputs'!$B:$B="TOTAL ACTIVE")*'Production Inputs'!$CB:$CB),0)</f>
        <v>0</v>
      </c>
      <c r="H2221" s="199">
        <f t="shared" si="256"/>
        <v>0</v>
      </c>
      <c r="I2221" s="30">
        <f ca="1">IFERROR(AVERAGEIF(OFFSET(F2221,0,0,MIN(Controls!$B$8,COUNTIF(B2221:B$2331,B2221)),1),"&gt;"&amp;0),0)</f>
        <v>0</v>
      </c>
      <c r="J2221" s="38">
        <f t="shared" ca="1" si="257"/>
        <v>0</v>
      </c>
      <c r="K2221" s="30">
        <f t="shared" ca="1" si="258"/>
        <v>0</v>
      </c>
      <c r="L2221" t="str">
        <f t="shared" si="259"/>
        <v>High</v>
      </c>
      <c r="M2221" s="39">
        <f>IFERROR(VLOOKUP("47mg LP - EU Stock",Controls!A:I,7,0),6)</f>
        <v>9</v>
      </c>
      <c r="N2221" s="39">
        <f>IFERROR(VLOOKUP("47mg LP - EU Stock",Controls!A:I,8,0),3)</f>
        <v>8</v>
      </c>
      <c r="O2221" s="39">
        <f>IFERROR(VLOOKUP("47mg LP - EU Stock",Controls!A:I,9,0),18)</f>
        <v>18</v>
      </c>
      <c r="P2221" s="40">
        <f>IFERROR(VLOOKUP("47mg LP - EU Stock",Controls!A:J,5,0),0)</f>
        <v>10000</v>
      </c>
      <c r="Q2221" s="39">
        <f>IFERROR(VLOOKUP("47mg LP - EU Stock",Controls!A:J,6,0),3)</f>
        <v>3</v>
      </c>
      <c r="R2221" s="21" t="str">
        <f>IFERROR(VLOOKUP("47mg LP - EU Stock",Controls!A:K,10,0),"")</f>
        <v>Patheon (L&amp;P EU)</v>
      </c>
      <c r="S2221" s="41">
        <f t="shared" si="260"/>
        <v>48030</v>
      </c>
      <c r="T2221" s="30">
        <f t="shared" si="261"/>
        <v>0</v>
      </c>
      <c r="W2221" s="205" t="str" cm="1">
        <f t="array" ref="W2221">IF(68&lt;Controls!$B$7,TEXT(INDEX(A2153:A2331,MATCH(Controls!$B$5,A2153:A2331,1)+68),"MMM-YY"),"")</f>
        <v/>
      </c>
      <c r="X2221" t="str" cm="1">
        <f t="array" ref="X2221">IF(68&lt;Controls!$B$7,INDEX(F2153:F2331,MATCH(Controls!$B$5,A2153:A2331,1)+68),"")</f>
        <v/>
      </c>
      <c r="Y2221" t="str" cm="1">
        <f t="array" ref="Y2221">IF(68&lt;Controls!$B$7,INDEX(G2153:G2331,MATCH(Controls!$B$5,A2153:A2331,1)+68),"")</f>
        <v/>
      </c>
      <c r="Z2221" t="str" cm="1">
        <f t="array" ref="Z2221">IF(68&lt;Controls!$B$7,INDEX(H2153:H2331,MATCH(Controls!$B$5,A2153:A2331,1)+68),"")</f>
        <v/>
      </c>
      <c r="AA2221" t="str" cm="1">
        <f t="array" ref="AA2221">IF(68&lt;Controls!$B$7,INDEX(M2153:M2331,MATCH(Controls!$B$5,A2153:A2331,1)+68)*INDEX(I2153:I2331,MATCH(Controls!$B$5,A2153:A2331,1)+68),"")</f>
        <v/>
      </c>
      <c r="AB2221">
        <f t="shared" si="262"/>
        <v>0</v>
      </c>
    </row>
    <row r="2222" spans="1:28" x14ac:dyDescent="0.35">
      <c r="A2222" s="153">
        <v>48153</v>
      </c>
      <c r="B2222" s="155" t="s">
        <v>960</v>
      </c>
      <c r="C2222" s="15" t="s">
        <v>28</v>
      </c>
      <c r="D2222" s="15" t="s">
        <v>29</v>
      </c>
      <c r="E2222" s="199">
        <f>H2221</f>
        <v>0</v>
      </c>
      <c r="F2222" s="199">
        <f>IFERROR(SUMIFS('Demand Inputs'!$BW$5:$BW$202,'Demand Inputs'!$A$5:$A$202,"47mg LP - EU Stock",'Demand Inputs'!$B$5:$B$202,"&lt;&gt;AGGREGATE",'Demand Inputs'!$E$5:$E$202,1),0)</f>
        <v>0</v>
      </c>
      <c r="G2222" s="199" cm="1">
        <f t="array" ref="G2222">IFERROR(SUMPRODUCT(('Production Inputs'!$A:$A="47mg LP - EU Stock")*('Production Inputs'!$B:$B="TOTAL ACTIVE")*'Production Inputs'!$CC:$CC),0)</f>
        <v>0</v>
      </c>
      <c r="H2222" s="199">
        <f t="shared" si="256"/>
        <v>0</v>
      </c>
      <c r="I2222" s="30">
        <f ca="1">IFERROR(AVERAGEIF(OFFSET(F2222,0,0,MIN(Controls!$B$8,COUNTIF(B2222:B$2331,B2222)),1),"&gt;"&amp;0),0)</f>
        <v>0</v>
      </c>
      <c r="J2222" s="38">
        <f t="shared" ca="1" si="257"/>
        <v>0</v>
      </c>
      <c r="K2222" s="30">
        <f t="shared" ca="1" si="258"/>
        <v>0</v>
      </c>
      <c r="L2222" t="str">
        <f t="shared" si="259"/>
        <v>High</v>
      </c>
      <c r="M2222" s="39">
        <f>IFERROR(VLOOKUP("47mg LP - EU Stock",Controls!A:I,7,0),6)</f>
        <v>9</v>
      </c>
      <c r="N2222" s="39">
        <f>IFERROR(VLOOKUP("47mg LP - EU Stock",Controls!A:I,8,0),3)</f>
        <v>8</v>
      </c>
      <c r="O2222" s="39">
        <f>IFERROR(VLOOKUP("47mg LP - EU Stock",Controls!A:I,9,0),18)</f>
        <v>18</v>
      </c>
      <c r="P2222" s="40">
        <f>IFERROR(VLOOKUP("47mg LP - EU Stock",Controls!A:J,5,0),0)</f>
        <v>10000</v>
      </c>
      <c r="Q2222" s="39">
        <f>IFERROR(VLOOKUP("47mg LP - EU Stock",Controls!A:J,6,0),3)</f>
        <v>3</v>
      </c>
      <c r="R2222" s="21" t="str">
        <f>IFERROR(VLOOKUP("47mg LP - EU Stock",Controls!A:K,10,0),"")</f>
        <v>Patheon (L&amp;P EU)</v>
      </c>
      <c r="S2222" s="41">
        <f t="shared" si="260"/>
        <v>48061</v>
      </c>
      <c r="T2222" s="30">
        <f t="shared" si="261"/>
        <v>0</v>
      </c>
      <c r="W2222" s="205" t="str" cm="1">
        <f t="array" ref="W2222">IF(69&lt;Controls!$B$7,TEXT(INDEX(A2153:A2331,MATCH(Controls!$B$5,A2153:A2331,1)+69),"MMM-YY"),"")</f>
        <v/>
      </c>
      <c r="X2222" t="str" cm="1">
        <f t="array" ref="X2222">IF(69&lt;Controls!$B$7,INDEX(F2153:F2331,MATCH(Controls!$B$5,A2153:A2331,1)+69),"")</f>
        <v/>
      </c>
      <c r="Y2222" t="str" cm="1">
        <f t="array" ref="Y2222">IF(69&lt;Controls!$B$7,INDEX(G2153:G2331,MATCH(Controls!$B$5,A2153:A2331,1)+69),"")</f>
        <v/>
      </c>
      <c r="Z2222" t="str" cm="1">
        <f t="array" ref="Z2222">IF(69&lt;Controls!$B$7,INDEX(H2153:H2331,MATCH(Controls!$B$5,A2153:A2331,1)+69),"")</f>
        <v/>
      </c>
      <c r="AA2222" t="str" cm="1">
        <f t="array" ref="AA2222">IF(69&lt;Controls!$B$7,INDEX(M2153:M2331,MATCH(Controls!$B$5,A2153:A2331,1)+69)*INDEX(I2153:I2331,MATCH(Controls!$B$5,A2153:A2331,1)+69),"")</f>
        <v/>
      </c>
      <c r="AB2222">
        <f t="shared" si="262"/>
        <v>0</v>
      </c>
    </row>
    <row r="2223" spans="1:28" x14ac:dyDescent="0.35">
      <c r="A2223" s="153">
        <v>48183</v>
      </c>
      <c r="B2223" s="155" t="s">
        <v>960</v>
      </c>
      <c r="C2223" s="15" t="s">
        <v>28</v>
      </c>
      <c r="D2223" s="15" t="s">
        <v>29</v>
      </c>
      <c r="E2223" s="199">
        <f>H2222</f>
        <v>0</v>
      </c>
      <c r="F2223" s="199">
        <f>IFERROR(SUMIFS('Demand Inputs'!$BX$5:$BX$202,'Demand Inputs'!$A$5:$A$202,"47mg LP - EU Stock",'Demand Inputs'!$B$5:$B$202,"&lt;&gt;AGGREGATE",'Demand Inputs'!$E$5:$E$202,1),0)</f>
        <v>0</v>
      </c>
      <c r="G2223" s="199" cm="1">
        <f t="array" ref="G2223">IFERROR(SUMPRODUCT(('Production Inputs'!$A:$A="47mg LP - EU Stock")*('Production Inputs'!$B:$B="TOTAL ACTIVE")*'Production Inputs'!$CD:$CD),0)</f>
        <v>0</v>
      </c>
      <c r="H2223" s="199">
        <f t="shared" si="256"/>
        <v>0</v>
      </c>
      <c r="I2223" s="30">
        <f ca="1">IFERROR(AVERAGEIF(OFFSET(F2223,0,0,MIN(Controls!$B$8,COUNTIF(B2223:B$2331,B2223)),1),"&gt;"&amp;0),0)</f>
        <v>0</v>
      </c>
      <c r="J2223" s="38">
        <f t="shared" ca="1" si="257"/>
        <v>0</v>
      </c>
      <c r="K2223" s="30">
        <f t="shared" ca="1" si="258"/>
        <v>0</v>
      </c>
      <c r="L2223" t="str">
        <f t="shared" si="259"/>
        <v>High</v>
      </c>
      <c r="M2223" s="39">
        <f>IFERROR(VLOOKUP("47mg LP - EU Stock",Controls!A:I,7,0),6)</f>
        <v>9</v>
      </c>
      <c r="N2223" s="39">
        <f>IFERROR(VLOOKUP("47mg LP - EU Stock",Controls!A:I,8,0),3)</f>
        <v>8</v>
      </c>
      <c r="O2223" s="39">
        <f>IFERROR(VLOOKUP("47mg LP - EU Stock",Controls!A:I,9,0),18)</f>
        <v>18</v>
      </c>
      <c r="P2223" s="40">
        <f>IFERROR(VLOOKUP("47mg LP - EU Stock",Controls!A:J,5,0),0)</f>
        <v>10000</v>
      </c>
      <c r="Q2223" s="39">
        <f>IFERROR(VLOOKUP("47mg LP - EU Stock",Controls!A:J,6,0),3)</f>
        <v>3</v>
      </c>
      <c r="R2223" s="21" t="str">
        <f>IFERROR(VLOOKUP("47mg LP - EU Stock",Controls!A:K,10,0),"")</f>
        <v>Patheon (L&amp;P EU)</v>
      </c>
      <c r="S2223" s="41">
        <f t="shared" si="260"/>
        <v>48092</v>
      </c>
      <c r="T2223" s="30">
        <f t="shared" si="261"/>
        <v>0</v>
      </c>
      <c r="W2223" s="205" t="str" cm="1">
        <f t="array" ref="W2223">IF(70&lt;Controls!$B$7,TEXT(INDEX(A2153:A2331,MATCH(Controls!$B$5,A2153:A2331,1)+70),"MMM-YY"),"")</f>
        <v/>
      </c>
      <c r="X2223" t="str" cm="1">
        <f t="array" ref="X2223">IF(70&lt;Controls!$B$7,INDEX(F2153:F2331,MATCH(Controls!$B$5,A2153:A2331,1)+70),"")</f>
        <v/>
      </c>
      <c r="Y2223" t="str" cm="1">
        <f t="array" ref="Y2223">IF(70&lt;Controls!$B$7,INDEX(G2153:G2331,MATCH(Controls!$B$5,A2153:A2331,1)+70),"")</f>
        <v/>
      </c>
      <c r="Z2223" t="str" cm="1">
        <f t="array" ref="Z2223">IF(70&lt;Controls!$B$7,INDEX(H2153:H2331,MATCH(Controls!$B$5,A2153:A2331,1)+70),"")</f>
        <v/>
      </c>
      <c r="AA2223" t="str" cm="1">
        <f t="array" ref="AA2223">IF(70&lt;Controls!$B$7,INDEX(M2153:M2331,MATCH(Controls!$B$5,A2153:A2331,1)+70)*INDEX(I2153:I2331,MATCH(Controls!$B$5,A2153:A2331,1)+70),"")</f>
        <v/>
      </c>
      <c r="AB2223">
        <f t="shared" si="262"/>
        <v>0</v>
      </c>
    </row>
    <row r="2224" spans="1:28" x14ac:dyDescent="0.35">
      <c r="A2224" s="153">
        <v>48214</v>
      </c>
      <c r="B2224" s="155" t="s">
        <v>960</v>
      </c>
      <c r="C2224" s="15" t="s">
        <v>28</v>
      </c>
      <c r="D2224" s="15" t="s">
        <v>29</v>
      </c>
      <c r="E2224" s="199">
        <f>H2223</f>
        <v>0</v>
      </c>
      <c r="F2224" s="199">
        <f>IFERROR(SUMIFS('Demand Inputs'!$BY$5:$BY$202,'Demand Inputs'!$A$5:$A$202,"47mg LP - EU Stock",'Demand Inputs'!$B$5:$B$202,"&lt;&gt;AGGREGATE",'Demand Inputs'!$E$5:$E$202,1),0)</f>
        <v>0</v>
      </c>
      <c r="G2224" s="199" cm="1">
        <f t="array" ref="G2224">IFERROR(SUMPRODUCT(('Production Inputs'!$A:$A="47mg LP - EU Stock")*('Production Inputs'!$B:$B="TOTAL ACTIVE")*'Production Inputs'!$CE:$CE),0)</f>
        <v>0</v>
      </c>
      <c r="H2224" s="199">
        <f t="shared" si="256"/>
        <v>0</v>
      </c>
      <c r="I2224" s="30">
        <f ca="1">IFERROR(AVERAGEIF(OFFSET(F2224,0,0,MIN(Controls!$B$8,COUNTIF(B2224:B$2331,B2224)),1),"&gt;"&amp;0),0)</f>
        <v>0</v>
      </c>
      <c r="J2224" s="38">
        <f t="shared" ca="1" si="257"/>
        <v>0</v>
      </c>
      <c r="K2224" s="30">
        <f t="shared" ca="1" si="258"/>
        <v>0</v>
      </c>
      <c r="L2224" t="str">
        <f t="shared" si="259"/>
        <v>High</v>
      </c>
      <c r="M2224" s="39">
        <f>IFERROR(VLOOKUP("47mg LP - EU Stock",Controls!A:I,7,0),6)</f>
        <v>9</v>
      </c>
      <c r="N2224" s="39">
        <f>IFERROR(VLOOKUP("47mg LP - EU Stock",Controls!A:I,8,0),3)</f>
        <v>8</v>
      </c>
      <c r="O2224" s="39">
        <f>IFERROR(VLOOKUP("47mg LP - EU Stock",Controls!A:I,9,0),18)</f>
        <v>18</v>
      </c>
      <c r="P2224" s="40">
        <f>IFERROR(VLOOKUP("47mg LP - EU Stock",Controls!A:J,5,0),0)</f>
        <v>10000</v>
      </c>
      <c r="Q2224" s="39">
        <f>IFERROR(VLOOKUP("47mg LP - EU Stock",Controls!A:J,6,0),3)</f>
        <v>3</v>
      </c>
      <c r="R2224" s="21" t="str">
        <f>IFERROR(VLOOKUP("47mg LP - EU Stock",Controls!A:K,10,0),"")</f>
        <v>Patheon (L&amp;P EU)</v>
      </c>
      <c r="S2224" s="41">
        <f t="shared" si="260"/>
        <v>48122</v>
      </c>
      <c r="T2224" s="30">
        <f t="shared" si="261"/>
        <v>0</v>
      </c>
      <c r="W2224" s="205" t="str" cm="1">
        <f t="array" ref="W2224">IF(71&lt;Controls!$B$7,TEXT(INDEX(A2153:A2331,MATCH(Controls!$B$5,A2153:A2331,1)+71),"MMM-YY"),"")</f>
        <v/>
      </c>
      <c r="X2224" t="str" cm="1">
        <f t="array" ref="X2224">IF(71&lt;Controls!$B$7,INDEX(F2153:F2331,MATCH(Controls!$B$5,A2153:A2331,1)+71),"")</f>
        <v/>
      </c>
      <c r="Y2224" t="str" cm="1">
        <f t="array" ref="Y2224">IF(71&lt;Controls!$B$7,INDEX(G2153:G2331,MATCH(Controls!$B$5,A2153:A2331,1)+71),"")</f>
        <v/>
      </c>
      <c r="Z2224" t="str" cm="1">
        <f t="array" ref="Z2224">IF(71&lt;Controls!$B$7,INDEX(H2153:H2331,MATCH(Controls!$B$5,A2153:A2331,1)+71),"")</f>
        <v/>
      </c>
      <c r="AA2224" t="str" cm="1">
        <f t="array" ref="AA2224">IF(71&lt;Controls!$B$7,INDEX(M2153:M2331,MATCH(Controls!$B$5,A2153:A2331,1)+71)*INDEX(I2153:I2331,MATCH(Controls!$B$5,A2153:A2331,1)+71),"")</f>
        <v/>
      </c>
      <c r="AB2224">
        <f t="shared" si="262"/>
        <v>0</v>
      </c>
    </row>
    <row r="2225" spans="1:28" x14ac:dyDescent="0.35">
      <c r="A2225" s="153">
        <v>48245</v>
      </c>
      <c r="B2225" s="155" t="s">
        <v>960</v>
      </c>
      <c r="C2225" s="15" t="s">
        <v>28</v>
      </c>
      <c r="D2225" s="15" t="s">
        <v>29</v>
      </c>
      <c r="E2225" s="199">
        <f>H2224</f>
        <v>0</v>
      </c>
      <c r="F2225" s="199">
        <f>IFERROR(SUMIFS('Demand Inputs'!$BZ$5:$BZ$202,'Demand Inputs'!$A$5:$A$202,"47mg LP - EU Stock",'Demand Inputs'!$B$5:$B$202,"&lt;&gt;AGGREGATE",'Demand Inputs'!$E$5:$E$202,1),0)</f>
        <v>0</v>
      </c>
      <c r="G2225" s="199" cm="1">
        <f t="array" ref="G2225">IFERROR(SUMPRODUCT(('Production Inputs'!$A:$A="47mg LP - EU Stock")*('Production Inputs'!$B:$B="TOTAL ACTIVE")*'Production Inputs'!$CF:$CF),0)</f>
        <v>0</v>
      </c>
      <c r="H2225" s="199">
        <f t="shared" si="256"/>
        <v>0</v>
      </c>
      <c r="I2225" s="30">
        <f ca="1">IFERROR(AVERAGEIF(OFFSET(F2225,0,0,MIN(Controls!$B$8,COUNTIF(B2225:B$2331,B2225)),1),"&gt;"&amp;0),0)</f>
        <v>0</v>
      </c>
      <c r="J2225" s="38">
        <f t="shared" ca="1" si="257"/>
        <v>0</v>
      </c>
      <c r="K2225" s="30">
        <f t="shared" ca="1" si="258"/>
        <v>0</v>
      </c>
      <c r="L2225" t="str">
        <f t="shared" si="259"/>
        <v>High</v>
      </c>
      <c r="M2225" s="39">
        <f>IFERROR(VLOOKUP("47mg LP - EU Stock",Controls!A:I,7,0),6)</f>
        <v>9</v>
      </c>
      <c r="N2225" s="39">
        <f>IFERROR(VLOOKUP("47mg LP - EU Stock",Controls!A:I,8,0),3)</f>
        <v>8</v>
      </c>
      <c r="O2225" s="39">
        <f>IFERROR(VLOOKUP("47mg LP - EU Stock",Controls!A:I,9,0),18)</f>
        <v>18</v>
      </c>
      <c r="P2225" s="40">
        <f>IFERROR(VLOOKUP("47mg LP - EU Stock",Controls!A:J,5,0),0)</f>
        <v>10000</v>
      </c>
      <c r="Q2225" s="39">
        <f>IFERROR(VLOOKUP("47mg LP - EU Stock",Controls!A:J,6,0),3)</f>
        <v>3</v>
      </c>
      <c r="R2225" s="21" t="str">
        <f>IFERROR(VLOOKUP("47mg LP - EU Stock",Controls!A:K,10,0),"")</f>
        <v>Patheon (L&amp;P EU)</v>
      </c>
      <c r="S2225" s="41">
        <f t="shared" si="260"/>
        <v>48153</v>
      </c>
      <c r="T2225" s="30">
        <f t="shared" si="261"/>
        <v>0</v>
      </c>
      <c r="W2225" s="205" t="str" cm="1">
        <f t="array" ref="W2225">IF(72&lt;Controls!$B$7,TEXT(INDEX(A2153:A2331,MATCH(Controls!$B$5,A2153:A2331,1)+72),"MMM-YY"),"")</f>
        <v/>
      </c>
      <c r="X2225" t="str" cm="1">
        <f t="array" ref="X2225">IF(72&lt;Controls!$B$7,INDEX(F2153:F2331,MATCH(Controls!$B$5,A2153:A2331,1)+72),"")</f>
        <v/>
      </c>
      <c r="Y2225" t="str" cm="1">
        <f t="array" ref="Y2225">IF(72&lt;Controls!$B$7,INDEX(G2153:G2331,MATCH(Controls!$B$5,A2153:A2331,1)+72),"")</f>
        <v/>
      </c>
      <c r="Z2225" t="str" cm="1">
        <f t="array" ref="Z2225">IF(72&lt;Controls!$B$7,INDEX(H2153:H2331,MATCH(Controls!$B$5,A2153:A2331,1)+72),"")</f>
        <v/>
      </c>
      <c r="AA2225" t="str" cm="1">
        <f t="array" ref="AA2225">IF(72&lt;Controls!$B$7,INDEX(M2153:M2331,MATCH(Controls!$B$5,A2153:A2331,1)+72)*INDEX(I2153:I2331,MATCH(Controls!$B$5,A2153:A2331,1)+72),"")</f>
        <v/>
      </c>
      <c r="AB2225">
        <f t="shared" si="262"/>
        <v>0</v>
      </c>
    </row>
    <row r="2226" spans="1:28" x14ac:dyDescent="0.35">
      <c r="A2226" s="153">
        <v>48274</v>
      </c>
      <c r="B2226" s="155" t="s">
        <v>960</v>
      </c>
      <c r="C2226" s="15" t="s">
        <v>28</v>
      </c>
      <c r="D2226" s="15" t="s">
        <v>29</v>
      </c>
      <c r="E2226" s="199">
        <f>H2225</f>
        <v>0</v>
      </c>
      <c r="F2226" s="199">
        <f>IFERROR(SUMIFS('Demand Inputs'!$CA$5:$CA$202,'Demand Inputs'!$A$5:$A$202,"47mg LP - EU Stock",'Demand Inputs'!$B$5:$B$202,"&lt;&gt;AGGREGATE",'Demand Inputs'!$E$5:$E$202,1),0)</f>
        <v>0</v>
      </c>
      <c r="G2226" s="199" cm="1">
        <f t="array" ref="G2226">IFERROR(SUMPRODUCT(('Production Inputs'!$A:$A="47mg LP - EU Stock")*('Production Inputs'!$B:$B="TOTAL ACTIVE")*'Production Inputs'!$CG:$CG),0)</f>
        <v>0</v>
      </c>
      <c r="H2226" s="199">
        <f t="shared" si="256"/>
        <v>0</v>
      </c>
      <c r="I2226" s="30">
        <f ca="1">IFERROR(AVERAGEIF(OFFSET(F2226,0,0,MIN(Controls!$B$8,COUNTIF(B2226:B$2331,B2226)),1),"&gt;"&amp;0),0)</f>
        <v>0</v>
      </c>
      <c r="J2226" s="38">
        <f t="shared" ca="1" si="257"/>
        <v>0</v>
      </c>
      <c r="K2226" s="30">
        <f t="shared" ca="1" si="258"/>
        <v>0</v>
      </c>
      <c r="L2226" t="str">
        <f t="shared" si="259"/>
        <v>High</v>
      </c>
      <c r="M2226" s="39">
        <f>IFERROR(VLOOKUP("47mg LP - EU Stock",Controls!A:I,7,0),6)</f>
        <v>9</v>
      </c>
      <c r="N2226" s="39">
        <f>IFERROR(VLOOKUP("47mg LP - EU Stock",Controls!A:I,8,0),3)</f>
        <v>8</v>
      </c>
      <c r="O2226" s="39">
        <f>IFERROR(VLOOKUP("47mg LP - EU Stock",Controls!A:I,9,0),18)</f>
        <v>18</v>
      </c>
      <c r="P2226" s="40">
        <f>IFERROR(VLOOKUP("47mg LP - EU Stock",Controls!A:J,5,0),0)</f>
        <v>10000</v>
      </c>
      <c r="Q2226" s="39">
        <f>IFERROR(VLOOKUP("47mg LP - EU Stock",Controls!A:J,6,0),3)</f>
        <v>3</v>
      </c>
      <c r="R2226" s="21" t="str">
        <f>IFERROR(VLOOKUP("47mg LP - EU Stock",Controls!A:K,10,0),"")</f>
        <v>Patheon (L&amp;P EU)</v>
      </c>
      <c r="S2226" s="41">
        <f t="shared" si="260"/>
        <v>48183</v>
      </c>
      <c r="T2226" s="30">
        <f t="shared" si="261"/>
        <v>0</v>
      </c>
      <c r="W2226" s="205" t="str" cm="1">
        <f t="array" ref="W2226">IF(73&lt;Controls!$B$7,TEXT(INDEX(A2153:A2331,MATCH(Controls!$B$5,A2153:A2331,1)+73),"MMM-YY"),"")</f>
        <v/>
      </c>
      <c r="X2226" t="str" cm="1">
        <f t="array" ref="X2226">IF(73&lt;Controls!$B$7,INDEX(F2153:F2331,MATCH(Controls!$B$5,A2153:A2331,1)+73),"")</f>
        <v/>
      </c>
      <c r="Y2226" t="str" cm="1">
        <f t="array" ref="Y2226">IF(73&lt;Controls!$B$7,INDEX(G2153:G2331,MATCH(Controls!$B$5,A2153:A2331,1)+73),"")</f>
        <v/>
      </c>
      <c r="Z2226" t="str" cm="1">
        <f t="array" ref="Z2226">IF(73&lt;Controls!$B$7,INDEX(H2153:H2331,MATCH(Controls!$B$5,A2153:A2331,1)+73),"")</f>
        <v/>
      </c>
      <c r="AA2226" t="str" cm="1">
        <f t="array" ref="AA2226">IF(73&lt;Controls!$B$7,INDEX(M2153:M2331,MATCH(Controls!$B$5,A2153:A2331,1)+73)*INDEX(I2153:I2331,MATCH(Controls!$B$5,A2153:A2331,1)+73),"")</f>
        <v/>
      </c>
      <c r="AB2226">
        <f t="shared" si="262"/>
        <v>0</v>
      </c>
    </row>
    <row r="2227" spans="1:28" x14ac:dyDescent="0.35">
      <c r="A2227" s="153">
        <v>48305</v>
      </c>
      <c r="B2227" s="155" t="s">
        <v>960</v>
      </c>
      <c r="C2227" s="15" t="s">
        <v>28</v>
      </c>
      <c r="D2227" s="15" t="s">
        <v>29</v>
      </c>
      <c r="E2227" s="199">
        <f>H2226</f>
        <v>0</v>
      </c>
      <c r="F2227" s="199">
        <f>IFERROR(SUMIFS('Demand Inputs'!$CB$5:$CB$202,'Demand Inputs'!$A$5:$A$202,"47mg LP - EU Stock",'Demand Inputs'!$B$5:$B$202,"&lt;&gt;AGGREGATE",'Demand Inputs'!$E$5:$E$202,1),0)</f>
        <v>0</v>
      </c>
      <c r="G2227" s="199" cm="1">
        <f t="array" ref="G2227">IFERROR(SUMPRODUCT(('Production Inputs'!$A:$A="47mg LP - EU Stock")*('Production Inputs'!$B:$B="TOTAL ACTIVE")*'Production Inputs'!$CH:$CH),0)</f>
        <v>0</v>
      </c>
      <c r="H2227" s="199">
        <f t="shared" si="256"/>
        <v>0</v>
      </c>
      <c r="I2227" s="30">
        <f ca="1">IFERROR(AVERAGEIF(OFFSET(F2227,0,0,MIN(Controls!$B$8,COUNTIF(B2227:B$2331,B2227)),1),"&gt;"&amp;0),0)</f>
        <v>0</v>
      </c>
      <c r="J2227" s="38">
        <f t="shared" ca="1" si="257"/>
        <v>0</v>
      </c>
      <c r="K2227" s="30">
        <f t="shared" ca="1" si="258"/>
        <v>0</v>
      </c>
      <c r="L2227" t="str">
        <f t="shared" si="259"/>
        <v>High</v>
      </c>
      <c r="M2227" s="39">
        <f>IFERROR(VLOOKUP("47mg LP - EU Stock",Controls!A:I,7,0),6)</f>
        <v>9</v>
      </c>
      <c r="N2227" s="39">
        <f>IFERROR(VLOOKUP("47mg LP - EU Stock",Controls!A:I,8,0),3)</f>
        <v>8</v>
      </c>
      <c r="O2227" s="39">
        <f>IFERROR(VLOOKUP("47mg LP - EU Stock",Controls!A:I,9,0),18)</f>
        <v>18</v>
      </c>
      <c r="P2227" s="40">
        <f>IFERROR(VLOOKUP("47mg LP - EU Stock",Controls!A:J,5,0),0)</f>
        <v>10000</v>
      </c>
      <c r="Q2227" s="39">
        <f>IFERROR(VLOOKUP("47mg LP - EU Stock",Controls!A:J,6,0),3)</f>
        <v>3</v>
      </c>
      <c r="R2227" s="21" t="str">
        <f>IFERROR(VLOOKUP("47mg LP - EU Stock",Controls!A:K,10,0),"")</f>
        <v>Patheon (L&amp;P EU)</v>
      </c>
      <c r="S2227" s="41">
        <f t="shared" si="260"/>
        <v>48214</v>
      </c>
      <c r="T2227" s="30">
        <f t="shared" si="261"/>
        <v>0</v>
      </c>
      <c r="W2227" s="205" t="str" cm="1">
        <f t="array" ref="W2227">IF(74&lt;Controls!$B$7,TEXT(INDEX(A2153:A2331,MATCH(Controls!$B$5,A2153:A2331,1)+74),"MMM-YY"),"")</f>
        <v/>
      </c>
      <c r="X2227" t="str" cm="1">
        <f t="array" ref="X2227">IF(74&lt;Controls!$B$7,INDEX(F2153:F2331,MATCH(Controls!$B$5,A2153:A2331,1)+74),"")</f>
        <v/>
      </c>
      <c r="Y2227" t="str" cm="1">
        <f t="array" ref="Y2227">IF(74&lt;Controls!$B$7,INDEX(G2153:G2331,MATCH(Controls!$B$5,A2153:A2331,1)+74),"")</f>
        <v/>
      </c>
      <c r="Z2227" t="str" cm="1">
        <f t="array" ref="Z2227">IF(74&lt;Controls!$B$7,INDEX(H2153:H2331,MATCH(Controls!$B$5,A2153:A2331,1)+74),"")</f>
        <v/>
      </c>
      <c r="AA2227" t="str" cm="1">
        <f t="array" ref="AA2227">IF(74&lt;Controls!$B$7,INDEX(M2153:M2331,MATCH(Controls!$B$5,A2153:A2331,1)+74)*INDEX(I2153:I2331,MATCH(Controls!$B$5,A2153:A2331,1)+74),"")</f>
        <v/>
      </c>
      <c r="AB2227">
        <f t="shared" si="262"/>
        <v>0</v>
      </c>
    </row>
    <row r="2228" spans="1:28" x14ac:dyDescent="0.35">
      <c r="A2228" s="153">
        <v>48335</v>
      </c>
      <c r="B2228" s="155" t="s">
        <v>960</v>
      </c>
      <c r="C2228" s="15" t="s">
        <v>28</v>
      </c>
      <c r="D2228" s="15" t="s">
        <v>29</v>
      </c>
      <c r="E2228" s="199">
        <f>H2227</f>
        <v>0</v>
      </c>
      <c r="F2228" s="199">
        <f>IFERROR(SUMIFS('Demand Inputs'!$CC$5:$CC$202,'Demand Inputs'!$A$5:$A$202,"47mg LP - EU Stock",'Demand Inputs'!$B$5:$B$202,"&lt;&gt;AGGREGATE",'Demand Inputs'!$E$5:$E$202,1),0)</f>
        <v>0</v>
      </c>
      <c r="G2228" s="199" cm="1">
        <f t="array" ref="G2228">IFERROR(SUMPRODUCT(('Production Inputs'!$A:$A="47mg LP - EU Stock")*('Production Inputs'!$B:$B="TOTAL ACTIVE")*'Production Inputs'!$CI:$CI),0)</f>
        <v>0</v>
      </c>
      <c r="H2228" s="199">
        <f t="shared" si="256"/>
        <v>0</v>
      </c>
      <c r="I2228" s="30">
        <f ca="1">IFERROR(AVERAGEIF(OFFSET(F2228,0,0,MIN(Controls!$B$8,COUNTIF(B2228:B$2331,B2228)),1),"&gt;"&amp;0),0)</f>
        <v>0</v>
      </c>
      <c r="J2228" s="38">
        <f t="shared" ca="1" si="257"/>
        <v>0</v>
      </c>
      <c r="K2228" s="30">
        <f t="shared" ca="1" si="258"/>
        <v>0</v>
      </c>
      <c r="L2228" t="str">
        <f t="shared" si="259"/>
        <v>High</v>
      </c>
      <c r="M2228" s="39">
        <f>IFERROR(VLOOKUP("47mg LP - EU Stock",Controls!A:I,7,0),6)</f>
        <v>9</v>
      </c>
      <c r="N2228" s="39">
        <f>IFERROR(VLOOKUP("47mg LP - EU Stock",Controls!A:I,8,0),3)</f>
        <v>8</v>
      </c>
      <c r="O2228" s="39">
        <f>IFERROR(VLOOKUP("47mg LP - EU Stock",Controls!A:I,9,0),18)</f>
        <v>18</v>
      </c>
      <c r="P2228" s="40">
        <f>IFERROR(VLOOKUP("47mg LP - EU Stock",Controls!A:J,5,0),0)</f>
        <v>10000</v>
      </c>
      <c r="Q2228" s="39">
        <f>IFERROR(VLOOKUP("47mg LP - EU Stock",Controls!A:J,6,0),3)</f>
        <v>3</v>
      </c>
      <c r="R2228" s="21" t="str">
        <f>IFERROR(VLOOKUP("47mg LP - EU Stock",Controls!A:K,10,0),"")</f>
        <v>Patheon (L&amp;P EU)</v>
      </c>
      <c r="S2228" s="41">
        <f t="shared" si="260"/>
        <v>48245</v>
      </c>
      <c r="T2228" s="30">
        <f t="shared" si="261"/>
        <v>0</v>
      </c>
      <c r="W2228" s="205" t="str" cm="1">
        <f t="array" ref="W2228">IF(75&lt;Controls!$B$7,TEXT(INDEX(A2153:A2331,MATCH(Controls!$B$5,A2153:A2331,1)+75),"MMM-YY"),"")</f>
        <v/>
      </c>
      <c r="X2228" t="str" cm="1">
        <f t="array" ref="X2228">IF(75&lt;Controls!$B$7,INDEX(F2153:F2331,MATCH(Controls!$B$5,A2153:A2331,1)+75),"")</f>
        <v/>
      </c>
      <c r="Y2228" t="str" cm="1">
        <f t="array" ref="Y2228">IF(75&lt;Controls!$B$7,INDEX(G2153:G2331,MATCH(Controls!$B$5,A2153:A2331,1)+75),"")</f>
        <v/>
      </c>
      <c r="Z2228" t="str" cm="1">
        <f t="array" ref="Z2228">IF(75&lt;Controls!$B$7,INDEX(H2153:H2331,MATCH(Controls!$B$5,A2153:A2331,1)+75),"")</f>
        <v/>
      </c>
      <c r="AA2228" t="str" cm="1">
        <f t="array" ref="AA2228">IF(75&lt;Controls!$B$7,INDEX(M2153:M2331,MATCH(Controls!$B$5,A2153:A2331,1)+75)*INDEX(I2153:I2331,MATCH(Controls!$B$5,A2153:A2331,1)+75),"")</f>
        <v/>
      </c>
      <c r="AB2228">
        <f t="shared" si="262"/>
        <v>0</v>
      </c>
    </row>
    <row r="2229" spans="1:28" x14ac:dyDescent="0.35">
      <c r="A2229" s="153">
        <v>48366</v>
      </c>
      <c r="B2229" s="155" t="s">
        <v>960</v>
      </c>
      <c r="C2229" s="15" t="s">
        <v>28</v>
      </c>
      <c r="D2229" s="15" t="s">
        <v>29</v>
      </c>
      <c r="E2229" s="199">
        <f>H2228</f>
        <v>0</v>
      </c>
      <c r="F2229" s="199">
        <f>IFERROR(SUMIFS('Demand Inputs'!$CD$5:$CD$202,'Demand Inputs'!$A$5:$A$202,"47mg LP - EU Stock",'Demand Inputs'!$B$5:$B$202,"&lt;&gt;AGGREGATE",'Demand Inputs'!$E$5:$E$202,1),0)</f>
        <v>0</v>
      </c>
      <c r="G2229" s="199" cm="1">
        <f t="array" ref="G2229">IFERROR(SUMPRODUCT(('Production Inputs'!$A:$A="47mg LP - EU Stock")*('Production Inputs'!$B:$B="TOTAL ACTIVE")*'Production Inputs'!$CJ:$CJ),0)</f>
        <v>0</v>
      </c>
      <c r="H2229" s="199">
        <f t="shared" si="256"/>
        <v>0</v>
      </c>
      <c r="I2229" s="30">
        <f ca="1">IFERROR(AVERAGEIF(OFFSET(F2229,0,0,MIN(Controls!$B$8,COUNTIF(B2229:B$2331,B2229)),1),"&gt;"&amp;0),0)</f>
        <v>0</v>
      </c>
      <c r="J2229" s="38">
        <f t="shared" ca="1" si="257"/>
        <v>0</v>
      </c>
      <c r="K2229" s="30">
        <f t="shared" ca="1" si="258"/>
        <v>0</v>
      </c>
      <c r="L2229" t="str">
        <f t="shared" si="259"/>
        <v>High</v>
      </c>
      <c r="M2229" s="39">
        <f>IFERROR(VLOOKUP("47mg LP - EU Stock",Controls!A:I,7,0),6)</f>
        <v>9</v>
      </c>
      <c r="N2229" s="39">
        <f>IFERROR(VLOOKUP("47mg LP - EU Stock",Controls!A:I,8,0),3)</f>
        <v>8</v>
      </c>
      <c r="O2229" s="39">
        <f>IFERROR(VLOOKUP("47mg LP - EU Stock",Controls!A:I,9,0),18)</f>
        <v>18</v>
      </c>
      <c r="P2229" s="40">
        <f>IFERROR(VLOOKUP("47mg LP - EU Stock",Controls!A:J,5,0),0)</f>
        <v>10000</v>
      </c>
      <c r="Q2229" s="39">
        <f>IFERROR(VLOOKUP("47mg LP - EU Stock",Controls!A:J,6,0),3)</f>
        <v>3</v>
      </c>
      <c r="R2229" s="21" t="str">
        <f>IFERROR(VLOOKUP("47mg LP - EU Stock",Controls!A:K,10,0),"")</f>
        <v>Patheon (L&amp;P EU)</v>
      </c>
      <c r="S2229" s="41">
        <f t="shared" si="260"/>
        <v>48274</v>
      </c>
      <c r="T2229" s="30">
        <f t="shared" si="261"/>
        <v>0</v>
      </c>
      <c r="W2229" s="205" t="str" cm="1">
        <f t="array" ref="W2229">IF(76&lt;Controls!$B$7,TEXT(INDEX(A2153:A2331,MATCH(Controls!$B$5,A2153:A2331,1)+76),"MMM-YY"),"")</f>
        <v/>
      </c>
      <c r="X2229" t="str" cm="1">
        <f t="array" ref="X2229">IF(76&lt;Controls!$B$7,INDEX(F2153:F2331,MATCH(Controls!$B$5,A2153:A2331,1)+76),"")</f>
        <v/>
      </c>
      <c r="Y2229" t="str" cm="1">
        <f t="array" ref="Y2229">IF(76&lt;Controls!$B$7,INDEX(G2153:G2331,MATCH(Controls!$B$5,A2153:A2331,1)+76),"")</f>
        <v/>
      </c>
      <c r="Z2229" t="str" cm="1">
        <f t="array" ref="Z2229">IF(76&lt;Controls!$B$7,INDEX(H2153:H2331,MATCH(Controls!$B$5,A2153:A2331,1)+76),"")</f>
        <v/>
      </c>
      <c r="AA2229" t="str" cm="1">
        <f t="array" ref="AA2229">IF(76&lt;Controls!$B$7,INDEX(M2153:M2331,MATCH(Controls!$B$5,A2153:A2331,1)+76)*INDEX(I2153:I2331,MATCH(Controls!$B$5,A2153:A2331,1)+76),"")</f>
        <v/>
      </c>
      <c r="AB2229">
        <f t="shared" si="262"/>
        <v>0</v>
      </c>
    </row>
    <row r="2230" spans="1:28" x14ac:dyDescent="0.35">
      <c r="A2230" s="153">
        <v>48396</v>
      </c>
      <c r="B2230" s="155" t="s">
        <v>960</v>
      </c>
      <c r="C2230" s="15" t="s">
        <v>28</v>
      </c>
      <c r="D2230" s="15" t="s">
        <v>29</v>
      </c>
      <c r="E2230" s="199">
        <f>H2229</f>
        <v>0</v>
      </c>
      <c r="F2230" s="199">
        <f>IFERROR(SUMIFS('Demand Inputs'!$CE$5:$CE$202,'Demand Inputs'!$A$5:$A$202,"47mg LP - EU Stock",'Demand Inputs'!$B$5:$B$202,"&lt;&gt;AGGREGATE",'Demand Inputs'!$E$5:$E$202,1),0)</f>
        <v>0</v>
      </c>
      <c r="G2230" s="199" cm="1">
        <f t="array" ref="G2230">IFERROR(SUMPRODUCT(('Production Inputs'!$A:$A="47mg LP - EU Stock")*('Production Inputs'!$B:$B="TOTAL ACTIVE")*'Production Inputs'!$CK:$CK),0)</f>
        <v>0</v>
      </c>
      <c r="H2230" s="199">
        <f t="shared" ref="H2230:H2293" si="263">E2230+G2230-F2230</f>
        <v>0</v>
      </c>
      <c r="I2230" s="30">
        <f ca="1">IFERROR(AVERAGEIF(OFFSET(F2230,0,0,MIN(Controls!$B$8,COUNTIF(B2230:B$2331,B2230)),1),"&gt;"&amp;0),0)</f>
        <v>0</v>
      </c>
      <c r="J2230" s="38">
        <f t="shared" ref="J2230:J2293" ca="1" si="264">IFERROR(H2230/I2230,IF(H2230&gt;0,999,0))</f>
        <v>0</v>
      </c>
      <c r="K2230" s="30">
        <f t="shared" ref="K2230:K2293" ca="1" si="265">IFERROR(IF(H2230&lt;(N2230*I2230), CEILING(MAX(0,ROUND((M2230*I2230-H2230)/P2230,0)*P2230),P2230), 0), 0)</f>
        <v>0</v>
      </c>
      <c r="L2230" t="str">
        <f t="shared" ref="L2230:L2293" si="266">IF(H2230&lt;=0,"High",IF(J2230&lt;N2230,"High",IF(J2230&lt;M2230,"Medium",IF(J2230&gt;O2230,"Overstock","Low"))))</f>
        <v>High</v>
      </c>
      <c r="M2230" s="39">
        <f>IFERROR(VLOOKUP("47mg LP - EU Stock",Controls!A:I,7,0),6)</f>
        <v>9</v>
      </c>
      <c r="N2230" s="39">
        <f>IFERROR(VLOOKUP("47mg LP - EU Stock",Controls!A:I,8,0),3)</f>
        <v>8</v>
      </c>
      <c r="O2230" s="39">
        <f>IFERROR(VLOOKUP("47mg LP - EU Stock",Controls!A:I,9,0),18)</f>
        <v>18</v>
      </c>
      <c r="P2230" s="40">
        <f>IFERROR(VLOOKUP("47mg LP - EU Stock",Controls!A:J,5,0),0)</f>
        <v>10000</v>
      </c>
      <c r="Q2230" s="39">
        <f>IFERROR(VLOOKUP("47mg LP - EU Stock",Controls!A:J,6,0),3)</f>
        <v>3</v>
      </c>
      <c r="R2230" s="21" t="str">
        <f>IFERROR(VLOOKUP("47mg LP - EU Stock",Controls!A:K,10,0),"")</f>
        <v>Patheon (L&amp;P EU)</v>
      </c>
      <c r="S2230" s="41">
        <f t="shared" ref="S2230:S2293" si="267">IFERROR(EDATE(A2230,-Q2230),"")</f>
        <v>48305</v>
      </c>
      <c r="T2230" s="30">
        <f t="shared" ref="T2230:T2293" si="268">G2230</f>
        <v>0</v>
      </c>
      <c r="W2230" s="205" t="str" cm="1">
        <f t="array" ref="W2230">IF(77&lt;Controls!$B$7,TEXT(INDEX(A2153:A2331,MATCH(Controls!$B$5,A2153:A2331,1)+77),"MMM-YY"),"")</f>
        <v/>
      </c>
      <c r="X2230" t="str" cm="1">
        <f t="array" ref="X2230">IF(77&lt;Controls!$B$7,INDEX(F2153:F2331,MATCH(Controls!$B$5,A2153:A2331,1)+77),"")</f>
        <v/>
      </c>
      <c r="Y2230" t="str" cm="1">
        <f t="array" ref="Y2230">IF(77&lt;Controls!$B$7,INDEX(G2153:G2331,MATCH(Controls!$B$5,A2153:A2331,1)+77),"")</f>
        <v/>
      </c>
      <c r="Z2230" t="str" cm="1">
        <f t="array" ref="Z2230">IF(77&lt;Controls!$B$7,INDEX(H2153:H2331,MATCH(Controls!$B$5,A2153:A2331,1)+77),"")</f>
        <v/>
      </c>
      <c r="AA2230" t="str" cm="1">
        <f t="array" ref="AA2230">IF(77&lt;Controls!$B$7,INDEX(M2153:M2331,MATCH(Controls!$B$5,A2153:A2331,1)+77)*INDEX(I2153:I2331,MATCH(Controls!$B$5,A2153:A2331,1)+77),"")</f>
        <v/>
      </c>
      <c r="AB2230">
        <f t="shared" si="262"/>
        <v>0</v>
      </c>
    </row>
    <row r="2231" spans="1:28" x14ac:dyDescent="0.35">
      <c r="A2231" s="153">
        <v>48427</v>
      </c>
      <c r="B2231" s="155" t="s">
        <v>960</v>
      </c>
      <c r="C2231" s="15" t="s">
        <v>28</v>
      </c>
      <c r="D2231" s="15" t="s">
        <v>29</v>
      </c>
      <c r="E2231" s="199">
        <f>H2230</f>
        <v>0</v>
      </c>
      <c r="F2231" s="199">
        <f>IFERROR(SUMIFS('Demand Inputs'!$CF$5:$CF$202,'Demand Inputs'!$A$5:$A$202,"47mg LP - EU Stock",'Demand Inputs'!$B$5:$B$202,"&lt;&gt;AGGREGATE",'Demand Inputs'!$E$5:$E$202,1),0)</f>
        <v>0</v>
      </c>
      <c r="G2231" s="199" cm="1">
        <f t="array" ref="G2231">IFERROR(SUMPRODUCT(('Production Inputs'!$A:$A="47mg LP - EU Stock")*('Production Inputs'!$B:$B="TOTAL ACTIVE")*'Production Inputs'!$CL:$CL),0)</f>
        <v>0</v>
      </c>
      <c r="H2231" s="199">
        <f t="shared" si="263"/>
        <v>0</v>
      </c>
      <c r="I2231" s="30">
        <f ca="1">IFERROR(AVERAGEIF(OFFSET(F2231,0,0,MIN(Controls!$B$8,COUNTIF(B2231:B$2331,B2231)),1),"&gt;"&amp;0),0)</f>
        <v>0</v>
      </c>
      <c r="J2231" s="38">
        <f t="shared" ca="1" si="264"/>
        <v>0</v>
      </c>
      <c r="K2231" s="30">
        <f t="shared" ca="1" si="265"/>
        <v>0</v>
      </c>
      <c r="L2231" t="str">
        <f t="shared" si="266"/>
        <v>High</v>
      </c>
      <c r="M2231" s="39">
        <f>IFERROR(VLOOKUP("47mg LP - EU Stock",Controls!A:I,7,0),6)</f>
        <v>9</v>
      </c>
      <c r="N2231" s="39">
        <f>IFERROR(VLOOKUP("47mg LP - EU Stock",Controls!A:I,8,0),3)</f>
        <v>8</v>
      </c>
      <c r="O2231" s="39">
        <f>IFERROR(VLOOKUP("47mg LP - EU Stock",Controls!A:I,9,0),18)</f>
        <v>18</v>
      </c>
      <c r="P2231" s="40">
        <f>IFERROR(VLOOKUP("47mg LP - EU Stock",Controls!A:J,5,0),0)</f>
        <v>10000</v>
      </c>
      <c r="Q2231" s="39">
        <f>IFERROR(VLOOKUP("47mg LP - EU Stock",Controls!A:J,6,0),3)</f>
        <v>3</v>
      </c>
      <c r="R2231" s="21" t="str">
        <f>IFERROR(VLOOKUP("47mg LP - EU Stock",Controls!A:K,10,0),"")</f>
        <v>Patheon (L&amp;P EU)</v>
      </c>
      <c r="S2231" s="41">
        <f t="shared" si="267"/>
        <v>48335</v>
      </c>
      <c r="T2231" s="30">
        <f t="shared" si="268"/>
        <v>0</v>
      </c>
      <c r="W2231" s="205" t="str" cm="1">
        <f t="array" ref="W2231">IF(78&lt;Controls!$B$7,TEXT(INDEX(A2153:A2331,MATCH(Controls!$B$5,A2153:A2331,1)+78),"MMM-YY"),"")</f>
        <v/>
      </c>
      <c r="X2231" t="str" cm="1">
        <f t="array" ref="X2231">IF(78&lt;Controls!$B$7,INDEX(F2153:F2331,MATCH(Controls!$B$5,A2153:A2331,1)+78),"")</f>
        <v/>
      </c>
      <c r="Y2231" t="str" cm="1">
        <f t="array" ref="Y2231">IF(78&lt;Controls!$B$7,INDEX(G2153:G2331,MATCH(Controls!$B$5,A2153:A2331,1)+78),"")</f>
        <v/>
      </c>
      <c r="Z2231" t="str" cm="1">
        <f t="array" ref="Z2231">IF(78&lt;Controls!$B$7,INDEX(H2153:H2331,MATCH(Controls!$B$5,A2153:A2331,1)+78),"")</f>
        <v/>
      </c>
      <c r="AA2231" t="str" cm="1">
        <f t="array" ref="AA2231">IF(78&lt;Controls!$B$7,INDEX(M2153:M2331,MATCH(Controls!$B$5,A2153:A2331,1)+78)*INDEX(I2153:I2331,MATCH(Controls!$B$5,A2153:A2331,1)+78),"")</f>
        <v/>
      </c>
      <c r="AB2231">
        <f t="shared" si="262"/>
        <v>0</v>
      </c>
    </row>
    <row r="2232" spans="1:28" x14ac:dyDescent="0.35">
      <c r="A2232" s="153">
        <v>48458</v>
      </c>
      <c r="B2232" s="155" t="s">
        <v>960</v>
      </c>
      <c r="C2232" s="15" t="s">
        <v>28</v>
      </c>
      <c r="D2232" s="15" t="s">
        <v>29</v>
      </c>
      <c r="E2232" s="199">
        <f>H2231</f>
        <v>0</v>
      </c>
      <c r="F2232" s="199">
        <f>IFERROR(SUMIFS('Demand Inputs'!$CG$5:$CG$202,'Demand Inputs'!$A$5:$A$202,"47mg LP - EU Stock",'Demand Inputs'!$B$5:$B$202,"&lt;&gt;AGGREGATE",'Demand Inputs'!$E$5:$E$202,1),0)</f>
        <v>0</v>
      </c>
      <c r="G2232" s="199" cm="1">
        <f t="array" ref="G2232">IFERROR(SUMPRODUCT(('Production Inputs'!$A:$A="47mg LP - EU Stock")*('Production Inputs'!$B:$B="TOTAL ACTIVE")*'Production Inputs'!$CM:$CM),0)</f>
        <v>0</v>
      </c>
      <c r="H2232" s="199">
        <f t="shared" si="263"/>
        <v>0</v>
      </c>
      <c r="I2232" s="30">
        <f ca="1">IFERROR(AVERAGEIF(OFFSET(F2232,0,0,MIN(Controls!$B$8,COUNTIF(B2232:B$2331,B2232)),1),"&gt;"&amp;0),0)</f>
        <v>0</v>
      </c>
      <c r="J2232" s="38">
        <f t="shared" ca="1" si="264"/>
        <v>0</v>
      </c>
      <c r="K2232" s="30">
        <f t="shared" ca="1" si="265"/>
        <v>0</v>
      </c>
      <c r="L2232" t="str">
        <f t="shared" si="266"/>
        <v>High</v>
      </c>
      <c r="M2232" s="39">
        <f>IFERROR(VLOOKUP("47mg LP - EU Stock",Controls!A:I,7,0),6)</f>
        <v>9</v>
      </c>
      <c r="N2232" s="39">
        <f>IFERROR(VLOOKUP("47mg LP - EU Stock",Controls!A:I,8,0),3)</f>
        <v>8</v>
      </c>
      <c r="O2232" s="39">
        <f>IFERROR(VLOOKUP("47mg LP - EU Stock",Controls!A:I,9,0),18)</f>
        <v>18</v>
      </c>
      <c r="P2232" s="40">
        <f>IFERROR(VLOOKUP("47mg LP - EU Stock",Controls!A:J,5,0),0)</f>
        <v>10000</v>
      </c>
      <c r="Q2232" s="39">
        <f>IFERROR(VLOOKUP("47mg LP - EU Stock",Controls!A:J,6,0),3)</f>
        <v>3</v>
      </c>
      <c r="R2232" s="21" t="str">
        <f>IFERROR(VLOOKUP("47mg LP - EU Stock",Controls!A:K,10,0),"")</f>
        <v>Patheon (L&amp;P EU)</v>
      </c>
      <c r="S2232" s="41">
        <f t="shared" si="267"/>
        <v>48366</v>
      </c>
      <c r="T2232" s="30">
        <f t="shared" si="268"/>
        <v>0</v>
      </c>
      <c r="W2232" s="205" t="str" cm="1">
        <f t="array" ref="W2232">IF(79&lt;Controls!$B$7,TEXT(INDEX(A2153:A2331,MATCH(Controls!$B$5,A2153:A2331,1)+79),"MMM-YY"),"")</f>
        <v/>
      </c>
      <c r="X2232" t="str" cm="1">
        <f t="array" ref="X2232">IF(79&lt;Controls!$B$7,INDEX(F2153:F2331,MATCH(Controls!$B$5,A2153:A2331,1)+79),"")</f>
        <v/>
      </c>
      <c r="Y2232" t="str" cm="1">
        <f t="array" ref="Y2232">IF(79&lt;Controls!$B$7,INDEX(G2153:G2331,MATCH(Controls!$B$5,A2153:A2331,1)+79),"")</f>
        <v/>
      </c>
      <c r="Z2232" t="str" cm="1">
        <f t="array" ref="Z2232">IF(79&lt;Controls!$B$7,INDEX(H2153:H2331,MATCH(Controls!$B$5,A2153:A2331,1)+79),"")</f>
        <v/>
      </c>
      <c r="AA2232" t="str" cm="1">
        <f t="array" ref="AA2232">IF(79&lt;Controls!$B$7,INDEX(M2153:M2331,MATCH(Controls!$B$5,A2153:A2331,1)+79)*INDEX(I2153:I2331,MATCH(Controls!$B$5,A2153:A2331,1)+79),"")</f>
        <v/>
      </c>
      <c r="AB2232">
        <f t="shared" si="262"/>
        <v>0</v>
      </c>
    </row>
    <row r="2233" spans="1:28" x14ac:dyDescent="0.35">
      <c r="A2233" s="153">
        <v>48488</v>
      </c>
      <c r="B2233" s="155" t="s">
        <v>960</v>
      </c>
      <c r="C2233" s="15" t="s">
        <v>28</v>
      </c>
      <c r="D2233" s="15" t="s">
        <v>29</v>
      </c>
      <c r="E2233" s="199">
        <f>H2232</f>
        <v>0</v>
      </c>
      <c r="F2233" s="199">
        <f>IFERROR(SUMIFS('Demand Inputs'!$CH$5:$CH$202,'Demand Inputs'!$A$5:$A$202,"47mg LP - EU Stock",'Demand Inputs'!$B$5:$B$202,"&lt;&gt;AGGREGATE",'Demand Inputs'!$E$5:$E$202,1),0)</f>
        <v>0</v>
      </c>
      <c r="G2233" s="199" cm="1">
        <f t="array" ref="G2233">IFERROR(SUMPRODUCT(('Production Inputs'!$A:$A="47mg LP - EU Stock")*('Production Inputs'!$B:$B="TOTAL ACTIVE")*'Production Inputs'!$CN:$CN),0)</f>
        <v>0</v>
      </c>
      <c r="H2233" s="199">
        <f t="shared" si="263"/>
        <v>0</v>
      </c>
      <c r="I2233" s="30">
        <f ca="1">IFERROR(AVERAGEIF(OFFSET(F2233,0,0,MIN(Controls!$B$8,COUNTIF(B2233:B$2331,B2233)),1),"&gt;"&amp;0),0)</f>
        <v>0</v>
      </c>
      <c r="J2233" s="38">
        <f t="shared" ca="1" si="264"/>
        <v>0</v>
      </c>
      <c r="K2233" s="30">
        <f t="shared" ca="1" si="265"/>
        <v>0</v>
      </c>
      <c r="L2233" t="str">
        <f t="shared" si="266"/>
        <v>High</v>
      </c>
      <c r="M2233" s="39">
        <f>IFERROR(VLOOKUP("47mg LP - EU Stock",Controls!A:I,7,0),6)</f>
        <v>9</v>
      </c>
      <c r="N2233" s="39">
        <f>IFERROR(VLOOKUP("47mg LP - EU Stock",Controls!A:I,8,0),3)</f>
        <v>8</v>
      </c>
      <c r="O2233" s="39">
        <f>IFERROR(VLOOKUP("47mg LP - EU Stock",Controls!A:I,9,0),18)</f>
        <v>18</v>
      </c>
      <c r="P2233" s="40">
        <f>IFERROR(VLOOKUP("47mg LP - EU Stock",Controls!A:J,5,0),0)</f>
        <v>10000</v>
      </c>
      <c r="Q2233" s="39">
        <f>IFERROR(VLOOKUP("47mg LP - EU Stock",Controls!A:J,6,0),3)</f>
        <v>3</v>
      </c>
      <c r="R2233" s="21" t="str">
        <f>IFERROR(VLOOKUP("47mg LP - EU Stock",Controls!A:K,10,0),"")</f>
        <v>Patheon (L&amp;P EU)</v>
      </c>
      <c r="S2233" s="41">
        <f t="shared" si="267"/>
        <v>48396</v>
      </c>
      <c r="T2233" s="30">
        <f t="shared" si="268"/>
        <v>0</v>
      </c>
      <c r="W2233" s="205" t="str" cm="1">
        <f t="array" ref="W2233">IF(80&lt;Controls!$B$7,TEXT(INDEX(A2153:A2331,MATCH(Controls!$B$5,A2153:A2331,1)+80),"MMM-YY"),"")</f>
        <v/>
      </c>
      <c r="X2233" t="str" cm="1">
        <f t="array" ref="X2233">IF(80&lt;Controls!$B$7,INDEX(F2153:F2331,MATCH(Controls!$B$5,A2153:A2331,1)+80),"")</f>
        <v/>
      </c>
      <c r="Y2233" t="str" cm="1">
        <f t="array" ref="Y2233">IF(80&lt;Controls!$B$7,INDEX(G2153:G2331,MATCH(Controls!$B$5,A2153:A2331,1)+80),"")</f>
        <v/>
      </c>
      <c r="Z2233" t="str" cm="1">
        <f t="array" ref="Z2233">IF(80&lt;Controls!$B$7,INDEX(H2153:H2331,MATCH(Controls!$B$5,A2153:A2331,1)+80),"")</f>
        <v/>
      </c>
      <c r="AA2233" t="str" cm="1">
        <f t="array" ref="AA2233">IF(80&lt;Controls!$B$7,INDEX(M2153:M2331,MATCH(Controls!$B$5,A2153:A2331,1)+80)*INDEX(I2153:I2331,MATCH(Controls!$B$5,A2153:A2331,1)+80),"")</f>
        <v/>
      </c>
      <c r="AB2233">
        <f t="shared" si="262"/>
        <v>0</v>
      </c>
    </row>
    <row r="2234" spans="1:28" x14ac:dyDescent="0.35">
      <c r="A2234" s="153">
        <v>48519</v>
      </c>
      <c r="B2234" s="155" t="s">
        <v>960</v>
      </c>
      <c r="C2234" s="15" t="s">
        <v>28</v>
      </c>
      <c r="D2234" s="15" t="s">
        <v>29</v>
      </c>
      <c r="E2234" s="199">
        <f>H2233</f>
        <v>0</v>
      </c>
      <c r="F2234" s="199">
        <f>IFERROR(SUMIFS('Demand Inputs'!$CI$5:$CI$202,'Demand Inputs'!$A$5:$A$202,"47mg LP - EU Stock",'Demand Inputs'!$B$5:$B$202,"&lt;&gt;AGGREGATE",'Demand Inputs'!$E$5:$E$202,1),0)</f>
        <v>0</v>
      </c>
      <c r="G2234" s="199" cm="1">
        <f t="array" ref="G2234">IFERROR(SUMPRODUCT(('Production Inputs'!$A:$A="47mg LP - EU Stock")*('Production Inputs'!$B:$B="TOTAL ACTIVE")*'Production Inputs'!$CO:$CO),0)</f>
        <v>0</v>
      </c>
      <c r="H2234" s="199">
        <f t="shared" si="263"/>
        <v>0</v>
      </c>
      <c r="I2234" s="30">
        <f ca="1">IFERROR(AVERAGEIF(OFFSET(F2234,0,0,MIN(Controls!$B$8,COUNTIF(B2234:B$2331,B2234)),1),"&gt;"&amp;0),0)</f>
        <v>0</v>
      </c>
      <c r="J2234" s="38">
        <f t="shared" ca="1" si="264"/>
        <v>0</v>
      </c>
      <c r="K2234" s="30">
        <f t="shared" ca="1" si="265"/>
        <v>0</v>
      </c>
      <c r="L2234" t="str">
        <f t="shared" si="266"/>
        <v>High</v>
      </c>
      <c r="M2234" s="39">
        <f>IFERROR(VLOOKUP("47mg LP - EU Stock",Controls!A:I,7,0),6)</f>
        <v>9</v>
      </c>
      <c r="N2234" s="39">
        <f>IFERROR(VLOOKUP("47mg LP - EU Stock",Controls!A:I,8,0),3)</f>
        <v>8</v>
      </c>
      <c r="O2234" s="39">
        <f>IFERROR(VLOOKUP("47mg LP - EU Stock",Controls!A:I,9,0),18)</f>
        <v>18</v>
      </c>
      <c r="P2234" s="40">
        <f>IFERROR(VLOOKUP("47mg LP - EU Stock",Controls!A:J,5,0),0)</f>
        <v>10000</v>
      </c>
      <c r="Q2234" s="39">
        <f>IFERROR(VLOOKUP("47mg LP - EU Stock",Controls!A:J,6,0),3)</f>
        <v>3</v>
      </c>
      <c r="R2234" s="21" t="str">
        <f>IFERROR(VLOOKUP("47mg LP - EU Stock",Controls!A:K,10,0),"")</f>
        <v>Patheon (L&amp;P EU)</v>
      </c>
      <c r="S2234" s="41">
        <f t="shared" si="267"/>
        <v>48427</v>
      </c>
      <c r="T2234" s="30">
        <f t="shared" si="268"/>
        <v>0</v>
      </c>
      <c r="W2234" s="205" t="str" cm="1">
        <f t="array" ref="W2234">IF(81&lt;Controls!$B$7,TEXT(INDEX(A2153:A2331,MATCH(Controls!$B$5,A2153:A2331,1)+81),"MMM-YY"),"")</f>
        <v/>
      </c>
      <c r="X2234" t="str" cm="1">
        <f t="array" ref="X2234">IF(81&lt;Controls!$B$7,INDEX(F2153:F2331,MATCH(Controls!$B$5,A2153:A2331,1)+81),"")</f>
        <v/>
      </c>
      <c r="Y2234" t="str" cm="1">
        <f t="array" ref="Y2234">IF(81&lt;Controls!$B$7,INDEX(G2153:G2331,MATCH(Controls!$B$5,A2153:A2331,1)+81),"")</f>
        <v/>
      </c>
      <c r="Z2234" t="str" cm="1">
        <f t="array" ref="Z2234">IF(81&lt;Controls!$B$7,INDEX(H2153:H2331,MATCH(Controls!$B$5,A2153:A2331,1)+81),"")</f>
        <v/>
      </c>
      <c r="AA2234" t="str" cm="1">
        <f t="array" ref="AA2234">IF(81&lt;Controls!$B$7,INDEX(M2153:M2331,MATCH(Controls!$B$5,A2153:A2331,1)+81)*INDEX(I2153:I2331,MATCH(Controls!$B$5,A2153:A2331,1)+81),"")</f>
        <v/>
      </c>
      <c r="AB2234">
        <f t="shared" si="262"/>
        <v>0</v>
      </c>
    </row>
    <row r="2235" spans="1:28" x14ac:dyDescent="0.35">
      <c r="A2235" s="153">
        <v>48549</v>
      </c>
      <c r="B2235" s="155" t="s">
        <v>960</v>
      </c>
      <c r="C2235" s="15" t="s">
        <v>28</v>
      </c>
      <c r="D2235" s="15" t="s">
        <v>29</v>
      </c>
      <c r="E2235" s="199">
        <f>H2234</f>
        <v>0</v>
      </c>
      <c r="F2235" s="199">
        <f>IFERROR(SUMIFS('Demand Inputs'!$CJ$5:$CJ$202,'Demand Inputs'!$A$5:$A$202,"47mg LP - EU Stock",'Demand Inputs'!$B$5:$B$202,"&lt;&gt;AGGREGATE",'Demand Inputs'!$E$5:$E$202,1),0)</f>
        <v>0</v>
      </c>
      <c r="G2235" s="199" cm="1">
        <f t="array" ref="G2235">IFERROR(SUMPRODUCT(('Production Inputs'!$A:$A="47mg LP - EU Stock")*('Production Inputs'!$B:$B="TOTAL ACTIVE")*'Production Inputs'!$CP:$CP),0)</f>
        <v>0</v>
      </c>
      <c r="H2235" s="199">
        <f t="shared" si="263"/>
        <v>0</v>
      </c>
      <c r="I2235" s="30">
        <f ca="1">IFERROR(AVERAGEIF(OFFSET(F2235,0,0,MIN(Controls!$B$8,COUNTIF(B2235:B$2331,B2235)),1),"&gt;"&amp;0),0)</f>
        <v>0</v>
      </c>
      <c r="J2235" s="38">
        <f t="shared" ca="1" si="264"/>
        <v>0</v>
      </c>
      <c r="K2235" s="30">
        <f t="shared" ca="1" si="265"/>
        <v>0</v>
      </c>
      <c r="L2235" t="str">
        <f t="shared" si="266"/>
        <v>High</v>
      </c>
      <c r="M2235" s="39">
        <f>IFERROR(VLOOKUP("47mg LP - EU Stock",Controls!A:I,7,0),6)</f>
        <v>9</v>
      </c>
      <c r="N2235" s="39">
        <f>IFERROR(VLOOKUP("47mg LP - EU Stock",Controls!A:I,8,0),3)</f>
        <v>8</v>
      </c>
      <c r="O2235" s="39">
        <f>IFERROR(VLOOKUP("47mg LP - EU Stock",Controls!A:I,9,0),18)</f>
        <v>18</v>
      </c>
      <c r="P2235" s="40">
        <f>IFERROR(VLOOKUP("47mg LP - EU Stock",Controls!A:J,5,0),0)</f>
        <v>10000</v>
      </c>
      <c r="Q2235" s="39">
        <f>IFERROR(VLOOKUP("47mg LP - EU Stock",Controls!A:J,6,0),3)</f>
        <v>3</v>
      </c>
      <c r="R2235" s="21" t="str">
        <f>IFERROR(VLOOKUP("47mg LP - EU Stock",Controls!A:K,10,0),"")</f>
        <v>Patheon (L&amp;P EU)</v>
      </c>
      <c r="S2235" s="41">
        <f t="shared" si="267"/>
        <v>48458</v>
      </c>
      <c r="T2235" s="30">
        <f t="shared" si="268"/>
        <v>0</v>
      </c>
      <c r="W2235" s="205" t="str" cm="1">
        <f t="array" ref="W2235">IF(82&lt;Controls!$B$7,TEXT(INDEX(A2153:A2331,MATCH(Controls!$B$5,A2153:A2331,1)+82),"MMM-YY"),"")</f>
        <v/>
      </c>
      <c r="X2235" t="str" cm="1">
        <f t="array" ref="X2235">IF(82&lt;Controls!$B$7,INDEX(F2153:F2331,MATCH(Controls!$B$5,A2153:A2331,1)+82),"")</f>
        <v/>
      </c>
      <c r="Y2235" t="str" cm="1">
        <f t="array" ref="Y2235">IF(82&lt;Controls!$B$7,INDEX(G2153:G2331,MATCH(Controls!$B$5,A2153:A2331,1)+82),"")</f>
        <v/>
      </c>
      <c r="Z2235" t="str" cm="1">
        <f t="array" ref="Z2235">IF(82&lt;Controls!$B$7,INDEX(H2153:H2331,MATCH(Controls!$B$5,A2153:A2331,1)+82),"")</f>
        <v/>
      </c>
      <c r="AA2235" t="str" cm="1">
        <f t="array" ref="AA2235">IF(82&lt;Controls!$B$7,INDEX(M2153:M2331,MATCH(Controls!$B$5,A2153:A2331,1)+82)*INDEX(I2153:I2331,MATCH(Controls!$B$5,A2153:A2331,1)+82),"")</f>
        <v/>
      </c>
      <c r="AB2235">
        <f t="shared" si="262"/>
        <v>0</v>
      </c>
    </row>
    <row r="2236" spans="1:28" x14ac:dyDescent="0.35">
      <c r="A2236" s="153">
        <v>48580</v>
      </c>
      <c r="B2236" s="155" t="s">
        <v>960</v>
      </c>
      <c r="C2236" s="15" t="s">
        <v>28</v>
      </c>
      <c r="D2236" s="15" t="s">
        <v>29</v>
      </c>
      <c r="E2236" s="199">
        <f>H2235</f>
        <v>0</v>
      </c>
      <c r="F2236" s="199">
        <f>IFERROR(SUMIFS('Demand Inputs'!$CK$5:$CK$202,'Demand Inputs'!$A$5:$A$202,"47mg LP - EU Stock",'Demand Inputs'!$B$5:$B$202,"&lt;&gt;AGGREGATE",'Demand Inputs'!$E$5:$E$202,1),0)</f>
        <v>0</v>
      </c>
      <c r="G2236" s="199" cm="1">
        <f t="array" ref="G2236">IFERROR(SUMPRODUCT(('Production Inputs'!$A:$A="47mg LP - EU Stock")*('Production Inputs'!$B:$B="TOTAL ACTIVE")*'Production Inputs'!$CQ:$CQ),0)</f>
        <v>0</v>
      </c>
      <c r="H2236" s="199">
        <f t="shared" si="263"/>
        <v>0</v>
      </c>
      <c r="I2236" s="30">
        <f ca="1">IFERROR(AVERAGEIF(OFFSET(F2236,0,0,MIN(Controls!$B$8,COUNTIF(B2236:B$2331,B2236)),1),"&gt;"&amp;0),0)</f>
        <v>0</v>
      </c>
      <c r="J2236" s="38">
        <f t="shared" ca="1" si="264"/>
        <v>0</v>
      </c>
      <c r="K2236" s="30">
        <f t="shared" ca="1" si="265"/>
        <v>0</v>
      </c>
      <c r="L2236" t="str">
        <f t="shared" si="266"/>
        <v>High</v>
      </c>
      <c r="M2236" s="39">
        <f>IFERROR(VLOOKUP("47mg LP - EU Stock",Controls!A:I,7,0),6)</f>
        <v>9</v>
      </c>
      <c r="N2236" s="39">
        <f>IFERROR(VLOOKUP("47mg LP - EU Stock",Controls!A:I,8,0),3)</f>
        <v>8</v>
      </c>
      <c r="O2236" s="39">
        <f>IFERROR(VLOOKUP("47mg LP - EU Stock",Controls!A:I,9,0),18)</f>
        <v>18</v>
      </c>
      <c r="P2236" s="40">
        <f>IFERROR(VLOOKUP("47mg LP - EU Stock",Controls!A:J,5,0),0)</f>
        <v>10000</v>
      </c>
      <c r="Q2236" s="39">
        <f>IFERROR(VLOOKUP("47mg LP - EU Stock",Controls!A:J,6,0),3)</f>
        <v>3</v>
      </c>
      <c r="R2236" s="21" t="str">
        <f>IFERROR(VLOOKUP("47mg LP - EU Stock",Controls!A:K,10,0),"")</f>
        <v>Patheon (L&amp;P EU)</v>
      </c>
      <c r="S2236" s="41">
        <f t="shared" si="267"/>
        <v>48488</v>
      </c>
      <c r="T2236" s="30">
        <f t="shared" si="268"/>
        <v>0</v>
      </c>
      <c r="W2236" s="205" t="str" cm="1">
        <f t="array" ref="W2236">IF(83&lt;Controls!$B$7,TEXT(INDEX(A2153:A2331,MATCH(Controls!$B$5,A2153:A2331,1)+83),"MMM-YY"),"")</f>
        <v/>
      </c>
      <c r="X2236" t="str" cm="1">
        <f t="array" ref="X2236">IF(83&lt;Controls!$B$7,INDEX(F2153:F2331,MATCH(Controls!$B$5,A2153:A2331,1)+83),"")</f>
        <v/>
      </c>
      <c r="Y2236" t="str" cm="1">
        <f t="array" ref="Y2236">IF(83&lt;Controls!$B$7,INDEX(G2153:G2331,MATCH(Controls!$B$5,A2153:A2331,1)+83),"")</f>
        <v/>
      </c>
      <c r="Z2236" t="str" cm="1">
        <f t="array" ref="Z2236">IF(83&lt;Controls!$B$7,INDEX(H2153:H2331,MATCH(Controls!$B$5,A2153:A2331,1)+83),"")</f>
        <v/>
      </c>
      <c r="AA2236" t="str" cm="1">
        <f t="array" ref="AA2236">IF(83&lt;Controls!$B$7,INDEX(M2153:M2331,MATCH(Controls!$B$5,A2153:A2331,1)+83)*INDEX(I2153:I2331,MATCH(Controls!$B$5,A2153:A2331,1)+83),"")</f>
        <v/>
      </c>
      <c r="AB2236">
        <f t="shared" si="262"/>
        <v>0</v>
      </c>
    </row>
    <row r="2237" spans="1:28" x14ac:dyDescent="0.35">
      <c r="A2237" s="153">
        <v>48611</v>
      </c>
      <c r="B2237" s="155" t="s">
        <v>960</v>
      </c>
      <c r="C2237" s="15" t="s">
        <v>28</v>
      </c>
      <c r="D2237" s="15" t="s">
        <v>29</v>
      </c>
      <c r="E2237" s="199">
        <f>H2236</f>
        <v>0</v>
      </c>
      <c r="F2237" s="199">
        <f>IFERROR(SUMIFS('Demand Inputs'!$CL$5:$CL$202,'Demand Inputs'!$A$5:$A$202,"47mg LP - EU Stock",'Demand Inputs'!$B$5:$B$202,"&lt;&gt;AGGREGATE",'Demand Inputs'!$E$5:$E$202,1),0)</f>
        <v>0</v>
      </c>
      <c r="G2237" s="199" cm="1">
        <f t="array" ref="G2237">IFERROR(SUMPRODUCT(('Production Inputs'!$A:$A="47mg LP - EU Stock")*('Production Inputs'!$B:$B="TOTAL ACTIVE")*'Production Inputs'!$CR:$CR),0)</f>
        <v>0</v>
      </c>
      <c r="H2237" s="199">
        <f t="shared" si="263"/>
        <v>0</v>
      </c>
      <c r="I2237" s="30">
        <f ca="1">IFERROR(AVERAGEIF(OFFSET(F2237,0,0,MIN(Controls!$B$8,COUNTIF(B2237:B$2331,B2237)),1),"&gt;"&amp;0),0)</f>
        <v>0</v>
      </c>
      <c r="J2237" s="38">
        <f t="shared" ca="1" si="264"/>
        <v>0</v>
      </c>
      <c r="K2237" s="30">
        <f t="shared" ca="1" si="265"/>
        <v>0</v>
      </c>
      <c r="L2237" t="str">
        <f t="shared" si="266"/>
        <v>High</v>
      </c>
      <c r="M2237" s="39">
        <f>IFERROR(VLOOKUP("47mg LP - EU Stock",Controls!A:I,7,0),6)</f>
        <v>9</v>
      </c>
      <c r="N2237" s="39">
        <f>IFERROR(VLOOKUP("47mg LP - EU Stock",Controls!A:I,8,0),3)</f>
        <v>8</v>
      </c>
      <c r="O2237" s="39">
        <f>IFERROR(VLOOKUP("47mg LP - EU Stock",Controls!A:I,9,0),18)</f>
        <v>18</v>
      </c>
      <c r="P2237" s="40">
        <f>IFERROR(VLOOKUP("47mg LP - EU Stock",Controls!A:J,5,0),0)</f>
        <v>10000</v>
      </c>
      <c r="Q2237" s="39">
        <f>IFERROR(VLOOKUP("47mg LP - EU Stock",Controls!A:J,6,0),3)</f>
        <v>3</v>
      </c>
      <c r="R2237" s="21" t="str">
        <f>IFERROR(VLOOKUP("47mg LP - EU Stock",Controls!A:K,10,0),"")</f>
        <v>Patheon (L&amp;P EU)</v>
      </c>
      <c r="S2237" s="41">
        <f t="shared" si="267"/>
        <v>48519</v>
      </c>
      <c r="T2237" s="30">
        <f t="shared" si="268"/>
        <v>0</v>
      </c>
      <c r="W2237" s="205" t="str" cm="1">
        <f t="array" ref="W2237">IF(84&lt;Controls!$B$7,TEXT(INDEX(A2153:A2331,MATCH(Controls!$B$5,A2153:A2331,1)+84),"MMM-YY"),"")</f>
        <v/>
      </c>
      <c r="X2237" t="str" cm="1">
        <f t="array" ref="X2237">IF(84&lt;Controls!$B$7,INDEX(F2153:F2331,MATCH(Controls!$B$5,A2153:A2331,1)+84),"")</f>
        <v/>
      </c>
      <c r="Y2237" t="str" cm="1">
        <f t="array" ref="Y2237">IF(84&lt;Controls!$B$7,INDEX(G2153:G2331,MATCH(Controls!$B$5,A2153:A2331,1)+84),"")</f>
        <v/>
      </c>
      <c r="Z2237" t="str" cm="1">
        <f t="array" ref="Z2237">IF(84&lt;Controls!$B$7,INDEX(H2153:H2331,MATCH(Controls!$B$5,A2153:A2331,1)+84),"")</f>
        <v/>
      </c>
      <c r="AA2237" t="str" cm="1">
        <f t="array" ref="AA2237">IF(84&lt;Controls!$B$7,INDEX(M2153:M2331,MATCH(Controls!$B$5,A2153:A2331,1)+84)*INDEX(I2153:I2331,MATCH(Controls!$B$5,A2153:A2331,1)+84),"")</f>
        <v/>
      </c>
      <c r="AB2237">
        <f t="shared" si="262"/>
        <v>0</v>
      </c>
    </row>
    <row r="2238" spans="1:28" x14ac:dyDescent="0.35">
      <c r="A2238" s="153">
        <v>48639</v>
      </c>
      <c r="B2238" s="155" t="s">
        <v>960</v>
      </c>
      <c r="C2238" s="15" t="s">
        <v>28</v>
      </c>
      <c r="D2238" s="15" t="s">
        <v>29</v>
      </c>
      <c r="E2238" s="199">
        <f>H2237</f>
        <v>0</v>
      </c>
      <c r="F2238" s="199">
        <f>IFERROR(SUMIFS('Demand Inputs'!$CM$5:$CM$202,'Demand Inputs'!$A$5:$A$202,"47mg LP - EU Stock",'Demand Inputs'!$B$5:$B$202,"&lt;&gt;AGGREGATE",'Demand Inputs'!$E$5:$E$202,1),0)</f>
        <v>0</v>
      </c>
      <c r="G2238" s="199" cm="1">
        <f t="array" ref="G2238">IFERROR(SUMPRODUCT(('Production Inputs'!$A:$A="47mg LP - EU Stock")*('Production Inputs'!$B:$B="TOTAL ACTIVE")*'Production Inputs'!$CS:$CS),0)</f>
        <v>0</v>
      </c>
      <c r="H2238" s="199">
        <f t="shared" si="263"/>
        <v>0</v>
      </c>
      <c r="I2238" s="30">
        <f ca="1">IFERROR(AVERAGEIF(OFFSET(F2238,0,0,MIN(Controls!$B$8,COUNTIF(B2238:B$2331,B2238)),1),"&gt;"&amp;0),0)</f>
        <v>0</v>
      </c>
      <c r="J2238" s="38">
        <f t="shared" ca="1" si="264"/>
        <v>0</v>
      </c>
      <c r="K2238" s="30">
        <f t="shared" ca="1" si="265"/>
        <v>0</v>
      </c>
      <c r="L2238" t="str">
        <f t="shared" si="266"/>
        <v>High</v>
      </c>
      <c r="M2238" s="39">
        <f>IFERROR(VLOOKUP("47mg LP - EU Stock",Controls!A:I,7,0),6)</f>
        <v>9</v>
      </c>
      <c r="N2238" s="39">
        <f>IFERROR(VLOOKUP("47mg LP - EU Stock",Controls!A:I,8,0),3)</f>
        <v>8</v>
      </c>
      <c r="O2238" s="39">
        <f>IFERROR(VLOOKUP("47mg LP - EU Stock",Controls!A:I,9,0),18)</f>
        <v>18</v>
      </c>
      <c r="P2238" s="40">
        <f>IFERROR(VLOOKUP("47mg LP - EU Stock",Controls!A:J,5,0),0)</f>
        <v>10000</v>
      </c>
      <c r="Q2238" s="39">
        <f>IFERROR(VLOOKUP("47mg LP - EU Stock",Controls!A:J,6,0),3)</f>
        <v>3</v>
      </c>
      <c r="R2238" s="21" t="str">
        <f>IFERROR(VLOOKUP("47mg LP - EU Stock",Controls!A:K,10,0),"")</f>
        <v>Patheon (L&amp;P EU)</v>
      </c>
      <c r="S2238" s="41">
        <f t="shared" si="267"/>
        <v>48549</v>
      </c>
      <c r="T2238" s="30">
        <f t="shared" si="268"/>
        <v>0</v>
      </c>
      <c r="W2238" s="205" t="str" cm="1">
        <f t="array" ref="W2238">IF(85&lt;Controls!$B$7,TEXT(INDEX(A2153:A2331,MATCH(Controls!$B$5,A2153:A2331,1)+85),"MMM-YY"),"")</f>
        <v/>
      </c>
      <c r="X2238" t="str" cm="1">
        <f t="array" ref="X2238">IF(85&lt;Controls!$B$7,INDEX(F2153:F2331,MATCH(Controls!$B$5,A2153:A2331,1)+85),"")</f>
        <v/>
      </c>
      <c r="Y2238" t="str" cm="1">
        <f t="array" ref="Y2238">IF(85&lt;Controls!$B$7,INDEX(G2153:G2331,MATCH(Controls!$B$5,A2153:A2331,1)+85),"")</f>
        <v/>
      </c>
      <c r="Z2238" t="str" cm="1">
        <f t="array" ref="Z2238">IF(85&lt;Controls!$B$7,INDEX(H2153:H2331,MATCH(Controls!$B$5,A2153:A2331,1)+85),"")</f>
        <v/>
      </c>
      <c r="AA2238" t="str" cm="1">
        <f t="array" ref="AA2238">IF(85&lt;Controls!$B$7,INDEX(M2153:M2331,MATCH(Controls!$B$5,A2153:A2331,1)+85)*INDEX(I2153:I2331,MATCH(Controls!$B$5,A2153:A2331,1)+85),"")</f>
        <v/>
      </c>
      <c r="AB2238">
        <f t="shared" si="262"/>
        <v>0</v>
      </c>
    </row>
    <row r="2239" spans="1:28" x14ac:dyDescent="0.35">
      <c r="A2239" s="153">
        <v>48670</v>
      </c>
      <c r="B2239" s="155" t="s">
        <v>960</v>
      </c>
      <c r="C2239" s="15" t="s">
        <v>28</v>
      </c>
      <c r="D2239" s="15" t="s">
        <v>29</v>
      </c>
      <c r="E2239" s="199">
        <f>H2238</f>
        <v>0</v>
      </c>
      <c r="F2239" s="199">
        <f>IFERROR(SUMIFS('Demand Inputs'!$CN$5:$CN$202,'Demand Inputs'!$A$5:$A$202,"47mg LP - EU Stock",'Demand Inputs'!$B$5:$B$202,"&lt;&gt;AGGREGATE",'Demand Inputs'!$E$5:$E$202,1),0)</f>
        <v>0</v>
      </c>
      <c r="G2239" s="199" cm="1">
        <f t="array" ref="G2239">IFERROR(SUMPRODUCT(('Production Inputs'!$A:$A="47mg LP - EU Stock")*('Production Inputs'!$B:$B="TOTAL ACTIVE")*'Production Inputs'!$CT:$CT),0)</f>
        <v>0</v>
      </c>
      <c r="H2239" s="199">
        <f t="shared" si="263"/>
        <v>0</v>
      </c>
      <c r="I2239" s="30">
        <f ca="1">IFERROR(AVERAGEIF(OFFSET(F2239,0,0,MIN(Controls!$B$8,COUNTIF(B2239:B$2331,B2239)),1),"&gt;"&amp;0),0)</f>
        <v>0</v>
      </c>
      <c r="J2239" s="38">
        <f t="shared" ca="1" si="264"/>
        <v>0</v>
      </c>
      <c r="K2239" s="30">
        <f t="shared" ca="1" si="265"/>
        <v>0</v>
      </c>
      <c r="L2239" t="str">
        <f t="shared" si="266"/>
        <v>High</v>
      </c>
      <c r="M2239" s="39">
        <f>IFERROR(VLOOKUP("47mg LP - EU Stock",Controls!A:I,7,0),6)</f>
        <v>9</v>
      </c>
      <c r="N2239" s="39">
        <f>IFERROR(VLOOKUP("47mg LP - EU Stock",Controls!A:I,8,0),3)</f>
        <v>8</v>
      </c>
      <c r="O2239" s="39">
        <f>IFERROR(VLOOKUP("47mg LP - EU Stock",Controls!A:I,9,0),18)</f>
        <v>18</v>
      </c>
      <c r="P2239" s="40">
        <f>IFERROR(VLOOKUP("47mg LP - EU Stock",Controls!A:J,5,0),0)</f>
        <v>10000</v>
      </c>
      <c r="Q2239" s="39">
        <f>IFERROR(VLOOKUP("47mg LP - EU Stock",Controls!A:J,6,0),3)</f>
        <v>3</v>
      </c>
      <c r="R2239" s="21" t="str">
        <f>IFERROR(VLOOKUP("47mg LP - EU Stock",Controls!A:K,10,0),"")</f>
        <v>Patheon (L&amp;P EU)</v>
      </c>
      <c r="S2239" s="41">
        <f t="shared" si="267"/>
        <v>48580</v>
      </c>
      <c r="T2239" s="30">
        <f t="shared" si="268"/>
        <v>0</v>
      </c>
      <c r="W2239" s="205" t="str" cm="1">
        <f t="array" ref="W2239">IF(86&lt;Controls!$B$7,TEXT(INDEX(A2153:A2331,MATCH(Controls!$B$5,A2153:A2331,1)+86),"MMM-YY"),"")</f>
        <v/>
      </c>
      <c r="X2239" t="str" cm="1">
        <f t="array" ref="X2239">IF(86&lt;Controls!$B$7,INDEX(F2153:F2331,MATCH(Controls!$B$5,A2153:A2331,1)+86),"")</f>
        <v/>
      </c>
      <c r="Y2239" t="str" cm="1">
        <f t="array" ref="Y2239">IF(86&lt;Controls!$B$7,INDEX(G2153:G2331,MATCH(Controls!$B$5,A2153:A2331,1)+86),"")</f>
        <v/>
      </c>
      <c r="Z2239" t="str" cm="1">
        <f t="array" ref="Z2239">IF(86&lt;Controls!$B$7,INDEX(H2153:H2331,MATCH(Controls!$B$5,A2153:A2331,1)+86),"")</f>
        <v/>
      </c>
      <c r="AA2239" t="str" cm="1">
        <f t="array" ref="AA2239">IF(86&lt;Controls!$B$7,INDEX(M2153:M2331,MATCH(Controls!$B$5,A2153:A2331,1)+86)*INDEX(I2153:I2331,MATCH(Controls!$B$5,A2153:A2331,1)+86),"")</f>
        <v/>
      </c>
      <c r="AB2239">
        <f t="shared" si="262"/>
        <v>0</v>
      </c>
    </row>
    <row r="2240" spans="1:28" x14ac:dyDescent="0.35">
      <c r="A2240" s="153">
        <v>48700</v>
      </c>
      <c r="B2240" s="155" t="s">
        <v>960</v>
      </c>
      <c r="C2240" s="15" t="s">
        <v>28</v>
      </c>
      <c r="D2240" s="15" t="s">
        <v>29</v>
      </c>
      <c r="E2240" s="199">
        <f>H2239</f>
        <v>0</v>
      </c>
      <c r="F2240" s="199">
        <f>IFERROR(SUMIFS('Demand Inputs'!$CO$5:$CO$202,'Demand Inputs'!$A$5:$A$202,"47mg LP - EU Stock",'Demand Inputs'!$B$5:$B$202,"&lt;&gt;AGGREGATE",'Demand Inputs'!$E$5:$E$202,1),0)</f>
        <v>0</v>
      </c>
      <c r="G2240" s="199" cm="1">
        <f t="array" ref="G2240">IFERROR(SUMPRODUCT(('Production Inputs'!$A:$A="47mg LP - EU Stock")*('Production Inputs'!$B:$B="TOTAL ACTIVE")*'Production Inputs'!$CU:$CU),0)</f>
        <v>0</v>
      </c>
      <c r="H2240" s="199">
        <f t="shared" si="263"/>
        <v>0</v>
      </c>
      <c r="I2240" s="30">
        <f ca="1">IFERROR(AVERAGEIF(OFFSET(F2240,0,0,MIN(Controls!$B$8,COUNTIF(B2240:B$2331,B2240)),1),"&gt;"&amp;0),0)</f>
        <v>0</v>
      </c>
      <c r="J2240" s="38">
        <f t="shared" ca="1" si="264"/>
        <v>0</v>
      </c>
      <c r="K2240" s="30">
        <f t="shared" ca="1" si="265"/>
        <v>0</v>
      </c>
      <c r="L2240" t="str">
        <f t="shared" si="266"/>
        <v>High</v>
      </c>
      <c r="M2240" s="39">
        <f>IFERROR(VLOOKUP("47mg LP - EU Stock",Controls!A:I,7,0),6)</f>
        <v>9</v>
      </c>
      <c r="N2240" s="39">
        <f>IFERROR(VLOOKUP("47mg LP - EU Stock",Controls!A:I,8,0),3)</f>
        <v>8</v>
      </c>
      <c r="O2240" s="39">
        <f>IFERROR(VLOOKUP("47mg LP - EU Stock",Controls!A:I,9,0),18)</f>
        <v>18</v>
      </c>
      <c r="P2240" s="40">
        <f>IFERROR(VLOOKUP("47mg LP - EU Stock",Controls!A:J,5,0),0)</f>
        <v>10000</v>
      </c>
      <c r="Q2240" s="39">
        <f>IFERROR(VLOOKUP("47mg LP - EU Stock",Controls!A:J,6,0),3)</f>
        <v>3</v>
      </c>
      <c r="R2240" s="21" t="str">
        <f>IFERROR(VLOOKUP("47mg LP - EU Stock",Controls!A:K,10,0),"")</f>
        <v>Patheon (L&amp;P EU)</v>
      </c>
      <c r="S2240" s="41">
        <f t="shared" si="267"/>
        <v>48611</v>
      </c>
      <c r="T2240" s="30">
        <f t="shared" si="268"/>
        <v>0</v>
      </c>
      <c r="W2240" s="205" t="str" cm="1">
        <f t="array" ref="W2240">IF(87&lt;Controls!$B$7,TEXT(INDEX(A2153:A2331,MATCH(Controls!$B$5,A2153:A2331,1)+87),"MMM-YY"),"")</f>
        <v/>
      </c>
      <c r="X2240" t="str" cm="1">
        <f t="array" ref="X2240">IF(87&lt;Controls!$B$7,INDEX(F2153:F2331,MATCH(Controls!$B$5,A2153:A2331,1)+87),"")</f>
        <v/>
      </c>
      <c r="Y2240" t="str" cm="1">
        <f t="array" ref="Y2240">IF(87&lt;Controls!$B$7,INDEX(G2153:G2331,MATCH(Controls!$B$5,A2153:A2331,1)+87),"")</f>
        <v/>
      </c>
      <c r="Z2240" t="str" cm="1">
        <f t="array" ref="Z2240">IF(87&lt;Controls!$B$7,INDEX(H2153:H2331,MATCH(Controls!$B$5,A2153:A2331,1)+87),"")</f>
        <v/>
      </c>
      <c r="AA2240" t="str" cm="1">
        <f t="array" ref="AA2240">IF(87&lt;Controls!$B$7,INDEX(M2153:M2331,MATCH(Controls!$B$5,A2153:A2331,1)+87)*INDEX(I2153:I2331,MATCH(Controls!$B$5,A2153:A2331,1)+87),"")</f>
        <v/>
      </c>
      <c r="AB2240">
        <f t="shared" si="262"/>
        <v>0</v>
      </c>
    </row>
    <row r="2241" spans="1:28" x14ac:dyDescent="0.35">
      <c r="A2241" s="153">
        <v>48731</v>
      </c>
      <c r="B2241" s="155" t="s">
        <v>960</v>
      </c>
      <c r="C2241" s="15" t="s">
        <v>28</v>
      </c>
      <c r="D2241" s="15" t="s">
        <v>29</v>
      </c>
      <c r="E2241" s="199">
        <f>H2240</f>
        <v>0</v>
      </c>
      <c r="F2241" s="199">
        <f>IFERROR(SUMIFS('Demand Inputs'!$CP$5:$CP$202,'Demand Inputs'!$A$5:$A$202,"47mg LP - EU Stock",'Demand Inputs'!$B$5:$B$202,"&lt;&gt;AGGREGATE",'Demand Inputs'!$E$5:$E$202,1),0)</f>
        <v>0</v>
      </c>
      <c r="G2241" s="199" cm="1">
        <f t="array" ref="G2241">IFERROR(SUMPRODUCT(('Production Inputs'!$A:$A="47mg LP - EU Stock")*('Production Inputs'!$B:$B="TOTAL ACTIVE")*'Production Inputs'!$CV:$CV),0)</f>
        <v>0</v>
      </c>
      <c r="H2241" s="199">
        <f t="shared" si="263"/>
        <v>0</v>
      </c>
      <c r="I2241" s="30">
        <f ca="1">IFERROR(AVERAGEIF(OFFSET(F2241,0,0,MIN(Controls!$B$8,COUNTIF(B2241:B$2331,B2241)),1),"&gt;"&amp;0),0)</f>
        <v>0</v>
      </c>
      <c r="J2241" s="38">
        <f t="shared" ca="1" si="264"/>
        <v>0</v>
      </c>
      <c r="K2241" s="30">
        <f t="shared" ca="1" si="265"/>
        <v>0</v>
      </c>
      <c r="L2241" t="str">
        <f t="shared" si="266"/>
        <v>High</v>
      </c>
      <c r="M2241" s="39">
        <f>IFERROR(VLOOKUP("47mg LP - EU Stock",Controls!A:I,7,0),6)</f>
        <v>9</v>
      </c>
      <c r="N2241" s="39">
        <f>IFERROR(VLOOKUP("47mg LP - EU Stock",Controls!A:I,8,0),3)</f>
        <v>8</v>
      </c>
      <c r="O2241" s="39">
        <f>IFERROR(VLOOKUP("47mg LP - EU Stock",Controls!A:I,9,0),18)</f>
        <v>18</v>
      </c>
      <c r="P2241" s="40">
        <f>IFERROR(VLOOKUP("47mg LP - EU Stock",Controls!A:J,5,0),0)</f>
        <v>10000</v>
      </c>
      <c r="Q2241" s="39">
        <f>IFERROR(VLOOKUP("47mg LP - EU Stock",Controls!A:J,6,0),3)</f>
        <v>3</v>
      </c>
      <c r="R2241" s="21" t="str">
        <f>IFERROR(VLOOKUP("47mg LP - EU Stock",Controls!A:K,10,0),"")</f>
        <v>Patheon (L&amp;P EU)</v>
      </c>
      <c r="S2241" s="41">
        <f t="shared" si="267"/>
        <v>48639</v>
      </c>
      <c r="T2241" s="30">
        <f t="shared" si="268"/>
        <v>0</v>
      </c>
      <c r="W2241" s="205" t="str" cm="1">
        <f t="array" ref="W2241">IF(88&lt;Controls!$B$7,TEXT(INDEX(A2153:A2331,MATCH(Controls!$B$5,A2153:A2331,1)+88),"MMM-YY"),"")</f>
        <v/>
      </c>
      <c r="X2241" t="str" cm="1">
        <f t="array" ref="X2241">IF(88&lt;Controls!$B$7,INDEX(F2153:F2331,MATCH(Controls!$B$5,A2153:A2331,1)+88),"")</f>
        <v/>
      </c>
      <c r="Y2241" t="str" cm="1">
        <f t="array" ref="Y2241">IF(88&lt;Controls!$B$7,INDEX(G2153:G2331,MATCH(Controls!$B$5,A2153:A2331,1)+88),"")</f>
        <v/>
      </c>
      <c r="Z2241" t="str" cm="1">
        <f t="array" ref="Z2241">IF(88&lt;Controls!$B$7,INDEX(H2153:H2331,MATCH(Controls!$B$5,A2153:A2331,1)+88),"")</f>
        <v/>
      </c>
      <c r="AA2241" t="str" cm="1">
        <f t="array" ref="AA2241">IF(88&lt;Controls!$B$7,INDEX(M2153:M2331,MATCH(Controls!$B$5,A2153:A2331,1)+88)*INDEX(I2153:I2331,MATCH(Controls!$B$5,A2153:A2331,1)+88),"")</f>
        <v/>
      </c>
      <c r="AB2241">
        <f t="shared" si="262"/>
        <v>0</v>
      </c>
    </row>
    <row r="2242" spans="1:28" x14ac:dyDescent="0.35">
      <c r="A2242" s="153">
        <v>48761</v>
      </c>
      <c r="B2242" s="155" t="s">
        <v>960</v>
      </c>
      <c r="C2242" s="15" t="s">
        <v>28</v>
      </c>
      <c r="D2242" s="15" t="s">
        <v>29</v>
      </c>
      <c r="E2242" s="199">
        <f>H2241</f>
        <v>0</v>
      </c>
      <c r="F2242" s="199">
        <f>IFERROR(SUMIFS('Demand Inputs'!$CQ$5:$CQ$202,'Demand Inputs'!$A$5:$A$202,"47mg LP - EU Stock",'Demand Inputs'!$B$5:$B$202,"&lt;&gt;AGGREGATE",'Demand Inputs'!$E$5:$E$202,1),0)</f>
        <v>0</v>
      </c>
      <c r="G2242" s="199" cm="1">
        <f t="array" ref="G2242">IFERROR(SUMPRODUCT(('Production Inputs'!$A:$A="47mg LP - EU Stock")*('Production Inputs'!$B:$B="TOTAL ACTIVE")*'Production Inputs'!$CW:$CW),0)</f>
        <v>0</v>
      </c>
      <c r="H2242" s="199">
        <f t="shared" si="263"/>
        <v>0</v>
      </c>
      <c r="I2242" s="30">
        <f ca="1">IFERROR(AVERAGEIF(OFFSET(F2242,0,0,MIN(Controls!$B$8,COUNTIF(B2242:B$2331,B2242)),1),"&gt;"&amp;0),0)</f>
        <v>0</v>
      </c>
      <c r="J2242" s="38">
        <f t="shared" ca="1" si="264"/>
        <v>0</v>
      </c>
      <c r="K2242" s="30">
        <f t="shared" ca="1" si="265"/>
        <v>0</v>
      </c>
      <c r="L2242" t="str">
        <f t="shared" si="266"/>
        <v>High</v>
      </c>
      <c r="M2242" s="39">
        <f>IFERROR(VLOOKUP("47mg LP - EU Stock",Controls!A:I,7,0),6)</f>
        <v>9</v>
      </c>
      <c r="N2242" s="39">
        <f>IFERROR(VLOOKUP("47mg LP - EU Stock",Controls!A:I,8,0),3)</f>
        <v>8</v>
      </c>
      <c r="O2242" s="39">
        <f>IFERROR(VLOOKUP("47mg LP - EU Stock",Controls!A:I,9,0),18)</f>
        <v>18</v>
      </c>
      <c r="P2242" s="40">
        <f>IFERROR(VLOOKUP("47mg LP - EU Stock",Controls!A:J,5,0),0)</f>
        <v>10000</v>
      </c>
      <c r="Q2242" s="39">
        <f>IFERROR(VLOOKUP("47mg LP - EU Stock",Controls!A:J,6,0),3)</f>
        <v>3</v>
      </c>
      <c r="R2242" s="21" t="str">
        <f>IFERROR(VLOOKUP("47mg LP - EU Stock",Controls!A:K,10,0),"")</f>
        <v>Patheon (L&amp;P EU)</v>
      </c>
      <c r="S2242" s="41">
        <f t="shared" si="267"/>
        <v>48670</v>
      </c>
      <c r="T2242" s="30">
        <f t="shared" si="268"/>
        <v>0</v>
      </c>
      <c r="W2242" s="205" t="str" cm="1">
        <f t="array" ref="W2242">IF(89&lt;Controls!$B$7,TEXT(INDEX(A2153:A2331,MATCH(Controls!$B$5,A2153:A2331,1)+89),"MMM-YY"),"")</f>
        <v/>
      </c>
      <c r="X2242" t="str" cm="1">
        <f t="array" ref="X2242">IF(89&lt;Controls!$B$7,INDEX(F2153:F2331,MATCH(Controls!$B$5,A2153:A2331,1)+89),"")</f>
        <v/>
      </c>
      <c r="Y2242" t="str" cm="1">
        <f t="array" ref="Y2242">IF(89&lt;Controls!$B$7,INDEX(G2153:G2331,MATCH(Controls!$B$5,A2153:A2331,1)+89),"")</f>
        <v/>
      </c>
      <c r="Z2242" t="str" cm="1">
        <f t="array" ref="Z2242">IF(89&lt;Controls!$B$7,INDEX(H2153:H2331,MATCH(Controls!$B$5,A2153:A2331,1)+89),"")</f>
        <v/>
      </c>
      <c r="AA2242" t="str" cm="1">
        <f t="array" ref="AA2242">IF(89&lt;Controls!$B$7,INDEX(M2153:M2331,MATCH(Controls!$B$5,A2153:A2331,1)+89)*INDEX(I2153:I2331,MATCH(Controls!$B$5,A2153:A2331,1)+89),"")</f>
        <v/>
      </c>
      <c r="AB2242">
        <f t="shared" si="262"/>
        <v>0</v>
      </c>
    </row>
    <row r="2243" spans="1:28" x14ac:dyDescent="0.35">
      <c r="A2243" s="153">
        <v>48792</v>
      </c>
      <c r="B2243" s="155" t="s">
        <v>960</v>
      </c>
      <c r="C2243" s="15" t="s">
        <v>28</v>
      </c>
      <c r="D2243" s="15" t="s">
        <v>29</v>
      </c>
      <c r="E2243" s="199">
        <f>H2242</f>
        <v>0</v>
      </c>
      <c r="F2243" s="199">
        <f>IFERROR(SUMIFS('Demand Inputs'!$CR$5:$CR$202,'Demand Inputs'!$A$5:$A$202,"47mg LP - EU Stock",'Demand Inputs'!$B$5:$B$202,"&lt;&gt;AGGREGATE",'Demand Inputs'!$E$5:$E$202,1),0)</f>
        <v>0</v>
      </c>
      <c r="G2243" s="199" cm="1">
        <f t="array" ref="G2243">IFERROR(SUMPRODUCT(('Production Inputs'!$A:$A="47mg LP - EU Stock")*('Production Inputs'!$B:$B="TOTAL ACTIVE")*'Production Inputs'!$CX:$CX),0)</f>
        <v>0</v>
      </c>
      <c r="H2243" s="199">
        <f t="shared" si="263"/>
        <v>0</v>
      </c>
      <c r="I2243" s="30">
        <f ca="1">IFERROR(AVERAGEIF(OFFSET(F2243,0,0,MIN(Controls!$B$8,COUNTIF(B2243:B$2331,B2243)),1),"&gt;"&amp;0),0)</f>
        <v>0</v>
      </c>
      <c r="J2243" s="38">
        <f t="shared" ca="1" si="264"/>
        <v>0</v>
      </c>
      <c r="K2243" s="30">
        <f t="shared" ca="1" si="265"/>
        <v>0</v>
      </c>
      <c r="L2243" t="str">
        <f t="shared" si="266"/>
        <v>High</v>
      </c>
      <c r="M2243" s="39">
        <f>IFERROR(VLOOKUP("47mg LP - EU Stock",Controls!A:I,7,0),6)</f>
        <v>9</v>
      </c>
      <c r="N2243" s="39">
        <f>IFERROR(VLOOKUP("47mg LP - EU Stock",Controls!A:I,8,0),3)</f>
        <v>8</v>
      </c>
      <c r="O2243" s="39">
        <f>IFERROR(VLOOKUP("47mg LP - EU Stock",Controls!A:I,9,0),18)</f>
        <v>18</v>
      </c>
      <c r="P2243" s="40">
        <f>IFERROR(VLOOKUP("47mg LP - EU Stock",Controls!A:J,5,0),0)</f>
        <v>10000</v>
      </c>
      <c r="Q2243" s="39">
        <f>IFERROR(VLOOKUP("47mg LP - EU Stock",Controls!A:J,6,0),3)</f>
        <v>3</v>
      </c>
      <c r="R2243" s="21" t="str">
        <f>IFERROR(VLOOKUP("47mg LP - EU Stock",Controls!A:K,10,0),"")</f>
        <v>Patheon (L&amp;P EU)</v>
      </c>
      <c r="S2243" s="41">
        <f t="shared" si="267"/>
        <v>48700</v>
      </c>
      <c r="T2243" s="30">
        <f t="shared" si="268"/>
        <v>0</v>
      </c>
      <c r="W2243" s="205" t="str" cm="1">
        <f t="array" ref="W2243">IF(90&lt;Controls!$B$7,TEXT(INDEX(A2153:A2331,MATCH(Controls!$B$5,A2153:A2331,1)+90),"MMM-YY"),"")</f>
        <v/>
      </c>
      <c r="X2243" t="str" cm="1">
        <f t="array" ref="X2243">IF(90&lt;Controls!$B$7,INDEX(F2153:F2331,MATCH(Controls!$B$5,A2153:A2331,1)+90),"")</f>
        <v/>
      </c>
      <c r="Y2243" t="str" cm="1">
        <f t="array" ref="Y2243">IF(90&lt;Controls!$B$7,INDEX(G2153:G2331,MATCH(Controls!$B$5,A2153:A2331,1)+90),"")</f>
        <v/>
      </c>
      <c r="Z2243" t="str" cm="1">
        <f t="array" ref="Z2243">IF(90&lt;Controls!$B$7,INDEX(H2153:H2331,MATCH(Controls!$B$5,A2153:A2331,1)+90),"")</f>
        <v/>
      </c>
      <c r="AA2243" t="str" cm="1">
        <f t="array" ref="AA2243">IF(90&lt;Controls!$B$7,INDEX(M2153:M2331,MATCH(Controls!$B$5,A2153:A2331,1)+90)*INDEX(I2153:I2331,MATCH(Controls!$B$5,A2153:A2331,1)+90),"")</f>
        <v/>
      </c>
      <c r="AB2243">
        <f t="shared" si="262"/>
        <v>0</v>
      </c>
    </row>
    <row r="2244" spans="1:28" x14ac:dyDescent="0.35">
      <c r="A2244" s="153">
        <v>48823</v>
      </c>
      <c r="B2244" s="155" t="s">
        <v>960</v>
      </c>
      <c r="C2244" s="15" t="s">
        <v>28</v>
      </c>
      <c r="D2244" s="15" t="s">
        <v>29</v>
      </c>
      <c r="E2244" s="199">
        <f>H2243</f>
        <v>0</v>
      </c>
      <c r="F2244" s="199">
        <f>IFERROR(SUMIFS('Demand Inputs'!$CS$5:$CS$202,'Demand Inputs'!$A$5:$A$202,"47mg LP - EU Stock",'Demand Inputs'!$B$5:$B$202,"&lt;&gt;AGGREGATE",'Demand Inputs'!$E$5:$E$202,1),0)</f>
        <v>0</v>
      </c>
      <c r="G2244" s="199" cm="1">
        <f t="array" ref="G2244">IFERROR(SUMPRODUCT(('Production Inputs'!$A:$A="47mg LP - EU Stock")*('Production Inputs'!$B:$B="TOTAL ACTIVE")*'Production Inputs'!$CY:$CY),0)</f>
        <v>0</v>
      </c>
      <c r="H2244" s="199">
        <f t="shared" si="263"/>
        <v>0</v>
      </c>
      <c r="I2244" s="30">
        <f ca="1">IFERROR(AVERAGEIF(OFFSET(F2244,0,0,MIN(Controls!$B$8,COUNTIF(B2244:B$2331,B2244)),1),"&gt;"&amp;0),0)</f>
        <v>0</v>
      </c>
      <c r="J2244" s="38">
        <f t="shared" ca="1" si="264"/>
        <v>0</v>
      </c>
      <c r="K2244" s="30">
        <f t="shared" ca="1" si="265"/>
        <v>0</v>
      </c>
      <c r="L2244" t="str">
        <f t="shared" si="266"/>
        <v>High</v>
      </c>
      <c r="M2244" s="39">
        <f>IFERROR(VLOOKUP("47mg LP - EU Stock",Controls!A:I,7,0),6)</f>
        <v>9</v>
      </c>
      <c r="N2244" s="39">
        <f>IFERROR(VLOOKUP("47mg LP - EU Stock",Controls!A:I,8,0),3)</f>
        <v>8</v>
      </c>
      <c r="O2244" s="39">
        <f>IFERROR(VLOOKUP("47mg LP - EU Stock",Controls!A:I,9,0),18)</f>
        <v>18</v>
      </c>
      <c r="P2244" s="40">
        <f>IFERROR(VLOOKUP("47mg LP - EU Stock",Controls!A:J,5,0),0)</f>
        <v>10000</v>
      </c>
      <c r="Q2244" s="39">
        <f>IFERROR(VLOOKUP("47mg LP - EU Stock",Controls!A:J,6,0),3)</f>
        <v>3</v>
      </c>
      <c r="R2244" s="21" t="str">
        <f>IFERROR(VLOOKUP("47mg LP - EU Stock",Controls!A:K,10,0),"")</f>
        <v>Patheon (L&amp;P EU)</v>
      </c>
      <c r="S2244" s="41">
        <f t="shared" si="267"/>
        <v>48731</v>
      </c>
      <c r="T2244" s="30">
        <f t="shared" si="268"/>
        <v>0</v>
      </c>
      <c r="W2244" s="205" t="str" cm="1">
        <f t="array" ref="W2244">IF(91&lt;Controls!$B$7,TEXT(INDEX(A2153:A2331,MATCH(Controls!$B$5,A2153:A2331,1)+91),"MMM-YY"),"")</f>
        <v/>
      </c>
      <c r="X2244" t="str" cm="1">
        <f t="array" ref="X2244">IF(91&lt;Controls!$B$7,INDEX(F2153:F2331,MATCH(Controls!$B$5,A2153:A2331,1)+91),"")</f>
        <v/>
      </c>
      <c r="Y2244" t="str" cm="1">
        <f t="array" ref="Y2244">IF(91&lt;Controls!$B$7,INDEX(G2153:G2331,MATCH(Controls!$B$5,A2153:A2331,1)+91),"")</f>
        <v/>
      </c>
      <c r="Z2244" t="str" cm="1">
        <f t="array" ref="Z2244">IF(91&lt;Controls!$B$7,INDEX(H2153:H2331,MATCH(Controls!$B$5,A2153:A2331,1)+91),"")</f>
        <v/>
      </c>
      <c r="AA2244" t="str" cm="1">
        <f t="array" ref="AA2244">IF(91&lt;Controls!$B$7,INDEX(M2153:M2331,MATCH(Controls!$B$5,A2153:A2331,1)+91)*INDEX(I2153:I2331,MATCH(Controls!$B$5,A2153:A2331,1)+91),"")</f>
        <v/>
      </c>
      <c r="AB2244">
        <f t="shared" si="262"/>
        <v>0</v>
      </c>
    </row>
    <row r="2245" spans="1:28" x14ac:dyDescent="0.35">
      <c r="A2245" s="153">
        <v>48853</v>
      </c>
      <c r="B2245" s="155" t="s">
        <v>960</v>
      </c>
      <c r="C2245" s="15" t="s">
        <v>28</v>
      </c>
      <c r="D2245" s="15" t="s">
        <v>29</v>
      </c>
      <c r="E2245" s="199">
        <f>H2244</f>
        <v>0</v>
      </c>
      <c r="F2245" s="199">
        <f>IFERROR(SUMIFS('Demand Inputs'!$CT$5:$CT$202,'Demand Inputs'!$A$5:$A$202,"47mg LP - EU Stock",'Demand Inputs'!$B$5:$B$202,"&lt;&gt;AGGREGATE",'Demand Inputs'!$E$5:$E$202,1),0)</f>
        <v>0</v>
      </c>
      <c r="G2245" s="199" cm="1">
        <f t="array" ref="G2245">IFERROR(SUMPRODUCT(('Production Inputs'!$A:$A="47mg LP - EU Stock")*('Production Inputs'!$B:$B="TOTAL ACTIVE")*'Production Inputs'!$CZ:$CZ),0)</f>
        <v>0</v>
      </c>
      <c r="H2245" s="199">
        <f t="shared" si="263"/>
        <v>0</v>
      </c>
      <c r="I2245" s="30">
        <f ca="1">IFERROR(AVERAGEIF(OFFSET(F2245,0,0,MIN(Controls!$B$8,COUNTIF(B2245:B$2331,B2245)),1),"&gt;"&amp;0),0)</f>
        <v>0</v>
      </c>
      <c r="J2245" s="38">
        <f t="shared" ca="1" si="264"/>
        <v>0</v>
      </c>
      <c r="K2245" s="30">
        <f t="shared" ca="1" si="265"/>
        <v>0</v>
      </c>
      <c r="L2245" t="str">
        <f t="shared" si="266"/>
        <v>High</v>
      </c>
      <c r="M2245" s="39">
        <f>IFERROR(VLOOKUP("47mg LP - EU Stock",Controls!A:I,7,0),6)</f>
        <v>9</v>
      </c>
      <c r="N2245" s="39">
        <f>IFERROR(VLOOKUP("47mg LP - EU Stock",Controls!A:I,8,0),3)</f>
        <v>8</v>
      </c>
      <c r="O2245" s="39">
        <f>IFERROR(VLOOKUP("47mg LP - EU Stock",Controls!A:I,9,0),18)</f>
        <v>18</v>
      </c>
      <c r="P2245" s="40">
        <f>IFERROR(VLOOKUP("47mg LP - EU Stock",Controls!A:J,5,0),0)</f>
        <v>10000</v>
      </c>
      <c r="Q2245" s="39">
        <f>IFERROR(VLOOKUP("47mg LP - EU Stock",Controls!A:J,6,0),3)</f>
        <v>3</v>
      </c>
      <c r="R2245" s="21" t="str">
        <f>IFERROR(VLOOKUP("47mg LP - EU Stock",Controls!A:K,10,0),"")</f>
        <v>Patheon (L&amp;P EU)</v>
      </c>
      <c r="S2245" s="41">
        <f t="shared" si="267"/>
        <v>48761</v>
      </c>
      <c r="T2245" s="30">
        <f t="shared" si="268"/>
        <v>0</v>
      </c>
      <c r="W2245" s="205" t="str" cm="1">
        <f t="array" ref="W2245">IF(92&lt;Controls!$B$7,TEXT(INDEX(A2153:A2331,MATCH(Controls!$B$5,A2153:A2331,1)+92),"MMM-YY"),"")</f>
        <v/>
      </c>
      <c r="X2245" t="str" cm="1">
        <f t="array" ref="X2245">IF(92&lt;Controls!$B$7,INDEX(F2153:F2331,MATCH(Controls!$B$5,A2153:A2331,1)+92),"")</f>
        <v/>
      </c>
      <c r="Y2245" t="str" cm="1">
        <f t="array" ref="Y2245">IF(92&lt;Controls!$B$7,INDEX(G2153:G2331,MATCH(Controls!$B$5,A2153:A2331,1)+92),"")</f>
        <v/>
      </c>
      <c r="Z2245" t="str" cm="1">
        <f t="array" ref="Z2245">IF(92&lt;Controls!$B$7,INDEX(H2153:H2331,MATCH(Controls!$B$5,A2153:A2331,1)+92),"")</f>
        <v/>
      </c>
      <c r="AA2245" t="str" cm="1">
        <f t="array" ref="AA2245">IF(92&lt;Controls!$B$7,INDEX(M2153:M2331,MATCH(Controls!$B$5,A2153:A2331,1)+92)*INDEX(I2153:I2331,MATCH(Controls!$B$5,A2153:A2331,1)+92),"")</f>
        <v/>
      </c>
      <c r="AB2245">
        <f t="shared" ref="AB2245:AB2308" si="269">SUMIFS($F$4:$F$2331,$B$4:$B$2331,B2245,$A$4:$A$2331,"&lt;="&amp;A2245)</f>
        <v>0</v>
      </c>
    </row>
    <row r="2246" spans="1:28" x14ac:dyDescent="0.35">
      <c r="A2246" s="153">
        <v>48884</v>
      </c>
      <c r="B2246" s="155" t="s">
        <v>960</v>
      </c>
      <c r="C2246" s="15" t="s">
        <v>28</v>
      </c>
      <c r="D2246" s="15" t="s">
        <v>29</v>
      </c>
      <c r="E2246" s="199">
        <f>H2245</f>
        <v>0</v>
      </c>
      <c r="F2246" s="199">
        <f>IFERROR(SUMIFS('Demand Inputs'!$CU$5:$CU$202,'Demand Inputs'!$A$5:$A$202,"47mg LP - EU Stock",'Demand Inputs'!$B$5:$B$202,"&lt;&gt;AGGREGATE",'Demand Inputs'!$E$5:$E$202,1),0)</f>
        <v>0</v>
      </c>
      <c r="G2246" s="199" cm="1">
        <f t="array" ref="G2246">IFERROR(SUMPRODUCT(('Production Inputs'!$A:$A="47mg LP - EU Stock")*('Production Inputs'!$B:$B="TOTAL ACTIVE")*'Production Inputs'!$DA:$DA),0)</f>
        <v>0</v>
      </c>
      <c r="H2246" s="199">
        <f t="shared" si="263"/>
        <v>0</v>
      </c>
      <c r="I2246" s="30">
        <f ca="1">IFERROR(AVERAGEIF(OFFSET(F2246,0,0,MIN(Controls!$B$8,COUNTIF(B2246:B$2331,B2246)),1),"&gt;"&amp;0),0)</f>
        <v>0</v>
      </c>
      <c r="J2246" s="38">
        <f t="shared" ca="1" si="264"/>
        <v>0</v>
      </c>
      <c r="K2246" s="30">
        <f t="shared" ca="1" si="265"/>
        <v>0</v>
      </c>
      <c r="L2246" t="str">
        <f t="shared" si="266"/>
        <v>High</v>
      </c>
      <c r="M2246" s="39">
        <f>IFERROR(VLOOKUP("47mg LP - EU Stock",Controls!A:I,7,0),6)</f>
        <v>9</v>
      </c>
      <c r="N2246" s="39">
        <f>IFERROR(VLOOKUP("47mg LP - EU Stock",Controls!A:I,8,0),3)</f>
        <v>8</v>
      </c>
      <c r="O2246" s="39">
        <f>IFERROR(VLOOKUP("47mg LP - EU Stock",Controls!A:I,9,0),18)</f>
        <v>18</v>
      </c>
      <c r="P2246" s="40">
        <f>IFERROR(VLOOKUP("47mg LP - EU Stock",Controls!A:J,5,0),0)</f>
        <v>10000</v>
      </c>
      <c r="Q2246" s="39">
        <f>IFERROR(VLOOKUP("47mg LP - EU Stock",Controls!A:J,6,0),3)</f>
        <v>3</v>
      </c>
      <c r="R2246" s="21" t="str">
        <f>IFERROR(VLOOKUP("47mg LP - EU Stock",Controls!A:K,10,0),"")</f>
        <v>Patheon (L&amp;P EU)</v>
      </c>
      <c r="S2246" s="41">
        <f t="shared" si="267"/>
        <v>48792</v>
      </c>
      <c r="T2246" s="30">
        <f t="shared" si="268"/>
        <v>0</v>
      </c>
      <c r="W2246" s="205" t="str" cm="1">
        <f t="array" ref="W2246">IF(93&lt;Controls!$B$7,TEXT(INDEX(A2153:A2331,MATCH(Controls!$B$5,A2153:A2331,1)+93),"MMM-YY"),"")</f>
        <v/>
      </c>
      <c r="X2246" t="str" cm="1">
        <f t="array" ref="X2246">IF(93&lt;Controls!$B$7,INDEX(F2153:F2331,MATCH(Controls!$B$5,A2153:A2331,1)+93),"")</f>
        <v/>
      </c>
      <c r="Y2246" t="str" cm="1">
        <f t="array" ref="Y2246">IF(93&lt;Controls!$B$7,INDEX(G2153:G2331,MATCH(Controls!$B$5,A2153:A2331,1)+93),"")</f>
        <v/>
      </c>
      <c r="Z2246" t="str" cm="1">
        <f t="array" ref="Z2246">IF(93&lt;Controls!$B$7,INDEX(H2153:H2331,MATCH(Controls!$B$5,A2153:A2331,1)+93),"")</f>
        <v/>
      </c>
      <c r="AA2246" t="str" cm="1">
        <f t="array" ref="AA2246">IF(93&lt;Controls!$B$7,INDEX(M2153:M2331,MATCH(Controls!$B$5,A2153:A2331,1)+93)*INDEX(I2153:I2331,MATCH(Controls!$B$5,A2153:A2331,1)+93),"")</f>
        <v/>
      </c>
      <c r="AB2246">
        <f t="shared" si="269"/>
        <v>0</v>
      </c>
    </row>
    <row r="2247" spans="1:28" x14ac:dyDescent="0.35">
      <c r="A2247" s="153">
        <v>48914</v>
      </c>
      <c r="B2247" s="155" t="s">
        <v>960</v>
      </c>
      <c r="C2247" s="15" t="s">
        <v>28</v>
      </c>
      <c r="D2247" s="15" t="s">
        <v>29</v>
      </c>
      <c r="E2247" s="199">
        <f>H2246</f>
        <v>0</v>
      </c>
      <c r="F2247" s="199">
        <f>IFERROR(SUMIFS('Demand Inputs'!$CV$5:$CV$202,'Demand Inputs'!$A$5:$A$202,"47mg LP - EU Stock",'Demand Inputs'!$B$5:$B$202,"&lt;&gt;AGGREGATE",'Demand Inputs'!$E$5:$E$202,1),0)</f>
        <v>0</v>
      </c>
      <c r="G2247" s="199" cm="1">
        <f t="array" ref="G2247">IFERROR(SUMPRODUCT(('Production Inputs'!$A:$A="47mg LP - EU Stock")*('Production Inputs'!$B:$B="TOTAL ACTIVE")*'Production Inputs'!$DB:$DB),0)</f>
        <v>0</v>
      </c>
      <c r="H2247" s="199">
        <f t="shared" si="263"/>
        <v>0</v>
      </c>
      <c r="I2247" s="30">
        <f ca="1">IFERROR(AVERAGEIF(OFFSET(F2247,0,0,MIN(Controls!$B$8,COUNTIF(B2247:B$2331,B2247)),1),"&gt;"&amp;0),0)</f>
        <v>0</v>
      </c>
      <c r="J2247" s="38">
        <f t="shared" ca="1" si="264"/>
        <v>0</v>
      </c>
      <c r="K2247" s="30">
        <f t="shared" ca="1" si="265"/>
        <v>0</v>
      </c>
      <c r="L2247" t="str">
        <f t="shared" si="266"/>
        <v>High</v>
      </c>
      <c r="M2247" s="39">
        <f>IFERROR(VLOOKUP("47mg LP - EU Stock",Controls!A:I,7,0),6)</f>
        <v>9</v>
      </c>
      <c r="N2247" s="39">
        <f>IFERROR(VLOOKUP("47mg LP - EU Stock",Controls!A:I,8,0),3)</f>
        <v>8</v>
      </c>
      <c r="O2247" s="39">
        <f>IFERROR(VLOOKUP("47mg LP - EU Stock",Controls!A:I,9,0),18)</f>
        <v>18</v>
      </c>
      <c r="P2247" s="40">
        <f>IFERROR(VLOOKUP("47mg LP - EU Stock",Controls!A:J,5,0),0)</f>
        <v>10000</v>
      </c>
      <c r="Q2247" s="39">
        <f>IFERROR(VLOOKUP("47mg LP - EU Stock",Controls!A:J,6,0),3)</f>
        <v>3</v>
      </c>
      <c r="R2247" s="21" t="str">
        <f>IFERROR(VLOOKUP("47mg LP - EU Stock",Controls!A:K,10,0),"")</f>
        <v>Patheon (L&amp;P EU)</v>
      </c>
      <c r="S2247" s="41">
        <f t="shared" si="267"/>
        <v>48823</v>
      </c>
      <c r="T2247" s="30">
        <f t="shared" si="268"/>
        <v>0</v>
      </c>
      <c r="W2247" s="205" t="str" cm="1">
        <f t="array" ref="W2247">IF(94&lt;Controls!$B$7,TEXT(INDEX(A2153:A2331,MATCH(Controls!$B$5,A2153:A2331,1)+94),"MMM-YY"),"")</f>
        <v/>
      </c>
      <c r="X2247" t="str" cm="1">
        <f t="array" ref="X2247">IF(94&lt;Controls!$B$7,INDEX(F2153:F2331,MATCH(Controls!$B$5,A2153:A2331,1)+94),"")</f>
        <v/>
      </c>
      <c r="Y2247" t="str" cm="1">
        <f t="array" ref="Y2247">IF(94&lt;Controls!$B$7,INDEX(G2153:G2331,MATCH(Controls!$B$5,A2153:A2331,1)+94),"")</f>
        <v/>
      </c>
      <c r="Z2247" t="str" cm="1">
        <f t="array" ref="Z2247">IF(94&lt;Controls!$B$7,INDEX(H2153:H2331,MATCH(Controls!$B$5,A2153:A2331,1)+94),"")</f>
        <v/>
      </c>
      <c r="AA2247" t="str" cm="1">
        <f t="array" ref="AA2247">IF(94&lt;Controls!$B$7,INDEX(M2153:M2331,MATCH(Controls!$B$5,A2153:A2331,1)+94)*INDEX(I2153:I2331,MATCH(Controls!$B$5,A2153:A2331,1)+94),"")</f>
        <v/>
      </c>
      <c r="AB2247">
        <f t="shared" si="269"/>
        <v>0</v>
      </c>
    </row>
    <row r="2248" spans="1:28" x14ac:dyDescent="0.35">
      <c r="A2248" s="153">
        <v>48945</v>
      </c>
      <c r="B2248" s="155" t="s">
        <v>960</v>
      </c>
      <c r="C2248" s="15" t="s">
        <v>28</v>
      </c>
      <c r="D2248" s="15" t="s">
        <v>29</v>
      </c>
      <c r="E2248" s="199">
        <f>H2247</f>
        <v>0</v>
      </c>
      <c r="F2248" s="199">
        <f>IFERROR(SUMIFS('Demand Inputs'!$CW$5:$CW$202,'Demand Inputs'!$A$5:$A$202,"47mg LP - EU Stock",'Demand Inputs'!$B$5:$B$202,"&lt;&gt;AGGREGATE",'Demand Inputs'!$E$5:$E$202,1),0)</f>
        <v>0</v>
      </c>
      <c r="G2248" s="199" cm="1">
        <f t="array" ref="G2248">IFERROR(SUMPRODUCT(('Production Inputs'!$A:$A="47mg LP - EU Stock")*('Production Inputs'!$B:$B="TOTAL ACTIVE")*'Production Inputs'!$DC:$DC),0)</f>
        <v>0</v>
      </c>
      <c r="H2248" s="199">
        <f t="shared" si="263"/>
        <v>0</v>
      </c>
      <c r="I2248" s="30">
        <f ca="1">IFERROR(AVERAGEIF(OFFSET(F2248,0,0,MIN(Controls!$B$8,COUNTIF(B2248:B$2331,B2248)),1),"&gt;"&amp;0),0)</f>
        <v>0</v>
      </c>
      <c r="J2248" s="38">
        <f t="shared" ca="1" si="264"/>
        <v>0</v>
      </c>
      <c r="K2248" s="30">
        <f t="shared" ca="1" si="265"/>
        <v>0</v>
      </c>
      <c r="L2248" t="str">
        <f t="shared" si="266"/>
        <v>High</v>
      </c>
      <c r="M2248" s="39">
        <f>IFERROR(VLOOKUP("47mg LP - EU Stock",Controls!A:I,7,0),6)</f>
        <v>9</v>
      </c>
      <c r="N2248" s="39">
        <f>IFERROR(VLOOKUP("47mg LP - EU Stock",Controls!A:I,8,0),3)</f>
        <v>8</v>
      </c>
      <c r="O2248" s="39">
        <f>IFERROR(VLOOKUP("47mg LP - EU Stock",Controls!A:I,9,0),18)</f>
        <v>18</v>
      </c>
      <c r="P2248" s="40">
        <f>IFERROR(VLOOKUP("47mg LP - EU Stock",Controls!A:J,5,0),0)</f>
        <v>10000</v>
      </c>
      <c r="Q2248" s="39">
        <f>IFERROR(VLOOKUP("47mg LP - EU Stock",Controls!A:J,6,0),3)</f>
        <v>3</v>
      </c>
      <c r="R2248" s="21" t="str">
        <f>IFERROR(VLOOKUP("47mg LP - EU Stock",Controls!A:K,10,0),"")</f>
        <v>Patheon (L&amp;P EU)</v>
      </c>
      <c r="S2248" s="41">
        <f t="shared" si="267"/>
        <v>48853</v>
      </c>
      <c r="T2248" s="30">
        <f t="shared" si="268"/>
        <v>0</v>
      </c>
      <c r="W2248" s="205" t="str" cm="1">
        <f t="array" ref="W2248">IF(95&lt;Controls!$B$7,TEXT(INDEX(A2153:A2331,MATCH(Controls!$B$5,A2153:A2331,1)+95),"MMM-YY"),"")</f>
        <v/>
      </c>
      <c r="X2248" t="str" cm="1">
        <f t="array" ref="X2248">IF(95&lt;Controls!$B$7,INDEX(F2153:F2331,MATCH(Controls!$B$5,A2153:A2331,1)+95),"")</f>
        <v/>
      </c>
      <c r="Y2248" t="str" cm="1">
        <f t="array" ref="Y2248">IF(95&lt;Controls!$B$7,INDEX(G2153:G2331,MATCH(Controls!$B$5,A2153:A2331,1)+95),"")</f>
        <v/>
      </c>
      <c r="Z2248" t="str" cm="1">
        <f t="array" ref="Z2248">IF(95&lt;Controls!$B$7,INDEX(H2153:H2331,MATCH(Controls!$B$5,A2153:A2331,1)+95),"")</f>
        <v/>
      </c>
      <c r="AA2248" t="str" cm="1">
        <f t="array" ref="AA2248">IF(95&lt;Controls!$B$7,INDEX(M2153:M2331,MATCH(Controls!$B$5,A2153:A2331,1)+95)*INDEX(I2153:I2331,MATCH(Controls!$B$5,A2153:A2331,1)+95),"")</f>
        <v/>
      </c>
      <c r="AB2248">
        <f t="shared" si="269"/>
        <v>0</v>
      </c>
    </row>
    <row r="2249" spans="1:28" x14ac:dyDescent="0.35">
      <c r="A2249" s="153">
        <v>48976</v>
      </c>
      <c r="B2249" s="155" t="s">
        <v>960</v>
      </c>
      <c r="C2249" s="15" t="s">
        <v>28</v>
      </c>
      <c r="D2249" s="15" t="s">
        <v>29</v>
      </c>
      <c r="E2249" s="199">
        <f>H2248</f>
        <v>0</v>
      </c>
      <c r="F2249" s="199">
        <f>IFERROR(SUMIFS('Demand Inputs'!$CX$5:$CX$202,'Demand Inputs'!$A$5:$A$202,"47mg LP - EU Stock",'Demand Inputs'!$B$5:$B$202,"&lt;&gt;AGGREGATE",'Demand Inputs'!$E$5:$E$202,1),0)</f>
        <v>0</v>
      </c>
      <c r="G2249" s="199" cm="1">
        <f t="array" ref="G2249">IFERROR(SUMPRODUCT(('Production Inputs'!$A:$A="47mg LP - EU Stock")*('Production Inputs'!$B:$B="TOTAL ACTIVE")*'Production Inputs'!$DD:$DD),0)</f>
        <v>0</v>
      </c>
      <c r="H2249" s="199">
        <f t="shared" si="263"/>
        <v>0</v>
      </c>
      <c r="I2249" s="30">
        <f ca="1">IFERROR(AVERAGEIF(OFFSET(F2249,0,0,MIN(Controls!$B$8,COUNTIF(B2249:B$2331,B2249)),1),"&gt;"&amp;0),0)</f>
        <v>0</v>
      </c>
      <c r="J2249" s="38">
        <f t="shared" ca="1" si="264"/>
        <v>0</v>
      </c>
      <c r="K2249" s="30">
        <f t="shared" ca="1" si="265"/>
        <v>0</v>
      </c>
      <c r="L2249" t="str">
        <f t="shared" si="266"/>
        <v>High</v>
      </c>
      <c r="M2249" s="39">
        <f>IFERROR(VLOOKUP("47mg LP - EU Stock",Controls!A:I,7,0),6)</f>
        <v>9</v>
      </c>
      <c r="N2249" s="39">
        <f>IFERROR(VLOOKUP("47mg LP - EU Stock",Controls!A:I,8,0),3)</f>
        <v>8</v>
      </c>
      <c r="O2249" s="39">
        <f>IFERROR(VLOOKUP("47mg LP - EU Stock",Controls!A:I,9,0),18)</f>
        <v>18</v>
      </c>
      <c r="P2249" s="40">
        <f>IFERROR(VLOOKUP("47mg LP - EU Stock",Controls!A:J,5,0),0)</f>
        <v>10000</v>
      </c>
      <c r="Q2249" s="39">
        <f>IFERROR(VLOOKUP("47mg LP - EU Stock",Controls!A:J,6,0),3)</f>
        <v>3</v>
      </c>
      <c r="R2249" s="21" t="str">
        <f>IFERROR(VLOOKUP("47mg LP - EU Stock",Controls!A:K,10,0),"")</f>
        <v>Patheon (L&amp;P EU)</v>
      </c>
      <c r="S2249" s="41">
        <f t="shared" si="267"/>
        <v>48884</v>
      </c>
      <c r="T2249" s="30">
        <f t="shared" si="268"/>
        <v>0</v>
      </c>
      <c r="W2249" s="205" t="str" cm="1">
        <f t="array" ref="W2249">IF(96&lt;Controls!$B$7,TEXT(INDEX(A2153:A2331,MATCH(Controls!$B$5,A2153:A2331,1)+96),"MMM-YY"),"")</f>
        <v/>
      </c>
      <c r="X2249" t="str" cm="1">
        <f t="array" ref="X2249">IF(96&lt;Controls!$B$7,INDEX(F2153:F2331,MATCH(Controls!$B$5,A2153:A2331,1)+96),"")</f>
        <v/>
      </c>
      <c r="Y2249" t="str" cm="1">
        <f t="array" ref="Y2249">IF(96&lt;Controls!$B$7,INDEX(G2153:G2331,MATCH(Controls!$B$5,A2153:A2331,1)+96),"")</f>
        <v/>
      </c>
      <c r="Z2249" t="str" cm="1">
        <f t="array" ref="Z2249">IF(96&lt;Controls!$B$7,INDEX(H2153:H2331,MATCH(Controls!$B$5,A2153:A2331,1)+96),"")</f>
        <v/>
      </c>
      <c r="AA2249" t="str" cm="1">
        <f t="array" ref="AA2249">IF(96&lt;Controls!$B$7,INDEX(M2153:M2331,MATCH(Controls!$B$5,A2153:A2331,1)+96)*INDEX(I2153:I2331,MATCH(Controls!$B$5,A2153:A2331,1)+96),"")</f>
        <v/>
      </c>
      <c r="AB2249">
        <f t="shared" si="269"/>
        <v>0</v>
      </c>
    </row>
    <row r="2250" spans="1:28" x14ac:dyDescent="0.35">
      <c r="A2250" s="153">
        <v>49004</v>
      </c>
      <c r="B2250" s="155" t="s">
        <v>960</v>
      </c>
      <c r="C2250" s="15" t="s">
        <v>28</v>
      </c>
      <c r="D2250" s="15" t="s">
        <v>29</v>
      </c>
      <c r="E2250" s="199">
        <f>H2249</f>
        <v>0</v>
      </c>
      <c r="F2250" s="199">
        <f>IFERROR(SUMIFS('Demand Inputs'!$CY$5:$CY$202,'Demand Inputs'!$A$5:$A$202,"47mg LP - EU Stock",'Demand Inputs'!$B$5:$B$202,"&lt;&gt;AGGREGATE",'Demand Inputs'!$E$5:$E$202,1),0)</f>
        <v>0</v>
      </c>
      <c r="G2250" s="199" cm="1">
        <f t="array" ref="G2250">IFERROR(SUMPRODUCT(('Production Inputs'!$A:$A="47mg LP - EU Stock")*('Production Inputs'!$B:$B="TOTAL ACTIVE")*'Production Inputs'!$DE:$DE),0)</f>
        <v>0</v>
      </c>
      <c r="H2250" s="199">
        <f t="shared" si="263"/>
        <v>0</v>
      </c>
      <c r="I2250" s="30">
        <f ca="1">IFERROR(AVERAGEIF(OFFSET(F2250,0,0,MIN(Controls!$B$8,COUNTIF(B2250:B$2331,B2250)),1),"&gt;"&amp;0),0)</f>
        <v>0</v>
      </c>
      <c r="J2250" s="38">
        <f t="shared" ca="1" si="264"/>
        <v>0</v>
      </c>
      <c r="K2250" s="30">
        <f t="shared" ca="1" si="265"/>
        <v>0</v>
      </c>
      <c r="L2250" t="str">
        <f t="shared" si="266"/>
        <v>High</v>
      </c>
      <c r="M2250" s="39">
        <f>IFERROR(VLOOKUP("47mg LP - EU Stock",Controls!A:I,7,0),6)</f>
        <v>9</v>
      </c>
      <c r="N2250" s="39">
        <f>IFERROR(VLOOKUP("47mg LP - EU Stock",Controls!A:I,8,0),3)</f>
        <v>8</v>
      </c>
      <c r="O2250" s="39">
        <f>IFERROR(VLOOKUP("47mg LP - EU Stock",Controls!A:I,9,0),18)</f>
        <v>18</v>
      </c>
      <c r="P2250" s="40">
        <f>IFERROR(VLOOKUP("47mg LP - EU Stock",Controls!A:J,5,0),0)</f>
        <v>10000</v>
      </c>
      <c r="Q2250" s="39">
        <f>IFERROR(VLOOKUP("47mg LP - EU Stock",Controls!A:J,6,0),3)</f>
        <v>3</v>
      </c>
      <c r="R2250" s="21" t="str">
        <f>IFERROR(VLOOKUP("47mg LP - EU Stock",Controls!A:K,10,0),"")</f>
        <v>Patheon (L&amp;P EU)</v>
      </c>
      <c r="S2250" s="41">
        <f t="shared" si="267"/>
        <v>48914</v>
      </c>
      <c r="T2250" s="30">
        <f t="shared" si="268"/>
        <v>0</v>
      </c>
      <c r="W2250" s="205" t="str" cm="1">
        <f t="array" ref="W2250">IF(97&lt;Controls!$B$7,TEXT(INDEX(A2153:A2331,MATCH(Controls!$B$5,A2153:A2331,1)+97),"MMM-YY"),"")</f>
        <v/>
      </c>
      <c r="X2250" t="str" cm="1">
        <f t="array" ref="X2250">IF(97&lt;Controls!$B$7,INDEX(F2153:F2331,MATCH(Controls!$B$5,A2153:A2331,1)+97),"")</f>
        <v/>
      </c>
      <c r="Y2250" t="str" cm="1">
        <f t="array" ref="Y2250">IF(97&lt;Controls!$B$7,INDEX(G2153:G2331,MATCH(Controls!$B$5,A2153:A2331,1)+97),"")</f>
        <v/>
      </c>
      <c r="Z2250" t="str" cm="1">
        <f t="array" ref="Z2250">IF(97&lt;Controls!$B$7,INDEX(H2153:H2331,MATCH(Controls!$B$5,A2153:A2331,1)+97),"")</f>
        <v/>
      </c>
      <c r="AA2250" t="str" cm="1">
        <f t="array" ref="AA2250">IF(97&lt;Controls!$B$7,INDEX(M2153:M2331,MATCH(Controls!$B$5,A2153:A2331,1)+97)*INDEX(I2153:I2331,MATCH(Controls!$B$5,A2153:A2331,1)+97),"")</f>
        <v/>
      </c>
      <c r="AB2250">
        <f t="shared" si="269"/>
        <v>0</v>
      </c>
    </row>
    <row r="2251" spans="1:28" x14ac:dyDescent="0.35">
      <c r="A2251" s="153">
        <v>49035</v>
      </c>
      <c r="B2251" s="155" t="s">
        <v>960</v>
      </c>
      <c r="C2251" s="15" t="s">
        <v>28</v>
      </c>
      <c r="D2251" s="15" t="s">
        <v>29</v>
      </c>
      <c r="E2251" s="199">
        <f>H2250</f>
        <v>0</v>
      </c>
      <c r="F2251" s="199">
        <f>IFERROR(SUMIFS('Demand Inputs'!$CZ$5:$CZ$202,'Demand Inputs'!$A$5:$A$202,"47mg LP - EU Stock",'Demand Inputs'!$B$5:$B$202,"&lt;&gt;AGGREGATE",'Demand Inputs'!$E$5:$E$202,1),0)</f>
        <v>0</v>
      </c>
      <c r="G2251" s="199" cm="1">
        <f t="array" ref="G2251">IFERROR(SUMPRODUCT(('Production Inputs'!$A:$A="47mg LP - EU Stock")*('Production Inputs'!$B:$B="TOTAL ACTIVE")*'Production Inputs'!$DF:$DF),0)</f>
        <v>0</v>
      </c>
      <c r="H2251" s="199">
        <f t="shared" si="263"/>
        <v>0</v>
      </c>
      <c r="I2251" s="30">
        <f ca="1">IFERROR(AVERAGEIF(OFFSET(F2251,0,0,MIN(Controls!$B$8,COUNTIF(B2251:B$2331,B2251)),1),"&gt;"&amp;0),0)</f>
        <v>0</v>
      </c>
      <c r="J2251" s="38">
        <f t="shared" ca="1" si="264"/>
        <v>0</v>
      </c>
      <c r="K2251" s="30">
        <f t="shared" ca="1" si="265"/>
        <v>0</v>
      </c>
      <c r="L2251" t="str">
        <f t="shared" si="266"/>
        <v>High</v>
      </c>
      <c r="M2251" s="39">
        <f>IFERROR(VLOOKUP("47mg LP - EU Stock",Controls!A:I,7,0),6)</f>
        <v>9</v>
      </c>
      <c r="N2251" s="39">
        <f>IFERROR(VLOOKUP("47mg LP - EU Stock",Controls!A:I,8,0),3)</f>
        <v>8</v>
      </c>
      <c r="O2251" s="39">
        <f>IFERROR(VLOOKUP("47mg LP - EU Stock",Controls!A:I,9,0),18)</f>
        <v>18</v>
      </c>
      <c r="P2251" s="40">
        <f>IFERROR(VLOOKUP("47mg LP - EU Stock",Controls!A:J,5,0),0)</f>
        <v>10000</v>
      </c>
      <c r="Q2251" s="39">
        <f>IFERROR(VLOOKUP("47mg LP - EU Stock",Controls!A:J,6,0),3)</f>
        <v>3</v>
      </c>
      <c r="R2251" s="21" t="str">
        <f>IFERROR(VLOOKUP("47mg LP - EU Stock",Controls!A:K,10,0),"")</f>
        <v>Patheon (L&amp;P EU)</v>
      </c>
      <c r="S2251" s="41">
        <f t="shared" si="267"/>
        <v>48945</v>
      </c>
      <c r="T2251" s="30">
        <f t="shared" si="268"/>
        <v>0</v>
      </c>
      <c r="W2251" s="205" t="str" cm="1">
        <f t="array" ref="W2251">IF(98&lt;Controls!$B$7,TEXT(INDEX(A2153:A2331,MATCH(Controls!$B$5,A2153:A2331,1)+98),"MMM-YY"),"")</f>
        <v/>
      </c>
      <c r="X2251" t="str" cm="1">
        <f t="array" ref="X2251">IF(98&lt;Controls!$B$7,INDEX(F2153:F2331,MATCH(Controls!$B$5,A2153:A2331,1)+98),"")</f>
        <v/>
      </c>
      <c r="Y2251" t="str" cm="1">
        <f t="array" ref="Y2251">IF(98&lt;Controls!$B$7,INDEX(G2153:G2331,MATCH(Controls!$B$5,A2153:A2331,1)+98),"")</f>
        <v/>
      </c>
      <c r="Z2251" t="str" cm="1">
        <f t="array" ref="Z2251">IF(98&lt;Controls!$B$7,INDEX(H2153:H2331,MATCH(Controls!$B$5,A2153:A2331,1)+98),"")</f>
        <v/>
      </c>
      <c r="AA2251" t="str" cm="1">
        <f t="array" ref="AA2251">IF(98&lt;Controls!$B$7,INDEX(M2153:M2331,MATCH(Controls!$B$5,A2153:A2331,1)+98)*INDEX(I2153:I2331,MATCH(Controls!$B$5,A2153:A2331,1)+98),"")</f>
        <v/>
      </c>
      <c r="AB2251">
        <f t="shared" si="269"/>
        <v>0</v>
      </c>
    </row>
    <row r="2252" spans="1:28" x14ac:dyDescent="0.35">
      <c r="A2252" s="153">
        <v>49065</v>
      </c>
      <c r="B2252" s="155" t="s">
        <v>960</v>
      </c>
      <c r="C2252" s="15" t="s">
        <v>28</v>
      </c>
      <c r="D2252" s="15" t="s">
        <v>29</v>
      </c>
      <c r="E2252" s="199">
        <f>H2251</f>
        <v>0</v>
      </c>
      <c r="F2252" s="199">
        <f>IFERROR(SUMIFS('Demand Inputs'!$DA$5:$DA$202,'Demand Inputs'!$A$5:$A$202,"47mg LP - EU Stock",'Demand Inputs'!$B$5:$B$202,"&lt;&gt;AGGREGATE",'Demand Inputs'!$E$5:$E$202,1),0)</f>
        <v>0</v>
      </c>
      <c r="G2252" s="199" cm="1">
        <f t="array" ref="G2252">IFERROR(SUMPRODUCT(('Production Inputs'!$A:$A="47mg LP - EU Stock")*('Production Inputs'!$B:$B="TOTAL ACTIVE")*'Production Inputs'!$DG:$DG),0)</f>
        <v>0</v>
      </c>
      <c r="H2252" s="199">
        <f t="shared" si="263"/>
        <v>0</v>
      </c>
      <c r="I2252" s="30">
        <f ca="1">IFERROR(AVERAGEIF(OFFSET(F2252,0,0,MIN(Controls!$B$8,COUNTIF(B2252:B$2331,B2252)),1),"&gt;"&amp;0),0)</f>
        <v>0</v>
      </c>
      <c r="J2252" s="38">
        <f t="shared" ca="1" si="264"/>
        <v>0</v>
      </c>
      <c r="K2252" s="30">
        <f t="shared" ca="1" si="265"/>
        <v>0</v>
      </c>
      <c r="L2252" t="str">
        <f t="shared" si="266"/>
        <v>High</v>
      </c>
      <c r="M2252" s="39">
        <f>IFERROR(VLOOKUP("47mg LP - EU Stock",Controls!A:I,7,0),6)</f>
        <v>9</v>
      </c>
      <c r="N2252" s="39">
        <f>IFERROR(VLOOKUP("47mg LP - EU Stock",Controls!A:I,8,0),3)</f>
        <v>8</v>
      </c>
      <c r="O2252" s="39">
        <f>IFERROR(VLOOKUP("47mg LP - EU Stock",Controls!A:I,9,0),18)</f>
        <v>18</v>
      </c>
      <c r="P2252" s="40">
        <f>IFERROR(VLOOKUP("47mg LP - EU Stock",Controls!A:J,5,0),0)</f>
        <v>10000</v>
      </c>
      <c r="Q2252" s="39">
        <f>IFERROR(VLOOKUP("47mg LP - EU Stock",Controls!A:J,6,0),3)</f>
        <v>3</v>
      </c>
      <c r="R2252" s="21" t="str">
        <f>IFERROR(VLOOKUP("47mg LP - EU Stock",Controls!A:K,10,0),"")</f>
        <v>Patheon (L&amp;P EU)</v>
      </c>
      <c r="S2252" s="41">
        <f t="shared" si="267"/>
        <v>48976</v>
      </c>
      <c r="T2252" s="30">
        <f t="shared" si="268"/>
        <v>0</v>
      </c>
      <c r="W2252" s="205" t="str" cm="1">
        <f t="array" ref="W2252">IF(99&lt;Controls!$B$7,TEXT(INDEX(A2153:A2331,MATCH(Controls!$B$5,A2153:A2331,1)+99),"MMM-YY"),"")</f>
        <v/>
      </c>
      <c r="X2252" t="str" cm="1">
        <f t="array" ref="X2252">IF(99&lt;Controls!$B$7,INDEX(F2153:F2331,MATCH(Controls!$B$5,A2153:A2331,1)+99),"")</f>
        <v/>
      </c>
      <c r="Y2252" t="str" cm="1">
        <f t="array" ref="Y2252">IF(99&lt;Controls!$B$7,INDEX(G2153:G2331,MATCH(Controls!$B$5,A2153:A2331,1)+99),"")</f>
        <v/>
      </c>
      <c r="Z2252" t="str" cm="1">
        <f t="array" ref="Z2252">IF(99&lt;Controls!$B$7,INDEX(H2153:H2331,MATCH(Controls!$B$5,A2153:A2331,1)+99),"")</f>
        <v/>
      </c>
      <c r="AA2252" t="str" cm="1">
        <f t="array" ref="AA2252">IF(99&lt;Controls!$B$7,INDEX(M2153:M2331,MATCH(Controls!$B$5,A2153:A2331,1)+99)*INDEX(I2153:I2331,MATCH(Controls!$B$5,A2153:A2331,1)+99),"")</f>
        <v/>
      </c>
      <c r="AB2252">
        <f t="shared" si="269"/>
        <v>0</v>
      </c>
    </row>
    <row r="2253" spans="1:28" x14ac:dyDescent="0.35">
      <c r="A2253" s="153">
        <v>49096</v>
      </c>
      <c r="B2253" s="155" t="s">
        <v>960</v>
      </c>
      <c r="C2253" s="15" t="s">
        <v>28</v>
      </c>
      <c r="D2253" s="15" t="s">
        <v>29</v>
      </c>
      <c r="E2253" s="199">
        <f>H2252</f>
        <v>0</v>
      </c>
      <c r="F2253" s="199">
        <f>IFERROR(SUMIFS('Demand Inputs'!$DB$5:$DB$202,'Demand Inputs'!$A$5:$A$202,"47mg LP - EU Stock",'Demand Inputs'!$B$5:$B$202,"&lt;&gt;AGGREGATE",'Demand Inputs'!$E$5:$E$202,1),0)</f>
        <v>0</v>
      </c>
      <c r="G2253" s="199" cm="1">
        <f t="array" ref="G2253">IFERROR(SUMPRODUCT(('Production Inputs'!$A:$A="47mg LP - EU Stock")*('Production Inputs'!$B:$B="TOTAL ACTIVE")*'Production Inputs'!$DH:$DH),0)</f>
        <v>0</v>
      </c>
      <c r="H2253" s="199">
        <f t="shared" si="263"/>
        <v>0</v>
      </c>
      <c r="I2253" s="30">
        <f ca="1">IFERROR(AVERAGEIF(OFFSET(F2253,0,0,MIN(Controls!$B$8,COUNTIF(B2253:B$2331,B2253)),1),"&gt;"&amp;0),0)</f>
        <v>0</v>
      </c>
      <c r="J2253" s="38">
        <f t="shared" ca="1" si="264"/>
        <v>0</v>
      </c>
      <c r="K2253" s="30">
        <f t="shared" ca="1" si="265"/>
        <v>0</v>
      </c>
      <c r="L2253" t="str">
        <f t="shared" si="266"/>
        <v>High</v>
      </c>
      <c r="M2253" s="39">
        <f>IFERROR(VLOOKUP("47mg LP - EU Stock",Controls!A:I,7,0),6)</f>
        <v>9</v>
      </c>
      <c r="N2253" s="39">
        <f>IFERROR(VLOOKUP("47mg LP - EU Stock",Controls!A:I,8,0),3)</f>
        <v>8</v>
      </c>
      <c r="O2253" s="39">
        <f>IFERROR(VLOOKUP("47mg LP - EU Stock",Controls!A:I,9,0),18)</f>
        <v>18</v>
      </c>
      <c r="P2253" s="40">
        <f>IFERROR(VLOOKUP("47mg LP - EU Stock",Controls!A:J,5,0),0)</f>
        <v>10000</v>
      </c>
      <c r="Q2253" s="39">
        <f>IFERROR(VLOOKUP("47mg LP - EU Stock",Controls!A:J,6,0),3)</f>
        <v>3</v>
      </c>
      <c r="R2253" s="21" t="str">
        <f>IFERROR(VLOOKUP("47mg LP - EU Stock",Controls!A:K,10,0),"")</f>
        <v>Patheon (L&amp;P EU)</v>
      </c>
      <c r="S2253" s="41">
        <f t="shared" si="267"/>
        <v>49004</v>
      </c>
      <c r="T2253" s="30">
        <f t="shared" si="268"/>
        <v>0</v>
      </c>
      <c r="W2253" s="205" t="str" cm="1">
        <f t="array" ref="W2253">IF(100&lt;Controls!$B$7,TEXT(INDEX(A2153:A2331,MATCH(Controls!$B$5,A2153:A2331,1)+100),"MMM-YY"),"")</f>
        <v/>
      </c>
      <c r="X2253" t="str" cm="1">
        <f t="array" ref="X2253">IF(100&lt;Controls!$B$7,INDEX(F2153:F2331,MATCH(Controls!$B$5,A2153:A2331,1)+100),"")</f>
        <v/>
      </c>
      <c r="Y2253" t="str" cm="1">
        <f t="array" ref="Y2253">IF(100&lt;Controls!$B$7,INDEX(G2153:G2331,MATCH(Controls!$B$5,A2153:A2331,1)+100),"")</f>
        <v/>
      </c>
      <c r="Z2253" t="str" cm="1">
        <f t="array" ref="Z2253">IF(100&lt;Controls!$B$7,INDEX(H2153:H2331,MATCH(Controls!$B$5,A2153:A2331,1)+100),"")</f>
        <v/>
      </c>
      <c r="AA2253" t="str" cm="1">
        <f t="array" ref="AA2253">IF(100&lt;Controls!$B$7,INDEX(M2153:M2331,MATCH(Controls!$B$5,A2153:A2331,1)+100)*INDEX(I2153:I2331,MATCH(Controls!$B$5,A2153:A2331,1)+100),"")</f>
        <v/>
      </c>
      <c r="AB2253">
        <f t="shared" si="269"/>
        <v>0</v>
      </c>
    </row>
    <row r="2254" spans="1:28" x14ac:dyDescent="0.35">
      <c r="A2254" s="153">
        <v>49126</v>
      </c>
      <c r="B2254" s="155" t="s">
        <v>960</v>
      </c>
      <c r="C2254" s="15" t="s">
        <v>28</v>
      </c>
      <c r="D2254" s="15" t="s">
        <v>29</v>
      </c>
      <c r="E2254" s="199">
        <f>H2253</f>
        <v>0</v>
      </c>
      <c r="F2254" s="199">
        <f>IFERROR(SUMIFS('Demand Inputs'!$DC$5:$DC$202,'Demand Inputs'!$A$5:$A$202,"47mg LP - EU Stock",'Demand Inputs'!$B$5:$B$202,"&lt;&gt;AGGREGATE",'Demand Inputs'!$E$5:$E$202,1),0)</f>
        <v>0</v>
      </c>
      <c r="G2254" s="199" cm="1">
        <f t="array" ref="G2254">IFERROR(SUMPRODUCT(('Production Inputs'!$A:$A="47mg LP - EU Stock")*('Production Inputs'!$B:$B="TOTAL ACTIVE")*'Production Inputs'!$DI:$DI),0)</f>
        <v>0</v>
      </c>
      <c r="H2254" s="199">
        <f t="shared" si="263"/>
        <v>0</v>
      </c>
      <c r="I2254" s="30">
        <f ca="1">IFERROR(AVERAGEIF(OFFSET(F2254,0,0,MIN(Controls!$B$8,COUNTIF(B2254:B$2331,B2254)),1),"&gt;"&amp;0),0)</f>
        <v>0</v>
      </c>
      <c r="J2254" s="38">
        <f t="shared" ca="1" si="264"/>
        <v>0</v>
      </c>
      <c r="K2254" s="30">
        <f t="shared" ca="1" si="265"/>
        <v>0</v>
      </c>
      <c r="L2254" t="str">
        <f t="shared" si="266"/>
        <v>High</v>
      </c>
      <c r="M2254" s="39">
        <f>IFERROR(VLOOKUP("47mg LP - EU Stock",Controls!A:I,7,0),6)</f>
        <v>9</v>
      </c>
      <c r="N2254" s="39">
        <f>IFERROR(VLOOKUP("47mg LP - EU Stock",Controls!A:I,8,0),3)</f>
        <v>8</v>
      </c>
      <c r="O2254" s="39">
        <f>IFERROR(VLOOKUP("47mg LP - EU Stock",Controls!A:I,9,0),18)</f>
        <v>18</v>
      </c>
      <c r="P2254" s="40">
        <f>IFERROR(VLOOKUP("47mg LP - EU Stock",Controls!A:J,5,0),0)</f>
        <v>10000</v>
      </c>
      <c r="Q2254" s="39">
        <f>IFERROR(VLOOKUP("47mg LP - EU Stock",Controls!A:J,6,0),3)</f>
        <v>3</v>
      </c>
      <c r="R2254" s="21" t="str">
        <f>IFERROR(VLOOKUP("47mg LP - EU Stock",Controls!A:K,10,0),"")</f>
        <v>Patheon (L&amp;P EU)</v>
      </c>
      <c r="S2254" s="41">
        <f t="shared" si="267"/>
        <v>49035</v>
      </c>
      <c r="T2254" s="30">
        <f t="shared" si="268"/>
        <v>0</v>
      </c>
      <c r="W2254" s="205" t="str" cm="1">
        <f t="array" ref="W2254">IF(101&lt;Controls!$B$7,TEXT(INDEX(A2153:A2331,MATCH(Controls!$B$5,A2153:A2331,1)+101),"MMM-YY"),"")</f>
        <v/>
      </c>
      <c r="X2254" t="str" cm="1">
        <f t="array" ref="X2254">IF(101&lt;Controls!$B$7,INDEX(F2153:F2331,MATCH(Controls!$B$5,A2153:A2331,1)+101),"")</f>
        <v/>
      </c>
      <c r="Y2254" t="str" cm="1">
        <f t="array" ref="Y2254">IF(101&lt;Controls!$B$7,INDEX(G2153:G2331,MATCH(Controls!$B$5,A2153:A2331,1)+101),"")</f>
        <v/>
      </c>
      <c r="Z2254" t="str" cm="1">
        <f t="array" ref="Z2254">IF(101&lt;Controls!$B$7,INDEX(H2153:H2331,MATCH(Controls!$B$5,A2153:A2331,1)+101),"")</f>
        <v/>
      </c>
      <c r="AA2254" t="str" cm="1">
        <f t="array" ref="AA2254">IF(101&lt;Controls!$B$7,INDEX(M2153:M2331,MATCH(Controls!$B$5,A2153:A2331,1)+101)*INDEX(I2153:I2331,MATCH(Controls!$B$5,A2153:A2331,1)+101),"")</f>
        <v/>
      </c>
      <c r="AB2254">
        <f t="shared" si="269"/>
        <v>0</v>
      </c>
    </row>
    <row r="2255" spans="1:28" x14ac:dyDescent="0.35">
      <c r="A2255" s="153">
        <v>49157</v>
      </c>
      <c r="B2255" s="155" t="s">
        <v>960</v>
      </c>
      <c r="C2255" s="15" t="s">
        <v>28</v>
      </c>
      <c r="D2255" s="15" t="s">
        <v>29</v>
      </c>
      <c r="E2255" s="199">
        <f>H2254</f>
        <v>0</v>
      </c>
      <c r="F2255" s="199">
        <f>IFERROR(SUMIFS('Demand Inputs'!$DD$5:$DD$202,'Demand Inputs'!$A$5:$A$202,"47mg LP - EU Stock",'Demand Inputs'!$B$5:$B$202,"&lt;&gt;AGGREGATE",'Demand Inputs'!$E$5:$E$202,1),0)</f>
        <v>0</v>
      </c>
      <c r="G2255" s="199" cm="1">
        <f t="array" ref="G2255">IFERROR(SUMPRODUCT(('Production Inputs'!$A:$A="47mg LP - EU Stock")*('Production Inputs'!$B:$B="TOTAL ACTIVE")*'Production Inputs'!$DJ:$DJ),0)</f>
        <v>0</v>
      </c>
      <c r="H2255" s="199">
        <f t="shared" si="263"/>
        <v>0</v>
      </c>
      <c r="I2255" s="30">
        <f ca="1">IFERROR(AVERAGEIF(OFFSET(F2255,0,0,MIN(Controls!$B$8,COUNTIF(B2255:B$2331,B2255)),1),"&gt;"&amp;0),0)</f>
        <v>0</v>
      </c>
      <c r="J2255" s="38">
        <f t="shared" ca="1" si="264"/>
        <v>0</v>
      </c>
      <c r="K2255" s="30">
        <f t="shared" ca="1" si="265"/>
        <v>0</v>
      </c>
      <c r="L2255" t="str">
        <f t="shared" si="266"/>
        <v>High</v>
      </c>
      <c r="M2255" s="39">
        <f>IFERROR(VLOOKUP("47mg LP - EU Stock",Controls!A:I,7,0),6)</f>
        <v>9</v>
      </c>
      <c r="N2255" s="39">
        <f>IFERROR(VLOOKUP("47mg LP - EU Stock",Controls!A:I,8,0),3)</f>
        <v>8</v>
      </c>
      <c r="O2255" s="39">
        <f>IFERROR(VLOOKUP("47mg LP - EU Stock",Controls!A:I,9,0),18)</f>
        <v>18</v>
      </c>
      <c r="P2255" s="40">
        <f>IFERROR(VLOOKUP("47mg LP - EU Stock",Controls!A:J,5,0),0)</f>
        <v>10000</v>
      </c>
      <c r="Q2255" s="39">
        <f>IFERROR(VLOOKUP("47mg LP - EU Stock",Controls!A:J,6,0),3)</f>
        <v>3</v>
      </c>
      <c r="R2255" s="21" t="str">
        <f>IFERROR(VLOOKUP("47mg LP - EU Stock",Controls!A:K,10,0),"")</f>
        <v>Patheon (L&amp;P EU)</v>
      </c>
      <c r="S2255" s="41">
        <f t="shared" si="267"/>
        <v>49065</v>
      </c>
      <c r="T2255" s="30">
        <f t="shared" si="268"/>
        <v>0</v>
      </c>
      <c r="W2255" s="205" t="str" cm="1">
        <f t="array" ref="W2255">IF(102&lt;Controls!$B$7,TEXT(INDEX(A2153:A2331,MATCH(Controls!$B$5,A2153:A2331,1)+102),"MMM-YY"),"")</f>
        <v/>
      </c>
      <c r="X2255" t="str" cm="1">
        <f t="array" ref="X2255">IF(102&lt;Controls!$B$7,INDEX(F2153:F2331,MATCH(Controls!$B$5,A2153:A2331,1)+102),"")</f>
        <v/>
      </c>
      <c r="Y2255" t="str" cm="1">
        <f t="array" ref="Y2255">IF(102&lt;Controls!$B$7,INDEX(G2153:G2331,MATCH(Controls!$B$5,A2153:A2331,1)+102),"")</f>
        <v/>
      </c>
      <c r="Z2255" t="str" cm="1">
        <f t="array" ref="Z2255">IF(102&lt;Controls!$B$7,INDEX(H2153:H2331,MATCH(Controls!$B$5,A2153:A2331,1)+102),"")</f>
        <v/>
      </c>
      <c r="AA2255" t="str" cm="1">
        <f t="array" ref="AA2255">IF(102&lt;Controls!$B$7,INDEX(M2153:M2331,MATCH(Controls!$B$5,A2153:A2331,1)+102)*INDEX(I2153:I2331,MATCH(Controls!$B$5,A2153:A2331,1)+102),"")</f>
        <v/>
      </c>
      <c r="AB2255">
        <f t="shared" si="269"/>
        <v>0</v>
      </c>
    </row>
    <row r="2256" spans="1:28" x14ac:dyDescent="0.35">
      <c r="A2256" s="153">
        <v>49188</v>
      </c>
      <c r="B2256" s="155" t="s">
        <v>960</v>
      </c>
      <c r="C2256" s="15" t="s">
        <v>28</v>
      </c>
      <c r="D2256" s="15" t="s">
        <v>29</v>
      </c>
      <c r="E2256" s="199">
        <f>H2255</f>
        <v>0</v>
      </c>
      <c r="F2256" s="199">
        <f>IFERROR(SUMIFS('Demand Inputs'!$DE$5:$DE$202,'Demand Inputs'!$A$5:$A$202,"47mg LP - EU Stock",'Demand Inputs'!$B$5:$B$202,"&lt;&gt;AGGREGATE",'Demand Inputs'!$E$5:$E$202,1),0)</f>
        <v>0</v>
      </c>
      <c r="G2256" s="199" cm="1">
        <f t="array" ref="G2256">IFERROR(SUMPRODUCT(('Production Inputs'!$A:$A="47mg LP - EU Stock")*('Production Inputs'!$B:$B="TOTAL ACTIVE")*'Production Inputs'!$DK:$DK),0)</f>
        <v>0</v>
      </c>
      <c r="H2256" s="199">
        <f t="shared" si="263"/>
        <v>0</v>
      </c>
      <c r="I2256" s="30">
        <f ca="1">IFERROR(AVERAGEIF(OFFSET(F2256,0,0,MIN(Controls!$B$8,COUNTIF(B2256:B$2331,B2256)),1),"&gt;"&amp;0),0)</f>
        <v>0</v>
      </c>
      <c r="J2256" s="38">
        <f t="shared" ca="1" si="264"/>
        <v>0</v>
      </c>
      <c r="K2256" s="30">
        <f t="shared" ca="1" si="265"/>
        <v>0</v>
      </c>
      <c r="L2256" t="str">
        <f t="shared" si="266"/>
        <v>High</v>
      </c>
      <c r="M2256" s="39">
        <f>IFERROR(VLOOKUP("47mg LP - EU Stock",Controls!A:I,7,0),6)</f>
        <v>9</v>
      </c>
      <c r="N2256" s="39">
        <f>IFERROR(VLOOKUP("47mg LP - EU Stock",Controls!A:I,8,0),3)</f>
        <v>8</v>
      </c>
      <c r="O2256" s="39">
        <f>IFERROR(VLOOKUP("47mg LP - EU Stock",Controls!A:I,9,0),18)</f>
        <v>18</v>
      </c>
      <c r="P2256" s="40">
        <f>IFERROR(VLOOKUP("47mg LP - EU Stock",Controls!A:J,5,0),0)</f>
        <v>10000</v>
      </c>
      <c r="Q2256" s="39">
        <f>IFERROR(VLOOKUP("47mg LP - EU Stock",Controls!A:J,6,0),3)</f>
        <v>3</v>
      </c>
      <c r="R2256" s="21" t="str">
        <f>IFERROR(VLOOKUP("47mg LP - EU Stock",Controls!A:K,10,0),"")</f>
        <v>Patheon (L&amp;P EU)</v>
      </c>
      <c r="S2256" s="41">
        <f t="shared" si="267"/>
        <v>49096</v>
      </c>
      <c r="T2256" s="30">
        <f t="shared" si="268"/>
        <v>0</v>
      </c>
      <c r="W2256" s="205" t="str" cm="1">
        <f t="array" ref="W2256">IF(103&lt;Controls!$B$7,TEXT(INDEX(A2153:A2331,MATCH(Controls!$B$5,A2153:A2331,1)+103),"MMM-YY"),"")</f>
        <v/>
      </c>
      <c r="X2256" t="str" cm="1">
        <f t="array" ref="X2256">IF(103&lt;Controls!$B$7,INDEX(F2153:F2331,MATCH(Controls!$B$5,A2153:A2331,1)+103),"")</f>
        <v/>
      </c>
      <c r="Y2256" t="str" cm="1">
        <f t="array" ref="Y2256">IF(103&lt;Controls!$B$7,INDEX(G2153:G2331,MATCH(Controls!$B$5,A2153:A2331,1)+103),"")</f>
        <v/>
      </c>
      <c r="Z2256" t="str" cm="1">
        <f t="array" ref="Z2256">IF(103&lt;Controls!$B$7,INDEX(H2153:H2331,MATCH(Controls!$B$5,A2153:A2331,1)+103),"")</f>
        <v/>
      </c>
      <c r="AA2256" t="str" cm="1">
        <f t="array" ref="AA2256">IF(103&lt;Controls!$B$7,INDEX(M2153:M2331,MATCH(Controls!$B$5,A2153:A2331,1)+103)*INDEX(I2153:I2331,MATCH(Controls!$B$5,A2153:A2331,1)+103),"")</f>
        <v/>
      </c>
      <c r="AB2256">
        <f t="shared" si="269"/>
        <v>0</v>
      </c>
    </row>
    <row r="2257" spans="1:28" x14ac:dyDescent="0.35">
      <c r="A2257" s="153">
        <v>49218</v>
      </c>
      <c r="B2257" s="155" t="s">
        <v>960</v>
      </c>
      <c r="C2257" s="15" t="s">
        <v>28</v>
      </c>
      <c r="D2257" s="15" t="s">
        <v>29</v>
      </c>
      <c r="E2257" s="199">
        <f>H2256</f>
        <v>0</v>
      </c>
      <c r="F2257" s="199">
        <f>IFERROR(SUMIFS('Demand Inputs'!$DF$5:$DF$202,'Demand Inputs'!$A$5:$A$202,"47mg LP - EU Stock",'Demand Inputs'!$B$5:$B$202,"&lt;&gt;AGGREGATE",'Demand Inputs'!$E$5:$E$202,1),0)</f>
        <v>0</v>
      </c>
      <c r="G2257" s="199" cm="1">
        <f t="array" ref="G2257">IFERROR(SUMPRODUCT(('Production Inputs'!$A:$A="47mg LP - EU Stock")*('Production Inputs'!$B:$B="TOTAL ACTIVE")*'Production Inputs'!$DL:$DL),0)</f>
        <v>0</v>
      </c>
      <c r="H2257" s="199">
        <f t="shared" si="263"/>
        <v>0</v>
      </c>
      <c r="I2257" s="30">
        <f ca="1">IFERROR(AVERAGEIF(OFFSET(F2257,0,0,MIN(Controls!$B$8,COUNTIF(B2257:B$2331,B2257)),1),"&gt;"&amp;0),0)</f>
        <v>0</v>
      </c>
      <c r="J2257" s="38">
        <f t="shared" ca="1" si="264"/>
        <v>0</v>
      </c>
      <c r="K2257" s="30">
        <f t="shared" ca="1" si="265"/>
        <v>0</v>
      </c>
      <c r="L2257" t="str">
        <f t="shared" si="266"/>
        <v>High</v>
      </c>
      <c r="M2257" s="39">
        <f>IFERROR(VLOOKUP("47mg LP - EU Stock",Controls!A:I,7,0),6)</f>
        <v>9</v>
      </c>
      <c r="N2257" s="39">
        <f>IFERROR(VLOOKUP("47mg LP - EU Stock",Controls!A:I,8,0),3)</f>
        <v>8</v>
      </c>
      <c r="O2257" s="39">
        <f>IFERROR(VLOOKUP("47mg LP - EU Stock",Controls!A:I,9,0),18)</f>
        <v>18</v>
      </c>
      <c r="P2257" s="40">
        <f>IFERROR(VLOOKUP("47mg LP - EU Stock",Controls!A:J,5,0),0)</f>
        <v>10000</v>
      </c>
      <c r="Q2257" s="39">
        <f>IFERROR(VLOOKUP("47mg LP - EU Stock",Controls!A:J,6,0),3)</f>
        <v>3</v>
      </c>
      <c r="R2257" s="21" t="str">
        <f>IFERROR(VLOOKUP("47mg LP - EU Stock",Controls!A:K,10,0),"")</f>
        <v>Patheon (L&amp;P EU)</v>
      </c>
      <c r="S2257" s="41">
        <f t="shared" si="267"/>
        <v>49126</v>
      </c>
      <c r="T2257" s="30">
        <f t="shared" si="268"/>
        <v>0</v>
      </c>
      <c r="W2257" s="205" t="str" cm="1">
        <f t="array" ref="W2257">IF(104&lt;Controls!$B$7,TEXT(INDEX(A2153:A2331,MATCH(Controls!$B$5,A2153:A2331,1)+104),"MMM-YY"),"")</f>
        <v/>
      </c>
      <c r="X2257" t="str" cm="1">
        <f t="array" ref="X2257">IF(104&lt;Controls!$B$7,INDEX(F2153:F2331,MATCH(Controls!$B$5,A2153:A2331,1)+104),"")</f>
        <v/>
      </c>
      <c r="Y2257" t="str" cm="1">
        <f t="array" ref="Y2257">IF(104&lt;Controls!$B$7,INDEX(G2153:G2331,MATCH(Controls!$B$5,A2153:A2331,1)+104),"")</f>
        <v/>
      </c>
      <c r="Z2257" t="str" cm="1">
        <f t="array" ref="Z2257">IF(104&lt;Controls!$B$7,INDEX(H2153:H2331,MATCH(Controls!$B$5,A2153:A2331,1)+104),"")</f>
        <v/>
      </c>
      <c r="AA2257" t="str" cm="1">
        <f t="array" ref="AA2257">IF(104&lt;Controls!$B$7,INDEX(M2153:M2331,MATCH(Controls!$B$5,A2153:A2331,1)+104)*INDEX(I2153:I2331,MATCH(Controls!$B$5,A2153:A2331,1)+104),"")</f>
        <v/>
      </c>
      <c r="AB2257">
        <f t="shared" si="269"/>
        <v>0</v>
      </c>
    </row>
    <row r="2258" spans="1:28" x14ac:dyDescent="0.35">
      <c r="A2258" s="153">
        <v>49249</v>
      </c>
      <c r="B2258" s="155" t="s">
        <v>960</v>
      </c>
      <c r="C2258" s="15" t="s">
        <v>28</v>
      </c>
      <c r="D2258" s="15" t="s">
        <v>29</v>
      </c>
      <c r="E2258" s="199">
        <f>H2257</f>
        <v>0</v>
      </c>
      <c r="F2258" s="199">
        <f>IFERROR(SUMIFS('Demand Inputs'!$DG$5:$DG$202,'Demand Inputs'!$A$5:$A$202,"47mg LP - EU Stock",'Demand Inputs'!$B$5:$B$202,"&lt;&gt;AGGREGATE",'Demand Inputs'!$E$5:$E$202,1),0)</f>
        <v>0</v>
      </c>
      <c r="G2258" s="199" cm="1">
        <f t="array" ref="G2258">IFERROR(SUMPRODUCT(('Production Inputs'!$A:$A="47mg LP - EU Stock")*('Production Inputs'!$B:$B="TOTAL ACTIVE")*'Production Inputs'!$DM:$DM),0)</f>
        <v>0</v>
      </c>
      <c r="H2258" s="199">
        <f t="shared" si="263"/>
        <v>0</v>
      </c>
      <c r="I2258" s="30">
        <f ca="1">IFERROR(AVERAGEIF(OFFSET(F2258,0,0,MIN(Controls!$B$8,COUNTIF(B2258:B$2331,B2258)),1),"&gt;"&amp;0),0)</f>
        <v>0</v>
      </c>
      <c r="J2258" s="38">
        <f t="shared" ca="1" si="264"/>
        <v>0</v>
      </c>
      <c r="K2258" s="30">
        <f t="shared" ca="1" si="265"/>
        <v>0</v>
      </c>
      <c r="L2258" t="str">
        <f t="shared" si="266"/>
        <v>High</v>
      </c>
      <c r="M2258" s="39">
        <f>IFERROR(VLOOKUP("47mg LP - EU Stock",Controls!A:I,7,0),6)</f>
        <v>9</v>
      </c>
      <c r="N2258" s="39">
        <f>IFERROR(VLOOKUP("47mg LP - EU Stock",Controls!A:I,8,0),3)</f>
        <v>8</v>
      </c>
      <c r="O2258" s="39">
        <f>IFERROR(VLOOKUP("47mg LP - EU Stock",Controls!A:I,9,0),18)</f>
        <v>18</v>
      </c>
      <c r="P2258" s="40">
        <f>IFERROR(VLOOKUP("47mg LP - EU Stock",Controls!A:J,5,0),0)</f>
        <v>10000</v>
      </c>
      <c r="Q2258" s="39">
        <f>IFERROR(VLOOKUP("47mg LP - EU Stock",Controls!A:J,6,0),3)</f>
        <v>3</v>
      </c>
      <c r="R2258" s="21" t="str">
        <f>IFERROR(VLOOKUP("47mg LP - EU Stock",Controls!A:K,10,0),"")</f>
        <v>Patheon (L&amp;P EU)</v>
      </c>
      <c r="S2258" s="41">
        <f t="shared" si="267"/>
        <v>49157</v>
      </c>
      <c r="T2258" s="30">
        <f t="shared" si="268"/>
        <v>0</v>
      </c>
      <c r="W2258" s="205" t="str" cm="1">
        <f t="array" ref="W2258">IF(105&lt;Controls!$B$7,TEXT(INDEX(A2153:A2331,MATCH(Controls!$B$5,A2153:A2331,1)+105),"MMM-YY"),"")</f>
        <v/>
      </c>
      <c r="X2258" t="str" cm="1">
        <f t="array" ref="X2258">IF(105&lt;Controls!$B$7,INDEX(F2153:F2331,MATCH(Controls!$B$5,A2153:A2331,1)+105),"")</f>
        <v/>
      </c>
      <c r="Y2258" t="str" cm="1">
        <f t="array" ref="Y2258">IF(105&lt;Controls!$B$7,INDEX(G2153:G2331,MATCH(Controls!$B$5,A2153:A2331,1)+105),"")</f>
        <v/>
      </c>
      <c r="Z2258" t="str" cm="1">
        <f t="array" ref="Z2258">IF(105&lt;Controls!$B$7,INDEX(H2153:H2331,MATCH(Controls!$B$5,A2153:A2331,1)+105),"")</f>
        <v/>
      </c>
      <c r="AA2258" t="str" cm="1">
        <f t="array" ref="AA2258">IF(105&lt;Controls!$B$7,INDEX(M2153:M2331,MATCH(Controls!$B$5,A2153:A2331,1)+105)*INDEX(I2153:I2331,MATCH(Controls!$B$5,A2153:A2331,1)+105),"")</f>
        <v/>
      </c>
      <c r="AB2258">
        <f t="shared" si="269"/>
        <v>0</v>
      </c>
    </row>
    <row r="2259" spans="1:28" x14ac:dyDescent="0.35">
      <c r="A2259" s="153">
        <v>49279</v>
      </c>
      <c r="B2259" s="155" t="s">
        <v>960</v>
      </c>
      <c r="C2259" s="15" t="s">
        <v>28</v>
      </c>
      <c r="D2259" s="15" t="s">
        <v>29</v>
      </c>
      <c r="E2259" s="199">
        <f>H2258</f>
        <v>0</v>
      </c>
      <c r="F2259" s="199">
        <f>IFERROR(SUMIFS('Demand Inputs'!$DH$5:$DH$202,'Demand Inputs'!$A$5:$A$202,"47mg LP - EU Stock",'Demand Inputs'!$B$5:$B$202,"&lt;&gt;AGGREGATE",'Demand Inputs'!$E$5:$E$202,1),0)</f>
        <v>0</v>
      </c>
      <c r="G2259" s="199" cm="1">
        <f t="array" ref="G2259">IFERROR(SUMPRODUCT(('Production Inputs'!$A:$A="47mg LP - EU Stock")*('Production Inputs'!$B:$B="TOTAL ACTIVE")*'Production Inputs'!$DN:$DN),0)</f>
        <v>0</v>
      </c>
      <c r="H2259" s="199">
        <f t="shared" si="263"/>
        <v>0</v>
      </c>
      <c r="I2259" s="30">
        <f ca="1">IFERROR(AVERAGEIF(OFFSET(F2259,0,0,MIN(Controls!$B$8,COUNTIF(B2259:B$2331,B2259)),1),"&gt;"&amp;0),0)</f>
        <v>0</v>
      </c>
      <c r="J2259" s="38">
        <f t="shared" ca="1" si="264"/>
        <v>0</v>
      </c>
      <c r="K2259" s="30">
        <f t="shared" ca="1" si="265"/>
        <v>0</v>
      </c>
      <c r="L2259" t="str">
        <f t="shared" si="266"/>
        <v>High</v>
      </c>
      <c r="M2259" s="39">
        <f>IFERROR(VLOOKUP("47mg LP - EU Stock",Controls!A:I,7,0),6)</f>
        <v>9</v>
      </c>
      <c r="N2259" s="39">
        <f>IFERROR(VLOOKUP("47mg LP - EU Stock",Controls!A:I,8,0),3)</f>
        <v>8</v>
      </c>
      <c r="O2259" s="39">
        <f>IFERROR(VLOOKUP("47mg LP - EU Stock",Controls!A:I,9,0),18)</f>
        <v>18</v>
      </c>
      <c r="P2259" s="40">
        <f>IFERROR(VLOOKUP("47mg LP - EU Stock",Controls!A:J,5,0),0)</f>
        <v>10000</v>
      </c>
      <c r="Q2259" s="39">
        <f>IFERROR(VLOOKUP("47mg LP - EU Stock",Controls!A:J,6,0),3)</f>
        <v>3</v>
      </c>
      <c r="R2259" s="21" t="str">
        <f>IFERROR(VLOOKUP("47mg LP - EU Stock",Controls!A:K,10,0),"")</f>
        <v>Patheon (L&amp;P EU)</v>
      </c>
      <c r="S2259" s="41">
        <f t="shared" si="267"/>
        <v>49188</v>
      </c>
      <c r="T2259" s="30">
        <f t="shared" si="268"/>
        <v>0</v>
      </c>
      <c r="W2259" s="205" t="str" cm="1">
        <f t="array" ref="W2259">IF(106&lt;Controls!$B$7,TEXT(INDEX(A2153:A2331,MATCH(Controls!$B$5,A2153:A2331,1)+106),"MMM-YY"),"")</f>
        <v/>
      </c>
      <c r="X2259" t="str" cm="1">
        <f t="array" ref="X2259">IF(106&lt;Controls!$B$7,INDEX(F2153:F2331,MATCH(Controls!$B$5,A2153:A2331,1)+106),"")</f>
        <v/>
      </c>
      <c r="Y2259" t="str" cm="1">
        <f t="array" ref="Y2259">IF(106&lt;Controls!$B$7,INDEX(G2153:G2331,MATCH(Controls!$B$5,A2153:A2331,1)+106),"")</f>
        <v/>
      </c>
      <c r="Z2259" t="str" cm="1">
        <f t="array" ref="Z2259">IF(106&lt;Controls!$B$7,INDEX(H2153:H2331,MATCH(Controls!$B$5,A2153:A2331,1)+106),"")</f>
        <v/>
      </c>
      <c r="AA2259" t="str" cm="1">
        <f t="array" ref="AA2259">IF(106&lt;Controls!$B$7,INDEX(M2153:M2331,MATCH(Controls!$B$5,A2153:A2331,1)+106)*INDEX(I2153:I2331,MATCH(Controls!$B$5,A2153:A2331,1)+106),"")</f>
        <v/>
      </c>
      <c r="AB2259">
        <f t="shared" si="269"/>
        <v>0</v>
      </c>
    </row>
    <row r="2260" spans="1:28" x14ac:dyDescent="0.35">
      <c r="A2260" s="153">
        <v>49310</v>
      </c>
      <c r="B2260" s="155" t="s">
        <v>960</v>
      </c>
      <c r="C2260" s="15" t="s">
        <v>28</v>
      </c>
      <c r="D2260" s="15" t="s">
        <v>29</v>
      </c>
      <c r="E2260" s="199">
        <f>H2259</f>
        <v>0</v>
      </c>
      <c r="F2260" s="199">
        <f>IFERROR(SUMIFS('Demand Inputs'!$DI$5:$DI$202,'Demand Inputs'!$A$5:$A$202,"47mg LP - EU Stock",'Demand Inputs'!$B$5:$B$202,"&lt;&gt;AGGREGATE",'Demand Inputs'!$E$5:$E$202,1),0)</f>
        <v>0</v>
      </c>
      <c r="G2260" s="199" cm="1">
        <f t="array" ref="G2260">IFERROR(SUMPRODUCT(('Production Inputs'!$A:$A="47mg LP - EU Stock")*('Production Inputs'!$B:$B="TOTAL ACTIVE")*'Production Inputs'!$DO:$DO),0)</f>
        <v>0</v>
      </c>
      <c r="H2260" s="199">
        <f t="shared" si="263"/>
        <v>0</v>
      </c>
      <c r="I2260" s="30">
        <f ca="1">IFERROR(AVERAGEIF(OFFSET(F2260,0,0,MIN(Controls!$B$8,COUNTIF(B2260:B$2331,B2260)),1),"&gt;"&amp;0),0)</f>
        <v>0</v>
      </c>
      <c r="J2260" s="38">
        <f t="shared" ca="1" si="264"/>
        <v>0</v>
      </c>
      <c r="K2260" s="30">
        <f t="shared" ca="1" si="265"/>
        <v>0</v>
      </c>
      <c r="L2260" t="str">
        <f t="shared" si="266"/>
        <v>High</v>
      </c>
      <c r="M2260" s="39">
        <f>IFERROR(VLOOKUP("47mg LP - EU Stock",Controls!A:I,7,0),6)</f>
        <v>9</v>
      </c>
      <c r="N2260" s="39">
        <f>IFERROR(VLOOKUP("47mg LP - EU Stock",Controls!A:I,8,0),3)</f>
        <v>8</v>
      </c>
      <c r="O2260" s="39">
        <f>IFERROR(VLOOKUP("47mg LP - EU Stock",Controls!A:I,9,0),18)</f>
        <v>18</v>
      </c>
      <c r="P2260" s="40">
        <f>IFERROR(VLOOKUP("47mg LP - EU Stock",Controls!A:J,5,0),0)</f>
        <v>10000</v>
      </c>
      <c r="Q2260" s="39">
        <f>IFERROR(VLOOKUP("47mg LP - EU Stock",Controls!A:J,6,0),3)</f>
        <v>3</v>
      </c>
      <c r="R2260" s="21" t="str">
        <f>IFERROR(VLOOKUP("47mg LP - EU Stock",Controls!A:K,10,0),"")</f>
        <v>Patheon (L&amp;P EU)</v>
      </c>
      <c r="S2260" s="41">
        <f t="shared" si="267"/>
        <v>49218</v>
      </c>
      <c r="T2260" s="30">
        <f t="shared" si="268"/>
        <v>0</v>
      </c>
      <c r="W2260" s="205" t="str" cm="1">
        <f t="array" ref="W2260">IF(107&lt;Controls!$B$7,TEXT(INDEX(A2153:A2331,MATCH(Controls!$B$5,A2153:A2331,1)+107),"MMM-YY"),"")</f>
        <v/>
      </c>
      <c r="X2260" t="str" cm="1">
        <f t="array" ref="X2260">IF(107&lt;Controls!$B$7,INDEX(F2153:F2331,MATCH(Controls!$B$5,A2153:A2331,1)+107),"")</f>
        <v/>
      </c>
      <c r="Y2260" t="str" cm="1">
        <f t="array" ref="Y2260">IF(107&lt;Controls!$B$7,INDEX(G2153:G2331,MATCH(Controls!$B$5,A2153:A2331,1)+107),"")</f>
        <v/>
      </c>
      <c r="Z2260" t="str" cm="1">
        <f t="array" ref="Z2260">IF(107&lt;Controls!$B$7,INDEX(H2153:H2331,MATCH(Controls!$B$5,A2153:A2331,1)+107),"")</f>
        <v/>
      </c>
      <c r="AA2260" t="str" cm="1">
        <f t="array" ref="AA2260">IF(107&lt;Controls!$B$7,INDEX(M2153:M2331,MATCH(Controls!$B$5,A2153:A2331,1)+107)*INDEX(I2153:I2331,MATCH(Controls!$B$5,A2153:A2331,1)+107),"")</f>
        <v/>
      </c>
      <c r="AB2260">
        <f t="shared" si="269"/>
        <v>0</v>
      </c>
    </row>
    <row r="2261" spans="1:28" x14ac:dyDescent="0.35">
      <c r="A2261" s="153">
        <v>49341</v>
      </c>
      <c r="B2261" s="155" t="s">
        <v>960</v>
      </c>
      <c r="C2261" s="15" t="s">
        <v>28</v>
      </c>
      <c r="D2261" s="15" t="s">
        <v>29</v>
      </c>
      <c r="E2261" s="199">
        <f>H2260</f>
        <v>0</v>
      </c>
      <c r="F2261" s="199">
        <f>IFERROR(SUMIFS('Demand Inputs'!$DJ$5:$DJ$202,'Demand Inputs'!$A$5:$A$202,"47mg LP - EU Stock",'Demand Inputs'!$B$5:$B$202,"&lt;&gt;AGGREGATE",'Demand Inputs'!$E$5:$E$202,1),0)</f>
        <v>0</v>
      </c>
      <c r="G2261" s="199" cm="1">
        <f t="array" ref="G2261">IFERROR(SUMPRODUCT(('Production Inputs'!$A:$A="47mg LP - EU Stock")*('Production Inputs'!$B:$B="TOTAL ACTIVE")*'Production Inputs'!$DP:$DP),0)</f>
        <v>0</v>
      </c>
      <c r="H2261" s="199">
        <f t="shared" si="263"/>
        <v>0</v>
      </c>
      <c r="I2261" s="30">
        <f ca="1">IFERROR(AVERAGEIF(OFFSET(F2261,0,0,MIN(Controls!$B$8,COUNTIF(B2261:B$2331,B2261)),1),"&gt;"&amp;0),0)</f>
        <v>0</v>
      </c>
      <c r="J2261" s="38">
        <f t="shared" ca="1" si="264"/>
        <v>0</v>
      </c>
      <c r="K2261" s="30">
        <f t="shared" ca="1" si="265"/>
        <v>0</v>
      </c>
      <c r="L2261" t="str">
        <f t="shared" si="266"/>
        <v>High</v>
      </c>
      <c r="M2261" s="39">
        <f>IFERROR(VLOOKUP("47mg LP - EU Stock",Controls!A:I,7,0),6)</f>
        <v>9</v>
      </c>
      <c r="N2261" s="39">
        <f>IFERROR(VLOOKUP("47mg LP - EU Stock",Controls!A:I,8,0),3)</f>
        <v>8</v>
      </c>
      <c r="O2261" s="39">
        <f>IFERROR(VLOOKUP("47mg LP - EU Stock",Controls!A:I,9,0),18)</f>
        <v>18</v>
      </c>
      <c r="P2261" s="40">
        <f>IFERROR(VLOOKUP("47mg LP - EU Stock",Controls!A:J,5,0),0)</f>
        <v>10000</v>
      </c>
      <c r="Q2261" s="39">
        <f>IFERROR(VLOOKUP("47mg LP - EU Stock",Controls!A:J,6,0),3)</f>
        <v>3</v>
      </c>
      <c r="R2261" s="21" t="str">
        <f>IFERROR(VLOOKUP("47mg LP - EU Stock",Controls!A:K,10,0),"")</f>
        <v>Patheon (L&amp;P EU)</v>
      </c>
      <c r="S2261" s="41">
        <f t="shared" si="267"/>
        <v>49249</v>
      </c>
      <c r="T2261" s="30">
        <f t="shared" si="268"/>
        <v>0</v>
      </c>
      <c r="W2261" s="205" t="str" cm="1">
        <f t="array" ref="W2261">IF(108&lt;Controls!$B$7,TEXT(INDEX(A2153:A2331,MATCH(Controls!$B$5,A2153:A2331,1)+108),"MMM-YY"),"")</f>
        <v/>
      </c>
      <c r="X2261" t="str" cm="1">
        <f t="array" ref="X2261">IF(108&lt;Controls!$B$7,INDEX(F2153:F2331,MATCH(Controls!$B$5,A2153:A2331,1)+108),"")</f>
        <v/>
      </c>
      <c r="Y2261" t="str" cm="1">
        <f t="array" ref="Y2261">IF(108&lt;Controls!$B$7,INDEX(G2153:G2331,MATCH(Controls!$B$5,A2153:A2331,1)+108),"")</f>
        <v/>
      </c>
      <c r="Z2261" t="str" cm="1">
        <f t="array" ref="Z2261">IF(108&lt;Controls!$B$7,INDEX(H2153:H2331,MATCH(Controls!$B$5,A2153:A2331,1)+108),"")</f>
        <v/>
      </c>
      <c r="AA2261" t="str" cm="1">
        <f t="array" ref="AA2261">IF(108&lt;Controls!$B$7,INDEX(M2153:M2331,MATCH(Controls!$B$5,A2153:A2331,1)+108)*INDEX(I2153:I2331,MATCH(Controls!$B$5,A2153:A2331,1)+108),"")</f>
        <v/>
      </c>
      <c r="AB2261">
        <f t="shared" si="269"/>
        <v>0</v>
      </c>
    </row>
    <row r="2262" spans="1:28" x14ac:dyDescent="0.35">
      <c r="A2262" s="153">
        <v>49369</v>
      </c>
      <c r="B2262" s="155" t="s">
        <v>960</v>
      </c>
      <c r="C2262" s="15" t="s">
        <v>28</v>
      </c>
      <c r="D2262" s="15" t="s">
        <v>29</v>
      </c>
      <c r="E2262" s="199">
        <f>H2261</f>
        <v>0</v>
      </c>
      <c r="F2262" s="199">
        <f>IFERROR(SUMIFS('Demand Inputs'!$DK$5:$DK$202,'Demand Inputs'!$A$5:$A$202,"47mg LP - EU Stock",'Demand Inputs'!$B$5:$B$202,"&lt;&gt;AGGREGATE",'Demand Inputs'!$E$5:$E$202,1),0)</f>
        <v>0</v>
      </c>
      <c r="G2262" s="199" cm="1">
        <f t="array" ref="G2262">IFERROR(SUMPRODUCT(('Production Inputs'!$A:$A="47mg LP - EU Stock")*('Production Inputs'!$B:$B="TOTAL ACTIVE")*'Production Inputs'!$DQ:$DQ),0)</f>
        <v>0</v>
      </c>
      <c r="H2262" s="199">
        <f t="shared" si="263"/>
        <v>0</v>
      </c>
      <c r="I2262" s="30">
        <f ca="1">IFERROR(AVERAGEIF(OFFSET(F2262,0,0,MIN(Controls!$B$8,COUNTIF(B2262:B$2331,B2262)),1),"&gt;"&amp;0),0)</f>
        <v>0</v>
      </c>
      <c r="J2262" s="38">
        <f t="shared" ca="1" si="264"/>
        <v>0</v>
      </c>
      <c r="K2262" s="30">
        <f t="shared" ca="1" si="265"/>
        <v>0</v>
      </c>
      <c r="L2262" t="str">
        <f t="shared" si="266"/>
        <v>High</v>
      </c>
      <c r="M2262" s="39">
        <f>IFERROR(VLOOKUP("47mg LP - EU Stock",Controls!A:I,7,0),6)</f>
        <v>9</v>
      </c>
      <c r="N2262" s="39">
        <f>IFERROR(VLOOKUP("47mg LP - EU Stock",Controls!A:I,8,0),3)</f>
        <v>8</v>
      </c>
      <c r="O2262" s="39">
        <f>IFERROR(VLOOKUP("47mg LP - EU Stock",Controls!A:I,9,0),18)</f>
        <v>18</v>
      </c>
      <c r="P2262" s="40">
        <f>IFERROR(VLOOKUP("47mg LP - EU Stock",Controls!A:J,5,0),0)</f>
        <v>10000</v>
      </c>
      <c r="Q2262" s="39">
        <f>IFERROR(VLOOKUP("47mg LP - EU Stock",Controls!A:J,6,0),3)</f>
        <v>3</v>
      </c>
      <c r="R2262" s="21" t="str">
        <f>IFERROR(VLOOKUP("47mg LP - EU Stock",Controls!A:K,10,0),"")</f>
        <v>Patheon (L&amp;P EU)</v>
      </c>
      <c r="S2262" s="41">
        <f t="shared" si="267"/>
        <v>49279</v>
      </c>
      <c r="T2262" s="30">
        <f t="shared" si="268"/>
        <v>0</v>
      </c>
      <c r="W2262" s="205" t="str" cm="1">
        <f t="array" ref="W2262">IF(109&lt;Controls!$B$7,TEXT(INDEX(A2153:A2331,MATCH(Controls!$B$5,A2153:A2331,1)+109),"MMM-YY"),"")</f>
        <v/>
      </c>
      <c r="X2262" t="str" cm="1">
        <f t="array" ref="X2262">IF(109&lt;Controls!$B$7,INDEX(F2153:F2331,MATCH(Controls!$B$5,A2153:A2331,1)+109),"")</f>
        <v/>
      </c>
      <c r="Y2262" t="str" cm="1">
        <f t="array" ref="Y2262">IF(109&lt;Controls!$B$7,INDEX(G2153:G2331,MATCH(Controls!$B$5,A2153:A2331,1)+109),"")</f>
        <v/>
      </c>
      <c r="Z2262" t="str" cm="1">
        <f t="array" ref="Z2262">IF(109&lt;Controls!$B$7,INDEX(H2153:H2331,MATCH(Controls!$B$5,A2153:A2331,1)+109),"")</f>
        <v/>
      </c>
      <c r="AA2262" t="str" cm="1">
        <f t="array" ref="AA2262">IF(109&lt;Controls!$B$7,INDEX(M2153:M2331,MATCH(Controls!$B$5,A2153:A2331,1)+109)*INDEX(I2153:I2331,MATCH(Controls!$B$5,A2153:A2331,1)+109),"")</f>
        <v/>
      </c>
      <c r="AB2262">
        <f t="shared" si="269"/>
        <v>0</v>
      </c>
    </row>
    <row r="2263" spans="1:28" x14ac:dyDescent="0.35">
      <c r="A2263" s="153">
        <v>49400</v>
      </c>
      <c r="B2263" s="155" t="s">
        <v>960</v>
      </c>
      <c r="C2263" s="15" t="s">
        <v>28</v>
      </c>
      <c r="D2263" s="15" t="s">
        <v>29</v>
      </c>
      <c r="E2263" s="199">
        <f>H2262</f>
        <v>0</v>
      </c>
      <c r="F2263" s="199">
        <f>IFERROR(SUMIFS('Demand Inputs'!$DL$5:$DL$202,'Demand Inputs'!$A$5:$A$202,"47mg LP - EU Stock",'Demand Inputs'!$B$5:$B$202,"&lt;&gt;AGGREGATE",'Demand Inputs'!$E$5:$E$202,1),0)</f>
        <v>0</v>
      </c>
      <c r="G2263" s="199" cm="1">
        <f t="array" ref="G2263">IFERROR(SUMPRODUCT(('Production Inputs'!$A:$A="47mg LP - EU Stock")*('Production Inputs'!$B:$B="TOTAL ACTIVE")*'Production Inputs'!$DR:$DR),0)</f>
        <v>0</v>
      </c>
      <c r="H2263" s="199">
        <f t="shared" si="263"/>
        <v>0</v>
      </c>
      <c r="I2263" s="30">
        <f ca="1">IFERROR(AVERAGEIF(OFFSET(F2263,0,0,MIN(Controls!$B$8,COUNTIF(B2263:B$2331,B2263)),1),"&gt;"&amp;0),0)</f>
        <v>0</v>
      </c>
      <c r="J2263" s="38">
        <f t="shared" ca="1" si="264"/>
        <v>0</v>
      </c>
      <c r="K2263" s="30">
        <f t="shared" ca="1" si="265"/>
        <v>0</v>
      </c>
      <c r="L2263" t="str">
        <f t="shared" si="266"/>
        <v>High</v>
      </c>
      <c r="M2263" s="39">
        <f>IFERROR(VLOOKUP("47mg LP - EU Stock",Controls!A:I,7,0),6)</f>
        <v>9</v>
      </c>
      <c r="N2263" s="39">
        <f>IFERROR(VLOOKUP("47mg LP - EU Stock",Controls!A:I,8,0),3)</f>
        <v>8</v>
      </c>
      <c r="O2263" s="39">
        <f>IFERROR(VLOOKUP("47mg LP - EU Stock",Controls!A:I,9,0),18)</f>
        <v>18</v>
      </c>
      <c r="P2263" s="40">
        <f>IFERROR(VLOOKUP("47mg LP - EU Stock",Controls!A:J,5,0),0)</f>
        <v>10000</v>
      </c>
      <c r="Q2263" s="39">
        <f>IFERROR(VLOOKUP("47mg LP - EU Stock",Controls!A:J,6,0),3)</f>
        <v>3</v>
      </c>
      <c r="R2263" s="21" t="str">
        <f>IFERROR(VLOOKUP("47mg LP - EU Stock",Controls!A:K,10,0),"")</f>
        <v>Patheon (L&amp;P EU)</v>
      </c>
      <c r="S2263" s="41">
        <f t="shared" si="267"/>
        <v>49310</v>
      </c>
      <c r="T2263" s="30">
        <f t="shared" si="268"/>
        <v>0</v>
      </c>
      <c r="W2263" s="205" t="str" cm="1">
        <f t="array" ref="W2263">IF(110&lt;Controls!$B$7,TEXT(INDEX(A2153:A2331,MATCH(Controls!$B$5,A2153:A2331,1)+110),"MMM-YY"),"")</f>
        <v/>
      </c>
      <c r="X2263" t="str" cm="1">
        <f t="array" ref="X2263">IF(110&lt;Controls!$B$7,INDEX(F2153:F2331,MATCH(Controls!$B$5,A2153:A2331,1)+110),"")</f>
        <v/>
      </c>
      <c r="Y2263" t="str" cm="1">
        <f t="array" ref="Y2263">IF(110&lt;Controls!$B$7,INDEX(G2153:G2331,MATCH(Controls!$B$5,A2153:A2331,1)+110),"")</f>
        <v/>
      </c>
      <c r="Z2263" t="str" cm="1">
        <f t="array" ref="Z2263">IF(110&lt;Controls!$B$7,INDEX(H2153:H2331,MATCH(Controls!$B$5,A2153:A2331,1)+110),"")</f>
        <v/>
      </c>
      <c r="AA2263" t="str" cm="1">
        <f t="array" ref="AA2263">IF(110&lt;Controls!$B$7,INDEX(M2153:M2331,MATCH(Controls!$B$5,A2153:A2331,1)+110)*INDEX(I2153:I2331,MATCH(Controls!$B$5,A2153:A2331,1)+110),"")</f>
        <v/>
      </c>
      <c r="AB2263">
        <f t="shared" si="269"/>
        <v>0</v>
      </c>
    </row>
    <row r="2264" spans="1:28" x14ac:dyDescent="0.35">
      <c r="A2264" s="153">
        <v>49430</v>
      </c>
      <c r="B2264" s="155" t="s">
        <v>960</v>
      </c>
      <c r="C2264" s="15" t="s">
        <v>28</v>
      </c>
      <c r="D2264" s="15" t="s">
        <v>29</v>
      </c>
      <c r="E2264" s="199">
        <f>H2263</f>
        <v>0</v>
      </c>
      <c r="F2264" s="199">
        <f>IFERROR(SUMIFS('Demand Inputs'!$DM$5:$DM$202,'Demand Inputs'!$A$5:$A$202,"47mg LP - EU Stock",'Demand Inputs'!$B$5:$B$202,"&lt;&gt;AGGREGATE",'Demand Inputs'!$E$5:$E$202,1),0)</f>
        <v>0</v>
      </c>
      <c r="G2264" s="199" cm="1">
        <f t="array" ref="G2264">IFERROR(SUMPRODUCT(('Production Inputs'!$A:$A="47mg LP - EU Stock")*('Production Inputs'!$B:$B="TOTAL ACTIVE")*'Production Inputs'!$DS:$DS),0)</f>
        <v>0</v>
      </c>
      <c r="H2264" s="199">
        <f t="shared" si="263"/>
        <v>0</v>
      </c>
      <c r="I2264" s="30">
        <f ca="1">IFERROR(AVERAGEIF(OFFSET(F2264,0,0,MIN(Controls!$B$8,COUNTIF(B2264:B$2331,B2264)),1),"&gt;"&amp;0),0)</f>
        <v>0</v>
      </c>
      <c r="J2264" s="38">
        <f t="shared" ca="1" si="264"/>
        <v>0</v>
      </c>
      <c r="K2264" s="30">
        <f t="shared" ca="1" si="265"/>
        <v>0</v>
      </c>
      <c r="L2264" t="str">
        <f t="shared" si="266"/>
        <v>High</v>
      </c>
      <c r="M2264" s="39">
        <f>IFERROR(VLOOKUP("47mg LP - EU Stock",Controls!A:I,7,0),6)</f>
        <v>9</v>
      </c>
      <c r="N2264" s="39">
        <f>IFERROR(VLOOKUP("47mg LP - EU Stock",Controls!A:I,8,0),3)</f>
        <v>8</v>
      </c>
      <c r="O2264" s="39">
        <f>IFERROR(VLOOKUP("47mg LP - EU Stock",Controls!A:I,9,0),18)</f>
        <v>18</v>
      </c>
      <c r="P2264" s="40">
        <f>IFERROR(VLOOKUP("47mg LP - EU Stock",Controls!A:J,5,0),0)</f>
        <v>10000</v>
      </c>
      <c r="Q2264" s="39">
        <f>IFERROR(VLOOKUP("47mg LP - EU Stock",Controls!A:J,6,0),3)</f>
        <v>3</v>
      </c>
      <c r="R2264" s="21" t="str">
        <f>IFERROR(VLOOKUP("47mg LP - EU Stock",Controls!A:K,10,0),"")</f>
        <v>Patheon (L&amp;P EU)</v>
      </c>
      <c r="S2264" s="41">
        <f t="shared" si="267"/>
        <v>49341</v>
      </c>
      <c r="T2264" s="30">
        <f t="shared" si="268"/>
        <v>0</v>
      </c>
      <c r="W2264" s="205" t="str" cm="1">
        <f t="array" ref="W2264">IF(111&lt;Controls!$B$7,TEXT(INDEX(A2153:A2331,MATCH(Controls!$B$5,A2153:A2331,1)+111),"MMM-YY"),"")</f>
        <v/>
      </c>
      <c r="X2264" t="str" cm="1">
        <f t="array" ref="X2264">IF(111&lt;Controls!$B$7,INDEX(F2153:F2331,MATCH(Controls!$B$5,A2153:A2331,1)+111),"")</f>
        <v/>
      </c>
      <c r="Y2264" t="str" cm="1">
        <f t="array" ref="Y2264">IF(111&lt;Controls!$B$7,INDEX(G2153:G2331,MATCH(Controls!$B$5,A2153:A2331,1)+111),"")</f>
        <v/>
      </c>
      <c r="Z2264" t="str" cm="1">
        <f t="array" ref="Z2264">IF(111&lt;Controls!$B$7,INDEX(H2153:H2331,MATCH(Controls!$B$5,A2153:A2331,1)+111),"")</f>
        <v/>
      </c>
      <c r="AA2264" t="str" cm="1">
        <f t="array" ref="AA2264">IF(111&lt;Controls!$B$7,INDEX(M2153:M2331,MATCH(Controls!$B$5,A2153:A2331,1)+111)*INDEX(I2153:I2331,MATCH(Controls!$B$5,A2153:A2331,1)+111),"")</f>
        <v/>
      </c>
      <c r="AB2264">
        <f t="shared" si="269"/>
        <v>0</v>
      </c>
    </row>
    <row r="2265" spans="1:28" x14ac:dyDescent="0.35">
      <c r="A2265" s="153">
        <v>49461</v>
      </c>
      <c r="B2265" s="155" t="s">
        <v>960</v>
      </c>
      <c r="C2265" s="15" t="s">
        <v>28</v>
      </c>
      <c r="D2265" s="15" t="s">
        <v>29</v>
      </c>
      <c r="E2265" s="199">
        <f>H2264</f>
        <v>0</v>
      </c>
      <c r="F2265" s="199">
        <f>IFERROR(SUMIFS('Demand Inputs'!$DN$5:$DN$202,'Demand Inputs'!$A$5:$A$202,"47mg LP - EU Stock",'Demand Inputs'!$B$5:$B$202,"&lt;&gt;AGGREGATE",'Demand Inputs'!$E$5:$E$202,1),0)</f>
        <v>0</v>
      </c>
      <c r="G2265" s="199" cm="1">
        <f t="array" ref="G2265">IFERROR(SUMPRODUCT(('Production Inputs'!$A:$A="47mg LP - EU Stock")*('Production Inputs'!$B:$B="TOTAL ACTIVE")*'Production Inputs'!$DT:$DT),0)</f>
        <v>0</v>
      </c>
      <c r="H2265" s="199">
        <f t="shared" si="263"/>
        <v>0</v>
      </c>
      <c r="I2265" s="30">
        <f ca="1">IFERROR(AVERAGEIF(OFFSET(F2265,0,0,MIN(Controls!$B$8,COUNTIF(B2265:B$2331,B2265)),1),"&gt;"&amp;0),0)</f>
        <v>0</v>
      </c>
      <c r="J2265" s="38">
        <f t="shared" ca="1" si="264"/>
        <v>0</v>
      </c>
      <c r="K2265" s="30">
        <f t="shared" ca="1" si="265"/>
        <v>0</v>
      </c>
      <c r="L2265" t="str">
        <f t="shared" si="266"/>
        <v>High</v>
      </c>
      <c r="M2265" s="39">
        <f>IFERROR(VLOOKUP("47mg LP - EU Stock",Controls!A:I,7,0),6)</f>
        <v>9</v>
      </c>
      <c r="N2265" s="39">
        <f>IFERROR(VLOOKUP("47mg LP - EU Stock",Controls!A:I,8,0),3)</f>
        <v>8</v>
      </c>
      <c r="O2265" s="39">
        <f>IFERROR(VLOOKUP("47mg LP - EU Stock",Controls!A:I,9,0),18)</f>
        <v>18</v>
      </c>
      <c r="P2265" s="40">
        <f>IFERROR(VLOOKUP("47mg LP - EU Stock",Controls!A:J,5,0),0)</f>
        <v>10000</v>
      </c>
      <c r="Q2265" s="39">
        <f>IFERROR(VLOOKUP("47mg LP - EU Stock",Controls!A:J,6,0),3)</f>
        <v>3</v>
      </c>
      <c r="R2265" s="21" t="str">
        <f>IFERROR(VLOOKUP("47mg LP - EU Stock",Controls!A:K,10,0),"")</f>
        <v>Patheon (L&amp;P EU)</v>
      </c>
      <c r="S2265" s="41">
        <f t="shared" si="267"/>
        <v>49369</v>
      </c>
      <c r="T2265" s="30">
        <f t="shared" si="268"/>
        <v>0</v>
      </c>
      <c r="W2265" s="205" t="str" cm="1">
        <f t="array" ref="W2265">IF(112&lt;Controls!$B$7,TEXT(INDEX(A2153:A2331,MATCH(Controls!$B$5,A2153:A2331,1)+112),"MMM-YY"),"")</f>
        <v/>
      </c>
      <c r="X2265" t="str" cm="1">
        <f t="array" ref="X2265">IF(112&lt;Controls!$B$7,INDEX(F2153:F2331,MATCH(Controls!$B$5,A2153:A2331,1)+112),"")</f>
        <v/>
      </c>
      <c r="Y2265" t="str" cm="1">
        <f t="array" ref="Y2265">IF(112&lt;Controls!$B$7,INDEX(G2153:G2331,MATCH(Controls!$B$5,A2153:A2331,1)+112),"")</f>
        <v/>
      </c>
      <c r="Z2265" t="str" cm="1">
        <f t="array" ref="Z2265">IF(112&lt;Controls!$B$7,INDEX(H2153:H2331,MATCH(Controls!$B$5,A2153:A2331,1)+112),"")</f>
        <v/>
      </c>
      <c r="AA2265" t="str" cm="1">
        <f t="array" ref="AA2265">IF(112&lt;Controls!$B$7,INDEX(M2153:M2331,MATCH(Controls!$B$5,A2153:A2331,1)+112)*INDEX(I2153:I2331,MATCH(Controls!$B$5,A2153:A2331,1)+112),"")</f>
        <v/>
      </c>
      <c r="AB2265">
        <f t="shared" si="269"/>
        <v>0</v>
      </c>
    </row>
    <row r="2266" spans="1:28" x14ac:dyDescent="0.35">
      <c r="A2266" s="153">
        <v>49491</v>
      </c>
      <c r="B2266" s="155" t="s">
        <v>960</v>
      </c>
      <c r="C2266" s="15" t="s">
        <v>28</v>
      </c>
      <c r="D2266" s="15" t="s">
        <v>29</v>
      </c>
      <c r="E2266" s="199">
        <f>H2265</f>
        <v>0</v>
      </c>
      <c r="F2266" s="199">
        <f>IFERROR(SUMIFS('Demand Inputs'!$DO$5:$DO$202,'Demand Inputs'!$A$5:$A$202,"47mg LP - EU Stock",'Demand Inputs'!$B$5:$B$202,"&lt;&gt;AGGREGATE",'Demand Inputs'!$E$5:$E$202,1),0)</f>
        <v>0</v>
      </c>
      <c r="G2266" s="199" cm="1">
        <f t="array" ref="G2266">IFERROR(SUMPRODUCT(('Production Inputs'!$A:$A="47mg LP - EU Stock")*('Production Inputs'!$B:$B="TOTAL ACTIVE")*'Production Inputs'!$DU:$DU),0)</f>
        <v>0</v>
      </c>
      <c r="H2266" s="199">
        <f t="shared" si="263"/>
        <v>0</v>
      </c>
      <c r="I2266" s="30">
        <f ca="1">IFERROR(AVERAGEIF(OFFSET(F2266,0,0,MIN(Controls!$B$8,COUNTIF(B2266:B$2331,B2266)),1),"&gt;"&amp;0),0)</f>
        <v>0</v>
      </c>
      <c r="J2266" s="38">
        <f t="shared" ca="1" si="264"/>
        <v>0</v>
      </c>
      <c r="K2266" s="30">
        <f t="shared" ca="1" si="265"/>
        <v>0</v>
      </c>
      <c r="L2266" t="str">
        <f t="shared" si="266"/>
        <v>High</v>
      </c>
      <c r="M2266" s="39">
        <f>IFERROR(VLOOKUP("47mg LP - EU Stock",Controls!A:I,7,0),6)</f>
        <v>9</v>
      </c>
      <c r="N2266" s="39">
        <f>IFERROR(VLOOKUP("47mg LP - EU Stock",Controls!A:I,8,0),3)</f>
        <v>8</v>
      </c>
      <c r="O2266" s="39">
        <f>IFERROR(VLOOKUP("47mg LP - EU Stock",Controls!A:I,9,0),18)</f>
        <v>18</v>
      </c>
      <c r="P2266" s="40">
        <f>IFERROR(VLOOKUP("47mg LP - EU Stock",Controls!A:J,5,0),0)</f>
        <v>10000</v>
      </c>
      <c r="Q2266" s="39">
        <f>IFERROR(VLOOKUP("47mg LP - EU Stock",Controls!A:J,6,0),3)</f>
        <v>3</v>
      </c>
      <c r="R2266" s="21" t="str">
        <f>IFERROR(VLOOKUP("47mg LP - EU Stock",Controls!A:K,10,0),"")</f>
        <v>Patheon (L&amp;P EU)</v>
      </c>
      <c r="S2266" s="41">
        <f t="shared" si="267"/>
        <v>49400</v>
      </c>
      <c r="T2266" s="30">
        <f t="shared" si="268"/>
        <v>0</v>
      </c>
      <c r="W2266" s="205" t="str" cm="1">
        <f t="array" ref="W2266">IF(113&lt;Controls!$B$7,TEXT(INDEX(A2153:A2331,MATCH(Controls!$B$5,A2153:A2331,1)+113),"MMM-YY"),"")</f>
        <v/>
      </c>
      <c r="X2266" t="str" cm="1">
        <f t="array" ref="X2266">IF(113&lt;Controls!$B$7,INDEX(F2153:F2331,MATCH(Controls!$B$5,A2153:A2331,1)+113),"")</f>
        <v/>
      </c>
      <c r="Y2266" t="str" cm="1">
        <f t="array" ref="Y2266">IF(113&lt;Controls!$B$7,INDEX(G2153:G2331,MATCH(Controls!$B$5,A2153:A2331,1)+113),"")</f>
        <v/>
      </c>
      <c r="Z2266" t="str" cm="1">
        <f t="array" ref="Z2266">IF(113&lt;Controls!$B$7,INDEX(H2153:H2331,MATCH(Controls!$B$5,A2153:A2331,1)+113),"")</f>
        <v/>
      </c>
      <c r="AA2266" t="str" cm="1">
        <f t="array" ref="AA2266">IF(113&lt;Controls!$B$7,INDEX(M2153:M2331,MATCH(Controls!$B$5,A2153:A2331,1)+113)*INDEX(I2153:I2331,MATCH(Controls!$B$5,A2153:A2331,1)+113),"")</f>
        <v/>
      </c>
      <c r="AB2266">
        <f t="shared" si="269"/>
        <v>0</v>
      </c>
    </row>
    <row r="2267" spans="1:28" x14ac:dyDescent="0.35">
      <c r="A2267" s="153">
        <v>49522</v>
      </c>
      <c r="B2267" s="155" t="s">
        <v>960</v>
      </c>
      <c r="C2267" s="15" t="s">
        <v>28</v>
      </c>
      <c r="D2267" s="15" t="s">
        <v>29</v>
      </c>
      <c r="E2267" s="199">
        <f>H2266</f>
        <v>0</v>
      </c>
      <c r="F2267" s="199">
        <f>IFERROR(SUMIFS('Demand Inputs'!$DP$5:$DP$202,'Demand Inputs'!$A$5:$A$202,"47mg LP - EU Stock",'Demand Inputs'!$B$5:$B$202,"&lt;&gt;AGGREGATE",'Demand Inputs'!$E$5:$E$202,1),0)</f>
        <v>0</v>
      </c>
      <c r="G2267" s="199" cm="1">
        <f t="array" ref="G2267">IFERROR(SUMPRODUCT(('Production Inputs'!$A:$A="47mg LP - EU Stock")*('Production Inputs'!$B:$B="TOTAL ACTIVE")*'Production Inputs'!$DV:$DV),0)</f>
        <v>0</v>
      </c>
      <c r="H2267" s="199">
        <f t="shared" si="263"/>
        <v>0</v>
      </c>
      <c r="I2267" s="30">
        <f ca="1">IFERROR(AVERAGEIF(OFFSET(F2267,0,0,MIN(Controls!$B$8,COUNTIF(B2267:B$2331,B2267)),1),"&gt;"&amp;0),0)</f>
        <v>0</v>
      </c>
      <c r="J2267" s="38">
        <f t="shared" ca="1" si="264"/>
        <v>0</v>
      </c>
      <c r="K2267" s="30">
        <f t="shared" ca="1" si="265"/>
        <v>0</v>
      </c>
      <c r="L2267" t="str">
        <f t="shared" si="266"/>
        <v>High</v>
      </c>
      <c r="M2267" s="39">
        <f>IFERROR(VLOOKUP("47mg LP - EU Stock",Controls!A:I,7,0),6)</f>
        <v>9</v>
      </c>
      <c r="N2267" s="39">
        <f>IFERROR(VLOOKUP("47mg LP - EU Stock",Controls!A:I,8,0),3)</f>
        <v>8</v>
      </c>
      <c r="O2267" s="39">
        <f>IFERROR(VLOOKUP("47mg LP - EU Stock",Controls!A:I,9,0),18)</f>
        <v>18</v>
      </c>
      <c r="P2267" s="40">
        <f>IFERROR(VLOOKUP("47mg LP - EU Stock",Controls!A:J,5,0),0)</f>
        <v>10000</v>
      </c>
      <c r="Q2267" s="39">
        <f>IFERROR(VLOOKUP("47mg LP - EU Stock",Controls!A:J,6,0),3)</f>
        <v>3</v>
      </c>
      <c r="R2267" s="21" t="str">
        <f>IFERROR(VLOOKUP("47mg LP - EU Stock",Controls!A:K,10,0),"")</f>
        <v>Patheon (L&amp;P EU)</v>
      </c>
      <c r="S2267" s="41">
        <f t="shared" si="267"/>
        <v>49430</v>
      </c>
      <c r="T2267" s="30">
        <f t="shared" si="268"/>
        <v>0</v>
      </c>
      <c r="W2267" s="205" t="str" cm="1">
        <f t="array" ref="W2267">IF(114&lt;Controls!$B$7,TEXT(INDEX(A2153:A2331,MATCH(Controls!$B$5,A2153:A2331,1)+114),"MMM-YY"),"")</f>
        <v/>
      </c>
      <c r="X2267" t="str" cm="1">
        <f t="array" ref="X2267">IF(114&lt;Controls!$B$7,INDEX(F2153:F2331,MATCH(Controls!$B$5,A2153:A2331,1)+114),"")</f>
        <v/>
      </c>
      <c r="Y2267" t="str" cm="1">
        <f t="array" ref="Y2267">IF(114&lt;Controls!$B$7,INDEX(G2153:G2331,MATCH(Controls!$B$5,A2153:A2331,1)+114),"")</f>
        <v/>
      </c>
      <c r="Z2267" t="str" cm="1">
        <f t="array" ref="Z2267">IF(114&lt;Controls!$B$7,INDEX(H2153:H2331,MATCH(Controls!$B$5,A2153:A2331,1)+114),"")</f>
        <v/>
      </c>
      <c r="AA2267" t="str" cm="1">
        <f t="array" ref="AA2267">IF(114&lt;Controls!$B$7,INDEX(M2153:M2331,MATCH(Controls!$B$5,A2153:A2331,1)+114)*INDEX(I2153:I2331,MATCH(Controls!$B$5,A2153:A2331,1)+114),"")</f>
        <v/>
      </c>
      <c r="AB2267">
        <f t="shared" si="269"/>
        <v>0</v>
      </c>
    </row>
    <row r="2268" spans="1:28" x14ac:dyDescent="0.35">
      <c r="A2268" s="153">
        <v>49553</v>
      </c>
      <c r="B2268" s="155" t="s">
        <v>960</v>
      </c>
      <c r="C2268" s="15" t="s">
        <v>28</v>
      </c>
      <c r="D2268" s="15" t="s">
        <v>29</v>
      </c>
      <c r="E2268" s="199">
        <f>H2267</f>
        <v>0</v>
      </c>
      <c r="F2268" s="199">
        <f>IFERROR(SUMIFS('Demand Inputs'!$DQ$5:$DQ$202,'Demand Inputs'!$A$5:$A$202,"47mg LP - EU Stock",'Demand Inputs'!$B$5:$B$202,"&lt;&gt;AGGREGATE",'Demand Inputs'!$E$5:$E$202,1),0)</f>
        <v>0</v>
      </c>
      <c r="G2268" s="199" cm="1">
        <f t="array" ref="G2268">IFERROR(SUMPRODUCT(('Production Inputs'!$A:$A="47mg LP - EU Stock")*('Production Inputs'!$B:$B="TOTAL ACTIVE")*'Production Inputs'!$DW:$DW),0)</f>
        <v>0</v>
      </c>
      <c r="H2268" s="199">
        <f t="shared" si="263"/>
        <v>0</v>
      </c>
      <c r="I2268" s="30">
        <f ca="1">IFERROR(AVERAGEIF(OFFSET(F2268,0,0,MIN(Controls!$B$8,COUNTIF(B2268:B$2331,B2268)),1),"&gt;"&amp;0),0)</f>
        <v>0</v>
      </c>
      <c r="J2268" s="38">
        <f t="shared" ca="1" si="264"/>
        <v>0</v>
      </c>
      <c r="K2268" s="30">
        <f t="shared" ca="1" si="265"/>
        <v>0</v>
      </c>
      <c r="L2268" t="str">
        <f t="shared" si="266"/>
        <v>High</v>
      </c>
      <c r="M2268" s="39">
        <f>IFERROR(VLOOKUP("47mg LP - EU Stock",Controls!A:I,7,0),6)</f>
        <v>9</v>
      </c>
      <c r="N2268" s="39">
        <f>IFERROR(VLOOKUP("47mg LP - EU Stock",Controls!A:I,8,0),3)</f>
        <v>8</v>
      </c>
      <c r="O2268" s="39">
        <f>IFERROR(VLOOKUP("47mg LP - EU Stock",Controls!A:I,9,0),18)</f>
        <v>18</v>
      </c>
      <c r="P2268" s="40">
        <f>IFERROR(VLOOKUP("47mg LP - EU Stock",Controls!A:J,5,0),0)</f>
        <v>10000</v>
      </c>
      <c r="Q2268" s="39">
        <f>IFERROR(VLOOKUP("47mg LP - EU Stock",Controls!A:J,6,0),3)</f>
        <v>3</v>
      </c>
      <c r="R2268" s="21" t="str">
        <f>IFERROR(VLOOKUP("47mg LP - EU Stock",Controls!A:K,10,0),"")</f>
        <v>Patheon (L&amp;P EU)</v>
      </c>
      <c r="S2268" s="41">
        <f t="shared" si="267"/>
        <v>49461</v>
      </c>
      <c r="T2268" s="30">
        <f t="shared" si="268"/>
        <v>0</v>
      </c>
      <c r="W2268" s="205" t="str" cm="1">
        <f t="array" ref="W2268">IF(115&lt;Controls!$B$7,TEXT(INDEX(A2153:A2331,MATCH(Controls!$B$5,A2153:A2331,1)+115),"MMM-YY"),"")</f>
        <v/>
      </c>
      <c r="X2268" t="str" cm="1">
        <f t="array" ref="X2268">IF(115&lt;Controls!$B$7,INDEX(F2153:F2331,MATCH(Controls!$B$5,A2153:A2331,1)+115),"")</f>
        <v/>
      </c>
      <c r="Y2268" t="str" cm="1">
        <f t="array" ref="Y2268">IF(115&lt;Controls!$B$7,INDEX(G2153:G2331,MATCH(Controls!$B$5,A2153:A2331,1)+115),"")</f>
        <v/>
      </c>
      <c r="Z2268" t="str" cm="1">
        <f t="array" ref="Z2268">IF(115&lt;Controls!$B$7,INDEX(H2153:H2331,MATCH(Controls!$B$5,A2153:A2331,1)+115),"")</f>
        <v/>
      </c>
      <c r="AA2268" t="str" cm="1">
        <f t="array" ref="AA2268">IF(115&lt;Controls!$B$7,INDEX(M2153:M2331,MATCH(Controls!$B$5,A2153:A2331,1)+115)*INDEX(I2153:I2331,MATCH(Controls!$B$5,A2153:A2331,1)+115),"")</f>
        <v/>
      </c>
      <c r="AB2268">
        <f t="shared" si="269"/>
        <v>0</v>
      </c>
    </row>
    <row r="2269" spans="1:28" x14ac:dyDescent="0.35">
      <c r="A2269" s="153">
        <v>49583</v>
      </c>
      <c r="B2269" s="155" t="s">
        <v>960</v>
      </c>
      <c r="C2269" s="15" t="s">
        <v>28</v>
      </c>
      <c r="D2269" s="15" t="s">
        <v>29</v>
      </c>
      <c r="E2269" s="199">
        <f>H2268</f>
        <v>0</v>
      </c>
      <c r="F2269" s="199">
        <f>IFERROR(SUMIFS('Demand Inputs'!$DR$5:$DR$202,'Demand Inputs'!$A$5:$A$202,"47mg LP - EU Stock",'Demand Inputs'!$B$5:$B$202,"&lt;&gt;AGGREGATE",'Demand Inputs'!$E$5:$E$202,1),0)</f>
        <v>0</v>
      </c>
      <c r="G2269" s="199" cm="1">
        <f t="array" ref="G2269">IFERROR(SUMPRODUCT(('Production Inputs'!$A:$A="47mg LP - EU Stock")*('Production Inputs'!$B:$B="TOTAL ACTIVE")*'Production Inputs'!$DX:$DX),0)</f>
        <v>0</v>
      </c>
      <c r="H2269" s="199">
        <f t="shared" si="263"/>
        <v>0</v>
      </c>
      <c r="I2269" s="30">
        <f ca="1">IFERROR(AVERAGEIF(OFFSET(F2269,0,0,MIN(Controls!$B$8,COUNTIF(B2269:B$2331,B2269)),1),"&gt;"&amp;0),0)</f>
        <v>0</v>
      </c>
      <c r="J2269" s="38">
        <f t="shared" ca="1" si="264"/>
        <v>0</v>
      </c>
      <c r="K2269" s="30">
        <f t="shared" ca="1" si="265"/>
        <v>0</v>
      </c>
      <c r="L2269" t="str">
        <f t="shared" si="266"/>
        <v>High</v>
      </c>
      <c r="M2269" s="39">
        <f>IFERROR(VLOOKUP("47mg LP - EU Stock",Controls!A:I,7,0),6)</f>
        <v>9</v>
      </c>
      <c r="N2269" s="39">
        <f>IFERROR(VLOOKUP("47mg LP - EU Stock",Controls!A:I,8,0),3)</f>
        <v>8</v>
      </c>
      <c r="O2269" s="39">
        <f>IFERROR(VLOOKUP("47mg LP - EU Stock",Controls!A:I,9,0),18)</f>
        <v>18</v>
      </c>
      <c r="P2269" s="40">
        <f>IFERROR(VLOOKUP("47mg LP - EU Stock",Controls!A:J,5,0),0)</f>
        <v>10000</v>
      </c>
      <c r="Q2269" s="39">
        <f>IFERROR(VLOOKUP("47mg LP - EU Stock",Controls!A:J,6,0),3)</f>
        <v>3</v>
      </c>
      <c r="R2269" s="21" t="str">
        <f>IFERROR(VLOOKUP("47mg LP - EU Stock",Controls!A:K,10,0),"")</f>
        <v>Patheon (L&amp;P EU)</v>
      </c>
      <c r="S2269" s="41">
        <f t="shared" si="267"/>
        <v>49491</v>
      </c>
      <c r="T2269" s="30">
        <f t="shared" si="268"/>
        <v>0</v>
      </c>
      <c r="W2269" s="205" t="str" cm="1">
        <f t="array" ref="W2269">IF(116&lt;Controls!$B$7,TEXT(INDEX(A2153:A2331,MATCH(Controls!$B$5,A2153:A2331,1)+116),"MMM-YY"),"")</f>
        <v/>
      </c>
      <c r="X2269" t="str" cm="1">
        <f t="array" ref="X2269">IF(116&lt;Controls!$B$7,INDEX(F2153:F2331,MATCH(Controls!$B$5,A2153:A2331,1)+116),"")</f>
        <v/>
      </c>
      <c r="Y2269" t="str" cm="1">
        <f t="array" ref="Y2269">IF(116&lt;Controls!$B$7,INDEX(G2153:G2331,MATCH(Controls!$B$5,A2153:A2331,1)+116),"")</f>
        <v/>
      </c>
      <c r="Z2269" t="str" cm="1">
        <f t="array" ref="Z2269">IF(116&lt;Controls!$B$7,INDEX(H2153:H2331,MATCH(Controls!$B$5,A2153:A2331,1)+116),"")</f>
        <v/>
      </c>
      <c r="AA2269" t="str" cm="1">
        <f t="array" ref="AA2269">IF(116&lt;Controls!$B$7,INDEX(M2153:M2331,MATCH(Controls!$B$5,A2153:A2331,1)+116)*INDEX(I2153:I2331,MATCH(Controls!$B$5,A2153:A2331,1)+116),"")</f>
        <v/>
      </c>
      <c r="AB2269">
        <f t="shared" si="269"/>
        <v>0</v>
      </c>
    </row>
    <row r="2270" spans="1:28" x14ac:dyDescent="0.35">
      <c r="A2270" s="153">
        <v>49614</v>
      </c>
      <c r="B2270" s="155" t="s">
        <v>960</v>
      </c>
      <c r="C2270" s="15" t="s">
        <v>28</v>
      </c>
      <c r="D2270" s="15" t="s">
        <v>29</v>
      </c>
      <c r="E2270" s="199">
        <f>H2269</f>
        <v>0</v>
      </c>
      <c r="F2270" s="199">
        <f>IFERROR(SUMIFS('Demand Inputs'!$DS$5:$DS$202,'Demand Inputs'!$A$5:$A$202,"47mg LP - EU Stock",'Demand Inputs'!$B$5:$B$202,"&lt;&gt;AGGREGATE",'Demand Inputs'!$E$5:$E$202,1),0)</f>
        <v>0</v>
      </c>
      <c r="G2270" s="199" cm="1">
        <f t="array" ref="G2270">IFERROR(SUMPRODUCT(('Production Inputs'!$A:$A="47mg LP - EU Stock")*('Production Inputs'!$B:$B="TOTAL ACTIVE")*'Production Inputs'!$DY:$DY),0)</f>
        <v>0</v>
      </c>
      <c r="H2270" s="199">
        <f t="shared" si="263"/>
        <v>0</v>
      </c>
      <c r="I2270" s="30">
        <f ca="1">IFERROR(AVERAGEIF(OFFSET(F2270,0,0,MIN(Controls!$B$8,COUNTIF(B2270:B$2331,B2270)),1),"&gt;"&amp;0),0)</f>
        <v>0</v>
      </c>
      <c r="J2270" s="38">
        <f t="shared" ca="1" si="264"/>
        <v>0</v>
      </c>
      <c r="K2270" s="30">
        <f t="shared" ca="1" si="265"/>
        <v>0</v>
      </c>
      <c r="L2270" t="str">
        <f t="shared" si="266"/>
        <v>High</v>
      </c>
      <c r="M2270" s="39">
        <f>IFERROR(VLOOKUP("47mg LP - EU Stock",Controls!A:I,7,0),6)</f>
        <v>9</v>
      </c>
      <c r="N2270" s="39">
        <f>IFERROR(VLOOKUP("47mg LP - EU Stock",Controls!A:I,8,0),3)</f>
        <v>8</v>
      </c>
      <c r="O2270" s="39">
        <f>IFERROR(VLOOKUP("47mg LP - EU Stock",Controls!A:I,9,0),18)</f>
        <v>18</v>
      </c>
      <c r="P2270" s="40">
        <f>IFERROR(VLOOKUP("47mg LP - EU Stock",Controls!A:J,5,0),0)</f>
        <v>10000</v>
      </c>
      <c r="Q2270" s="39">
        <f>IFERROR(VLOOKUP("47mg LP - EU Stock",Controls!A:J,6,0),3)</f>
        <v>3</v>
      </c>
      <c r="R2270" s="21" t="str">
        <f>IFERROR(VLOOKUP("47mg LP - EU Stock",Controls!A:K,10,0),"")</f>
        <v>Patheon (L&amp;P EU)</v>
      </c>
      <c r="S2270" s="41">
        <f t="shared" si="267"/>
        <v>49522</v>
      </c>
      <c r="T2270" s="30">
        <f t="shared" si="268"/>
        <v>0</v>
      </c>
      <c r="W2270" s="205" t="str" cm="1">
        <f t="array" ref="W2270">IF(117&lt;Controls!$B$7,TEXT(INDEX(A2153:A2331,MATCH(Controls!$B$5,A2153:A2331,1)+117),"MMM-YY"),"")</f>
        <v/>
      </c>
      <c r="X2270" t="str" cm="1">
        <f t="array" ref="X2270">IF(117&lt;Controls!$B$7,INDEX(F2153:F2331,MATCH(Controls!$B$5,A2153:A2331,1)+117),"")</f>
        <v/>
      </c>
      <c r="Y2270" t="str" cm="1">
        <f t="array" ref="Y2270">IF(117&lt;Controls!$B$7,INDEX(G2153:G2331,MATCH(Controls!$B$5,A2153:A2331,1)+117),"")</f>
        <v/>
      </c>
      <c r="Z2270" t="str" cm="1">
        <f t="array" ref="Z2270">IF(117&lt;Controls!$B$7,INDEX(H2153:H2331,MATCH(Controls!$B$5,A2153:A2331,1)+117),"")</f>
        <v/>
      </c>
      <c r="AA2270" t="str" cm="1">
        <f t="array" ref="AA2270">IF(117&lt;Controls!$B$7,INDEX(M2153:M2331,MATCH(Controls!$B$5,A2153:A2331,1)+117)*INDEX(I2153:I2331,MATCH(Controls!$B$5,A2153:A2331,1)+117),"")</f>
        <v/>
      </c>
      <c r="AB2270">
        <f t="shared" si="269"/>
        <v>0</v>
      </c>
    </row>
    <row r="2271" spans="1:28" x14ac:dyDescent="0.35">
      <c r="A2271" s="153">
        <v>49644</v>
      </c>
      <c r="B2271" s="155" t="s">
        <v>960</v>
      </c>
      <c r="C2271" s="15" t="s">
        <v>28</v>
      </c>
      <c r="D2271" s="15" t="s">
        <v>29</v>
      </c>
      <c r="E2271" s="199">
        <f>H2270</f>
        <v>0</v>
      </c>
      <c r="F2271" s="199">
        <f>IFERROR(SUMIFS('Demand Inputs'!$DT$5:$DT$202,'Demand Inputs'!$A$5:$A$202,"47mg LP - EU Stock",'Demand Inputs'!$B$5:$B$202,"&lt;&gt;AGGREGATE",'Demand Inputs'!$E$5:$E$202,1),0)</f>
        <v>0</v>
      </c>
      <c r="G2271" s="199" cm="1">
        <f t="array" ref="G2271">IFERROR(SUMPRODUCT(('Production Inputs'!$A:$A="47mg LP - EU Stock")*('Production Inputs'!$B:$B="TOTAL ACTIVE")*'Production Inputs'!$DZ:$DZ),0)</f>
        <v>0</v>
      </c>
      <c r="H2271" s="199">
        <f t="shared" si="263"/>
        <v>0</v>
      </c>
      <c r="I2271" s="30">
        <f ca="1">IFERROR(AVERAGEIF(OFFSET(F2271,0,0,MIN(Controls!$B$8,COUNTIF(B2271:B$2331,B2271)),1),"&gt;"&amp;0),0)</f>
        <v>0</v>
      </c>
      <c r="J2271" s="38">
        <f t="shared" ca="1" si="264"/>
        <v>0</v>
      </c>
      <c r="K2271" s="30">
        <f t="shared" ca="1" si="265"/>
        <v>0</v>
      </c>
      <c r="L2271" t="str">
        <f t="shared" si="266"/>
        <v>High</v>
      </c>
      <c r="M2271" s="39">
        <f>IFERROR(VLOOKUP("47mg LP - EU Stock",Controls!A:I,7,0),6)</f>
        <v>9</v>
      </c>
      <c r="N2271" s="39">
        <f>IFERROR(VLOOKUP("47mg LP - EU Stock",Controls!A:I,8,0),3)</f>
        <v>8</v>
      </c>
      <c r="O2271" s="39">
        <f>IFERROR(VLOOKUP("47mg LP - EU Stock",Controls!A:I,9,0),18)</f>
        <v>18</v>
      </c>
      <c r="P2271" s="40">
        <f>IFERROR(VLOOKUP("47mg LP - EU Stock",Controls!A:J,5,0),0)</f>
        <v>10000</v>
      </c>
      <c r="Q2271" s="39">
        <f>IFERROR(VLOOKUP("47mg LP - EU Stock",Controls!A:J,6,0),3)</f>
        <v>3</v>
      </c>
      <c r="R2271" s="21" t="str">
        <f>IFERROR(VLOOKUP("47mg LP - EU Stock",Controls!A:K,10,0),"")</f>
        <v>Patheon (L&amp;P EU)</v>
      </c>
      <c r="S2271" s="41">
        <f t="shared" si="267"/>
        <v>49553</v>
      </c>
      <c r="T2271" s="30">
        <f t="shared" si="268"/>
        <v>0</v>
      </c>
      <c r="W2271" s="205" t="str" cm="1">
        <f t="array" ref="W2271">IF(118&lt;Controls!$B$7,TEXT(INDEX(A2153:A2331,MATCH(Controls!$B$5,A2153:A2331,1)+118),"MMM-YY"),"")</f>
        <v/>
      </c>
      <c r="X2271" t="str" cm="1">
        <f t="array" ref="X2271">IF(118&lt;Controls!$B$7,INDEX(F2153:F2331,MATCH(Controls!$B$5,A2153:A2331,1)+118),"")</f>
        <v/>
      </c>
      <c r="Y2271" t="str" cm="1">
        <f t="array" ref="Y2271">IF(118&lt;Controls!$B$7,INDEX(G2153:G2331,MATCH(Controls!$B$5,A2153:A2331,1)+118),"")</f>
        <v/>
      </c>
      <c r="Z2271" t="str" cm="1">
        <f t="array" ref="Z2271">IF(118&lt;Controls!$B$7,INDEX(H2153:H2331,MATCH(Controls!$B$5,A2153:A2331,1)+118),"")</f>
        <v/>
      </c>
      <c r="AA2271" t="str" cm="1">
        <f t="array" ref="AA2271">IF(118&lt;Controls!$B$7,INDEX(M2153:M2331,MATCH(Controls!$B$5,A2153:A2331,1)+118)*INDEX(I2153:I2331,MATCH(Controls!$B$5,A2153:A2331,1)+118),"")</f>
        <v/>
      </c>
      <c r="AB2271">
        <f t="shared" si="269"/>
        <v>0</v>
      </c>
    </row>
    <row r="2272" spans="1:28" x14ac:dyDescent="0.35">
      <c r="A2272" s="153">
        <v>49675</v>
      </c>
      <c r="B2272" s="155" t="s">
        <v>960</v>
      </c>
      <c r="C2272" s="15" t="s">
        <v>28</v>
      </c>
      <c r="D2272" s="15" t="s">
        <v>29</v>
      </c>
      <c r="E2272" s="199">
        <f>H2271</f>
        <v>0</v>
      </c>
      <c r="F2272" s="199">
        <f>IFERROR(SUMIFS('Demand Inputs'!$DU$5:$DU$202,'Demand Inputs'!$A$5:$A$202,"47mg LP - EU Stock",'Demand Inputs'!$B$5:$B$202,"&lt;&gt;AGGREGATE",'Demand Inputs'!$E$5:$E$202,1),0)</f>
        <v>0</v>
      </c>
      <c r="G2272" s="199" cm="1">
        <f t="array" ref="G2272">IFERROR(SUMPRODUCT(('Production Inputs'!$A:$A="47mg LP - EU Stock")*('Production Inputs'!$B:$B="TOTAL ACTIVE")*'Production Inputs'!$EA:$EA),0)</f>
        <v>0</v>
      </c>
      <c r="H2272" s="199">
        <f t="shared" si="263"/>
        <v>0</v>
      </c>
      <c r="I2272" s="30">
        <f ca="1">IFERROR(AVERAGEIF(OFFSET(F2272,0,0,MIN(Controls!$B$8,COUNTIF(B2272:B$2331,B2272)),1),"&gt;"&amp;0),0)</f>
        <v>0</v>
      </c>
      <c r="J2272" s="38">
        <f t="shared" ca="1" si="264"/>
        <v>0</v>
      </c>
      <c r="K2272" s="30">
        <f t="shared" ca="1" si="265"/>
        <v>0</v>
      </c>
      <c r="L2272" t="str">
        <f t="shared" si="266"/>
        <v>High</v>
      </c>
      <c r="M2272" s="39">
        <f>IFERROR(VLOOKUP("47mg LP - EU Stock",Controls!A:I,7,0),6)</f>
        <v>9</v>
      </c>
      <c r="N2272" s="39">
        <f>IFERROR(VLOOKUP("47mg LP - EU Stock",Controls!A:I,8,0),3)</f>
        <v>8</v>
      </c>
      <c r="O2272" s="39">
        <f>IFERROR(VLOOKUP("47mg LP - EU Stock",Controls!A:I,9,0),18)</f>
        <v>18</v>
      </c>
      <c r="P2272" s="40">
        <f>IFERROR(VLOOKUP("47mg LP - EU Stock",Controls!A:J,5,0),0)</f>
        <v>10000</v>
      </c>
      <c r="Q2272" s="39">
        <f>IFERROR(VLOOKUP("47mg LP - EU Stock",Controls!A:J,6,0),3)</f>
        <v>3</v>
      </c>
      <c r="R2272" s="21" t="str">
        <f>IFERROR(VLOOKUP("47mg LP - EU Stock",Controls!A:K,10,0),"")</f>
        <v>Patheon (L&amp;P EU)</v>
      </c>
      <c r="S2272" s="41">
        <f t="shared" si="267"/>
        <v>49583</v>
      </c>
      <c r="T2272" s="30">
        <f t="shared" si="268"/>
        <v>0</v>
      </c>
      <c r="W2272" s="205" t="str" cm="1">
        <f t="array" ref="W2272">IF(119&lt;Controls!$B$7,TEXT(INDEX(A2153:A2331,MATCH(Controls!$B$5,A2153:A2331,1)+119),"MMM-YY"),"")</f>
        <v/>
      </c>
      <c r="X2272" t="str" cm="1">
        <f t="array" ref="X2272">IF(119&lt;Controls!$B$7,INDEX(F2153:F2331,MATCH(Controls!$B$5,A2153:A2331,1)+119),"")</f>
        <v/>
      </c>
      <c r="Y2272" t="str" cm="1">
        <f t="array" ref="Y2272">IF(119&lt;Controls!$B$7,INDEX(G2153:G2331,MATCH(Controls!$B$5,A2153:A2331,1)+119),"")</f>
        <v/>
      </c>
      <c r="Z2272" t="str" cm="1">
        <f t="array" ref="Z2272">IF(119&lt;Controls!$B$7,INDEX(H2153:H2331,MATCH(Controls!$B$5,A2153:A2331,1)+119),"")</f>
        <v/>
      </c>
      <c r="AA2272" t="str" cm="1">
        <f t="array" ref="AA2272">IF(119&lt;Controls!$B$7,INDEX(M2153:M2331,MATCH(Controls!$B$5,A2153:A2331,1)+119)*INDEX(I2153:I2331,MATCH(Controls!$B$5,A2153:A2331,1)+119),"")</f>
        <v/>
      </c>
      <c r="AB2272">
        <f t="shared" si="269"/>
        <v>0</v>
      </c>
    </row>
    <row r="2273" spans="1:28" x14ac:dyDescent="0.35">
      <c r="A2273" s="153">
        <v>49706</v>
      </c>
      <c r="B2273" s="155" t="s">
        <v>960</v>
      </c>
      <c r="C2273" s="15" t="s">
        <v>28</v>
      </c>
      <c r="D2273" s="15" t="s">
        <v>29</v>
      </c>
      <c r="E2273" s="199">
        <f>H2272</f>
        <v>0</v>
      </c>
      <c r="F2273" s="199">
        <f>IFERROR(SUMIFS('Demand Inputs'!$DV$5:$DV$202,'Demand Inputs'!$A$5:$A$202,"47mg LP - EU Stock",'Demand Inputs'!$B$5:$B$202,"&lt;&gt;AGGREGATE",'Demand Inputs'!$E$5:$E$202,1),0)</f>
        <v>0</v>
      </c>
      <c r="G2273" s="199" cm="1">
        <f t="array" ref="G2273">IFERROR(SUMPRODUCT(('Production Inputs'!$A:$A="47mg LP - EU Stock")*('Production Inputs'!$B:$B="TOTAL ACTIVE")*'Production Inputs'!$EB:$EB),0)</f>
        <v>0</v>
      </c>
      <c r="H2273" s="199">
        <f t="shared" si="263"/>
        <v>0</v>
      </c>
      <c r="I2273" s="30">
        <f ca="1">IFERROR(AVERAGEIF(OFFSET(F2273,0,0,MIN(Controls!$B$8,COUNTIF(B2273:B$2331,B2273)),1),"&gt;"&amp;0),0)</f>
        <v>0</v>
      </c>
      <c r="J2273" s="38">
        <f t="shared" ca="1" si="264"/>
        <v>0</v>
      </c>
      <c r="K2273" s="30">
        <f t="shared" ca="1" si="265"/>
        <v>0</v>
      </c>
      <c r="L2273" t="str">
        <f t="shared" si="266"/>
        <v>High</v>
      </c>
      <c r="M2273" s="39">
        <f>IFERROR(VLOOKUP("47mg LP - EU Stock",Controls!A:I,7,0),6)</f>
        <v>9</v>
      </c>
      <c r="N2273" s="39">
        <f>IFERROR(VLOOKUP("47mg LP - EU Stock",Controls!A:I,8,0),3)</f>
        <v>8</v>
      </c>
      <c r="O2273" s="39">
        <f>IFERROR(VLOOKUP("47mg LP - EU Stock",Controls!A:I,9,0),18)</f>
        <v>18</v>
      </c>
      <c r="P2273" s="40">
        <f>IFERROR(VLOOKUP("47mg LP - EU Stock",Controls!A:J,5,0),0)</f>
        <v>10000</v>
      </c>
      <c r="Q2273" s="39">
        <f>IFERROR(VLOOKUP("47mg LP - EU Stock",Controls!A:J,6,0),3)</f>
        <v>3</v>
      </c>
      <c r="R2273" s="21" t="str">
        <f>IFERROR(VLOOKUP("47mg LP - EU Stock",Controls!A:K,10,0),"")</f>
        <v>Patheon (L&amp;P EU)</v>
      </c>
      <c r="S2273" s="41">
        <f t="shared" si="267"/>
        <v>49614</v>
      </c>
      <c r="T2273" s="30">
        <f t="shared" si="268"/>
        <v>0</v>
      </c>
      <c r="W2273" s="205" t="str" cm="1">
        <f t="array" ref="W2273">IF(120&lt;Controls!$B$7,TEXT(INDEX(A2153:A2331,MATCH(Controls!$B$5,A2153:A2331,1)+120),"MMM-YY"),"")</f>
        <v/>
      </c>
      <c r="X2273" t="str" cm="1">
        <f t="array" ref="X2273">IF(120&lt;Controls!$B$7,INDEX(F2153:F2331,MATCH(Controls!$B$5,A2153:A2331,1)+120),"")</f>
        <v/>
      </c>
      <c r="Y2273" t="str" cm="1">
        <f t="array" ref="Y2273">IF(120&lt;Controls!$B$7,INDEX(G2153:G2331,MATCH(Controls!$B$5,A2153:A2331,1)+120),"")</f>
        <v/>
      </c>
      <c r="Z2273" t="str" cm="1">
        <f t="array" ref="Z2273">IF(120&lt;Controls!$B$7,INDEX(H2153:H2331,MATCH(Controls!$B$5,A2153:A2331,1)+120),"")</f>
        <v/>
      </c>
      <c r="AA2273" t="str" cm="1">
        <f t="array" ref="AA2273">IF(120&lt;Controls!$B$7,INDEX(M2153:M2331,MATCH(Controls!$B$5,A2153:A2331,1)+120)*INDEX(I2153:I2331,MATCH(Controls!$B$5,A2153:A2331,1)+120),"")</f>
        <v/>
      </c>
      <c r="AB2273">
        <f t="shared" si="269"/>
        <v>0</v>
      </c>
    </row>
    <row r="2274" spans="1:28" x14ac:dyDescent="0.35">
      <c r="A2274" s="153">
        <v>49735</v>
      </c>
      <c r="B2274" s="155" t="s">
        <v>960</v>
      </c>
      <c r="C2274" s="15" t="s">
        <v>28</v>
      </c>
      <c r="D2274" s="15" t="s">
        <v>29</v>
      </c>
      <c r="E2274" s="199">
        <f>H2273</f>
        <v>0</v>
      </c>
      <c r="F2274" s="199">
        <f>IFERROR(SUMIFS('Demand Inputs'!$DW$5:$DW$202,'Demand Inputs'!$A$5:$A$202,"47mg LP - EU Stock",'Demand Inputs'!$B$5:$B$202,"&lt;&gt;AGGREGATE",'Demand Inputs'!$E$5:$E$202,1),0)</f>
        <v>0</v>
      </c>
      <c r="G2274" s="199" cm="1">
        <f t="array" ref="G2274">IFERROR(SUMPRODUCT(('Production Inputs'!$A:$A="47mg LP - EU Stock")*('Production Inputs'!$B:$B="TOTAL ACTIVE")*'Production Inputs'!$EC:$EC),0)</f>
        <v>0</v>
      </c>
      <c r="H2274" s="199">
        <f t="shared" si="263"/>
        <v>0</v>
      </c>
      <c r="I2274" s="30">
        <f ca="1">IFERROR(AVERAGEIF(OFFSET(F2274,0,0,MIN(Controls!$B$8,COUNTIF(B2274:B$2331,B2274)),1),"&gt;"&amp;0),0)</f>
        <v>0</v>
      </c>
      <c r="J2274" s="38">
        <f t="shared" ca="1" si="264"/>
        <v>0</v>
      </c>
      <c r="K2274" s="30">
        <f t="shared" ca="1" si="265"/>
        <v>0</v>
      </c>
      <c r="L2274" t="str">
        <f t="shared" si="266"/>
        <v>High</v>
      </c>
      <c r="M2274" s="39">
        <f>IFERROR(VLOOKUP("47mg LP - EU Stock",Controls!A:I,7,0),6)</f>
        <v>9</v>
      </c>
      <c r="N2274" s="39">
        <f>IFERROR(VLOOKUP("47mg LP - EU Stock",Controls!A:I,8,0),3)</f>
        <v>8</v>
      </c>
      <c r="O2274" s="39">
        <f>IFERROR(VLOOKUP("47mg LP - EU Stock",Controls!A:I,9,0),18)</f>
        <v>18</v>
      </c>
      <c r="P2274" s="40">
        <f>IFERROR(VLOOKUP("47mg LP - EU Stock",Controls!A:J,5,0),0)</f>
        <v>10000</v>
      </c>
      <c r="Q2274" s="39">
        <f>IFERROR(VLOOKUP("47mg LP - EU Stock",Controls!A:J,6,0),3)</f>
        <v>3</v>
      </c>
      <c r="R2274" s="21" t="str">
        <f>IFERROR(VLOOKUP("47mg LP - EU Stock",Controls!A:K,10,0),"")</f>
        <v>Patheon (L&amp;P EU)</v>
      </c>
      <c r="S2274" s="41">
        <f t="shared" si="267"/>
        <v>49644</v>
      </c>
      <c r="T2274" s="30">
        <f t="shared" si="268"/>
        <v>0</v>
      </c>
      <c r="W2274" s="205" t="str" cm="1">
        <f t="array" ref="W2274">IF(121&lt;Controls!$B$7,TEXT(INDEX(A2153:A2331,MATCH(Controls!$B$5,A2153:A2331,1)+121),"MMM-YY"),"")</f>
        <v/>
      </c>
      <c r="X2274" t="str" cm="1">
        <f t="array" ref="X2274">IF(121&lt;Controls!$B$7,INDEX(F2153:F2331,MATCH(Controls!$B$5,A2153:A2331,1)+121),"")</f>
        <v/>
      </c>
      <c r="Y2274" t="str" cm="1">
        <f t="array" ref="Y2274">IF(121&lt;Controls!$B$7,INDEX(G2153:G2331,MATCH(Controls!$B$5,A2153:A2331,1)+121),"")</f>
        <v/>
      </c>
      <c r="Z2274" t="str" cm="1">
        <f t="array" ref="Z2274">IF(121&lt;Controls!$B$7,INDEX(H2153:H2331,MATCH(Controls!$B$5,A2153:A2331,1)+121),"")</f>
        <v/>
      </c>
      <c r="AA2274" t="str" cm="1">
        <f t="array" ref="AA2274">IF(121&lt;Controls!$B$7,INDEX(M2153:M2331,MATCH(Controls!$B$5,A2153:A2331,1)+121)*INDEX(I2153:I2331,MATCH(Controls!$B$5,A2153:A2331,1)+121),"")</f>
        <v/>
      </c>
      <c r="AB2274">
        <f t="shared" si="269"/>
        <v>0</v>
      </c>
    </row>
    <row r="2275" spans="1:28" x14ac:dyDescent="0.35">
      <c r="A2275" s="153">
        <v>49766</v>
      </c>
      <c r="B2275" s="155" t="s">
        <v>960</v>
      </c>
      <c r="C2275" s="15" t="s">
        <v>28</v>
      </c>
      <c r="D2275" s="15" t="s">
        <v>29</v>
      </c>
      <c r="E2275" s="199">
        <f>H2274</f>
        <v>0</v>
      </c>
      <c r="F2275" s="199">
        <f>IFERROR(SUMIFS('Demand Inputs'!$DX$5:$DX$202,'Demand Inputs'!$A$5:$A$202,"47mg LP - EU Stock",'Demand Inputs'!$B$5:$B$202,"&lt;&gt;AGGREGATE",'Demand Inputs'!$E$5:$E$202,1),0)</f>
        <v>0</v>
      </c>
      <c r="G2275" s="199" cm="1">
        <f t="array" ref="G2275">IFERROR(SUMPRODUCT(('Production Inputs'!$A:$A="47mg LP - EU Stock")*('Production Inputs'!$B:$B="TOTAL ACTIVE")*'Production Inputs'!$ED:$ED),0)</f>
        <v>0</v>
      </c>
      <c r="H2275" s="199">
        <f t="shared" si="263"/>
        <v>0</v>
      </c>
      <c r="I2275" s="30">
        <f ca="1">IFERROR(AVERAGEIF(OFFSET(F2275,0,0,MIN(Controls!$B$8,COUNTIF(B2275:B$2331,B2275)),1),"&gt;"&amp;0),0)</f>
        <v>0</v>
      </c>
      <c r="J2275" s="38">
        <f t="shared" ca="1" si="264"/>
        <v>0</v>
      </c>
      <c r="K2275" s="30">
        <f t="shared" ca="1" si="265"/>
        <v>0</v>
      </c>
      <c r="L2275" t="str">
        <f t="shared" si="266"/>
        <v>High</v>
      </c>
      <c r="M2275" s="39">
        <f>IFERROR(VLOOKUP("47mg LP - EU Stock",Controls!A:I,7,0),6)</f>
        <v>9</v>
      </c>
      <c r="N2275" s="39">
        <f>IFERROR(VLOOKUP("47mg LP - EU Stock",Controls!A:I,8,0),3)</f>
        <v>8</v>
      </c>
      <c r="O2275" s="39">
        <f>IFERROR(VLOOKUP("47mg LP - EU Stock",Controls!A:I,9,0),18)</f>
        <v>18</v>
      </c>
      <c r="P2275" s="40">
        <f>IFERROR(VLOOKUP("47mg LP - EU Stock",Controls!A:J,5,0),0)</f>
        <v>10000</v>
      </c>
      <c r="Q2275" s="39">
        <f>IFERROR(VLOOKUP("47mg LP - EU Stock",Controls!A:J,6,0),3)</f>
        <v>3</v>
      </c>
      <c r="R2275" s="21" t="str">
        <f>IFERROR(VLOOKUP("47mg LP - EU Stock",Controls!A:K,10,0),"")</f>
        <v>Patheon (L&amp;P EU)</v>
      </c>
      <c r="S2275" s="41">
        <f t="shared" si="267"/>
        <v>49675</v>
      </c>
      <c r="T2275" s="30">
        <f t="shared" si="268"/>
        <v>0</v>
      </c>
      <c r="W2275" s="205" t="str" cm="1">
        <f t="array" ref="W2275">IF(122&lt;Controls!$B$7,TEXT(INDEX(A2153:A2331,MATCH(Controls!$B$5,A2153:A2331,1)+122),"MMM-YY"),"")</f>
        <v/>
      </c>
      <c r="X2275" t="str" cm="1">
        <f t="array" ref="X2275">IF(122&lt;Controls!$B$7,INDEX(F2153:F2331,MATCH(Controls!$B$5,A2153:A2331,1)+122),"")</f>
        <v/>
      </c>
      <c r="Y2275" t="str" cm="1">
        <f t="array" ref="Y2275">IF(122&lt;Controls!$B$7,INDEX(G2153:G2331,MATCH(Controls!$B$5,A2153:A2331,1)+122),"")</f>
        <v/>
      </c>
      <c r="Z2275" t="str" cm="1">
        <f t="array" ref="Z2275">IF(122&lt;Controls!$B$7,INDEX(H2153:H2331,MATCH(Controls!$B$5,A2153:A2331,1)+122),"")</f>
        <v/>
      </c>
      <c r="AA2275" t="str" cm="1">
        <f t="array" ref="AA2275">IF(122&lt;Controls!$B$7,INDEX(M2153:M2331,MATCH(Controls!$B$5,A2153:A2331,1)+122)*INDEX(I2153:I2331,MATCH(Controls!$B$5,A2153:A2331,1)+122),"")</f>
        <v/>
      </c>
      <c r="AB2275">
        <f t="shared" si="269"/>
        <v>0</v>
      </c>
    </row>
    <row r="2276" spans="1:28" x14ac:dyDescent="0.35">
      <c r="A2276" s="153">
        <v>49796</v>
      </c>
      <c r="B2276" s="155" t="s">
        <v>960</v>
      </c>
      <c r="C2276" s="15" t="s">
        <v>28</v>
      </c>
      <c r="D2276" s="15" t="s">
        <v>29</v>
      </c>
      <c r="E2276" s="199">
        <f>H2275</f>
        <v>0</v>
      </c>
      <c r="F2276" s="199">
        <f>IFERROR(SUMIFS('Demand Inputs'!$DY$5:$DY$202,'Demand Inputs'!$A$5:$A$202,"47mg LP - EU Stock",'Demand Inputs'!$B$5:$B$202,"&lt;&gt;AGGREGATE",'Demand Inputs'!$E$5:$E$202,1),0)</f>
        <v>0</v>
      </c>
      <c r="G2276" s="199" cm="1">
        <f t="array" ref="G2276">IFERROR(SUMPRODUCT(('Production Inputs'!$A:$A="47mg LP - EU Stock")*('Production Inputs'!$B:$B="TOTAL ACTIVE")*'Production Inputs'!$EE:$EE),0)</f>
        <v>0</v>
      </c>
      <c r="H2276" s="199">
        <f t="shared" si="263"/>
        <v>0</v>
      </c>
      <c r="I2276" s="30">
        <f ca="1">IFERROR(AVERAGEIF(OFFSET(F2276,0,0,MIN(Controls!$B$8,COUNTIF(B2276:B$2331,B2276)),1),"&gt;"&amp;0),0)</f>
        <v>0</v>
      </c>
      <c r="J2276" s="38">
        <f t="shared" ca="1" si="264"/>
        <v>0</v>
      </c>
      <c r="K2276" s="30">
        <f t="shared" ca="1" si="265"/>
        <v>0</v>
      </c>
      <c r="L2276" t="str">
        <f t="shared" si="266"/>
        <v>High</v>
      </c>
      <c r="M2276" s="39">
        <f>IFERROR(VLOOKUP("47mg LP - EU Stock",Controls!A:I,7,0),6)</f>
        <v>9</v>
      </c>
      <c r="N2276" s="39">
        <f>IFERROR(VLOOKUP("47mg LP - EU Stock",Controls!A:I,8,0),3)</f>
        <v>8</v>
      </c>
      <c r="O2276" s="39">
        <f>IFERROR(VLOOKUP("47mg LP - EU Stock",Controls!A:I,9,0),18)</f>
        <v>18</v>
      </c>
      <c r="P2276" s="40">
        <f>IFERROR(VLOOKUP("47mg LP - EU Stock",Controls!A:J,5,0),0)</f>
        <v>10000</v>
      </c>
      <c r="Q2276" s="39">
        <f>IFERROR(VLOOKUP("47mg LP - EU Stock",Controls!A:J,6,0),3)</f>
        <v>3</v>
      </c>
      <c r="R2276" s="21" t="str">
        <f>IFERROR(VLOOKUP("47mg LP - EU Stock",Controls!A:K,10,0),"")</f>
        <v>Patheon (L&amp;P EU)</v>
      </c>
      <c r="S2276" s="41">
        <f t="shared" si="267"/>
        <v>49706</v>
      </c>
      <c r="T2276" s="30">
        <f t="shared" si="268"/>
        <v>0</v>
      </c>
      <c r="W2276" s="205" t="str" cm="1">
        <f t="array" ref="W2276">IF(123&lt;Controls!$B$7,TEXT(INDEX(A2153:A2331,MATCH(Controls!$B$5,A2153:A2331,1)+123),"MMM-YY"),"")</f>
        <v/>
      </c>
      <c r="X2276" t="str" cm="1">
        <f t="array" ref="X2276">IF(123&lt;Controls!$B$7,INDEX(F2153:F2331,MATCH(Controls!$B$5,A2153:A2331,1)+123),"")</f>
        <v/>
      </c>
      <c r="Y2276" t="str" cm="1">
        <f t="array" ref="Y2276">IF(123&lt;Controls!$B$7,INDEX(G2153:G2331,MATCH(Controls!$B$5,A2153:A2331,1)+123),"")</f>
        <v/>
      </c>
      <c r="Z2276" t="str" cm="1">
        <f t="array" ref="Z2276">IF(123&lt;Controls!$B$7,INDEX(H2153:H2331,MATCH(Controls!$B$5,A2153:A2331,1)+123),"")</f>
        <v/>
      </c>
      <c r="AA2276" t="str" cm="1">
        <f t="array" ref="AA2276">IF(123&lt;Controls!$B$7,INDEX(M2153:M2331,MATCH(Controls!$B$5,A2153:A2331,1)+123)*INDEX(I2153:I2331,MATCH(Controls!$B$5,A2153:A2331,1)+123),"")</f>
        <v/>
      </c>
      <c r="AB2276">
        <f t="shared" si="269"/>
        <v>0</v>
      </c>
    </row>
    <row r="2277" spans="1:28" x14ac:dyDescent="0.35">
      <c r="A2277" s="153">
        <v>49827</v>
      </c>
      <c r="B2277" s="155" t="s">
        <v>960</v>
      </c>
      <c r="C2277" s="15" t="s">
        <v>28</v>
      </c>
      <c r="D2277" s="15" t="s">
        <v>29</v>
      </c>
      <c r="E2277" s="199">
        <f>H2276</f>
        <v>0</v>
      </c>
      <c r="F2277" s="199">
        <f>IFERROR(SUMIFS('Demand Inputs'!$DZ$5:$DZ$202,'Demand Inputs'!$A$5:$A$202,"47mg LP - EU Stock",'Demand Inputs'!$B$5:$B$202,"&lt;&gt;AGGREGATE",'Demand Inputs'!$E$5:$E$202,1),0)</f>
        <v>0</v>
      </c>
      <c r="G2277" s="199" cm="1">
        <f t="array" ref="G2277">IFERROR(SUMPRODUCT(('Production Inputs'!$A:$A="47mg LP - EU Stock")*('Production Inputs'!$B:$B="TOTAL ACTIVE")*'Production Inputs'!$EF:$EF),0)</f>
        <v>0</v>
      </c>
      <c r="H2277" s="199">
        <f t="shared" si="263"/>
        <v>0</v>
      </c>
      <c r="I2277" s="30">
        <f ca="1">IFERROR(AVERAGEIF(OFFSET(F2277,0,0,MIN(Controls!$B$8,COUNTIF(B2277:B$2331,B2277)),1),"&gt;"&amp;0),0)</f>
        <v>0</v>
      </c>
      <c r="J2277" s="38">
        <f t="shared" ca="1" si="264"/>
        <v>0</v>
      </c>
      <c r="K2277" s="30">
        <f t="shared" ca="1" si="265"/>
        <v>0</v>
      </c>
      <c r="L2277" t="str">
        <f t="shared" si="266"/>
        <v>High</v>
      </c>
      <c r="M2277" s="39">
        <f>IFERROR(VLOOKUP("47mg LP - EU Stock",Controls!A:I,7,0),6)</f>
        <v>9</v>
      </c>
      <c r="N2277" s="39">
        <f>IFERROR(VLOOKUP("47mg LP - EU Stock",Controls!A:I,8,0),3)</f>
        <v>8</v>
      </c>
      <c r="O2277" s="39">
        <f>IFERROR(VLOOKUP("47mg LP - EU Stock",Controls!A:I,9,0),18)</f>
        <v>18</v>
      </c>
      <c r="P2277" s="40">
        <f>IFERROR(VLOOKUP("47mg LP - EU Stock",Controls!A:J,5,0),0)</f>
        <v>10000</v>
      </c>
      <c r="Q2277" s="39">
        <f>IFERROR(VLOOKUP("47mg LP - EU Stock",Controls!A:J,6,0),3)</f>
        <v>3</v>
      </c>
      <c r="R2277" s="21" t="str">
        <f>IFERROR(VLOOKUP("47mg LP - EU Stock",Controls!A:K,10,0),"")</f>
        <v>Patheon (L&amp;P EU)</v>
      </c>
      <c r="S2277" s="41">
        <f t="shared" si="267"/>
        <v>49735</v>
      </c>
      <c r="T2277" s="30">
        <f t="shared" si="268"/>
        <v>0</v>
      </c>
      <c r="W2277" s="205" t="str" cm="1">
        <f t="array" ref="W2277">IF(124&lt;Controls!$B$7,TEXT(INDEX(A2153:A2331,MATCH(Controls!$B$5,A2153:A2331,1)+124),"MMM-YY"),"")</f>
        <v/>
      </c>
      <c r="X2277" t="str" cm="1">
        <f t="array" ref="X2277">IF(124&lt;Controls!$B$7,INDEX(F2153:F2331,MATCH(Controls!$B$5,A2153:A2331,1)+124),"")</f>
        <v/>
      </c>
      <c r="Y2277" t="str" cm="1">
        <f t="array" ref="Y2277">IF(124&lt;Controls!$B$7,INDEX(G2153:G2331,MATCH(Controls!$B$5,A2153:A2331,1)+124),"")</f>
        <v/>
      </c>
      <c r="Z2277" t="str" cm="1">
        <f t="array" ref="Z2277">IF(124&lt;Controls!$B$7,INDEX(H2153:H2331,MATCH(Controls!$B$5,A2153:A2331,1)+124),"")</f>
        <v/>
      </c>
      <c r="AA2277" t="str" cm="1">
        <f t="array" ref="AA2277">IF(124&lt;Controls!$B$7,INDEX(M2153:M2331,MATCH(Controls!$B$5,A2153:A2331,1)+124)*INDEX(I2153:I2331,MATCH(Controls!$B$5,A2153:A2331,1)+124),"")</f>
        <v/>
      </c>
      <c r="AB2277">
        <f t="shared" si="269"/>
        <v>0</v>
      </c>
    </row>
    <row r="2278" spans="1:28" x14ac:dyDescent="0.35">
      <c r="A2278" s="153">
        <v>49857</v>
      </c>
      <c r="B2278" s="155" t="s">
        <v>960</v>
      </c>
      <c r="C2278" s="15" t="s">
        <v>28</v>
      </c>
      <c r="D2278" s="15" t="s">
        <v>29</v>
      </c>
      <c r="E2278" s="199">
        <f>H2277</f>
        <v>0</v>
      </c>
      <c r="F2278" s="199">
        <f>IFERROR(SUMIFS('Demand Inputs'!$EA$5:$EA$202,'Demand Inputs'!$A$5:$A$202,"47mg LP - EU Stock",'Demand Inputs'!$B$5:$B$202,"&lt;&gt;AGGREGATE",'Demand Inputs'!$E$5:$E$202,1),0)</f>
        <v>0</v>
      </c>
      <c r="G2278" s="199" cm="1">
        <f t="array" ref="G2278">IFERROR(SUMPRODUCT(('Production Inputs'!$A:$A="47mg LP - EU Stock")*('Production Inputs'!$B:$B="TOTAL ACTIVE")*'Production Inputs'!$EG:$EG),0)</f>
        <v>0</v>
      </c>
      <c r="H2278" s="199">
        <f t="shared" si="263"/>
        <v>0</v>
      </c>
      <c r="I2278" s="30">
        <f ca="1">IFERROR(AVERAGEIF(OFFSET(F2278,0,0,MIN(Controls!$B$8,COUNTIF(B2278:B$2331,B2278)),1),"&gt;"&amp;0),0)</f>
        <v>0</v>
      </c>
      <c r="J2278" s="38">
        <f t="shared" ca="1" si="264"/>
        <v>0</v>
      </c>
      <c r="K2278" s="30">
        <f t="shared" ca="1" si="265"/>
        <v>0</v>
      </c>
      <c r="L2278" t="str">
        <f t="shared" si="266"/>
        <v>High</v>
      </c>
      <c r="M2278" s="39">
        <f>IFERROR(VLOOKUP("47mg LP - EU Stock",Controls!A:I,7,0),6)</f>
        <v>9</v>
      </c>
      <c r="N2278" s="39">
        <f>IFERROR(VLOOKUP("47mg LP - EU Stock",Controls!A:I,8,0),3)</f>
        <v>8</v>
      </c>
      <c r="O2278" s="39">
        <f>IFERROR(VLOOKUP("47mg LP - EU Stock",Controls!A:I,9,0),18)</f>
        <v>18</v>
      </c>
      <c r="P2278" s="40">
        <f>IFERROR(VLOOKUP("47mg LP - EU Stock",Controls!A:J,5,0),0)</f>
        <v>10000</v>
      </c>
      <c r="Q2278" s="39">
        <f>IFERROR(VLOOKUP("47mg LP - EU Stock",Controls!A:J,6,0),3)</f>
        <v>3</v>
      </c>
      <c r="R2278" s="21" t="str">
        <f>IFERROR(VLOOKUP("47mg LP - EU Stock",Controls!A:K,10,0),"")</f>
        <v>Patheon (L&amp;P EU)</v>
      </c>
      <c r="S2278" s="41">
        <f t="shared" si="267"/>
        <v>49766</v>
      </c>
      <c r="T2278" s="30">
        <f t="shared" si="268"/>
        <v>0</v>
      </c>
      <c r="W2278" s="205" t="str" cm="1">
        <f t="array" ref="W2278">IF(125&lt;Controls!$B$7,TEXT(INDEX(A2153:A2331,MATCH(Controls!$B$5,A2153:A2331,1)+125),"MMM-YY"),"")</f>
        <v/>
      </c>
      <c r="X2278" t="str" cm="1">
        <f t="array" ref="X2278">IF(125&lt;Controls!$B$7,INDEX(F2153:F2331,MATCH(Controls!$B$5,A2153:A2331,1)+125),"")</f>
        <v/>
      </c>
      <c r="Y2278" t="str" cm="1">
        <f t="array" ref="Y2278">IF(125&lt;Controls!$B$7,INDEX(G2153:G2331,MATCH(Controls!$B$5,A2153:A2331,1)+125),"")</f>
        <v/>
      </c>
      <c r="Z2278" t="str" cm="1">
        <f t="array" ref="Z2278">IF(125&lt;Controls!$B$7,INDEX(H2153:H2331,MATCH(Controls!$B$5,A2153:A2331,1)+125),"")</f>
        <v/>
      </c>
      <c r="AA2278" t="str" cm="1">
        <f t="array" ref="AA2278">IF(125&lt;Controls!$B$7,INDEX(M2153:M2331,MATCH(Controls!$B$5,A2153:A2331,1)+125)*INDEX(I2153:I2331,MATCH(Controls!$B$5,A2153:A2331,1)+125),"")</f>
        <v/>
      </c>
      <c r="AB2278">
        <f t="shared" si="269"/>
        <v>0</v>
      </c>
    </row>
    <row r="2279" spans="1:28" x14ac:dyDescent="0.35">
      <c r="A2279" s="153">
        <v>49888</v>
      </c>
      <c r="B2279" s="155" t="s">
        <v>960</v>
      </c>
      <c r="C2279" s="15" t="s">
        <v>28</v>
      </c>
      <c r="D2279" s="15" t="s">
        <v>29</v>
      </c>
      <c r="E2279" s="199">
        <f>H2278</f>
        <v>0</v>
      </c>
      <c r="F2279" s="199">
        <f>IFERROR(SUMIFS('Demand Inputs'!$EB$5:$EB$202,'Demand Inputs'!$A$5:$A$202,"47mg LP - EU Stock",'Demand Inputs'!$B$5:$B$202,"&lt;&gt;AGGREGATE",'Demand Inputs'!$E$5:$E$202,1),0)</f>
        <v>0</v>
      </c>
      <c r="G2279" s="199" cm="1">
        <f t="array" ref="G2279">IFERROR(SUMPRODUCT(('Production Inputs'!$A:$A="47mg LP - EU Stock")*('Production Inputs'!$B:$B="TOTAL ACTIVE")*'Production Inputs'!$EH:$EH),0)</f>
        <v>0</v>
      </c>
      <c r="H2279" s="199">
        <f t="shared" si="263"/>
        <v>0</v>
      </c>
      <c r="I2279" s="30">
        <f ca="1">IFERROR(AVERAGEIF(OFFSET(F2279,0,0,MIN(Controls!$B$8,COUNTIF(B2279:B$2331,B2279)),1),"&gt;"&amp;0),0)</f>
        <v>0</v>
      </c>
      <c r="J2279" s="38">
        <f t="shared" ca="1" si="264"/>
        <v>0</v>
      </c>
      <c r="K2279" s="30">
        <f t="shared" ca="1" si="265"/>
        <v>0</v>
      </c>
      <c r="L2279" t="str">
        <f t="shared" si="266"/>
        <v>High</v>
      </c>
      <c r="M2279" s="39">
        <f>IFERROR(VLOOKUP("47mg LP - EU Stock",Controls!A:I,7,0),6)</f>
        <v>9</v>
      </c>
      <c r="N2279" s="39">
        <f>IFERROR(VLOOKUP("47mg LP - EU Stock",Controls!A:I,8,0),3)</f>
        <v>8</v>
      </c>
      <c r="O2279" s="39">
        <f>IFERROR(VLOOKUP("47mg LP - EU Stock",Controls!A:I,9,0),18)</f>
        <v>18</v>
      </c>
      <c r="P2279" s="40">
        <f>IFERROR(VLOOKUP("47mg LP - EU Stock",Controls!A:J,5,0),0)</f>
        <v>10000</v>
      </c>
      <c r="Q2279" s="39">
        <f>IFERROR(VLOOKUP("47mg LP - EU Stock",Controls!A:J,6,0),3)</f>
        <v>3</v>
      </c>
      <c r="R2279" s="21" t="str">
        <f>IFERROR(VLOOKUP("47mg LP - EU Stock",Controls!A:K,10,0),"")</f>
        <v>Patheon (L&amp;P EU)</v>
      </c>
      <c r="S2279" s="41">
        <f t="shared" si="267"/>
        <v>49796</v>
      </c>
      <c r="T2279" s="30">
        <f t="shared" si="268"/>
        <v>0</v>
      </c>
      <c r="W2279" s="205" t="str" cm="1">
        <f t="array" ref="W2279">IF(126&lt;Controls!$B$7,TEXT(INDEX(A2153:A2331,MATCH(Controls!$B$5,A2153:A2331,1)+126),"MMM-YY"),"")</f>
        <v/>
      </c>
      <c r="X2279" t="str" cm="1">
        <f t="array" ref="X2279">IF(126&lt;Controls!$B$7,INDEX(F2153:F2331,MATCH(Controls!$B$5,A2153:A2331,1)+126),"")</f>
        <v/>
      </c>
      <c r="Y2279" t="str" cm="1">
        <f t="array" ref="Y2279">IF(126&lt;Controls!$B$7,INDEX(G2153:G2331,MATCH(Controls!$B$5,A2153:A2331,1)+126),"")</f>
        <v/>
      </c>
      <c r="Z2279" t="str" cm="1">
        <f t="array" ref="Z2279">IF(126&lt;Controls!$B$7,INDEX(H2153:H2331,MATCH(Controls!$B$5,A2153:A2331,1)+126),"")</f>
        <v/>
      </c>
      <c r="AA2279" t="str" cm="1">
        <f t="array" ref="AA2279">IF(126&lt;Controls!$B$7,INDEX(M2153:M2331,MATCH(Controls!$B$5,A2153:A2331,1)+126)*INDEX(I2153:I2331,MATCH(Controls!$B$5,A2153:A2331,1)+126),"")</f>
        <v/>
      </c>
      <c r="AB2279">
        <f t="shared" si="269"/>
        <v>0</v>
      </c>
    </row>
    <row r="2280" spans="1:28" x14ac:dyDescent="0.35">
      <c r="A2280" s="153">
        <v>49919</v>
      </c>
      <c r="B2280" s="155" t="s">
        <v>960</v>
      </c>
      <c r="C2280" s="15" t="s">
        <v>28</v>
      </c>
      <c r="D2280" s="15" t="s">
        <v>29</v>
      </c>
      <c r="E2280" s="199">
        <f>H2279</f>
        <v>0</v>
      </c>
      <c r="F2280" s="199">
        <f>IFERROR(SUMIFS('Demand Inputs'!$EC$5:$EC$202,'Demand Inputs'!$A$5:$A$202,"47mg LP - EU Stock",'Demand Inputs'!$B$5:$B$202,"&lt;&gt;AGGREGATE",'Demand Inputs'!$E$5:$E$202,1),0)</f>
        <v>0</v>
      </c>
      <c r="G2280" s="199" cm="1">
        <f t="array" ref="G2280">IFERROR(SUMPRODUCT(('Production Inputs'!$A:$A="47mg LP - EU Stock")*('Production Inputs'!$B:$B="TOTAL ACTIVE")*'Production Inputs'!$EI:$EI),0)</f>
        <v>0</v>
      </c>
      <c r="H2280" s="199">
        <f t="shared" si="263"/>
        <v>0</v>
      </c>
      <c r="I2280" s="30">
        <f ca="1">IFERROR(AVERAGEIF(OFFSET(F2280,0,0,MIN(Controls!$B$8,COUNTIF(B2280:B$2331,B2280)),1),"&gt;"&amp;0),0)</f>
        <v>0</v>
      </c>
      <c r="J2280" s="38">
        <f t="shared" ca="1" si="264"/>
        <v>0</v>
      </c>
      <c r="K2280" s="30">
        <f t="shared" ca="1" si="265"/>
        <v>0</v>
      </c>
      <c r="L2280" t="str">
        <f t="shared" si="266"/>
        <v>High</v>
      </c>
      <c r="M2280" s="39">
        <f>IFERROR(VLOOKUP("47mg LP - EU Stock",Controls!A:I,7,0),6)</f>
        <v>9</v>
      </c>
      <c r="N2280" s="39">
        <f>IFERROR(VLOOKUP("47mg LP - EU Stock",Controls!A:I,8,0),3)</f>
        <v>8</v>
      </c>
      <c r="O2280" s="39">
        <f>IFERROR(VLOOKUP("47mg LP - EU Stock",Controls!A:I,9,0),18)</f>
        <v>18</v>
      </c>
      <c r="P2280" s="40">
        <f>IFERROR(VLOOKUP("47mg LP - EU Stock",Controls!A:J,5,0),0)</f>
        <v>10000</v>
      </c>
      <c r="Q2280" s="39">
        <f>IFERROR(VLOOKUP("47mg LP - EU Stock",Controls!A:J,6,0),3)</f>
        <v>3</v>
      </c>
      <c r="R2280" s="21" t="str">
        <f>IFERROR(VLOOKUP("47mg LP - EU Stock",Controls!A:K,10,0),"")</f>
        <v>Patheon (L&amp;P EU)</v>
      </c>
      <c r="S2280" s="41">
        <f t="shared" si="267"/>
        <v>49827</v>
      </c>
      <c r="T2280" s="30">
        <f t="shared" si="268"/>
        <v>0</v>
      </c>
      <c r="W2280" s="205" t="str" cm="1">
        <f t="array" ref="W2280">IF(127&lt;Controls!$B$7,TEXT(INDEX(A2153:A2331,MATCH(Controls!$B$5,A2153:A2331,1)+127),"MMM-YY"),"")</f>
        <v/>
      </c>
      <c r="X2280" t="str" cm="1">
        <f t="array" ref="X2280">IF(127&lt;Controls!$B$7,INDEX(F2153:F2331,MATCH(Controls!$B$5,A2153:A2331,1)+127),"")</f>
        <v/>
      </c>
      <c r="Y2280" t="str" cm="1">
        <f t="array" ref="Y2280">IF(127&lt;Controls!$B$7,INDEX(G2153:G2331,MATCH(Controls!$B$5,A2153:A2331,1)+127),"")</f>
        <v/>
      </c>
      <c r="Z2280" t="str" cm="1">
        <f t="array" ref="Z2280">IF(127&lt;Controls!$B$7,INDEX(H2153:H2331,MATCH(Controls!$B$5,A2153:A2331,1)+127),"")</f>
        <v/>
      </c>
      <c r="AA2280" t="str" cm="1">
        <f t="array" ref="AA2280">IF(127&lt;Controls!$B$7,INDEX(M2153:M2331,MATCH(Controls!$B$5,A2153:A2331,1)+127)*INDEX(I2153:I2331,MATCH(Controls!$B$5,A2153:A2331,1)+127),"")</f>
        <v/>
      </c>
      <c r="AB2280">
        <f t="shared" si="269"/>
        <v>0</v>
      </c>
    </row>
    <row r="2281" spans="1:28" x14ac:dyDescent="0.35">
      <c r="A2281" s="153">
        <v>49949</v>
      </c>
      <c r="B2281" s="155" t="s">
        <v>960</v>
      </c>
      <c r="C2281" s="15" t="s">
        <v>28</v>
      </c>
      <c r="D2281" s="15" t="s">
        <v>29</v>
      </c>
      <c r="E2281" s="199">
        <f>H2280</f>
        <v>0</v>
      </c>
      <c r="F2281" s="199">
        <f>IFERROR(SUMIFS('Demand Inputs'!$ED$5:$ED$202,'Demand Inputs'!$A$5:$A$202,"47mg LP - EU Stock",'Demand Inputs'!$B$5:$B$202,"&lt;&gt;AGGREGATE",'Demand Inputs'!$E$5:$E$202,1),0)</f>
        <v>0</v>
      </c>
      <c r="G2281" s="199" cm="1">
        <f t="array" ref="G2281">IFERROR(SUMPRODUCT(('Production Inputs'!$A:$A="47mg LP - EU Stock")*('Production Inputs'!$B:$B="TOTAL ACTIVE")*'Production Inputs'!$EJ:$EJ),0)</f>
        <v>0</v>
      </c>
      <c r="H2281" s="199">
        <f t="shared" si="263"/>
        <v>0</v>
      </c>
      <c r="I2281" s="30">
        <f ca="1">IFERROR(AVERAGEIF(OFFSET(F2281,0,0,MIN(Controls!$B$8,COUNTIF(B2281:B$2331,B2281)),1),"&gt;"&amp;0),0)</f>
        <v>0</v>
      </c>
      <c r="J2281" s="38">
        <f t="shared" ca="1" si="264"/>
        <v>0</v>
      </c>
      <c r="K2281" s="30">
        <f t="shared" ca="1" si="265"/>
        <v>0</v>
      </c>
      <c r="L2281" t="str">
        <f t="shared" si="266"/>
        <v>High</v>
      </c>
      <c r="M2281" s="39">
        <f>IFERROR(VLOOKUP("47mg LP - EU Stock",Controls!A:I,7,0),6)</f>
        <v>9</v>
      </c>
      <c r="N2281" s="39">
        <f>IFERROR(VLOOKUP("47mg LP - EU Stock",Controls!A:I,8,0),3)</f>
        <v>8</v>
      </c>
      <c r="O2281" s="39">
        <f>IFERROR(VLOOKUP("47mg LP - EU Stock",Controls!A:I,9,0),18)</f>
        <v>18</v>
      </c>
      <c r="P2281" s="40">
        <f>IFERROR(VLOOKUP("47mg LP - EU Stock",Controls!A:J,5,0),0)</f>
        <v>10000</v>
      </c>
      <c r="Q2281" s="39">
        <f>IFERROR(VLOOKUP("47mg LP - EU Stock",Controls!A:J,6,0),3)</f>
        <v>3</v>
      </c>
      <c r="R2281" s="21" t="str">
        <f>IFERROR(VLOOKUP("47mg LP - EU Stock",Controls!A:K,10,0),"")</f>
        <v>Patheon (L&amp;P EU)</v>
      </c>
      <c r="S2281" s="41">
        <f t="shared" si="267"/>
        <v>49857</v>
      </c>
      <c r="T2281" s="30">
        <f t="shared" si="268"/>
        <v>0</v>
      </c>
      <c r="W2281" s="205" t="str" cm="1">
        <f t="array" ref="W2281">IF(128&lt;Controls!$B$7,TEXT(INDEX(A2153:A2331,MATCH(Controls!$B$5,A2153:A2331,1)+128),"MMM-YY"),"")</f>
        <v/>
      </c>
      <c r="X2281" t="str" cm="1">
        <f t="array" ref="X2281">IF(128&lt;Controls!$B$7,INDEX(F2153:F2331,MATCH(Controls!$B$5,A2153:A2331,1)+128),"")</f>
        <v/>
      </c>
      <c r="Y2281" t="str" cm="1">
        <f t="array" ref="Y2281">IF(128&lt;Controls!$B$7,INDEX(G2153:G2331,MATCH(Controls!$B$5,A2153:A2331,1)+128),"")</f>
        <v/>
      </c>
      <c r="Z2281" t="str" cm="1">
        <f t="array" ref="Z2281">IF(128&lt;Controls!$B$7,INDEX(H2153:H2331,MATCH(Controls!$B$5,A2153:A2331,1)+128),"")</f>
        <v/>
      </c>
      <c r="AA2281" t="str" cm="1">
        <f t="array" ref="AA2281">IF(128&lt;Controls!$B$7,INDEX(M2153:M2331,MATCH(Controls!$B$5,A2153:A2331,1)+128)*INDEX(I2153:I2331,MATCH(Controls!$B$5,A2153:A2331,1)+128),"")</f>
        <v/>
      </c>
      <c r="AB2281">
        <f t="shared" si="269"/>
        <v>0</v>
      </c>
    </row>
    <row r="2282" spans="1:28" x14ac:dyDescent="0.35">
      <c r="A2282" s="153">
        <v>49980</v>
      </c>
      <c r="B2282" s="155" t="s">
        <v>960</v>
      </c>
      <c r="C2282" s="15" t="s">
        <v>28</v>
      </c>
      <c r="D2282" s="15" t="s">
        <v>29</v>
      </c>
      <c r="E2282" s="199">
        <f>H2281</f>
        <v>0</v>
      </c>
      <c r="F2282" s="199">
        <f>IFERROR(SUMIFS('Demand Inputs'!$EE$5:$EE$202,'Demand Inputs'!$A$5:$A$202,"47mg LP - EU Stock",'Demand Inputs'!$B$5:$B$202,"&lt;&gt;AGGREGATE",'Demand Inputs'!$E$5:$E$202,1),0)</f>
        <v>0</v>
      </c>
      <c r="G2282" s="199" cm="1">
        <f t="array" ref="G2282">IFERROR(SUMPRODUCT(('Production Inputs'!$A:$A="47mg LP - EU Stock")*('Production Inputs'!$B:$B="TOTAL ACTIVE")*'Production Inputs'!$EK:$EK),0)</f>
        <v>0</v>
      </c>
      <c r="H2282" s="199">
        <f t="shared" si="263"/>
        <v>0</v>
      </c>
      <c r="I2282" s="30">
        <f ca="1">IFERROR(AVERAGEIF(OFFSET(F2282,0,0,MIN(Controls!$B$8,COUNTIF(B2282:B$2331,B2282)),1),"&gt;"&amp;0),0)</f>
        <v>0</v>
      </c>
      <c r="J2282" s="38">
        <f t="shared" ca="1" si="264"/>
        <v>0</v>
      </c>
      <c r="K2282" s="30">
        <f t="shared" ca="1" si="265"/>
        <v>0</v>
      </c>
      <c r="L2282" t="str">
        <f t="shared" si="266"/>
        <v>High</v>
      </c>
      <c r="M2282" s="39">
        <f>IFERROR(VLOOKUP("47mg LP - EU Stock",Controls!A:I,7,0),6)</f>
        <v>9</v>
      </c>
      <c r="N2282" s="39">
        <f>IFERROR(VLOOKUP("47mg LP - EU Stock",Controls!A:I,8,0),3)</f>
        <v>8</v>
      </c>
      <c r="O2282" s="39">
        <f>IFERROR(VLOOKUP("47mg LP - EU Stock",Controls!A:I,9,0),18)</f>
        <v>18</v>
      </c>
      <c r="P2282" s="40">
        <f>IFERROR(VLOOKUP("47mg LP - EU Stock",Controls!A:J,5,0),0)</f>
        <v>10000</v>
      </c>
      <c r="Q2282" s="39">
        <f>IFERROR(VLOOKUP("47mg LP - EU Stock",Controls!A:J,6,0),3)</f>
        <v>3</v>
      </c>
      <c r="R2282" s="21" t="str">
        <f>IFERROR(VLOOKUP("47mg LP - EU Stock",Controls!A:K,10,0),"")</f>
        <v>Patheon (L&amp;P EU)</v>
      </c>
      <c r="S2282" s="41">
        <f t="shared" si="267"/>
        <v>49888</v>
      </c>
      <c r="T2282" s="30">
        <f t="shared" si="268"/>
        <v>0</v>
      </c>
      <c r="W2282" s="205" t="str" cm="1">
        <f t="array" ref="W2282">IF(129&lt;Controls!$B$7,TEXT(INDEX(A2153:A2331,MATCH(Controls!$B$5,A2153:A2331,1)+129),"MMM-YY"),"")</f>
        <v/>
      </c>
      <c r="X2282" t="str" cm="1">
        <f t="array" ref="X2282">IF(129&lt;Controls!$B$7,INDEX(F2153:F2331,MATCH(Controls!$B$5,A2153:A2331,1)+129),"")</f>
        <v/>
      </c>
      <c r="Y2282" t="str" cm="1">
        <f t="array" ref="Y2282">IF(129&lt;Controls!$B$7,INDEX(G2153:G2331,MATCH(Controls!$B$5,A2153:A2331,1)+129),"")</f>
        <v/>
      </c>
      <c r="Z2282" t="str" cm="1">
        <f t="array" ref="Z2282">IF(129&lt;Controls!$B$7,INDEX(H2153:H2331,MATCH(Controls!$B$5,A2153:A2331,1)+129),"")</f>
        <v/>
      </c>
      <c r="AA2282" t="str" cm="1">
        <f t="array" ref="AA2282">IF(129&lt;Controls!$B$7,INDEX(M2153:M2331,MATCH(Controls!$B$5,A2153:A2331,1)+129)*INDEX(I2153:I2331,MATCH(Controls!$B$5,A2153:A2331,1)+129),"")</f>
        <v/>
      </c>
      <c r="AB2282">
        <f t="shared" si="269"/>
        <v>0</v>
      </c>
    </row>
    <row r="2283" spans="1:28" x14ac:dyDescent="0.35">
      <c r="A2283" s="153">
        <v>50010</v>
      </c>
      <c r="B2283" s="155" t="s">
        <v>960</v>
      </c>
      <c r="C2283" s="15" t="s">
        <v>28</v>
      </c>
      <c r="D2283" s="15" t="s">
        <v>29</v>
      </c>
      <c r="E2283" s="199">
        <f>H2282</f>
        <v>0</v>
      </c>
      <c r="F2283" s="199">
        <f>IFERROR(SUMIFS('Demand Inputs'!$EF$5:$EF$202,'Demand Inputs'!$A$5:$A$202,"47mg LP - EU Stock",'Demand Inputs'!$B$5:$B$202,"&lt;&gt;AGGREGATE",'Demand Inputs'!$E$5:$E$202,1),0)</f>
        <v>0</v>
      </c>
      <c r="G2283" s="199" cm="1">
        <f t="array" ref="G2283">IFERROR(SUMPRODUCT(('Production Inputs'!$A:$A="47mg LP - EU Stock")*('Production Inputs'!$B:$B="TOTAL ACTIVE")*'Production Inputs'!$EL:$EL),0)</f>
        <v>0</v>
      </c>
      <c r="H2283" s="199">
        <f t="shared" si="263"/>
        <v>0</v>
      </c>
      <c r="I2283" s="30">
        <f ca="1">IFERROR(AVERAGEIF(OFFSET(F2283,0,0,MIN(Controls!$B$8,COUNTIF(B2283:B$2331,B2283)),1),"&gt;"&amp;0),0)</f>
        <v>0</v>
      </c>
      <c r="J2283" s="38">
        <f t="shared" ca="1" si="264"/>
        <v>0</v>
      </c>
      <c r="K2283" s="30">
        <f t="shared" ca="1" si="265"/>
        <v>0</v>
      </c>
      <c r="L2283" t="str">
        <f t="shared" si="266"/>
        <v>High</v>
      </c>
      <c r="M2283" s="39">
        <f>IFERROR(VLOOKUP("47mg LP - EU Stock",Controls!A:I,7,0),6)</f>
        <v>9</v>
      </c>
      <c r="N2283" s="39">
        <f>IFERROR(VLOOKUP("47mg LP - EU Stock",Controls!A:I,8,0),3)</f>
        <v>8</v>
      </c>
      <c r="O2283" s="39">
        <f>IFERROR(VLOOKUP("47mg LP - EU Stock",Controls!A:I,9,0),18)</f>
        <v>18</v>
      </c>
      <c r="P2283" s="40">
        <f>IFERROR(VLOOKUP("47mg LP - EU Stock",Controls!A:J,5,0),0)</f>
        <v>10000</v>
      </c>
      <c r="Q2283" s="39">
        <f>IFERROR(VLOOKUP("47mg LP - EU Stock",Controls!A:J,6,0),3)</f>
        <v>3</v>
      </c>
      <c r="R2283" s="21" t="str">
        <f>IFERROR(VLOOKUP("47mg LP - EU Stock",Controls!A:K,10,0),"")</f>
        <v>Patheon (L&amp;P EU)</v>
      </c>
      <c r="S2283" s="41">
        <f t="shared" si="267"/>
        <v>49919</v>
      </c>
      <c r="T2283" s="30">
        <f t="shared" si="268"/>
        <v>0</v>
      </c>
      <c r="W2283" s="205" t="str" cm="1">
        <f t="array" ref="W2283">IF(130&lt;Controls!$B$7,TEXT(INDEX(A2153:A2331,MATCH(Controls!$B$5,A2153:A2331,1)+130),"MMM-YY"),"")</f>
        <v/>
      </c>
      <c r="X2283" t="str" cm="1">
        <f t="array" ref="X2283">IF(130&lt;Controls!$B$7,INDEX(F2153:F2331,MATCH(Controls!$B$5,A2153:A2331,1)+130),"")</f>
        <v/>
      </c>
      <c r="Y2283" t="str" cm="1">
        <f t="array" ref="Y2283">IF(130&lt;Controls!$B$7,INDEX(G2153:G2331,MATCH(Controls!$B$5,A2153:A2331,1)+130),"")</f>
        <v/>
      </c>
      <c r="Z2283" t="str" cm="1">
        <f t="array" ref="Z2283">IF(130&lt;Controls!$B$7,INDEX(H2153:H2331,MATCH(Controls!$B$5,A2153:A2331,1)+130),"")</f>
        <v/>
      </c>
      <c r="AA2283" t="str" cm="1">
        <f t="array" ref="AA2283">IF(130&lt;Controls!$B$7,INDEX(M2153:M2331,MATCH(Controls!$B$5,A2153:A2331,1)+130)*INDEX(I2153:I2331,MATCH(Controls!$B$5,A2153:A2331,1)+130),"")</f>
        <v/>
      </c>
      <c r="AB2283">
        <f t="shared" si="269"/>
        <v>0</v>
      </c>
    </row>
    <row r="2284" spans="1:28" x14ac:dyDescent="0.35">
      <c r="A2284" s="153">
        <v>50041</v>
      </c>
      <c r="B2284" s="155" t="s">
        <v>960</v>
      </c>
      <c r="C2284" s="15" t="s">
        <v>28</v>
      </c>
      <c r="D2284" s="15" t="s">
        <v>29</v>
      </c>
      <c r="E2284" s="199">
        <f>H2283</f>
        <v>0</v>
      </c>
      <c r="F2284" s="199">
        <f>IFERROR(SUMIFS('Demand Inputs'!$EG$5:$EG$202,'Demand Inputs'!$A$5:$A$202,"47mg LP - EU Stock",'Demand Inputs'!$B$5:$B$202,"&lt;&gt;AGGREGATE",'Demand Inputs'!$E$5:$E$202,1),0)</f>
        <v>0</v>
      </c>
      <c r="G2284" s="199" cm="1">
        <f t="array" ref="G2284">IFERROR(SUMPRODUCT(('Production Inputs'!$A:$A="47mg LP - EU Stock")*('Production Inputs'!$B:$B="TOTAL ACTIVE")*'Production Inputs'!$EM:$EM),0)</f>
        <v>0</v>
      </c>
      <c r="H2284" s="199">
        <f t="shared" si="263"/>
        <v>0</v>
      </c>
      <c r="I2284" s="30">
        <f ca="1">IFERROR(AVERAGEIF(OFFSET(F2284,0,0,MIN(Controls!$B$8,COUNTIF(B2284:B$2331,B2284)),1),"&gt;"&amp;0),0)</f>
        <v>0</v>
      </c>
      <c r="J2284" s="38">
        <f t="shared" ca="1" si="264"/>
        <v>0</v>
      </c>
      <c r="K2284" s="30">
        <f t="shared" ca="1" si="265"/>
        <v>0</v>
      </c>
      <c r="L2284" t="str">
        <f t="shared" si="266"/>
        <v>High</v>
      </c>
      <c r="M2284" s="39">
        <f>IFERROR(VLOOKUP("47mg LP - EU Stock",Controls!A:I,7,0),6)</f>
        <v>9</v>
      </c>
      <c r="N2284" s="39">
        <f>IFERROR(VLOOKUP("47mg LP - EU Stock",Controls!A:I,8,0),3)</f>
        <v>8</v>
      </c>
      <c r="O2284" s="39">
        <f>IFERROR(VLOOKUP("47mg LP - EU Stock",Controls!A:I,9,0),18)</f>
        <v>18</v>
      </c>
      <c r="P2284" s="40">
        <f>IFERROR(VLOOKUP("47mg LP - EU Stock",Controls!A:J,5,0),0)</f>
        <v>10000</v>
      </c>
      <c r="Q2284" s="39">
        <f>IFERROR(VLOOKUP("47mg LP - EU Stock",Controls!A:J,6,0),3)</f>
        <v>3</v>
      </c>
      <c r="R2284" s="21" t="str">
        <f>IFERROR(VLOOKUP("47mg LP - EU Stock",Controls!A:K,10,0),"")</f>
        <v>Patheon (L&amp;P EU)</v>
      </c>
      <c r="S2284" s="41">
        <f t="shared" si="267"/>
        <v>49949</v>
      </c>
      <c r="T2284" s="30">
        <f t="shared" si="268"/>
        <v>0</v>
      </c>
      <c r="W2284" s="205" t="str" cm="1">
        <f t="array" ref="W2284">IF(131&lt;Controls!$B$7,TEXT(INDEX(A2153:A2331,MATCH(Controls!$B$5,A2153:A2331,1)+131),"MMM-YY"),"")</f>
        <v/>
      </c>
      <c r="X2284" t="str" cm="1">
        <f t="array" ref="X2284">IF(131&lt;Controls!$B$7,INDEX(F2153:F2331,MATCH(Controls!$B$5,A2153:A2331,1)+131),"")</f>
        <v/>
      </c>
      <c r="Y2284" t="str" cm="1">
        <f t="array" ref="Y2284">IF(131&lt;Controls!$B$7,INDEX(G2153:G2331,MATCH(Controls!$B$5,A2153:A2331,1)+131),"")</f>
        <v/>
      </c>
      <c r="Z2284" t="str" cm="1">
        <f t="array" ref="Z2284">IF(131&lt;Controls!$B$7,INDEX(H2153:H2331,MATCH(Controls!$B$5,A2153:A2331,1)+131),"")</f>
        <v/>
      </c>
      <c r="AA2284" t="str" cm="1">
        <f t="array" ref="AA2284">IF(131&lt;Controls!$B$7,INDEX(M2153:M2331,MATCH(Controls!$B$5,A2153:A2331,1)+131)*INDEX(I2153:I2331,MATCH(Controls!$B$5,A2153:A2331,1)+131),"")</f>
        <v/>
      </c>
      <c r="AB2284">
        <f t="shared" si="269"/>
        <v>0</v>
      </c>
    </row>
    <row r="2285" spans="1:28" x14ac:dyDescent="0.35">
      <c r="A2285" s="153">
        <v>50072</v>
      </c>
      <c r="B2285" s="155" t="s">
        <v>960</v>
      </c>
      <c r="C2285" s="15" t="s">
        <v>28</v>
      </c>
      <c r="D2285" s="15" t="s">
        <v>29</v>
      </c>
      <c r="E2285" s="199">
        <f>H2284</f>
        <v>0</v>
      </c>
      <c r="F2285" s="199">
        <f>IFERROR(SUMIFS('Demand Inputs'!$EH$5:$EH$202,'Demand Inputs'!$A$5:$A$202,"47mg LP - EU Stock",'Demand Inputs'!$B$5:$B$202,"&lt;&gt;AGGREGATE",'Demand Inputs'!$E$5:$E$202,1),0)</f>
        <v>0</v>
      </c>
      <c r="G2285" s="199" cm="1">
        <f t="array" ref="G2285">IFERROR(SUMPRODUCT(('Production Inputs'!$A:$A="47mg LP - EU Stock")*('Production Inputs'!$B:$B="TOTAL ACTIVE")*'Production Inputs'!$EN:$EN),0)</f>
        <v>0</v>
      </c>
      <c r="H2285" s="199">
        <f t="shared" si="263"/>
        <v>0</v>
      </c>
      <c r="I2285" s="30">
        <f ca="1">IFERROR(AVERAGEIF(OFFSET(F2285,0,0,MIN(Controls!$B$8,COUNTIF(B2285:B$2331,B2285)),1),"&gt;"&amp;0),0)</f>
        <v>0</v>
      </c>
      <c r="J2285" s="38">
        <f t="shared" ca="1" si="264"/>
        <v>0</v>
      </c>
      <c r="K2285" s="30">
        <f t="shared" ca="1" si="265"/>
        <v>0</v>
      </c>
      <c r="L2285" t="str">
        <f t="shared" si="266"/>
        <v>High</v>
      </c>
      <c r="M2285" s="39">
        <f>IFERROR(VLOOKUP("47mg LP - EU Stock",Controls!A:I,7,0),6)</f>
        <v>9</v>
      </c>
      <c r="N2285" s="39">
        <f>IFERROR(VLOOKUP("47mg LP - EU Stock",Controls!A:I,8,0),3)</f>
        <v>8</v>
      </c>
      <c r="O2285" s="39">
        <f>IFERROR(VLOOKUP("47mg LP - EU Stock",Controls!A:I,9,0),18)</f>
        <v>18</v>
      </c>
      <c r="P2285" s="40">
        <f>IFERROR(VLOOKUP("47mg LP - EU Stock",Controls!A:J,5,0),0)</f>
        <v>10000</v>
      </c>
      <c r="Q2285" s="39">
        <f>IFERROR(VLOOKUP("47mg LP - EU Stock",Controls!A:J,6,0),3)</f>
        <v>3</v>
      </c>
      <c r="R2285" s="21" t="str">
        <f>IFERROR(VLOOKUP("47mg LP - EU Stock",Controls!A:K,10,0),"")</f>
        <v>Patheon (L&amp;P EU)</v>
      </c>
      <c r="S2285" s="41">
        <f t="shared" si="267"/>
        <v>49980</v>
      </c>
      <c r="T2285" s="30">
        <f t="shared" si="268"/>
        <v>0</v>
      </c>
      <c r="W2285" s="205" t="str" cm="1">
        <f t="array" ref="W2285">IF(132&lt;Controls!$B$7,TEXT(INDEX(A2153:A2331,MATCH(Controls!$B$5,A2153:A2331,1)+132),"MMM-YY"),"")</f>
        <v/>
      </c>
      <c r="X2285" t="str" cm="1">
        <f t="array" ref="X2285">IF(132&lt;Controls!$B$7,INDEX(F2153:F2331,MATCH(Controls!$B$5,A2153:A2331,1)+132),"")</f>
        <v/>
      </c>
      <c r="Y2285" t="str" cm="1">
        <f t="array" ref="Y2285">IF(132&lt;Controls!$B$7,INDEX(G2153:G2331,MATCH(Controls!$B$5,A2153:A2331,1)+132),"")</f>
        <v/>
      </c>
      <c r="Z2285" t="str" cm="1">
        <f t="array" ref="Z2285">IF(132&lt;Controls!$B$7,INDEX(H2153:H2331,MATCH(Controls!$B$5,A2153:A2331,1)+132),"")</f>
        <v/>
      </c>
      <c r="AA2285" t="str" cm="1">
        <f t="array" ref="AA2285">IF(132&lt;Controls!$B$7,INDEX(M2153:M2331,MATCH(Controls!$B$5,A2153:A2331,1)+132)*INDEX(I2153:I2331,MATCH(Controls!$B$5,A2153:A2331,1)+132),"")</f>
        <v/>
      </c>
      <c r="AB2285">
        <f t="shared" si="269"/>
        <v>0</v>
      </c>
    </row>
    <row r="2286" spans="1:28" x14ac:dyDescent="0.35">
      <c r="A2286" s="153">
        <v>50100</v>
      </c>
      <c r="B2286" s="155" t="s">
        <v>960</v>
      </c>
      <c r="C2286" s="15" t="s">
        <v>28</v>
      </c>
      <c r="D2286" s="15" t="s">
        <v>29</v>
      </c>
      <c r="E2286" s="199">
        <f>H2285</f>
        <v>0</v>
      </c>
      <c r="F2286" s="199">
        <f>IFERROR(SUMIFS('Demand Inputs'!$EI$5:$EI$202,'Demand Inputs'!$A$5:$A$202,"47mg LP - EU Stock",'Demand Inputs'!$B$5:$B$202,"&lt;&gt;AGGREGATE",'Demand Inputs'!$E$5:$E$202,1),0)</f>
        <v>0</v>
      </c>
      <c r="G2286" s="199" cm="1">
        <f t="array" ref="G2286">IFERROR(SUMPRODUCT(('Production Inputs'!$A:$A="47mg LP - EU Stock")*('Production Inputs'!$B:$B="TOTAL ACTIVE")*'Production Inputs'!$EO:$EO),0)</f>
        <v>0</v>
      </c>
      <c r="H2286" s="199">
        <f t="shared" si="263"/>
        <v>0</v>
      </c>
      <c r="I2286" s="30">
        <f ca="1">IFERROR(AVERAGEIF(OFFSET(F2286,0,0,MIN(Controls!$B$8,COUNTIF(B2286:B$2331,B2286)),1),"&gt;"&amp;0),0)</f>
        <v>0</v>
      </c>
      <c r="J2286" s="38">
        <f t="shared" ca="1" si="264"/>
        <v>0</v>
      </c>
      <c r="K2286" s="30">
        <f t="shared" ca="1" si="265"/>
        <v>0</v>
      </c>
      <c r="L2286" t="str">
        <f t="shared" si="266"/>
        <v>High</v>
      </c>
      <c r="M2286" s="39">
        <f>IFERROR(VLOOKUP("47mg LP - EU Stock",Controls!A:I,7,0),6)</f>
        <v>9</v>
      </c>
      <c r="N2286" s="39">
        <f>IFERROR(VLOOKUP("47mg LP - EU Stock",Controls!A:I,8,0),3)</f>
        <v>8</v>
      </c>
      <c r="O2286" s="39">
        <f>IFERROR(VLOOKUP("47mg LP - EU Stock",Controls!A:I,9,0),18)</f>
        <v>18</v>
      </c>
      <c r="P2286" s="40">
        <f>IFERROR(VLOOKUP("47mg LP - EU Stock",Controls!A:J,5,0),0)</f>
        <v>10000</v>
      </c>
      <c r="Q2286" s="39">
        <f>IFERROR(VLOOKUP("47mg LP - EU Stock",Controls!A:J,6,0),3)</f>
        <v>3</v>
      </c>
      <c r="R2286" s="21" t="str">
        <f>IFERROR(VLOOKUP("47mg LP - EU Stock",Controls!A:K,10,0),"")</f>
        <v>Patheon (L&amp;P EU)</v>
      </c>
      <c r="S2286" s="41">
        <f t="shared" si="267"/>
        <v>50010</v>
      </c>
      <c r="T2286" s="30">
        <f t="shared" si="268"/>
        <v>0</v>
      </c>
      <c r="W2286" s="205" t="str" cm="1">
        <f t="array" ref="W2286">IF(133&lt;Controls!$B$7,TEXT(INDEX(A2153:A2331,MATCH(Controls!$B$5,A2153:A2331,1)+133),"MMM-YY"),"")</f>
        <v/>
      </c>
      <c r="X2286" t="str" cm="1">
        <f t="array" ref="X2286">IF(133&lt;Controls!$B$7,INDEX(F2153:F2331,MATCH(Controls!$B$5,A2153:A2331,1)+133),"")</f>
        <v/>
      </c>
      <c r="Y2286" t="str" cm="1">
        <f t="array" ref="Y2286">IF(133&lt;Controls!$B$7,INDEX(G2153:G2331,MATCH(Controls!$B$5,A2153:A2331,1)+133),"")</f>
        <v/>
      </c>
      <c r="Z2286" t="str" cm="1">
        <f t="array" ref="Z2286">IF(133&lt;Controls!$B$7,INDEX(H2153:H2331,MATCH(Controls!$B$5,A2153:A2331,1)+133),"")</f>
        <v/>
      </c>
      <c r="AA2286" t="str" cm="1">
        <f t="array" ref="AA2286">IF(133&lt;Controls!$B$7,INDEX(M2153:M2331,MATCH(Controls!$B$5,A2153:A2331,1)+133)*INDEX(I2153:I2331,MATCH(Controls!$B$5,A2153:A2331,1)+133),"")</f>
        <v/>
      </c>
      <c r="AB2286">
        <f t="shared" si="269"/>
        <v>0</v>
      </c>
    </row>
    <row r="2287" spans="1:28" x14ac:dyDescent="0.35">
      <c r="A2287" s="153">
        <v>50131</v>
      </c>
      <c r="B2287" s="155" t="s">
        <v>960</v>
      </c>
      <c r="C2287" s="15" t="s">
        <v>28</v>
      </c>
      <c r="D2287" s="15" t="s">
        <v>29</v>
      </c>
      <c r="E2287" s="199">
        <f>H2286</f>
        <v>0</v>
      </c>
      <c r="F2287" s="199">
        <f>IFERROR(SUMIFS('Demand Inputs'!$EJ$5:$EJ$202,'Demand Inputs'!$A$5:$A$202,"47mg LP - EU Stock",'Demand Inputs'!$B$5:$B$202,"&lt;&gt;AGGREGATE",'Demand Inputs'!$E$5:$E$202,1),0)</f>
        <v>0</v>
      </c>
      <c r="G2287" s="199" cm="1">
        <f t="array" ref="G2287">IFERROR(SUMPRODUCT(('Production Inputs'!$A:$A="47mg LP - EU Stock")*('Production Inputs'!$B:$B="TOTAL ACTIVE")*'Production Inputs'!$EP:$EP),0)</f>
        <v>0</v>
      </c>
      <c r="H2287" s="199">
        <f t="shared" si="263"/>
        <v>0</v>
      </c>
      <c r="I2287" s="30">
        <f ca="1">IFERROR(AVERAGEIF(OFFSET(F2287,0,0,MIN(Controls!$B$8,COUNTIF(B2287:B$2331,B2287)),1),"&gt;"&amp;0),0)</f>
        <v>0</v>
      </c>
      <c r="J2287" s="38">
        <f t="shared" ca="1" si="264"/>
        <v>0</v>
      </c>
      <c r="K2287" s="30">
        <f t="shared" ca="1" si="265"/>
        <v>0</v>
      </c>
      <c r="L2287" t="str">
        <f t="shared" si="266"/>
        <v>High</v>
      </c>
      <c r="M2287" s="39">
        <f>IFERROR(VLOOKUP("47mg LP - EU Stock",Controls!A:I,7,0),6)</f>
        <v>9</v>
      </c>
      <c r="N2287" s="39">
        <f>IFERROR(VLOOKUP("47mg LP - EU Stock",Controls!A:I,8,0),3)</f>
        <v>8</v>
      </c>
      <c r="O2287" s="39">
        <f>IFERROR(VLOOKUP("47mg LP - EU Stock",Controls!A:I,9,0),18)</f>
        <v>18</v>
      </c>
      <c r="P2287" s="40">
        <f>IFERROR(VLOOKUP("47mg LP - EU Stock",Controls!A:J,5,0),0)</f>
        <v>10000</v>
      </c>
      <c r="Q2287" s="39">
        <f>IFERROR(VLOOKUP("47mg LP - EU Stock",Controls!A:J,6,0),3)</f>
        <v>3</v>
      </c>
      <c r="R2287" s="21" t="str">
        <f>IFERROR(VLOOKUP("47mg LP - EU Stock",Controls!A:K,10,0),"")</f>
        <v>Patheon (L&amp;P EU)</v>
      </c>
      <c r="S2287" s="41">
        <f t="shared" si="267"/>
        <v>50041</v>
      </c>
      <c r="T2287" s="30">
        <f t="shared" si="268"/>
        <v>0</v>
      </c>
      <c r="W2287" s="205" t="str" cm="1">
        <f t="array" ref="W2287">IF(134&lt;Controls!$B$7,TEXT(INDEX(A2153:A2331,MATCH(Controls!$B$5,A2153:A2331,1)+134),"MMM-YY"),"")</f>
        <v/>
      </c>
      <c r="X2287" t="str" cm="1">
        <f t="array" ref="X2287">IF(134&lt;Controls!$B$7,INDEX(F2153:F2331,MATCH(Controls!$B$5,A2153:A2331,1)+134),"")</f>
        <v/>
      </c>
      <c r="Y2287" t="str" cm="1">
        <f t="array" ref="Y2287">IF(134&lt;Controls!$B$7,INDEX(G2153:G2331,MATCH(Controls!$B$5,A2153:A2331,1)+134),"")</f>
        <v/>
      </c>
      <c r="Z2287" t="str" cm="1">
        <f t="array" ref="Z2287">IF(134&lt;Controls!$B$7,INDEX(H2153:H2331,MATCH(Controls!$B$5,A2153:A2331,1)+134),"")</f>
        <v/>
      </c>
      <c r="AA2287" t="str" cm="1">
        <f t="array" ref="AA2287">IF(134&lt;Controls!$B$7,INDEX(M2153:M2331,MATCH(Controls!$B$5,A2153:A2331,1)+134)*INDEX(I2153:I2331,MATCH(Controls!$B$5,A2153:A2331,1)+134),"")</f>
        <v/>
      </c>
      <c r="AB2287">
        <f t="shared" si="269"/>
        <v>0</v>
      </c>
    </row>
    <row r="2288" spans="1:28" x14ac:dyDescent="0.35">
      <c r="A2288" s="153">
        <v>50161</v>
      </c>
      <c r="B2288" s="155" t="s">
        <v>960</v>
      </c>
      <c r="C2288" s="15" t="s">
        <v>28</v>
      </c>
      <c r="D2288" s="15" t="s">
        <v>29</v>
      </c>
      <c r="E2288" s="199">
        <f>H2287</f>
        <v>0</v>
      </c>
      <c r="F2288" s="199">
        <f>IFERROR(SUMIFS('Demand Inputs'!$EK$5:$EK$202,'Demand Inputs'!$A$5:$A$202,"47mg LP - EU Stock",'Demand Inputs'!$B$5:$B$202,"&lt;&gt;AGGREGATE",'Demand Inputs'!$E$5:$E$202,1),0)</f>
        <v>0</v>
      </c>
      <c r="G2288" s="199" cm="1">
        <f t="array" ref="G2288">IFERROR(SUMPRODUCT(('Production Inputs'!$A:$A="47mg LP - EU Stock")*('Production Inputs'!$B:$B="TOTAL ACTIVE")*'Production Inputs'!$EQ:$EQ),0)</f>
        <v>0</v>
      </c>
      <c r="H2288" s="199">
        <f t="shared" si="263"/>
        <v>0</v>
      </c>
      <c r="I2288" s="30">
        <f ca="1">IFERROR(AVERAGEIF(OFFSET(F2288,0,0,MIN(Controls!$B$8,COUNTIF(B2288:B$2331,B2288)),1),"&gt;"&amp;0),0)</f>
        <v>0</v>
      </c>
      <c r="J2288" s="38">
        <f t="shared" ca="1" si="264"/>
        <v>0</v>
      </c>
      <c r="K2288" s="30">
        <f t="shared" ca="1" si="265"/>
        <v>0</v>
      </c>
      <c r="L2288" t="str">
        <f t="shared" si="266"/>
        <v>High</v>
      </c>
      <c r="M2288" s="39">
        <f>IFERROR(VLOOKUP("47mg LP - EU Stock",Controls!A:I,7,0),6)</f>
        <v>9</v>
      </c>
      <c r="N2288" s="39">
        <f>IFERROR(VLOOKUP("47mg LP - EU Stock",Controls!A:I,8,0),3)</f>
        <v>8</v>
      </c>
      <c r="O2288" s="39">
        <f>IFERROR(VLOOKUP("47mg LP - EU Stock",Controls!A:I,9,0),18)</f>
        <v>18</v>
      </c>
      <c r="P2288" s="40">
        <f>IFERROR(VLOOKUP("47mg LP - EU Stock",Controls!A:J,5,0),0)</f>
        <v>10000</v>
      </c>
      <c r="Q2288" s="39">
        <f>IFERROR(VLOOKUP("47mg LP - EU Stock",Controls!A:J,6,0),3)</f>
        <v>3</v>
      </c>
      <c r="R2288" s="21" t="str">
        <f>IFERROR(VLOOKUP("47mg LP - EU Stock",Controls!A:K,10,0),"")</f>
        <v>Patheon (L&amp;P EU)</v>
      </c>
      <c r="S2288" s="41">
        <f t="shared" si="267"/>
        <v>50072</v>
      </c>
      <c r="T2288" s="30">
        <f t="shared" si="268"/>
        <v>0</v>
      </c>
      <c r="W2288" s="205" t="str" cm="1">
        <f t="array" ref="W2288">IF(135&lt;Controls!$B$7,TEXT(INDEX(A2153:A2331,MATCH(Controls!$B$5,A2153:A2331,1)+135),"MMM-YY"),"")</f>
        <v/>
      </c>
      <c r="X2288" t="str" cm="1">
        <f t="array" ref="X2288">IF(135&lt;Controls!$B$7,INDEX(F2153:F2331,MATCH(Controls!$B$5,A2153:A2331,1)+135),"")</f>
        <v/>
      </c>
      <c r="Y2288" t="str" cm="1">
        <f t="array" ref="Y2288">IF(135&lt;Controls!$B$7,INDEX(G2153:G2331,MATCH(Controls!$B$5,A2153:A2331,1)+135),"")</f>
        <v/>
      </c>
      <c r="Z2288" t="str" cm="1">
        <f t="array" ref="Z2288">IF(135&lt;Controls!$B$7,INDEX(H2153:H2331,MATCH(Controls!$B$5,A2153:A2331,1)+135),"")</f>
        <v/>
      </c>
      <c r="AA2288" t="str" cm="1">
        <f t="array" ref="AA2288">IF(135&lt;Controls!$B$7,INDEX(M2153:M2331,MATCH(Controls!$B$5,A2153:A2331,1)+135)*INDEX(I2153:I2331,MATCH(Controls!$B$5,A2153:A2331,1)+135),"")</f>
        <v/>
      </c>
      <c r="AB2288">
        <f t="shared" si="269"/>
        <v>0</v>
      </c>
    </row>
    <row r="2289" spans="1:28" x14ac:dyDescent="0.35">
      <c r="A2289" s="153">
        <v>50192</v>
      </c>
      <c r="B2289" s="155" t="s">
        <v>960</v>
      </c>
      <c r="C2289" s="15" t="s">
        <v>28</v>
      </c>
      <c r="D2289" s="15" t="s">
        <v>29</v>
      </c>
      <c r="E2289" s="199">
        <f>H2288</f>
        <v>0</v>
      </c>
      <c r="F2289" s="199">
        <f>IFERROR(SUMIFS('Demand Inputs'!$EL$5:$EL$202,'Demand Inputs'!$A$5:$A$202,"47mg LP - EU Stock",'Demand Inputs'!$B$5:$B$202,"&lt;&gt;AGGREGATE",'Demand Inputs'!$E$5:$E$202,1),0)</f>
        <v>0</v>
      </c>
      <c r="G2289" s="199" cm="1">
        <f t="array" ref="G2289">IFERROR(SUMPRODUCT(('Production Inputs'!$A:$A="47mg LP - EU Stock")*('Production Inputs'!$B:$B="TOTAL ACTIVE")*'Production Inputs'!$ER:$ER),0)</f>
        <v>0</v>
      </c>
      <c r="H2289" s="199">
        <f t="shared" si="263"/>
        <v>0</v>
      </c>
      <c r="I2289" s="30">
        <f ca="1">IFERROR(AVERAGEIF(OFFSET(F2289,0,0,MIN(Controls!$B$8,COUNTIF(B2289:B$2331,B2289)),1),"&gt;"&amp;0),0)</f>
        <v>0</v>
      </c>
      <c r="J2289" s="38">
        <f t="shared" ca="1" si="264"/>
        <v>0</v>
      </c>
      <c r="K2289" s="30">
        <f t="shared" ca="1" si="265"/>
        <v>0</v>
      </c>
      <c r="L2289" t="str">
        <f t="shared" si="266"/>
        <v>High</v>
      </c>
      <c r="M2289" s="39">
        <f>IFERROR(VLOOKUP("47mg LP - EU Stock",Controls!A:I,7,0),6)</f>
        <v>9</v>
      </c>
      <c r="N2289" s="39">
        <f>IFERROR(VLOOKUP("47mg LP - EU Stock",Controls!A:I,8,0),3)</f>
        <v>8</v>
      </c>
      <c r="O2289" s="39">
        <f>IFERROR(VLOOKUP("47mg LP - EU Stock",Controls!A:I,9,0),18)</f>
        <v>18</v>
      </c>
      <c r="P2289" s="40">
        <f>IFERROR(VLOOKUP("47mg LP - EU Stock",Controls!A:J,5,0),0)</f>
        <v>10000</v>
      </c>
      <c r="Q2289" s="39">
        <f>IFERROR(VLOOKUP("47mg LP - EU Stock",Controls!A:J,6,0),3)</f>
        <v>3</v>
      </c>
      <c r="R2289" s="21" t="str">
        <f>IFERROR(VLOOKUP("47mg LP - EU Stock",Controls!A:K,10,0),"")</f>
        <v>Patheon (L&amp;P EU)</v>
      </c>
      <c r="S2289" s="41">
        <f t="shared" si="267"/>
        <v>50100</v>
      </c>
      <c r="T2289" s="30">
        <f t="shared" si="268"/>
        <v>0</v>
      </c>
      <c r="W2289" s="205" t="str" cm="1">
        <f t="array" ref="W2289">IF(136&lt;Controls!$B$7,TEXT(INDEX(A2153:A2331,MATCH(Controls!$B$5,A2153:A2331,1)+136),"MMM-YY"),"")</f>
        <v/>
      </c>
      <c r="X2289" t="str" cm="1">
        <f t="array" ref="X2289">IF(136&lt;Controls!$B$7,INDEX(F2153:F2331,MATCH(Controls!$B$5,A2153:A2331,1)+136),"")</f>
        <v/>
      </c>
      <c r="Y2289" t="str" cm="1">
        <f t="array" ref="Y2289">IF(136&lt;Controls!$B$7,INDEX(G2153:G2331,MATCH(Controls!$B$5,A2153:A2331,1)+136),"")</f>
        <v/>
      </c>
      <c r="Z2289" t="str" cm="1">
        <f t="array" ref="Z2289">IF(136&lt;Controls!$B$7,INDEX(H2153:H2331,MATCH(Controls!$B$5,A2153:A2331,1)+136),"")</f>
        <v/>
      </c>
      <c r="AA2289" t="str" cm="1">
        <f t="array" ref="AA2289">IF(136&lt;Controls!$B$7,INDEX(M2153:M2331,MATCH(Controls!$B$5,A2153:A2331,1)+136)*INDEX(I2153:I2331,MATCH(Controls!$B$5,A2153:A2331,1)+136),"")</f>
        <v/>
      </c>
      <c r="AB2289">
        <f t="shared" si="269"/>
        <v>0</v>
      </c>
    </row>
    <row r="2290" spans="1:28" x14ac:dyDescent="0.35">
      <c r="A2290" s="153">
        <v>50222</v>
      </c>
      <c r="B2290" s="155" t="s">
        <v>960</v>
      </c>
      <c r="C2290" s="15" t="s">
        <v>28</v>
      </c>
      <c r="D2290" s="15" t="s">
        <v>29</v>
      </c>
      <c r="E2290" s="199">
        <f>H2289</f>
        <v>0</v>
      </c>
      <c r="F2290" s="199">
        <f>IFERROR(SUMIFS('Demand Inputs'!$EM$5:$EM$202,'Demand Inputs'!$A$5:$A$202,"47mg LP - EU Stock",'Demand Inputs'!$B$5:$B$202,"&lt;&gt;AGGREGATE",'Demand Inputs'!$E$5:$E$202,1),0)</f>
        <v>0</v>
      </c>
      <c r="G2290" s="199" cm="1">
        <f t="array" ref="G2290">IFERROR(SUMPRODUCT(('Production Inputs'!$A:$A="47mg LP - EU Stock")*('Production Inputs'!$B:$B="TOTAL ACTIVE")*'Production Inputs'!$ES:$ES),0)</f>
        <v>0</v>
      </c>
      <c r="H2290" s="199">
        <f t="shared" si="263"/>
        <v>0</v>
      </c>
      <c r="I2290" s="30">
        <f ca="1">IFERROR(AVERAGEIF(OFFSET(F2290,0,0,MIN(Controls!$B$8,COUNTIF(B2290:B$2331,B2290)),1),"&gt;"&amp;0),0)</f>
        <v>0</v>
      </c>
      <c r="J2290" s="38">
        <f t="shared" ca="1" si="264"/>
        <v>0</v>
      </c>
      <c r="K2290" s="30">
        <f t="shared" ca="1" si="265"/>
        <v>0</v>
      </c>
      <c r="L2290" t="str">
        <f t="shared" si="266"/>
        <v>High</v>
      </c>
      <c r="M2290" s="39">
        <f>IFERROR(VLOOKUP("47mg LP - EU Stock",Controls!A:I,7,0),6)</f>
        <v>9</v>
      </c>
      <c r="N2290" s="39">
        <f>IFERROR(VLOOKUP("47mg LP - EU Stock",Controls!A:I,8,0),3)</f>
        <v>8</v>
      </c>
      <c r="O2290" s="39">
        <f>IFERROR(VLOOKUP("47mg LP - EU Stock",Controls!A:I,9,0),18)</f>
        <v>18</v>
      </c>
      <c r="P2290" s="40">
        <f>IFERROR(VLOOKUP("47mg LP - EU Stock",Controls!A:J,5,0),0)</f>
        <v>10000</v>
      </c>
      <c r="Q2290" s="39">
        <f>IFERROR(VLOOKUP("47mg LP - EU Stock",Controls!A:J,6,0),3)</f>
        <v>3</v>
      </c>
      <c r="R2290" s="21" t="str">
        <f>IFERROR(VLOOKUP("47mg LP - EU Stock",Controls!A:K,10,0),"")</f>
        <v>Patheon (L&amp;P EU)</v>
      </c>
      <c r="S2290" s="41">
        <f t="shared" si="267"/>
        <v>50131</v>
      </c>
      <c r="T2290" s="30">
        <f t="shared" si="268"/>
        <v>0</v>
      </c>
      <c r="W2290" s="205" t="str" cm="1">
        <f t="array" ref="W2290">IF(137&lt;Controls!$B$7,TEXT(INDEX(A2153:A2331,MATCH(Controls!$B$5,A2153:A2331,1)+137),"MMM-YY"),"")</f>
        <v/>
      </c>
      <c r="X2290" t="str" cm="1">
        <f t="array" ref="X2290">IF(137&lt;Controls!$B$7,INDEX(F2153:F2331,MATCH(Controls!$B$5,A2153:A2331,1)+137),"")</f>
        <v/>
      </c>
      <c r="Y2290" t="str" cm="1">
        <f t="array" ref="Y2290">IF(137&lt;Controls!$B$7,INDEX(G2153:G2331,MATCH(Controls!$B$5,A2153:A2331,1)+137),"")</f>
        <v/>
      </c>
      <c r="Z2290" t="str" cm="1">
        <f t="array" ref="Z2290">IF(137&lt;Controls!$B$7,INDEX(H2153:H2331,MATCH(Controls!$B$5,A2153:A2331,1)+137),"")</f>
        <v/>
      </c>
      <c r="AA2290" t="str" cm="1">
        <f t="array" ref="AA2290">IF(137&lt;Controls!$B$7,INDEX(M2153:M2331,MATCH(Controls!$B$5,A2153:A2331,1)+137)*INDEX(I2153:I2331,MATCH(Controls!$B$5,A2153:A2331,1)+137),"")</f>
        <v/>
      </c>
      <c r="AB2290">
        <f t="shared" si="269"/>
        <v>0</v>
      </c>
    </row>
    <row r="2291" spans="1:28" x14ac:dyDescent="0.35">
      <c r="A2291" s="153">
        <v>50253</v>
      </c>
      <c r="B2291" s="155" t="s">
        <v>960</v>
      </c>
      <c r="C2291" s="15" t="s">
        <v>28</v>
      </c>
      <c r="D2291" s="15" t="s">
        <v>29</v>
      </c>
      <c r="E2291" s="199">
        <f>H2290</f>
        <v>0</v>
      </c>
      <c r="F2291" s="199">
        <f>IFERROR(SUMIFS('Demand Inputs'!$EN$5:$EN$202,'Demand Inputs'!$A$5:$A$202,"47mg LP - EU Stock",'Demand Inputs'!$B$5:$B$202,"&lt;&gt;AGGREGATE",'Demand Inputs'!$E$5:$E$202,1),0)</f>
        <v>0</v>
      </c>
      <c r="G2291" s="199" cm="1">
        <f t="array" ref="G2291">IFERROR(SUMPRODUCT(('Production Inputs'!$A:$A="47mg LP - EU Stock")*('Production Inputs'!$B:$B="TOTAL ACTIVE")*'Production Inputs'!$ET:$ET),0)</f>
        <v>0</v>
      </c>
      <c r="H2291" s="199">
        <f t="shared" si="263"/>
        <v>0</v>
      </c>
      <c r="I2291" s="30">
        <f ca="1">IFERROR(AVERAGEIF(OFFSET(F2291,0,0,MIN(Controls!$B$8,COUNTIF(B2291:B$2331,B2291)),1),"&gt;"&amp;0),0)</f>
        <v>0</v>
      </c>
      <c r="J2291" s="38">
        <f t="shared" ca="1" si="264"/>
        <v>0</v>
      </c>
      <c r="K2291" s="30">
        <f t="shared" ca="1" si="265"/>
        <v>0</v>
      </c>
      <c r="L2291" t="str">
        <f t="shared" si="266"/>
        <v>High</v>
      </c>
      <c r="M2291" s="39">
        <f>IFERROR(VLOOKUP("47mg LP - EU Stock",Controls!A:I,7,0),6)</f>
        <v>9</v>
      </c>
      <c r="N2291" s="39">
        <f>IFERROR(VLOOKUP("47mg LP - EU Stock",Controls!A:I,8,0),3)</f>
        <v>8</v>
      </c>
      <c r="O2291" s="39">
        <f>IFERROR(VLOOKUP("47mg LP - EU Stock",Controls!A:I,9,0),18)</f>
        <v>18</v>
      </c>
      <c r="P2291" s="40">
        <f>IFERROR(VLOOKUP("47mg LP - EU Stock",Controls!A:J,5,0),0)</f>
        <v>10000</v>
      </c>
      <c r="Q2291" s="39">
        <f>IFERROR(VLOOKUP("47mg LP - EU Stock",Controls!A:J,6,0),3)</f>
        <v>3</v>
      </c>
      <c r="R2291" s="21" t="str">
        <f>IFERROR(VLOOKUP("47mg LP - EU Stock",Controls!A:K,10,0),"")</f>
        <v>Patheon (L&amp;P EU)</v>
      </c>
      <c r="S2291" s="41">
        <f t="shared" si="267"/>
        <v>50161</v>
      </c>
      <c r="T2291" s="30">
        <f t="shared" si="268"/>
        <v>0</v>
      </c>
      <c r="W2291" s="205" t="str" cm="1">
        <f t="array" ref="W2291">IF(138&lt;Controls!$B$7,TEXT(INDEX(A2153:A2331,MATCH(Controls!$B$5,A2153:A2331,1)+138),"MMM-YY"),"")</f>
        <v/>
      </c>
      <c r="X2291" t="str" cm="1">
        <f t="array" ref="X2291">IF(138&lt;Controls!$B$7,INDEX(F2153:F2331,MATCH(Controls!$B$5,A2153:A2331,1)+138),"")</f>
        <v/>
      </c>
      <c r="Y2291" t="str" cm="1">
        <f t="array" ref="Y2291">IF(138&lt;Controls!$B$7,INDEX(G2153:G2331,MATCH(Controls!$B$5,A2153:A2331,1)+138),"")</f>
        <v/>
      </c>
      <c r="Z2291" t="str" cm="1">
        <f t="array" ref="Z2291">IF(138&lt;Controls!$B$7,INDEX(H2153:H2331,MATCH(Controls!$B$5,A2153:A2331,1)+138),"")</f>
        <v/>
      </c>
      <c r="AA2291" t="str" cm="1">
        <f t="array" ref="AA2291">IF(138&lt;Controls!$B$7,INDEX(M2153:M2331,MATCH(Controls!$B$5,A2153:A2331,1)+138)*INDEX(I2153:I2331,MATCH(Controls!$B$5,A2153:A2331,1)+138),"")</f>
        <v/>
      </c>
      <c r="AB2291">
        <f t="shared" si="269"/>
        <v>0</v>
      </c>
    </row>
    <row r="2292" spans="1:28" x14ac:dyDescent="0.35">
      <c r="A2292" s="153">
        <v>50284</v>
      </c>
      <c r="B2292" s="155" t="s">
        <v>960</v>
      </c>
      <c r="C2292" s="15" t="s">
        <v>28</v>
      </c>
      <c r="D2292" s="15" t="s">
        <v>29</v>
      </c>
      <c r="E2292" s="199">
        <f>H2291</f>
        <v>0</v>
      </c>
      <c r="F2292" s="199">
        <f>IFERROR(SUMIFS('Demand Inputs'!$EO$5:$EO$202,'Demand Inputs'!$A$5:$A$202,"47mg LP - EU Stock",'Demand Inputs'!$B$5:$B$202,"&lt;&gt;AGGREGATE",'Demand Inputs'!$E$5:$E$202,1),0)</f>
        <v>0</v>
      </c>
      <c r="G2292" s="199" cm="1">
        <f t="array" ref="G2292">IFERROR(SUMPRODUCT(('Production Inputs'!$A:$A="47mg LP - EU Stock")*('Production Inputs'!$B:$B="TOTAL ACTIVE")*'Production Inputs'!$EU:$EU),0)</f>
        <v>0</v>
      </c>
      <c r="H2292" s="199">
        <f t="shared" si="263"/>
        <v>0</v>
      </c>
      <c r="I2292" s="30">
        <f ca="1">IFERROR(AVERAGEIF(OFFSET(F2292,0,0,MIN(Controls!$B$8,COUNTIF(B2292:B$2331,B2292)),1),"&gt;"&amp;0),0)</f>
        <v>0</v>
      </c>
      <c r="J2292" s="38">
        <f t="shared" ca="1" si="264"/>
        <v>0</v>
      </c>
      <c r="K2292" s="30">
        <f t="shared" ca="1" si="265"/>
        <v>0</v>
      </c>
      <c r="L2292" t="str">
        <f t="shared" si="266"/>
        <v>High</v>
      </c>
      <c r="M2292" s="39">
        <f>IFERROR(VLOOKUP("47mg LP - EU Stock",Controls!A:I,7,0),6)</f>
        <v>9</v>
      </c>
      <c r="N2292" s="39">
        <f>IFERROR(VLOOKUP("47mg LP - EU Stock",Controls!A:I,8,0),3)</f>
        <v>8</v>
      </c>
      <c r="O2292" s="39">
        <f>IFERROR(VLOOKUP("47mg LP - EU Stock",Controls!A:I,9,0),18)</f>
        <v>18</v>
      </c>
      <c r="P2292" s="40">
        <f>IFERROR(VLOOKUP("47mg LP - EU Stock",Controls!A:J,5,0),0)</f>
        <v>10000</v>
      </c>
      <c r="Q2292" s="39">
        <f>IFERROR(VLOOKUP("47mg LP - EU Stock",Controls!A:J,6,0),3)</f>
        <v>3</v>
      </c>
      <c r="R2292" s="21" t="str">
        <f>IFERROR(VLOOKUP("47mg LP - EU Stock",Controls!A:K,10,0),"")</f>
        <v>Patheon (L&amp;P EU)</v>
      </c>
      <c r="S2292" s="41">
        <f t="shared" si="267"/>
        <v>50192</v>
      </c>
      <c r="T2292" s="30">
        <f t="shared" si="268"/>
        <v>0</v>
      </c>
      <c r="W2292" s="205" t="str" cm="1">
        <f t="array" ref="W2292">IF(139&lt;Controls!$B$7,TEXT(INDEX(A2153:A2331,MATCH(Controls!$B$5,A2153:A2331,1)+139),"MMM-YY"),"")</f>
        <v/>
      </c>
      <c r="X2292" t="str" cm="1">
        <f t="array" ref="X2292">IF(139&lt;Controls!$B$7,INDEX(F2153:F2331,MATCH(Controls!$B$5,A2153:A2331,1)+139),"")</f>
        <v/>
      </c>
      <c r="Y2292" t="str" cm="1">
        <f t="array" ref="Y2292">IF(139&lt;Controls!$B$7,INDEX(G2153:G2331,MATCH(Controls!$B$5,A2153:A2331,1)+139),"")</f>
        <v/>
      </c>
      <c r="Z2292" t="str" cm="1">
        <f t="array" ref="Z2292">IF(139&lt;Controls!$B$7,INDEX(H2153:H2331,MATCH(Controls!$B$5,A2153:A2331,1)+139),"")</f>
        <v/>
      </c>
      <c r="AA2292" t="str" cm="1">
        <f t="array" ref="AA2292">IF(139&lt;Controls!$B$7,INDEX(M2153:M2331,MATCH(Controls!$B$5,A2153:A2331,1)+139)*INDEX(I2153:I2331,MATCH(Controls!$B$5,A2153:A2331,1)+139),"")</f>
        <v/>
      </c>
      <c r="AB2292">
        <f t="shared" si="269"/>
        <v>0</v>
      </c>
    </row>
    <row r="2293" spans="1:28" x14ac:dyDescent="0.35">
      <c r="A2293" s="153">
        <v>50314</v>
      </c>
      <c r="B2293" s="155" t="s">
        <v>960</v>
      </c>
      <c r="C2293" s="15" t="s">
        <v>28</v>
      </c>
      <c r="D2293" s="15" t="s">
        <v>29</v>
      </c>
      <c r="E2293" s="199">
        <f>H2292</f>
        <v>0</v>
      </c>
      <c r="F2293" s="199">
        <f>IFERROR(SUMIFS('Demand Inputs'!$EP$5:$EP$202,'Demand Inputs'!$A$5:$A$202,"47mg LP - EU Stock",'Demand Inputs'!$B$5:$B$202,"&lt;&gt;AGGREGATE",'Demand Inputs'!$E$5:$E$202,1),0)</f>
        <v>0</v>
      </c>
      <c r="G2293" s="199" cm="1">
        <f t="array" ref="G2293">IFERROR(SUMPRODUCT(('Production Inputs'!$A:$A="47mg LP - EU Stock")*('Production Inputs'!$B:$B="TOTAL ACTIVE")*'Production Inputs'!$EV:$EV),0)</f>
        <v>0</v>
      </c>
      <c r="H2293" s="199">
        <f t="shared" si="263"/>
        <v>0</v>
      </c>
      <c r="I2293" s="30">
        <f ca="1">IFERROR(AVERAGEIF(OFFSET(F2293,0,0,MIN(Controls!$B$8,COUNTIF(B2293:B$2331,B2293)),1),"&gt;"&amp;0),0)</f>
        <v>0</v>
      </c>
      <c r="J2293" s="38">
        <f t="shared" ca="1" si="264"/>
        <v>0</v>
      </c>
      <c r="K2293" s="30">
        <f t="shared" ca="1" si="265"/>
        <v>0</v>
      </c>
      <c r="L2293" t="str">
        <f t="shared" si="266"/>
        <v>High</v>
      </c>
      <c r="M2293" s="39">
        <f>IFERROR(VLOOKUP("47mg LP - EU Stock",Controls!A:I,7,0),6)</f>
        <v>9</v>
      </c>
      <c r="N2293" s="39">
        <f>IFERROR(VLOOKUP("47mg LP - EU Stock",Controls!A:I,8,0),3)</f>
        <v>8</v>
      </c>
      <c r="O2293" s="39">
        <f>IFERROR(VLOOKUP("47mg LP - EU Stock",Controls!A:I,9,0),18)</f>
        <v>18</v>
      </c>
      <c r="P2293" s="40">
        <f>IFERROR(VLOOKUP("47mg LP - EU Stock",Controls!A:J,5,0),0)</f>
        <v>10000</v>
      </c>
      <c r="Q2293" s="39">
        <f>IFERROR(VLOOKUP("47mg LP - EU Stock",Controls!A:J,6,0),3)</f>
        <v>3</v>
      </c>
      <c r="R2293" s="21" t="str">
        <f>IFERROR(VLOOKUP("47mg LP - EU Stock",Controls!A:K,10,0),"")</f>
        <v>Patheon (L&amp;P EU)</v>
      </c>
      <c r="S2293" s="41">
        <f t="shared" si="267"/>
        <v>50222</v>
      </c>
      <c r="T2293" s="30">
        <f t="shared" si="268"/>
        <v>0</v>
      </c>
      <c r="W2293" s="205" t="str" cm="1">
        <f t="array" ref="W2293">IF(140&lt;Controls!$B$7,TEXT(INDEX(A2153:A2331,MATCH(Controls!$B$5,A2153:A2331,1)+140),"MMM-YY"),"")</f>
        <v/>
      </c>
      <c r="X2293" t="str" cm="1">
        <f t="array" ref="X2293">IF(140&lt;Controls!$B$7,INDEX(F2153:F2331,MATCH(Controls!$B$5,A2153:A2331,1)+140),"")</f>
        <v/>
      </c>
      <c r="Y2293" t="str" cm="1">
        <f t="array" ref="Y2293">IF(140&lt;Controls!$B$7,INDEX(G2153:G2331,MATCH(Controls!$B$5,A2153:A2331,1)+140),"")</f>
        <v/>
      </c>
      <c r="Z2293" t="str" cm="1">
        <f t="array" ref="Z2293">IF(140&lt;Controls!$B$7,INDEX(H2153:H2331,MATCH(Controls!$B$5,A2153:A2331,1)+140),"")</f>
        <v/>
      </c>
      <c r="AA2293" t="str" cm="1">
        <f t="array" ref="AA2293">IF(140&lt;Controls!$B$7,INDEX(M2153:M2331,MATCH(Controls!$B$5,A2153:A2331,1)+140)*INDEX(I2153:I2331,MATCH(Controls!$B$5,A2153:A2331,1)+140),"")</f>
        <v/>
      </c>
      <c r="AB2293">
        <f t="shared" si="269"/>
        <v>0</v>
      </c>
    </row>
    <row r="2294" spans="1:28" x14ac:dyDescent="0.35">
      <c r="A2294" s="153">
        <v>50345</v>
      </c>
      <c r="B2294" s="155" t="s">
        <v>960</v>
      </c>
      <c r="C2294" s="15" t="s">
        <v>28</v>
      </c>
      <c r="D2294" s="15" t="s">
        <v>29</v>
      </c>
      <c r="E2294" s="199">
        <f>H2293</f>
        <v>0</v>
      </c>
      <c r="F2294" s="199">
        <f>IFERROR(SUMIFS('Demand Inputs'!$EQ$5:$EQ$202,'Demand Inputs'!$A$5:$A$202,"47mg LP - EU Stock",'Demand Inputs'!$B$5:$B$202,"&lt;&gt;AGGREGATE",'Demand Inputs'!$E$5:$E$202,1),0)</f>
        <v>0</v>
      </c>
      <c r="G2294" s="199" cm="1">
        <f t="array" ref="G2294">IFERROR(SUMPRODUCT(('Production Inputs'!$A:$A="47mg LP - EU Stock")*('Production Inputs'!$B:$B="TOTAL ACTIVE")*'Production Inputs'!$EW:$EW),0)</f>
        <v>0</v>
      </c>
      <c r="H2294" s="199">
        <f t="shared" ref="H2294:H2331" si="270">E2294+G2294-F2294</f>
        <v>0</v>
      </c>
      <c r="I2294" s="30">
        <f ca="1">IFERROR(AVERAGEIF(OFFSET(F2294,0,0,MIN(Controls!$B$8,COUNTIF(B2294:B$2331,B2294)),1),"&gt;"&amp;0),0)</f>
        <v>0</v>
      </c>
      <c r="J2294" s="38">
        <f t="shared" ref="J2294:J2331" ca="1" si="271">IFERROR(H2294/I2294,IF(H2294&gt;0,999,0))</f>
        <v>0</v>
      </c>
      <c r="K2294" s="30">
        <f t="shared" ref="K2294:K2331" ca="1" si="272">IFERROR(IF(H2294&lt;(N2294*I2294), CEILING(MAX(0,ROUND((M2294*I2294-H2294)/P2294,0)*P2294),P2294), 0), 0)</f>
        <v>0</v>
      </c>
      <c r="L2294" t="str">
        <f t="shared" ref="L2294:L2331" si="273">IF(H2294&lt;=0,"High",IF(J2294&lt;N2294,"High",IF(J2294&lt;M2294,"Medium",IF(J2294&gt;O2294,"Overstock","Low"))))</f>
        <v>High</v>
      </c>
      <c r="M2294" s="39">
        <f>IFERROR(VLOOKUP("47mg LP - EU Stock",Controls!A:I,7,0),6)</f>
        <v>9</v>
      </c>
      <c r="N2294" s="39">
        <f>IFERROR(VLOOKUP("47mg LP - EU Stock",Controls!A:I,8,0),3)</f>
        <v>8</v>
      </c>
      <c r="O2294" s="39">
        <f>IFERROR(VLOOKUP("47mg LP - EU Stock",Controls!A:I,9,0),18)</f>
        <v>18</v>
      </c>
      <c r="P2294" s="40">
        <f>IFERROR(VLOOKUP("47mg LP - EU Stock",Controls!A:J,5,0),0)</f>
        <v>10000</v>
      </c>
      <c r="Q2294" s="39">
        <f>IFERROR(VLOOKUP("47mg LP - EU Stock",Controls!A:J,6,0),3)</f>
        <v>3</v>
      </c>
      <c r="R2294" s="21" t="str">
        <f>IFERROR(VLOOKUP("47mg LP - EU Stock",Controls!A:K,10,0),"")</f>
        <v>Patheon (L&amp;P EU)</v>
      </c>
      <c r="S2294" s="41">
        <f t="shared" ref="S2294:S2331" si="274">IFERROR(EDATE(A2294,-Q2294),"")</f>
        <v>50253</v>
      </c>
      <c r="T2294" s="30">
        <f t="shared" ref="T2294:T2331" si="275">G2294</f>
        <v>0</v>
      </c>
      <c r="W2294" s="205" t="str" cm="1">
        <f t="array" ref="W2294">IF(141&lt;Controls!$B$7,TEXT(INDEX(A2153:A2331,MATCH(Controls!$B$5,A2153:A2331,1)+141),"MMM-YY"),"")</f>
        <v/>
      </c>
      <c r="X2294" t="str" cm="1">
        <f t="array" ref="X2294">IF(141&lt;Controls!$B$7,INDEX(F2153:F2331,MATCH(Controls!$B$5,A2153:A2331,1)+141),"")</f>
        <v/>
      </c>
      <c r="Y2294" t="str" cm="1">
        <f t="array" ref="Y2294">IF(141&lt;Controls!$B$7,INDEX(G2153:G2331,MATCH(Controls!$B$5,A2153:A2331,1)+141),"")</f>
        <v/>
      </c>
      <c r="Z2294" t="str" cm="1">
        <f t="array" ref="Z2294">IF(141&lt;Controls!$B$7,INDEX(H2153:H2331,MATCH(Controls!$B$5,A2153:A2331,1)+141),"")</f>
        <v/>
      </c>
      <c r="AA2294" t="str" cm="1">
        <f t="array" ref="AA2294">IF(141&lt;Controls!$B$7,INDEX(M2153:M2331,MATCH(Controls!$B$5,A2153:A2331,1)+141)*INDEX(I2153:I2331,MATCH(Controls!$B$5,A2153:A2331,1)+141),"")</f>
        <v/>
      </c>
      <c r="AB2294">
        <f t="shared" si="269"/>
        <v>0</v>
      </c>
    </row>
    <row r="2295" spans="1:28" x14ac:dyDescent="0.35">
      <c r="A2295" s="153">
        <v>50375</v>
      </c>
      <c r="B2295" s="155" t="s">
        <v>960</v>
      </c>
      <c r="C2295" s="15" t="s">
        <v>28</v>
      </c>
      <c r="D2295" s="15" t="s">
        <v>29</v>
      </c>
      <c r="E2295" s="199">
        <f>H2294</f>
        <v>0</v>
      </c>
      <c r="F2295" s="199">
        <f>IFERROR(SUMIFS('Demand Inputs'!$ER$5:$ER$202,'Demand Inputs'!$A$5:$A$202,"47mg LP - EU Stock",'Demand Inputs'!$B$5:$B$202,"&lt;&gt;AGGREGATE",'Demand Inputs'!$E$5:$E$202,1),0)</f>
        <v>0</v>
      </c>
      <c r="G2295" s="199" cm="1">
        <f t="array" ref="G2295">IFERROR(SUMPRODUCT(('Production Inputs'!$A:$A="47mg LP - EU Stock")*('Production Inputs'!$B:$B="TOTAL ACTIVE")*'Production Inputs'!$EX:$EX),0)</f>
        <v>0</v>
      </c>
      <c r="H2295" s="199">
        <f t="shared" si="270"/>
        <v>0</v>
      </c>
      <c r="I2295" s="30">
        <f ca="1">IFERROR(AVERAGEIF(OFFSET(F2295,0,0,MIN(Controls!$B$8,COUNTIF(B2295:B$2331,B2295)),1),"&gt;"&amp;0),0)</f>
        <v>0</v>
      </c>
      <c r="J2295" s="38">
        <f t="shared" ca="1" si="271"/>
        <v>0</v>
      </c>
      <c r="K2295" s="30">
        <f t="shared" ca="1" si="272"/>
        <v>0</v>
      </c>
      <c r="L2295" t="str">
        <f t="shared" si="273"/>
        <v>High</v>
      </c>
      <c r="M2295" s="39">
        <f>IFERROR(VLOOKUP("47mg LP - EU Stock",Controls!A:I,7,0),6)</f>
        <v>9</v>
      </c>
      <c r="N2295" s="39">
        <f>IFERROR(VLOOKUP("47mg LP - EU Stock",Controls!A:I,8,0),3)</f>
        <v>8</v>
      </c>
      <c r="O2295" s="39">
        <f>IFERROR(VLOOKUP("47mg LP - EU Stock",Controls!A:I,9,0),18)</f>
        <v>18</v>
      </c>
      <c r="P2295" s="40">
        <f>IFERROR(VLOOKUP("47mg LP - EU Stock",Controls!A:J,5,0),0)</f>
        <v>10000</v>
      </c>
      <c r="Q2295" s="39">
        <f>IFERROR(VLOOKUP("47mg LP - EU Stock",Controls!A:J,6,0),3)</f>
        <v>3</v>
      </c>
      <c r="R2295" s="21" t="str">
        <f>IFERROR(VLOOKUP("47mg LP - EU Stock",Controls!A:K,10,0),"")</f>
        <v>Patheon (L&amp;P EU)</v>
      </c>
      <c r="S2295" s="41">
        <f t="shared" si="274"/>
        <v>50284</v>
      </c>
      <c r="T2295" s="30">
        <f t="shared" si="275"/>
        <v>0</v>
      </c>
      <c r="W2295" s="205" t="str" cm="1">
        <f t="array" ref="W2295">IF(142&lt;Controls!$B$7,TEXT(INDEX(A2153:A2331,MATCH(Controls!$B$5,A2153:A2331,1)+142),"MMM-YY"),"")</f>
        <v/>
      </c>
      <c r="X2295" t="str" cm="1">
        <f t="array" ref="X2295">IF(142&lt;Controls!$B$7,INDEX(F2153:F2331,MATCH(Controls!$B$5,A2153:A2331,1)+142),"")</f>
        <v/>
      </c>
      <c r="Y2295" t="str" cm="1">
        <f t="array" ref="Y2295">IF(142&lt;Controls!$B$7,INDEX(G2153:G2331,MATCH(Controls!$B$5,A2153:A2331,1)+142),"")</f>
        <v/>
      </c>
      <c r="Z2295" t="str" cm="1">
        <f t="array" ref="Z2295">IF(142&lt;Controls!$B$7,INDEX(H2153:H2331,MATCH(Controls!$B$5,A2153:A2331,1)+142),"")</f>
        <v/>
      </c>
      <c r="AA2295" t="str" cm="1">
        <f t="array" ref="AA2295">IF(142&lt;Controls!$B$7,INDEX(M2153:M2331,MATCH(Controls!$B$5,A2153:A2331,1)+142)*INDEX(I2153:I2331,MATCH(Controls!$B$5,A2153:A2331,1)+142),"")</f>
        <v/>
      </c>
      <c r="AB2295">
        <f t="shared" si="269"/>
        <v>0</v>
      </c>
    </row>
    <row r="2296" spans="1:28" x14ac:dyDescent="0.35">
      <c r="A2296" s="153">
        <v>50406</v>
      </c>
      <c r="B2296" s="155" t="s">
        <v>960</v>
      </c>
      <c r="C2296" s="15" t="s">
        <v>28</v>
      </c>
      <c r="D2296" s="15" t="s">
        <v>29</v>
      </c>
      <c r="E2296" s="199">
        <f>H2295</f>
        <v>0</v>
      </c>
      <c r="F2296" s="199">
        <f>IFERROR(SUMIFS('Demand Inputs'!$ES$5:$ES$202,'Demand Inputs'!$A$5:$A$202,"47mg LP - EU Stock",'Demand Inputs'!$B$5:$B$202,"&lt;&gt;AGGREGATE",'Demand Inputs'!$E$5:$E$202,1),0)</f>
        <v>0</v>
      </c>
      <c r="G2296" s="199" cm="1">
        <f t="array" ref="G2296">IFERROR(SUMPRODUCT(('Production Inputs'!$A:$A="47mg LP - EU Stock")*('Production Inputs'!$B:$B="TOTAL ACTIVE")*'Production Inputs'!$EY:$EY),0)</f>
        <v>0</v>
      </c>
      <c r="H2296" s="199">
        <f t="shared" si="270"/>
        <v>0</v>
      </c>
      <c r="I2296" s="30">
        <f ca="1">IFERROR(AVERAGEIF(OFFSET(F2296,0,0,MIN(Controls!$B$8,COUNTIF(B2296:B$2331,B2296)),1),"&gt;"&amp;0),0)</f>
        <v>0</v>
      </c>
      <c r="J2296" s="38">
        <f t="shared" ca="1" si="271"/>
        <v>0</v>
      </c>
      <c r="K2296" s="30">
        <f t="shared" ca="1" si="272"/>
        <v>0</v>
      </c>
      <c r="L2296" t="str">
        <f t="shared" si="273"/>
        <v>High</v>
      </c>
      <c r="M2296" s="39">
        <f>IFERROR(VLOOKUP("47mg LP - EU Stock",Controls!A:I,7,0),6)</f>
        <v>9</v>
      </c>
      <c r="N2296" s="39">
        <f>IFERROR(VLOOKUP("47mg LP - EU Stock",Controls!A:I,8,0),3)</f>
        <v>8</v>
      </c>
      <c r="O2296" s="39">
        <f>IFERROR(VLOOKUP("47mg LP - EU Stock",Controls!A:I,9,0),18)</f>
        <v>18</v>
      </c>
      <c r="P2296" s="40">
        <f>IFERROR(VLOOKUP("47mg LP - EU Stock",Controls!A:J,5,0),0)</f>
        <v>10000</v>
      </c>
      <c r="Q2296" s="39">
        <f>IFERROR(VLOOKUP("47mg LP - EU Stock",Controls!A:J,6,0),3)</f>
        <v>3</v>
      </c>
      <c r="R2296" s="21" t="str">
        <f>IFERROR(VLOOKUP("47mg LP - EU Stock",Controls!A:K,10,0),"")</f>
        <v>Patheon (L&amp;P EU)</v>
      </c>
      <c r="S2296" s="41">
        <f t="shared" si="274"/>
        <v>50314</v>
      </c>
      <c r="T2296" s="30">
        <f t="shared" si="275"/>
        <v>0</v>
      </c>
      <c r="W2296" s="205" t="str" cm="1">
        <f t="array" ref="W2296">IF(143&lt;Controls!$B$7,TEXT(INDEX(A2153:A2331,MATCH(Controls!$B$5,A2153:A2331,1)+143),"MMM-YY"),"")</f>
        <v/>
      </c>
      <c r="X2296" t="str" cm="1">
        <f t="array" ref="X2296">IF(143&lt;Controls!$B$7,INDEX(F2153:F2331,MATCH(Controls!$B$5,A2153:A2331,1)+143),"")</f>
        <v/>
      </c>
      <c r="Y2296" t="str" cm="1">
        <f t="array" ref="Y2296">IF(143&lt;Controls!$B$7,INDEX(G2153:G2331,MATCH(Controls!$B$5,A2153:A2331,1)+143),"")</f>
        <v/>
      </c>
      <c r="Z2296" t="str" cm="1">
        <f t="array" ref="Z2296">IF(143&lt;Controls!$B$7,INDEX(H2153:H2331,MATCH(Controls!$B$5,A2153:A2331,1)+143),"")</f>
        <v/>
      </c>
      <c r="AA2296" t="str" cm="1">
        <f t="array" ref="AA2296">IF(143&lt;Controls!$B$7,INDEX(M2153:M2331,MATCH(Controls!$B$5,A2153:A2331,1)+143)*INDEX(I2153:I2331,MATCH(Controls!$B$5,A2153:A2331,1)+143),"")</f>
        <v/>
      </c>
      <c r="AB2296">
        <f t="shared" si="269"/>
        <v>0</v>
      </c>
    </row>
    <row r="2297" spans="1:28" x14ac:dyDescent="0.35">
      <c r="A2297" s="153">
        <v>50437</v>
      </c>
      <c r="B2297" s="155" t="s">
        <v>960</v>
      </c>
      <c r="C2297" s="15" t="s">
        <v>28</v>
      </c>
      <c r="D2297" s="15" t="s">
        <v>29</v>
      </c>
      <c r="E2297" s="199">
        <f>H2296</f>
        <v>0</v>
      </c>
      <c r="F2297" s="199">
        <f>IFERROR(SUMIFS('Demand Inputs'!$ET$5:$ET$202,'Demand Inputs'!$A$5:$A$202,"47mg LP - EU Stock",'Demand Inputs'!$B$5:$B$202,"&lt;&gt;AGGREGATE",'Demand Inputs'!$E$5:$E$202,1),0)</f>
        <v>0</v>
      </c>
      <c r="G2297" s="199" cm="1">
        <f t="array" ref="G2297">IFERROR(SUMPRODUCT(('Production Inputs'!$A:$A="47mg LP - EU Stock")*('Production Inputs'!$B:$B="TOTAL ACTIVE")*'Production Inputs'!$EZ:$EZ),0)</f>
        <v>0</v>
      </c>
      <c r="H2297" s="199">
        <f t="shared" si="270"/>
        <v>0</v>
      </c>
      <c r="I2297" s="30">
        <f ca="1">IFERROR(AVERAGEIF(OFFSET(F2297,0,0,MIN(Controls!$B$8,COUNTIF(B2297:B$2331,B2297)),1),"&gt;"&amp;0),0)</f>
        <v>0</v>
      </c>
      <c r="J2297" s="38">
        <f t="shared" ca="1" si="271"/>
        <v>0</v>
      </c>
      <c r="K2297" s="30">
        <f t="shared" ca="1" si="272"/>
        <v>0</v>
      </c>
      <c r="L2297" t="str">
        <f t="shared" si="273"/>
        <v>High</v>
      </c>
      <c r="M2297" s="39">
        <f>IFERROR(VLOOKUP("47mg LP - EU Stock",Controls!A:I,7,0),6)</f>
        <v>9</v>
      </c>
      <c r="N2297" s="39">
        <f>IFERROR(VLOOKUP("47mg LP - EU Stock",Controls!A:I,8,0),3)</f>
        <v>8</v>
      </c>
      <c r="O2297" s="39">
        <f>IFERROR(VLOOKUP("47mg LP - EU Stock",Controls!A:I,9,0),18)</f>
        <v>18</v>
      </c>
      <c r="P2297" s="40">
        <f>IFERROR(VLOOKUP("47mg LP - EU Stock",Controls!A:J,5,0),0)</f>
        <v>10000</v>
      </c>
      <c r="Q2297" s="39">
        <f>IFERROR(VLOOKUP("47mg LP - EU Stock",Controls!A:J,6,0),3)</f>
        <v>3</v>
      </c>
      <c r="R2297" s="21" t="str">
        <f>IFERROR(VLOOKUP("47mg LP - EU Stock",Controls!A:K,10,0),"")</f>
        <v>Patheon (L&amp;P EU)</v>
      </c>
      <c r="S2297" s="41">
        <f t="shared" si="274"/>
        <v>50345</v>
      </c>
      <c r="T2297" s="30">
        <f t="shared" si="275"/>
        <v>0</v>
      </c>
      <c r="W2297" s="205" t="str" cm="1">
        <f t="array" ref="W2297">IF(144&lt;Controls!$B$7,TEXT(INDEX(A2153:A2331,MATCH(Controls!$B$5,A2153:A2331,1)+144),"MMM-YY"),"")</f>
        <v/>
      </c>
      <c r="X2297" t="str" cm="1">
        <f t="array" ref="X2297">IF(144&lt;Controls!$B$7,INDEX(F2153:F2331,MATCH(Controls!$B$5,A2153:A2331,1)+144),"")</f>
        <v/>
      </c>
      <c r="Y2297" t="str" cm="1">
        <f t="array" ref="Y2297">IF(144&lt;Controls!$B$7,INDEX(G2153:G2331,MATCH(Controls!$B$5,A2153:A2331,1)+144),"")</f>
        <v/>
      </c>
      <c r="Z2297" t="str" cm="1">
        <f t="array" ref="Z2297">IF(144&lt;Controls!$B$7,INDEX(H2153:H2331,MATCH(Controls!$B$5,A2153:A2331,1)+144),"")</f>
        <v/>
      </c>
      <c r="AA2297" t="str" cm="1">
        <f t="array" ref="AA2297">IF(144&lt;Controls!$B$7,INDEX(M2153:M2331,MATCH(Controls!$B$5,A2153:A2331,1)+144)*INDEX(I2153:I2331,MATCH(Controls!$B$5,A2153:A2331,1)+144),"")</f>
        <v/>
      </c>
      <c r="AB2297">
        <f t="shared" si="269"/>
        <v>0</v>
      </c>
    </row>
    <row r="2298" spans="1:28" x14ac:dyDescent="0.35">
      <c r="A2298" s="153">
        <v>50465</v>
      </c>
      <c r="B2298" s="155" t="s">
        <v>960</v>
      </c>
      <c r="C2298" s="15" t="s">
        <v>28</v>
      </c>
      <c r="D2298" s="15" t="s">
        <v>29</v>
      </c>
      <c r="E2298" s="199">
        <f>H2297</f>
        <v>0</v>
      </c>
      <c r="F2298" s="199">
        <f>IFERROR(SUMIFS('Demand Inputs'!$EU$5:$EU$202,'Demand Inputs'!$A$5:$A$202,"47mg LP - EU Stock",'Demand Inputs'!$B$5:$B$202,"&lt;&gt;AGGREGATE",'Demand Inputs'!$E$5:$E$202,1),0)</f>
        <v>0</v>
      </c>
      <c r="G2298" s="199" cm="1">
        <f t="array" ref="G2298">IFERROR(SUMPRODUCT(('Production Inputs'!$A:$A="47mg LP - EU Stock")*('Production Inputs'!$B:$B="TOTAL ACTIVE")*'Production Inputs'!$FA:$FA),0)</f>
        <v>0</v>
      </c>
      <c r="H2298" s="199">
        <f t="shared" si="270"/>
        <v>0</v>
      </c>
      <c r="I2298" s="30">
        <f ca="1">IFERROR(AVERAGEIF(OFFSET(F2298,0,0,MIN(Controls!$B$8,COUNTIF(B2298:B$2331,B2298)),1),"&gt;"&amp;0),0)</f>
        <v>0</v>
      </c>
      <c r="J2298" s="38">
        <f t="shared" ca="1" si="271"/>
        <v>0</v>
      </c>
      <c r="K2298" s="30">
        <f t="shared" ca="1" si="272"/>
        <v>0</v>
      </c>
      <c r="L2298" t="str">
        <f t="shared" si="273"/>
        <v>High</v>
      </c>
      <c r="M2298" s="39">
        <f>IFERROR(VLOOKUP("47mg LP - EU Stock",Controls!A:I,7,0),6)</f>
        <v>9</v>
      </c>
      <c r="N2298" s="39">
        <f>IFERROR(VLOOKUP("47mg LP - EU Stock",Controls!A:I,8,0),3)</f>
        <v>8</v>
      </c>
      <c r="O2298" s="39">
        <f>IFERROR(VLOOKUP("47mg LP - EU Stock",Controls!A:I,9,0),18)</f>
        <v>18</v>
      </c>
      <c r="P2298" s="40">
        <f>IFERROR(VLOOKUP("47mg LP - EU Stock",Controls!A:J,5,0),0)</f>
        <v>10000</v>
      </c>
      <c r="Q2298" s="39">
        <f>IFERROR(VLOOKUP("47mg LP - EU Stock",Controls!A:J,6,0),3)</f>
        <v>3</v>
      </c>
      <c r="R2298" s="21" t="str">
        <f>IFERROR(VLOOKUP("47mg LP - EU Stock",Controls!A:K,10,0),"")</f>
        <v>Patheon (L&amp;P EU)</v>
      </c>
      <c r="S2298" s="41">
        <f t="shared" si="274"/>
        <v>50375</v>
      </c>
      <c r="T2298" s="30">
        <f t="shared" si="275"/>
        <v>0</v>
      </c>
      <c r="W2298" s="205" t="str" cm="1">
        <f t="array" ref="W2298">IF(145&lt;Controls!$B$7,TEXT(INDEX(A2153:A2331,MATCH(Controls!$B$5,A2153:A2331,1)+145),"MMM-YY"),"")</f>
        <v/>
      </c>
      <c r="X2298" t="str" cm="1">
        <f t="array" ref="X2298">IF(145&lt;Controls!$B$7,INDEX(F2153:F2331,MATCH(Controls!$B$5,A2153:A2331,1)+145),"")</f>
        <v/>
      </c>
      <c r="Y2298" t="str" cm="1">
        <f t="array" ref="Y2298">IF(145&lt;Controls!$B$7,INDEX(G2153:G2331,MATCH(Controls!$B$5,A2153:A2331,1)+145),"")</f>
        <v/>
      </c>
      <c r="Z2298" t="str" cm="1">
        <f t="array" ref="Z2298">IF(145&lt;Controls!$B$7,INDEX(H2153:H2331,MATCH(Controls!$B$5,A2153:A2331,1)+145),"")</f>
        <v/>
      </c>
      <c r="AA2298" t="str" cm="1">
        <f t="array" ref="AA2298">IF(145&lt;Controls!$B$7,INDEX(M2153:M2331,MATCH(Controls!$B$5,A2153:A2331,1)+145)*INDEX(I2153:I2331,MATCH(Controls!$B$5,A2153:A2331,1)+145),"")</f>
        <v/>
      </c>
      <c r="AB2298">
        <f t="shared" si="269"/>
        <v>0</v>
      </c>
    </row>
    <row r="2299" spans="1:28" x14ac:dyDescent="0.35">
      <c r="A2299" s="153">
        <v>50496</v>
      </c>
      <c r="B2299" s="155" t="s">
        <v>960</v>
      </c>
      <c r="C2299" s="15" t="s">
        <v>28</v>
      </c>
      <c r="D2299" s="15" t="s">
        <v>29</v>
      </c>
      <c r="E2299" s="199">
        <f>H2298</f>
        <v>0</v>
      </c>
      <c r="F2299" s="199">
        <f>IFERROR(SUMIFS('Demand Inputs'!$EV$5:$EV$202,'Demand Inputs'!$A$5:$A$202,"47mg LP - EU Stock",'Demand Inputs'!$B$5:$B$202,"&lt;&gt;AGGREGATE",'Demand Inputs'!$E$5:$E$202,1),0)</f>
        <v>0</v>
      </c>
      <c r="G2299" s="199" cm="1">
        <f t="array" ref="G2299">IFERROR(SUMPRODUCT(('Production Inputs'!$A:$A="47mg LP - EU Stock")*('Production Inputs'!$B:$B="TOTAL ACTIVE")*'Production Inputs'!$FB:$FB),0)</f>
        <v>0</v>
      </c>
      <c r="H2299" s="199">
        <f t="shared" si="270"/>
        <v>0</v>
      </c>
      <c r="I2299" s="30">
        <f ca="1">IFERROR(AVERAGEIF(OFFSET(F2299,0,0,MIN(Controls!$B$8,COUNTIF(B2299:B$2331,B2299)),1),"&gt;"&amp;0),0)</f>
        <v>0</v>
      </c>
      <c r="J2299" s="38">
        <f t="shared" ca="1" si="271"/>
        <v>0</v>
      </c>
      <c r="K2299" s="30">
        <f t="shared" ca="1" si="272"/>
        <v>0</v>
      </c>
      <c r="L2299" t="str">
        <f t="shared" si="273"/>
        <v>High</v>
      </c>
      <c r="M2299" s="39">
        <f>IFERROR(VLOOKUP("47mg LP - EU Stock",Controls!A:I,7,0),6)</f>
        <v>9</v>
      </c>
      <c r="N2299" s="39">
        <f>IFERROR(VLOOKUP("47mg LP - EU Stock",Controls!A:I,8,0),3)</f>
        <v>8</v>
      </c>
      <c r="O2299" s="39">
        <f>IFERROR(VLOOKUP("47mg LP - EU Stock",Controls!A:I,9,0),18)</f>
        <v>18</v>
      </c>
      <c r="P2299" s="40">
        <f>IFERROR(VLOOKUP("47mg LP - EU Stock",Controls!A:J,5,0),0)</f>
        <v>10000</v>
      </c>
      <c r="Q2299" s="39">
        <f>IFERROR(VLOOKUP("47mg LP - EU Stock",Controls!A:J,6,0),3)</f>
        <v>3</v>
      </c>
      <c r="R2299" s="21" t="str">
        <f>IFERROR(VLOOKUP("47mg LP - EU Stock",Controls!A:K,10,0),"")</f>
        <v>Patheon (L&amp;P EU)</v>
      </c>
      <c r="S2299" s="41">
        <f t="shared" si="274"/>
        <v>50406</v>
      </c>
      <c r="T2299" s="30">
        <f t="shared" si="275"/>
        <v>0</v>
      </c>
      <c r="W2299" s="205" t="str" cm="1">
        <f t="array" ref="W2299">IF(146&lt;Controls!$B$7,TEXT(INDEX(A2153:A2331,MATCH(Controls!$B$5,A2153:A2331,1)+146),"MMM-YY"),"")</f>
        <v/>
      </c>
      <c r="X2299" t="str" cm="1">
        <f t="array" ref="X2299">IF(146&lt;Controls!$B$7,INDEX(F2153:F2331,MATCH(Controls!$B$5,A2153:A2331,1)+146),"")</f>
        <v/>
      </c>
      <c r="Y2299" t="str" cm="1">
        <f t="array" ref="Y2299">IF(146&lt;Controls!$B$7,INDEX(G2153:G2331,MATCH(Controls!$B$5,A2153:A2331,1)+146),"")</f>
        <v/>
      </c>
      <c r="Z2299" t="str" cm="1">
        <f t="array" ref="Z2299">IF(146&lt;Controls!$B$7,INDEX(H2153:H2331,MATCH(Controls!$B$5,A2153:A2331,1)+146),"")</f>
        <v/>
      </c>
      <c r="AA2299" t="str" cm="1">
        <f t="array" ref="AA2299">IF(146&lt;Controls!$B$7,INDEX(M2153:M2331,MATCH(Controls!$B$5,A2153:A2331,1)+146)*INDEX(I2153:I2331,MATCH(Controls!$B$5,A2153:A2331,1)+146),"")</f>
        <v/>
      </c>
      <c r="AB2299">
        <f t="shared" si="269"/>
        <v>0</v>
      </c>
    </row>
    <row r="2300" spans="1:28" x14ac:dyDescent="0.35">
      <c r="A2300" s="153">
        <v>50526</v>
      </c>
      <c r="B2300" s="155" t="s">
        <v>960</v>
      </c>
      <c r="C2300" s="15" t="s">
        <v>28</v>
      </c>
      <c r="D2300" s="15" t="s">
        <v>29</v>
      </c>
      <c r="E2300" s="199">
        <f>H2299</f>
        <v>0</v>
      </c>
      <c r="F2300" s="199">
        <f>IFERROR(SUMIFS('Demand Inputs'!$EW$5:$EW$202,'Demand Inputs'!$A$5:$A$202,"47mg LP - EU Stock",'Demand Inputs'!$B$5:$B$202,"&lt;&gt;AGGREGATE",'Demand Inputs'!$E$5:$E$202,1),0)</f>
        <v>0</v>
      </c>
      <c r="G2300" s="199" cm="1">
        <f t="array" ref="G2300">IFERROR(SUMPRODUCT(('Production Inputs'!$A:$A="47mg LP - EU Stock")*('Production Inputs'!$B:$B="TOTAL ACTIVE")*'Production Inputs'!$FC:$FC),0)</f>
        <v>0</v>
      </c>
      <c r="H2300" s="199">
        <f t="shared" si="270"/>
        <v>0</v>
      </c>
      <c r="I2300" s="30">
        <f ca="1">IFERROR(AVERAGEIF(OFFSET(F2300,0,0,MIN(Controls!$B$8,COUNTIF(B2300:B$2331,B2300)),1),"&gt;"&amp;0),0)</f>
        <v>0</v>
      </c>
      <c r="J2300" s="38">
        <f t="shared" ca="1" si="271"/>
        <v>0</v>
      </c>
      <c r="K2300" s="30">
        <f t="shared" ca="1" si="272"/>
        <v>0</v>
      </c>
      <c r="L2300" t="str">
        <f t="shared" si="273"/>
        <v>High</v>
      </c>
      <c r="M2300" s="39">
        <f>IFERROR(VLOOKUP("47mg LP - EU Stock",Controls!A:I,7,0),6)</f>
        <v>9</v>
      </c>
      <c r="N2300" s="39">
        <f>IFERROR(VLOOKUP("47mg LP - EU Stock",Controls!A:I,8,0),3)</f>
        <v>8</v>
      </c>
      <c r="O2300" s="39">
        <f>IFERROR(VLOOKUP("47mg LP - EU Stock",Controls!A:I,9,0),18)</f>
        <v>18</v>
      </c>
      <c r="P2300" s="40">
        <f>IFERROR(VLOOKUP("47mg LP - EU Stock",Controls!A:J,5,0),0)</f>
        <v>10000</v>
      </c>
      <c r="Q2300" s="39">
        <f>IFERROR(VLOOKUP("47mg LP - EU Stock",Controls!A:J,6,0),3)</f>
        <v>3</v>
      </c>
      <c r="R2300" s="21" t="str">
        <f>IFERROR(VLOOKUP("47mg LP - EU Stock",Controls!A:K,10,0),"")</f>
        <v>Patheon (L&amp;P EU)</v>
      </c>
      <c r="S2300" s="41">
        <f t="shared" si="274"/>
        <v>50437</v>
      </c>
      <c r="T2300" s="30">
        <f t="shared" si="275"/>
        <v>0</v>
      </c>
      <c r="W2300" s="205" t="str" cm="1">
        <f t="array" ref="W2300">IF(147&lt;Controls!$B$7,TEXT(INDEX(A2153:A2331,MATCH(Controls!$B$5,A2153:A2331,1)+147),"MMM-YY"),"")</f>
        <v/>
      </c>
      <c r="X2300" t="str" cm="1">
        <f t="array" ref="X2300">IF(147&lt;Controls!$B$7,INDEX(F2153:F2331,MATCH(Controls!$B$5,A2153:A2331,1)+147),"")</f>
        <v/>
      </c>
      <c r="Y2300" t="str" cm="1">
        <f t="array" ref="Y2300">IF(147&lt;Controls!$B$7,INDEX(G2153:G2331,MATCH(Controls!$B$5,A2153:A2331,1)+147),"")</f>
        <v/>
      </c>
      <c r="Z2300" t="str" cm="1">
        <f t="array" ref="Z2300">IF(147&lt;Controls!$B$7,INDEX(H2153:H2331,MATCH(Controls!$B$5,A2153:A2331,1)+147),"")</f>
        <v/>
      </c>
      <c r="AA2300" t="str" cm="1">
        <f t="array" ref="AA2300">IF(147&lt;Controls!$B$7,INDEX(M2153:M2331,MATCH(Controls!$B$5,A2153:A2331,1)+147)*INDEX(I2153:I2331,MATCH(Controls!$B$5,A2153:A2331,1)+147),"")</f>
        <v/>
      </c>
      <c r="AB2300">
        <f t="shared" si="269"/>
        <v>0</v>
      </c>
    </row>
    <row r="2301" spans="1:28" x14ac:dyDescent="0.35">
      <c r="A2301" s="153">
        <v>50557</v>
      </c>
      <c r="B2301" s="155" t="s">
        <v>960</v>
      </c>
      <c r="C2301" s="15" t="s">
        <v>28</v>
      </c>
      <c r="D2301" s="15" t="s">
        <v>29</v>
      </c>
      <c r="E2301" s="199">
        <f>H2300</f>
        <v>0</v>
      </c>
      <c r="F2301" s="199">
        <f>IFERROR(SUMIFS('Demand Inputs'!$EX$5:$EX$202,'Demand Inputs'!$A$5:$A$202,"47mg LP - EU Stock",'Demand Inputs'!$B$5:$B$202,"&lt;&gt;AGGREGATE",'Demand Inputs'!$E$5:$E$202,1),0)</f>
        <v>0</v>
      </c>
      <c r="G2301" s="199" cm="1">
        <f t="array" ref="G2301">IFERROR(SUMPRODUCT(('Production Inputs'!$A:$A="47mg LP - EU Stock")*('Production Inputs'!$B:$B="TOTAL ACTIVE")*'Production Inputs'!$FD:$FD),0)</f>
        <v>0</v>
      </c>
      <c r="H2301" s="199">
        <f t="shared" si="270"/>
        <v>0</v>
      </c>
      <c r="I2301" s="30">
        <f ca="1">IFERROR(AVERAGEIF(OFFSET(F2301,0,0,MIN(Controls!$B$8,COUNTIF(B2301:B$2331,B2301)),1),"&gt;"&amp;0),0)</f>
        <v>0</v>
      </c>
      <c r="J2301" s="38">
        <f t="shared" ca="1" si="271"/>
        <v>0</v>
      </c>
      <c r="K2301" s="30">
        <f t="shared" ca="1" si="272"/>
        <v>0</v>
      </c>
      <c r="L2301" t="str">
        <f t="shared" si="273"/>
        <v>High</v>
      </c>
      <c r="M2301" s="39">
        <f>IFERROR(VLOOKUP("47mg LP - EU Stock",Controls!A:I,7,0),6)</f>
        <v>9</v>
      </c>
      <c r="N2301" s="39">
        <f>IFERROR(VLOOKUP("47mg LP - EU Stock",Controls!A:I,8,0),3)</f>
        <v>8</v>
      </c>
      <c r="O2301" s="39">
        <f>IFERROR(VLOOKUP("47mg LP - EU Stock",Controls!A:I,9,0),18)</f>
        <v>18</v>
      </c>
      <c r="P2301" s="40">
        <f>IFERROR(VLOOKUP("47mg LP - EU Stock",Controls!A:J,5,0),0)</f>
        <v>10000</v>
      </c>
      <c r="Q2301" s="39">
        <f>IFERROR(VLOOKUP("47mg LP - EU Stock",Controls!A:J,6,0),3)</f>
        <v>3</v>
      </c>
      <c r="R2301" s="21" t="str">
        <f>IFERROR(VLOOKUP("47mg LP - EU Stock",Controls!A:K,10,0),"")</f>
        <v>Patheon (L&amp;P EU)</v>
      </c>
      <c r="S2301" s="41">
        <f t="shared" si="274"/>
        <v>50465</v>
      </c>
      <c r="T2301" s="30">
        <f t="shared" si="275"/>
        <v>0</v>
      </c>
      <c r="W2301" s="205" t="str" cm="1">
        <f t="array" ref="W2301">IF(148&lt;Controls!$B$7,TEXT(INDEX(A2153:A2331,MATCH(Controls!$B$5,A2153:A2331,1)+148),"MMM-YY"),"")</f>
        <v/>
      </c>
      <c r="X2301" t="str" cm="1">
        <f t="array" ref="X2301">IF(148&lt;Controls!$B$7,INDEX(F2153:F2331,MATCH(Controls!$B$5,A2153:A2331,1)+148),"")</f>
        <v/>
      </c>
      <c r="Y2301" t="str" cm="1">
        <f t="array" ref="Y2301">IF(148&lt;Controls!$B$7,INDEX(G2153:G2331,MATCH(Controls!$B$5,A2153:A2331,1)+148),"")</f>
        <v/>
      </c>
      <c r="Z2301" t="str" cm="1">
        <f t="array" ref="Z2301">IF(148&lt;Controls!$B$7,INDEX(H2153:H2331,MATCH(Controls!$B$5,A2153:A2331,1)+148),"")</f>
        <v/>
      </c>
      <c r="AA2301" t="str" cm="1">
        <f t="array" ref="AA2301">IF(148&lt;Controls!$B$7,INDEX(M2153:M2331,MATCH(Controls!$B$5,A2153:A2331,1)+148)*INDEX(I2153:I2331,MATCH(Controls!$B$5,A2153:A2331,1)+148),"")</f>
        <v/>
      </c>
      <c r="AB2301">
        <f t="shared" si="269"/>
        <v>0</v>
      </c>
    </row>
    <row r="2302" spans="1:28" x14ac:dyDescent="0.35">
      <c r="A2302" s="153">
        <v>50587</v>
      </c>
      <c r="B2302" s="155" t="s">
        <v>960</v>
      </c>
      <c r="C2302" s="15" t="s">
        <v>28</v>
      </c>
      <c r="D2302" s="15" t="s">
        <v>29</v>
      </c>
      <c r="E2302" s="199">
        <f>H2301</f>
        <v>0</v>
      </c>
      <c r="F2302" s="199">
        <f>IFERROR(SUMIFS('Demand Inputs'!$EY$5:$EY$202,'Demand Inputs'!$A$5:$A$202,"47mg LP - EU Stock",'Demand Inputs'!$B$5:$B$202,"&lt;&gt;AGGREGATE",'Demand Inputs'!$E$5:$E$202,1),0)</f>
        <v>0</v>
      </c>
      <c r="G2302" s="199" cm="1">
        <f t="array" ref="G2302">IFERROR(SUMPRODUCT(('Production Inputs'!$A:$A="47mg LP - EU Stock")*('Production Inputs'!$B:$B="TOTAL ACTIVE")*'Production Inputs'!$FE:$FE),0)</f>
        <v>0</v>
      </c>
      <c r="H2302" s="199">
        <f t="shared" si="270"/>
        <v>0</v>
      </c>
      <c r="I2302" s="30">
        <f ca="1">IFERROR(AVERAGEIF(OFFSET(F2302,0,0,MIN(Controls!$B$8,COUNTIF(B2302:B$2331,B2302)),1),"&gt;"&amp;0),0)</f>
        <v>0</v>
      </c>
      <c r="J2302" s="38">
        <f t="shared" ca="1" si="271"/>
        <v>0</v>
      </c>
      <c r="K2302" s="30">
        <f t="shared" ca="1" si="272"/>
        <v>0</v>
      </c>
      <c r="L2302" t="str">
        <f t="shared" si="273"/>
        <v>High</v>
      </c>
      <c r="M2302" s="39">
        <f>IFERROR(VLOOKUP("47mg LP - EU Stock",Controls!A:I,7,0),6)</f>
        <v>9</v>
      </c>
      <c r="N2302" s="39">
        <f>IFERROR(VLOOKUP("47mg LP - EU Stock",Controls!A:I,8,0),3)</f>
        <v>8</v>
      </c>
      <c r="O2302" s="39">
        <f>IFERROR(VLOOKUP("47mg LP - EU Stock",Controls!A:I,9,0),18)</f>
        <v>18</v>
      </c>
      <c r="P2302" s="40">
        <f>IFERROR(VLOOKUP("47mg LP - EU Stock",Controls!A:J,5,0),0)</f>
        <v>10000</v>
      </c>
      <c r="Q2302" s="39">
        <f>IFERROR(VLOOKUP("47mg LP - EU Stock",Controls!A:J,6,0),3)</f>
        <v>3</v>
      </c>
      <c r="R2302" s="21" t="str">
        <f>IFERROR(VLOOKUP("47mg LP - EU Stock",Controls!A:K,10,0),"")</f>
        <v>Patheon (L&amp;P EU)</v>
      </c>
      <c r="S2302" s="41">
        <f t="shared" si="274"/>
        <v>50496</v>
      </c>
      <c r="T2302" s="30">
        <f t="shared" si="275"/>
        <v>0</v>
      </c>
      <c r="W2302" s="205" t="str" cm="1">
        <f t="array" ref="W2302">IF(149&lt;Controls!$B$7,TEXT(INDEX(A2153:A2331,MATCH(Controls!$B$5,A2153:A2331,1)+149),"MMM-YY"),"")</f>
        <v/>
      </c>
      <c r="X2302" t="str" cm="1">
        <f t="array" ref="X2302">IF(149&lt;Controls!$B$7,INDEX(F2153:F2331,MATCH(Controls!$B$5,A2153:A2331,1)+149),"")</f>
        <v/>
      </c>
      <c r="Y2302" t="str" cm="1">
        <f t="array" ref="Y2302">IF(149&lt;Controls!$B$7,INDEX(G2153:G2331,MATCH(Controls!$B$5,A2153:A2331,1)+149),"")</f>
        <v/>
      </c>
      <c r="Z2302" t="str" cm="1">
        <f t="array" ref="Z2302">IF(149&lt;Controls!$B$7,INDEX(H2153:H2331,MATCH(Controls!$B$5,A2153:A2331,1)+149),"")</f>
        <v/>
      </c>
      <c r="AA2302" t="str" cm="1">
        <f t="array" ref="AA2302">IF(149&lt;Controls!$B$7,INDEX(M2153:M2331,MATCH(Controls!$B$5,A2153:A2331,1)+149)*INDEX(I2153:I2331,MATCH(Controls!$B$5,A2153:A2331,1)+149),"")</f>
        <v/>
      </c>
      <c r="AB2302">
        <f t="shared" si="269"/>
        <v>0</v>
      </c>
    </row>
    <row r="2303" spans="1:28" x14ac:dyDescent="0.35">
      <c r="A2303" s="153">
        <v>50618</v>
      </c>
      <c r="B2303" s="155" t="s">
        <v>960</v>
      </c>
      <c r="C2303" s="15" t="s">
        <v>28</v>
      </c>
      <c r="D2303" s="15" t="s">
        <v>29</v>
      </c>
      <c r="E2303" s="199">
        <f>H2302</f>
        <v>0</v>
      </c>
      <c r="F2303" s="199">
        <f>IFERROR(SUMIFS('Demand Inputs'!$EZ$5:$EZ$202,'Demand Inputs'!$A$5:$A$202,"47mg LP - EU Stock",'Demand Inputs'!$B$5:$B$202,"&lt;&gt;AGGREGATE",'Demand Inputs'!$E$5:$E$202,1),0)</f>
        <v>0</v>
      </c>
      <c r="G2303" s="199" cm="1">
        <f t="array" ref="G2303">IFERROR(SUMPRODUCT(('Production Inputs'!$A:$A="47mg LP - EU Stock")*('Production Inputs'!$B:$B="TOTAL ACTIVE")*'Production Inputs'!$FF:$FF),0)</f>
        <v>0</v>
      </c>
      <c r="H2303" s="199">
        <f t="shared" si="270"/>
        <v>0</v>
      </c>
      <c r="I2303" s="30">
        <f ca="1">IFERROR(AVERAGEIF(OFFSET(F2303,0,0,MIN(Controls!$B$8,COUNTIF(B2303:B$2331,B2303)),1),"&gt;"&amp;0),0)</f>
        <v>0</v>
      </c>
      <c r="J2303" s="38">
        <f t="shared" ca="1" si="271"/>
        <v>0</v>
      </c>
      <c r="K2303" s="30">
        <f t="shared" ca="1" si="272"/>
        <v>0</v>
      </c>
      <c r="L2303" t="str">
        <f t="shared" si="273"/>
        <v>High</v>
      </c>
      <c r="M2303" s="39">
        <f>IFERROR(VLOOKUP("47mg LP - EU Stock",Controls!A:I,7,0),6)</f>
        <v>9</v>
      </c>
      <c r="N2303" s="39">
        <f>IFERROR(VLOOKUP("47mg LP - EU Stock",Controls!A:I,8,0),3)</f>
        <v>8</v>
      </c>
      <c r="O2303" s="39">
        <f>IFERROR(VLOOKUP("47mg LP - EU Stock",Controls!A:I,9,0),18)</f>
        <v>18</v>
      </c>
      <c r="P2303" s="40">
        <f>IFERROR(VLOOKUP("47mg LP - EU Stock",Controls!A:J,5,0),0)</f>
        <v>10000</v>
      </c>
      <c r="Q2303" s="39">
        <f>IFERROR(VLOOKUP("47mg LP - EU Stock",Controls!A:J,6,0),3)</f>
        <v>3</v>
      </c>
      <c r="R2303" s="21" t="str">
        <f>IFERROR(VLOOKUP("47mg LP - EU Stock",Controls!A:K,10,0),"")</f>
        <v>Patheon (L&amp;P EU)</v>
      </c>
      <c r="S2303" s="41">
        <f t="shared" si="274"/>
        <v>50526</v>
      </c>
      <c r="T2303" s="30">
        <f t="shared" si="275"/>
        <v>0</v>
      </c>
      <c r="W2303" s="205" t="str" cm="1">
        <f t="array" ref="W2303">IF(150&lt;Controls!$B$7,TEXT(INDEX(A2153:A2331,MATCH(Controls!$B$5,A2153:A2331,1)+150),"MMM-YY"),"")</f>
        <v/>
      </c>
      <c r="X2303" t="str" cm="1">
        <f t="array" ref="X2303">IF(150&lt;Controls!$B$7,INDEX(F2153:F2331,MATCH(Controls!$B$5,A2153:A2331,1)+150),"")</f>
        <v/>
      </c>
      <c r="Y2303" t="str" cm="1">
        <f t="array" ref="Y2303">IF(150&lt;Controls!$B$7,INDEX(G2153:G2331,MATCH(Controls!$B$5,A2153:A2331,1)+150),"")</f>
        <v/>
      </c>
      <c r="Z2303" t="str" cm="1">
        <f t="array" ref="Z2303">IF(150&lt;Controls!$B$7,INDEX(H2153:H2331,MATCH(Controls!$B$5,A2153:A2331,1)+150),"")</f>
        <v/>
      </c>
      <c r="AA2303" t="str" cm="1">
        <f t="array" ref="AA2303">IF(150&lt;Controls!$B$7,INDEX(M2153:M2331,MATCH(Controls!$B$5,A2153:A2331,1)+150)*INDEX(I2153:I2331,MATCH(Controls!$B$5,A2153:A2331,1)+150),"")</f>
        <v/>
      </c>
      <c r="AB2303">
        <f t="shared" si="269"/>
        <v>0</v>
      </c>
    </row>
    <row r="2304" spans="1:28" x14ac:dyDescent="0.35">
      <c r="A2304" s="153">
        <v>50649</v>
      </c>
      <c r="B2304" s="155" t="s">
        <v>960</v>
      </c>
      <c r="C2304" s="15" t="s">
        <v>28</v>
      </c>
      <c r="D2304" s="15" t="s">
        <v>29</v>
      </c>
      <c r="E2304" s="199">
        <f>H2303</f>
        <v>0</v>
      </c>
      <c r="F2304" s="199">
        <f>IFERROR(SUMIFS('Demand Inputs'!$FA$5:$FA$202,'Demand Inputs'!$A$5:$A$202,"47mg LP - EU Stock",'Demand Inputs'!$B$5:$B$202,"&lt;&gt;AGGREGATE",'Demand Inputs'!$E$5:$E$202,1),0)</f>
        <v>0</v>
      </c>
      <c r="G2304" s="199" cm="1">
        <f t="array" ref="G2304">IFERROR(SUMPRODUCT(('Production Inputs'!$A:$A="47mg LP - EU Stock")*('Production Inputs'!$B:$B="TOTAL ACTIVE")*'Production Inputs'!$FG:$FG),0)</f>
        <v>0</v>
      </c>
      <c r="H2304" s="199">
        <f t="shared" si="270"/>
        <v>0</v>
      </c>
      <c r="I2304" s="30">
        <f ca="1">IFERROR(AVERAGEIF(OFFSET(F2304,0,0,MIN(Controls!$B$8,COUNTIF(B2304:B$2331,B2304)),1),"&gt;"&amp;0),0)</f>
        <v>0</v>
      </c>
      <c r="J2304" s="38">
        <f t="shared" ca="1" si="271"/>
        <v>0</v>
      </c>
      <c r="K2304" s="30">
        <f t="shared" ca="1" si="272"/>
        <v>0</v>
      </c>
      <c r="L2304" t="str">
        <f t="shared" si="273"/>
        <v>High</v>
      </c>
      <c r="M2304" s="39">
        <f>IFERROR(VLOOKUP("47mg LP - EU Stock",Controls!A:I,7,0),6)</f>
        <v>9</v>
      </c>
      <c r="N2304" s="39">
        <f>IFERROR(VLOOKUP("47mg LP - EU Stock",Controls!A:I,8,0),3)</f>
        <v>8</v>
      </c>
      <c r="O2304" s="39">
        <f>IFERROR(VLOOKUP("47mg LP - EU Stock",Controls!A:I,9,0),18)</f>
        <v>18</v>
      </c>
      <c r="P2304" s="40">
        <f>IFERROR(VLOOKUP("47mg LP - EU Stock",Controls!A:J,5,0),0)</f>
        <v>10000</v>
      </c>
      <c r="Q2304" s="39">
        <f>IFERROR(VLOOKUP("47mg LP - EU Stock",Controls!A:J,6,0),3)</f>
        <v>3</v>
      </c>
      <c r="R2304" s="21" t="str">
        <f>IFERROR(VLOOKUP("47mg LP - EU Stock",Controls!A:K,10,0),"")</f>
        <v>Patheon (L&amp;P EU)</v>
      </c>
      <c r="S2304" s="41">
        <f t="shared" si="274"/>
        <v>50557</v>
      </c>
      <c r="T2304" s="30">
        <f t="shared" si="275"/>
        <v>0</v>
      </c>
      <c r="W2304" s="205" t="str" cm="1">
        <f t="array" ref="W2304">IF(151&lt;Controls!$B$7,TEXT(INDEX(A2153:A2331,MATCH(Controls!$B$5,A2153:A2331,1)+151),"MMM-YY"),"")</f>
        <v/>
      </c>
      <c r="X2304" t="str" cm="1">
        <f t="array" ref="X2304">IF(151&lt;Controls!$B$7,INDEX(F2153:F2331,MATCH(Controls!$B$5,A2153:A2331,1)+151),"")</f>
        <v/>
      </c>
      <c r="Y2304" t="str" cm="1">
        <f t="array" ref="Y2304">IF(151&lt;Controls!$B$7,INDEX(G2153:G2331,MATCH(Controls!$B$5,A2153:A2331,1)+151),"")</f>
        <v/>
      </c>
      <c r="Z2304" t="str" cm="1">
        <f t="array" ref="Z2304">IF(151&lt;Controls!$B$7,INDEX(H2153:H2331,MATCH(Controls!$B$5,A2153:A2331,1)+151),"")</f>
        <v/>
      </c>
      <c r="AA2304" t="str" cm="1">
        <f t="array" ref="AA2304">IF(151&lt;Controls!$B$7,INDEX(M2153:M2331,MATCH(Controls!$B$5,A2153:A2331,1)+151)*INDEX(I2153:I2331,MATCH(Controls!$B$5,A2153:A2331,1)+151),"")</f>
        <v/>
      </c>
      <c r="AB2304">
        <f t="shared" si="269"/>
        <v>0</v>
      </c>
    </row>
    <row r="2305" spans="1:28" x14ac:dyDescent="0.35">
      <c r="A2305" s="153">
        <v>50679</v>
      </c>
      <c r="B2305" s="155" t="s">
        <v>960</v>
      </c>
      <c r="C2305" s="15" t="s">
        <v>28</v>
      </c>
      <c r="D2305" s="15" t="s">
        <v>29</v>
      </c>
      <c r="E2305" s="199">
        <f>H2304</f>
        <v>0</v>
      </c>
      <c r="F2305" s="199">
        <f>IFERROR(SUMIFS('Demand Inputs'!$FB$5:$FB$202,'Demand Inputs'!$A$5:$A$202,"47mg LP - EU Stock",'Demand Inputs'!$B$5:$B$202,"&lt;&gt;AGGREGATE",'Demand Inputs'!$E$5:$E$202,1),0)</f>
        <v>0</v>
      </c>
      <c r="G2305" s="199" cm="1">
        <f t="array" ref="G2305">IFERROR(SUMPRODUCT(('Production Inputs'!$A:$A="47mg LP - EU Stock")*('Production Inputs'!$B:$B="TOTAL ACTIVE")*'Production Inputs'!$FH:$FH),0)</f>
        <v>0</v>
      </c>
      <c r="H2305" s="199">
        <f t="shared" si="270"/>
        <v>0</v>
      </c>
      <c r="I2305" s="30">
        <f ca="1">IFERROR(AVERAGEIF(OFFSET(F2305,0,0,MIN(Controls!$B$8,COUNTIF(B2305:B$2331,B2305)),1),"&gt;"&amp;0),0)</f>
        <v>0</v>
      </c>
      <c r="J2305" s="38">
        <f t="shared" ca="1" si="271"/>
        <v>0</v>
      </c>
      <c r="K2305" s="30">
        <f t="shared" ca="1" si="272"/>
        <v>0</v>
      </c>
      <c r="L2305" t="str">
        <f t="shared" si="273"/>
        <v>High</v>
      </c>
      <c r="M2305" s="39">
        <f>IFERROR(VLOOKUP("47mg LP - EU Stock",Controls!A:I,7,0),6)</f>
        <v>9</v>
      </c>
      <c r="N2305" s="39">
        <f>IFERROR(VLOOKUP("47mg LP - EU Stock",Controls!A:I,8,0),3)</f>
        <v>8</v>
      </c>
      <c r="O2305" s="39">
        <f>IFERROR(VLOOKUP("47mg LP - EU Stock",Controls!A:I,9,0),18)</f>
        <v>18</v>
      </c>
      <c r="P2305" s="40">
        <f>IFERROR(VLOOKUP("47mg LP - EU Stock",Controls!A:J,5,0),0)</f>
        <v>10000</v>
      </c>
      <c r="Q2305" s="39">
        <f>IFERROR(VLOOKUP("47mg LP - EU Stock",Controls!A:J,6,0),3)</f>
        <v>3</v>
      </c>
      <c r="R2305" s="21" t="str">
        <f>IFERROR(VLOOKUP("47mg LP - EU Stock",Controls!A:K,10,0),"")</f>
        <v>Patheon (L&amp;P EU)</v>
      </c>
      <c r="S2305" s="41">
        <f t="shared" si="274"/>
        <v>50587</v>
      </c>
      <c r="T2305" s="30">
        <f t="shared" si="275"/>
        <v>0</v>
      </c>
      <c r="W2305" s="205" t="str" cm="1">
        <f t="array" ref="W2305">IF(152&lt;Controls!$B$7,TEXT(INDEX(A2153:A2331,MATCH(Controls!$B$5,A2153:A2331,1)+152),"MMM-YY"),"")</f>
        <v/>
      </c>
      <c r="X2305" t="str" cm="1">
        <f t="array" ref="X2305">IF(152&lt;Controls!$B$7,INDEX(F2153:F2331,MATCH(Controls!$B$5,A2153:A2331,1)+152),"")</f>
        <v/>
      </c>
      <c r="Y2305" t="str" cm="1">
        <f t="array" ref="Y2305">IF(152&lt;Controls!$B$7,INDEX(G2153:G2331,MATCH(Controls!$B$5,A2153:A2331,1)+152),"")</f>
        <v/>
      </c>
      <c r="Z2305" t="str" cm="1">
        <f t="array" ref="Z2305">IF(152&lt;Controls!$B$7,INDEX(H2153:H2331,MATCH(Controls!$B$5,A2153:A2331,1)+152),"")</f>
        <v/>
      </c>
      <c r="AA2305" t="str" cm="1">
        <f t="array" ref="AA2305">IF(152&lt;Controls!$B$7,INDEX(M2153:M2331,MATCH(Controls!$B$5,A2153:A2331,1)+152)*INDEX(I2153:I2331,MATCH(Controls!$B$5,A2153:A2331,1)+152),"")</f>
        <v/>
      </c>
      <c r="AB2305">
        <f t="shared" si="269"/>
        <v>0</v>
      </c>
    </row>
    <row r="2306" spans="1:28" x14ac:dyDescent="0.35">
      <c r="A2306" s="153">
        <v>50710</v>
      </c>
      <c r="B2306" s="155" t="s">
        <v>960</v>
      </c>
      <c r="C2306" s="15" t="s">
        <v>28</v>
      </c>
      <c r="D2306" s="15" t="s">
        <v>29</v>
      </c>
      <c r="E2306" s="199">
        <f>H2305</f>
        <v>0</v>
      </c>
      <c r="F2306" s="199">
        <f>IFERROR(SUMIFS('Demand Inputs'!$FC$5:$FC$202,'Demand Inputs'!$A$5:$A$202,"47mg LP - EU Stock",'Demand Inputs'!$B$5:$B$202,"&lt;&gt;AGGREGATE",'Demand Inputs'!$E$5:$E$202,1),0)</f>
        <v>0</v>
      </c>
      <c r="G2306" s="199" cm="1">
        <f t="array" ref="G2306">IFERROR(SUMPRODUCT(('Production Inputs'!$A:$A="47mg LP - EU Stock")*('Production Inputs'!$B:$B="TOTAL ACTIVE")*'Production Inputs'!$FI:$FI),0)</f>
        <v>0</v>
      </c>
      <c r="H2306" s="199">
        <f t="shared" si="270"/>
        <v>0</v>
      </c>
      <c r="I2306" s="30">
        <f ca="1">IFERROR(AVERAGEIF(OFFSET(F2306,0,0,MIN(Controls!$B$8,COUNTIF(B2306:B$2331,B2306)),1),"&gt;"&amp;0),0)</f>
        <v>0</v>
      </c>
      <c r="J2306" s="38">
        <f t="shared" ca="1" si="271"/>
        <v>0</v>
      </c>
      <c r="K2306" s="30">
        <f t="shared" ca="1" si="272"/>
        <v>0</v>
      </c>
      <c r="L2306" t="str">
        <f t="shared" si="273"/>
        <v>High</v>
      </c>
      <c r="M2306" s="39">
        <f>IFERROR(VLOOKUP("47mg LP - EU Stock",Controls!A:I,7,0),6)</f>
        <v>9</v>
      </c>
      <c r="N2306" s="39">
        <f>IFERROR(VLOOKUP("47mg LP - EU Stock",Controls!A:I,8,0),3)</f>
        <v>8</v>
      </c>
      <c r="O2306" s="39">
        <f>IFERROR(VLOOKUP("47mg LP - EU Stock",Controls!A:I,9,0),18)</f>
        <v>18</v>
      </c>
      <c r="P2306" s="40">
        <f>IFERROR(VLOOKUP("47mg LP - EU Stock",Controls!A:J,5,0),0)</f>
        <v>10000</v>
      </c>
      <c r="Q2306" s="39">
        <f>IFERROR(VLOOKUP("47mg LP - EU Stock",Controls!A:J,6,0),3)</f>
        <v>3</v>
      </c>
      <c r="R2306" s="21" t="str">
        <f>IFERROR(VLOOKUP("47mg LP - EU Stock",Controls!A:K,10,0),"")</f>
        <v>Patheon (L&amp;P EU)</v>
      </c>
      <c r="S2306" s="41">
        <f t="shared" si="274"/>
        <v>50618</v>
      </c>
      <c r="T2306" s="30">
        <f t="shared" si="275"/>
        <v>0</v>
      </c>
      <c r="W2306" s="205" t="str" cm="1">
        <f t="array" ref="W2306">IF(153&lt;Controls!$B$7,TEXT(INDEX(A2153:A2331,MATCH(Controls!$B$5,A2153:A2331,1)+153),"MMM-YY"),"")</f>
        <v/>
      </c>
      <c r="X2306" t="str" cm="1">
        <f t="array" ref="X2306">IF(153&lt;Controls!$B$7,INDEX(F2153:F2331,MATCH(Controls!$B$5,A2153:A2331,1)+153),"")</f>
        <v/>
      </c>
      <c r="Y2306" t="str" cm="1">
        <f t="array" ref="Y2306">IF(153&lt;Controls!$B$7,INDEX(G2153:G2331,MATCH(Controls!$B$5,A2153:A2331,1)+153),"")</f>
        <v/>
      </c>
      <c r="Z2306" t="str" cm="1">
        <f t="array" ref="Z2306">IF(153&lt;Controls!$B$7,INDEX(H2153:H2331,MATCH(Controls!$B$5,A2153:A2331,1)+153),"")</f>
        <v/>
      </c>
      <c r="AA2306" t="str" cm="1">
        <f t="array" ref="AA2306">IF(153&lt;Controls!$B$7,INDEX(M2153:M2331,MATCH(Controls!$B$5,A2153:A2331,1)+153)*INDEX(I2153:I2331,MATCH(Controls!$B$5,A2153:A2331,1)+153),"")</f>
        <v/>
      </c>
      <c r="AB2306">
        <f t="shared" si="269"/>
        <v>0</v>
      </c>
    </row>
    <row r="2307" spans="1:28" x14ac:dyDescent="0.35">
      <c r="A2307" s="153">
        <v>50740</v>
      </c>
      <c r="B2307" s="155" t="s">
        <v>960</v>
      </c>
      <c r="C2307" s="15" t="s">
        <v>28</v>
      </c>
      <c r="D2307" s="15" t="s">
        <v>29</v>
      </c>
      <c r="E2307" s="199">
        <f>H2306</f>
        <v>0</v>
      </c>
      <c r="F2307" s="199">
        <f>IFERROR(SUMIFS('Demand Inputs'!$FD$5:$FD$202,'Demand Inputs'!$A$5:$A$202,"47mg LP - EU Stock",'Demand Inputs'!$B$5:$B$202,"&lt;&gt;AGGREGATE",'Demand Inputs'!$E$5:$E$202,1),0)</f>
        <v>0</v>
      </c>
      <c r="G2307" s="199" cm="1">
        <f t="array" ref="G2307">IFERROR(SUMPRODUCT(('Production Inputs'!$A:$A="47mg LP - EU Stock")*('Production Inputs'!$B:$B="TOTAL ACTIVE")*'Production Inputs'!$FJ:$FJ),0)</f>
        <v>0</v>
      </c>
      <c r="H2307" s="199">
        <f t="shared" si="270"/>
        <v>0</v>
      </c>
      <c r="I2307" s="30">
        <f ca="1">IFERROR(AVERAGEIF(OFFSET(F2307,0,0,MIN(Controls!$B$8,COUNTIF(B2307:B$2331,B2307)),1),"&gt;"&amp;0),0)</f>
        <v>0</v>
      </c>
      <c r="J2307" s="38">
        <f t="shared" ca="1" si="271"/>
        <v>0</v>
      </c>
      <c r="K2307" s="30">
        <f t="shared" ca="1" si="272"/>
        <v>0</v>
      </c>
      <c r="L2307" t="str">
        <f t="shared" si="273"/>
        <v>High</v>
      </c>
      <c r="M2307" s="39">
        <f>IFERROR(VLOOKUP("47mg LP - EU Stock",Controls!A:I,7,0),6)</f>
        <v>9</v>
      </c>
      <c r="N2307" s="39">
        <f>IFERROR(VLOOKUP("47mg LP - EU Stock",Controls!A:I,8,0),3)</f>
        <v>8</v>
      </c>
      <c r="O2307" s="39">
        <f>IFERROR(VLOOKUP("47mg LP - EU Stock",Controls!A:I,9,0),18)</f>
        <v>18</v>
      </c>
      <c r="P2307" s="40">
        <f>IFERROR(VLOOKUP("47mg LP - EU Stock",Controls!A:J,5,0),0)</f>
        <v>10000</v>
      </c>
      <c r="Q2307" s="39">
        <f>IFERROR(VLOOKUP("47mg LP - EU Stock",Controls!A:J,6,0),3)</f>
        <v>3</v>
      </c>
      <c r="R2307" s="21" t="str">
        <f>IFERROR(VLOOKUP("47mg LP - EU Stock",Controls!A:K,10,0),"")</f>
        <v>Patheon (L&amp;P EU)</v>
      </c>
      <c r="S2307" s="41">
        <f t="shared" si="274"/>
        <v>50649</v>
      </c>
      <c r="T2307" s="30">
        <f t="shared" si="275"/>
        <v>0</v>
      </c>
      <c r="W2307" s="205" t="str" cm="1">
        <f t="array" ref="W2307">IF(154&lt;Controls!$B$7,TEXT(INDEX(A2153:A2331,MATCH(Controls!$B$5,A2153:A2331,1)+154),"MMM-YY"),"")</f>
        <v/>
      </c>
      <c r="X2307" t="str" cm="1">
        <f t="array" ref="X2307">IF(154&lt;Controls!$B$7,INDEX(F2153:F2331,MATCH(Controls!$B$5,A2153:A2331,1)+154),"")</f>
        <v/>
      </c>
      <c r="Y2307" t="str" cm="1">
        <f t="array" ref="Y2307">IF(154&lt;Controls!$B$7,INDEX(G2153:G2331,MATCH(Controls!$B$5,A2153:A2331,1)+154),"")</f>
        <v/>
      </c>
      <c r="Z2307" t="str" cm="1">
        <f t="array" ref="Z2307">IF(154&lt;Controls!$B$7,INDEX(H2153:H2331,MATCH(Controls!$B$5,A2153:A2331,1)+154),"")</f>
        <v/>
      </c>
      <c r="AA2307" t="str" cm="1">
        <f t="array" ref="AA2307">IF(154&lt;Controls!$B$7,INDEX(M2153:M2331,MATCH(Controls!$B$5,A2153:A2331,1)+154)*INDEX(I2153:I2331,MATCH(Controls!$B$5,A2153:A2331,1)+154),"")</f>
        <v/>
      </c>
      <c r="AB2307">
        <f t="shared" si="269"/>
        <v>0</v>
      </c>
    </row>
    <row r="2308" spans="1:28" x14ac:dyDescent="0.35">
      <c r="A2308" s="153">
        <v>50771</v>
      </c>
      <c r="B2308" s="155" t="s">
        <v>960</v>
      </c>
      <c r="C2308" s="15" t="s">
        <v>28</v>
      </c>
      <c r="D2308" s="15" t="s">
        <v>29</v>
      </c>
      <c r="E2308" s="199">
        <f>H2307</f>
        <v>0</v>
      </c>
      <c r="F2308" s="199">
        <f>IFERROR(SUMIFS('Demand Inputs'!$FE$5:$FE$202,'Demand Inputs'!$A$5:$A$202,"47mg LP - EU Stock",'Demand Inputs'!$B$5:$B$202,"&lt;&gt;AGGREGATE",'Demand Inputs'!$E$5:$E$202,1),0)</f>
        <v>0</v>
      </c>
      <c r="G2308" s="199" cm="1">
        <f t="array" ref="G2308">IFERROR(SUMPRODUCT(('Production Inputs'!$A:$A="47mg LP - EU Stock")*('Production Inputs'!$B:$B="TOTAL ACTIVE")*'Production Inputs'!$FK:$FK),0)</f>
        <v>0</v>
      </c>
      <c r="H2308" s="199">
        <f t="shared" si="270"/>
        <v>0</v>
      </c>
      <c r="I2308" s="30">
        <f ca="1">IFERROR(AVERAGEIF(OFFSET(F2308,0,0,MIN(Controls!$B$8,COUNTIF(B2308:B$2331,B2308)),1),"&gt;"&amp;0),0)</f>
        <v>0</v>
      </c>
      <c r="J2308" s="38">
        <f t="shared" ca="1" si="271"/>
        <v>0</v>
      </c>
      <c r="K2308" s="30">
        <f t="shared" ca="1" si="272"/>
        <v>0</v>
      </c>
      <c r="L2308" t="str">
        <f t="shared" si="273"/>
        <v>High</v>
      </c>
      <c r="M2308" s="39">
        <f>IFERROR(VLOOKUP("47mg LP - EU Stock",Controls!A:I,7,0),6)</f>
        <v>9</v>
      </c>
      <c r="N2308" s="39">
        <f>IFERROR(VLOOKUP("47mg LP - EU Stock",Controls!A:I,8,0),3)</f>
        <v>8</v>
      </c>
      <c r="O2308" s="39">
        <f>IFERROR(VLOOKUP("47mg LP - EU Stock",Controls!A:I,9,0),18)</f>
        <v>18</v>
      </c>
      <c r="P2308" s="40">
        <f>IFERROR(VLOOKUP("47mg LP - EU Stock",Controls!A:J,5,0),0)</f>
        <v>10000</v>
      </c>
      <c r="Q2308" s="39">
        <f>IFERROR(VLOOKUP("47mg LP - EU Stock",Controls!A:J,6,0),3)</f>
        <v>3</v>
      </c>
      <c r="R2308" s="21" t="str">
        <f>IFERROR(VLOOKUP("47mg LP - EU Stock",Controls!A:K,10,0),"")</f>
        <v>Patheon (L&amp;P EU)</v>
      </c>
      <c r="S2308" s="41">
        <f t="shared" si="274"/>
        <v>50679</v>
      </c>
      <c r="T2308" s="30">
        <f t="shared" si="275"/>
        <v>0</v>
      </c>
      <c r="W2308" s="205" t="str" cm="1">
        <f t="array" ref="W2308">IF(155&lt;Controls!$B$7,TEXT(INDEX(A2153:A2331,MATCH(Controls!$B$5,A2153:A2331,1)+155),"MMM-YY"),"")</f>
        <v/>
      </c>
      <c r="X2308" t="str" cm="1">
        <f t="array" ref="X2308">IF(155&lt;Controls!$B$7,INDEX(F2153:F2331,MATCH(Controls!$B$5,A2153:A2331,1)+155),"")</f>
        <v/>
      </c>
      <c r="Y2308" t="str" cm="1">
        <f t="array" ref="Y2308">IF(155&lt;Controls!$B$7,INDEX(G2153:G2331,MATCH(Controls!$B$5,A2153:A2331,1)+155),"")</f>
        <v/>
      </c>
      <c r="Z2308" t="str" cm="1">
        <f t="array" ref="Z2308">IF(155&lt;Controls!$B$7,INDEX(H2153:H2331,MATCH(Controls!$B$5,A2153:A2331,1)+155),"")</f>
        <v/>
      </c>
      <c r="AA2308" t="str" cm="1">
        <f t="array" ref="AA2308">IF(155&lt;Controls!$B$7,INDEX(M2153:M2331,MATCH(Controls!$B$5,A2153:A2331,1)+155)*INDEX(I2153:I2331,MATCH(Controls!$B$5,A2153:A2331,1)+155),"")</f>
        <v/>
      </c>
      <c r="AB2308">
        <f t="shared" si="269"/>
        <v>0</v>
      </c>
    </row>
    <row r="2309" spans="1:28" x14ac:dyDescent="0.35">
      <c r="A2309" s="153">
        <v>50802</v>
      </c>
      <c r="B2309" s="155" t="s">
        <v>960</v>
      </c>
      <c r="C2309" s="15" t="s">
        <v>28</v>
      </c>
      <c r="D2309" s="15" t="s">
        <v>29</v>
      </c>
      <c r="E2309" s="199">
        <f>H2308</f>
        <v>0</v>
      </c>
      <c r="F2309" s="199">
        <f>IFERROR(SUMIFS('Demand Inputs'!$FF$5:$FF$202,'Demand Inputs'!$A$5:$A$202,"47mg LP - EU Stock",'Demand Inputs'!$B$5:$B$202,"&lt;&gt;AGGREGATE",'Demand Inputs'!$E$5:$E$202,1),0)</f>
        <v>0</v>
      </c>
      <c r="G2309" s="199" cm="1">
        <f t="array" ref="G2309">IFERROR(SUMPRODUCT(('Production Inputs'!$A:$A="47mg LP - EU Stock")*('Production Inputs'!$B:$B="TOTAL ACTIVE")*'Production Inputs'!$FL:$FL),0)</f>
        <v>0</v>
      </c>
      <c r="H2309" s="199">
        <f t="shared" si="270"/>
        <v>0</v>
      </c>
      <c r="I2309" s="30">
        <f ca="1">IFERROR(AVERAGEIF(OFFSET(F2309,0,0,MIN(Controls!$B$8,COUNTIF(B2309:B$2331,B2309)),1),"&gt;"&amp;0),0)</f>
        <v>0</v>
      </c>
      <c r="J2309" s="38">
        <f t="shared" ca="1" si="271"/>
        <v>0</v>
      </c>
      <c r="K2309" s="30">
        <f t="shared" ca="1" si="272"/>
        <v>0</v>
      </c>
      <c r="L2309" t="str">
        <f t="shared" si="273"/>
        <v>High</v>
      </c>
      <c r="M2309" s="39">
        <f>IFERROR(VLOOKUP("47mg LP - EU Stock",Controls!A:I,7,0),6)</f>
        <v>9</v>
      </c>
      <c r="N2309" s="39">
        <f>IFERROR(VLOOKUP("47mg LP - EU Stock",Controls!A:I,8,0),3)</f>
        <v>8</v>
      </c>
      <c r="O2309" s="39">
        <f>IFERROR(VLOOKUP("47mg LP - EU Stock",Controls!A:I,9,0),18)</f>
        <v>18</v>
      </c>
      <c r="P2309" s="40">
        <f>IFERROR(VLOOKUP("47mg LP - EU Stock",Controls!A:J,5,0),0)</f>
        <v>10000</v>
      </c>
      <c r="Q2309" s="39">
        <f>IFERROR(VLOOKUP("47mg LP - EU Stock",Controls!A:J,6,0),3)</f>
        <v>3</v>
      </c>
      <c r="R2309" s="21" t="str">
        <f>IFERROR(VLOOKUP("47mg LP - EU Stock",Controls!A:K,10,0),"")</f>
        <v>Patheon (L&amp;P EU)</v>
      </c>
      <c r="S2309" s="41">
        <f t="shared" si="274"/>
        <v>50710</v>
      </c>
      <c r="T2309" s="30">
        <f t="shared" si="275"/>
        <v>0</v>
      </c>
      <c r="W2309" s="205" t="str" cm="1">
        <f t="array" ref="W2309">IF(156&lt;Controls!$B$7,TEXT(INDEX(A2153:A2331,MATCH(Controls!$B$5,A2153:A2331,1)+156),"MMM-YY"),"")</f>
        <v/>
      </c>
      <c r="X2309" t="str" cm="1">
        <f t="array" ref="X2309">IF(156&lt;Controls!$B$7,INDEX(F2153:F2331,MATCH(Controls!$B$5,A2153:A2331,1)+156),"")</f>
        <v/>
      </c>
      <c r="Y2309" t="str" cm="1">
        <f t="array" ref="Y2309">IF(156&lt;Controls!$B$7,INDEX(G2153:G2331,MATCH(Controls!$B$5,A2153:A2331,1)+156),"")</f>
        <v/>
      </c>
      <c r="Z2309" t="str" cm="1">
        <f t="array" ref="Z2309">IF(156&lt;Controls!$B$7,INDEX(H2153:H2331,MATCH(Controls!$B$5,A2153:A2331,1)+156),"")</f>
        <v/>
      </c>
      <c r="AA2309" t="str" cm="1">
        <f t="array" ref="AA2309">IF(156&lt;Controls!$B$7,INDEX(M2153:M2331,MATCH(Controls!$B$5,A2153:A2331,1)+156)*INDEX(I2153:I2331,MATCH(Controls!$B$5,A2153:A2331,1)+156),"")</f>
        <v/>
      </c>
      <c r="AB2309">
        <f t="shared" ref="AB2309:AB2331" si="276">SUMIFS($F$4:$F$2331,$B$4:$B$2331,B2309,$A$4:$A$2331,"&lt;="&amp;A2309)</f>
        <v>0</v>
      </c>
    </row>
    <row r="2310" spans="1:28" x14ac:dyDescent="0.35">
      <c r="A2310" s="153">
        <v>50830</v>
      </c>
      <c r="B2310" s="155" t="s">
        <v>960</v>
      </c>
      <c r="C2310" s="15" t="s">
        <v>28</v>
      </c>
      <c r="D2310" s="15" t="s">
        <v>29</v>
      </c>
      <c r="E2310" s="199">
        <f>H2309</f>
        <v>0</v>
      </c>
      <c r="F2310" s="199">
        <f>IFERROR(SUMIFS('Demand Inputs'!$FG$5:$FG$202,'Demand Inputs'!$A$5:$A$202,"47mg LP - EU Stock",'Demand Inputs'!$B$5:$B$202,"&lt;&gt;AGGREGATE",'Demand Inputs'!$E$5:$E$202,1),0)</f>
        <v>0</v>
      </c>
      <c r="G2310" s="199" cm="1">
        <f t="array" ref="G2310">IFERROR(SUMPRODUCT(('Production Inputs'!$A:$A="47mg LP - EU Stock")*('Production Inputs'!$B:$B="TOTAL ACTIVE")*'Production Inputs'!$FM:$FM),0)</f>
        <v>0</v>
      </c>
      <c r="H2310" s="199">
        <f t="shared" si="270"/>
        <v>0</v>
      </c>
      <c r="I2310" s="30">
        <f ca="1">IFERROR(AVERAGEIF(OFFSET(F2310,0,0,MIN(Controls!$B$8,COUNTIF(B2310:B$2331,B2310)),1),"&gt;"&amp;0),0)</f>
        <v>0</v>
      </c>
      <c r="J2310" s="38">
        <f t="shared" ca="1" si="271"/>
        <v>0</v>
      </c>
      <c r="K2310" s="30">
        <f t="shared" ca="1" si="272"/>
        <v>0</v>
      </c>
      <c r="L2310" t="str">
        <f t="shared" si="273"/>
        <v>High</v>
      </c>
      <c r="M2310" s="39">
        <f>IFERROR(VLOOKUP("47mg LP - EU Stock",Controls!A:I,7,0),6)</f>
        <v>9</v>
      </c>
      <c r="N2310" s="39">
        <f>IFERROR(VLOOKUP("47mg LP - EU Stock",Controls!A:I,8,0),3)</f>
        <v>8</v>
      </c>
      <c r="O2310" s="39">
        <f>IFERROR(VLOOKUP("47mg LP - EU Stock",Controls!A:I,9,0),18)</f>
        <v>18</v>
      </c>
      <c r="P2310" s="40">
        <f>IFERROR(VLOOKUP("47mg LP - EU Stock",Controls!A:J,5,0),0)</f>
        <v>10000</v>
      </c>
      <c r="Q2310" s="39">
        <f>IFERROR(VLOOKUP("47mg LP - EU Stock",Controls!A:J,6,0),3)</f>
        <v>3</v>
      </c>
      <c r="R2310" s="21" t="str">
        <f>IFERROR(VLOOKUP("47mg LP - EU Stock",Controls!A:K,10,0),"")</f>
        <v>Patheon (L&amp;P EU)</v>
      </c>
      <c r="S2310" s="41">
        <f t="shared" si="274"/>
        <v>50740</v>
      </c>
      <c r="T2310" s="30">
        <f t="shared" si="275"/>
        <v>0</v>
      </c>
      <c r="W2310" s="205" t="str" cm="1">
        <f t="array" ref="W2310">IF(157&lt;Controls!$B$7,TEXT(INDEX(A2153:A2331,MATCH(Controls!$B$5,A2153:A2331,1)+157),"MMM-YY"),"")</f>
        <v/>
      </c>
      <c r="X2310" t="str" cm="1">
        <f t="array" ref="X2310">IF(157&lt;Controls!$B$7,INDEX(F2153:F2331,MATCH(Controls!$B$5,A2153:A2331,1)+157),"")</f>
        <v/>
      </c>
      <c r="Y2310" t="str" cm="1">
        <f t="array" ref="Y2310">IF(157&lt;Controls!$B$7,INDEX(G2153:G2331,MATCH(Controls!$B$5,A2153:A2331,1)+157),"")</f>
        <v/>
      </c>
      <c r="Z2310" t="str" cm="1">
        <f t="array" ref="Z2310">IF(157&lt;Controls!$B$7,INDEX(H2153:H2331,MATCH(Controls!$B$5,A2153:A2331,1)+157),"")</f>
        <v/>
      </c>
      <c r="AA2310" t="str" cm="1">
        <f t="array" ref="AA2310">IF(157&lt;Controls!$B$7,INDEX(M2153:M2331,MATCH(Controls!$B$5,A2153:A2331,1)+157)*INDEX(I2153:I2331,MATCH(Controls!$B$5,A2153:A2331,1)+157),"")</f>
        <v/>
      </c>
      <c r="AB2310">
        <f t="shared" si="276"/>
        <v>0</v>
      </c>
    </row>
    <row r="2311" spans="1:28" x14ac:dyDescent="0.35">
      <c r="A2311" s="153">
        <v>50861</v>
      </c>
      <c r="B2311" s="155" t="s">
        <v>960</v>
      </c>
      <c r="C2311" s="15" t="s">
        <v>28</v>
      </c>
      <c r="D2311" s="15" t="s">
        <v>29</v>
      </c>
      <c r="E2311" s="199">
        <f>H2310</f>
        <v>0</v>
      </c>
      <c r="F2311" s="199">
        <f>IFERROR(SUMIFS('Demand Inputs'!$FH$5:$FH$202,'Demand Inputs'!$A$5:$A$202,"47mg LP - EU Stock",'Demand Inputs'!$B$5:$B$202,"&lt;&gt;AGGREGATE",'Demand Inputs'!$E$5:$E$202,1),0)</f>
        <v>0</v>
      </c>
      <c r="G2311" s="199" cm="1">
        <f t="array" ref="G2311">IFERROR(SUMPRODUCT(('Production Inputs'!$A:$A="47mg LP - EU Stock")*('Production Inputs'!$B:$B="TOTAL ACTIVE")*'Production Inputs'!$FN:$FN),0)</f>
        <v>0</v>
      </c>
      <c r="H2311" s="199">
        <f t="shared" si="270"/>
        <v>0</v>
      </c>
      <c r="I2311" s="30">
        <f ca="1">IFERROR(AVERAGEIF(OFFSET(F2311,0,0,MIN(Controls!$B$8,COUNTIF(B2311:B$2331,B2311)),1),"&gt;"&amp;0),0)</f>
        <v>0</v>
      </c>
      <c r="J2311" s="38">
        <f t="shared" ca="1" si="271"/>
        <v>0</v>
      </c>
      <c r="K2311" s="30">
        <f t="shared" ca="1" si="272"/>
        <v>0</v>
      </c>
      <c r="L2311" t="str">
        <f t="shared" si="273"/>
        <v>High</v>
      </c>
      <c r="M2311" s="39">
        <f>IFERROR(VLOOKUP("47mg LP - EU Stock",Controls!A:I,7,0),6)</f>
        <v>9</v>
      </c>
      <c r="N2311" s="39">
        <f>IFERROR(VLOOKUP("47mg LP - EU Stock",Controls!A:I,8,0),3)</f>
        <v>8</v>
      </c>
      <c r="O2311" s="39">
        <f>IFERROR(VLOOKUP("47mg LP - EU Stock",Controls!A:I,9,0),18)</f>
        <v>18</v>
      </c>
      <c r="P2311" s="40">
        <f>IFERROR(VLOOKUP("47mg LP - EU Stock",Controls!A:J,5,0),0)</f>
        <v>10000</v>
      </c>
      <c r="Q2311" s="39">
        <f>IFERROR(VLOOKUP("47mg LP - EU Stock",Controls!A:J,6,0),3)</f>
        <v>3</v>
      </c>
      <c r="R2311" s="21" t="str">
        <f>IFERROR(VLOOKUP("47mg LP - EU Stock",Controls!A:K,10,0),"")</f>
        <v>Patheon (L&amp;P EU)</v>
      </c>
      <c r="S2311" s="41">
        <f t="shared" si="274"/>
        <v>50771</v>
      </c>
      <c r="T2311" s="30">
        <f t="shared" si="275"/>
        <v>0</v>
      </c>
      <c r="W2311" s="205" t="str" cm="1">
        <f t="array" ref="W2311">IF(158&lt;Controls!$B$7,TEXT(INDEX(A2153:A2331,MATCH(Controls!$B$5,A2153:A2331,1)+158),"MMM-YY"),"")</f>
        <v/>
      </c>
      <c r="X2311" t="str" cm="1">
        <f t="array" ref="X2311">IF(158&lt;Controls!$B$7,INDEX(F2153:F2331,MATCH(Controls!$B$5,A2153:A2331,1)+158),"")</f>
        <v/>
      </c>
      <c r="Y2311" t="str" cm="1">
        <f t="array" ref="Y2311">IF(158&lt;Controls!$B$7,INDEX(G2153:G2331,MATCH(Controls!$B$5,A2153:A2331,1)+158),"")</f>
        <v/>
      </c>
      <c r="Z2311" t="str" cm="1">
        <f t="array" ref="Z2311">IF(158&lt;Controls!$B$7,INDEX(H2153:H2331,MATCH(Controls!$B$5,A2153:A2331,1)+158),"")</f>
        <v/>
      </c>
      <c r="AA2311" t="str" cm="1">
        <f t="array" ref="AA2311">IF(158&lt;Controls!$B$7,INDEX(M2153:M2331,MATCH(Controls!$B$5,A2153:A2331,1)+158)*INDEX(I2153:I2331,MATCH(Controls!$B$5,A2153:A2331,1)+158),"")</f>
        <v/>
      </c>
      <c r="AB2311">
        <f t="shared" si="276"/>
        <v>0</v>
      </c>
    </row>
    <row r="2312" spans="1:28" x14ac:dyDescent="0.35">
      <c r="A2312" s="153">
        <v>50891</v>
      </c>
      <c r="B2312" s="155" t="s">
        <v>960</v>
      </c>
      <c r="C2312" s="15" t="s">
        <v>28</v>
      </c>
      <c r="D2312" s="15" t="s">
        <v>29</v>
      </c>
      <c r="E2312" s="199">
        <f>H2311</f>
        <v>0</v>
      </c>
      <c r="F2312" s="199">
        <f>IFERROR(SUMIFS('Demand Inputs'!$FI$5:$FI$202,'Demand Inputs'!$A$5:$A$202,"47mg LP - EU Stock",'Demand Inputs'!$B$5:$B$202,"&lt;&gt;AGGREGATE",'Demand Inputs'!$E$5:$E$202,1),0)</f>
        <v>0</v>
      </c>
      <c r="G2312" s="199" cm="1">
        <f t="array" ref="G2312">IFERROR(SUMPRODUCT(('Production Inputs'!$A:$A="47mg LP - EU Stock")*('Production Inputs'!$B:$B="TOTAL ACTIVE")*'Production Inputs'!$FO:$FO),0)</f>
        <v>0</v>
      </c>
      <c r="H2312" s="199">
        <f t="shared" si="270"/>
        <v>0</v>
      </c>
      <c r="I2312" s="30">
        <f ca="1">IFERROR(AVERAGEIF(OFFSET(F2312,0,0,MIN(Controls!$B$8,COUNTIF(B2312:B$2331,B2312)),1),"&gt;"&amp;0),0)</f>
        <v>0</v>
      </c>
      <c r="J2312" s="38">
        <f t="shared" ca="1" si="271"/>
        <v>0</v>
      </c>
      <c r="K2312" s="30">
        <f t="shared" ca="1" si="272"/>
        <v>0</v>
      </c>
      <c r="L2312" t="str">
        <f t="shared" si="273"/>
        <v>High</v>
      </c>
      <c r="M2312" s="39">
        <f>IFERROR(VLOOKUP("47mg LP - EU Stock",Controls!A:I,7,0),6)</f>
        <v>9</v>
      </c>
      <c r="N2312" s="39">
        <f>IFERROR(VLOOKUP("47mg LP - EU Stock",Controls!A:I,8,0),3)</f>
        <v>8</v>
      </c>
      <c r="O2312" s="39">
        <f>IFERROR(VLOOKUP("47mg LP - EU Stock",Controls!A:I,9,0),18)</f>
        <v>18</v>
      </c>
      <c r="P2312" s="40">
        <f>IFERROR(VLOOKUP("47mg LP - EU Stock",Controls!A:J,5,0),0)</f>
        <v>10000</v>
      </c>
      <c r="Q2312" s="39">
        <f>IFERROR(VLOOKUP("47mg LP - EU Stock",Controls!A:J,6,0),3)</f>
        <v>3</v>
      </c>
      <c r="R2312" s="21" t="str">
        <f>IFERROR(VLOOKUP("47mg LP - EU Stock",Controls!A:K,10,0),"")</f>
        <v>Patheon (L&amp;P EU)</v>
      </c>
      <c r="S2312" s="41">
        <f t="shared" si="274"/>
        <v>50802</v>
      </c>
      <c r="T2312" s="30">
        <f t="shared" si="275"/>
        <v>0</v>
      </c>
      <c r="W2312" s="205" t="str" cm="1">
        <f t="array" ref="W2312">IF(159&lt;Controls!$B$7,TEXT(INDEX(A2153:A2331,MATCH(Controls!$B$5,A2153:A2331,1)+159),"MMM-YY"),"")</f>
        <v/>
      </c>
      <c r="X2312" t="str" cm="1">
        <f t="array" ref="X2312">IF(159&lt;Controls!$B$7,INDEX(F2153:F2331,MATCH(Controls!$B$5,A2153:A2331,1)+159),"")</f>
        <v/>
      </c>
      <c r="Y2312" t="str" cm="1">
        <f t="array" ref="Y2312">IF(159&lt;Controls!$B$7,INDEX(G2153:G2331,MATCH(Controls!$B$5,A2153:A2331,1)+159),"")</f>
        <v/>
      </c>
      <c r="Z2312" t="str" cm="1">
        <f t="array" ref="Z2312">IF(159&lt;Controls!$B$7,INDEX(H2153:H2331,MATCH(Controls!$B$5,A2153:A2331,1)+159),"")</f>
        <v/>
      </c>
      <c r="AA2312" t="str" cm="1">
        <f t="array" ref="AA2312">IF(159&lt;Controls!$B$7,INDEX(M2153:M2331,MATCH(Controls!$B$5,A2153:A2331,1)+159)*INDEX(I2153:I2331,MATCH(Controls!$B$5,A2153:A2331,1)+159),"")</f>
        <v/>
      </c>
      <c r="AB2312">
        <f t="shared" si="276"/>
        <v>0</v>
      </c>
    </row>
    <row r="2313" spans="1:28" x14ac:dyDescent="0.35">
      <c r="A2313" s="153">
        <v>50922</v>
      </c>
      <c r="B2313" s="155" t="s">
        <v>960</v>
      </c>
      <c r="C2313" s="15" t="s">
        <v>28</v>
      </c>
      <c r="D2313" s="15" t="s">
        <v>29</v>
      </c>
      <c r="E2313" s="199">
        <f>H2312</f>
        <v>0</v>
      </c>
      <c r="F2313" s="199">
        <f>IFERROR(SUMIFS('Demand Inputs'!$FJ$5:$FJ$202,'Demand Inputs'!$A$5:$A$202,"47mg LP - EU Stock",'Demand Inputs'!$B$5:$B$202,"&lt;&gt;AGGREGATE",'Demand Inputs'!$E$5:$E$202,1),0)</f>
        <v>0</v>
      </c>
      <c r="G2313" s="199" cm="1">
        <f t="array" ref="G2313">IFERROR(SUMPRODUCT(('Production Inputs'!$A:$A="47mg LP - EU Stock")*('Production Inputs'!$B:$B="TOTAL ACTIVE")*'Production Inputs'!$FP:$FP),0)</f>
        <v>0</v>
      </c>
      <c r="H2313" s="199">
        <f t="shared" si="270"/>
        <v>0</v>
      </c>
      <c r="I2313" s="30">
        <f ca="1">IFERROR(AVERAGEIF(OFFSET(F2313,0,0,MIN(Controls!$B$8,COUNTIF(B2313:B$2331,B2313)),1),"&gt;"&amp;0),0)</f>
        <v>0</v>
      </c>
      <c r="J2313" s="38">
        <f t="shared" ca="1" si="271"/>
        <v>0</v>
      </c>
      <c r="K2313" s="30">
        <f t="shared" ca="1" si="272"/>
        <v>0</v>
      </c>
      <c r="L2313" t="str">
        <f t="shared" si="273"/>
        <v>High</v>
      </c>
      <c r="M2313" s="39">
        <f>IFERROR(VLOOKUP("47mg LP - EU Stock",Controls!A:I,7,0),6)</f>
        <v>9</v>
      </c>
      <c r="N2313" s="39">
        <f>IFERROR(VLOOKUP("47mg LP - EU Stock",Controls!A:I,8,0),3)</f>
        <v>8</v>
      </c>
      <c r="O2313" s="39">
        <f>IFERROR(VLOOKUP("47mg LP - EU Stock",Controls!A:I,9,0),18)</f>
        <v>18</v>
      </c>
      <c r="P2313" s="40">
        <f>IFERROR(VLOOKUP("47mg LP - EU Stock",Controls!A:J,5,0),0)</f>
        <v>10000</v>
      </c>
      <c r="Q2313" s="39">
        <f>IFERROR(VLOOKUP("47mg LP - EU Stock",Controls!A:J,6,0),3)</f>
        <v>3</v>
      </c>
      <c r="R2313" s="21" t="str">
        <f>IFERROR(VLOOKUP("47mg LP - EU Stock",Controls!A:K,10,0),"")</f>
        <v>Patheon (L&amp;P EU)</v>
      </c>
      <c r="S2313" s="41">
        <f t="shared" si="274"/>
        <v>50830</v>
      </c>
      <c r="T2313" s="30">
        <f t="shared" si="275"/>
        <v>0</v>
      </c>
      <c r="W2313" s="205" t="str" cm="1">
        <f t="array" ref="W2313">IF(160&lt;Controls!$B$7,TEXT(INDEX(A2153:A2331,MATCH(Controls!$B$5,A2153:A2331,1)+160),"MMM-YY"),"")</f>
        <v/>
      </c>
      <c r="X2313" t="str" cm="1">
        <f t="array" ref="X2313">IF(160&lt;Controls!$B$7,INDEX(F2153:F2331,MATCH(Controls!$B$5,A2153:A2331,1)+160),"")</f>
        <v/>
      </c>
      <c r="Y2313" t="str" cm="1">
        <f t="array" ref="Y2313">IF(160&lt;Controls!$B$7,INDEX(G2153:G2331,MATCH(Controls!$B$5,A2153:A2331,1)+160),"")</f>
        <v/>
      </c>
      <c r="Z2313" t="str" cm="1">
        <f t="array" ref="Z2313">IF(160&lt;Controls!$B$7,INDEX(H2153:H2331,MATCH(Controls!$B$5,A2153:A2331,1)+160),"")</f>
        <v/>
      </c>
      <c r="AA2313" t="str" cm="1">
        <f t="array" ref="AA2313">IF(160&lt;Controls!$B$7,INDEX(M2153:M2331,MATCH(Controls!$B$5,A2153:A2331,1)+160)*INDEX(I2153:I2331,MATCH(Controls!$B$5,A2153:A2331,1)+160),"")</f>
        <v/>
      </c>
      <c r="AB2313">
        <f t="shared" si="276"/>
        <v>0</v>
      </c>
    </row>
    <row r="2314" spans="1:28" x14ac:dyDescent="0.35">
      <c r="A2314" s="153">
        <v>50952</v>
      </c>
      <c r="B2314" s="155" t="s">
        <v>960</v>
      </c>
      <c r="C2314" s="15" t="s">
        <v>28</v>
      </c>
      <c r="D2314" s="15" t="s">
        <v>29</v>
      </c>
      <c r="E2314" s="199">
        <f>H2313</f>
        <v>0</v>
      </c>
      <c r="F2314" s="199">
        <f>IFERROR(SUMIFS('Demand Inputs'!$FK$5:$FK$202,'Demand Inputs'!$A$5:$A$202,"47mg LP - EU Stock",'Demand Inputs'!$B$5:$B$202,"&lt;&gt;AGGREGATE",'Demand Inputs'!$E$5:$E$202,1),0)</f>
        <v>0</v>
      </c>
      <c r="G2314" s="199" cm="1">
        <f t="array" ref="G2314">IFERROR(SUMPRODUCT(('Production Inputs'!$A:$A="47mg LP - EU Stock")*('Production Inputs'!$B:$B="TOTAL ACTIVE")*'Production Inputs'!$FQ:$FQ),0)</f>
        <v>0</v>
      </c>
      <c r="H2314" s="199">
        <f t="shared" si="270"/>
        <v>0</v>
      </c>
      <c r="I2314" s="30">
        <f ca="1">IFERROR(AVERAGEIF(OFFSET(F2314,0,0,MIN(Controls!$B$8,COUNTIF(B2314:B$2331,B2314)),1),"&gt;"&amp;0),0)</f>
        <v>0</v>
      </c>
      <c r="J2314" s="38">
        <f t="shared" ca="1" si="271"/>
        <v>0</v>
      </c>
      <c r="K2314" s="30">
        <f t="shared" ca="1" si="272"/>
        <v>0</v>
      </c>
      <c r="L2314" t="str">
        <f t="shared" si="273"/>
        <v>High</v>
      </c>
      <c r="M2314" s="39">
        <f>IFERROR(VLOOKUP("47mg LP - EU Stock",Controls!A:I,7,0),6)</f>
        <v>9</v>
      </c>
      <c r="N2314" s="39">
        <f>IFERROR(VLOOKUP("47mg LP - EU Stock",Controls!A:I,8,0),3)</f>
        <v>8</v>
      </c>
      <c r="O2314" s="39">
        <f>IFERROR(VLOOKUP("47mg LP - EU Stock",Controls!A:I,9,0),18)</f>
        <v>18</v>
      </c>
      <c r="P2314" s="40">
        <f>IFERROR(VLOOKUP("47mg LP - EU Stock",Controls!A:J,5,0),0)</f>
        <v>10000</v>
      </c>
      <c r="Q2314" s="39">
        <f>IFERROR(VLOOKUP("47mg LP - EU Stock",Controls!A:J,6,0),3)</f>
        <v>3</v>
      </c>
      <c r="R2314" s="21" t="str">
        <f>IFERROR(VLOOKUP("47mg LP - EU Stock",Controls!A:K,10,0),"")</f>
        <v>Patheon (L&amp;P EU)</v>
      </c>
      <c r="S2314" s="41">
        <f t="shared" si="274"/>
        <v>50861</v>
      </c>
      <c r="T2314" s="30">
        <f t="shared" si="275"/>
        <v>0</v>
      </c>
      <c r="W2314" s="205" t="str" cm="1">
        <f t="array" ref="W2314">IF(161&lt;Controls!$B$7,TEXT(INDEX(A2153:A2331,MATCH(Controls!$B$5,A2153:A2331,1)+161),"MMM-YY"),"")</f>
        <v/>
      </c>
      <c r="X2314" t="str" cm="1">
        <f t="array" ref="X2314">IF(161&lt;Controls!$B$7,INDEX(F2153:F2331,MATCH(Controls!$B$5,A2153:A2331,1)+161),"")</f>
        <v/>
      </c>
      <c r="Y2314" t="str" cm="1">
        <f t="array" ref="Y2314">IF(161&lt;Controls!$B$7,INDEX(G2153:G2331,MATCH(Controls!$B$5,A2153:A2331,1)+161),"")</f>
        <v/>
      </c>
      <c r="Z2314" t="str" cm="1">
        <f t="array" ref="Z2314">IF(161&lt;Controls!$B$7,INDEX(H2153:H2331,MATCH(Controls!$B$5,A2153:A2331,1)+161),"")</f>
        <v/>
      </c>
      <c r="AA2314" t="str" cm="1">
        <f t="array" ref="AA2314">IF(161&lt;Controls!$B$7,INDEX(M2153:M2331,MATCH(Controls!$B$5,A2153:A2331,1)+161)*INDEX(I2153:I2331,MATCH(Controls!$B$5,A2153:A2331,1)+161),"")</f>
        <v/>
      </c>
      <c r="AB2314">
        <f t="shared" si="276"/>
        <v>0</v>
      </c>
    </row>
    <row r="2315" spans="1:28" x14ac:dyDescent="0.35">
      <c r="A2315" s="153">
        <v>50983</v>
      </c>
      <c r="B2315" s="155" t="s">
        <v>960</v>
      </c>
      <c r="C2315" s="15" t="s">
        <v>28</v>
      </c>
      <c r="D2315" s="15" t="s">
        <v>29</v>
      </c>
      <c r="E2315" s="199">
        <f>H2314</f>
        <v>0</v>
      </c>
      <c r="F2315" s="199">
        <f>IFERROR(SUMIFS('Demand Inputs'!$FL$5:$FL$202,'Demand Inputs'!$A$5:$A$202,"47mg LP - EU Stock",'Demand Inputs'!$B$5:$B$202,"&lt;&gt;AGGREGATE",'Demand Inputs'!$E$5:$E$202,1),0)</f>
        <v>0</v>
      </c>
      <c r="G2315" s="199" cm="1">
        <f t="array" ref="G2315">IFERROR(SUMPRODUCT(('Production Inputs'!$A:$A="47mg LP - EU Stock")*('Production Inputs'!$B:$B="TOTAL ACTIVE")*'Production Inputs'!$FR:$FR),0)</f>
        <v>0</v>
      </c>
      <c r="H2315" s="199">
        <f t="shared" si="270"/>
        <v>0</v>
      </c>
      <c r="I2315" s="30">
        <f ca="1">IFERROR(AVERAGEIF(OFFSET(F2315,0,0,MIN(Controls!$B$8,COUNTIF(B2315:B$2331,B2315)),1),"&gt;"&amp;0),0)</f>
        <v>0</v>
      </c>
      <c r="J2315" s="38">
        <f t="shared" ca="1" si="271"/>
        <v>0</v>
      </c>
      <c r="K2315" s="30">
        <f t="shared" ca="1" si="272"/>
        <v>0</v>
      </c>
      <c r="L2315" t="str">
        <f t="shared" si="273"/>
        <v>High</v>
      </c>
      <c r="M2315" s="39">
        <f>IFERROR(VLOOKUP("47mg LP - EU Stock",Controls!A:I,7,0),6)</f>
        <v>9</v>
      </c>
      <c r="N2315" s="39">
        <f>IFERROR(VLOOKUP("47mg LP - EU Stock",Controls!A:I,8,0),3)</f>
        <v>8</v>
      </c>
      <c r="O2315" s="39">
        <f>IFERROR(VLOOKUP("47mg LP - EU Stock",Controls!A:I,9,0),18)</f>
        <v>18</v>
      </c>
      <c r="P2315" s="40">
        <f>IFERROR(VLOOKUP("47mg LP - EU Stock",Controls!A:J,5,0),0)</f>
        <v>10000</v>
      </c>
      <c r="Q2315" s="39">
        <f>IFERROR(VLOOKUP("47mg LP - EU Stock",Controls!A:J,6,0),3)</f>
        <v>3</v>
      </c>
      <c r="R2315" s="21" t="str">
        <f>IFERROR(VLOOKUP("47mg LP - EU Stock",Controls!A:K,10,0),"")</f>
        <v>Patheon (L&amp;P EU)</v>
      </c>
      <c r="S2315" s="41">
        <f t="shared" si="274"/>
        <v>50891</v>
      </c>
      <c r="T2315" s="30">
        <f t="shared" si="275"/>
        <v>0</v>
      </c>
      <c r="W2315" s="205" t="str" cm="1">
        <f t="array" ref="W2315">IF(162&lt;Controls!$B$7,TEXT(INDEX(A2153:A2331,MATCH(Controls!$B$5,A2153:A2331,1)+162),"MMM-YY"),"")</f>
        <v/>
      </c>
      <c r="X2315" t="str" cm="1">
        <f t="array" ref="X2315">IF(162&lt;Controls!$B$7,INDEX(F2153:F2331,MATCH(Controls!$B$5,A2153:A2331,1)+162),"")</f>
        <v/>
      </c>
      <c r="Y2315" t="str" cm="1">
        <f t="array" ref="Y2315">IF(162&lt;Controls!$B$7,INDEX(G2153:G2331,MATCH(Controls!$B$5,A2153:A2331,1)+162),"")</f>
        <v/>
      </c>
      <c r="Z2315" t="str" cm="1">
        <f t="array" ref="Z2315">IF(162&lt;Controls!$B$7,INDEX(H2153:H2331,MATCH(Controls!$B$5,A2153:A2331,1)+162),"")</f>
        <v/>
      </c>
      <c r="AA2315" t="str" cm="1">
        <f t="array" ref="AA2315">IF(162&lt;Controls!$B$7,INDEX(M2153:M2331,MATCH(Controls!$B$5,A2153:A2331,1)+162)*INDEX(I2153:I2331,MATCH(Controls!$B$5,A2153:A2331,1)+162),"")</f>
        <v/>
      </c>
      <c r="AB2315">
        <f t="shared" si="276"/>
        <v>0</v>
      </c>
    </row>
    <row r="2316" spans="1:28" x14ac:dyDescent="0.35">
      <c r="A2316" s="153">
        <v>51014</v>
      </c>
      <c r="B2316" s="155" t="s">
        <v>960</v>
      </c>
      <c r="C2316" s="15" t="s">
        <v>28</v>
      </c>
      <c r="D2316" s="15" t="s">
        <v>29</v>
      </c>
      <c r="E2316" s="199">
        <f>H2315</f>
        <v>0</v>
      </c>
      <c r="F2316" s="199">
        <f>IFERROR(SUMIFS('Demand Inputs'!$FM$5:$FM$202,'Demand Inputs'!$A$5:$A$202,"47mg LP - EU Stock",'Demand Inputs'!$B$5:$B$202,"&lt;&gt;AGGREGATE",'Demand Inputs'!$E$5:$E$202,1),0)</f>
        <v>0</v>
      </c>
      <c r="G2316" s="199" cm="1">
        <f t="array" ref="G2316">IFERROR(SUMPRODUCT(('Production Inputs'!$A:$A="47mg LP - EU Stock")*('Production Inputs'!$B:$B="TOTAL ACTIVE")*'Production Inputs'!$FS:$FS),0)</f>
        <v>0</v>
      </c>
      <c r="H2316" s="199">
        <f t="shared" si="270"/>
        <v>0</v>
      </c>
      <c r="I2316" s="30">
        <f ca="1">IFERROR(AVERAGEIF(OFFSET(F2316,0,0,MIN(Controls!$B$8,COUNTIF(B2316:B$2331,B2316)),1),"&gt;"&amp;0),0)</f>
        <v>0</v>
      </c>
      <c r="J2316" s="38">
        <f t="shared" ca="1" si="271"/>
        <v>0</v>
      </c>
      <c r="K2316" s="30">
        <f t="shared" ca="1" si="272"/>
        <v>0</v>
      </c>
      <c r="L2316" t="str">
        <f t="shared" si="273"/>
        <v>High</v>
      </c>
      <c r="M2316" s="39">
        <f>IFERROR(VLOOKUP("47mg LP - EU Stock",Controls!A:I,7,0),6)</f>
        <v>9</v>
      </c>
      <c r="N2316" s="39">
        <f>IFERROR(VLOOKUP("47mg LP - EU Stock",Controls!A:I,8,0),3)</f>
        <v>8</v>
      </c>
      <c r="O2316" s="39">
        <f>IFERROR(VLOOKUP("47mg LP - EU Stock",Controls!A:I,9,0),18)</f>
        <v>18</v>
      </c>
      <c r="P2316" s="40">
        <f>IFERROR(VLOOKUP("47mg LP - EU Stock",Controls!A:J,5,0),0)</f>
        <v>10000</v>
      </c>
      <c r="Q2316" s="39">
        <f>IFERROR(VLOOKUP("47mg LP - EU Stock",Controls!A:J,6,0),3)</f>
        <v>3</v>
      </c>
      <c r="R2316" s="21" t="str">
        <f>IFERROR(VLOOKUP("47mg LP - EU Stock",Controls!A:K,10,0),"")</f>
        <v>Patheon (L&amp;P EU)</v>
      </c>
      <c r="S2316" s="41">
        <f t="shared" si="274"/>
        <v>50922</v>
      </c>
      <c r="T2316" s="30">
        <f t="shared" si="275"/>
        <v>0</v>
      </c>
      <c r="W2316" s="205" t="str" cm="1">
        <f t="array" ref="W2316">IF(163&lt;Controls!$B$7,TEXT(INDEX(A2153:A2331,MATCH(Controls!$B$5,A2153:A2331,1)+163),"MMM-YY"),"")</f>
        <v/>
      </c>
      <c r="X2316" t="str" cm="1">
        <f t="array" ref="X2316">IF(163&lt;Controls!$B$7,INDEX(F2153:F2331,MATCH(Controls!$B$5,A2153:A2331,1)+163),"")</f>
        <v/>
      </c>
      <c r="Y2316" t="str" cm="1">
        <f t="array" ref="Y2316">IF(163&lt;Controls!$B$7,INDEX(G2153:G2331,MATCH(Controls!$B$5,A2153:A2331,1)+163),"")</f>
        <v/>
      </c>
      <c r="Z2316" t="str" cm="1">
        <f t="array" ref="Z2316">IF(163&lt;Controls!$B$7,INDEX(H2153:H2331,MATCH(Controls!$B$5,A2153:A2331,1)+163),"")</f>
        <v/>
      </c>
      <c r="AA2316" t="str" cm="1">
        <f t="array" ref="AA2316">IF(163&lt;Controls!$B$7,INDEX(M2153:M2331,MATCH(Controls!$B$5,A2153:A2331,1)+163)*INDEX(I2153:I2331,MATCH(Controls!$B$5,A2153:A2331,1)+163),"")</f>
        <v/>
      </c>
      <c r="AB2316">
        <f t="shared" si="276"/>
        <v>0</v>
      </c>
    </row>
    <row r="2317" spans="1:28" x14ac:dyDescent="0.35">
      <c r="A2317" s="153">
        <v>51044</v>
      </c>
      <c r="B2317" s="155" t="s">
        <v>960</v>
      </c>
      <c r="C2317" s="15" t="s">
        <v>28</v>
      </c>
      <c r="D2317" s="15" t="s">
        <v>29</v>
      </c>
      <c r="E2317" s="199">
        <f>H2316</f>
        <v>0</v>
      </c>
      <c r="F2317" s="199">
        <f>IFERROR(SUMIFS('Demand Inputs'!$FN$5:$FN$202,'Demand Inputs'!$A$5:$A$202,"47mg LP - EU Stock",'Demand Inputs'!$B$5:$B$202,"&lt;&gt;AGGREGATE",'Demand Inputs'!$E$5:$E$202,1),0)</f>
        <v>0</v>
      </c>
      <c r="G2317" s="199" cm="1">
        <f t="array" ref="G2317">IFERROR(SUMPRODUCT(('Production Inputs'!$A:$A="47mg LP - EU Stock")*('Production Inputs'!$B:$B="TOTAL ACTIVE")*'Production Inputs'!$FT:$FT),0)</f>
        <v>0</v>
      </c>
      <c r="H2317" s="199">
        <f t="shared" si="270"/>
        <v>0</v>
      </c>
      <c r="I2317" s="30">
        <f ca="1">IFERROR(AVERAGEIF(OFFSET(F2317,0,0,MIN(Controls!$B$8,COUNTIF(B2317:B$2331,B2317)),1),"&gt;"&amp;0),0)</f>
        <v>0</v>
      </c>
      <c r="J2317" s="38">
        <f t="shared" ca="1" si="271"/>
        <v>0</v>
      </c>
      <c r="K2317" s="30">
        <f t="shared" ca="1" si="272"/>
        <v>0</v>
      </c>
      <c r="L2317" t="str">
        <f t="shared" si="273"/>
        <v>High</v>
      </c>
      <c r="M2317" s="39">
        <f>IFERROR(VLOOKUP("47mg LP - EU Stock",Controls!A:I,7,0),6)</f>
        <v>9</v>
      </c>
      <c r="N2317" s="39">
        <f>IFERROR(VLOOKUP("47mg LP - EU Stock",Controls!A:I,8,0),3)</f>
        <v>8</v>
      </c>
      <c r="O2317" s="39">
        <f>IFERROR(VLOOKUP("47mg LP - EU Stock",Controls!A:I,9,0),18)</f>
        <v>18</v>
      </c>
      <c r="P2317" s="40">
        <f>IFERROR(VLOOKUP("47mg LP - EU Stock",Controls!A:J,5,0),0)</f>
        <v>10000</v>
      </c>
      <c r="Q2317" s="39">
        <f>IFERROR(VLOOKUP("47mg LP - EU Stock",Controls!A:J,6,0),3)</f>
        <v>3</v>
      </c>
      <c r="R2317" s="21" t="str">
        <f>IFERROR(VLOOKUP("47mg LP - EU Stock",Controls!A:K,10,0),"")</f>
        <v>Patheon (L&amp;P EU)</v>
      </c>
      <c r="S2317" s="41">
        <f t="shared" si="274"/>
        <v>50952</v>
      </c>
      <c r="T2317" s="30">
        <f t="shared" si="275"/>
        <v>0</v>
      </c>
      <c r="W2317" s="205" t="str" cm="1">
        <f t="array" ref="W2317">IF(164&lt;Controls!$B$7,TEXT(INDEX(A2153:A2331,MATCH(Controls!$B$5,A2153:A2331,1)+164),"MMM-YY"),"")</f>
        <v/>
      </c>
      <c r="X2317" t="str" cm="1">
        <f t="array" ref="X2317">IF(164&lt;Controls!$B$7,INDEX(F2153:F2331,MATCH(Controls!$B$5,A2153:A2331,1)+164),"")</f>
        <v/>
      </c>
      <c r="Y2317" t="str" cm="1">
        <f t="array" ref="Y2317">IF(164&lt;Controls!$B$7,INDEX(G2153:G2331,MATCH(Controls!$B$5,A2153:A2331,1)+164),"")</f>
        <v/>
      </c>
      <c r="Z2317" t="str" cm="1">
        <f t="array" ref="Z2317">IF(164&lt;Controls!$B$7,INDEX(H2153:H2331,MATCH(Controls!$B$5,A2153:A2331,1)+164),"")</f>
        <v/>
      </c>
      <c r="AA2317" t="str" cm="1">
        <f t="array" ref="AA2317">IF(164&lt;Controls!$B$7,INDEX(M2153:M2331,MATCH(Controls!$B$5,A2153:A2331,1)+164)*INDEX(I2153:I2331,MATCH(Controls!$B$5,A2153:A2331,1)+164),"")</f>
        <v/>
      </c>
      <c r="AB2317">
        <f t="shared" si="276"/>
        <v>0</v>
      </c>
    </row>
    <row r="2318" spans="1:28" x14ac:dyDescent="0.35">
      <c r="A2318" s="153">
        <v>51075</v>
      </c>
      <c r="B2318" s="155" t="s">
        <v>960</v>
      </c>
      <c r="C2318" s="15" t="s">
        <v>28</v>
      </c>
      <c r="D2318" s="15" t="s">
        <v>29</v>
      </c>
      <c r="E2318" s="199">
        <f>H2317</f>
        <v>0</v>
      </c>
      <c r="F2318" s="199">
        <f>IFERROR(SUMIFS('Demand Inputs'!$FO$5:$FO$202,'Demand Inputs'!$A$5:$A$202,"47mg LP - EU Stock",'Demand Inputs'!$B$5:$B$202,"&lt;&gt;AGGREGATE",'Demand Inputs'!$E$5:$E$202,1),0)</f>
        <v>0</v>
      </c>
      <c r="G2318" s="199" cm="1">
        <f t="array" ref="G2318">IFERROR(SUMPRODUCT(('Production Inputs'!$A:$A="47mg LP - EU Stock")*('Production Inputs'!$B:$B="TOTAL ACTIVE")*'Production Inputs'!$FU:$FU),0)</f>
        <v>0</v>
      </c>
      <c r="H2318" s="199">
        <f t="shared" si="270"/>
        <v>0</v>
      </c>
      <c r="I2318" s="30">
        <f ca="1">IFERROR(AVERAGEIF(OFFSET(F2318,0,0,MIN(Controls!$B$8,COUNTIF(B2318:B$2331,B2318)),1),"&gt;"&amp;0),0)</f>
        <v>0</v>
      </c>
      <c r="J2318" s="38">
        <f t="shared" ca="1" si="271"/>
        <v>0</v>
      </c>
      <c r="K2318" s="30">
        <f t="shared" ca="1" si="272"/>
        <v>0</v>
      </c>
      <c r="L2318" t="str">
        <f t="shared" si="273"/>
        <v>High</v>
      </c>
      <c r="M2318" s="39">
        <f>IFERROR(VLOOKUP("47mg LP - EU Stock",Controls!A:I,7,0),6)</f>
        <v>9</v>
      </c>
      <c r="N2318" s="39">
        <f>IFERROR(VLOOKUP("47mg LP - EU Stock",Controls!A:I,8,0),3)</f>
        <v>8</v>
      </c>
      <c r="O2318" s="39">
        <f>IFERROR(VLOOKUP("47mg LP - EU Stock",Controls!A:I,9,0),18)</f>
        <v>18</v>
      </c>
      <c r="P2318" s="40">
        <f>IFERROR(VLOOKUP("47mg LP - EU Stock",Controls!A:J,5,0),0)</f>
        <v>10000</v>
      </c>
      <c r="Q2318" s="39">
        <f>IFERROR(VLOOKUP("47mg LP - EU Stock",Controls!A:J,6,0),3)</f>
        <v>3</v>
      </c>
      <c r="R2318" s="21" t="str">
        <f>IFERROR(VLOOKUP("47mg LP - EU Stock",Controls!A:K,10,0),"")</f>
        <v>Patheon (L&amp;P EU)</v>
      </c>
      <c r="S2318" s="41">
        <f t="shared" si="274"/>
        <v>50983</v>
      </c>
      <c r="T2318" s="30">
        <f t="shared" si="275"/>
        <v>0</v>
      </c>
      <c r="W2318" s="205" t="str" cm="1">
        <f t="array" ref="W2318">IF(165&lt;Controls!$B$7,TEXT(INDEX(A2153:A2331,MATCH(Controls!$B$5,A2153:A2331,1)+165),"MMM-YY"),"")</f>
        <v/>
      </c>
      <c r="X2318" t="str" cm="1">
        <f t="array" ref="X2318">IF(165&lt;Controls!$B$7,INDEX(F2153:F2331,MATCH(Controls!$B$5,A2153:A2331,1)+165),"")</f>
        <v/>
      </c>
      <c r="Y2318" t="str" cm="1">
        <f t="array" ref="Y2318">IF(165&lt;Controls!$B$7,INDEX(G2153:G2331,MATCH(Controls!$B$5,A2153:A2331,1)+165),"")</f>
        <v/>
      </c>
      <c r="Z2318" t="str" cm="1">
        <f t="array" ref="Z2318">IF(165&lt;Controls!$B$7,INDEX(H2153:H2331,MATCH(Controls!$B$5,A2153:A2331,1)+165),"")</f>
        <v/>
      </c>
      <c r="AA2318" t="str" cm="1">
        <f t="array" ref="AA2318">IF(165&lt;Controls!$B$7,INDEX(M2153:M2331,MATCH(Controls!$B$5,A2153:A2331,1)+165)*INDEX(I2153:I2331,MATCH(Controls!$B$5,A2153:A2331,1)+165),"")</f>
        <v/>
      </c>
      <c r="AB2318">
        <f t="shared" si="276"/>
        <v>0</v>
      </c>
    </row>
    <row r="2319" spans="1:28" x14ac:dyDescent="0.35">
      <c r="A2319" s="153">
        <v>51105</v>
      </c>
      <c r="B2319" s="155" t="s">
        <v>960</v>
      </c>
      <c r="C2319" s="15" t="s">
        <v>28</v>
      </c>
      <c r="D2319" s="15" t="s">
        <v>29</v>
      </c>
      <c r="E2319" s="199">
        <f>H2318</f>
        <v>0</v>
      </c>
      <c r="F2319" s="199">
        <f>IFERROR(SUMIFS('Demand Inputs'!$FP$5:$FP$202,'Demand Inputs'!$A$5:$A$202,"47mg LP - EU Stock",'Demand Inputs'!$B$5:$B$202,"&lt;&gt;AGGREGATE",'Demand Inputs'!$E$5:$E$202,1),0)</f>
        <v>0</v>
      </c>
      <c r="G2319" s="199" cm="1">
        <f t="array" ref="G2319">IFERROR(SUMPRODUCT(('Production Inputs'!$A:$A="47mg LP - EU Stock")*('Production Inputs'!$B:$B="TOTAL ACTIVE")*'Production Inputs'!$FV:$FV),0)</f>
        <v>0</v>
      </c>
      <c r="H2319" s="199">
        <f t="shared" si="270"/>
        <v>0</v>
      </c>
      <c r="I2319" s="30">
        <f ca="1">IFERROR(AVERAGEIF(OFFSET(F2319,0,0,MIN(Controls!$B$8,COUNTIF(B2319:B$2331,B2319)),1),"&gt;"&amp;0),0)</f>
        <v>0</v>
      </c>
      <c r="J2319" s="38">
        <f t="shared" ca="1" si="271"/>
        <v>0</v>
      </c>
      <c r="K2319" s="30">
        <f t="shared" ca="1" si="272"/>
        <v>0</v>
      </c>
      <c r="L2319" t="str">
        <f t="shared" si="273"/>
        <v>High</v>
      </c>
      <c r="M2319" s="39">
        <f>IFERROR(VLOOKUP("47mg LP - EU Stock",Controls!A:I,7,0),6)</f>
        <v>9</v>
      </c>
      <c r="N2319" s="39">
        <f>IFERROR(VLOOKUP("47mg LP - EU Stock",Controls!A:I,8,0),3)</f>
        <v>8</v>
      </c>
      <c r="O2319" s="39">
        <f>IFERROR(VLOOKUP("47mg LP - EU Stock",Controls!A:I,9,0),18)</f>
        <v>18</v>
      </c>
      <c r="P2319" s="40">
        <f>IFERROR(VLOOKUP("47mg LP - EU Stock",Controls!A:J,5,0),0)</f>
        <v>10000</v>
      </c>
      <c r="Q2319" s="39">
        <f>IFERROR(VLOOKUP("47mg LP - EU Stock",Controls!A:J,6,0),3)</f>
        <v>3</v>
      </c>
      <c r="R2319" s="21" t="str">
        <f>IFERROR(VLOOKUP("47mg LP - EU Stock",Controls!A:K,10,0),"")</f>
        <v>Patheon (L&amp;P EU)</v>
      </c>
      <c r="S2319" s="41">
        <f t="shared" si="274"/>
        <v>51014</v>
      </c>
      <c r="T2319" s="30">
        <f t="shared" si="275"/>
        <v>0</v>
      </c>
      <c r="W2319" s="205" t="str" cm="1">
        <f t="array" ref="W2319">IF(166&lt;Controls!$B$7,TEXT(INDEX(A2153:A2331,MATCH(Controls!$B$5,A2153:A2331,1)+166),"MMM-YY"),"")</f>
        <v/>
      </c>
      <c r="X2319" t="str" cm="1">
        <f t="array" ref="X2319">IF(166&lt;Controls!$B$7,INDEX(F2153:F2331,MATCH(Controls!$B$5,A2153:A2331,1)+166),"")</f>
        <v/>
      </c>
      <c r="Y2319" t="str" cm="1">
        <f t="array" ref="Y2319">IF(166&lt;Controls!$B$7,INDEX(G2153:G2331,MATCH(Controls!$B$5,A2153:A2331,1)+166),"")</f>
        <v/>
      </c>
      <c r="Z2319" t="str" cm="1">
        <f t="array" ref="Z2319">IF(166&lt;Controls!$B$7,INDEX(H2153:H2331,MATCH(Controls!$B$5,A2153:A2331,1)+166),"")</f>
        <v/>
      </c>
      <c r="AA2319" t="str" cm="1">
        <f t="array" ref="AA2319">IF(166&lt;Controls!$B$7,INDEX(M2153:M2331,MATCH(Controls!$B$5,A2153:A2331,1)+166)*INDEX(I2153:I2331,MATCH(Controls!$B$5,A2153:A2331,1)+166),"")</f>
        <v/>
      </c>
      <c r="AB2319">
        <f t="shared" si="276"/>
        <v>0</v>
      </c>
    </row>
    <row r="2320" spans="1:28" x14ac:dyDescent="0.35">
      <c r="A2320" s="153">
        <v>51136</v>
      </c>
      <c r="B2320" s="155" t="s">
        <v>960</v>
      </c>
      <c r="C2320" s="15" t="s">
        <v>28</v>
      </c>
      <c r="D2320" s="15" t="s">
        <v>29</v>
      </c>
      <c r="E2320" s="199">
        <f>H2319</f>
        <v>0</v>
      </c>
      <c r="F2320" s="199">
        <f>IFERROR(SUMIFS('Demand Inputs'!$FQ$5:$FQ$202,'Demand Inputs'!$A$5:$A$202,"47mg LP - EU Stock",'Demand Inputs'!$B$5:$B$202,"&lt;&gt;AGGREGATE",'Demand Inputs'!$E$5:$E$202,1),0)</f>
        <v>0</v>
      </c>
      <c r="G2320" s="199" cm="1">
        <f t="array" ref="G2320">IFERROR(SUMPRODUCT(('Production Inputs'!$A:$A="47mg LP - EU Stock")*('Production Inputs'!$B:$B="TOTAL ACTIVE")*'Production Inputs'!$FW:$FW),0)</f>
        <v>0</v>
      </c>
      <c r="H2320" s="199">
        <f t="shared" si="270"/>
        <v>0</v>
      </c>
      <c r="I2320" s="30">
        <f ca="1">IFERROR(AVERAGEIF(OFFSET(F2320,0,0,MIN(Controls!$B$8,COUNTIF(B2320:B$2331,B2320)),1),"&gt;"&amp;0),0)</f>
        <v>0</v>
      </c>
      <c r="J2320" s="38">
        <f t="shared" ca="1" si="271"/>
        <v>0</v>
      </c>
      <c r="K2320" s="30">
        <f t="shared" ca="1" si="272"/>
        <v>0</v>
      </c>
      <c r="L2320" t="str">
        <f t="shared" si="273"/>
        <v>High</v>
      </c>
      <c r="M2320" s="39">
        <f>IFERROR(VLOOKUP("47mg LP - EU Stock",Controls!A:I,7,0),6)</f>
        <v>9</v>
      </c>
      <c r="N2320" s="39">
        <f>IFERROR(VLOOKUP("47mg LP - EU Stock",Controls!A:I,8,0),3)</f>
        <v>8</v>
      </c>
      <c r="O2320" s="39">
        <f>IFERROR(VLOOKUP("47mg LP - EU Stock",Controls!A:I,9,0),18)</f>
        <v>18</v>
      </c>
      <c r="P2320" s="40">
        <f>IFERROR(VLOOKUP("47mg LP - EU Stock",Controls!A:J,5,0),0)</f>
        <v>10000</v>
      </c>
      <c r="Q2320" s="39">
        <f>IFERROR(VLOOKUP("47mg LP - EU Stock",Controls!A:J,6,0),3)</f>
        <v>3</v>
      </c>
      <c r="R2320" s="21" t="str">
        <f>IFERROR(VLOOKUP("47mg LP - EU Stock",Controls!A:K,10,0),"")</f>
        <v>Patheon (L&amp;P EU)</v>
      </c>
      <c r="S2320" s="41">
        <f t="shared" si="274"/>
        <v>51044</v>
      </c>
      <c r="T2320" s="30">
        <f t="shared" si="275"/>
        <v>0</v>
      </c>
      <c r="W2320" s="205" t="str" cm="1">
        <f t="array" ref="W2320">IF(167&lt;Controls!$B$7,TEXT(INDEX(A2153:A2331,MATCH(Controls!$B$5,A2153:A2331,1)+167),"MMM-YY"),"")</f>
        <v/>
      </c>
      <c r="X2320" t="str" cm="1">
        <f t="array" ref="X2320">IF(167&lt;Controls!$B$7,INDEX(F2153:F2331,MATCH(Controls!$B$5,A2153:A2331,1)+167),"")</f>
        <v/>
      </c>
      <c r="Y2320" t="str" cm="1">
        <f t="array" ref="Y2320">IF(167&lt;Controls!$B$7,INDEX(G2153:G2331,MATCH(Controls!$B$5,A2153:A2331,1)+167),"")</f>
        <v/>
      </c>
      <c r="Z2320" t="str" cm="1">
        <f t="array" ref="Z2320">IF(167&lt;Controls!$B$7,INDEX(H2153:H2331,MATCH(Controls!$B$5,A2153:A2331,1)+167),"")</f>
        <v/>
      </c>
      <c r="AA2320" t="str" cm="1">
        <f t="array" ref="AA2320">IF(167&lt;Controls!$B$7,INDEX(M2153:M2331,MATCH(Controls!$B$5,A2153:A2331,1)+167)*INDEX(I2153:I2331,MATCH(Controls!$B$5,A2153:A2331,1)+167),"")</f>
        <v/>
      </c>
      <c r="AB2320">
        <f t="shared" si="276"/>
        <v>0</v>
      </c>
    </row>
    <row r="2321" spans="1:28" x14ac:dyDescent="0.35">
      <c r="A2321" s="153">
        <v>51167</v>
      </c>
      <c r="B2321" s="155" t="s">
        <v>960</v>
      </c>
      <c r="C2321" s="15" t="s">
        <v>28</v>
      </c>
      <c r="D2321" s="15" t="s">
        <v>29</v>
      </c>
      <c r="E2321" s="199">
        <f>H2320</f>
        <v>0</v>
      </c>
      <c r="F2321" s="199">
        <f>IFERROR(SUMIFS('Demand Inputs'!$FR$5:$FR$202,'Demand Inputs'!$A$5:$A$202,"47mg LP - EU Stock",'Demand Inputs'!$B$5:$B$202,"&lt;&gt;AGGREGATE",'Demand Inputs'!$E$5:$E$202,1),0)</f>
        <v>0</v>
      </c>
      <c r="G2321" s="199" cm="1">
        <f t="array" ref="G2321">IFERROR(SUMPRODUCT(('Production Inputs'!$A:$A="47mg LP - EU Stock")*('Production Inputs'!$B:$B="TOTAL ACTIVE")*'Production Inputs'!$FX:$FX),0)</f>
        <v>0</v>
      </c>
      <c r="H2321" s="199">
        <f t="shared" si="270"/>
        <v>0</v>
      </c>
      <c r="I2321" s="30">
        <f ca="1">IFERROR(AVERAGEIF(OFFSET(F2321,0,0,MIN(Controls!$B$8,COUNTIF(B2321:B$2331,B2321)),1),"&gt;"&amp;0),0)</f>
        <v>0</v>
      </c>
      <c r="J2321" s="38">
        <f t="shared" ca="1" si="271"/>
        <v>0</v>
      </c>
      <c r="K2321" s="30">
        <f t="shared" ca="1" si="272"/>
        <v>0</v>
      </c>
      <c r="L2321" t="str">
        <f t="shared" si="273"/>
        <v>High</v>
      </c>
      <c r="M2321" s="39">
        <f>IFERROR(VLOOKUP("47mg LP - EU Stock",Controls!A:I,7,0),6)</f>
        <v>9</v>
      </c>
      <c r="N2321" s="39">
        <f>IFERROR(VLOOKUP("47mg LP - EU Stock",Controls!A:I,8,0),3)</f>
        <v>8</v>
      </c>
      <c r="O2321" s="39">
        <f>IFERROR(VLOOKUP("47mg LP - EU Stock",Controls!A:I,9,0),18)</f>
        <v>18</v>
      </c>
      <c r="P2321" s="40">
        <f>IFERROR(VLOOKUP("47mg LP - EU Stock",Controls!A:J,5,0),0)</f>
        <v>10000</v>
      </c>
      <c r="Q2321" s="39">
        <f>IFERROR(VLOOKUP("47mg LP - EU Stock",Controls!A:J,6,0),3)</f>
        <v>3</v>
      </c>
      <c r="R2321" s="21" t="str">
        <f>IFERROR(VLOOKUP("47mg LP - EU Stock",Controls!A:K,10,0),"")</f>
        <v>Patheon (L&amp;P EU)</v>
      </c>
      <c r="S2321" s="41">
        <f t="shared" si="274"/>
        <v>51075</v>
      </c>
      <c r="T2321" s="30">
        <f t="shared" si="275"/>
        <v>0</v>
      </c>
      <c r="W2321" s="205" t="str" cm="1">
        <f t="array" ref="W2321">IF(168&lt;Controls!$B$7,TEXT(INDEX(A2153:A2331,MATCH(Controls!$B$5,A2153:A2331,1)+168),"MMM-YY"),"")</f>
        <v/>
      </c>
      <c r="X2321" t="str" cm="1">
        <f t="array" ref="X2321">IF(168&lt;Controls!$B$7,INDEX(F2153:F2331,MATCH(Controls!$B$5,A2153:A2331,1)+168),"")</f>
        <v/>
      </c>
      <c r="Y2321" t="str" cm="1">
        <f t="array" ref="Y2321">IF(168&lt;Controls!$B$7,INDEX(G2153:G2331,MATCH(Controls!$B$5,A2153:A2331,1)+168),"")</f>
        <v/>
      </c>
      <c r="Z2321" t="str" cm="1">
        <f t="array" ref="Z2321">IF(168&lt;Controls!$B$7,INDEX(H2153:H2331,MATCH(Controls!$B$5,A2153:A2331,1)+168),"")</f>
        <v/>
      </c>
      <c r="AA2321" t="str" cm="1">
        <f t="array" ref="AA2321">IF(168&lt;Controls!$B$7,INDEX(M2153:M2331,MATCH(Controls!$B$5,A2153:A2331,1)+168)*INDEX(I2153:I2331,MATCH(Controls!$B$5,A2153:A2331,1)+168),"")</f>
        <v/>
      </c>
      <c r="AB2321">
        <f t="shared" si="276"/>
        <v>0</v>
      </c>
    </row>
    <row r="2322" spans="1:28" x14ac:dyDescent="0.35">
      <c r="A2322" s="153">
        <v>51196</v>
      </c>
      <c r="B2322" s="155" t="s">
        <v>960</v>
      </c>
      <c r="C2322" s="15" t="s">
        <v>28</v>
      </c>
      <c r="D2322" s="15" t="s">
        <v>29</v>
      </c>
      <c r="E2322" s="199">
        <f>H2321</f>
        <v>0</v>
      </c>
      <c r="F2322" s="199">
        <f>IFERROR(SUMIFS('Demand Inputs'!$FS$5:$FS$202,'Demand Inputs'!$A$5:$A$202,"47mg LP - EU Stock",'Demand Inputs'!$B$5:$B$202,"&lt;&gt;AGGREGATE",'Demand Inputs'!$E$5:$E$202,1),0)</f>
        <v>0</v>
      </c>
      <c r="G2322" s="199" cm="1">
        <f t="array" ref="G2322">IFERROR(SUMPRODUCT(('Production Inputs'!$A:$A="47mg LP - EU Stock")*('Production Inputs'!$B:$B="TOTAL ACTIVE")*'Production Inputs'!$FY:$FY),0)</f>
        <v>0</v>
      </c>
      <c r="H2322" s="199">
        <f t="shared" si="270"/>
        <v>0</v>
      </c>
      <c r="I2322" s="30">
        <f ca="1">IFERROR(AVERAGEIF(OFFSET(F2322,0,0,MIN(Controls!$B$8,COUNTIF(B2322:B$2331,B2322)),1),"&gt;"&amp;0),0)</f>
        <v>0</v>
      </c>
      <c r="J2322" s="38">
        <f t="shared" ca="1" si="271"/>
        <v>0</v>
      </c>
      <c r="K2322" s="30">
        <f t="shared" ca="1" si="272"/>
        <v>0</v>
      </c>
      <c r="L2322" t="str">
        <f t="shared" si="273"/>
        <v>High</v>
      </c>
      <c r="M2322" s="39">
        <f>IFERROR(VLOOKUP("47mg LP - EU Stock",Controls!A:I,7,0),6)</f>
        <v>9</v>
      </c>
      <c r="N2322" s="39">
        <f>IFERROR(VLOOKUP("47mg LP - EU Stock",Controls!A:I,8,0),3)</f>
        <v>8</v>
      </c>
      <c r="O2322" s="39">
        <f>IFERROR(VLOOKUP("47mg LP - EU Stock",Controls!A:I,9,0),18)</f>
        <v>18</v>
      </c>
      <c r="P2322" s="40">
        <f>IFERROR(VLOOKUP("47mg LP - EU Stock",Controls!A:J,5,0),0)</f>
        <v>10000</v>
      </c>
      <c r="Q2322" s="39">
        <f>IFERROR(VLOOKUP("47mg LP - EU Stock",Controls!A:J,6,0),3)</f>
        <v>3</v>
      </c>
      <c r="R2322" s="21" t="str">
        <f>IFERROR(VLOOKUP("47mg LP - EU Stock",Controls!A:K,10,0),"")</f>
        <v>Patheon (L&amp;P EU)</v>
      </c>
      <c r="S2322" s="41">
        <f t="shared" si="274"/>
        <v>51105</v>
      </c>
      <c r="T2322" s="30">
        <f t="shared" si="275"/>
        <v>0</v>
      </c>
      <c r="W2322" s="205" t="str" cm="1">
        <f t="array" ref="W2322">IF(169&lt;Controls!$B$7,TEXT(INDEX(A2153:A2331,MATCH(Controls!$B$5,A2153:A2331,1)+169),"MMM-YY"),"")</f>
        <v/>
      </c>
      <c r="X2322" t="str" cm="1">
        <f t="array" ref="X2322">IF(169&lt;Controls!$B$7,INDEX(F2153:F2331,MATCH(Controls!$B$5,A2153:A2331,1)+169),"")</f>
        <v/>
      </c>
      <c r="Y2322" t="str" cm="1">
        <f t="array" ref="Y2322">IF(169&lt;Controls!$B$7,INDEX(G2153:G2331,MATCH(Controls!$B$5,A2153:A2331,1)+169),"")</f>
        <v/>
      </c>
      <c r="Z2322" t="str" cm="1">
        <f t="array" ref="Z2322">IF(169&lt;Controls!$B$7,INDEX(H2153:H2331,MATCH(Controls!$B$5,A2153:A2331,1)+169),"")</f>
        <v/>
      </c>
      <c r="AA2322" t="str" cm="1">
        <f t="array" ref="AA2322">IF(169&lt;Controls!$B$7,INDEX(M2153:M2331,MATCH(Controls!$B$5,A2153:A2331,1)+169)*INDEX(I2153:I2331,MATCH(Controls!$B$5,A2153:A2331,1)+169),"")</f>
        <v/>
      </c>
      <c r="AB2322">
        <f t="shared" si="276"/>
        <v>0</v>
      </c>
    </row>
    <row r="2323" spans="1:28" x14ac:dyDescent="0.35">
      <c r="A2323" s="153">
        <v>51227</v>
      </c>
      <c r="B2323" s="155" t="s">
        <v>960</v>
      </c>
      <c r="C2323" s="15" t="s">
        <v>28</v>
      </c>
      <c r="D2323" s="15" t="s">
        <v>29</v>
      </c>
      <c r="E2323" s="199">
        <f>H2322</f>
        <v>0</v>
      </c>
      <c r="F2323" s="199">
        <f>IFERROR(SUMIFS('Demand Inputs'!$FT$5:$FT$202,'Demand Inputs'!$A$5:$A$202,"47mg LP - EU Stock",'Demand Inputs'!$B$5:$B$202,"&lt;&gt;AGGREGATE",'Demand Inputs'!$E$5:$E$202,1),0)</f>
        <v>0</v>
      </c>
      <c r="G2323" s="199" cm="1">
        <f t="array" ref="G2323">IFERROR(SUMPRODUCT(('Production Inputs'!$A:$A="47mg LP - EU Stock")*('Production Inputs'!$B:$B="TOTAL ACTIVE")*'Production Inputs'!$FZ:$FZ),0)</f>
        <v>0</v>
      </c>
      <c r="H2323" s="199">
        <f t="shared" si="270"/>
        <v>0</v>
      </c>
      <c r="I2323" s="30">
        <f ca="1">IFERROR(AVERAGEIF(OFFSET(F2323,0,0,MIN(Controls!$B$8,COUNTIF(B2323:B$2331,B2323)),1),"&gt;"&amp;0),0)</f>
        <v>0</v>
      </c>
      <c r="J2323" s="38">
        <f t="shared" ca="1" si="271"/>
        <v>0</v>
      </c>
      <c r="K2323" s="30">
        <f t="shared" ca="1" si="272"/>
        <v>0</v>
      </c>
      <c r="L2323" t="str">
        <f t="shared" si="273"/>
        <v>High</v>
      </c>
      <c r="M2323" s="39">
        <f>IFERROR(VLOOKUP("47mg LP - EU Stock",Controls!A:I,7,0),6)</f>
        <v>9</v>
      </c>
      <c r="N2323" s="39">
        <f>IFERROR(VLOOKUP("47mg LP - EU Stock",Controls!A:I,8,0),3)</f>
        <v>8</v>
      </c>
      <c r="O2323" s="39">
        <f>IFERROR(VLOOKUP("47mg LP - EU Stock",Controls!A:I,9,0),18)</f>
        <v>18</v>
      </c>
      <c r="P2323" s="40">
        <f>IFERROR(VLOOKUP("47mg LP - EU Stock",Controls!A:J,5,0),0)</f>
        <v>10000</v>
      </c>
      <c r="Q2323" s="39">
        <f>IFERROR(VLOOKUP("47mg LP - EU Stock",Controls!A:J,6,0),3)</f>
        <v>3</v>
      </c>
      <c r="R2323" s="21" t="str">
        <f>IFERROR(VLOOKUP("47mg LP - EU Stock",Controls!A:K,10,0),"")</f>
        <v>Patheon (L&amp;P EU)</v>
      </c>
      <c r="S2323" s="41">
        <f t="shared" si="274"/>
        <v>51136</v>
      </c>
      <c r="T2323" s="30">
        <f t="shared" si="275"/>
        <v>0</v>
      </c>
      <c r="W2323" s="205" t="str" cm="1">
        <f t="array" ref="W2323">IF(170&lt;Controls!$B$7,TEXT(INDEX(A2153:A2331,MATCH(Controls!$B$5,A2153:A2331,1)+170),"MMM-YY"),"")</f>
        <v/>
      </c>
      <c r="X2323" t="str" cm="1">
        <f t="array" ref="X2323">IF(170&lt;Controls!$B$7,INDEX(F2153:F2331,MATCH(Controls!$B$5,A2153:A2331,1)+170),"")</f>
        <v/>
      </c>
      <c r="Y2323" t="str" cm="1">
        <f t="array" ref="Y2323">IF(170&lt;Controls!$B$7,INDEX(G2153:G2331,MATCH(Controls!$B$5,A2153:A2331,1)+170),"")</f>
        <v/>
      </c>
      <c r="Z2323" t="str" cm="1">
        <f t="array" ref="Z2323">IF(170&lt;Controls!$B$7,INDEX(H2153:H2331,MATCH(Controls!$B$5,A2153:A2331,1)+170),"")</f>
        <v/>
      </c>
      <c r="AA2323" t="str" cm="1">
        <f t="array" ref="AA2323">IF(170&lt;Controls!$B$7,INDEX(M2153:M2331,MATCH(Controls!$B$5,A2153:A2331,1)+170)*INDEX(I2153:I2331,MATCH(Controls!$B$5,A2153:A2331,1)+170),"")</f>
        <v/>
      </c>
      <c r="AB2323">
        <f t="shared" si="276"/>
        <v>0</v>
      </c>
    </row>
    <row r="2324" spans="1:28" x14ac:dyDescent="0.35">
      <c r="A2324" s="153">
        <v>51257</v>
      </c>
      <c r="B2324" s="155" t="s">
        <v>960</v>
      </c>
      <c r="C2324" s="15" t="s">
        <v>28</v>
      </c>
      <c r="D2324" s="15" t="s">
        <v>29</v>
      </c>
      <c r="E2324" s="199">
        <f>H2323</f>
        <v>0</v>
      </c>
      <c r="F2324" s="199">
        <f>IFERROR(SUMIFS('Demand Inputs'!$FU$5:$FU$202,'Demand Inputs'!$A$5:$A$202,"47mg LP - EU Stock",'Demand Inputs'!$B$5:$B$202,"&lt;&gt;AGGREGATE",'Demand Inputs'!$E$5:$E$202,1),0)</f>
        <v>0</v>
      </c>
      <c r="G2324" s="199" cm="1">
        <f t="array" ref="G2324">IFERROR(SUMPRODUCT(('Production Inputs'!$A:$A="47mg LP - EU Stock")*('Production Inputs'!$B:$B="TOTAL ACTIVE")*'Production Inputs'!$GA:$GA),0)</f>
        <v>0</v>
      </c>
      <c r="H2324" s="199">
        <f t="shared" si="270"/>
        <v>0</v>
      </c>
      <c r="I2324" s="30">
        <f ca="1">IFERROR(AVERAGEIF(OFFSET(F2324,0,0,MIN(Controls!$B$8,COUNTIF(B2324:B$2331,B2324)),1),"&gt;"&amp;0),0)</f>
        <v>0</v>
      </c>
      <c r="J2324" s="38">
        <f t="shared" ca="1" si="271"/>
        <v>0</v>
      </c>
      <c r="K2324" s="30">
        <f t="shared" ca="1" si="272"/>
        <v>0</v>
      </c>
      <c r="L2324" t="str">
        <f t="shared" si="273"/>
        <v>High</v>
      </c>
      <c r="M2324" s="39">
        <f>IFERROR(VLOOKUP("47mg LP - EU Stock",Controls!A:I,7,0),6)</f>
        <v>9</v>
      </c>
      <c r="N2324" s="39">
        <f>IFERROR(VLOOKUP("47mg LP - EU Stock",Controls!A:I,8,0),3)</f>
        <v>8</v>
      </c>
      <c r="O2324" s="39">
        <f>IFERROR(VLOOKUP("47mg LP - EU Stock",Controls!A:I,9,0),18)</f>
        <v>18</v>
      </c>
      <c r="P2324" s="40">
        <f>IFERROR(VLOOKUP("47mg LP - EU Stock",Controls!A:J,5,0),0)</f>
        <v>10000</v>
      </c>
      <c r="Q2324" s="39">
        <f>IFERROR(VLOOKUP("47mg LP - EU Stock",Controls!A:J,6,0),3)</f>
        <v>3</v>
      </c>
      <c r="R2324" s="21" t="str">
        <f>IFERROR(VLOOKUP("47mg LP - EU Stock",Controls!A:K,10,0),"")</f>
        <v>Patheon (L&amp;P EU)</v>
      </c>
      <c r="S2324" s="41">
        <f t="shared" si="274"/>
        <v>51167</v>
      </c>
      <c r="T2324" s="30">
        <f t="shared" si="275"/>
        <v>0</v>
      </c>
      <c r="W2324" s="205" t="str" cm="1">
        <f t="array" ref="W2324">IF(171&lt;Controls!$B$7,TEXT(INDEX(A2153:A2331,MATCH(Controls!$B$5,A2153:A2331,1)+171),"MMM-YY"),"")</f>
        <v/>
      </c>
      <c r="X2324" t="str" cm="1">
        <f t="array" ref="X2324">IF(171&lt;Controls!$B$7,INDEX(F2153:F2331,MATCH(Controls!$B$5,A2153:A2331,1)+171),"")</f>
        <v/>
      </c>
      <c r="Y2324" t="str" cm="1">
        <f t="array" ref="Y2324">IF(171&lt;Controls!$B$7,INDEX(G2153:G2331,MATCH(Controls!$B$5,A2153:A2331,1)+171),"")</f>
        <v/>
      </c>
      <c r="Z2324" t="str" cm="1">
        <f t="array" ref="Z2324">IF(171&lt;Controls!$B$7,INDEX(H2153:H2331,MATCH(Controls!$B$5,A2153:A2331,1)+171),"")</f>
        <v/>
      </c>
      <c r="AA2324" t="str" cm="1">
        <f t="array" ref="AA2324">IF(171&lt;Controls!$B$7,INDEX(M2153:M2331,MATCH(Controls!$B$5,A2153:A2331,1)+171)*INDEX(I2153:I2331,MATCH(Controls!$B$5,A2153:A2331,1)+171),"")</f>
        <v/>
      </c>
      <c r="AB2324">
        <f t="shared" si="276"/>
        <v>0</v>
      </c>
    </row>
    <row r="2325" spans="1:28" x14ac:dyDescent="0.35">
      <c r="A2325" s="153">
        <v>51288</v>
      </c>
      <c r="B2325" s="155" t="s">
        <v>960</v>
      </c>
      <c r="C2325" s="15" t="s">
        <v>28</v>
      </c>
      <c r="D2325" s="15" t="s">
        <v>29</v>
      </c>
      <c r="E2325" s="199">
        <f>H2324</f>
        <v>0</v>
      </c>
      <c r="F2325" s="199">
        <f>IFERROR(SUMIFS('Demand Inputs'!$FV$5:$FV$202,'Demand Inputs'!$A$5:$A$202,"47mg LP - EU Stock",'Demand Inputs'!$B$5:$B$202,"&lt;&gt;AGGREGATE",'Demand Inputs'!$E$5:$E$202,1),0)</f>
        <v>0</v>
      </c>
      <c r="G2325" s="199" cm="1">
        <f t="array" ref="G2325">IFERROR(SUMPRODUCT(('Production Inputs'!$A:$A="47mg LP - EU Stock")*('Production Inputs'!$B:$B="TOTAL ACTIVE")*'Production Inputs'!$GB:$GB),0)</f>
        <v>0</v>
      </c>
      <c r="H2325" s="199">
        <f t="shared" si="270"/>
        <v>0</v>
      </c>
      <c r="I2325" s="30">
        <f ca="1">IFERROR(AVERAGEIF(OFFSET(F2325,0,0,MIN(Controls!$B$8,COUNTIF(B2325:B$2331,B2325)),1),"&gt;"&amp;0),0)</f>
        <v>0</v>
      </c>
      <c r="J2325" s="38">
        <f t="shared" ca="1" si="271"/>
        <v>0</v>
      </c>
      <c r="K2325" s="30">
        <f t="shared" ca="1" si="272"/>
        <v>0</v>
      </c>
      <c r="L2325" t="str">
        <f t="shared" si="273"/>
        <v>High</v>
      </c>
      <c r="M2325" s="39">
        <f>IFERROR(VLOOKUP("47mg LP - EU Stock",Controls!A:I,7,0),6)</f>
        <v>9</v>
      </c>
      <c r="N2325" s="39">
        <f>IFERROR(VLOOKUP("47mg LP - EU Stock",Controls!A:I,8,0),3)</f>
        <v>8</v>
      </c>
      <c r="O2325" s="39">
        <f>IFERROR(VLOOKUP("47mg LP - EU Stock",Controls!A:I,9,0),18)</f>
        <v>18</v>
      </c>
      <c r="P2325" s="40">
        <f>IFERROR(VLOOKUP("47mg LP - EU Stock",Controls!A:J,5,0),0)</f>
        <v>10000</v>
      </c>
      <c r="Q2325" s="39">
        <f>IFERROR(VLOOKUP("47mg LP - EU Stock",Controls!A:J,6,0),3)</f>
        <v>3</v>
      </c>
      <c r="R2325" s="21" t="str">
        <f>IFERROR(VLOOKUP("47mg LP - EU Stock",Controls!A:K,10,0),"")</f>
        <v>Patheon (L&amp;P EU)</v>
      </c>
      <c r="S2325" s="41">
        <f t="shared" si="274"/>
        <v>51196</v>
      </c>
      <c r="T2325" s="30">
        <f t="shared" si="275"/>
        <v>0</v>
      </c>
      <c r="W2325" s="205" t="str" cm="1">
        <f t="array" ref="W2325">IF(172&lt;Controls!$B$7,TEXT(INDEX(A2153:A2331,MATCH(Controls!$B$5,A2153:A2331,1)+172),"MMM-YY"),"")</f>
        <v/>
      </c>
      <c r="X2325" t="str" cm="1">
        <f t="array" ref="X2325">IF(172&lt;Controls!$B$7,INDEX(F2153:F2331,MATCH(Controls!$B$5,A2153:A2331,1)+172),"")</f>
        <v/>
      </c>
      <c r="Y2325" t="str" cm="1">
        <f t="array" ref="Y2325">IF(172&lt;Controls!$B$7,INDEX(G2153:G2331,MATCH(Controls!$B$5,A2153:A2331,1)+172),"")</f>
        <v/>
      </c>
      <c r="Z2325" t="str" cm="1">
        <f t="array" ref="Z2325">IF(172&lt;Controls!$B$7,INDEX(H2153:H2331,MATCH(Controls!$B$5,A2153:A2331,1)+172),"")</f>
        <v/>
      </c>
      <c r="AA2325" t="str" cm="1">
        <f t="array" ref="AA2325">IF(172&lt;Controls!$B$7,INDEX(M2153:M2331,MATCH(Controls!$B$5,A2153:A2331,1)+172)*INDEX(I2153:I2331,MATCH(Controls!$B$5,A2153:A2331,1)+172),"")</f>
        <v/>
      </c>
      <c r="AB2325">
        <f t="shared" si="276"/>
        <v>0</v>
      </c>
    </row>
    <row r="2326" spans="1:28" x14ac:dyDescent="0.35">
      <c r="A2326" s="153">
        <v>51318</v>
      </c>
      <c r="B2326" s="155" t="s">
        <v>960</v>
      </c>
      <c r="C2326" s="15" t="s">
        <v>28</v>
      </c>
      <c r="D2326" s="15" t="s">
        <v>29</v>
      </c>
      <c r="E2326" s="199">
        <f>H2325</f>
        <v>0</v>
      </c>
      <c r="F2326" s="199">
        <f>IFERROR(SUMIFS('Demand Inputs'!$FW$5:$FW$202,'Demand Inputs'!$A$5:$A$202,"47mg LP - EU Stock",'Demand Inputs'!$B$5:$B$202,"&lt;&gt;AGGREGATE",'Demand Inputs'!$E$5:$E$202,1),0)</f>
        <v>0</v>
      </c>
      <c r="G2326" s="199" cm="1">
        <f t="array" ref="G2326">IFERROR(SUMPRODUCT(('Production Inputs'!$A:$A="47mg LP - EU Stock")*('Production Inputs'!$B:$B="TOTAL ACTIVE")*'Production Inputs'!$GC:$GC),0)</f>
        <v>0</v>
      </c>
      <c r="H2326" s="199">
        <f t="shared" si="270"/>
        <v>0</v>
      </c>
      <c r="I2326" s="30">
        <f ca="1">IFERROR(AVERAGEIF(OFFSET(F2326,0,0,MIN(Controls!$B$8,COUNTIF(B2326:B$2331,B2326)),1),"&gt;"&amp;0),0)</f>
        <v>0</v>
      </c>
      <c r="J2326" s="38">
        <f t="shared" ca="1" si="271"/>
        <v>0</v>
      </c>
      <c r="K2326" s="30">
        <f t="shared" ca="1" si="272"/>
        <v>0</v>
      </c>
      <c r="L2326" t="str">
        <f t="shared" si="273"/>
        <v>High</v>
      </c>
      <c r="M2326" s="39">
        <f>IFERROR(VLOOKUP("47mg LP - EU Stock",Controls!A:I,7,0),6)</f>
        <v>9</v>
      </c>
      <c r="N2326" s="39">
        <f>IFERROR(VLOOKUP("47mg LP - EU Stock",Controls!A:I,8,0),3)</f>
        <v>8</v>
      </c>
      <c r="O2326" s="39">
        <f>IFERROR(VLOOKUP("47mg LP - EU Stock",Controls!A:I,9,0),18)</f>
        <v>18</v>
      </c>
      <c r="P2326" s="40">
        <f>IFERROR(VLOOKUP("47mg LP - EU Stock",Controls!A:J,5,0),0)</f>
        <v>10000</v>
      </c>
      <c r="Q2326" s="39">
        <f>IFERROR(VLOOKUP("47mg LP - EU Stock",Controls!A:J,6,0),3)</f>
        <v>3</v>
      </c>
      <c r="R2326" s="21" t="str">
        <f>IFERROR(VLOOKUP("47mg LP - EU Stock",Controls!A:K,10,0),"")</f>
        <v>Patheon (L&amp;P EU)</v>
      </c>
      <c r="S2326" s="41">
        <f t="shared" si="274"/>
        <v>51227</v>
      </c>
      <c r="T2326" s="30">
        <f t="shared" si="275"/>
        <v>0</v>
      </c>
      <c r="W2326" s="205" t="str" cm="1">
        <f t="array" ref="W2326">IF(173&lt;Controls!$B$7,TEXT(INDEX(A2153:A2331,MATCH(Controls!$B$5,A2153:A2331,1)+173),"MMM-YY"),"")</f>
        <v/>
      </c>
      <c r="X2326" t="str" cm="1">
        <f t="array" ref="X2326">IF(173&lt;Controls!$B$7,INDEX(F2153:F2331,MATCH(Controls!$B$5,A2153:A2331,1)+173),"")</f>
        <v/>
      </c>
      <c r="Y2326" t="str" cm="1">
        <f t="array" ref="Y2326">IF(173&lt;Controls!$B$7,INDEX(G2153:G2331,MATCH(Controls!$B$5,A2153:A2331,1)+173),"")</f>
        <v/>
      </c>
      <c r="Z2326" t="str" cm="1">
        <f t="array" ref="Z2326">IF(173&lt;Controls!$B$7,INDEX(H2153:H2331,MATCH(Controls!$B$5,A2153:A2331,1)+173),"")</f>
        <v/>
      </c>
      <c r="AA2326" t="str" cm="1">
        <f t="array" ref="AA2326">IF(173&lt;Controls!$B$7,INDEX(M2153:M2331,MATCH(Controls!$B$5,A2153:A2331,1)+173)*INDEX(I2153:I2331,MATCH(Controls!$B$5,A2153:A2331,1)+173),"")</f>
        <v/>
      </c>
      <c r="AB2326">
        <f t="shared" si="276"/>
        <v>0</v>
      </c>
    </row>
    <row r="2327" spans="1:28" x14ac:dyDescent="0.35">
      <c r="A2327" s="153">
        <v>51349</v>
      </c>
      <c r="B2327" s="155" t="s">
        <v>960</v>
      </c>
      <c r="C2327" s="15" t="s">
        <v>28</v>
      </c>
      <c r="D2327" s="15" t="s">
        <v>29</v>
      </c>
      <c r="E2327" s="199">
        <f>H2326</f>
        <v>0</v>
      </c>
      <c r="F2327" s="199">
        <f>IFERROR(SUMIFS('Demand Inputs'!$FX$5:$FX$202,'Demand Inputs'!$A$5:$A$202,"47mg LP - EU Stock",'Demand Inputs'!$B$5:$B$202,"&lt;&gt;AGGREGATE",'Demand Inputs'!$E$5:$E$202,1),0)</f>
        <v>0</v>
      </c>
      <c r="G2327" s="199" cm="1">
        <f t="array" ref="G2327">IFERROR(SUMPRODUCT(('Production Inputs'!$A:$A="47mg LP - EU Stock")*('Production Inputs'!$B:$B="TOTAL ACTIVE")*'Production Inputs'!$GD:$GD),0)</f>
        <v>0</v>
      </c>
      <c r="H2327" s="199">
        <f t="shared" si="270"/>
        <v>0</v>
      </c>
      <c r="I2327" s="30">
        <f ca="1">IFERROR(AVERAGEIF(OFFSET(F2327,0,0,MIN(Controls!$B$8,COUNTIF(B2327:B$2331,B2327)),1),"&gt;"&amp;0),0)</f>
        <v>0</v>
      </c>
      <c r="J2327" s="38">
        <f t="shared" ca="1" si="271"/>
        <v>0</v>
      </c>
      <c r="K2327" s="30">
        <f t="shared" ca="1" si="272"/>
        <v>0</v>
      </c>
      <c r="L2327" t="str">
        <f t="shared" si="273"/>
        <v>High</v>
      </c>
      <c r="M2327" s="39">
        <f>IFERROR(VLOOKUP("47mg LP - EU Stock",Controls!A:I,7,0),6)</f>
        <v>9</v>
      </c>
      <c r="N2327" s="39">
        <f>IFERROR(VLOOKUP("47mg LP - EU Stock",Controls!A:I,8,0),3)</f>
        <v>8</v>
      </c>
      <c r="O2327" s="39">
        <f>IFERROR(VLOOKUP("47mg LP - EU Stock",Controls!A:I,9,0),18)</f>
        <v>18</v>
      </c>
      <c r="P2327" s="40">
        <f>IFERROR(VLOOKUP("47mg LP - EU Stock",Controls!A:J,5,0),0)</f>
        <v>10000</v>
      </c>
      <c r="Q2327" s="39">
        <f>IFERROR(VLOOKUP("47mg LP - EU Stock",Controls!A:J,6,0),3)</f>
        <v>3</v>
      </c>
      <c r="R2327" s="21" t="str">
        <f>IFERROR(VLOOKUP("47mg LP - EU Stock",Controls!A:K,10,0),"")</f>
        <v>Patheon (L&amp;P EU)</v>
      </c>
      <c r="S2327" s="41">
        <f t="shared" si="274"/>
        <v>51257</v>
      </c>
      <c r="T2327" s="30">
        <f t="shared" si="275"/>
        <v>0</v>
      </c>
      <c r="W2327" s="205" t="str" cm="1">
        <f t="array" ref="W2327">IF(174&lt;Controls!$B$7,TEXT(INDEX(A2153:A2331,MATCH(Controls!$B$5,A2153:A2331,1)+174),"MMM-YY"),"")</f>
        <v/>
      </c>
      <c r="X2327" t="str" cm="1">
        <f t="array" ref="X2327">IF(174&lt;Controls!$B$7,INDEX(F2153:F2331,MATCH(Controls!$B$5,A2153:A2331,1)+174),"")</f>
        <v/>
      </c>
      <c r="Y2327" t="str" cm="1">
        <f t="array" ref="Y2327">IF(174&lt;Controls!$B$7,INDEX(G2153:G2331,MATCH(Controls!$B$5,A2153:A2331,1)+174),"")</f>
        <v/>
      </c>
      <c r="Z2327" t="str" cm="1">
        <f t="array" ref="Z2327">IF(174&lt;Controls!$B$7,INDEX(H2153:H2331,MATCH(Controls!$B$5,A2153:A2331,1)+174),"")</f>
        <v/>
      </c>
      <c r="AA2327" t="str" cm="1">
        <f t="array" ref="AA2327">IF(174&lt;Controls!$B$7,INDEX(M2153:M2331,MATCH(Controls!$B$5,A2153:A2331,1)+174)*INDEX(I2153:I2331,MATCH(Controls!$B$5,A2153:A2331,1)+174),"")</f>
        <v/>
      </c>
      <c r="AB2327">
        <f t="shared" si="276"/>
        <v>0</v>
      </c>
    </row>
    <row r="2328" spans="1:28" x14ac:dyDescent="0.35">
      <c r="A2328" s="153">
        <v>51380</v>
      </c>
      <c r="B2328" s="155" t="s">
        <v>960</v>
      </c>
      <c r="C2328" s="15" t="s">
        <v>28</v>
      </c>
      <c r="D2328" s="15" t="s">
        <v>29</v>
      </c>
      <c r="E2328" s="199">
        <f>H2327</f>
        <v>0</v>
      </c>
      <c r="F2328" s="199">
        <f>IFERROR(SUMIFS('Demand Inputs'!$FY$5:$FY$202,'Demand Inputs'!$A$5:$A$202,"47mg LP - EU Stock",'Demand Inputs'!$B$5:$B$202,"&lt;&gt;AGGREGATE",'Demand Inputs'!$E$5:$E$202,1),0)</f>
        <v>0</v>
      </c>
      <c r="G2328" s="199" cm="1">
        <f t="array" ref="G2328">IFERROR(SUMPRODUCT(('Production Inputs'!$A:$A="47mg LP - EU Stock")*('Production Inputs'!$B:$B="TOTAL ACTIVE")*'Production Inputs'!$GE:$GE),0)</f>
        <v>0</v>
      </c>
      <c r="H2328" s="199">
        <f t="shared" si="270"/>
        <v>0</v>
      </c>
      <c r="I2328" s="30">
        <f ca="1">IFERROR(AVERAGEIF(OFFSET(F2328,0,0,MIN(Controls!$B$8,COUNTIF(B2328:B$2331,B2328)),1),"&gt;"&amp;0),0)</f>
        <v>0</v>
      </c>
      <c r="J2328" s="38">
        <f t="shared" ca="1" si="271"/>
        <v>0</v>
      </c>
      <c r="K2328" s="30">
        <f t="shared" ca="1" si="272"/>
        <v>0</v>
      </c>
      <c r="L2328" t="str">
        <f t="shared" si="273"/>
        <v>High</v>
      </c>
      <c r="M2328" s="39">
        <f>IFERROR(VLOOKUP("47mg LP - EU Stock",Controls!A:I,7,0),6)</f>
        <v>9</v>
      </c>
      <c r="N2328" s="39">
        <f>IFERROR(VLOOKUP("47mg LP - EU Stock",Controls!A:I,8,0),3)</f>
        <v>8</v>
      </c>
      <c r="O2328" s="39">
        <f>IFERROR(VLOOKUP("47mg LP - EU Stock",Controls!A:I,9,0),18)</f>
        <v>18</v>
      </c>
      <c r="P2328" s="40">
        <f>IFERROR(VLOOKUP("47mg LP - EU Stock",Controls!A:J,5,0),0)</f>
        <v>10000</v>
      </c>
      <c r="Q2328" s="39">
        <f>IFERROR(VLOOKUP("47mg LP - EU Stock",Controls!A:J,6,0),3)</f>
        <v>3</v>
      </c>
      <c r="R2328" s="21" t="str">
        <f>IFERROR(VLOOKUP("47mg LP - EU Stock",Controls!A:K,10,0),"")</f>
        <v>Patheon (L&amp;P EU)</v>
      </c>
      <c r="S2328" s="41">
        <f t="shared" si="274"/>
        <v>51288</v>
      </c>
      <c r="T2328" s="30">
        <f t="shared" si="275"/>
        <v>0</v>
      </c>
      <c r="W2328" s="205" t="str" cm="1">
        <f t="array" ref="W2328">IF(175&lt;Controls!$B$7,TEXT(INDEX(A2153:A2331,MATCH(Controls!$B$5,A2153:A2331,1)+175),"MMM-YY"),"")</f>
        <v/>
      </c>
      <c r="X2328" t="str" cm="1">
        <f t="array" ref="X2328">IF(175&lt;Controls!$B$7,INDEX(F2153:F2331,MATCH(Controls!$B$5,A2153:A2331,1)+175),"")</f>
        <v/>
      </c>
      <c r="Y2328" t="str" cm="1">
        <f t="array" ref="Y2328">IF(175&lt;Controls!$B$7,INDEX(G2153:G2331,MATCH(Controls!$B$5,A2153:A2331,1)+175),"")</f>
        <v/>
      </c>
      <c r="Z2328" t="str" cm="1">
        <f t="array" ref="Z2328">IF(175&lt;Controls!$B$7,INDEX(H2153:H2331,MATCH(Controls!$B$5,A2153:A2331,1)+175),"")</f>
        <v/>
      </c>
      <c r="AA2328" t="str" cm="1">
        <f t="array" ref="AA2328">IF(175&lt;Controls!$B$7,INDEX(M2153:M2331,MATCH(Controls!$B$5,A2153:A2331,1)+175)*INDEX(I2153:I2331,MATCH(Controls!$B$5,A2153:A2331,1)+175),"")</f>
        <v/>
      </c>
      <c r="AB2328">
        <f t="shared" si="276"/>
        <v>0</v>
      </c>
    </row>
    <row r="2329" spans="1:28" x14ac:dyDescent="0.35">
      <c r="A2329" s="153">
        <v>51410</v>
      </c>
      <c r="B2329" s="155" t="s">
        <v>960</v>
      </c>
      <c r="C2329" s="15" t="s">
        <v>28</v>
      </c>
      <c r="D2329" s="15" t="s">
        <v>29</v>
      </c>
      <c r="E2329" s="199">
        <f>H2328</f>
        <v>0</v>
      </c>
      <c r="F2329" s="199">
        <f>IFERROR(SUMIFS('Demand Inputs'!$FZ$5:$FZ$202,'Demand Inputs'!$A$5:$A$202,"47mg LP - EU Stock",'Demand Inputs'!$B$5:$B$202,"&lt;&gt;AGGREGATE",'Demand Inputs'!$E$5:$E$202,1),0)</f>
        <v>0</v>
      </c>
      <c r="G2329" s="199" cm="1">
        <f t="array" ref="G2329">IFERROR(SUMPRODUCT(('Production Inputs'!$A:$A="47mg LP - EU Stock")*('Production Inputs'!$B:$B="TOTAL ACTIVE")*'Production Inputs'!$GF:$GF),0)</f>
        <v>0</v>
      </c>
      <c r="H2329" s="199">
        <f t="shared" si="270"/>
        <v>0</v>
      </c>
      <c r="I2329" s="30">
        <f ca="1">IFERROR(AVERAGEIF(OFFSET(F2329,0,0,MIN(Controls!$B$8,COUNTIF(B2329:B$2331,B2329)),1),"&gt;"&amp;0),0)</f>
        <v>0</v>
      </c>
      <c r="J2329" s="38">
        <f t="shared" ca="1" si="271"/>
        <v>0</v>
      </c>
      <c r="K2329" s="30">
        <f t="shared" ca="1" si="272"/>
        <v>0</v>
      </c>
      <c r="L2329" t="str">
        <f t="shared" si="273"/>
        <v>High</v>
      </c>
      <c r="M2329" s="39">
        <f>IFERROR(VLOOKUP("47mg LP - EU Stock",Controls!A:I,7,0),6)</f>
        <v>9</v>
      </c>
      <c r="N2329" s="39">
        <f>IFERROR(VLOOKUP("47mg LP - EU Stock",Controls!A:I,8,0),3)</f>
        <v>8</v>
      </c>
      <c r="O2329" s="39">
        <f>IFERROR(VLOOKUP("47mg LP - EU Stock",Controls!A:I,9,0),18)</f>
        <v>18</v>
      </c>
      <c r="P2329" s="40">
        <f>IFERROR(VLOOKUP("47mg LP - EU Stock",Controls!A:J,5,0),0)</f>
        <v>10000</v>
      </c>
      <c r="Q2329" s="39">
        <f>IFERROR(VLOOKUP("47mg LP - EU Stock",Controls!A:J,6,0),3)</f>
        <v>3</v>
      </c>
      <c r="R2329" s="21" t="str">
        <f>IFERROR(VLOOKUP("47mg LP - EU Stock",Controls!A:K,10,0),"")</f>
        <v>Patheon (L&amp;P EU)</v>
      </c>
      <c r="S2329" s="41">
        <f t="shared" si="274"/>
        <v>51318</v>
      </c>
      <c r="T2329" s="30">
        <f t="shared" si="275"/>
        <v>0</v>
      </c>
      <c r="W2329" s="205" t="str" cm="1">
        <f t="array" ref="W2329">IF(176&lt;Controls!$B$7,TEXT(INDEX(A2153:A2331,MATCH(Controls!$B$5,A2153:A2331,1)+176),"MMM-YY"),"")</f>
        <v/>
      </c>
      <c r="X2329" t="str" cm="1">
        <f t="array" ref="X2329">IF(176&lt;Controls!$B$7,INDEX(F2153:F2331,MATCH(Controls!$B$5,A2153:A2331,1)+176),"")</f>
        <v/>
      </c>
      <c r="Y2329" t="str" cm="1">
        <f t="array" ref="Y2329">IF(176&lt;Controls!$B$7,INDEX(G2153:G2331,MATCH(Controls!$B$5,A2153:A2331,1)+176),"")</f>
        <v/>
      </c>
      <c r="Z2329" t="str" cm="1">
        <f t="array" ref="Z2329">IF(176&lt;Controls!$B$7,INDEX(H2153:H2331,MATCH(Controls!$B$5,A2153:A2331,1)+176),"")</f>
        <v/>
      </c>
      <c r="AA2329" t="str" cm="1">
        <f t="array" ref="AA2329">IF(176&lt;Controls!$B$7,INDEX(M2153:M2331,MATCH(Controls!$B$5,A2153:A2331,1)+176)*INDEX(I2153:I2331,MATCH(Controls!$B$5,A2153:A2331,1)+176),"")</f>
        <v/>
      </c>
      <c r="AB2329">
        <f t="shared" si="276"/>
        <v>0</v>
      </c>
    </row>
    <row r="2330" spans="1:28" x14ac:dyDescent="0.35">
      <c r="A2330" s="153">
        <v>51441</v>
      </c>
      <c r="B2330" s="155" t="s">
        <v>960</v>
      </c>
      <c r="C2330" s="15" t="s">
        <v>28</v>
      </c>
      <c r="D2330" s="15" t="s">
        <v>29</v>
      </c>
      <c r="E2330" s="199">
        <f>H2329</f>
        <v>0</v>
      </c>
      <c r="F2330" s="199">
        <f>IFERROR(SUMIFS('Demand Inputs'!$GA$5:$GA$202,'Demand Inputs'!$A$5:$A$202,"47mg LP - EU Stock",'Demand Inputs'!$B$5:$B$202,"&lt;&gt;AGGREGATE",'Demand Inputs'!$E$5:$E$202,1),0)</f>
        <v>0</v>
      </c>
      <c r="G2330" s="199" cm="1">
        <f t="array" ref="G2330">IFERROR(SUMPRODUCT(('Production Inputs'!$A:$A="47mg LP - EU Stock")*('Production Inputs'!$B:$B="TOTAL ACTIVE")*'Production Inputs'!$GG:$GG),0)</f>
        <v>0</v>
      </c>
      <c r="H2330" s="199">
        <f t="shared" si="270"/>
        <v>0</v>
      </c>
      <c r="I2330" s="30">
        <f ca="1">IFERROR(AVERAGEIF(OFFSET(F2330,0,0,MIN(Controls!$B$8,COUNTIF(B2330:B$2331,B2330)),1),"&gt;"&amp;0),0)</f>
        <v>0</v>
      </c>
      <c r="J2330" s="38">
        <f t="shared" ca="1" si="271"/>
        <v>0</v>
      </c>
      <c r="K2330" s="30">
        <f t="shared" ca="1" si="272"/>
        <v>0</v>
      </c>
      <c r="L2330" t="str">
        <f t="shared" si="273"/>
        <v>High</v>
      </c>
      <c r="M2330" s="39">
        <f>IFERROR(VLOOKUP("47mg LP - EU Stock",Controls!A:I,7,0),6)</f>
        <v>9</v>
      </c>
      <c r="N2330" s="39">
        <f>IFERROR(VLOOKUP("47mg LP - EU Stock",Controls!A:I,8,0),3)</f>
        <v>8</v>
      </c>
      <c r="O2330" s="39">
        <f>IFERROR(VLOOKUP("47mg LP - EU Stock",Controls!A:I,9,0),18)</f>
        <v>18</v>
      </c>
      <c r="P2330" s="40">
        <f>IFERROR(VLOOKUP("47mg LP - EU Stock",Controls!A:J,5,0),0)</f>
        <v>10000</v>
      </c>
      <c r="Q2330" s="39">
        <f>IFERROR(VLOOKUP("47mg LP - EU Stock",Controls!A:J,6,0),3)</f>
        <v>3</v>
      </c>
      <c r="R2330" s="21" t="str">
        <f>IFERROR(VLOOKUP("47mg LP - EU Stock",Controls!A:K,10,0),"")</f>
        <v>Patheon (L&amp;P EU)</v>
      </c>
      <c r="S2330" s="41">
        <f t="shared" si="274"/>
        <v>51349</v>
      </c>
      <c r="T2330" s="30">
        <f t="shared" si="275"/>
        <v>0</v>
      </c>
      <c r="W2330" s="205" t="str" cm="1">
        <f t="array" ref="W2330">IF(177&lt;Controls!$B$7,TEXT(INDEX(A2153:A2331,MATCH(Controls!$B$5,A2153:A2331,1)+177),"MMM-YY"),"")</f>
        <v/>
      </c>
      <c r="X2330" t="str" cm="1">
        <f t="array" ref="X2330">IF(177&lt;Controls!$B$7,INDEX(F2153:F2331,MATCH(Controls!$B$5,A2153:A2331,1)+177),"")</f>
        <v/>
      </c>
      <c r="Y2330" t="str" cm="1">
        <f t="array" ref="Y2330">IF(177&lt;Controls!$B$7,INDEX(G2153:G2331,MATCH(Controls!$B$5,A2153:A2331,1)+177),"")</f>
        <v/>
      </c>
      <c r="Z2330" t="str" cm="1">
        <f t="array" ref="Z2330">IF(177&lt;Controls!$B$7,INDEX(H2153:H2331,MATCH(Controls!$B$5,A2153:A2331,1)+177),"")</f>
        <v/>
      </c>
      <c r="AA2330" t="str" cm="1">
        <f t="array" ref="AA2330">IF(177&lt;Controls!$B$7,INDEX(M2153:M2331,MATCH(Controls!$B$5,A2153:A2331,1)+177)*INDEX(I2153:I2331,MATCH(Controls!$B$5,A2153:A2331,1)+177),"")</f>
        <v/>
      </c>
      <c r="AB2330">
        <f t="shared" si="276"/>
        <v>0</v>
      </c>
    </row>
    <row r="2331" spans="1:28" x14ac:dyDescent="0.35">
      <c r="A2331" s="153">
        <v>51471</v>
      </c>
      <c r="B2331" s="155" t="s">
        <v>960</v>
      </c>
      <c r="C2331" s="15" t="s">
        <v>28</v>
      </c>
      <c r="D2331" s="15" t="s">
        <v>29</v>
      </c>
      <c r="E2331" s="199">
        <f>H2330</f>
        <v>0</v>
      </c>
      <c r="F2331" s="199">
        <f>IFERROR(SUMIFS('Demand Inputs'!$GB$5:$GB$202,'Demand Inputs'!$A$5:$A$202,"47mg LP - EU Stock",'Demand Inputs'!$B$5:$B$202,"&lt;&gt;AGGREGATE",'Demand Inputs'!$E$5:$E$202,1),0)</f>
        <v>0</v>
      </c>
      <c r="G2331" s="199" cm="1">
        <f t="array" ref="G2331">IFERROR(SUMPRODUCT(('Production Inputs'!$A:$A="47mg LP - EU Stock")*('Production Inputs'!$B:$B="TOTAL ACTIVE")*'Production Inputs'!$GH:$GH),0)</f>
        <v>0</v>
      </c>
      <c r="H2331" s="199">
        <f t="shared" si="270"/>
        <v>0</v>
      </c>
      <c r="I2331" s="30">
        <f ca="1">IFERROR(AVERAGEIF(OFFSET(F2331,0,0,MIN(Controls!$B$8,COUNTIF(B2331:B$2331,B2331)),1),"&gt;"&amp;0),0)</f>
        <v>0</v>
      </c>
      <c r="J2331" s="38">
        <f t="shared" ca="1" si="271"/>
        <v>0</v>
      </c>
      <c r="K2331" s="30">
        <f t="shared" ca="1" si="272"/>
        <v>0</v>
      </c>
      <c r="L2331" t="str">
        <f t="shared" si="273"/>
        <v>High</v>
      </c>
      <c r="M2331" s="39">
        <f>IFERROR(VLOOKUP("47mg LP - EU Stock",Controls!A:I,7,0),6)</f>
        <v>9</v>
      </c>
      <c r="N2331" s="39">
        <f>IFERROR(VLOOKUP("47mg LP - EU Stock",Controls!A:I,8,0),3)</f>
        <v>8</v>
      </c>
      <c r="O2331" s="39">
        <f>IFERROR(VLOOKUP("47mg LP - EU Stock",Controls!A:I,9,0),18)</f>
        <v>18</v>
      </c>
      <c r="P2331" s="40">
        <f>IFERROR(VLOOKUP("47mg LP - EU Stock",Controls!A:J,5,0),0)</f>
        <v>10000</v>
      </c>
      <c r="Q2331" s="39">
        <f>IFERROR(VLOOKUP("47mg LP - EU Stock",Controls!A:J,6,0),3)</f>
        <v>3</v>
      </c>
      <c r="R2331" s="21" t="str">
        <f>IFERROR(VLOOKUP("47mg LP - EU Stock",Controls!A:K,10,0),"")</f>
        <v>Patheon (L&amp;P EU)</v>
      </c>
      <c r="S2331" s="41">
        <f t="shared" si="274"/>
        <v>51380</v>
      </c>
      <c r="T2331" s="30">
        <f t="shared" si="275"/>
        <v>0</v>
      </c>
      <c r="W2331" s="205" t="str" cm="1">
        <f t="array" ref="W2331">IF(178&lt;Controls!$B$7,TEXT(INDEX(A2153:A2331,MATCH(Controls!$B$5,A2153:A2331,1)+178),"MMM-YY"),"")</f>
        <v/>
      </c>
      <c r="X2331" t="str" cm="1">
        <f t="array" ref="X2331">IF(178&lt;Controls!$B$7,INDEX(F2153:F2331,MATCH(Controls!$B$5,A2153:A2331,1)+178),"")</f>
        <v/>
      </c>
      <c r="Y2331" t="str" cm="1">
        <f t="array" ref="Y2331">IF(178&lt;Controls!$B$7,INDEX(G2153:G2331,MATCH(Controls!$B$5,A2153:A2331,1)+178),"")</f>
        <v/>
      </c>
      <c r="Z2331" t="str" cm="1">
        <f t="array" ref="Z2331">IF(178&lt;Controls!$B$7,INDEX(H2153:H2331,MATCH(Controls!$B$5,A2153:A2331,1)+178),"")</f>
        <v/>
      </c>
      <c r="AA2331" t="str" cm="1">
        <f t="array" ref="AA2331">IF(178&lt;Controls!$B$7,INDEX(M2153:M2331,MATCH(Controls!$B$5,A2153:A2331,1)+178)*INDEX(I2153:I2331,MATCH(Controls!$B$5,A2153:A2331,1)+178),"")</f>
        <v/>
      </c>
      <c r="AB2331">
        <f t="shared" si="276"/>
        <v>0</v>
      </c>
    </row>
  </sheetData>
  <autoFilter ref="A3:AB3" xr:uid="{00000000-0001-0000-0600-000000000000}"/>
  <mergeCells count="2">
    <mergeCell ref="A1:U1"/>
    <mergeCell ref="A2:U2"/>
  </mergeCells>
  <conditionalFormatting sqref="L4:L1793">
    <cfRule type="expression" dxfId="17" priority="11">
      <formula>L4="High"</formula>
    </cfRule>
    <cfRule type="expression" dxfId="16" priority="12">
      <formula>L4="Medium"</formula>
    </cfRule>
    <cfRule type="expression" dxfId="15" priority="13">
      <formula>L4="Low"</formula>
    </cfRule>
    <cfRule type="expression" dxfId="14" priority="14">
      <formula>L4="Overstock"</formula>
    </cfRule>
    <cfRule type="expression" dxfId="13" priority="15">
      <formula>L4="No Demand"</formula>
    </cfRule>
  </conditionalFormatting>
  <conditionalFormatting sqref="L1974:L2152">
    <cfRule type="expression" dxfId="12" priority="6">
      <formula>L1974="High"</formula>
    </cfRule>
    <cfRule type="expression" dxfId="11" priority="7">
      <formula>L1974="Medium"</formula>
    </cfRule>
    <cfRule type="expression" dxfId="10" priority="8">
      <formula>L1974="Low"</formula>
    </cfRule>
    <cfRule type="expression" dxfId="9" priority="9">
      <formula>L1974="Overstock"</formula>
    </cfRule>
    <cfRule type="expression" dxfId="8" priority="10">
      <formula>L1974="No Demand"</formula>
    </cfRule>
  </conditionalFormatting>
  <conditionalFormatting sqref="L2153:L2331">
    <cfRule type="expression" dxfId="7" priority="1">
      <formula>L2153="High"</formula>
    </cfRule>
    <cfRule type="expression" dxfId="6" priority="2">
      <formula>L2153="Medium"</formula>
    </cfRule>
    <cfRule type="expression" dxfId="5" priority="3">
      <formula>L2153="Low"</formula>
    </cfRule>
    <cfRule type="expression" dxfId="4" priority="4">
      <formula>L2153="Overstock"</formula>
    </cfRule>
    <cfRule type="expression" dxfId="3" priority="5">
      <formula>L2153="No Demand"</formula>
    </cfRule>
  </conditionalFormatting>
  <pageMargins left="0.75" right="0.75" top="1" bottom="1" header="0.5" footer="0.5"/>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T80"/>
  <sheetViews>
    <sheetView showGridLines="0" topLeftCell="A7" zoomScale="55" zoomScaleNormal="55" workbookViewId="0">
      <selection activeCell="E18" sqref="E18"/>
    </sheetView>
  </sheetViews>
  <sheetFormatPr defaultRowHeight="14.5" x14ac:dyDescent="0.35"/>
  <cols>
    <col min="1" max="1" width="37.08984375" bestFit="1" customWidth="1"/>
    <col min="2" max="3" width="13.81640625" bestFit="1" customWidth="1"/>
    <col min="4" max="4" width="21.08984375" bestFit="1" customWidth="1"/>
    <col min="5" max="5" width="22.54296875" bestFit="1" customWidth="1"/>
    <col min="6" max="6" width="25.08984375" bestFit="1" customWidth="1"/>
    <col min="7" max="7" width="26.453125" customWidth="1"/>
    <col min="8" max="13" width="13.81640625" bestFit="1" customWidth="1"/>
    <col min="14" max="14" width="15.6328125" bestFit="1" customWidth="1"/>
    <col min="15" max="15" width="8.54296875" bestFit="1" customWidth="1"/>
    <col min="16" max="16" width="8.1796875" bestFit="1" customWidth="1"/>
    <col min="17" max="17" width="19.90625" bestFit="1" customWidth="1"/>
    <col min="18" max="18" width="8.54296875" bestFit="1" customWidth="1"/>
    <col min="19" max="19" width="7.36328125" bestFit="1" customWidth="1"/>
    <col min="20" max="20" width="12.1796875" bestFit="1" customWidth="1"/>
  </cols>
  <sheetData>
    <row r="1" spans="1:17" ht="30" customHeight="1" x14ac:dyDescent="0.35">
      <c r="A1" s="412" t="s">
        <v>443</v>
      </c>
      <c r="B1" s="412"/>
      <c r="C1" s="412"/>
      <c r="D1" s="412"/>
      <c r="E1" s="412"/>
      <c r="F1" s="412"/>
      <c r="G1" s="412"/>
      <c r="Q1" s="168" t="s">
        <v>444</v>
      </c>
    </row>
    <row r="2" spans="1:17" ht="16" customHeight="1" x14ac:dyDescent="0.35">
      <c r="A2" s="426" t="s">
        <v>445</v>
      </c>
      <c r="B2" s="426"/>
      <c r="C2" s="426"/>
      <c r="D2" s="426"/>
      <c r="E2" s="426"/>
      <c r="F2" s="426"/>
      <c r="G2" s="426"/>
      <c r="Q2" s="168" t="s">
        <v>446</v>
      </c>
    </row>
    <row r="3" spans="1:17" ht="8" customHeight="1" x14ac:dyDescent="0.35">
      <c r="Q3" s="168" t="s">
        <v>447</v>
      </c>
    </row>
    <row r="4" spans="1:17" ht="22" customHeight="1" x14ac:dyDescent="0.35">
      <c r="A4" s="423" t="s">
        <v>448</v>
      </c>
      <c r="B4" s="424"/>
      <c r="C4" s="424"/>
      <c r="D4" s="424"/>
      <c r="E4" s="424"/>
      <c r="F4" s="424"/>
      <c r="G4" s="425"/>
      <c r="Q4" s="168" t="s">
        <v>449</v>
      </c>
    </row>
    <row r="5" spans="1:17" ht="39" customHeight="1" x14ac:dyDescent="0.35">
      <c r="A5" s="157" t="s">
        <v>2</v>
      </c>
      <c r="B5" s="157" t="s">
        <v>4</v>
      </c>
      <c r="C5" s="157" t="s">
        <v>5</v>
      </c>
      <c r="D5" s="157" t="s">
        <v>450</v>
      </c>
      <c r="E5" s="157" t="s">
        <v>451</v>
      </c>
      <c r="F5" s="157" t="s">
        <v>452</v>
      </c>
      <c r="G5" s="157" t="s">
        <v>16</v>
      </c>
      <c r="Q5" s="168" t="s">
        <v>453</v>
      </c>
    </row>
    <row r="6" spans="1:17" ht="36" customHeight="1" x14ac:dyDescent="0.35">
      <c r="A6" s="158" t="s">
        <v>54</v>
      </c>
      <c r="B6" s="169" t="s">
        <v>52</v>
      </c>
      <c r="C6" s="169" t="s">
        <v>454</v>
      </c>
      <c r="D6" s="170">
        <v>14262.5</v>
      </c>
      <c r="E6" s="170"/>
      <c r="F6" s="171">
        <v>0</v>
      </c>
      <c r="G6" s="172" t="s">
        <v>455</v>
      </c>
      <c r="Q6" s="168" t="s">
        <v>456</v>
      </c>
    </row>
    <row r="7" spans="1:17" ht="36" customHeight="1" x14ac:dyDescent="0.35">
      <c r="A7" s="159" t="s">
        <v>57</v>
      </c>
      <c r="B7" s="173" t="s">
        <v>52</v>
      </c>
      <c r="C7" s="173" t="s">
        <v>454</v>
      </c>
      <c r="D7" s="170">
        <v>20083.330000000002</v>
      </c>
      <c r="E7" s="170"/>
      <c r="F7" s="171">
        <v>0</v>
      </c>
      <c r="G7" s="174" t="s">
        <v>457</v>
      </c>
    </row>
    <row r="8" spans="1:17" ht="36" customHeight="1" x14ac:dyDescent="0.35">
      <c r="A8" s="158" t="s">
        <v>56</v>
      </c>
      <c r="B8" s="169" t="s">
        <v>52</v>
      </c>
      <c r="C8" s="169" t="s">
        <v>454</v>
      </c>
      <c r="D8" s="170">
        <v>25346.67</v>
      </c>
      <c r="E8" s="170"/>
      <c r="F8" s="171">
        <v>0</v>
      </c>
      <c r="G8" s="172" t="s">
        <v>458</v>
      </c>
    </row>
    <row r="9" spans="1:17" ht="36" customHeight="1" x14ac:dyDescent="0.35">
      <c r="A9" s="159" t="s">
        <v>58</v>
      </c>
      <c r="B9" s="173" t="s">
        <v>52</v>
      </c>
      <c r="C9" s="173" t="s">
        <v>454</v>
      </c>
      <c r="D9" s="170">
        <v>9085</v>
      </c>
      <c r="E9" s="170"/>
      <c r="F9" s="171">
        <v>0</v>
      </c>
      <c r="G9" s="174" t="s">
        <v>459</v>
      </c>
    </row>
    <row r="10" spans="1:17" ht="48" customHeight="1" x14ac:dyDescent="0.35">
      <c r="A10" s="158" t="s">
        <v>50</v>
      </c>
      <c r="B10" s="169" t="s">
        <v>52</v>
      </c>
      <c r="C10" s="169" t="s">
        <v>460</v>
      </c>
      <c r="D10" s="170">
        <v>26</v>
      </c>
      <c r="E10" s="170">
        <v>26000</v>
      </c>
      <c r="F10" s="171">
        <v>0</v>
      </c>
      <c r="G10" s="172" t="s">
        <v>461</v>
      </c>
    </row>
    <row r="11" spans="1:17" ht="36" customHeight="1" x14ac:dyDescent="0.35">
      <c r="A11" s="159" t="s">
        <v>45</v>
      </c>
      <c r="B11" s="173" t="s">
        <v>462</v>
      </c>
      <c r="C11" s="173" t="s">
        <v>454</v>
      </c>
      <c r="D11" s="170">
        <v>657906.97674418602</v>
      </c>
      <c r="E11" s="170">
        <v>2829000</v>
      </c>
      <c r="F11" s="171">
        <v>0</v>
      </c>
      <c r="G11" s="174" t="s">
        <v>463</v>
      </c>
    </row>
    <row r="12" spans="1:17" ht="36" customHeight="1" x14ac:dyDescent="0.35">
      <c r="A12" s="158" t="s">
        <v>43</v>
      </c>
      <c r="B12" s="169" t="s">
        <v>38</v>
      </c>
      <c r="C12" s="169" t="s">
        <v>464</v>
      </c>
      <c r="D12" s="170">
        <v>106</v>
      </c>
      <c r="E12" s="170">
        <v>350000</v>
      </c>
      <c r="F12" s="171">
        <v>0</v>
      </c>
      <c r="G12" s="172" t="s">
        <v>465</v>
      </c>
    </row>
    <row r="13" spans="1:17" ht="24" customHeight="1" x14ac:dyDescent="0.35">
      <c r="A13" s="159" t="s">
        <v>36</v>
      </c>
      <c r="B13" s="173" t="s">
        <v>38</v>
      </c>
      <c r="C13" s="173" t="s">
        <v>464</v>
      </c>
      <c r="D13" s="170">
        <v>287</v>
      </c>
      <c r="E13" s="170">
        <v>810000</v>
      </c>
      <c r="F13" s="171">
        <v>0</v>
      </c>
      <c r="G13" s="174" t="s">
        <v>466</v>
      </c>
    </row>
    <row r="14" spans="1:17" ht="36" customHeight="1" x14ac:dyDescent="0.35">
      <c r="A14" s="158" t="s">
        <v>467</v>
      </c>
      <c r="B14" s="169" t="s">
        <v>28</v>
      </c>
      <c r="C14" s="169" t="s">
        <v>464</v>
      </c>
      <c r="D14" s="170">
        <v>6.84</v>
      </c>
      <c r="E14" s="170"/>
      <c r="F14" s="171">
        <v>0</v>
      </c>
      <c r="G14" s="172" t="s">
        <v>468</v>
      </c>
    </row>
    <row r="15" spans="1:17" ht="36" customHeight="1" x14ac:dyDescent="0.35">
      <c r="A15" s="159" t="s">
        <v>469</v>
      </c>
      <c r="B15" s="173" t="s">
        <v>28</v>
      </c>
      <c r="C15" s="173" t="s">
        <v>464</v>
      </c>
      <c r="D15" s="170">
        <v>6.51</v>
      </c>
      <c r="E15" s="170"/>
      <c r="F15" s="171">
        <v>0</v>
      </c>
      <c r="G15" s="174" t="s">
        <v>468</v>
      </c>
    </row>
    <row r="16" spans="1:17" ht="36" customHeight="1" x14ac:dyDescent="0.35">
      <c r="A16" s="158" t="s">
        <v>470</v>
      </c>
      <c r="B16" s="169" t="s">
        <v>38</v>
      </c>
      <c r="C16" s="169" t="s">
        <v>464</v>
      </c>
      <c r="D16" s="170">
        <v>20</v>
      </c>
      <c r="E16" s="170"/>
      <c r="F16" s="171">
        <v>0</v>
      </c>
      <c r="G16" s="172" t="s">
        <v>471</v>
      </c>
    </row>
    <row r="17" spans="1:14" ht="36" customHeight="1" x14ac:dyDescent="0.35">
      <c r="A17" s="159" t="s">
        <v>472</v>
      </c>
      <c r="B17" s="173" t="s">
        <v>38</v>
      </c>
      <c r="C17" s="173" t="s">
        <v>464</v>
      </c>
      <c r="D17" s="170">
        <v>33</v>
      </c>
      <c r="E17" s="170">
        <v>440000</v>
      </c>
      <c r="F17" s="171">
        <v>0</v>
      </c>
      <c r="G17" s="174" t="s">
        <v>473</v>
      </c>
    </row>
    <row r="18" spans="1:14" ht="24" customHeight="1" x14ac:dyDescent="0.35">
      <c r="A18" s="158" t="s">
        <v>474</v>
      </c>
      <c r="B18" s="169" t="s">
        <v>38</v>
      </c>
      <c r="C18" s="169" t="s">
        <v>464</v>
      </c>
      <c r="D18" s="170"/>
      <c r="E18" s="170">
        <v>350000</v>
      </c>
      <c r="F18" s="171">
        <v>0</v>
      </c>
      <c r="G18" s="172" t="s">
        <v>475</v>
      </c>
    </row>
    <row r="20" spans="1:14" ht="22" customHeight="1" x14ac:dyDescent="0.35">
      <c r="A20" s="413" t="s">
        <v>476</v>
      </c>
      <c r="B20" s="414"/>
      <c r="C20" s="414"/>
      <c r="D20" s="414"/>
      <c r="E20" s="414"/>
      <c r="F20" s="414"/>
      <c r="G20" s="414"/>
      <c r="H20" s="414"/>
      <c r="I20" s="414"/>
      <c r="J20" s="414"/>
      <c r="K20" s="414"/>
      <c r="L20" s="414"/>
      <c r="M20" s="414"/>
      <c r="N20" s="415"/>
    </row>
    <row r="21" spans="1:14" ht="18" customHeight="1" x14ac:dyDescent="0.35">
      <c r="A21" s="157" t="s">
        <v>477</v>
      </c>
      <c r="B21" s="157" t="s">
        <v>478</v>
      </c>
      <c r="C21" s="157" t="s">
        <v>181</v>
      </c>
      <c r="D21" s="157" t="s">
        <v>182</v>
      </c>
      <c r="E21" s="157" t="s">
        <v>183</v>
      </c>
      <c r="F21" s="157" t="s">
        <v>184</v>
      </c>
      <c r="G21" s="157" t="s">
        <v>185</v>
      </c>
      <c r="H21" s="157" t="s">
        <v>186</v>
      </c>
      <c r="I21" s="157" t="s">
        <v>187</v>
      </c>
      <c r="J21" s="157" t="s">
        <v>188</v>
      </c>
      <c r="K21" s="157" t="s">
        <v>189</v>
      </c>
      <c r="L21" s="157" t="s">
        <v>190</v>
      </c>
      <c r="M21" s="157" t="s">
        <v>191</v>
      </c>
      <c r="N21" s="157" t="s">
        <v>479</v>
      </c>
    </row>
    <row r="22" spans="1:14" ht="16" customHeight="1" x14ac:dyDescent="0.35">
      <c r="A22" s="158" t="s">
        <v>480</v>
      </c>
      <c r="B22" s="175"/>
      <c r="C22" s="175">
        <f>'Production Inputs'!L35*'Cost Inputs'!$D$11</f>
        <v>0</v>
      </c>
      <c r="D22" s="175">
        <f>'Production Inputs'!M35*'Cost Inputs'!$D$11</f>
        <v>0</v>
      </c>
      <c r="E22" s="175">
        <f>'Production Inputs'!N35*'Cost Inputs'!$D$11</f>
        <v>0</v>
      </c>
      <c r="F22" s="175">
        <f>'Production Inputs'!O35*'Cost Inputs'!$D$11</f>
        <v>5657999.9999999991</v>
      </c>
      <c r="G22" s="175">
        <f>'Production Inputs'!P35*'Cost Inputs'!$D$11</f>
        <v>8487000</v>
      </c>
      <c r="H22" s="175">
        <f>'Production Inputs'!Q35*'Cost Inputs'!$D$11</f>
        <v>2828999.9999999995</v>
      </c>
      <c r="I22" s="175">
        <f>'Production Inputs'!R35*'Cost Inputs'!$D$11</f>
        <v>0</v>
      </c>
      <c r="J22" s="175">
        <f>'Production Inputs'!S35*'Cost Inputs'!$D$11</f>
        <v>0</v>
      </c>
      <c r="K22" s="175">
        <f>'Production Inputs'!T35*'Cost Inputs'!$D$11</f>
        <v>0</v>
      </c>
      <c r="L22" s="175">
        <f>'Production Inputs'!U35*'Cost Inputs'!$D$11</f>
        <v>0</v>
      </c>
      <c r="M22" s="175">
        <f>'Production Inputs'!V35*'Cost Inputs'!$D$11</f>
        <v>0</v>
      </c>
      <c r="N22" s="176">
        <f t="shared" ref="N22:N32" si="0">SUM(C22:M22)</f>
        <v>16974000</v>
      </c>
    </row>
    <row r="23" spans="1:14" ht="16" customHeight="1" x14ac:dyDescent="0.35">
      <c r="A23" s="159" t="s">
        <v>481</v>
      </c>
      <c r="B23" s="175"/>
      <c r="C23" s="175">
        <f>'Production Inputs'!L45*'Cost Inputs'!$D$6+'Production Inputs'!L50*'Cost Inputs'!$D$8+'Production Inputs'!L55*'Cost Inputs'!$D$7+'Production Inputs'!L60*'Cost Inputs'!$D$9</f>
        <v>0</v>
      </c>
      <c r="D23" s="175">
        <f>'Production Inputs'!M45*'Cost Inputs'!$D$6+'Production Inputs'!M50*'Cost Inputs'!$D$8+'Production Inputs'!M55*'Cost Inputs'!$D$7+'Production Inputs'!M60*'Cost Inputs'!$D$9</f>
        <v>0</v>
      </c>
      <c r="E23" s="175">
        <f>'Production Inputs'!N45*'Cost Inputs'!$D$6+'Production Inputs'!N50*'Cost Inputs'!$D$8+'Production Inputs'!N55*'Cost Inputs'!$D$7+'Production Inputs'!N60*'Cost Inputs'!$D$9</f>
        <v>0</v>
      </c>
      <c r="F23" s="175">
        <f>'Production Inputs'!O45*'Cost Inputs'!$D$6+'Production Inputs'!O50*'Cost Inputs'!$D$8+'Production Inputs'!O55*'Cost Inputs'!$D$7+'Production Inputs'!O60*'Cost Inputs'!$D$9</f>
        <v>0</v>
      </c>
      <c r="G23" s="175">
        <f>'Production Inputs'!P45*'Cost Inputs'!$D$6+'Production Inputs'!P50*'Cost Inputs'!$D$8+'Production Inputs'!P55*'Cost Inputs'!$D$7+'Production Inputs'!P60*'Cost Inputs'!$D$9</f>
        <v>0</v>
      </c>
      <c r="H23" s="175">
        <f>'Production Inputs'!Q45*'Cost Inputs'!$D$6+'Production Inputs'!Q50*'Cost Inputs'!$D$8+'Production Inputs'!Q55*'Cost Inputs'!$D$7+'Production Inputs'!Q60*'Cost Inputs'!$D$9</f>
        <v>0</v>
      </c>
      <c r="I23" s="175">
        <f>'Production Inputs'!R45*'Cost Inputs'!$D$6+'Production Inputs'!R50*'Cost Inputs'!$D$8+'Production Inputs'!R55*'Cost Inputs'!$D$7+'Production Inputs'!R60*'Cost Inputs'!$D$9</f>
        <v>0</v>
      </c>
      <c r="J23" s="175">
        <f>'Production Inputs'!S45*'Cost Inputs'!$D$6+'Production Inputs'!S50*'Cost Inputs'!$D$8+'Production Inputs'!S55*'Cost Inputs'!$D$7+'Production Inputs'!S60*'Cost Inputs'!$D$9</f>
        <v>0</v>
      </c>
      <c r="K23" s="175">
        <f>'Production Inputs'!T45*'Cost Inputs'!$D$6+'Production Inputs'!T50*'Cost Inputs'!$D$8+'Production Inputs'!T55*'Cost Inputs'!$D$7+'Production Inputs'!T60*'Cost Inputs'!$D$9</f>
        <v>0</v>
      </c>
      <c r="L23" s="175">
        <f>'Production Inputs'!U45*'Cost Inputs'!$D$6+'Production Inputs'!U50*'Cost Inputs'!$D$8+'Production Inputs'!U55*'Cost Inputs'!$D$7+'Production Inputs'!U60*'Cost Inputs'!$D$9</f>
        <v>0</v>
      </c>
      <c r="M23" s="175">
        <f>'Production Inputs'!V45*'Cost Inputs'!$D$6+'Production Inputs'!V50*'Cost Inputs'!$D$8+'Production Inputs'!V55*'Cost Inputs'!$D$7+'Production Inputs'!V60*'Cost Inputs'!$D$9</f>
        <v>0</v>
      </c>
      <c r="N23" s="176">
        <f t="shared" si="0"/>
        <v>0</v>
      </c>
    </row>
    <row r="24" spans="1:14" ht="16" customHeight="1" x14ac:dyDescent="0.35">
      <c r="A24" s="158" t="s">
        <v>482</v>
      </c>
      <c r="B24" s="175"/>
      <c r="C24" s="175">
        <f>'Production Inputs'!L46*'Cost Inputs'!$D$6+'Production Inputs'!L51*'Cost Inputs'!$D$8+'Production Inputs'!L56*'Cost Inputs'!$D$7+'Production Inputs'!L61*'Cost Inputs'!$D$9</f>
        <v>0</v>
      </c>
      <c r="D24" s="175">
        <f>'Production Inputs'!M46*'Cost Inputs'!$D$6+'Production Inputs'!M51*'Cost Inputs'!$D$8+'Production Inputs'!M56*'Cost Inputs'!$D$7+'Production Inputs'!M61*'Cost Inputs'!$D$9</f>
        <v>0</v>
      </c>
      <c r="E24" s="175">
        <f>'Production Inputs'!N46*'Cost Inputs'!$D$6+'Production Inputs'!N51*'Cost Inputs'!$D$8+'Production Inputs'!N56*'Cost Inputs'!$D$7+'Production Inputs'!N61*'Cost Inputs'!$D$9</f>
        <v>0</v>
      </c>
      <c r="F24" s="175">
        <f>'Production Inputs'!O46*'Cost Inputs'!$D$6+'Production Inputs'!O51*'Cost Inputs'!$D$8+'Production Inputs'!O56*'Cost Inputs'!$D$7+'Production Inputs'!O61*'Cost Inputs'!$D$9</f>
        <v>0</v>
      </c>
      <c r="G24" s="175">
        <f>'Production Inputs'!P46*'Cost Inputs'!$D$6+'Production Inputs'!P51*'Cost Inputs'!$D$8+'Production Inputs'!P56*'Cost Inputs'!$D$7+'Production Inputs'!P61*'Cost Inputs'!$D$9</f>
        <v>0</v>
      </c>
      <c r="H24" s="175">
        <f>'Production Inputs'!Q46*'Cost Inputs'!$D$6+'Production Inputs'!Q51*'Cost Inputs'!$D$8+'Production Inputs'!Q56*'Cost Inputs'!$D$7+'Production Inputs'!Q61*'Cost Inputs'!$D$9</f>
        <v>0</v>
      </c>
      <c r="I24" s="175">
        <f>'Production Inputs'!R46*'Cost Inputs'!$D$6+'Production Inputs'!R51*'Cost Inputs'!$D$8+'Production Inputs'!R56*'Cost Inputs'!$D$7+'Production Inputs'!R61*'Cost Inputs'!$D$9</f>
        <v>0</v>
      </c>
      <c r="J24" s="175">
        <f>'Production Inputs'!S46*'Cost Inputs'!$D$6+'Production Inputs'!S51*'Cost Inputs'!$D$8+'Production Inputs'!S56*'Cost Inputs'!$D$7+'Production Inputs'!S61*'Cost Inputs'!$D$9</f>
        <v>0</v>
      </c>
      <c r="K24" s="175">
        <f>'Production Inputs'!T46*'Cost Inputs'!$D$6+'Production Inputs'!T51*'Cost Inputs'!$D$8+'Production Inputs'!T56*'Cost Inputs'!$D$7+'Production Inputs'!T61*'Cost Inputs'!$D$9</f>
        <v>0</v>
      </c>
      <c r="L24" s="175">
        <f>'Production Inputs'!U46*'Cost Inputs'!$D$6+'Production Inputs'!U51*'Cost Inputs'!$D$8+'Production Inputs'!U56*'Cost Inputs'!$D$7+'Production Inputs'!U61*'Cost Inputs'!$D$9</f>
        <v>0</v>
      </c>
      <c r="M24" s="175">
        <f>'Production Inputs'!V46*'Cost Inputs'!$D$6+'Production Inputs'!V51*'Cost Inputs'!$D$8+'Production Inputs'!V56*'Cost Inputs'!$D$7+'Production Inputs'!V61*'Cost Inputs'!$D$9</f>
        <v>0</v>
      </c>
      <c r="N24" s="176">
        <f t="shared" si="0"/>
        <v>0</v>
      </c>
    </row>
    <row r="25" spans="1:14" ht="16" customHeight="1" x14ac:dyDescent="0.35">
      <c r="A25" s="159" t="s">
        <v>483</v>
      </c>
      <c r="B25" s="175"/>
      <c r="C25" s="175"/>
      <c r="D25" s="175"/>
      <c r="E25" s="175"/>
      <c r="F25" s="175"/>
      <c r="G25" s="175"/>
      <c r="H25" s="175"/>
      <c r="I25" s="175"/>
      <c r="J25" s="175"/>
      <c r="K25" s="175"/>
      <c r="L25" s="175"/>
      <c r="M25" s="175"/>
      <c r="N25" s="176">
        <f t="shared" si="0"/>
        <v>0</v>
      </c>
    </row>
    <row r="26" spans="1:14" ht="16" customHeight="1" x14ac:dyDescent="0.35">
      <c r="A26" s="158" t="s">
        <v>484</v>
      </c>
      <c r="B26" s="175"/>
      <c r="C26" s="175">
        <f>'Production Inputs'!L40*'Cost Inputs'!$E$10</f>
        <v>0</v>
      </c>
      <c r="D26" s="175">
        <f>'Production Inputs'!M40*'Cost Inputs'!$E$10</f>
        <v>0</v>
      </c>
      <c r="E26" s="175">
        <f>'Production Inputs'!N40*'Cost Inputs'!$E$10</f>
        <v>0</v>
      </c>
      <c r="F26" s="175">
        <f>'Production Inputs'!O40*'Cost Inputs'!$E$10</f>
        <v>0</v>
      </c>
      <c r="G26" s="175">
        <f>'Production Inputs'!P40*'Cost Inputs'!$E$10</f>
        <v>0</v>
      </c>
      <c r="H26" s="175">
        <f>'Production Inputs'!Q40*'Cost Inputs'!$E$10</f>
        <v>0</v>
      </c>
      <c r="I26" s="175">
        <f>'Production Inputs'!R40*'Cost Inputs'!$E$10</f>
        <v>0</v>
      </c>
      <c r="J26" s="175">
        <f>'Production Inputs'!S40*'Cost Inputs'!$E$10</f>
        <v>0</v>
      </c>
      <c r="K26" s="175">
        <f>'Production Inputs'!T40*'Cost Inputs'!$E$10</f>
        <v>0</v>
      </c>
      <c r="L26" s="175">
        <f>'Production Inputs'!U40*'Cost Inputs'!$E$10</f>
        <v>0</v>
      </c>
      <c r="M26" s="175">
        <f>'Production Inputs'!V40*'Cost Inputs'!$E$10</f>
        <v>2600000</v>
      </c>
      <c r="N26" s="176">
        <f t="shared" si="0"/>
        <v>2600000</v>
      </c>
    </row>
    <row r="27" spans="1:14" ht="16" customHeight="1" x14ac:dyDescent="0.35">
      <c r="A27" s="159" t="s">
        <v>485</v>
      </c>
      <c r="B27" s="175"/>
      <c r="C27" s="175">
        <f>'Production Inputs'!L24/'Supplier Registry'!$E$12*'Cost Inputs'!$E$13</f>
        <v>0</v>
      </c>
      <c r="D27" s="175">
        <f>'Production Inputs'!M24/'Supplier Registry'!$E$12*'Cost Inputs'!$E$13</f>
        <v>0</v>
      </c>
      <c r="E27" s="175">
        <f>'Production Inputs'!N24/'Supplier Registry'!$E$12*'Cost Inputs'!$E$13</f>
        <v>810000</v>
      </c>
      <c r="F27" s="175">
        <f>'Production Inputs'!O24/'Supplier Registry'!$E$12*'Cost Inputs'!$E$13</f>
        <v>0</v>
      </c>
      <c r="G27" s="175">
        <f>'Production Inputs'!P24/'Supplier Registry'!$E$12*'Cost Inputs'!$E$13</f>
        <v>810000</v>
      </c>
      <c r="H27" s="175">
        <f>'Production Inputs'!Q24/'Supplier Registry'!$E$12*'Cost Inputs'!$E$13</f>
        <v>0</v>
      </c>
      <c r="I27" s="175">
        <f>'Production Inputs'!R24/'Supplier Registry'!$E$12*'Cost Inputs'!$E$13</f>
        <v>0</v>
      </c>
      <c r="J27" s="175">
        <f>'Production Inputs'!S24/'Supplier Registry'!$E$12*'Cost Inputs'!$E$13</f>
        <v>0</v>
      </c>
      <c r="K27" s="175">
        <f>'Production Inputs'!T24/'Supplier Registry'!$E$12*'Cost Inputs'!$E$13</f>
        <v>0</v>
      </c>
      <c r="L27" s="175">
        <f>'Production Inputs'!U24/'Supplier Registry'!$E$12*'Cost Inputs'!$E$13</f>
        <v>0</v>
      </c>
      <c r="M27" s="175">
        <f>'Production Inputs'!V24/'Supplier Registry'!$E$12*'Cost Inputs'!$E$13</f>
        <v>0</v>
      </c>
      <c r="N27" s="176">
        <f t="shared" si="0"/>
        <v>1620000</v>
      </c>
    </row>
    <row r="28" spans="1:14" ht="16" customHeight="1" x14ac:dyDescent="0.35">
      <c r="A28" s="158" t="s">
        <v>486</v>
      </c>
      <c r="B28" s="175"/>
      <c r="C28" s="175">
        <f>'Production Inputs'!L25/'Supplier Registry'!$E$13*'Cost Inputs'!$E$17</f>
        <v>0</v>
      </c>
      <c r="D28" s="175">
        <f>'Production Inputs'!M25/'Supplier Registry'!$E$13*'Cost Inputs'!$E$17</f>
        <v>0</v>
      </c>
      <c r="E28" s="175">
        <f>'Production Inputs'!N25/'Supplier Registry'!$E$13*'Cost Inputs'!$E$17</f>
        <v>0</v>
      </c>
      <c r="F28" s="175">
        <f>'Production Inputs'!O25/'Supplier Registry'!$E$13*'Cost Inputs'!$E$17</f>
        <v>0</v>
      </c>
      <c r="G28" s="175">
        <f>'Production Inputs'!P25/'Supplier Registry'!$E$13*'Cost Inputs'!$E$17</f>
        <v>0</v>
      </c>
      <c r="H28" s="175">
        <f>'Production Inputs'!Q25/'Supplier Registry'!$E$13*'Cost Inputs'!$E$17</f>
        <v>0</v>
      </c>
      <c r="I28" s="175">
        <f>'Production Inputs'!R25/'Supplier Registry'!$E$13*'Cost Inputs'!$E$17</f>
        <v>0</v>
      </c>
      <c r="J28" s="175">
        <f>'Production Inputs'!S25/'Supplier Registry'!$E$13*'Cost Inputs'!$E$17</f>
        <v>0</v>
      </c>
      <c r="K28" s="175">
        <f>'Production Inputs'!T25/'Supplier Registry'!$E$13*'Cost Inputs'!$E$17</f>
        <v>0</v>
      </c>
      <c r="L28" s="175">
        <f>'Production Inputs'!U25/'Supplier Registry'!$E$13*'Cost Inputs'!$E$17</f>
        <v>0</v>
      </c>
      <c r="M28" s="175">
        <f>'Production Inputs'!V25/'Supplier Registry'!$E$13*'Cost Inputs'!$E$17</f>
        <v>0</v>
      </c>
      <c r="N28" s="176">
        <f t="shared" si="0"/>
        <v>0</v>
      </c>
    </row>
    <row r="29" spans="1:14" ht="16" customHeight="1" x14ac:dyDescent="0.35">
      <c r="A29" s="159" t="s">
        <v>487</v>
      </c>
      <c r="B29" s="175"/>
      <c r="C29" s="175">
        <f>'Production Inputs'!L30/'Supplier Registry'!$E$15*'Cost Inputs'!$E$18</f>
        <v>0</v>
      </c>
      <c r="D29" s="175">
        <f>'Production Inputs'!M30/'Supplier Registry'!$E$15*'Cost Inputs'!$E$18</f>
        <v>0</v>
      </c>
      <c r="E29" s="175">
        <f>'Production Inputs'!N30/'Supplier Registry'!$E$15*'Cost Inputs'!$E$18</f>
        <v>700000</v>
      </c>
      <c r="F29" s="175">
        <f>'Production Inputs'!O30/'Supplier Registry'!$E$15*'Cost Inputs'!$E$18</f>
        <v>700000</v>
      </c>
      <c r="G29" s="175">
        <f>'Production Inputs'!P30/'Supplier Registry'!$E$15*'Cost Inputs'!$E$18</f>
        <v>1050000</v>
      </c>
      <c r="H29" s="175">
        <f>'Production Inputs'!Q30/'Supplier Registry'!$E$15*'Cost Inputs'!$E$18</f>
        <v>350000</v>
      </c>
      <c r="I29" s="175">
        <f>'Production Inputs'!R30/'Supplier Registry'!$E$15*'Cost Inputs'!$E$18</f>
        <v>0</v>
      </c>
      <c r="J29" s="175">
        <f>'Production Inputs'!S30/'Supplier Registry'!$E$15*'Cost Inputs'!$E$18</f>
        <v>0</v>
      </c>
      <c r="K29" s="175">
        <f>'Production Inputs'!T30/'Supplier Registry'!$E$15*'Cost Inputs'!$E$18</f>
        <v>0</v>
      </c>
      <c r="L29" s="175">
        <f>'Production Inputs'!U30/'Supplier Registry'!$E$15*'Cost Inputs'!$E$18</f>
        <v>0</v>
      </c>
      <c r="M29" s="175">
        <f>'Production Inputs'!V30/'Supplier Registry'!$E$15*'Cost Inputs'!$E$18</f>
        <v>0</v>
      </c>
      <c r="N29" s="176">
        <f t="shared" si="0"/>
        <v>2800000</v>
      </c>
    </row>
    <row r="30" spans="1:14" ht="16" customHeight="1" x14ac:dyDescent="0.35">
      <c r="A30" s="158" t="s">
        <v>488</v>
      </c>
      <c r="B30" s="175"/>
      <c r="C30" s="175"/>
      <c r="D30" s="175"/>
      <c r="E30" s="175"/>
      <c r="F30" s="175"/>
      <c r="G30" s="175"/>
      <c r="H30" s="175"/>
      <c r="I30" s="175"/>
      <c r="J30" s="175"/>
      <c r="K30" s="175"/>
      <c r="L30" s="175"/>
      <c r="M30" s="175"/>
      <c r="N30" s="176">
        <f t="shared" si="0"/>
        <v>0</v>
      </c>
    </row>
    <row r="31" spans="1:14" ht="16" customHeight="1" x14ac:dyDescent="0.35">
      <c r="A31" s="159" t="s">
        <v>489</v>
      </c>
      <c r="B31" s="175"/>
      <c r="C31" s="175"/>
      <c r="D31" s="175"/>
      <c r="E31" s="175"/>
      <c r="F31" s="175"/>
      <c r="G31" s="175"/>
      <c r="H31" s="175"/>
      <c r="I31" s="175"/>
      <c r="J31" s="175"/>
      <c r="K31" s="175"/>
      <c r="L31" s="175"/>
      <c r="M31" s="175"/>
      <c r="N31" s="176">
        <f t="shared" si="0"/>
        <v>0</v>
      </c>
    </row>
    <row r="32" spans="1:14" ht="16" customHeight="1" x14ac:dyDescent="0.35">
      <c r="A32" s="158" t="s">
        <v>490</v>
      </c>
      <c r="B32" s="175"/>
      <c r="C32" s="175"/>
      <c r="D32" s="175"/>
      <c r="E32" s="175"/>
      <c r="F32" s="175"/>
      <c r="G32" s="175"/>
      <c r="H32" s="175"/>
      <c r="I32" s="175"/>
      <c r="J32" s="175"/>
      <c r="K32" s="175"/>
      <c r="L32" s="175"/>
      <c r="M32" s="175"/>
      <c r="N32" s="176">
        <f t="shared" si="0"/>
        <v>0</v>
      </c>
    </row>
    <row r="33" spans="1:14" ht="16" customHeight="1" x14ac:dyDescent="0.35">
      <c r="A33" s="159" t="s">
        <v>491</v>
      </c>
      <c r="B33" s="175"/>
      <c r="C33" s="175">
        <f>'Production Inputs'!L5*'Cost Inputs'!$D$15+'Production Inputs'!L11*'Cost Inputs'!$D$14</f>
        <v>0</v>
      </c>
      <c r="D33" s="175">
        <f>'Production Inputs'!M5*'Cost Inputs'!$D$15+'Production Inputs'!M11*'Cost Inputs'!$D$14</f>
        <v>0</v>
      </c>
      <c r="E33" s="175">
        <f>'Production Inputs'!N5*'Cost Inputs'!$D$15+'Production Inputs'!N11*'Cost Inputs'!$D$14</f>
        <v>20.52</v>
      </c>
      <c r="F33" s="175">
        <f>'Production Inputs'!O5*'Cost Inputs'!$D$15+'Production Inputs'!O11*'Cost Inputs'!$D$14</f>
        <v>13.68</v>
      </c>
      <c r="G33" s="175">
        <f>'Production Inputs'!P5*'Cost Inputs'!$D$15+'Production Inputs'!P11*'Cost Inputs'!$D$14</f>
        <v>17577</v>
      </c>
      <c r="H33" s="175">
        <f>'Production Inputs'!Q5*'Cost Inputs'!$D$15+'Production Inputs'!Q11*'Cost Inputs'!$D$14</f>
        <v>0</v>
      </c>
      <c r="I33" s="175">
        <f>'Production Inputs'!R5*'Cost Inputs'!$D$15+'Production Inputs'!R11*'Cost Inputs'!$D$14</f>
        <v>0</v>
      </c>
      <c r="J33" s="175">
        <f>'Production Inputs'!S5*'Cost Inputs'!$D$15+'Production Inputs'!S11*'Cost Inputs'!$D$14</f>
        <v>0</v>
      </c>
      <c r="K33" s="175">
        <f>'Production Inputs'!T5*'Cost Inputs'!$D$15+'Production Inputs'!T11*'Cost Inputs'!$D$14</f>
        <v>210924</v>
      </c>
      <c r="L33" s="175">
        <f>'Production Inputs'!U5*'Cost Inputs'!$D$15+'Production Inputs'!U11*'Cost Inputs'!$D$14</f>
        <v>0</v>
      </c>
      <c r="M33" s="175">
        <f>'Production Inputs'!V5*'Cost Inputs'!$D$15+'Production Inputs'!V11*'Cost Inputs'!$D$14</f>
        <v>0</v>
      </c>
      <c r="N33" s="176">
        <f>SUM(C33:M33)</f>
        <v>228535.2</v>
      </c>
    </row>
    <row r="34" spans="1:14" ht="18" customHeight="1" x14ac:dyDescent="0.35">
      <c r="A34" s="160" t="s">
        <v>492</v>
      </c>
      <c r="B34" s="133">
        <f t="shared" ref="B34:M34" si="1">SUM(B22:B33)</f>
        <v>0</v>
      </c>
      <c r="C34" s="133">
        <f t="shared" si="1"/>
        <v>0</v>
      </c>
      <c r="D34" s="133">
        <f t="shared" si="1"/>
        <v>0</v>
      </c>
      <c r="E34" s="133">
        <f t="shared" si="1"/>
        <v>1510020.52</v>
      </c>
      <c r="F34" s="133">
        <f t="shared" si="1"/>
        <v>6358013.6799999988</v>
      </c>
      <c r="G34" s="133">
        <f t="shared" si="1"/>
        <v>10364577</v>
      </c>
      <c r="H34" s="133">
        <f t="shared" si="1"/>
        <v>3178999.9999999995</v>
      </c>
      <c r="I34" s="133">
        <f t="shared" si="1"/>
        <v>0</v>
      </c>
      <c r="J34" s="133">
        <f t="shared" si="1"/>
        <v>0</v>
      </c>
      <c r="K34" s="133">
        <f t="shared" si="1"/>
        <v>210924</v>
      </c>
      <c r="L34" s="133">
        <f t="shared" si="1"/>
        <v>0</v>
      </c>
      <c r="M34" s="133">
        <f t="shared" si="1"/>
        <v>2600000</v>
      </c>
      <c r="N34" s="177">
        <f>SUM(N22:N33)</f>
        <v>24222535.199999999</v>
      </c>
    </row>
    <row r="36" spans="1:14" ht="22" customHeight="1" x14ac:dyDescent="0.35">
      <c r="A36" s="416" t="s">
        <v>493</v>
      </c>
      <c r="B36" s="417"/>
      <c r="C36" s="417"/>
      <c r="D36" s="417"/>
      <c r="E36" s="417"/>
      <c r="F36" s="417"/>
      <c r="G36" s="417"/>
      <c r="H36" s="417"/>
      <c r="I36" s="417"/>
      <c r="J36" s="417"/>
      <c r="K36" s="417"/>
      <c r="L36" s="417"/>
      <c r="M36" s="417"/>
      <c r="N36" s="418"/>
    </row>
    <row r="37" spans="1:14" ht="18" customHeight="1" x14ac:dyDescent="0.35">
      <c r="A37" s="161" t="s">
        <v>477</v>
      </c>
      <c r="B37" s="161" t="s">
        <v>478</v>
      </c>
      <c r="C37" s="161" t="s">
        <v>181</v>
      </c>
      <c r="D37" s="161" t="s">
        <v>182</v>
      </c>
      <c r="E37" s="161" t="s">
        <v>183</v>
      </c>
      <c r="F37" s="161" t="s">
        <v>184</v>
      </c>
      <c r="G37" s="161" t="s">
        <v>185</v>
      </c>
      <c r="H37" s="161" t="s">
        <v>186</v>
      </c>
      <c r="I37" s="161" t="s">
        <v>187</v>
      </c>
      <c r="J37" s="161" t="s">
        <v>188</v>
      </c>
      <c r="K37" s="161" t="s">
        <v>189</v>
      </c>
      <c r="L37" s="161" t="s">
        <v>190</v>
      </c>
      <c r="M37" s="161" t="s">
        <v>191</v>
      </c>
      <c r="N37" s="161" t="s">
        <v>494</v>
      </c>
    </row>
    <row r="38" spans="1:14" ht="16" customHeight="1" x14ac:dyDescent="0.35">
      <c r="A38" s="162" t="s">
        <v>480</v>
      </c>
      <c r="B38" s="175"/>
      <c r="C38" s="175"/>
      <c r="D38" s="175"/>
      <c r="E38" s="175"/>
      <c r="F38" s="175"/>
      <c r="G38" s="175"/>
      <c r="H38" s="175"/>
      <c r="I38" s="175"/>
      <c r="J38" s="175"/>
      <c r="K38" s="175"/>
      <c r="L38" s="175"/>
      <c r="M38" s="175"/>
      <c r="N38" s="178">
        <v>0</v>
      </c>
    </row>
    <row r="39" spans="1:14" ht="16" customHeight="1" x14ac:dyDescent="0.35">
      <c r="A39" s="159" t="s">
        <v>481</v>
      </c>
      <c r="B39" s="175"/>
      <c r="C39" s="175"/>
      <c r="D39" s="175"/>
      <c r="E39" s="175"/>
      <c r="F39" s="175"/>
      <c r="G39" s="175"/>
      <c r="H39" s="175"/>
      <c r="I39" s="175"/>
      <c r="J39" s="175"/>
      <c r="K39" s="175"/>
      <c r="L39" s="175"/>
      <c r="M39" s="175"/>
      <c r="N39" s="179">
        <v>0</v>
      </c>
    </row>
    <row r="40" spans="1:14" ht="16" customHeight="1" x14ac:dyDescent="0.35">
      <c r="A40" s="162" t="s">
        <v>482</v>
      </c>
      <c r="B40" s="175"/>
      <c r="C40" s="175"/>
      <c r="D40" s="175"/>
      <c r="E40" s="175"/>
      <c r="F40" s="175"/>
      <c r="G40" s="175"/>
      <c r="H40" s="175"/>
      <c r="I40" s="175"/>
      <c r="J40" s="175"/>
      <c r="K40" s="175"/>
      <c r="L40" s="175"/>
      <c r="M40" s="175"/>
      <c r="N40" s="178">
        <v>0</v>
      </c>
    </row>
    <row r="41" spans="1:14" ht="16" customHeight="1" x14ac:dyDescent="0.35">
      <c r="A41" s="159" t="s">
        <v>483</v>
      </c>
      <c r="B41" s="175"/>
      <c r="C41" s="175"/>
      <c r="D41" s="175"/>
      <c r="E41" s="175"/>
      <c r="F41" s="175"/>
      <c r="G41" s="175"/>
      <c r="H41" s="175"/>
      <c r="I41" s="175"/>
      <c r="J41" s="175"/>
      <c r="K41" s="175"/>
      <c r="L41" s="175"/>
      <c r="M41" s="175"/>
      <c r="N41" s="179">
        <v>0</v>
      </c>
    </row>
    <row r="42" spans="1:14" ht="16" customHeight="1" x14ac:dyDescent="0.35">
      <c r="A42" s="162" t="s">
        <v>484</v>
      </c>
      <c r="B42" s="175"/>
      <c r="C42" s="175"/>
      <c r="D42" s="175"/>
      <c r="E42" s="175"/>
      <c r="F42" s="175"/>
      <c r="G42" s="175"/>
      <c r="H42" s="175"/>
      <c r="I42" s="175"/>
      <c r="J42" s="175"/>
      <c r="K42" s="175"/>
      <c r="L42" s="175"/>
      <c r="M42" s="175"/>
      <c r="N42" s="178">
        <v>0</v>
      </c>
    </row>
    <row r="43" spans="1:14" ht="16" customHeight="1" x14ac:dyDescent="0.35">
      <c r="A43" s="159" t="s">
        <v>485</v>
      </c>
      <c r="B43" s="175"/>
      <c r="C43" s="175"/>
      <c r="D43" s="175"/>
      <c r="E43" s="175"/>
      <c r="F43" s="175"/>
      <c r="G43" s="175"/>
      <c r="H43" s="175"/>
      <c r="I43" s="175"/>
      <c r="J43" s="175"/>
      <c r="K43" s="175"/>
      <c r="L43" s="175"/>
      <c r="M43" s="175"/>
      <c r="N43" s="179">
        <v>0</v>
      </c>
    </row>
    <row r="44" spans="1:14" ht="16" customHeight="1" x14ac:dyDescent="0.35">
      <c r="A44" s="162" t="s">
        <v>486</v>
      </c>
      <c r="B44" s="175"/>
      <c r="C44" s="175"/>
      <c r="D44" s="175"/>
      <c r="E44" s="175"/>
      <c r="F44" s="175"/>
      <c r="G44" s="175"/>
      <c r="H44" s="175"/>
      <c r="I44" s="175"/>
      <c r="J44" s="175"/>
      <c r="K44" s="175"/>
      <c r="L44" s="175"/>
      <c r="M44" s="175"/>
      <c r="N44" s="178">
        <v>0</v>
      </c>
    </row>
    <row r="45" spans="1:14" ht="16" customHeight="1" x14ac:dyDescent="0.35">
      <c r="A45" s="159" t="s">
        <v>487</v>
      </c>
      <c r="B45" s="175"/>
      <c r="C45" s="175"/>
      <c r="D45" s="175"/>
      <c r="E45" s="175"/>
      <c r="F45" s="175"/>
      <c r="G45" s="175"/>
      <c r="H45" s="175"/>
      <c r="I45" s="175"/>
      <c r="J45" s="175"/>
      <c r="K45" s="175"/>
      <c r="L45" s="175"/>
      <c r="M45" s="175"/>
      <c r="N45" s="179">
        <v>0</v>
      </c>
    </row>
    <row r="46" spans="1:14" ht="16" customHeight="1" x14ac:dyDescent="0.35">
      <c r="A46" s="162" t="s">
        <v>488</v>
      </c>
      <c r="B46" s="175"/>
      <c r="C46" s="175"/>
      <c r="D46" s="175"/>
      <c r="E46" s="175"/>
      <c r="F46" s="175"/>
      <c r="G46" s="175"/>
      <c r="H46" s="175"/>
      <c r="I46" s="175"/>
      <c r="J46" s="175"/>
      <c r="K46" s="175"/>
      <c r="L46" s="175"/>
      <c r="M46" s="175"/>
      <c r="N46" s="178">
        <v>0</v>
      </c>
    </row>
    <row r="47" spans="1:14" ht="16" customHeight="1" x14ac:dyDescent="0.35">
      <c r="A47" s="159" t="s">
        <v>489</v>
      </c>
      <c r="B47" s="175"/>
      <c r="C47" s="175"/>
      <c r="D47" s="175"/>
      <c r="E47" s="175"/>
      <c r="F47" s="175"/>
      <c r="G47" s="175"/>
      <c r="H47" s="175"/>
      <c r="I47" s="175"/>
      <c r="J47" s="175"/>
      <c r="K47" s="175"/>
      <c r="L47" s="175"/>
      <c r="M47" s="175"/>
      <c r="N47" s="179">
        <v>0</v>
      </c>
    </row>
    <row r="48" spans="1:14" ht="16" customHeight="1" x14ac:dyDescent="0.35">
      <c r="A48" s="162" t="s">
        <v>490</v>
      </c>
      <c r="B48" s="175"/>
      <c r="C48" s="175"/>
      <c r="D48" s="175"/>
      <c r="E48" s="175"/>
      <c r="F48" s="175"/>
      <c r="G48" s="175"/>
      <c r="H48" s="175"/>
      <c r="I48" s="175"/>
      <c r="J48" s="175"/>
      <c r="K48" s="175"/>
      <c r="L48" s="175"/>
      <c r="M48" s="175"/>
      <c r="N48" s="178">
        <v>0</v>
      </c>
    </row>
    <row r="49" spans="1:14" ht="16" customHeight="1" x14ac:dyDescent="0.35">
      <c r="A49" s="159" t="s">
        <v>491</v>
      </c>
      <c r="B49" s="175"/>
      <c r="C49" s="175"/>
      <c r="D49" s="175"/>
      <c r="E49" s="175"/>
      <c r="F49" s="175"/>
      <c r="G49" s="175"/>
      <c r="H49" s="175"/>
      <c r="I49" s="175"/>
      <c r="J49" s="175"/>
      <c r="K49" s="175"/>
      <c r="L49" s="175"/>
      <c r="M49" s="175"/>
      <c r="N49" s="179">
        <v>0</v>
      </c>
    </row>
    <row r="50" spans="1:14" ht="18" customHeight="1" x14ac:dyDescent="0.35">
      <c r="A50" s="163" t="s">
        <v>495</v>
      </c>
      <c r="B50" s="134">
        <f t="shared" ref="B50:M50" si="2">SUM(B38:B49)</f>
        <v>0</v>
      </c>
      <c r="C50" s="134">
        <f t="shared" si="2"/>
        <v>0</v>
      </c>
      <c r="D50" s="134">
        <f t="shared" si="2"/>
        <v>0</v>
      </c>
      <c r="E50" s="134">
        <f t="shared" si="2"/>
        <v>0</v>
      </c>
      <c r="F50" s="134">
        <f t="shared" si="2"/>
        <v>0</v>
      </c>
      <c r="G50" s="134">
        <f t="shared" si="2"/>
        <v>0</v>
      </c>
      <c r="H50" s="134">
        <f t="shared" si="2"/>
        <v>0</v>
      </c>
      <c r="I50" s="134">
        <f t="shared" si="2"/>
        <v>0</v>
      </c>
      <c r="J50" s="134">
        <f t="shared" si="2"/>
        <v>0</v>
      </c>
      <c r="K50" s="134">
        <f t="shared" si="2"/>
        <v>0</v>
      </c>
      <c r="L50" s="134">
        <f t="shared" si="2"/>
        <v>0</v>
      </c>
      <c r="M50" s="134">
        <f t="shared" si="2"/>
        <v>0</v>
      </c>
      <c r="N50" s="180">
        <v>0</v>
      </c>
    </row>
    <row r="52" spans="1:14" ht="22" customHeight="1" x14ac:dyDescent="0.35">
      <c r="A52" s="419" t="s">
        <v>496</v>
      </c>
      <c r="B52" s="420"/>
      <c r="C52" s="420"/>
      <c r="D52" s="420"/>
      <c r="E52" s="420"/>
      <c r="F52" s="420"/>
      <c r="G52" s="420"/>
      <c r="H52" s="420"/>
      <c r="I52" s="420"/>
      <c r="J52" s="420"/>
      <c r="K52" s="420"/>
      <c r="L52" s="420"/>
      <c r="M52" s="420"/>
      <c r="N52" s="421"/>
    </row>
    <row r="53" spans="1:14" ht="18" customHeight="1" x14ac:dyDescent="0.35">
      <c r="A53" s="164" t="s">
        <v>477</v>
      </c>
      <c r="B53" s="164" t="s">
        <v>478</v>
      </c>
      <c r="C53" s="164" t="s">
        <v>181</v>
      </c>
      <c r="D53" s="164" t="s">
        <v>182</v>
      </c>
      <c r="E53" s="164" t="s">
        <v>183</v>
      </c>
      <c r="F53" s="164" t="s">
        <v>184</v>
      </c>
      <c r="G53" s="164" t="s">
        <v>185</v>
      </c>
      <c r="H53" s="164" t="s">
        <v>186</v>
      </c>
      <c r="I53" s="164" t="s">
        <v>187</v>
      </c>
      <c r="J53" s="164" t="s">
        <v>188</v>
      </c>
      <c r="K53" s="164" t="s">
        <v>189</v>
      </c>
      <c r="L53" s="164" t="s">
        <v>190</v>
      </c>
      <c r="M53" s="164" t="s">
        <v>191</v>
      </c>
      <c r="N53" s="164" t="s">
        <v>497</v>
      </c>
    </row>
    <row r="54" spans="1:14" ht="16" customHeight="1" x14ac:dyDescent="0.35">
      <c r="A54" s="165" t="s">
        <v>480</v>
      </c>
      <c r="B54" s="135">
        <f t="shared" ref="B54:M54" si="3">B38-B22</f>
        <v>0</v>
      </c>
      <c r="C54" s="135">
        <f t="shared" si="3"/>
        <v>0</v>
      </c>
      <c r="D54" s="135">
        <f t="shared" si="3"/>
        <v>0</v>
      </c>
      <c r="E54" s="135">
        <f t="shared" si="3"/>
        <v>0</v>
      </c>
      <c r="F54" s="135">
        <f t="shared" si="3"/>
        <v>-5657999.9999999991</v>
      </c>
      <c r="G54" s="135">
        <f t="shared" si="3"/>
        <v>-8487000</v>
      </c>
      <c r="H54" s="135">
        <f t="shared" si="3"/>
        <v>-2828999.9999999995</v>
      </c>
      <c r="I54" s="135">
        <f t="shared" si="3"/>
        <v>0</v>
      </c>
      <c r="J54" s="135">
        <f t="shared" si="3"/>
        <v>0</v>
      </c>
      <c r="K54" s="135">
        <f t="shared" si="3"/>
        <v>0</v>
      </c>
      <c r="L54" s="135">
        <f t="shared" si="3"/>
        <v>0</v>
      </c>
      <c r="M54" s="135">
        <f t="shared" si="3"/>
        <v>0</v>
      </c>
      <c r="N54" s="181">
        <v>-49134996</v>
      </c>
    </row>
    <row r="55" spans="1:14" ht="16" customHeight="1" x14ac:dyDescent="0.35">
      <c r="A55" s="159" t="s">
        <v>481</v>
      </c>
      <c r="B55" s="135">
        <f t="shared" ref="B55:M55" si="4">B39-B23</f>
        <v>0</v>
      </c>
      <c r="C55" s="135">
        <f t="shared" si="4"/>
        <v>0</v>
      </c>
      <c r="D55" s="135">
        <f t="shared" si="4"/>
        <v>0</v>
      </c>
      <c r="E55" s="135">
        <f t="shared" si="4"/>
        <v>0</v>
      </c>
      <c r="F55" s="135">
        <f t="shared" si="4"/>
        <v>0</v>
      </c>
      <c r="G55" s="135">
        <f t="shared" si="4"/>
        <v>0</v>
      </c>
      <c r="H55" s="135">
        <f t="shared" si="4"/>
        <v>0</v>
      </c>
      <c r="I55" s="135">
        <f t="shared" si="4"/>
        <v>0</v>
      </c>
      <c r="J55" s="135">
        <f t="shared" si="4"/>
        <v>0</v>
      </c>
      <c r="K55" s="135">
        <f t="shared" si="4"/>
        <v>0</v>
      </c>
      <c r="L55" s="135">
        <f t="shared" si="4"/>
        <v>0</v>
      </c>
      <c r="M55" s="135">
        <f t="shared" si="4"/>
        <v>0</v>
      </c>
      <c r="N55" s="181">
        <v>-6450000</v>
      </c>
    </row>
    <row r="56" spans="1:14" ht="16" customHeight="1" x14ac:dyDescent="0.35">
      <c r="A56" s="165" t="s">
        <v>482</v>
      </c>
      <c r="B56" s="135">
        <f t="shared" ref="B56:M56" si="5">B40-B24</f>
        <v>0</v>
      </c>
      <c r="C56" s="135">
        <f t="shared" si="5"/>
        <v>0</v>
      </c>
      <c r="D56" s="135">
        <f t="shared" si="5"/>
        <v>0</v>
      </c>
      <c r="E56" s="135">
        <f t="shared" si="5"/>
        <v>0</v>
      </c>
      <c r="F56" s="135">
        <f t="shared" si="5"/>
        <v>0</v>
      </c>
      <c r="G56" s="135">
        <f t="shared" si="5"/>
        <v>0</v>
      </c>
      <c r="H56" s="135">
        <f t="shared" si="5"/>
        <v>0</v>
      </c>
      <c r="I56" s="135">
        <f t="shared" si="5"/>
        <v>0</v>
      </c>
      <c r="J56" s="135">
        <f t="shared" si="5"/>
        <v>0</v>
      </c>
      <c r="K56" s="135">
        <f t="shared" si="5"/>
        <v>0</v>
      </c>
      <c r="L56" s="135">
        <f t="shared" si="5"/>
        <v>0</v>
      </c>
      <c r="M56" s="135">
        <f t="shared" si="5"/>
        <v>0</v>
      </c>
      <c r="N56" s="181">
        <v>0</v>
      </c>
    </row>
    <row r="57" spans="1:14" ht="16" customHeight="1" x14ac:dyDescent="0.35">
      <c r="A57" s="159" t="s">
        <v>483</v>
      </c>
      <c r="B57" s="135">
        <f t="shared" ref="B57:M57" si="6">B41-B25</f>
        <v>0</v>
      </c>
      <c r="C57" s="135">
        <f t="shared" si="6"/>
        <v>0</v>
      </c>
      <c r="D57" s="135">
        <f t="shared" si="6"/>
        <v>0</v>
      </c>
      <c r="E57" s="135">
        <f t="shared" si="6"/>
        <v>0</v>
      </c>
      <c r="F57" s="135">
        <f t="shared" si="6"/>
        <v>0</v>
      </c>
      <c r="G57" s="135">
        <f t="shared" si="6"/>
        <v>0</v>
      </c>
      <c r="H57" s="135">
        <f t="shared" si="6"/>
        <v>0</v>
      </c>
      <c r="I57" s="135">
        <f t="shared" si="6"/>
        <v>0</v>
      </c>
      <c r="J57" s="135">
        <f t="shared" si="6"/>
        <v>0</v>
      </c>
      <c r="K57" s="135">
        <f t="shared" si="6"/>
        <v>0</v>
      </c>
      <c r="L57" s="135">
        <f t="shared" si="6"/>
        <v>0</v>
      </c>
      <c r="M57" s="135">
        <f t="shared" si="6"/>
        <v>0</v>
      </c>
      <c r="N57" s="181">
        <v>0</v>
      </c>
    </row>
    <row r="58" spans="1:14" ht="16" customHeight="1" x14ac:dyDescent="0.35">
      <c r="A58" s="165" t="s">
        <v>484</v>
      </c>
      <c r="B58" s="135">
        <f t="shared" ref="B58:M58" si="7">B42-B26</f>
        <v>0</v>
      </c>
      <c r="C58" s="135">
        <f t="shared" si="7"/>
        <v>0</v>
      </c>
      <c r="D58" s="135">
        <f t="shared" si="7"/>
        <v>0</v>
      </c>
      <c r="E58" s="135">
        <f t="shared" si="7"/>
        <v>0</v>
      </c>
      <c r="F58" s="135">
        <f t="shared" si="7"/>
        <v>0</v>
      </c>
      <c r="G58" s="135">
        <f t="shared" si="7"/>
        <v>0</v>
      </c>
      <c r="H58" s="135">
        <f t="shared" si="7"/>
        <v>0</v>
      </c>
      <c r="I58" s="135">
        <f t="shared" si="7"/>
        <v>0</v>
      </c>
      <c r="J58" s="135">
        <f t="shared" si="7"/>
        <v>0</v>
      </c>
      <c r="K58" s="135">
        <f t="shared" si="7"/>
        <v>0</v>
      </c>
      <c r="L58" s="135">
        <f t="shared" si="7"/>
        <v>0</v>
      </c>
      <c r="M58" s="135">
        <f t="shared" si="7"/>
        <v>-2600000</v>
      </c>
      <c r="N58" s="181">
        <v>-4550004</v>
      </c>
    </row>
    <row r="59" spans="1:14" ht="16" customHeight="1" x14ac:dyDescent="0.35">
      <c r="A59" s="159" t="s">
        <v>485</v>
      </c>
      <c r="B59" s="135">
        <f t="shared" ref="B59:M59" si="8">B43-B27</f>
        <v>0</v>
      </c>
      <c r="C59" s="135">
        <f t="shared" si="8"/>
        <v>0</v>
      </c>
      <c r="D59" s="135">
        <f t="shared" si="8"/>
        <v>0</v>
      </c>
      <c r="E59" s="135">
        <f t="shared" si="8"/>
        <v>-810000</v>
      </c>
      <c r="F59" s="135">
        <f t="shared" si="8"/>
        <v>0</v>
      </c>
      <c r="G59" s="135">
        <f t="shared" si="8"/>
        <v>-810000</v>
      </c>
      <c r="H59" s="135">
        <f t="shared" si="8"/>
        <v>0</v>
      </c>
      <c r="I59" s="135">
        <f t="shared" si="8"/>
        <v>0</v>
      </c>
      <c r="J59" s="135">
        <f t="shared" si="8"/>
        <v>0</v>
      </c>
      <c r="K59" s="135">
        <f t="shared" si="8"/>
        <v>0</v>
      </c>
      <c r="L59" s="135">
        <f t="shared" si="8"/>
        <v>0</v>
      </c>
      <c r="M59" s="135">
        <f t="shared" si="8"/>
        <v>0</v>
      </c>
      <c r="N59" s="181">
        <v>-3645000</v>
      </c>
    </row>
    <row r="60" spans="1:14" ht="16" customHeight="1" x14ac:dyDescent="0.35">
      <c r="A60" s="165" t="s">
        <v>486</v>
      </c>
      <c r="B60" s="135">
        <f t="shared" ref="B60:M60" si="9">B44-B28</f>
        <v>0</v>
      </c>
      <c r="C60" s="135">
        <f t="shared" si="9"/>
        <v>0</v>
      </c>
      <c r="D60" s="135">
        <f t="shared" si="9"/>
        <v>0</v>
      </c>
      <c r="E60" s="135">
        <f t="shared" si="9"/>
        <v>0</v>
      </c>
      <c r="F60" s="135">
        <f t="shared" si="9"/>
        <v>0</v>
      </c>
      <c r="G60" s="135">
        <f t="shared" si="9"/>
        <v>0</v>
      </c>
      <c r="H60" s="135">
        <f t="shared" si="9"/>
        <v>0</v>
      </c>
      <c r="I60" s="135">
        <f t="shared" si="9"/>
        <v>0</v>
      </c>
      <c r="J60" s="135">
        <f t="shared" si="9"/>
        <v>0</v>
      </c>
      <c r="K60" s="135">
        <f t="shared" si="9"/>
        <v>0</v>
      </c>
      <c r="L60" s="135">
        <f t="shared" si="9"/>
        <v>0</v>
      </c>
      <c r="M60" s="135">
        <f t="shared" si="9"/>
        <v>0</v>
      </c>
      <c r="N60" s="181">
        <v>0</v>
      </c>
    </row>
    <row r="61" spans="1:14" ht="16" customHeight="1" x14ac:dyDescent="0.35">
      <c r="A61" s="159" t="s">
        <v>487</v>
      </c>
      <c r="B61" s="135">
        <f t="shared" ref="B61:M61" si="10">B45-B29</f>
        <v>0</v>
      </c>
      <c r="C61" s="135">
        <f t="shared" si="10"/>
        <v>0</v>
      </c>
      <c r="D61" s="135">
        <f t="shared" si="10"/>
        <v>0</v>
      </c>
      <c r="E61" s="135">
        <f t="shared" si="10"/>
        <v>-700000</v>
      </c>
      <c r="F61" s="135">
        <f t="shared" si="10"/>
        <v>-700000</v>
      </c>
      <c r="G61" s="135">
        <f t="shared" si="10"/>
        <v>-1050000</v>
      </c>
      <c r="H61" s="135">
        <f t="shared" si="10"/>
        <v>-350000</v>
      </c>
      <c r="I61" s="135">
        <f t="shared" si="10"/>
        <v>0</v>
      </c>
      <c r="J61" s="135">
        <f t="shared" si="10"/>
        <v>0</v>
      </c>
      <c r="K61" s="135">
        <f t="shared" si="10"/>
        <v>0</v>
      </c>
      <c r="L61" s="135">
        <f t="shared" si="10"/>
        <v>0</v>
      </c>
      <c r="M61" s="135">
        <f t="shared" si="10"/>
        <v>0</v>
      </c>
      <c r="N61" s="181">
        <v>-3500004</v>
      </c>
    </row>
    <row r="62" spans="1:14" ht="16" customHeight="1" x14ac:dyDescent="0.35">
      <c r="A62" s="165" t="s">
        <v>488</v>
      </c>
      <c r="B62" s="135">
        <f t="shared" ref="B62:M62" si="11">B46-B30</f>
        <v>0</v>
      </c>
      <c r="C62" s="135">
        <f t="shared" si="11"/>
        <v>0</v>
      </c>
      <c r="D62" s="135">
        <f t="shared" si="11"/>
        <v>0</v>
      </c>
      <c r="E62" s="135">
        <f t="shared" si="11"/>
        <v>0</v>
      </c>
      <c r="F62" s="135">
        <f t="shared" si="11"/>
        <v>0</v>
      </c>
      <c r="G62" s="135">
        <f t="shared" si="11"/>
        <v>0</v>
      </c>
      <c r="H62" s="135">
        <f t="shared" si="11"/>
        <v>0</v>
      </c>
      <c r="I62" s="135">
        <f t="shared" si="11"/>
        <v>0</v>
      </c>
      <c r="J62" s="135">
        <f t="shared" si="11"/>
        <v>0</v>
      </c>
      <c r="K62" s="135">
        <f t="shared" si="11"/>
        <v>0</v>
      </c>
      <c r="L62" s="135">
        <f t="shared" si="11"/>
        <v>0</v>
      </c>
      <c r="M62" s="135">
        <f t="shared" si="11"/>
        <v>0</v>
      </c>
      <c r="N62" s="181">
        <v>-750000</v>
      </c>
    </row>
    <row r="63" spans="1:14" ht="16" customHeight="1" x14ac:dyDescent="0.35">
      <c r="A63" s="159" t="s">
        <v>489</v>
      </c>
      <c r="B63" s="135">
        <f t="shared" ref="B63:M63" si="12">B47-B31</f>
        <v>0</v>
      </c>
      <c r="C63" s="135">
        <f t="shared" si="12"/>
        <v>0</v>
      </c>
      <c r="D63" s="135">
        <f t="shared" si="12"/>
        <v>0</v>
      </c>
      <c r="E63" s="135">
        <f t="shared" si="12"/>
        <v>0</v>
      </c>
      <c r="F63" s="135">
        <f t="shared" si="12"/>
        <v>0</v>
      </c>
      <c r="G63" s="135">
        <f t="shared" si="12"/>
        <v>0</v>
      </c>
      <c r="H63" s="135">
        <f t="shared" si="12"/>
        <v>0</v>
      </c>
      <c r="I63" s="135">
        <f t="shared" si="12"/>
        <v>0</v>
      </c>
      <c r="J63" s="135">
        <f t="shared" si="12"/>
        <v>0</v>
      </c>
      <c r="K63" s="135">
        <f t="shared" si="12"/>
        <v>0</v>
      </c>
      <c r="L63" s="135">
        <f t="shared" si="12"/>
        <v>0</v>
      </c>
      <c r="M63" s="135">
        <f t="shared" si="12"/>
        <v>0</v>
      </c>
      <c r="N63" s="181">
        <v>-7500000</v>
      </c>
    </row>
    <row r="64" spans="1:14" ht="16" customHeight="1" x14ac:dyDescent="0.35">
      <c r="A64" s="165" t="s">
        <v>490</v>
      </c>
      <c r="B64" s="135">
        <f t="shared" ref="B64:M64" si="13">B48-B32</f>
        <v>0</v>
      </c>
      <c r="C64" s="135">
        <f t="shared" si="13"/>
        <v>0</v>
      </c>
      <c r="D64" s="135">
        <f t="shared" si="13"/>
        <v>0</v>
      </c>
      <c r="E64" s="135">
        <f t="shared" si="13"/>
        <v>0</v>
      </c>
      <c r="F64" s="135">
        <f t="shared" si="13"/>
        <v>0</v>
      </c>
      <c r="G64" s="135">
        <f t="shared" si="13"/>
        <v>0</v>
      </c>
      <c r="H64" s="135">
        <f t="shared" si="13"/>
        <v>0</v>
      </c>
      <c r="I64" s="135">
        <f t="shared" si="13"/>
        <v>0</v>
      </c>
      <c r="J64" s="135">
        <f t="shared" si="13"/>
        <v>0</v>
      </c>
      <c r="K64" s="135">
        <f t="shared" si="13"/>
        <v>0</v>
      </c>
      <c r="L64" s="135">
        <f t="shared" si="13"/>
        <v>0</v>
      </c>
      <c r="M64" s="135">
        <f t="shared" si="13"/>
        <v>0</v>
      </c>
      <c r="N64" s="181">
        <v>0</v>
      </c>
    </row>
    <row r="65" spans="1:20" ht="16" customHeight="1" x14ac:dyDescent="0.35">
      <c r="A65" s="159" t="s">
        <v>491</v>
      </c>
      <c r="B65" s="135">
        <f t="shared" ref="B65:M65" si="14">B49-B33</f>
        <v>0</v>
      </c>
      <c r="C65" s="135">
        <f t="shared" si="14"/>
        <v>0</v>
      </c>
      <c r="D65" s="135">
        <f t="shared" si="14"/>
        <v>0</v>
      </c>
      <c r="E65" s="135">
        <f t="shared" si="14"/>
        <v>-20.52</v>
      </c>
      <c r="F65" s="135">
        <f t="shared" si="14"/>
        <v>-13.68</v>
      </c>
      <c r="G65" s="135">
        <f t="shared" si="14"/>
        <v>-17577</v>
      </c>
      <c r="H65" s="135">
        <f t="shared" si="14"/>
        <v>0</v>
      </c>
      <c r="I65" s="135">
        <f t="shared" si="14"/>
        <v>0</v>
      </c>
      <c r="J65" s="135">
        <f t="shared" si="14"/>
        <v>0</v>
      </c>
      <c r="K65" s="135">
        <f t="shared" si="14"/>
        <v>-210924</v>
      </c>
      <c r="L65" s="135">
        <f t="shared" si="14"/>
        <v>0</v>
      </c>
      <c r="M65" s="135">
        <f t="shared" si="14"/>
        <v>0</v>
      </c>
      <c r="N65" s="181">
        <v>-900000</v>
      </c>
    </row>
    <row r="66" spans="1:20" ht="18" customHeight="1" x14ac:dyDescent="0.35">
      <c r="A66" s="166" t="s">
        <v>498</v>
      </c>
      <c r="B66" s="136">
        <f t="shared" ref="B66:M66" si="15">SUM(B54:B65)</f>
        <v>0</v>
      </c>
      <c r="C66" s="136">
        <f t="shared" si="15"/>
        <v>0</v>
      </c>
      <c r="D66" s="136">
        <f t="shared" si="15"/>
        <v>0</v>
      </c>
      <c r="E66" s="136">
        <f t="shared" si="15"/>
        <v>-1510020.52</v>
      </c>
      <c r="F66" s="136">
        <f t="shared" si="15"/>
        <v>-6358013.6799999988</v>
      </c>
      <c r="G66" s="136">
        <f t="shared" si="15"/>
        <v>-10364577</v>
      </c>
      <c r="H66" s="136">
        <f t="shared" si="15"/>
        <v>-3178999.9999999995</v>
      </c>
      <c r="I66" s="136">
        <f t="shared" si="15"/>
        <v>0</v>
      </c>
      <c r="J66" s="136">
        <f t="shared" si="15"/>
        <v>0</v>
      </c>
      <c r="K66" s="136">
        <f t="shared" si="15"/>
        <v>-210924</v>
      </c>
      <c r="L66" s="136">
        <f t="shared" si="15"/>
        <v>0</v>
      </c>
      <c r="M66" s="136">
        <f t="shared" si="15"/>
        <v>-2600000</v>
      </c>
      <c r="N66" s="182">
        <v>-76430004</v>
      </c>
    </row>
    <row r="69" spans="1:20" ht="22" customHeight="1" x14ac:dyDescent="0.35">
      <c r="A69" s="422" t="s">
        <v>499</v>
      </c>
      <c r="B69" s="422"/>
      <c r="C69" s="422"/>
      <c r="D69" s="422"/>
      <c r="E69" s="422"/>
      <c r="F69" s="422"/>
      <c r="G69" s="422"/>
      <c r="H69" s="422"/>
      <c r="I69" s="422"/>
      <c r="J69" s="422"/>
      <c r="K69" s="422"/>
      <c r="L69" s="422"/>
      <c r="M69" s="422"/>
      <c r="N69" s="422"/>
      <c r="O69" s="422"/>
      <c r="P69" s="422"/>
      <c r="Q69" s="422"/>
      <c r="R69" s="422"/>
      <c r="S69" s="422"/>
      <c r="T69" s="422"/>
    </row>
    <row r="70" spans="1:20" x14ac:dyDescent="0.35">
      <c r="A70" s="167" t="s">
        <v>477</v>
      </c>
      <c r="B70" s="167" t="s">
        <v>181</v>
      </c>
      <c r="C70" s="167" t="s">
        <v>182</v>
      </c>
      <c r="D70" s="167" t="s">
        <v>183</v>
      </c>
      <c r="E70" s="167" t="s">
        <v>184</v>
      </c>
      <c r="F70" s="167" t="s">
        <v>185</v>
      </c>
      <c r="G70" s="167" t="s">
        <v>186</v>
      </c>
      <c r="H70" s="167" t="s">
        <v>187</v>
      </c>
      <c r="I70" s="167" t="s">
        <v>188</v>
      </c>
      <c r="J70" s="167" t="s">
        <v>189</v>
      </c>
      <c r="K70" s="167" t="s">
        <v>190</v>
      </c>
      <c r="L70" s="167" t="s">
        <v>191</v>
      </c>
      <c r="M70" s="167" t="s">
        <v>192</v>
      </c>
      <c r="N70" s="167" t="s">
        <v>193</v>
      </c>
      <c r="O70" s="167" t="s">
        <v>194</v>
      </c>
      <c r="P70" s="167" t="s">
        <v>195</v>
      </c>
      <c r="Q70" s="167" t="s">
        <v>196</v>
      </c>
      <c r="R70" s="167" t="s">
        <v>197</v>
      </c>
      <c r="S70" s="167" t="s">
        <v>198</v>
      </c>
      <c r="T70" s="167" t="s">
        <v>500</v>
      </c>
    </row>
    <row r="71" spans="1:20" ht="15" customHeight="1" x14ac:dyDescent="0.35">
      <c r="A71" s="2" t="s">
        <v>480</v>
      </c>
      <c r="B71" s="42">
        <f>IFERROR(SUMPRODUCT(('Production Inputs'!A:A="Drug Substance")*('Production Inputs'!B:B="ST Pharm (Oligo P1 F2)")*'Production Inputs'!D:D)*IFERROR(VLOOKUP("Drug Substance",$A$6:$E$20,4,0),0),0)</f>
        <v>0</v>
      </c>
      <c r="C71" s="42">
        <f>IFERROR(SUMPRODUCT(('Production Inputs'!A:A="Drug Substance")*('Production Inputs'!B:B="ST Pharm (Oligo P1 F2)")*'Production Inputs'!E:E)*IFERROR(VLOOKUP("Drug Substance",$A$6:$E$20,4,0),0),0)</f>
        <v>0</v>
      </c>
      <c r="D71" s="42">
        <f>IFERROR(SUMPRODUCT(('Production Inputs'!A:A="Drug Substance")*('Production Inputs'!B:B="ST Pharm (Oligo P1 F2)")*'Production Inputs'!F:F)*IFERROR(VLOOKUP("Drug Substance",$A$6:$E$20,4,0),0),0)</f>
        <v>0</v>
      </c>
      <c r="E71" s="42">
        <f>IFERROR(SUMPRODUCT(('Production Inputs'!A:A="Drug Substance")*('Production Inputs'!B:B="ST Pharm (Oligo P1 F2)")*'Production Inputs'!G:G)*IFERROR(VLOOKUP("Drug Substance",$A$6:$E$20,4,0),0),0)</f>
        <v>0</v>
      </c>
      <c r="F71" s="42">
        <f>IFERROR(SUMPRODUCT(('Production Inputs'!A:A="Drug Substance")*('Production Inputs'!B:B="ST Pharm (Oligo P1 F2)")*'Production Inputs'!H:H)*IFERROR(VLOOKUP("Drug Substance",$A$6:$E$20,4,0),0),0)</f>
        <v>0</v>
      </c>
      <c r="G71" s="42">
        <f>IFERROR(SUMPRODUCT(('Production Inputs'!A:A="Drug Substance")*('Production Inputs'!B:B="ST Pharm (Oligo P1 F2)")*'Production Inputs'!I:I)*IFERROR(VLOOKUP("Drug Substance",$A$6:$E$20,4,0),0),0)</f>
        <v>0</v>
      </c>
      <c r="H71" s="42">
        <f>IFERROR(SUMPRODUCT(('Production Inputs'!A:A="Drug Substance")*('Production Inputs'!B:B="ST Pharm (Oligo P1 F2)")*'Production Inputs'!J:J)*IFERROR(VLOOKUP("Drug Substance",$A$6:$E$20,4,0),0),0)</f>
        <v>0</v>
      </c>
      <c r="I71" s="42">
        <f>IFERROR(SUMPRODUCT(('Production Inputs'!A:A="Drug Substance")*('Production Inputs'!B:B="ST Pharm (Oligo P1 F2)")*'Production Inputs'!L:L)*IFERROR(VLOOKUP("Drug Substance",$A$6:$E$20,4,0),0),0)</f>
        <v>0</v>
      </c>
      <c r="J71" s="42">
        <f>IFERROR(SUMPRODUCT(('Production Inputs'!A:A="Drug Substance")*('Production Inputs'!B:B="ST Pharm (Oligo P1 F2)")*'Production Inputs'!M:M)*IFERROR(VLOOKUP("Drug Substance",$A$6:$E$20,4,0),0),0)</f>
        <v>0</v>
      </c>
      <c r="K71" s="42">
        <f>IFERROR(SUMPRODUCT(('Production Inputs'!A:A="Drug Substance")*('Production Inputs'!B:B="ST Pharm (Oligo P1 F2)")*'Production Inputs'!N:N)*IFERROR(VLOOKUP("Drug Substance",$A$6:$E$20,4,0),0),0)</f>
        <v>0</v>
      </c>
      <c r="L71" s="42">
        <f>IFERROR(SUMPRODUCT(('Production Inputs'!A:A="Drug Substance")*('Production Inputs'!B:B="ST Pharm (Oligo P1 F2)")*'Production Inputs'!O:O)*IFERROR(VLOOKUP("Drug Substance",$A$6:$E$20,4,0),0),0)</f>
        <v>5657999.9999999991</v>
      </c>
      <c r="M71" s="42">
        <f>IFERROR(SUMPRODUCT(('Production Inputs'!A:A="Drug Substance")*('Production Inputs'!B:B="ST Pharm (Oligo P1 F2)")*'Production Inputs'!P:P)*IFERROR(VLOOKUP("Drug Substance",$A$6:$E$20,4,0),0),0)</f>
        <v>8487000</v>
      </c>
      <c r="N71" s="42">
        <f>IFERROR(SUMPRODUCT(('Production Inputs'!A:A="Drug Substance")*('Production Inputs'!B:B="ST Pharm (Oligo P1 F2)")*'Production Inputs'!Q:Q)*IFERROR(VLOOKUP("Drug Substance",$A$6:$E$20,4,0),0),0)</f>
        <v>2828999.9999999995</v>
      </c>
      <c r="O71" s="42">
        <f>IFERROR(SUMPRODUCT(('Production Inputs'!A:A="Drug Substance")*('Production Inputs'!B:B="ST Pharm (Oligo P1 F2)")*'Production Inputs'!R:R)*IFERROR(VLOOKUP("Drug Substance",$A$6:$E$20,4,0),0),0)</f>
        <v>0</v>
      </c>
      <c r="P71" s="42">
        <f>IFERROR(SUMPRODUCT(('Production Inputs'!A:A="Drug Substance")*('Production Inputs'!B:B="ST Pharm (Oligo P1 F2)")*'Production Inputs'!S:S)*IFERROR(VLOOKUP("Drug Substance",$A$6:$E$20,4,0),0),0)</f>
        <v>0</v>
      </c>
      <c r="Q71" s="42">
        <f>IFERROR(SUMPRODUCT(('Production Inputs'!A:A="Drug Substance")*('Production Inputs'!B:B="ST Pharm (Oligo P1 F2)")*'Production Inputs'!T:T)*IFERROR(VLOOKUP("Drug Substance",$A$6:$E$20,4,0),0),0)</f>
        <v>0</v>
      </c>
      <c r="R71" s="42">
        <f>IFERROR(SUMPRODUCT(('Production Inputs'!A:A="Drug Substance")*('Production Inputs'!B:B="ST Pharm (Oligo P1 F2)")*'Production Inputs'!U:U)*IFERROR(VLOOKUP("Drug Substance",$A$6:$E$20,4,0),0),0)</f>
        <v>0</v>
      </c>
      <c r="S71" s="42">
        <f>IFERROR(SUMPRODUCT(('Production Inputs'!A:A="Drug Substance")*('Production Inputs'!B:B="ST Pharm (Oligo P1 F2)")*'Production Inputs'!V:V)*IFERROR(VLOOKUP("Drug Substance",$A$6:$E$20,4,0),0),0)</f>
        <v>0</v>
      </c>
      <c r="T71" s="43">
        <f t="shared" ref="T71:T80" si="16">SUM(B71:S71)</f>
        <v>16974000</v>
      </c>
    </row>
    <row r="72" spans="1:20" ht="15" customHeight="1" x14ac:dyDescent="0.35">
      <c r="A72" s="10" t="s">
        <v>481</v>
      </c>
      <c r="B72" s="44">
        <f>IFERROR(SUMPRODUCT(('Production Inputs'!A:A="APAD")*('Production Inputs'!B:B="ST Pharm")*'Production Inputs'!D:D)*IFERROR(VLOOKUP("APAD",$A$6:$E$20,4,0),0),0)</f>
        <v>0</v>
      </c>
      <c r="C72" s="44">
        <f>IFERROR(SUMPRODUCT(('Production Inputs'!A:A="APAD")*('Production Inputs'!B:B="ST Pharm")*'Production Inputs'!E:E)*IFERROR(VLOOKUP("APAD",$A$6:$E$20,4,0),0),0)</f>
        <v>0</v>
      </c>
      <c r="D72" s="44">
        <f>IFERROR(SUMPRODUCT(('Production Inputs'!A:A="APAD")*('Production Inputs'!B:B="ST Pharm")*'Production Inputs'!F:F)*IFERROR(VLOOKUP("APAD",$A$6:$E$20,4,0),0),0)</f>
        <v>0</v>
      </c>
      <c r="E72" s="44">
        <f>IFERROR(SUMPRODUCT(('Production Inputs'!A:A="APAD")*('Production Inputs'!B:B="ST Pharm")*'Production Inputs'!G:G)*IFERROR(VLOOKUP("APAD",$A$6:$E$20,4,0),0),0)</f>
        <v>0</v>
      </c>
      <c r="F72" s="44">
        <f>IFERROR(SUMPRODUCT(('Production Inputs'!A:A="APAD")*('Production Inputs'!B:B="ST Pharm")*'Production Inputs'!H:H)*IFERROR(VLOOKUP("APAD",$A$6:$E$20,4,0),0),0)</f>
        <v>0</v>
      </c>
      <c r="G72" s="44">
        <f>IFERROR(SUMPRODUCT(('Production Inputs'!A:A="APAD")*('Production Inputs'!B:B="ST Pharm")*'Production Inputs'!I:I)*IFERROR(VLOOKUP("APAD",$A$6:$E$20,4,0),0),0)</f>
        <v>0</v>
      </c>
      <c r="H72" s="44">
        <f>IFERROR(SUMPRODUCT(('Production Inputs'!A:A="APAD")*('Production Inputs'!B:B="ST Pharm")*'Production Inputs'!J:J)*IFERROR(VLOOKUP("APAD",$A$6:$E$20,4,0),0),0)</f>
        <v>0</v>
      </c>
      <c r="I72" s="44">
        <f>IFERROR(SUMPRODUCT(('Production Inputs'!A:A="APAD")*('Production Inputs'!B:B="ST Pharm")*'Production Inputs'!L:L)*IFERROR(VLOOKUP("APAD",$A$6:$E$20,4,0),0),0)</f>
        <v>0</v>
      </c>
      <c r="J72" s="44">
        <f>IFERROR(SUMPRODUCT(('Production Inputs'!A:A="APAD")*('Production Inputs'!B:B="ST Pharm")*'Production Inputs'!M:M)*IFERROR(VLOOKUP("APAD",$A$6:$E$20,4,0),0),0)</f>
        <v>0</v>
      </c>
      <c r="K72" s="44">
        <f>IFERROR(SUMPRODUCT(('Production Inputs'!A:A="APAD")*('Production Inputs'!B:B="ST Pharm")*'Production Inputs'!N:N)*IFERROR(VLOOKUP("APAD",$A$6:$E$20,4,0),0),0)</f>
        <v>0</v>
      </c>
      <c r="L72" s="44">
        <f>IFERROR(SUMPRODUCT(('Production Inputs'!A:A="APAD")*('Production Inputs'!B:B="ST Pharm")*'Production Inputs'!O:O)*IFERROR(VLOOKUP("APAD",$A$6:$E$20,4,0),0),0)</f>
        <v>0</v>
      </c>
      <c r="M72" s="44">
        <f>IFERROR(SUMPRODUCT(('Production Inputs'!A:A="APAD")*('Production Inputs'!B:B="ST Pharm")*'Production Inputs'!P:P)*IFERROR(VLOOKUP("APAD",$A$6:$E$20,4,0),0),0)</f>
        <v>0</v>
      </c>
      <c r="N72" s="44">
        <f>IFERROR(SUMPRODUCT(('Production Inputs'!A:A="APAD")*('Production Inputs'!B:B="ST Pharm")*'Production Inputs'!Q:Q)*IFERROR(VLOOKUP("APAD",$A$6:$E$20,4,0),0),0)</f>
        <v>0</v>
      </c>
      <c r="O72" s="44">
        <f>IFERROR(SUMPRODUCT(('Production Inputs'!A:A="APAD")*('Production Inputs'!B:B="ST Pharm")*'Production Inputs'!R:R)*IFERROR(VLOOKUP("APAD",$A$6:$E$20,4,0),0),0)</f>
        <v>0</v>
      </c>
      <c r="P72" s="44">
        <f>IFERROR(SUMPRODUCT(('Production Inputs'!A:A="APAD")*('Production Inputs'!B:B="ST Pharm")*'Production Inputs'!S:S)*IFERROR(VLOOKUP("APAD",$A$6:$E$20,4,0),0),0)</f>
        <v>0</v>
      </c>
      <c r="Q72" s="44">
        <f>IFERROR(SUMPRODUCT(('Production Inputs'!A:A="APAD")*('Production Inputs'!B:B="ST Pharm")*'Production Inputs'!T:T)*IFERROR(VLOOKUP("APAD",$A$6:$E$20,4,0),0),0)</f>
        <v>0</v>
      </c>
      <c r="R72" s="44">
        <f>IFERROR(SUMPRODUCT(('Production Inputs'!A:A="APAD")*('Production Inputs'!B:B="ST Pharm")*'Production Inputs'!U:U)*IFERROR(VLOOKUP("APAD",$A$6:$E$20,4,0),0),0)</f>
        <v>0</v>
      </c>
      <c r="S72" s="44">
        <f>IFERROR(SUMPRODUCT(('Production Inputs'!A:A="APAD")*('Production Inputs'!B:B="ST Pharm")*'Production Inputs'!V:V)*IFERROR(VLOOKUP("APAD",$A$6:$E$20,4,0),0),0)</f>
        <v>0</v>
      </c>
      <c r="T72" s="43">
        <f t="shared" si="16"/>
        <v>0</v>
      </c>
    </row>
    <row r="73" spans="1:20" ht="15" customHeight="1" x14ac:dyDescent="0.35">
      <c r="A73" s="2" t="s">
        <v>484</v>
      </c>
      <c r="B73" s="42">
        <f>IFERROR(SUMPRODUCT(('Production Inputs'!A:A="LLPS")*('Production Inputs'!B:B="Kinovate")*'Production Inputs'!D:D)*IFERROR(VLOOKUP("LLPS",$A$6:$E$20,4,0),0),0)</f>
        <v>0</v>
      </c>
      <c r="C73" s="42">
        <f>IFERROR(SUMPRODUCT(('Production Inputs'!A:A="LLPS")*('Production Inputs'!B:B="Kinovate")*'Production Inputs'!E:E)*IFERROR(VLOOKUP("LLPS",$A$6:$E$20,4,0),0),0)</f>
        <v>0</v>
      </c>
      <c r="D73" s="42">
        <f>IFERROR(SUMPRODUCT(('Production Inputs'!A:A="LLPS")*('Production Inputs'!B:B="Kinovate")*'Production Inputs'!F:F)*IFERROR(VLOOKUP("LLPS",$A$6:$E$20,4,0),0),0)</f>
        <v>0</v>
      </c>
      <c r="E73" s="42">
        <f>IFERROR(SUMPRODUCT(('Production Inputs'!A:A="LLPS")*('Production Inputs'!B:B="Kinovate")*'Production Inputs'!G:G)*IFERROR(VLOOKUP("LLPS",$A$6:$E$20,4,0),0),0)</f>
        <v>0</v>
      </c>
      <c r="F73" s="42">
        <f>IFERROR(SUMPRODUCT(('Production Inputs'!A:A="LLPS")*('Production Inputs'!B:B="Kinovate")*'Production Inputs'!H:H)*IFERROR(VLOOKUP("LLPS",$A$6:$E$20,4,0),0),0)</f>
        <v>0</v>
      </c>
      <c r="G73" s="42">
        <f>IFERROR(SUMPRODUCT(('Production Inputs'!A:A="LLPS")*('Production Inputs'!B:B="Kinovate")*'Production Inputs'!I:I)*IFERROR(VLOOKUP("LLPS",$A$6:$E$20,4,0),0),0)</f>
        <v>0</v>
      </c>
      <c r="H73" s="42">
        <f>IFERROR(SUMPRODUCT(('Production Inputs'!A:A="LLPS")*('Production Inputs'!B:B="Kinovate")*'Production Inputs'!J:J)*IFERROR(VLOOKUP("LLPS",$A$6:$E$20,4,0),0),0)</f>
        <v>0</v>
      </c>
      <c r="I73" s="42">
        <f>IFERROR(SUMPRODUCT(('Production Inputs'!A:A="LLPS")*('Production Inputs'!B:B="Kinovate")*'Production Inputs'!L:L)*IFERROR(VLOOKUP("LLPS",$A$6:$E$20,4,0),0),0)</f>
        <v>0</v>
      </c>
      <c r="J73" s="42">
        <f>IFERROR(SUMPRODUCT(('Production Inputs'!A:A="LLPS")*('Production Inputs'!B:B="Kinovate")*'Production Inputs'!M:M)*IFERROR(VLOOKUP("LLPS",$A$6:$E$20,4,0),0),0)</f>
        <v>0</v>
      </c>
      <c r="K73" s="42">
        <f>IFERROR(SUMPRODUCT(('Production Inputs'!A:A="LLPS")*('Production Inputs'!B:B="Kinovate")*'Production Inputs'!N:N)*IFERROR(VLOOKUP("LLPS",$A$6:$E$20,4,0),0),0)</f>
        <v>0</v>
      </c>
      <c r="L73" s="42">
        <f>IFERROR(SUMPRODUCT(('Production Inputs'!A:A="LLPS")*('Production Inputs'!B:B="Kinovate")*'Production Inputs'!O:O)*IFERROR(VLOOKUP("LLPS",$A$6:$E$20,4,0),0),0)</f>
        <v>0</v>
      </c>
      <c r="M73" s="42">
        <f>IFERROR(SUMPRODUCT(('Production Inputs'!A:A="LLPS")*('Production Inputs'!B:B="Kinovate")*'Production Inputs'!P:P)*IFERROR(VLOOKUP("LLPS",$A$6:$E$20,4,0),0),0)</f>
        <v>0</v>
      </c>
      <c r="N73" s="42">
        <f>IFERROR(SUMPRODUCT(('Production Inputs'!A:A="LLPS")*('Production Inputs'!B:B="Kinovate")*'Production Inputs'!Q:Q)*IFERROR(VLOOKUP("LLPS",$A$6:$E$20,4,0),0),0)</f>
        <v>0</v>
      </c>
      <c r="O73" s="42">
        <f>IFERROR(SUMPRODUCT(('Production Inputs'!A:A="LLPS")*('Production Inputs'!B:B="Kinovate")*'Production Inputs'!R:R)*IFERROR(VLOOKUP("LLPS",$A$6:$E$20,4,0),0),0)</f>
        <v>0</v>
      </c>
      <c r="P73" s="42">
        <f>IFERROR(SUMPRODUCT(('Production Inputs'!A:A="LLPS")*('Production Inputs'!B:B="Kinovate")*'Production Inputs'!S:S)*IFERROR(VLOOKUP("LLPS",$A$6:$E$20,4,0),0),0)</f>
        <v>0</v>
      </c>
      <c r="Q73" s="42">
        <f>IFERROR(SUMPRODUCT(('Production Inputs'!A:A="LLPS")*('Production Inputs'!B:B="Kinovate")*'Production Inputs'!T:T)*IFERROR(VLOOKUP("LLPS",$A$6:$E$20,4,0),0),0)</f>
        <v>0</v>
      </c>
      <c r="R73" s="42">
        <f>IFERROR(SUMPRODUCT(('Production Inputs'!A:A="LLPS")*('Production Inputs'!B:B="Kinovate")*'Production Inputs'!U:U)*IFERROR(VLOOKUP("LLPS",$A$6:$E$20,4,0),0),0)</f>
        <v>0</v>
      </c>
      <c r="S73" s="42">
        <f>IFERROR(SUMPRODUCT(('Production Inputs'!A:A="LLPS")*('Production Inputs'!B:B="Kinovate")*'Production Inputs'!V:V)*IFERROR(VLOOKUP("LLPS",$A$6:$E$20,4,0),0),0)</f>
        <v>2600</v>
      </c>
      <c r="T73" s="43">
        <f t="shared" si="16"/>
        <v>2600</v>
      </c>
    </row>
    <row r="74" spans="1:20" ht="15" customHeight="1" x14ac:dyDescent="0.35">
      <c r="A74" s="10" t="s">
        <v>501</v>
      </c>
      <c r="B74" s="44">
        <f>IFERROR(SUMPRODUCT(('Production Inputs'!A:A="200mg DP")*('Production Inputs'!B:B="Catalent")*'Production Inputs'!D:D)*IFERROR(VLOOKUP("200mg DP",$A$6:$E$20,4,0),0),0)</f>
        <v>0</v>
      </c>
      <c r="C74" s="44">
        <f>IFERROR(SUMPRODUCT(('Production Inputs'!A:A="200mg DP")*('Production Inputs'!B:B="Catalent")*'Production Inputs'!E:E)*IFERROR(VLOOKUP("200mg DP",$A$6:$E$20,4,0),0),0)</f>
        <v>0</v>
      </c>
      <c r="D74" s="44">
        <f>IFERROR(SUMPRODUCT(('Production Inputs'!A:A="200mg DP")*('Production Inputs'!B:B="Catalent")*'Production Inputs'!F:F)*IFERROR(VLOOKUP("200mg DP",$A$6:$E$20,4,0),0),0)</f>
        <v>0</v>
      </c>
      <c r="E74" s="44">
        <f>IFERROR(SUMPRODUCT(('Production Inputs'!A:A="200mg DP")*('Production Inputs'!B:B="Catalent")*'Production Inputs'!G:G)*IFERROR(VLOOKUP("200mg DP",$A$6:$E$20,4,0),0),0)</f>
        <v>0</v>
      </c>
      <c r="F74" s="44">
        <f>IFERROR(SUMPRODUCT(('Production Inputs'!A:A="200mg DP")*('Production Inputs'!B:B="Catalent")*'Production Inputs'!H:H)*IFERROR(VLOOKUP("200mg DP",$A$6:$E$20,4,0),0),0)</f>
        <v>0</v>
      </c>
      <c r="G74" s="44">
        <f>IFERROR(SUMPRODUCT(('Production Inputs'!A:A="200mg DP")*('Production Inputs'!B:B="Catalent")*'Production Inputs'!I:I)*IFERROR(VLOOKUP("200mg DP",$A$6:$E$20,4,0),0),0)</f>
        <v>0</v>
      </c>
      <c r="H74" s="44">
        <f>IFERROR(SUMPRODUCT(('Production Inputs'!A:A="200mg DP")*('Production Inputs'!B:B="Catalent")*'Production Inputs'!J:J)*IFERROR(VLOOKUP("200mg DP",$A$6:$E$20,4,0),0),0)</f>
        <v>0</v>
      </c>
      <c r="I74" s="44">
        <f>IFERROR(SUMPRODUCT(('Production Inputs'!A:A="200mg DP")*('Production Inputs'!B:B="Catalent")*'Production Inputs'!L:L)*IFERROR(VLOOKUP("200mg DP",$A$6:$E$20,4,0),0),0)</f>
        <v>0</v>
      </c>
      <c r="J74" s="44">
        <f>IFERROR(SUMPRODUCT(('Production Inputs'!A:A="200mg DP")*('Production Inputs'!B:B="Catalent")*'Production Inputs'!M:M)*IFERROR(VLOOKUP("200mg DP",$A$6:$E$20,4,0),0),0)</f>
        <v>0</v>
      </c>
      <c r="K74" s="44">
        <f>IFERROR(SUMPRODUCT(('Production Inputs'!A:A="200mg DP")*('Production Inputs'!B:B="Catalent")*'Production Inputs'!N:N)*IFERROR(VLOOKUP("200mg DP",$A$6:$E$20,4,0),0),0)</f>
        <v>4649400</v>
      </c>
      <c r="L74" s="44">
        <f>IFERROR(SUMPRODUCT(('Production Inputs'!A:A="200mg DP")*('Production Inputs'!B:B="Catalent")*'Production Inputs'!O:O)*IFERROR(VLOOKUP("200mg DP",$A$6:$E$20,4,0),0),0)</f>
        <v>0</v>
      </c>
      <c r="M74" s="44">
        <f>IFERROR(SUMPRODUCT(('Production Inputs'!A:A="200mg DP")*('Production Inputs'!B:B="Catalent")*'Production Inputs'!P:P)*IFERROR(VLOOKUP("200mg DP",$A$6:$E$20,4,0),0),0)</f>
        <v>4649400</v>
      </c>
      <c r="N74" s="44">
        <f>IFERROR(SUMPRODUCT(('Production Inputs'!A:A="200mg DP")*('Production Inputs'!B:B="Catalent")*'Production Inputs'!Q:Q)*IFERROR(VLOOKUP("200mg DP",$A$6:$E$20,4,0),0),0)</f>
        <v>0</v>
      </c>
      <c r="O74" s="44">
        <f>IFERROR(SUMPRODUCT(('Production Inputs'!A:A="200mg DP")*('Production Inputs'!B:B="Catalent")*'Production Inputs'!R:R)*IFERROR(VLOOKUP("200mg DP",$A$6:$E$20,4,0),0),0)</f>
        <v>0</v>
      </c>
      <c r="P74" s="44">
        <f>IFERROR(SUMPRODUCT(('Production Inputs'!A:A="200mg DP")*('Production Inputs'!B:B="Catalent")*'Production Inputs'!S:S)*IFERROR(VLOOKUP("200mg DP",$A$6:$E$20,4,0),0),0)</f>
        <v>0</v>
      </c>
      <c r="Q74" s="44">
        <f>IFERROR(SUMPRODUCT(('Production Inputs'!A:A="200mg DP")*('Production Inputs'!B:B="Catalent")*'Production Inputs'!T:T)*IFERROR(VLOOKUP("200mg DP",$A$6:$E$20,4,0),0),0)</f>
        <v>0</v>
      </c>
      <c r="R74" s="44">
        <f>IFERROR(SUMPRODUCT(('Production Inputs'!A:A="200mg DP")*('Production Inputs'!B:B="Catalent")*'Production Inputs'!U:U)*IFERROR(VLOOKUP("200mg DP",$A$6:$E$20,4,0),0),0)</f>
        <v>0</v>
      </c>
      <c r="S74" s="44">
        <f>IFERROR(SUMPRODUCT(('Production Inputs'!A:A="200mg DP")*('Production Inputs'!B:B="Catalent")*'Production Inputs'!V:V)*IFERROR(VLOOKUP("200mg DP",$A$6:$E$20,4,0),0),0)</f>
        <v>0</v>
      </c>
      <c r="T74" s="43">
        <f t="shared" si="16"/>
        <v>9298800</v>
      </c>
    </row>
    <row r="75" spans="1:20" ht="15" customHeight="1" x14ac:dyDescent="0.35">
      <c r="A75" s="2" t="s">
        <v>502</v>
      </c>
      <c r="B75" s="42">
        <f>IFERROR(SUMPRODUCT(('Production Inputs'!A:A="200mg DP")*('Production Inputs'!B:B="Patheon PDS-2")*'Production Inputs'!D:D)*IFERROR(VLOOKUP("200mg DP",$A$6:$E$20,4,0),0),0)</f>
        <v>0</v>
      </c>
      <c r="C75" s="42">
        <f>IFERROR(SUMPRODUCT(('Production Inputs'!A:A="200mg DP")*('Production Inputs'!B:B="Patheon PDS-2")*'Production Inputs'!E:E)*IFERROR(VLOOKUP("200mg DP",$A$6:$E$20,4,0),0),0)</f>
        <v>0</v>
      </c>
      <c r="D75" s="42">
        <f>IFERROR(SUMPRODUCT(('Production Inputs'!A:A="200mg DP")*('Production Inputs'!B:B="Patheon PDS-2")*'Production Inputs'!F:F)*IFERROR(VLOOKUP("200mg DP",$A$6:$E$20,4,0),0),0)</f>
        <v>0</v>
      </c>
      <c r="E75" s="42">
        <f>IFERROR(SUMPRODUCT(('Production Inputs'!A:A="200mg DP")*('Production Inputs'!B:B="Patheon PDS-2")*'Production Inputs'!G:G)*IFERROR(VLOOKUP("200mg DP",$A$6:$E$20,4,0),0),0)</f>
        <v>0</v>
      </c>
      <c r="F75" s="42">
        <f>IFERROR(SUMPRODUCT(('Production Inputs'!A:A="200mg DP")*('Production Inputs'!B:B="Patheon PDS-2")*'Production Inputs'!H:H)*IFERROR(VLOOKUP("200mg DP",$A$6:$E$20,4,0),0),0)</f>
        <v>0</v>
      </c>
      <c r="G75" s="42">
        <f>IFERROR(SUMPRODUCT(('Production Inputs'!A:A="200mg DP")*('Production Inputs'!B:B="Patheon PDS-2")*'Production Inputs'!I:I)*IFERROR(VLOOKUP("200mg DP",$A$6:$E$20,4,0),0),0)</f>
        <v>0</v>
      </c>
      <c r="H75" s="42">
        <f>IFERROR(SUMPRODUCT(('Production Inputs'!A:A="200mg DP")*('Production Inputs'!B:B="Patheon PDS-2")*'Production Inputs'!J:J)*IFERROR(VLOOKUP("200mg DP",$A$6:$E$20,4,0),0),0)</f>
        <v>0</v>
      </c>
      <c r="I75" s="42">
        <f>IFERROR(SUMPRODUCT(('Production Inputs'!A:A="200mg DP")*('Production Inputs'!B:B="Patheon PDS-2")*'Production Inputs'!L:L)*IFERROR(VLOOKUP("200mg DP",$A$6:$E$20,4,0),0),0)</f>
        <v>0</v>
      </c>
      <c r="J75" s="42">
        <f>IFERROR(SUMPRODUCT(('Production Inputs'!A:A="200mg DP")*('Production Inputs'!B:B="Patheon PDS-2")*'Production Inputs'!M:M)*IFERROR(VLOOKUP("200mg DP",$A$6:$E$20,4,0),0),0)</f>
        <v>0</v>
      </c>
      <c r="K75" s="42">
        <f>IFERROR(SUMPRODUCT(('Production Inputs'!A:A="200mg DP")*('Production Inputs'!B:B="Patheon PDS-2")*'Production Inputs'!N:N)*IFERROR(VLOOKUP("200mg DP",$A$6:$E$20,4,0),0),0)</f>
        <v>0</v>
      </c>
      <c r="L75" s="42">
        <f>IFERROR(SUMPRODUCT(('Production Inputs'!A:A="200mg DP")*('Production Inputs'!B:B="Patheon PDS-2")*'Production Inputs'!O:O)*IFERROR(VLOOKUP("200mg DP",$A$6:$E$20,4,0),0),0)</f>
        <v>0</v>
      </c>
      <c r="M75" s="42">
        <f>IFERROR(SUMPRODUCT(('Production Inputs'!A:A="200mg DP")*('Production Inputs'!B:B="Patheon PDS-2")*'Production Inputs'!P:P)*IFERROR(VLOOKUP("200mg DP",$A$6:$E$20,4,0),0),0)</f>
        <v>0</v>
      </c>
      <c r="N75" s="42">
        <f>IFERROR(SUMPRODUCT(('Production Inputs'!A:A="200mg DP")*('Production Inputs'!B:B="Patheon PDS-2")*'Production Inputs'!Q:Q)*IFERROR(VLOOKUP("200mg DP",$A$6:$E$20,4,0),0),0)</f>
        <v>0</v>
      </c>
      <c r="O75" s="42">
        <f>IFERROR(SUMPRODUCT(('Production Inputs'!A:A="200mg DP")*('Production Inputs'!B:B="Patheon PDS-2")*'Production Inputs'!R:R)*IFERROR(VLOOKUP("200mg DP",$A$6:$E$20,4,0),0),0)</f>
        <v>0</v>
      </c>
      <c r="P75" s="42">
        <f>IFERROR(SUMPRODUCT(('Production Inputs'!A:A="200mg DP")*('Production Inputs'!B:B="Patheon PDS-2")*'Production Inputs'!S:S)*IFERROR(VLOOKUP("200mg DP",$A$6:$E$20,4,0),0),0)</f>
        <v>0</v>
      </c>
      <c r="Q75" s="42">
        <f>IFERROR(SUMPRODUCT(('Production Inputs'!A:A="200mg DP")*('Production Inputs'!B:B="Patheon PDS-2")*'Production Inputs'!T:T)*IFERROR(VLOOKUP("200mg DP",$A$6:$E$20,4,0),0),0)</f>
        <v>0</v>
      </c>
      <c r="R75" s="42">
        <f>IFERROR(SUMPRODUCT(('Production Inputs'!A:A="200mg DP")*('Production Inputs'!B:B="Patheon PDS-2")*'Production Inputs'!U:U)*IFERROR(VLOOKUP("200mg DP",$A$6:$E$20,4,0),0),0)</f>
        <v>0</v>
      </c>
      <c r="S75" s="42">
        <f>IFERROR(SUMPRODUCT(('Production Inputs'!A:A="200mg DP")*('Production Inputs'!B:B="Patheon PDS-2")*'Production Inputs'!V:V)*IFERROR(VLOOKUP("200mg DP",$A$6:$E$20,4,0),0),0)</f>
        <v>0</v>
      </c>
      <c r="T75" s="43">
        <f t="shared" si="16"/>
        <v>0</v>
      </c>
    </row>
    <row r="76" spans="1:20" ht="15" customHeight="1" x14ac:dyDescent="0.35">
      <c r="A76" s="10" t="s">
        <v>503</v>
      </c>
      <c r="B76" s="44">
        <f>IFERROR(SUMPRODUCT(('Production Inputs'!A:A="200mg DP")*('Production Inputs'!B:B="Simtra")*'Production Inputs'!D:D)*IFERROR(VLOOKUP("200mg DP",$A$6:$E$20,4,0),0),0)</f>
        <v>0</v>
      </c>
      <c r="C76" s="44">
        <f>IFERROR(SUMPRODUCT(('Production Inputs'!A:A="200mg DP")*('Production Inputs'!B:B="Simtra")*'Production Inputs'!E:E)*IFERROR(VLOOKUP("200mg DP",$A$6:$E$20,4,0),0),0)</f>
        <v>0</v>
      </c>
      <c r="D76" s="44">
        <f>IFERROR(SUMPRODUCT(('Production Inputs'!A:A="200mg DP")*('Production Inputs'!B:B="Simtra")*'Production Inputs'!F:F)*IFERROR(VLOOKUP("200mg DP",$A$6:$E$20,4,0),0),0)</f>
        <v>0</v>
      </c>
      <c r="E76" s="44">
        <f>IFERROR(SUMPRODUCT(('Production Inputs'!A:A="200mg DP")*('Production Inputs'!B:B="Simtra")*'Production Inputs'!G:G)*IFERROR(VLOOKUP("200mg DP",$A$6:$E$20,4,0),0),0)</f>
        <v>0</v>
      </c>
      <c r="F76" s="44">
        <f>IFERROR(SUMPRODUCT(('Production Inputs'!A:A="200mg DP")*('Production Inputs'!B:B="Simtra")*'Production Inputs'!H:H)*IFERROR(VLOOKUP("200mg DP",$A$6:$E$20,4,0),0),0)</f>
        <v>0</v>
      </c>
      <c r="G76" s="44">
        <f>IFERROR(SUMPRODUCT(('Production Inputs'!A:A="200mg DP")*('Production Inputs'!B:B="Simtra")*'Production Inputs'!I:I)*IFERROR(VLOOKUP("200mg DP",$A$6:$E$20,4,0),0),0)</f>
        <v>0</v>
      </c>
      <c r="H76" s="44">
        <f>IFERROR(SUMPRODUCT(('Production Inputs'!A:A="200mg DP")*('Production Inputs'!B:B="Simtra")*'Production Inputs'!J:J)*IFERROR(VLOOKUP("200mg DP",$A$6:$E$20,4,0),0),0)</f>
        <v>0</v>
      </c>
      <c r="I76" s="44">
        <f>IFERROR(SUMPRODUCT(('Production Inputs'!A:A="200mg DP")*('Production Inputs'!B:B="Simtra")*'Production Inputs'!L:L)*IFERROR(VLOOKUP("200mg DP",$A$6:$E$20,4,0),0),0)</f>
        <v>0</v>
      </c>
      <c r="J76" s="44">
        <f>IFERROR(SUMPRODUCT(('Production Inputs'!A:A="200mg DP")*('Production Inputs'!B:B="Simtra")*'Production Inputs'!M:M)*IFERROR(VLOOKUP("200mg DP",$A$6:$E$20,4,0),0),0)</f>
        <v>0</v>
      </c>
      <c r="K76" s="44">
        <f>IFERROR(SUMPRODUCT(('Production Inputs'!A:A="200mg DP")*('Production Inputs'!B:B="Simtra")*'Production Inputs'!N:N)*IFERROR(VLOOKUP("200mg DP",$A$6:$E$20,4,0),0),0)</f>
        <v>0</v>
      </c>
      <c r="L76" s="44">
        <f>IFERROR(SUMPRODUCT(('Production Inputs'!A:A="200mg DP")*('Production Inputs'!B:B="Simtra")*'Production Inputs'!O:O)*IFERROR(VLOOKUP("200mg DP",$A$6:$E$20,4,0),0),0)</f>
        <v>0</v>
      </c>
      <c r="M76" s="44">
        <f>IFERROR(SUMPRODUCT(('Production Inputs'!A:A="200mg DP")*('Production Inputs'!B:B="Simtra")*'Production Inputs'!P:P)*IFERROR(VLOOKUP("200mg DP",$A$6:$E$20,4,0),0),0)</f>
        <v>0</v>
      </c>
      <c r="N76" s="44">
        <f>IFERROR(SUMPRODUCT(('Production Inputs'!A:A="200mg DP")*('Production Inputs'!B:B="Simtra")*'Production Inputs'!Q:Q)*IFERROR(VLOOKUP("200mg DP",$A$6:$E$20,4,0),0),0)</f>
        <v>0</v>
      </c>
      <c r="O76" s="44">
        <f>IFERROR(SUMPRODUCT(('Production Inputs'!A:A="200mg DP")*('Production Inputs'!B:B="Simtra")*'Production Inputs'!R:R)*IFERROR(VLOOKUP("200mg DP",$A$6:$E$20,4,0),0),0)</f>
        <v>0</v>
      </c>
      <c r="P76" s="44">
        <f>IFERROR(SUMPRODUCT(('Production Inputs'!A:A="200mg DP")*('Production Inputs'!B:B="Simtra")*'Production Inputs'!S:S)*IFERROR(VLOOKUP("200mg DP",$A$6:$E$20,4,0),0),0)</f>
        <v>0</v>
      </c>
      <c r="Q76" s="44">
        <f>IFERROR(SUMPRODUCT(('Production Inputs'!A:A="200mg DP")*('Production Inputs'!B:B="Simtra")*'Production Inputs'!T:T)*IFERROR(VLOOKUP("200mg DP",$A$6:$E$20,4,0),0),0)</f>
        <v>0</v>
      </c>
      <c r="R76" s="44">
        <f>IFERROR(SUMPRODUCT(('Production Inputs'!A:A="200mg DP")*('Production Inputs'!B:B="Simtra")*'Production Inputs'!U:U)*IFERROR(VLOOKUP("200mg DP",$A$6:$E$20,4,0),0),0)</f>
        <v>0</v>
      </c>
      <c r="S76" s="44">
        <f>IFERROR(SUMPRODUCT(('Production Inputs'!A:A="200mg DP")*('Production Inputs'!B:B="Simtra")*'Production Inputs'!V:V)*IFERROR(VLOOKUP("200mg DP",$A$6:$E$20,4,0),0),0)</f>
        <v>0</v>
      </c>
      <c r="T76" s="43">
        <f t="shared" si="16"/>
        <v>0</v>
      </c>
    </row>
    <row r="77" spans="1:20" ht="15" customHeight="1" x14ac:dyDescent="0.35">
      <c r="A77" s="2" t="s">
        <v>504</v>
      </c>
      <c r="B77" s="42">
        <f>IFERROR(SUMPRODUCT(('Production Inputs'!A:A="50mg DP")*('Production Inputs'!B:B="Patheon PDS-1")*'Production Inputs'!D:D)*IFERROR(VLOOKUP("50mg DP",$A$6:$E$20,4,0),0),0)</f>
        <v>0</v>
      </c>
      <c r="C77" s="42">
        <f>IFERROR(SUMPRODUCT(('Production Inputs'!A:A="50mg DP")*('Production Inputs'!B:B="Patheon PDS-1")*'Production Inputs'!E:E)*IFERROR(VLOOKUP("50mg DP",$A$6:$E$20,4,0),0),0)</f>
        <v>0</v>
      </c>
      <c r="D77" s="42">
        <f>IFERROR(SUMPRODUCT(('Production Inputs'!A:A="50mg DP")*('Production Inputs'!B:B="Patheon PDS-1")*'Production Inputs'!F:F)*IFERROR(VLOOKUP("50mg DP",$A$6:$E$20,4,0),0),0)</f>
        <v>0</v>
      </c>
      <c r="E77" s="42">
        <f>IFERROR(SUMPRODUCT(('Production Inputs'!A:A="50mg DP")*('Production Inputs'!B:B="Patheon PDS-1")*'Production Inputs'!G:G)*IFERROR(VLOOKUP("50mg DP",$A$6:$E$20,4,0),0),0)</f>
        <v>0</v>
      </c>
      <c r="F77" s="42">
        <f>IFERROR(SUMPRODUCT(('Production Inputs'!A:A="50mg DP")*('Production Inputs'!B:B="Patheon PDS-1")*'Production Inputs'!H:H)*IFERROR(VLOOKUP("50mg DP",$A$6:$E$20,4,0),0),0)</f>
        <v>0</v>
      </c>
      <c r="G77" s="42">
        <f>IFERROR(SUMPRODUCT(('Production Inputs'!A:A="50mg DP")*('Production Inputs'!B:B="Patheon PDS-1")*'Production Inputs'!I:I)*IFERROR(VLOOKUP("50mg DP",$A$6:$E$20,4,0),0),0)</f>
        <v>0</v>
      </c>
      <c r="H77" s="42">
        <f>IFERROR(SUMPRODUCT(('Production Inputs'!A:A="50mg DP")*('Production Inputs'!B:B="Patheon PDS-1")*'Production Inputs'!J:J)*IFERROR(VLOOKUP("50mg DP",$A$6:$E$20,4,0),0),0)</f>
        <v>0</v>
      </c>
      <c r="I77" s="42">
        <f>IFERROR(SUMPRODUCT(('Production Inputs'!A:A="50mg DP")*('Production Inputs'!B:B="Patheon PDS-1")*'Production Inputs'!L:L)*IFERROR(VLOOKUP("50mg DP",$A$6:$E$20,4,0),0),0)</f>
        <v>0</v>
      </c>
      <c r="J77" s="42">
        <f>IFERROR(SUMPRODUCT(('Production Inputs'!A:A="50mg DP")*('Production Inputs'!B:B="Patheon PDS-1")*'Production Inputs'!M:M)*IFERROR(VLOOKUP("50mg DP",$A$6:$E$20,4,0),0),0)</f>
        <v>0</v>
      </c>
      <c r="K77" s="42">
        <f>IFERROR(SUMPRODUCT(('Production Inputs'!A:A="50mg DP")*('Production Inputs'!B:B="Patheon PDS-1")*'Production Inputs'!N:N)*IFERROR(VLOOKUP("50mg DP",$A$6:$E$20,4,0),0),0)</f>
        <v>2120000</v>
      </c>
      <c r="L77" s="42">
        <f>IFERROR(SUMPRODUCT(('Production Inputs'!A:A="50mg DP")*('Production Inputs'!B:B="Patheon PDS-1")*'Production Inputs'!O:O)*IFERROR(VLOOKUP("50mg DP",$A$6:$E$20,4,0),0),0)</f>
        <v>2120000</v>
      </c>
      <c r="M77" s="42">
        <f>IFERROR(SUMPRODUCT(('Production Inputs'!A:A="50mg DP")*('Production Inputs'!B:B="Patheon PDS-1")*'Production Inputs'!P:P)*IFERROR(VLOOKUP("50mg DP",$A$6:$E$20,4,0),0),0)</f>
        <v>3180000</v>
      </c>
      <c r="N77" s="42">
        <f>IFERROR(SUMPRODUCT(('Production Inputs'!A:A="50mg DP")*('Production Inputs'!B:B="Patheon PDS-1")*'Production Inputs'!Q:Q)*IFERROR(VLOOKUP("50mg DP",$A$6:$E$20,4,0),0),0)</f>
        <v>1060000</v>
      </c>
      <c r="O77" s="42">
        <f>IFERROR(SUMPRODUCT(('Production Inputs'!A:A="50mg DP")*('Production Inputs'!B:B="Patheon PDS-1")*'Production Inputs'!R:R)*IFERROR(VLOOKUP("50mg DP",$A$6:$E$20,4,0),0),0)</f>
        <v>0</v>
      </c>
      <c r="P77" s="42">
        <f>IFERROR(SUMPRODUCT(('Production Inputs'!A:A="50mg DP")*('Production Inputs'!B:B="Patheon PDS-1")*'Production Inputs'!S:S)*IFERROR(VLOOKUP("50mg DP",$A$6:$E$20,4,0),0),0)</f>
        <v>0</v>
      </c>
      <c r="Q77" s="42">
        <f>IFERROR(SUMPRODUCT(('Production Inputs'!A:A="50mg DP")*('Production Inputs'!B:B="Patheon PDS-1")*'Production Inputs'!T:T)*IFERROR(VLOOKUP("50mg DP",$A$6:$E$20,4,0),0),0)</f>
        <v>0</v>
      </c>
      <c r="R77" s="42">
        <f>IFERROR(SUMPRODUCT(('Production Inputs'!A:A="50mg DP")*('Production Inputs'!B:B="Patheon PDS-1")*'Production Inputs'!U:U)*IFERROR(VLOOKUP("50mg DP",$A$6:$E$20,4,0),0),0)</f>
        <v>0</v>
      </c>
      <c r="S77" s="42">
        <f>IFERROR(SUMPRODUCT(('Production Inputs'!A:A="50mg DP")*('Production Inputs'!B:B="Patheon PDS-1")*'Production Inputs'!V:V)*IFERROR(VLOOKUP("50mg DP",$A$6:$E$20,4,0),0),0)</f>
        <v>0</v>
      </c>
      <c r="T77" s="43">
        <f t="shared" si="16"/>
        <v>8480000</v>
      </c>
    </row>
    <row r="78" spans="1:20" ht="15" customHeight="1" x14ac:dyDescent="0.35">
      <c r="A78" s="10" t="s">
        <v>505</v>
      </c>
      <c r="B78" s="44">
        <f>IFERROR(SUMPRODUCT(('Production Inputs'!A:A="50mg DP")*('Production Inputs'!B:B="Simtra")*'Production Inputs'!D:D)*IFERROR(VLOOKUP("50mg DP",$A$6:$E$20,4,0),0),0)</f>
        <v>0</v>
      </c>
      <c r="C78" s="44">
        <f>IFERROR(SUMPRODUCT(('Production Inputs'!A:A="50mg DP")*('Production Inputs'!B:B="Simtra")*'Production Inputs'!E:E)*IFERROR(VLOOKUP("50mg DP",$A$6:$E$20,4,0),0),0)</f>
        <v>0</v>
      </c>
      <c r="D78" s="44">
        <f>IFERROR(SUMPRODUCT(('Production Inputs'!A:A="50mg DP")*('Production Inputs'!B:B="Simtra")*'Production Inputs'!F:F)*IFERROR(VLOOKUP("50mg DP",$A$6:$E$20,4,0),0),0)</f>
        <v>0</v>
      </c>
      <c r="E78" s="44">
        <f>IFERROR(SUMPRODUCT(('Production Inputs'!A:A="50mg DP")*('Production Inputs'!B:B="Simtra")*'Production Inputs'!G:G)*IFERROR(VLOOKUP("50mg DP",$A$6:$E$20,4,0),0),0)</f>
        <v>0</v>
      </c>
      <c r="F78" s="44">
        <f>IFERROR(SUMPRODUCT(('Production Inputs'!A:A="50mg DP")*('Production Inputs'!B:B="Simtra")*'Production Inputs'!H:H)*IFERROR(VLOOKUP("50mg DP",$A$6:$E$20,4,0),0),0)</f>
        <v>0</v>
      </c>
      <c r="G78" s="44">
        <f>IFERROR(SUMPRODUCT(('Production Inputs'!A:A="50mg DP")*('Production Inputs'!B:B="Simtra")*'Production Inputs'!I:I)*IFERROR(VLOOKUP("50mg DP",$A$6:$E$20,4,0),0),0)</f>
        <v>0</v>
      </c>
      <c r="H78" s="44">
        <f>IFERROR(SUMPRODUCT(('Production Inputs'!A:A="50mg DP")*('Production Inputs'!B:B="Simtra")*'Production Inputs'!J:J)*IFERROR(VLOOKUP("50mg DP",$A$6:$E$20,4,0),0),0)</f>
        <v>0</v>
      </c>
      <c r="I78" s="44">
        <f>IFERROR(SUMPRODUCT(('Production Inputs'!A:A="50mg DP")*('Production Inputs'!B:B="Simtra")*'Production Inputs'!L:L)*IFERROR(VLOOKUP("50mg DP",$A$6:$E$20,4,0),0),0)</f>
        <v>0</v>
      </c>
      <c r="J78" s="44">
        <f>IFERROR(SUMPRODUCT(('Production Inputs'!A:A="50mg DP")*('Production Inputs'!B:B="Simtra")*'Production Inputs'!M:M)*IFERROR(VLOOKUP("50mg DP",$A$6:$E$20,4,0),0),0)</f>
        <v>0</v>
      </c>
      <c r="K78" s="44">
        <f>IFERROR(SUMPRODUCT(('Production Inputs'!A:A="50mg DP")*('Production Inputs'!B:B="Simtra")*'Production Inputs'!N:N)*IFERROR(VLOOKUP("50mg DP",$A$6:$E$20,4,0),0),0)</f>
        <v>0</v>
      </c>
      <c r="L78" s="44">
        <f>IFERROR(SUMPRODUCT(('Production Inputs'!A:A="50mg DP")*('Production Inputs'!B:B="Simtra")*'Production Inputs'!O:O)*IFERROR(VLOOKUP("50mg DP",$A$6:$E$20,4,0),0),0)</f>
        <v>0</v>
      </c>
      <c r="M78" s="44">
        <f>IFERROR(SUMPRODUCT(('Production Inputs'!A:A="50mg DP")*('Production Inputs'!B:B="Simtra")*'Production Inputs'!P:P)*IFERROR(VLOOKUP("50mg DP",$A$6:$E$20,4,0),0),0)</f>
        <v>0</v>
      </c>
      <c r="N78" s="44">
        <f>IFERROR(SUMPRODUCT(('Production Inputs'!A:A="50mg DP")*('Production Inputs'!B:B="Simtra")*'Production Inputs'!Q:Q)*IFERROR(VLOOKUP("50mg DP",$A$6:$E$20,4,0),0),0)</f>
        <v>0</v>
      </c>
      <c r="O78" s="44">
        <f>IFERROR(SUMPRODUCT(('Production Inputs'!A:A="50mg DP")*('Production Inputs'!B:B="Simtra")*'Production Inputs'!R:R)*IFERROR(VLOOKUP("50mg DP",$A$6:$E$20,4,0),0),0)</f>
        <v>0</v>
      </c>
      <c r="P78" s="44">
        <f>IFERROR(SUMPRODUCT(('Production Inputs'!A:A="50mg DP")*('Production Inputs'!B:B="Simtra")*'Production Inputs'!S:S)*IFERROR(VLOOKUP("50mg DP",$A$6:$E$20,4,0),0),0)</f>
        <v>0</v>
      </c>
      <c r="Q78" s="44">
        <f>IFERROR(SUMPRODUCT(('Production Inputs'!A:A="50mg DP")*('Production Inputs'!B:B="Simtra")*'Production Inputs'!T:T)*IFERROR(VLOOKUP("50mg DP",$A$6:$E$20,4,0),0),0)</f>
        <v>0</v>
      </c>
      <c r="R78" s="44">
        <f>IFERROR(SUMPRODUCT(('Production Inputs'!A:A="50mg DP")*('Production Inputs'!B:B="Simtra")*'Production Inputs'!U:U)*IFERROR(VLOOKUP("50mg DP",$A$6:$E$20,4,0),0),0)</f>
        <v>0</v>
      </c>
      <c r="S78" s="44">
        <f>IFERROR(SUMPRODUCT(('Production Inputs'!A:A="50mg DP")*('Production Inputs'!B:B="Simtra")*'Production Inputs'!V:V)*IFERROR(VLOOKUP("50mg DP",$A$6:$E$20,4,0),0),0)</f>
        <v>0</v>
      </c>
      <c r="T78" s="43">
        <f t="shared" si="16"/>
        <v>0</v>
      </c>
    </row>
    <row r="79" spans="1:20" ht="15" customHeight="1" x14ac:dyDescent="0.35">
      <c r="A79" s="2" t="s">
        <v>506</v>
      </c>
      <c r="B79" s="42">
        <f>IFERROR(SUMPRODUCT(('Production Inputs'!A:A="188mg LP")*('Production Inputs'!B:B="Fisher / ThermoFisher Allentown")*'Production Inputs'!D:D)*IFERROR(VLOOKUP("188mg LP",$A$6:$E$20,4,0),0),0)</f>
        <v>0</v>
      </c>
      <c r="C79" s="42">
        <f>IFERROR(SUMPRODUCT(('Production Inputs'!A:A="188mg LP")*('Production Inputs'!B:B="Fisher / ThermoFisher Allentown")*'Production Inputs'!E:E)*IFERROR(VLOOKUP("188mg LP",$A$6:$E$20,4,0),0),0)</f>
        <v>0</v>
      </c>
      <c r="D79" s="42">
        <f>IFERROR(SUMPRODUCT(('Production Inputs'!A:A="188mg LP")*('Production Inputs'!B:B="Fisher / ThermoFisher Allentown")*'Production Inputs'!F:F)*IFERROR(VLOOKUP("188mg LP",$A$6:$E$20,4,0),0),0)</f>
        <v>0</v>
      </c>
      <c r="E79" s="42">
        <f>IFERROR(SUMPRODUCT(('Production Inputs'!A:A="188mg LP")*('Production Inputs'!B:B="Fisher / ThermoFisher Allentown")*'Production Inputs'!G:G)*IFERROR(VLOOKUP("188mg LP",$A$6:$E$20,4,0),0),0)</f>
        <v>0</v>
      </c>
      <c r="F79" s="42">
        <f>IFERROR(SUMPRODUCT(('Production Inputs'!A:A="188mg LP")*('Production Inputs'!B:B="Fisher / ThermoFisher Allentown")*'Production Inputs'!H:H)*IFERROR(VLOOKUP("188mg LP",$A$6:$E$20,4,0),0),0)</f>
        <v>0</v>
      </c>
      <c r="G79" s="42">
        <f>IFERROR(SUMPRODUCT(('Production Inputs'!A:A="188mg LP")*('Production Inputs'!B:B="Fisher / ThermoFisher Allentown")*'Production Inputs'!I:I)*IFERROR(VLOOKUP("188mg LP",$A$6:$E$20,4,0),0),0)</f>
        <v>0</v>
      </c>
      <c r="H79" s="42">
        <f>IFERROR(SUMPRODUCT(('Production Inputs'!A:A="188mg LP")*('Production Inputs'!B:B="Fisher / ThermoFisher Allentown")*'Production Inputs'!J:J)*IFERROR(VLOOKUP("188mg LP",$A$6:$E$20,4,0),0),0)</f>
        <v>0</v>
      </c>
      <c r="I79" s="42">
        <f>IFERROR(SUMPRODUCT(('Production Inputs'!A:A="188mg LP")*('Production Inputs'!B:B="Fisher / ThermoFisher Allentown")*'Production Inputs'!L:L)*IFERROR(VLOOKUP("188mg LP",$A$6:$E$20,4,0),0),0)</f>
        <v>0</v>
      </c>
      <c r="J79" s="42">
        <f>IFERROR(SUMPRODUCT(('Production Inputs'!A:A="188mg LP")*('Production Inputs'!B:B="Fisher / ThermoFisher Allentown")*'Production Inputs'!M:M)*IFERROR(VLOOKUP("188mg LP",$A$6:$E$20,4,0),0),0)</f>
        <v>0</v>
      </c>
      <c r="K79" s="42">
        <f>IFERROR(SUMPRODUCT(('Production Inputs'!A:A="188mg LP")*('Production Inputs'!B:B="Fisher / ThermoFisher Allentown")*'Production Inputs'!N:N)*IFERROR(VLOOKUP("188mg LP",$A$6:$E$20,4,0),0),0)</f>
        <v>0</v>
      </c>
      <c r="L79" s="42">
        <f>IFERROR(SUMPRODUCT(('Production Inputs'!A:A="188mg LP")*('Production Inputs'!B:B="Fisher / ThermoFisher Allentown")*'Production Inputs'!O:O)*IFERROR(VLOOKUP("188mg LP",$A$6:$E$20,4,0),0),0)</f>
        <v>0</v>
      </c>
      <c r="M79" s="42">
        <f>IFERROR(SUMPRODUCT(('Production Inputs'!A:A="188mg LP")*('Production Inputs'!B:B="Fisher / ThermoFisher Allentown")*'Production Inputs'!P:P)*IFERROR(VLOOKUP("188mg LP",$A$6:$E$20,4,0),0),0)</f>
        <v>0</v>
      </c>
      <c r="N79" s="42">
        <f>IFERROR(SUMPRODUCT(('Production Inputs'!A:A="188mg LP")*('Production Inputs'!B:B="Fisher / ThermoFisher Allentown")*'Production Inputs'!Q:Q)*IFERROR(VLOOKUP("188mg LP",$A$6:$E$20,4,0),0),0)</f>
        <v>0</v>
      </c>
      <c r="O79" s="42">
        <f>IFERROR(SUMPRODUCT(('Production Inputs'!A:A="188mg LP")*('Production Inputs'!B:B="Fisher / ThermoFisher Allentown")*'Production Inputs'!R:R)*IFERROR(VLOOKUP("188mg LP",$A$6:$E$20,4,0),0),0)</f>
        <v>0</v>
      </c>
      <c r="P79" s="42">
        <f>IFERROR(SUMPRODUCT(('Production Inputs'!A:A="188mg LP")*('Production Inputs'!B:B="Fisher / ThermoFisher Allentown")*'Production Inputs'!S:S)*IFERROR(VLOOKUP("188mg LP",$A$6:$E$20,4,0),0),0)</f>
        <v>0</v>
      </c>
      <c r="Q79" s="42">
        <f>IFERROR(SUMPRODUCT(('Production Inputs'!A:A="188mg LP")*('Production Inputs'!B:B="Fisher / ThermoFisher Allentown")*'Production Inputs'!T:T)*IFERROR(VLOOKUP("188mg LP",$A$6:$E$20,4,0),0),0)</f>
        <v>0</v>
      </c>
      <c r="R79" s="42">
        <f>IFERROR(SUMPRODUCT(('Production Inputs'!A:A="188mg LP")*('Production Inputs'!B:B="Fisher / ThermoFisher Allentown")*'Production Inputs'!U:U)*IFERROR(VLOOKUP("188mg LP",$A$6:$E$20,4,0),0),0)</f>
        <v>0</v>
      </c>
      <c r="S79" s="42">
        <f>IFERROR(SUMPRODUCT(('Production Inputs'!A:A="188mg LP")*('Production Inputs'!B:B="Fisher / ThermoFisher Allentown")*'Production Inputs'!V:V)*IFERROR(VLOOKUP("188mg LP",$A$6:$E$20,4,0),0),0)</f>
        <v>0</v>
      </c>
      <c r="T79" s="43">
        <f t="shared" si="16"/>
        <v>0</v>
      </c>
    </row>
    <row r="80" spans="1:20" ht="15" customHeight="1" x14ac:dyDescent="0.35">
      <c r="A80" s="10" t="s">
        <v>507</v>
      </c>
      <c r="B80" s="44">
        <f>IFERROR(SUMPRODUCT(('Production Inputs'!A:A="47mg LP")*('Production Inputs'!B:B="Fisher / ThermoFisher Allentown")*'Production Inputs'!D:D)*IFERROR(VLOOKUP("47mg LP",$A$6:$E$20,4,0),0),0)</f>
        <v>0</v>
      </c>
      <c r="C80" s="44">
        <f>IFERROR(SUMPRODUCT(('Production Inputs'!A:A="47mg LP")*('Production Inputs'!B:B="Fisher / ThermoFisher Allentown")*'Production Inputs'!E:E)*IFERROR(VLOOKUP("47mg LP",$A$6:$E$20,4,0),0),0)</f>
        <v>0</v>
      </c>
      <c r="D80" s="44">
        <f>IFERROR(SUMPRODUCT(('Production Inputs'!A:A="47mg LP")*('Production Inputs'!B:B="Fisher / ThermoFisher Allentown")*'Production Inputs'!F:F)*IFERROR(VLOOKUP("47mg LP",$A$6:$E$20,4,0),0),0)</f>
        <v>0</v>
      </c>
      <c r="E80" s="44">
        <f>IFERROR(SUMPRODUCT(('Production Inputs'!A:A="47mg LP")*('Production Inputs'!B:B="Fisher / ThermoFisher Allentown")*'Production Inputs'!G:G)*IFERROR(VLOOKUP("47mg LP",$A$6:$E$20,4,0),0),0)</f>
        <v>0</v>
      </c>
      <c r="F80" s="44">
        <f>IFERROR(SUMPRODUCT(('Production Inputs'!A:A="47mg LP")*('Production Inputs'!B:B="Fisher / ThermoFisher Allentown")*'Production Inputs'!H:H)*IFERROR(VLOOKUP("47mg LP",$A$6:$E$20,4,0),0),0)</f>
        <v>0</v>
      </c>
      <c r="G80" s="44">
        <f>IFERROR(SUMPRODUCT(('Production Inputs'!A:A="47mg LP")*('Production Inputs'!B:B="Fisher / ThermoFisher Allentown")*'Production Inputs'!I:I)*IFERROR(VLOOKUP("47mg LP",$A$6:$E$20,4,0),0),0)</f>
        <v>0</v>
      </c>
      <c r="H80" s="44">
        <f>IFERROR(SUMPRODUCT(('Production Inputs'!A:A="47mg LP")*('Production Inputs'!B:B="Fisher / ThermoFisher Allentown")*'Production Inputs'!J:J)*IFERROR(VLOOKUP("47mg LP",$A$6:$E$20,4,0),0),0)</f>
        <v>0</v>
      </c>
      <c r="I80" s="44">
        <f>IFERROR(SUMPRODUCT(('Production Inputs'!A:A="47mg LP")*('Production Inputs'!B:B="Fisher / ThermoFisher Allentown")*'Production Inputs'!L:L)*IFERROR(VLOOKUP("47mg LP",$A$6:$E$20,4,0),0),0)</f>
        <v>0</v>
      </c>
      <c r="J80" s="44">
        <f>IFERROR(SUMPRODUCT(('Production Inputs'!A:A="47mg LP")*('Production Inputs'!B:B="Fisher / ThermoFisher Allentown")*'Production Inputs'!M:M)*IFERROR(VLOOKUP("47mg LP",$A$6:$E$20,4,0),0),0)</f>
        <v>0</v>
      </c>
      <c r="K80" s="44">
        <f>IFERROR(SUMPRODUCT(('Production Inputs'!A:A="47mg LP")*('Production Inputs'!B:B="Fisher / ThermoFisher Allentown")*'Production Inputs'!N:N)*IFERROR(VLOOKUP("47mg LP",$A$6:$E$20,4,0),0),0)</f>
        <v>0</v>
      </c>
      <c r="L80" s="44">
        <f>IFERROR(SUMPRODUCT(('Production Inputs'!A:A="47mg LP")*('Production Inputs'!B:B="Fisher / ThermoFisher Allentown")*'Production Inputs'!O:O)*IFERROR(VLOOKUP("47mg LP",$A$6:$E$20,4,0),0),0)</f>
        <v>0</v>
      </c>
      <c r="M80" s="44">
        <f>IFERROR(SUMPRODUCT(('Production Inputs'!A:A="47mg LP")*('Production Inputs'!B:B="Fisher / ThermoFisher Allentown")*'Production Inputs'!P:P)*IFERROR(VLOOKUP("47mg LP",$A$6:$E$20,4,0),0),0)</f>
        <v>0</v>
      </c>
      <c r="N80" s="44">
        <f>IFERROR(SUMPRODUCT(('Production Inputs'!A:A="47mg LP")*('Production Inputs'!B:B="Fisher / ThermoFisher Allentown")*'Production Inputs'!Q:Q)*IFERROR(VLOOKUP("47mg LP",$A$6:$E$20,4,0),0),0)</f>
        <v>0</v>
      </c>
      <c r="O80" s="44">
        <f>IFERROR(SUMPRODUCT(('Production Inputs'!A:A="47mg LP")*('Production Inputs'!B:B="Fisher / ThermoFisher Allentown")*'Production Inputs'!R:R)*IFERROR(VLOOKUP("47mg LP",$A$6:$E$20,4,0),0),0)</f>
        <v>0</v>
      </c>
      <c r="P80" s="44">
        <f>IFERROR(SUMPRODUCT(('Production Inputs'!A:A="47mg LP")*('Production Inputs'!B:B="Fisher / ThermoFisher Allentown")*'Production Inputs'!S:S)*IFERROR(VLOOKUP("47mg LP",$A$6:$E$20,4,0),0),0)</f>
        <v>0</v>
      </c>
      <c r="Q80" s="44">
        <f>IFERROR(SUMPRODUCT(('Production Inputs'!A:A="47mg LP")*('Production Inputs'!B:B="Fisher / ThermoFisher Allentown")*'Production Inputs'!T:T)*IFERROR(VLOOKUP("47mg LP",$A$6:$E$20,4,0),0),0)</f>
        <v>0</v>
      </c>
      <c r="R80" s="44">
        <f>IFERROR(SUMPRODUCT(('Production Inputs'!A:A="47mg LP")*('Production Inputs'!B:B="Fisher / ThermoFisher Allentown")*'Production Inputs'!U:U)*IFERROR(VLOOKUP("47mg LP",$A$6:$E$20,4,0),0),0)</f>
        <v>0</v>
      </c>
      <c r="S80" s="44">
        <f>IFERROR(SUMPRODUCT(('Production Inputs'!A:A="47mg LP")*('Production Inputs'!B:B="Fisher / ThermoFisher Allentown")*'Production Inputs'!V:V)*IFERROR(VLOOKUP("47mg LP",$A$6:$E$20,4,0),0),0)</f>
        <v>0</v>
      </c>
      <c r="T80" s="43">
        <f t="shared" si="16"/>
        <v>0</v>
      </c>
    </row>
  </sheetData>
  <mergeCells count="7">
    <mergeCell ref="A1:G1"/>
    <mergeCell ref="A20:N20"/>
    <mergeCell ref="A36:N36"/>
    <mergeCell ref="A52:N52"/>
    <mergeCell ref="A69:T69"/>
    <mergeCell ref="A4:G4"/>
    <mergeCell ref="A2:G2"/>
  </mergeCells>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U28"/>
  <sheetViews>
    <sheetView showGridLines="0" zoomScale="55" zoomScaleNormal="55" workbookViewId="0">
      <pane ySplit="4" topLeftCell="A10" activePane="bottomLeft" state="frozen"/>
      <selection pane="bottomLeft" activeCell="K20" sqref="K20"/>
    </sheetView>
  </sheetViews>
  <sheetFormatPr defaultRowHeight="14.5" x14ac:dyDescent="0.35"/>
  <cols>
    <col min="1" max="1" width="31.36328125" bestFit="1" customWidth="1"/>
    <col min="2" max="2" width="28.54296875" bestFit="1" customWidth="1"/>
    <col min="3" max="4" width="11.81640625" bestFit="1" customWidth="1"/>
    <col min="5" max="5" width="11.6328125" bestFit="1" customWidth="1"/>
    <col min="6" max="6" width="10.81640625" bestFit="1" customWidth="1"/>
    <col min="7" max="7" width="8.54296875" bestFit="1" customWidth="1"/>
    <col min="8" max="8" width="11.6328125" bestFit="1" customWidth="1"/>
    <col min="9" max="9" width="10.81640625" bestFit="1" customWidth="1"/>
    <col min="10" max="10" width="9.54296875" bestFit="1" customWidth="1"/>
    <col min="11" max="12" width="15" customWidth="1"/>
    <col min="13" max="13" width="16.453125" bestFit="1" customWidth="1"/>
    <col min="14" max="14" width="11.6328125" bestFit="1" customWidth="1"/>
    <col min="15" max="15" width="10.81640625" bestFit="1" customWidth="1"/>
    <col min="16" max="16" width="8.54296875" bestFit="1" customWidth="1"/>
    <col min="17" max="17" width="11.6328125" bestFit="1" customWidth="1"/>
    <col min="18" max="18" width="10.81640625" bestFit="1" customWidth="1"/>
    <col min="19" max="19" width="8.54296875" bestFit="1" customWidth="1"/>
    <col min="20" max="20" width="11.6328125" bestFit="1" customWidth="1"/>
    <col min="21" max="21" width="17.08984375" bestFit="1" customWidth="1"/>
  </cols>
  <sheetData>
    <row r="1" spans="1:21" ht="20" customHeight="1" x14ac:dyDescent="0.35">
      <c r="A1" s="396" t="s">
        <v>508</v>
      </c>
      <c r="B1" s="395"/>
      <c r="C1" s="395"/>
      <c r="D1" s="395"/>
      <c r="E1" s="395"/>
      <c r="F1" s="395"/>
      <c r="G1" s="395"/>
      <c r="H1" s="395"/>
      <c r="I1" s="395"/>
      <c r="J1" s="395"/>
      <c r="K1" s="395"/>
      <c r="L1" s="395"/>
      <c r="M1" s="395"/>
      <c r="N1" s="395"/>
      <c r="O1" s="395"/>
      <c r="P1" s="395"/>
    </row>
    <row r="2" spans="1:21" x14ac:dyDescent="0.35">
      <c r="A2" s="403" t="s">
        <v>509</v>
      </c>
      <c r="B2" s="395"/>
      <c r="C2" s="395"/>
      <c r="D2" s="395"/>
      <c r="E2" s="395"/>
      <c r="F2" s="395"/>
      <c r="G2" s="395"/>
      <c r="H2" s="395"/>
      <c r="I2" s="395"/>
      <c r="J2" s="395"/>
      <c r="K2" s="395"/>
      <c r="L2" s="395"/>
      <c r="M2" s="395"/>
      <c r="N2" s="395"/>
      <c r="O2" s="395"/>
      <c r="P2" s="395"/>
    </row>
    <row r="3" spans="1:21" ht="20" customHeight="1" x14ac:dyDescent="0.35">
      <c r="A3" s="427" t="s">
        <v>510</v>
      </c>
      <c r="B3" s="395"/>
      <c r="C3" s="395"/>
      <c r="D3" s="395"/>
      <c r="E3" s="395"/>
      <c r="F3" s="395"/>
      <c r="G3" s="395"/>
      <c r="H3" s="395"/>
      <c r="I3" s="395"/>
      <c r="J3" s="395"/>
      <c r="K3" s="395"/>
      <c r="L3" s="395"/>
      <c r="M3" s="395"/>
      <c r="N3" s="395"/>
      <c r="O3" s="395"/>
      <c r="P3" s="395"/>
    </row>
    <row r="4" spans="1:21" ht="32" customHeight="1" x14ac:dyDescent="0.35">
      <c r="A4" s="18" t="s">
        <v>511</v>
      </c>
      <c r="B4" s="18" t="s">
        <v>2</v>
      </c>
      <c r="C4" s="18" t="s">
        <v>17</v>
      </c>
      <c r="D4" s="18" t="s">
        <v>24</v>
      </c>
      <c r="E4" s="52" t="s">
        <v>512</v>
      </c>
      <c r="F4" s="52" t="s">
        <v>513</v>
      </c>
      <c r="G4" s="77" t="s">
        <v>514</v>
      </c>
      <c r="H4" s="77" t="s">
        <v>515</v>
      </c>
      <c r="I4" s="77" t="s">
        <v>516</v>
      </c>
      <c r="J4" s="78" t="s">
        <v>517</v>
      </c>
      <c r="K4" s="18" t="s">
        <v>518</v>
      </c>
      <c r="L4" s="18" t="s">
        <v>519</v>
      </c>
      <c r="M4" s="18" t="s">
        <v>520</v>
      </c>
      <c r="N4" s="18" t="s">
        <v>521</v>
      </c>
      <c r="O4" s="18" t="s">
        <v>522</v>
      </c>
    </row>
    <row r="5" spans="1:21" ht="16" customHeight="1" x14ac:dyDescent="0.35">
      <c r="A5" s="53" t="s">
        <v>37</v>
      </c>
      <c r="B5" s="54" t="s">
        <v>36</v>
      </c>
      <c r="C5" s="58">
        <v>9</v>
      </c>
      <c r="D5" s="58">
        <v>3</v>
      </c>
      <c r="E5" s="59">
        <v>1</v>
      </c>
      <c r="F5" s="59">
        <v>1</v>
      </c>
      <c r="G5" s="59">
        <v>0.75</v>
      </c>
      <c r="H5" s="59">
        <v>0.5</v>
      </c>
      <c r="I5" s="59">
        <v>0.25</v>
      </c>
      <c r="J5" s="59">
        <v>0</v>
      </c>
      <c r="K5" s="67" t="s">
        <v>523</v>
      </c>
      <c r="L5" s="57" t="s">
        <v>30</v>
      </c>
      <c r="M5" s="57"/>
      <c r="N5" s="8" t="str">
        <f t="shared" ref="N5:N13" ca="1" si="0">IF(AND(OR(L5="",L5&lt;=TODAY()),OR(M5="",M5&gt;=TODAY())),"Active","Inactive")</f>
        <v>Inactive</v>
      </c>
      <c r="O5" s="56" t="s">
        <v>524</v>
      </c>
    </row>
    <row r="6" spans="1:21" ht="16" customHeight="1" x14ac:dyDescent="0.35">
      <c r="A6" s="61" t="s">
        <v>40</v>
      </c>
      <c r="B6" s="62" t="s">
        <v>36</v>
      </c>
      <c r="C6" s="58">
        <v>9</v>
      </c>
      <c r="D6" s="58">
        <v>3</v>
      </c>
      <c r="E6" s="59">
        <v>1</v>
      </c>
      <c r="F6" s="59">
        <v>0.75</v>
      </c>
      <c r="G6" s="59">
        <v>0.5</v>
      </c>
      <c r="H6" s="59">
        <v>0</v>
      </c>
      <c r="I6" s="59">
        <v>0</v>
      </c>
      <c r="J6" s="59">
        <v>0</v>
      </c>
      <c r="K6" s="69" t="s">
        <v>525</v>
      </c>
      <c r="L6" s="57" t="s">
        <v>32</v>
      </c>
      <c r="M6" s="57"/>
      <c r="N6" s="8" t="str">
        <f t="shared" ca="1" si="0"/>
        <v>Inactive</v>
      </c>
      <c r="O6" s="56" t="s">
        <v>524</v>
      </c>
    </row>
    <row r="7" spans="1:21" ht="16" customHeight="1" x14ac:dyDescent="0.35">
      <c r="A7" s="53" t="s">
        <v>44</v>
      </c>
      <c r="B7" s="54" t="s">
        <v>43</v>
      </c>
      <c r="C7" s="58">
        <v>9</v>
      </c>
      <c r="D7" s="58">
        <v>3</v>
      </c>
      <c r="E7" s="59">
        <v>1</v>
      </c>
      <c r="F7" s="59">
        <v>0.75</v>
      </c>
      <c r="G7" s="59">
        <v>0.5</v>
      </c>
      <c r="H7" s="59">
        <v>0</v>
      </c>
      <c r="I7" s="59">
        <v>0</v>
      </c>
      <c r="J7" s="59">
        <v>0</v>
      </c>
      <c r="K7" s="67" t="s">
        <v>526</v>
      </c>
      <c r="L7" s="57" t="s">
        <v>30</v>
      </c>
      <c r="M7" s="57"/>
      <c r="N7" s="8" t="str">
        <f t="shared" ca="1" si="0"/>
        <v>Inactive</v>
      </c>
      <c r="O7" s="56" t="s">
        <v>524</v>
      </c>
    </row>
    <row r="8" spans="1:21" ht="16" customHeight="1" x14ac:dyDescent="0.35">
      <c r="A8" s="61" t="s">
        <v>27</v>
      </c>
      <c r="B8" s="62" t="s">
        <v>527</v>
      </c>
      <c r="C8" s="58">
        <v>9</v>
      </c>
      <c r="D8" s="58">
        <v>2</v>
      </c>
      <c r="E8" s="59">
        <v>1</v>
      </c>
      <c r="F8" s="59">
        <v>0.75</v>
      </c>
      <c r="G8" s="59">
        <v>0.5</v>
      </c>
      <c r="H8" s="59">
        <v>0</v>
      </c>
      <c r="I8" s="59">
        <v>0</v>
      </c>
      <c r="J8" s="59">
        <v>0</v>
      </c>
      <c r="K8" s="69" t="s">
        <v>528</v>
      </c>
      <c r="L8" s="57" t="s">
        <v>30</v>
      </c>
      <c r="M8" s="57"/>
      <c r="N8" s="8" t="str">
        <f t="shared" ca="1" si="0"/>
        <v>Inactive</v>
      </c>
      <c r="O8" s="56" t="s">
        <v>524</v>
      </c>
    </row>
    <row r="9" spans="1:21" ht="16" customHeight="1" x14ac:dyDescent="0.35">
      <c r="A9" s="53" t="s">
        <v>46</v>
      </c>
      <c r="B9" s="54" t="s">
        <v>45</v>
      </c>
      <c r="C9" s="58">
        <v>18</v>
      </c>
      <c r="D9" s="58">
        <v>6</v>
      </c>
      <c r="E9" s="59">
        <v>0.75</v>
      </c>
      <c r="F9" s="59">
        <v>0.75</v>
      </c>
      <c r="G9" s="59">
        <v>0.25</v>
      </c>
      <c r="H9" s="59">
        <v>0.1</v>
      </c>
      <c r="I9" s="59">
        <v>0</v>
      </c>
      <c r="J9" s="59">
        <v>0</v>
      </c>
      <c r="K9" s="67" t="s">
        <v>529</v>
      </c>
      <c r="L9" s="57" t="s">
        <v>30</v>
      </c>
      <c r="M9" s="57"/>
      <c r="N9" s="8" t="str">
        <f t="shared" ca="1" si="0"/>
        <v>Inactive</v>
      </c>
      <c r="O9" s="56" t="s">
        <v>524</v>
      </c>
    </row>
    <row r="10" spans="1:21" ht="16" customHeight="1" x14ac:dyDescent="0.35">
      <c r="A10" s="61" t="s">
        <v>55</v>
      </c>
      <c r="B10" s="62" t="s">
        <v>530</v>
      </c>
      <c r="C10" s="58">
        <v>12</v>
      </c>
      <c r="D10" s="58">
        <v>3</v>
      </c>
      <c r="E10" s="59">
        <v>1</v>
      </c>
      <c r="F10" s="59">
        <v>1</v>
      </c>
      <c r="G10" s="59">
        <v>1</v>
      </c>
      <c r="H10" s="59">
        <v>1</v>
      </c>
      <c r="I10" s="59">
        <v>0.25</v>
      </c>
      <c r="J10" s="59">
        <v>0</v>
      </c>
      <c r="K10" s="69" t="s">
        <v>531</v>
      </c>
      <c r="L10" s="57" t="s">
        <v>30</v>
      </c>
      <c r="M10" s="57"/>
      <c r="N10" s="8" t="str">
        <f t="shared" ca="1" si="0"/>
        <v>Inactive</v>
      </c>
      <c r="O10" s="56" t="s">
        <v>524</v>
      </c>
    </row>
    <row r="11" spans="1:21" ht="16" customHeight="1" x14ac:dyDescent="0.35">
      <c r="A11" s="53" t="s">
        <v>41</v>
      </c>
      <c r="B11" s="54" t="s">
        <v>532</v>
      </c>
      <c r="C11" s="58">
        <v>9</v>
      </c>
      <c r="D11" s="58">
        <v>2</v>
      </c>
      <c r="E11" s="59">
        <v>0</v>
      </c>
      <c r="F11" s="59">
        <v>0</v>
      </c>
      <c r="G11" s="59">
        <v>0</v>
      </c>
      <c r="H11" s="59">
        <v>0</v>
      </c>
      <c r="I11" s="59">
        <v>0</v>
      </c>
      <c r="J11" s="59">
        <v>0</v>
      </c>
      <c r="K11" s="67" t="s">
        <v>533</v>
      </c>
      <c r="L11" s="57" t="s">
        <v>42</v>
      </c>
      <c r="M11" s="57"/>
      <c r="N11" s="8" t="str">
        <f t="shared" ca="1" si="0"/>
        <v>Inactive</v>
      </c>
      <c r="O11" s="56" t="s">
        <v>524</v>
      </c>
    </row>
    <row r="12" spans="1:21" ht="16" customHeight="1" x14ac:dyDescent="0.35">
      <c r="A12" s="61" t="s">
        <v>51</v>
      </c>
      <c r="B12" s="62" t="s">
        <v>50</v>
      </c>
      <c r="C12" s="58">
        <v>12</v>
      </c>
      <c r="D12" s="58">
        <v>2</v>
      </c>
      <c r="E12" s="59">
        <v>1</v>
      </c>
      <c r="F12" s="59">
        <v>1</v>
      </c>
      <c r="G12" s="59">
        <v>1</v>
      </c>
      <c r="H12" s="59">
        <v>1</v>
      </c>
      <c r="I12" s="59">
        <v>0</v>
      </c>
      <c r="J12" s="59">
        <v>0</v>
      </c>
      <c r="K12" s="69" t="s">
        <v>534</v>
      </c>
      <c r="L12" s="57" t="s">
        <v>30</v>
      </c>
      <c r="M12" s="57"/>
      <c r="N12" s="8" t="str">
        <f t="shared" ca="1" si="0"/>
        <v>Inactive</v>
      </c>
      <c r="O12" s="56" t="s">
        <v>524</v>
      </c>
    </row>
    <row r="13" spans="1:21" ht="16" customHeight="1" x14ac:dyDescent="0.35">
      <c r="A13" s="53" t="s">
        <v>53</v>
      </c>
      <c r="B13" s="54" t="s">
        <v>535</v>
      </c>
      <c r="C13" s="58">
        <v>12</v>
      </c>
      <c r="D13" s="58">
        <v>3</v>
      </c>
      <c r="E13" s="59">
        <v>1</v>
      </c>
      <c r="F13" s="59">
        <v>1</v>
      </c>
      <c r="G13" s="59">
        <v>1</v>
      </c>
      <c r="H13" s="59">
        <v>1</v>
      </c>
      <c r="I13" s="59">
        <v>0.25</v>
      </c>
      <c r="J13" s="59">
        <v>0</v>
      </c>
      <c r="K13" s="67" t="s">
        <v>536</v>
      </c>
      <c r="L13" s="57" t="s">
        <v>30</v>
      </c>
      <c r="M13" s="57"/>
      <c r="N13" s="8" t="str">
        <f t="shared" ca="1" si="0"/>
        <v>Inactive</v>
      </c>
      <c r="O13" s="56" t="s">
        <v>524</v>
      </c>
    </row>
    <row r="16" spans="1:21" ht="20" customHeight="1" x14ac:dyDescent="0.35">
      <c r="A16" s="428" t="s">
        <v>537</v>
      </c>
      <c r="B16" s="428"/>
      <c r="C16" s="428"/>
      <c r="D16" s="428"/>
      <c r="E16" s="428"/>
      <c r="F16" s="428"/>
      <c r="G16" s="428"/>
      <c r="H16" s="428"/>
      <c r="I16" s="428"/>
      <c r="J16" s="428"/>
      <c r="K16" s="428"/>
      <c r="L16" s="428"/>
      <c r="M16" s="428"/>
      <c r="N16" s="428"/>
      <c r="O16" s="428"/>
      <c r="P16" s="428"/>
      <c r="Q16" s="428"/>
      <c r="R16" s="428"/>
      <c r="S16" s="428"/>
      <c r="T16" s="428"/>
      <c r="U16" s="428"/>
    </row>
    <row r="17" spans="1:21" ht="22" customHeight="1" x14ac:dyDescent="0.35">
      <c r="A17" s="27" t="s">
        <v>384</v>
      </c>
      <c r="B17" s="27" t="s">
        <v>2</v>
      </c>
      <c r="C17" s="111" t="s">
        <v>538</v>
      </c>
      <c r="D17" s="112" t="s">
        <v>539</v>
      </c>
      <c r="E17" s="112" t="s">
        <v>540</v>
      </c>
      <c r="F17" s="111" t="s">
        <v>541</v>
      </c>
      <c r="G17" s="112" t="s">
        <v>539</v>
      </c>
      <c r="H17" s="112" t="s">
        <v>540</v>
      </c>
      <c r="I17" s="111" t="s">
        <v>542</v>
      </c>
      <c r="J17" s="112" t="s">
        <v>539</v>
      </c>
      <c r="K17" s="112" t="s">
        <v>540</v>
      </c>
      <c r="L17" s="111" t="s">
        <v>543</v>
      </c>
      <c r="M17" s="112" t="s">
        <v>539</v>
      </c>
      <c r="N17" s="112" t="s">
        <v>540</v>
      </c>
      <c r="O17" s="111" t="s">
        <v>544</v>
      </c>
      <c r="P17" s="112" t="s">
        <v>539</v>
      </c>
      <c r="Q17" s="112" t="s">
        <v>540</v>
      </c>
      <c r="R17" s="111" t="s">
        <v>545</v>
      </c>
      <c r="S17" s="112" t="s">
        <v>539</v>
      </c>
      <c r="T17" s="112" t="s">
        <v>540</v>
      </c>
      <c r="U17" s="113" t="s">
        <v>546</v>
      </c>
    </row>
    <row r="18" spans="1:21" ht="16" customHeight="1" x14ac:dyDescent="0.35">
      <c r="A18" s="10" t="s">
        <v>37</v>
      </c>
      <c r="B18" s="114" t="s">
        <v>36</v>
      </c>
      <c r="C18" s="137">
        <f>IFERROR('Cost Inputs'!B74+'Cost Inputs'!C74+'Cost Inputs'!D74,0)</f>
        <v>0</v>
      </c>
      <c r="D18" s="116">
        <f t="shared" ref="D18:D26" si="1">E5</f>
        <v>1</v>
      </c>
      <c r="E18" s="117">
        <f t="shared" ref="E18:E26" si="2">C18*D18</f>
        <v>0</v>
      </c>
      <c r="F18" s="137">
        <f>IFERROR('Cost Inputs'!E74+'Cost Inputs'!F74+'Cost Inputs'!G74,0)</f>
        <v>0</v>
      </c>
      <c r="G18" s="116">
        <f t="shared" ref="G18:G26" si="3">F5</f>
        <v>1</v>
      </c>
      <c r="H18" s="117">
        <f t="shared" ref="H18:H26" si="4">F18*G18</f>
        <v>0</v>
      </c>
      <c r="I18" s="137">
        <f>IFERROR('Cost Inputs'!H74+'Cost Inputs'!I74+'Cost Inputs'!J74,0)</f>
        <v>0</v>
      </c>
      <c r="J18" s="116">
        <f t="shared" ref="J18:J26" si="5">G5</f>
        <v>0.75</v>
      </c>
      <c r="K18" s="117">
        <f t="shared" ref="K18:K26" si="6">I18*J18</f>
        <v>0</v>
      </c>
      <c r="L18" s="137">
        <f>IFERROR('Cost Inputs'!K74+'Cost Inputs'!L74+'Cost Inputs'!M74,0)</f>
        <v>9298800</v>
      </c>
      <c r="M18" s="116">
        <f t="shared" ref="M18:M26" si="7">H5</f>
        <v>0.5</v>
      </c>
      <c r="N18" s="117">
        <f t="shared" ref="N18:N26" si="8">L18*M18</f>
        <v>4649400</v>
      </c>
      <c r="O18" s="137">
        <f>IFERROR('Cost Inputs'!N74+'Cost Inputs'!O74+'Cost Inputs'!P74,0)</f>
        <v>0</v>
      </c>
      <c r="P18" s="116">
        <f t="shared" ref="P18:P26" si="9">I5</f>
        <v>0.25</v>
      </c>
      <c r="Q18" s="117">
        <f t="shared" ref="Q18:Q26" si="10">O18*P18</f>
        <v>0</v>
      </c>
      <c r="R18" s="137">
        <f>IFERROR('Cost Inputs'!Q74+'Cost Inputs'!R74+'Cost Inputs'!S74,0)</f>
        <v>0</v>
      </c>
      <c r="S18" s="116">
        <f t="shared" ref="S18:S26" si="11">J5</f>
        <v>0</v>
      </c>
      <c r="T18" s="117">
        <f t="shared" ref="T18:T26" si="12">R18*S18</f>
        <v>0</v>
      </c>
      <c r="U18" s="118">
        <f t="shared" ref="U18:U26" si="13">E18+H18+K18+N18+Q18+T18</f>
        <v>4649400</v>
      </c>
    </row>
    <row r="19" spans="1:21" ht="16" customHeight="1" x14ac:dyDescent="0.35">
      <c r="A19" s="53" t="s">
        <v>40</v>
      </c>
      <c r="B19" s="119" t="s">
        <v>36</v>
      </c>
      <c r="C19" s="137">
        <f>IFERROR('Cost Inputs'!B75+'Cost Inputs'!C75+'Cost Inputs'!D75,0)</f>
        <v>0</v>
      </c>
      <c r="D19" s="116">
        <f t="shared" si="1"/>
        <v>1</v>
      </c>
      <c r="E19" s="117">
        <f t="shared" si="2"/>
        <v>0</v>
      </c>
      <c r="F19" s="137">
        <f>IFERROR('Cost Inputs'!E75+'Cost Inputs'!F75+'Cost Inputs'!G75,0)</f>
        <v>0</v>
      </c>
      <c r="G19" s="116">
        <f t="shared" si="3"/>
        <v>0.75</v>
      </c>
      <c r="H19" s="117">
        <f t="shared" si="4"/>
        <v>0</v>
      </c>
      <c r="I19" s="137">
        <f>IFERROR('Cost Inputs'!H75+'Cost Inputs'!I75+'Cost Inputs'!J75,0)</f>
        <v>0</v>
      </c>
      <c r="J19" s="116">
        <f t="shared" si="5"/>
        <v>0.5</v>
      </c>
      <c r="K19" s="117">
        <f t="shared" si="6"/>
        <v>0</v>
      </c>
      <c r="L19" s="137">
        <f>IFERROR('Cost Inputs'!K75+'Cost Inputs'!L75+'Cost Inputs'!M75,0)</f>
        <v>0</v>
      </c>
      <c r="M19" s="116">
        <f t="shared" si="7"/>
        <v>0</v>
      </c>
      <c r="N19" s="117">
        <f t="shared" si="8"/>
        <v>0</v>
      </c>
      <c r="O19" s="137">
        <f>IFERROR('Cost Inputs'!N75+'Cost Inputs'!O75+'Cost Inputs'!P75,0)</f>
        <v>0</v>
      </c>
      <c r="P19" s="116">
        <f t="shared" si="9"/>
        <v>0</v>
      </c>
      <c r="Q19" s="117">
        <f t="shared" si="10"/>
        <v>0</v>
      </c>
      <c r="R19" s="137">
        <f>IFERROR('Cost Inputs'!Q75+'Cost Inputs'!R75+'Cost Inputs'!S75,0)</f>
        <v>0</v>
      </c>
      <c r="S19" s="116">
        <f t="shared" si="11"/>
        <v>0</v>
      </c>
      <c r="T19" s="117">
        <f t="shared" si="12"/>
        <v>0</v>
      </c>
      <c r="U19" s="118">
        <f t="shared" si="13"/>
        <v>0</v>
      </c>
    </row>
    <row r="20" spans="1:21" ht="16" customHeight="1" x14ac:dyDescent="0.35">
      <c r="A20" s="61" t="s">
        <v>44</v>
      </c>
      <c r="B20" s="114" t="s">
        <v>43</v>
      </c>
      <c r="C20" s="137">
        <f>IFERROR('Cost Inputs'!B77+'Cost Inputs'!C77+'Cost Inputs'!D77,0)</f>
        <v>0</v>
      </c>
      <c r="D20" s="116">
        <f t="shared" si="1"/>
        <v>1</v>
      </c>
      <c r="E20" s="117">
        <f t="shared" si="2"/>
        <v>0</v>
      </c>
      <c r="F20" s="137">
        <f>IFERROR('Cost Inputs'!E77+'Cost Inputs'!F77+'Cost Inputs'!G77,0)</f>
        <v>0</v>
      </c>
      <c r="G20" s="116">
        <f t="shared" si="3"/>
        <v>0.75</v>
      </c>
      <c r="H20" s="117">
        <f t="shared" si="4"/>
        <v>0</v>
      </c>
      <c r="I20" s="137">
        <f>IFERROR('Cost Inputs'!H77+'Cost Inputs'!I77+'Cost Inputs'!J77,0)</f>
        <v>0</v>
      </c>
      <c r="J20" s="116">
        <f t="shared" si="5"/>
        <v>0.5</v>
      </c>
      <c r="K20" s="117">
        <f t="shared" si="6"/>
        <v>0</v>
      </c>
      <c r="L20" s="137">
        <f>IFERROR('Cost Inputs'!K77+'Cost Inputs'!L77+'Cost Inputs'!M77,0)</f>
        <v>7420000</v>
      </c>
      <c r="M20" s="116">
        <f t="shared" si="7"/>
        <v>0</v>
      </c>
      <c r="N20" s="117">
        <f t="shared" si="8"/>
        <v>0</v>
      </c>
      <c r="O20" s="137">
        <f>IFERROR('Cost Inputs'!N77+'Cost Inputs'!O77+'Cost Inputs'!P77,0)</f>
        <v>1060000</v>
      </c>
      <c r="P20" s="116">
        <f t="shared" si="9"/>
        <v>0</v>
      </c>
      <c r="Q20" s="117">
        <f t="shared" si="10"/>
        <v>0</v>
      </c>
      <c r="R20" s="137">
        <f>IFERROR('Cost Inputs'!Q77+'Cost Inputs'!R77+'Cost Inputs'!S77,0)</f>
        <v>0</v>
      </c>
      <c r="S20" s="116">
        <f t="shared" si="11"/>
        <v>0</v>
      </c>
      <c r="T20" s="117">
        <f t="shared" si="12"/>
        <v>0</v>
      </c>
      <c r="U20" s="118">
        <f t="shared" si="13"/>
        <v>0</v>
      </c>
    </row>
    <row r="21" spans="1:21" ht="16" customHeight="1" x14ac:dyDescent="0.35">
      <c r="A21" s="53" t="s">
        <v>27</v>
      </c>
      <c r="B21" s="119" t="s">
        <v>527</v>
      </c>
      <c r="C21" s="137">
        <f>IFERROR('Cost Inputs'!B79+'Cost Inputs'!C79+'Cost Inputs'!D79,0)</f>
        <v>0</v>
      </c>
      <c r="D21" s="116">
        <f t="shared" si="1"/>
        <v>1</v>
      </c>
      <c r="E21" s="117">
        <f t="shared" si="2"/>
        <v>0</v>
      </c>
      <c r="F21" s="137">
        <f>IFERROR('Cost Inputs'!E79+'Cost Inputs'!F79+'Cost Inputs'!G79,0)</f>
        <v>0</v>
      </c>
      <c r="G21" s="116">
        <f t="shared" si="3"/>
        <v>0.75</v>
      </c>
      <c r="H21" s="117">
        <f t="shared" si="4"/>
        <v>0</v>
      </c>
      <c r="I21" s="137">
        <f>IFERROR('Cost Inputs'!H79+'Cost Inputs'!I79+'Cost Inputs'!J79,0)</f>
        <v>0</v>
      </c>
      <c r="J21" s="116">
        <f t="shared" si="5"/>
        <v>0.5</v>
      </c>
      <c r="K21" s="117">
        <f t="shared" si="6"/>
        <v>0</v>
      </c>
      <c r="L21" s="137">
        <f>IFERROR('Cost Inputs'!K79+'Cost Inputs'!L79+'Cost Inputs'!M79,0)</f>
        <v>0</v>
      </c>
      <c r="M21" s="116">
        <f t="shared" si="7"/>
        <v>0</v>
      </c>
      <c r="N21" s="117">
        <f t="shared" si="8"/>
        <v>0</v>
      </c>
      <c r="O21" s="137">
        <f>IFERROR('Cost Inputs'!N79+'Cost Inputs'!O79+'Cost Inputs'!P79,0)</f>
        <v>0</v>
      </c>
      <c r="P21" s="116">
        <f t="shared" si="9"/>
        <v>0</v>
      </c>
      <c r="Q21" s="117">
        <f t="shared" si="10"/>
        <v>0</v>
      </c>
      <c r="R21" s="137">
        <f>IFERROR('Cost Inputs'!Q79+'Cost Inputs'!R79+'Cost Inputs'!S79,0)</f>
        <v>0</v>
      </c>
      <c r="S21" s="116">
        <f t="shared" si="11"/>
        <v>0</v>
      </c>
      <c r="T21" s="117">
        <f t="shared" si="12"/>
        <v>0</v>
      </c>
      <c r="U21" s="118">
        <f t="shared" si="13"/>
        <v>0</v>
      </c>
    </row>
    <row r="22" spans="1:21" ht="16" customHeight="1" x14ac:dyDescent="0.35">
      <c r="A22" s="61" t="s">
        <v>46</v>
      </c>
      <c r="B22" s="114" t="s">
        <v>45</v>
      </c>
      <c r="C22" s="137">
        <f>IFERROR('Cost Inputs'!B71+'Cost Inputs'!C71+'Cost Inputs'!D71,0)</f>
        <v>0</v>
      </c>
      <c r="D22" s="116">
        <f t="shared" si="1"/>
        <v>0.75</v>
      </c>
      <c r="E22" s="117">
        <f t="shared" si="2"/>
        <v>0</v>
      </c>
      <c r="F22" s="137">
        <f>IFERROR('Cost Inputs'!E71+'Cost Inputs'!F71+'Cost Inputs'!G71,0)</f>
        <v>0</v>
      </c>
      <c r="G22" s="116">
        <f t="shared" si="3"/>
        <v>0.75</v>
      </c>
      <c r="H22" s="117">
        <f t="shared" si="4"/>
        <v>0</v>
      </c>
      <c r="I22" s="137">
        <f>IFERROR('Cost Inputs'!H71+'Cost Inputs'!I71+'Cost Inputs'!J71,0)</f>
        <v>0</v>
      </c>
      <c r="J22" s="116">
        <f t="shared" si="5"/>
        <v>0.25</v>
      </c>
      <c r="K22" s="117">
        <f t="shared" si="6"/>
        <v>0</v>
      </c>
      <c r="L22" s="137">
        <f>IFERROR('Cost Inputs'!K71+'Cost Inputs'!L71+'Cost Inputs'!M71,0)</f>
        <v>14145000</v>
      </c>
      <c r="M22" s="116">
        <f t="shared" si="7"/>
        <v>0.1</v>
      </c>
      <c r="N22" s="117">
        <f t="shared" si="8"/>
        <v>1414500</v>
      </c>
      <c r="O22" s="137">
        <f>IFERROR('Cost Inputs'!N71+'Cost Inputs'!O71+'Cost Inputs'!P71,0)</f>
        <v>2828999.9999999995</v>
      </c>
      <c r="P22" s="116">
        <f t="shared" si="9"/>
        <v>0</v>
      </c>
      <c r="Q22" s="117">
        <f t="shared" si="10"/>
        <v>0</v>
      </c>
      <c r="R22" s="137">
        <f>IFERROR('Cost Inputs'!Q71+'Cost Inputs'!R71+'Cost Inputs'!S71,0)</f>
        <v>0</v>
      </c>
      <c r="S22" s="116">
        <f t="shared" si="11"/>
        <v>0</v>
      </c>
      <c r="T22" s="117">
        <f t="shared" si="12"/>
        <v>0</v>
      </c>
      <c r="U22" s="118">
        <f t="shared" si="13"/>
        <v>1414500</v>
      </c>
    </row>
    <row r="23" spans="1:21" ht="16" customHeight="1" x14ac:dyDescent="0.35">
      <c r="A23" s="53" t="s">
        <v>55</v>
      </c>
      <c r="B23" s="119" t="s">
        <v>530</v>
      </c>
      <c r="C23" s="137">
        <f>IFERROR('Cost Inputs'!B72+'Cost Inputs'!C72+'Cost Inputs'!D72,0)</f>
        <v>0</v>
      </c>
      <c r="D23" s="116">
        <f t="shared" si="1"/>
        <v>1</v>
      </c>
      <c r="E23" s="117">
        <f t="shared" si="2"/>
        <v>0</v>
      </c>
      <c r="F23" s="137">
        <f>IFERROR('Cost Inputs'!E72+'Cost Inputs'!F72+'Cost Inputs'!G72,0)</f>
        <v>0</v>
      </c>
      <c r="G23" s="116">
        <f t="shared" si="3"/>
        <v>1</v>
      </c>
      <c r="H23" s="117">
        <f t="shared" si="4"/>
        <v>0</v>
      </c>
      <c r="I23" s="137">
        <f>IFERROR('Cost Inputs'!H72+'Cost Inputs'!I72+'Cost Inputs'!J72,0)</f>
        <v>0</v>
      </c>
      <c r="J23" s="116">
        <f t="shared" si="5"/>
        <v>1</v>
      </c>
      <c r="K23" s="117">
        <f t="shared" si="6"/>
        <v>0</v>
      </c>
      <c r="L23" s="137">
        <f>IFERROR('Cost Inputs'!K72+'Cost Inputs'!L72+'Cost Inputs'!M72,0)</f>
        <v>0</v>
      </c>
      <c r="M23" s="116">
        <f t="shared" si="7"/>
        <v>1</v>
      </c>
      <c r="N23" s="117">
        <f t="shared" si="8"/>
        <v>0</v>
      </c>
      <c r="O23" s="137">
        <f>IFERROR('Cost Inputs'!N72+'Cost Inputs'!O72+'Cost Inputs'!P72,0)</f>
        <v>0</v>
      </c>
      <c r="P23" s="116">
        <f t="shared" si="9"/>
        <v>0.25</v>
      </c>
      <c r="Q23" s="117">
        <f t="shared" si="10"/>
        <v>0</v>
      </c>
      <c r="R23" s="137">
        <f>IFERROR('Cost Inputs'!Q72+'Cost Inputs'!R72+'Cost Inputs'!S72,0)</f>
        <v>0</v>
      </c>
      <c r="S23" s="116">
        <f t="shared" si="11"/>
        <v>0</v>
      </c>
      <c r="T23" s="117">
        <f t="shared" si="12"/>
        <v>0</v>
      </c>
      <c r="U23" s="118">
        <f t="shared" si="13"/>
        <v>0</v>
      </c>
    </row>
    <row r="24" spans="1:21" ht="16" customHeight="1" x14ac:dyDescent="0.35">
      <c r="A24" s="61" t="s">
        <v>41</v>
      </c>
      <c r="B24" s="114" t="s">
        <v>532</v>
      </c>
      <c r="C24" s="137">
        <f>IFERROR('Cost Inputs'!B76+'Cost Inputs'!C76+'Cost Inputs'!D76,0)</f>
        <v>0</v>
      </c>
      <c r="D24" s="116">
        <f t="shared" si="1"/>
        <v>0</v>
      </c>
      <c r="E24" s="117">
        <f t="shared" si="2"/>
        <v>0</v>
      </c>
      <c r="F24" s="137">
        <f>IFERROR('Cost Inputs'!E76+'Cost Inputs'!F76+'Cost Inputs'!G76,0)</f>
        <v>0</v>
      </c>
      <c r="G24" s="116">
        <f t="shared" si="3"/>
        <v>0</v>
      </c>
      <c r="H24" s="117">
        <f t="shared" si="4"/>
        <v>0</v>
      </c>
      <c r="I24" s="137">
        <f>IFERROR('Cost Inputs'!H76+'Cost Inputs'!I76+'Cost Inputs'!J76,0)</f>
        <v>0</v>
      </c>
      <c r="J24" s="116">
        <f t="shared" si="5"/>
        <v>0</v>
      </c>
      <c r="K24" s="117">
        <f t="shared" si="6"/>
        <v>0</v>
      </c>
      <c r="L24" s="137">
        <f>IFERROR('Cost Inputs'!K76+'Cost Inputs'!L76+'Cost Inputs'!M76,0)</f>
        <v>0</v>
      </c>
      <c r="M24" s="116">
        <f t="shared" si="7"/>
        <v>0</v>
      </c>
      <c r="N24" s="117">
        <f t="shared" si="8"/>
        <v>0</v>
      </c>
      <c r="O24" s="137">
        <f>IFERROR('Cost Inputs'!N76+'Cost Inputs'!O76+'Cost Inputs'!P76,0)</f>
        <v>0</v>
      </c>
      <c r="P24" s="116">
        <f t="shared" si="9"/>
        <v>0</v>
      </c>
      <c r="Q24" s="117">
        <f t="shared" si="10"/>
        <v>0</v>
      </c>
      <c r="R24" s="137">
        <f>IFERROR('Cost Inputs'!Q76+'Cost Inputs'!R76+'Cost Inputs'!S76,0)</f>
        <v>0</v>
      </c>
      <c r="S24" s="116">
        <f t="shared" si="11"/>
        <v>0</v>
      </c>
      <c r="T24" s="117">
        <f t="shared" si="12"/>
        <v>0</v>
      </c>
      <c r="U24" s="118">
        <f t="shared" si="13"/>
        <v>0</v>
      </c>
    </row>
    <row r="25" spans="1:21" ht="16" customHeight="1" x14ac:dyDescent="0.35">
      <c r="A25" s="53" t="s">
        <v>51</v>
      </c>
      <c r="B25" s="119" t="s">
        <v>50</v>
      </c>
      <c r="C25" s="137">
        <f>IFERROR('Cost Inputs'!B73+'Cost Inputs'!C73+'Cost Inputs'!D73,0)</f>
        <v>0</v>
      </c>
      <c r="D25" s="116">
        <f t="shared" si="1"/>
        <v>1</v>
      </c>
      <c r="E25" s="117">
        <f t="shared" si="2"/>
        <v>0</v>
      </c>
      <c r="F25" s="137">
        <f>IFERROR('Cost Inputs'!E73+'Cost Inputs'!F73+'Cost Inputs'!G73,0)</f>
        <v>0</v>
      </c>
      <c r="G25" s="116">
        <f t="shared" si="3"/>
        <v>1</v>
      </c>
      <c r="H25" s="117">
        <f t="shared" si="4"/>
        <v>0</v>
      </c>
      <c r="I25" s="137">
        <f>IFERROR('Cost Inputs'!H73+'Cost Inputs'!I73+'Cost Inputs'!J73,0)</f>
        <v>0</v>
      </c>
      <c r="J25" s="116">
        <f t="shared" si="5"/>
        <v>1</v>
      </c>
      <c r="K25" s="117">
        <f t="shared" si="6"/>
        <v>0</v>
      </c>
      <c r="L25" s="137">
        <f>IFERROR('Cost Inputs'!K73+'Cost Inputs'!L73+'Cost Inputs'!M73,0)</f>
        <v>0</v>
      </c>
      <c r="M25" s="116">
        <f t="shared" si="7"/>
        <v>1</v>
      </c>
      <c r="N25" s="117">
        <f t="shared" si="8"/>
        <v>0</v>
      </c>
      <c r="O25" s="137">
        <f>IFERROR('Cost Inputs'!N73+'Cost Inputs'!O73+'Cost Inputs'!P73,0)</f>
        <v>0</v>
      </c>
      <c r="P25" s="116">
        <f t="shared" si="9"/>
        <v>0</v>
      </c>
      <c r="Q25" s="117">
        <f t="shared" si="10"/>
        <v>0</v>
      </c>
      <c r="R25" s="137">
        <f>IFERROR('Cost Inputs'!Q73+'Cost Inputs'!R73+'Cost Inputs'!S73,0)</f>
        <v>2600</v>
      </c>
      <c r="S25" s="116">
        <f t="shared" si="11"/>
        <v>0</v>
      </c>
      <c r="T25" s="117">
        <f t="shared" si="12"/>
        <v>0</v>
      </c>
      <c r="U25" s="118">
        <f t="shared" si="13"/>
        <v>0</v>
      </c>
    </row>
    <row r="26" spans="1:21" ht="16" customHeight="1" x14ac:dyDescent="0.35">
      <c r="A26" s="61" t="s">
        <v>53</v>
      </c>
      <c r="B26" s="114" t="s">
        <v>535</v>
      </c>
      <c r="C26" s="115">
        <v>0</v>
      </c>
      <c r="D26" s="116">
        <f t="shared" si="1"/>
        <v>1</v>
      </c>
      <c r="E26" s="117">
        <f t="shared" si="2"/>
        <v>0</v>
      </c>
      <c r="F26" s="115">
        <v>0</v>
      </c>
      <c r="G26" s="116">
        <f t="shared" si="3"/>
        <v>1</v>
      </c>
      <c r="H26" s="117">
        <f t="shared" si="4"/>
        <v>0</v>
      </c>
      <c r="I26" s="115">
        <v>0</v>
      </c>
      <c r="J26" s="116">
        <f t="shared" si="5"/>
        <v>1</v>
      </c>
      <c r="K26" s="117">
        <f t="shared" si="6"/>
        <v>0</v>
      </c>
      <c r="L26" s="115">
        <v>0</v>
      </c>
      <c r="M26" s="116">
        <f t="shared" si="7"/>
        <v>1</v>
      </c>
      <c r="N26" s="117">
        <f t="shared" si="8"/>
        <v>0</v>
      </c>
      <c r="O26" s="115">
        <v>0</v>
      </c>
      <c r="P26" s="116">
        <f t="shared" si="9"/>
        <v>0.25</v>
      </c>
      <c r="Q26" s="117">
        <f t="shared" si="10"/>
        <v>0</v>
      </c>
      <c r="R26" s="115">
        <v>0</v>
      </c>
      <c r="S26" s="116">
        <f t="shared" si="11"/>
        <v>0</v>
      </c>
      <c r="T26" s="117">
        <f t="shared" si="12"/>
        <v>0</v>
      </c>
      <c r="U26" s="118">
        <f t="shared" si="13"/>
        <v>0</v>
      </c>
    </row>
    <row r="27" spans="1:21" x14ac:dyDescent="0.35">
      <c r="A27" s="120"/>
      <c r="B27" s="120"/>
      <c r="C27" s="120"/>
      <c r="D27" s="120"/>
      <c r="E27" s="120"/>
      <c r="F27" s="120"/>
      <c r="G27" s="120"/>
      <c r="H27" s="120"/>
      <c r="I27" s="120"/>
      <c r="J27" s="120"/>
      <c r="K27" s="120"/>
      <c r="L27" s="120"/>
      <c r="M27" s="120"/>
      <c r="N27" s="120"/>
      <c r="O27" s="120"/>
      <c r="P27" s="120"/>
      <c r="Q27" s="120"/>
      <c r="R27" s="120"/>
      <c r="S27" s="120"/>
      <c r="T27" s="120"/>
      <c r="U27" s="120"/>
    </row>
    <row r="28" spans="1:21" ht="16" customHeight="1" x14ac:dyDescent="0.35">
      <c r="A28" s="429" t="s">
        <v>547</v>
      </c>
      <c r="B28" s="429"/>
      <c r="C28" s="429"/>
      <c r="D28" s="429"/>
      <c r="E28" s="429"/>
      <c r="F28" s="429"/>
      <c r="G28" s="429"/>
      <c r="H28" s="429"/>
      <c r="I28" s="429"/>
      <c r="J28" s="429"/>
      <c r="K28" s="429"/>
      <c r="L28" s="429"/>
      <c r="M28" s="429"/>
      <c r="N28" s="429"/>
      <c r="O28" s="429"/>
      <c r="P28" s="429"/>
      <c r="Q28" s="429"/>
      <c r="R28" s="429"/>
      <c r="S28" s="429"/>
      <c r="T28" s="429"/>
      <c r="U28" s="429"/>
    </row>
  </sheetData>
  <mergeCells count="5">
    <mergeCell ref="A1:P1"/>
    <mergeCell ref="A3:P3"/>
    <mergeCell ref="A2:P2"/>
    <mergeCell ref="A16:U16"/>
    <mergeCell ref="A28:U28"/>
  </mergeCells>
  <pageMargins left="0.75" right="0.75" top="1" bottom="1" header="0.5" footer="0.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dimension ref="A1:P1077"/>
  <sheetViews>
    <sheetView showGridLines="0" zoomScale="55" zoomScaleNormal="55" workbookViewId="0">
      <pane xSplit="4" ySplit="3" topLeftCell="E346" activePane="bottomRight" state="frozen"/>
      <selection pane="topRight"/>
      <selection pane="bottomLeft"/>
      <selection pane="bottomRight" activeCell="A24" sqref="A24:XFD24"/>
    </sheetView>
  </sheetViews>
  <sheetFormatPr defaultRowHeight="14.5" x14ac:dyDescent="0.35"/>
  <cols>
    <col min="1" max="1" width="13" customWidth="1"/>
    <col min="2" max="2" width="16" customWidth="1"/>
    <col min="3" max="3" width="14" customWidth="1"/>
    <col min="4" max="4" width="8" customWidth="1"/>
    <col min="5" max="5" width="16" customWidth="1"/>
    <col min="6" max="6" width="12" customWidth="1"/>
    <col min="7" max="7" width="16" customWidth="1"/>
    <col min="8" max="8" width="12" customWidth="1"/>
    <col min="9" max="9" width="16" customWidth="1"/>
    <col min="10" max="10" width="10" customWidth="1"/>
    <col min="11" max="11" width="16" customWidth="1"/>
    <col min="12" max="12" width="13" customWidth="1"/>
    <col min="13" max="13" width="14" customWidth="1"/>
    <col min="14" max="14" width="12" customWidth="1"/>
    <col min="15" max="15" width="14" customWidth="1"/>
    <col min="16" max="16" width="24" customWidth="1"/>
  </cols>
  <sheetData>
    <row r="1" spans="1:16" ht="20" customHeight="1" x14ac:dyDescent="0.35">
      <c r="A1" s="396" t="s">
        <v>548</v>
      </c>
      <c r="B1" s="395"/>
      <c r="C1" s="395"/>
      <c r="D1" s="395"/>
      <c r="E1" s="395"/>
      <c r="F1" s="395"/>
      <c r="G1" s="395"/>
      <c r="H1" s="395"/>
      <c r="I1" s="395"/>
      <c r="J1" s="395"/>
      <c r="K1" s="395"/>
      <c r="L1" s="395"/>
      <c r="M1" s="395"/>
      <c r="N1" s="395"/>
      <c r="O1" s="395"/>
      <c r="P1" s="395"/>
    </row>
    <row r="2" spans="1:16" x14ac:dyDescent="0.35">
      <c r="A2" s="403" t="s">
        <v>549</v>
      </c>
      <c r="B2" s="395"/>
      <c r="C2" s="395"/>
      <c r="D2" s="395"/>
      <c r="E2" s="395"/>
      <c r="F2" s="395"/>
      <c r="G2" s="395"/>
      <c r="H2" s="395"/>
      <c r="I2" s="395"/>
      <c r="J2" s="395"/>
      <c r="K2" s="395"/>
      <c r="L2" s="395"/>
      <c r="M2" s="395"/>
      <c r="N2" s="395"/>
      <c r="O2" s="395"/>
      <c r="P2" s="395"/>
    </row>
    <row r="3" spans="1:16" ht="28" customHeight="1" x14ac:dyDescent="0.35">
      <c r="A3" s="18" t="s">
        <v>428</v>
      </c>
      <c r="B3" s="18" t="s">
        <v>2</v>
      </c>
      <c r="C3" s="18" t="s">
        <v>4</v>
      </c>
      <c r="D3" s="18" t="s">
        <v>5</v>
      </c>
      <c r="E3" s="18" t="s">
        <v>550</v>
      </c>
      <c r="F3" s="18" t="s">
        <v>551</v>
      </c>
      <c r="G3" s="18" t="s">
        <v>552</v>
      </c>
      <c r="H3" s="18" t="s">
        <v>553</v>
      </c>
      <c r="I3" s="18" t="s">
        <v>554</v>
      </c>
      <c r="J3" s="18" t="s">
        <v>433</v>
      </c>
      <c r="K3" s="18" t="s">
        <v>555</v>
      </c>
      <c r="L3" s="18" t="s">
        <v>435</v>
      </c>
      <c r="M3" s="18" t="s">
        <v>556</v>
      </c>
      <c r="N3" s="18" t="s">
        <v>442</v>
      </c>
      <c r="O3" s="18" t="s">
        <v>557</v>
      </c>
      <c r="P3" s="18" t="s">
        <v>558</v>
      </c>
    </row>
    <row r="4" spans="1:16" ht="13" customHeight="1" x14ac:dyDescent="0.35">
      <c r="A4" s="93">
        <v>46054</v>
      </c>
      <c r="B4" s="61" t="s">
        <v>26</v>
      </c>
      <c r="C4" s="12" t="str">
        <f>'Planning Engine'!C4</f>
        <v>Label/Pack</v>
      </c>
      <c r="D4" s="12" t="str">
        <f>'Planning Engine'!D4</f>
        <v>units</v>
      </c>
      <c r="E4" s="95">
        <f>'Planning Engine'!E4</f>
        <v>54920</v>
      </c>
      <c r="F4" s="95">
        <f>'Planning Engine'!F4</f>
        <v>1660.603868886466</v>
      </c>
      <c r="G4" s="95">
        <f>'Planning Engine'!G4</f>
        <v>0</v>
      </c>
      <c r="H4" s="95">
        <f t="shared" ref="H4:H67" si="0">G4-F4</f>
        <v>-1660.603868886466</v>
      </c>
      <c r="I4" s="95">
        <f>'Planning Engine'!H4</f>
        <v>53259.396131113535</v>
      </c>
      <c r="J4" s="96">
        <f ca="1">'Planning Engine'!J4</f>
        <v>26.522869733389605</v>
      </c>
      <c r="K4" s="95">
        <f ca="1">'Planning Engine'!K4</f>
        <v>0</v>
      </c>
      <c r="L4" s="12" t="str">
        <f ca="1">'Planning Engine'!L4</f>
        <v>Overstock</v>
      </c>
      <c r="M4" s="93">
        <f>'Planning Engine'!S4</f>
        <v>45962</v>
      </c>
      <c r="N4" s="95">
        <f>'Planning Engine'!T4</f>
        <v>0</v>
      </c>
      <c r="O4" s="94" t="s">
        <v>1036</v>
      </c>
      <c r="P4" s="12" t="str">
        <f t="shared" ref="P4:P67" ca="1" si="1">IFERROR(IF(L4="High","⚠ Expedite production / source alternate",IF(L4="Medium","Plan additional batches",IF(L4="Overstock","Defer / consume inventory","Plan acceptable"))),"--")</f>
        <v>Defer / consume inventory</v>
      </c>
    </row>
    <row r="5" spans="1:16" ht="13" customHeight="1" x14ac:dyDescent="0.35">
      <c r="A5" s="97">
        <v>46082</v>
      </c>
      <c r="B5" s="53" t="s">
        <v>26</v>
      </c>
      <c r="C5" s="12" t="str">
        <f>'Planning Engine'!C5</f>
        <v>Label/Pack</v>
      </c>
      <c r="D5" s="12" t="str">
        <f>'Planning Engine'!D5</f>
        <v>units</v>
      </c>
      <c r="E5" s="95">
        <f>'Planning Engine'!E5</f>
        <v>53259.396131113535</v>
      </c>
      <c r="F5" s="95">
        <f>'Planning Engine'!F5</f>
        <v>1597.750505474781</v>
      </c>
      <c r="G5" s="95">
        <f>'Planning Engine'!G5</f>
        <v>0</v>
      </c>
      <c r="H5" s="99">
        <f t="shared" si="0"/>
        <v>-1597.750505474781</v>
      </c>
      <c r="I5" s="95">
        <f>'Planning Engine'!H5</f>
        <v>56917</v>
      </c>
      <c r="J5" s="96">
        <f ca="1">'Planning Engine'!J5</f>
        <v>27.213944577388872</v>
      </c>
      <c r="K5" s="95">
        <f ca="1">'Planning Engine'!K5</f>
        <v>0</v>
      </c>
      <c r="L5" s="12" t="str">
        <f ca="1">'Planning Engine'!L5</f>
        <v>Overstock</v>
      </c>
      <c r="M5" s="93">
        <f>'Planning Engine'!S5</f>
        <v>45992</v>
      </c>
      <c r="N5" s="95">
        <f>'Planning Engine'!T5</f>
        <v>0</v>
      </c>
      <c r="O5" s="98" t="s">
        <v>1037</v>
      </c>
      <c r="P5" s="4" t="str">
        <f t="shared" ca="1" si="1"/>
        <v>Defer / consume inventory</v>
      </c>
    </row>
    <row r="6" spans="1:16" ht="13" customHeight="1" x14ac:dyDescent="0.35">
      <c r="A6" s="93">
        <v>46113</v>
      </c>
      <c r="B6" s="61" t="s">
        <v>26</v>
      </c>
      <c r="C6" s="12" t="str">
        <f>'Planning Engine'!C6</f>
        <v>Label/Pack</v>
      </c>
      <c r="D6" s="12" t="str">
        <f>'Planning Engine'!D6</f>
        <v>units</v>
      </c>
      <c r="E6" s="95">
        <f>'Planning Engine'!E6</f>
        <v>56917</v>
      </c>
      <c r="F6" s="95">
        <f>'Planning Engine'!F6</f>
        <v>2124.9921880618376</v>
      </c>
      <c r="G6" s="95">
        <f>'Planning Engine'!G6</f>
        <v>0</v>
      </c>
      <c r="H6" s="95">
        <f t="shared" si="0"/>
        <v>-2124.9921880618376</v>
      </c>
      <c r="I6" s="95">
        <f>'Planning Engine'!H6</f>
        <v>54920</v>
      </c>
      <c r="J6" s="96">
        <f ca="1">'Planning Engine'!J6</f>
        <v>25.573635436818659</v>
      </c>
      <c r="K6" s="95">
        <f ca="1">'Planning Engine'!K6</f>
        <v>0</v>
      </c>
      <c r="L6" s="12" t="str">
        <f ca="1">'Planning Engine'!L6</f>
        <v>Overstock</v>
      </c>
      <c r="M6" s="93">
        <f>'Planning Engine'!S6</f>
        <v>46023</v>
      </c>
      <c r="N6" s="95">
        <f>'Planning Engine'!T6</f>
        <v>0</v>
      </c>
      <c r="O6" s="94" t="s">
        <v>1038</v>
      </c>
      <c r="P6" s="12" t="str">
        <f t="shared" ca="1" si="1"/>
        <v>Defer / consume inventory</v>
      </c>
    </row>
    <row r="7" spans="1:16" ht="13" customHeight="1" x14ac:dyDescent="0.35">
      <c r="A7" s="97">
        <v>46143</v>
      </c>
      <c r="B7" s="53" t="s">
        <v>26</v>
      </c>
      <c r="C7" s="12" t="str">
        <f>'Planning Engine'!C7</f>
        <v>Label/Pack</v>
      </c>
      <c r="D7" s="12" t="str">
        <f>'Planning Engine'!D7</f>
        <v>units</v>
      </c>
      <c r="E7" s="95">
        <f>'Planning Engine'!E7</f>
        <v>54920</v>
      </c>
      <c r="F7" s="95">
        <f>'Planning Engine'!F7</f>
        <v>2053.6576284117737</v>
      </c>
      <c r="G7" s="95">
        <f>'Planning Engine'!G7</f>
        <v>0</v>
      </c>
      <c r="H7" s="99">
        <f t="shared" si="0"/>
        <v>-2053.6576284117737</v>
      </c>
      <c r="I7" s="95">
        <f>'Planning Engine'!H7</f>
        <v>52866.342371588224</v>
      </c>
      <c r="J7" s="96">
        <f ca="1">'Planning Engine'!J7</f>
        <v>23.631305155415088</v>
      </c>
      <c r="K7" s="95">
        <f ca="1">'Planning Engine'!K7</f>
        <v>0</v>
      </c>
      <c r="L7" s="12" t="str">
        <f ca="1">'Planning Engine'!L7</f>
        <v>Overstock</v>
      </c>
      <c r="M7" s="93">
        <f>'Planning Engine'!S7</f>
        <v>46054</v>
      </c>
      <c r="N7" s="95">
        <f>'Planning Engine'!T7</f>
        <v>0</v>
      </c>
      <c r="O7" s="98" t="s">
        <v>1039</v>
      </c>
      <c r="P7" s="4" t="str">
        <f t="shared" ca="1" si="1"/>
        <v>Defer / consume inventory</v>
      </c>
    </row>
    <row r="8" spans="1:16" ht="13" customHeight="1" x14ac:dyDescent="0.35">
      <c r="A8" s="93">
        <v>46174</v>
      </c>
      <c r="B8" s="61" t="s">
        <v>26</v>
      </c>
      <c r="C8" s="12" t="str">
        <f>'Planning Engine'!C8</f>
        <v>Label/Pack</v>
      </c>
      <c r="D8" s="12" t="str">
        <f>'Planning Engine'!D8</f>
        <v>units</v>
      </c>
      <c r="E8" s="95">
        <f>'Planning Engine'!E8</f>
        <v>52866.342371588224</v>
      </c>
      <c r="F8" s="95">
        <f>'Planning Engine'!F8</f>
        <v>1789.3498301935292</v>
      </c>
      <c r="G8" s="95">
        <f>'Planning Engine'!G8</f>
        <v>2700</v>
      </c>
      <c r="H8" s="95">
        <f t="shared" si="0"/>
        <v>910.65016980647079</v>
      </c>
      <c r="I8" s="95">
        <f>'Planning Engine'!H8</f>
        <v>53776.992541394691</v>
      </c>
      <c r="J8" s="96">
        <f ca="1">'Planning Engine'!J8</f>
        <v>23.819574599411254</v>
      </c>
      <c r="K8" s="95">
        <f ca="1">'Planning Engine'!K8</f>
        <v>0</v>
      </c>
      <c r="L8" s="12" t="str">
        <f ca="1">'Planning Engine'!L8</f>
        <v>Overstock</v>
      </c>
      <c r="M8" s="93">
        <f>'Planning Engine'!S8</f>
        <v>46082</v>
      </c>
      <c r="N8" s="95">
        <f>'Planning Engine'!T8</f>
        <v>2700</v>
      </c>
      <c r="O8" s="94" t="s">
        <v>1040</v>
      </c>
      <c r="P8" s="12" t="str">
        <f t="shared" ca="1" si="1"/>
        <v>Defer / consume inventory</v>
      </c>
    </row>
    <row r="9" spans="1:16" ht="13" customHeight="1" x14ac:dyDescent="0.35">
      <c r="A9" s="97">
        <v>46204</v>
      </c>
      <c r="B9" s="53" t="s">
        <v>26</v>
      </c>
      <c r="C9" s="12" t="str">
        <f>'Planning Engine'!C9</f>
        <v>Label/Pack</v>
      </c>
      <c r="D9" s="12" t="str">
        <f>'Planning Engine'!D9</f>
        <v>units</v>
      </c>
      <c r="E9" s="95">
        <f>'Planning Engine'!E9</f>
        <v>53776.992541394691</v>
      </c>
      <c r="F9" s="95">
        <f>'Planning Engine'!F9</f>
        <v>2101.9326546434804</v>
      </c>
      <c r="G9" s="95">
        <f>'Planning Engine'!G9</f>
        <v>0</v>
      </c>
      <c r="H9" s="99">
        <f t="shared" si="0"/>
        <v>-2101.9326546434804</v>
      </c>
      <c r="I9" s="95">
        <f>'Planning Engine'!H9</f>
        <v>51675.059886751209</v>
      </c>
      <c r="J9" s="96">
        <f ca="1">'Planning Engine'!J9</f>
        <v>22.088216074935303</v>
      </c>
      <c r="K9" s="95">
        <f ca="1">'Planning Engine'!K9</f>
        <v>0</v>
      </c>
      <c r="L9" s="12" t="str">
        <f ca="1">'Planning Engine'!L9</f>
        <v>Overstock</v>
      </c>
      <c r="M9" s="93">
        <f>'Planning Engine'!S9</f>
        <v>46113</v>
      </c>
      <c r="N9" s="95">
        <f>'Planning Engine'!T9</f>
        <v>0</v>
      </c>
      <c r="O9" s="98" t="s">
        <v>1041</v>
      </c>
      <c r="P9" s="4" t="str">
        <f t="shared" ca="1" si="1"/>
        <v>Defer / consume inventory</v>
      </c>
    </row>
    <row r="10" spans="1:16" ht="13" customHeight="1" x14ac:dyDescent="0.35">
      <c r="A10" s="93">
        <v>46235</v>
      </c>
      <c r="B10" s="61" t="s">
        <v>26</v>
      </c>
      <c r="C10" s="12" t="str">
        <f>'Planning Engine'!C10</f>
        <v>Label/Pack</v>
      </c>
      <c r="D10" s="12" t="str">
        <f>'Planning Engine'!D10</f>
        <v>units</v>
      </c>
      <c r="E10" s="95">
        <f>'Planning Engine'!E10</f>
        <v>51675.059886751209</v>
      </c>
      <c r="F10" s="95">
        <f>'Planning Engine'!F10</f>
        <v>2300.2239886063553</v>
      </c>
      <c r="G10" s="95">
        <f>'Planning Engine'!G10</f>
        <v>0</v>
      </c>
      <c r="H10" s="95">
        <f t="shared" si="0"/>
        <v>-2300.2239886063553</v>
      </c>
      <c r="I10" s="95">
        <f>'Planning Engine'!H10</f>
        <v>49374.835898144855</v>
      </c>
      <c r="J10" s="96">
        <f ca="1">'Planning Engine'!J10</f>
        <v>19.686808037251097</v>
      </c>
      <c r="K10" s="95">
        <f ca="1">'Planning Engine'!K10</f>
        <v>0</v>
      </c>
      <c r="L10" s="12" t="str">
        <f ca="1">'Planning Engine'!L10</f>
        <v>Overstock</v>
      </c>
      <c r="M10" s="93">
        <f>'Planning Engine'!S10</f>
        <v>46143</v>
      </c>
      <c r="N10" s="95">
        <f>'Planning Engine'!T10</f>
        <v>0</v>
      </c>
      <c r="O10" s="94" t="s">
        <v>1042</v>
      </c>
      <c r="P10" s="12" t="str">
        <f t="shared" ca="1" si="1"/>
        <v>Defer / consume inventory</v>
      </c>
    </row>
    <row r="11" spans="1:16" ht="13" customHeight="1" x14ac:dyDescent="0.35">
      <c r="A11" s="97">
        <v>46266</v>
      </c>
      <c r="B11" s="53" t="s">
        <v>26</v>
      </c>
      <c r="C11" s="12" t="str">
        <f>'Planning Engine'!C11</f>
        <v>Label/Pack</v>
      </c>
      <c r="D11" s="12" t="str">
        <f>'Planning Engine'!D11</f>
        <v>units</v>
      </c>
      <c r="E11" s="95">
        <f>'Planning Engine'!E11</f>
        <v>49374.835898144855</v>
      </c>
      <c r="F11" s="95">
        <f>'Planning Engine'!F11</f>
        <v>2156.5918919219398</v>
      </c>
      <c r="G11" s="95">
        <f>'Planning Engine'!G11</f>
        <v>0</v>
      </c>
      <c r="H11" s="99">
        <f t="shared" si="0"/>
        <v>-2156.5918919219398</v>
      </c>
      <c r="I11" s="95">
        <f>'Planning Engine'!H11</f>
        <v>47218.244006222914</v>
      </c>
      <c r="J11" s="96">
        <f ca="1">'Planning Engine'!J11</f>
        <v>18.023659585417906</v>
      </c>
      <c r="K11" s="95">
        <f ca="1">'Planning Engine'!K11</f>
        <v>0</v>
      </c>
      <c r="L11" s="12" t="str">
        <f ca="1">'Planning Engine'!L11</f>
        <v>Overstock</v>
      </c>
      <c r="M11" s="93">
        <f>'Planning Engine'!S11</f>
        <v>46174</v>
      </c>
      <c r="N11" s="95">
        <f>'Planning Engine'!T11</f>
        <v>0</v>
      </c>
      <c r="O11" s="98" t="s">
        <v>1043</v>
      </c>
      <c r="P11" s="4" t="str">
        <f t="shared" ca="1" si="1"/>
        <v>Defer / consume inventory</v>
      </c>
    </row>
    <row r="12" spans="1:16" ht="13" customHeight="1" x14ac:dyDescent="0.35">
      <c r="A12" s="93">
        <v>46296</v>
      </c>
      <c r="B12" s="61" t="s">
        <v>26</v>
      </c>
      <c r="C12" s="12" t="str">
        <f>'Planning Engine'!C12</f>
        <v>Label/Pack</v>
      </c>
      <c r="D12" s="12" t="str">
        <f>'Planning Engine'!D12</f>
        <v>units</v>
      </c>
      <c r="E12" s="95">
        <f>'Planning Engine'!E12</f>
        <v>47218.244006222914</v>
      </c>
      <c r="F12" s="95">
        <f>'Planning Engine'!F12</f>
        <v>2287.397516316053</v>
      </c>
      <c r="G12" s="95">
        <f>'Planning Engine'!G12</f>
        <v>32400</v>
      </c>
      <c r="H12" s="95">
        <f t="shared" si="0"/>
        <v>30112.602483683946</v>
      </c>
      <c r="I12" s="95">
        <f>'Planning Engine'!H12</f>
        <v>77330.846489906864</v>
      </c>
      <c r="J12" s="96">
        <f ca="1">'Planning Engine'!J12</f>
        <v>28.444304915660634</v>
      </c>
      <c r="K12" s="95">
        <f ca="1">'Planning Engine'!K12</f>
        <v>0</v>
      </c>
      <c r="L12" s="12" t="str">
        <f ca="1">'Planning Engine'!L12</f>
        <v>Overstock</v>
      </c>
      <c r="M12" s="93">
        <f>'Planning Engine'!S12</f>
        <v>46204</v>
      </c>
      <c r="N12" s="95">
        <f>'Planning Engine'!T12</f>
        <v>32400</v>
      </c>
      <c r="O12" s="94" t="s">
        <v>1044</v>
      </c>
      <c r="P12" s="12" t="str">
        <f t="shared" ca="1" si="1"/>
        <v>Defer / consume inventory</v>
      </c>
    </row>
    <row r="13" spans="1:16" ht="13" customHeight="1" x14ac:dyDescent="0.35">
      <c r="A13" s="97">
        <v>46327</v>
      </c>
      <c r="B13" s="53" t="s">
        <v>26</v>
      </c>
      <c r="C13" s="12" t="str">
        <f>'Planning Engine'!C13</f>
        <v>Label/Pack</v>
      </c>
      <c r="D13" s="12" t="str">
        <f>'Planning Engine'!D13</f>
        <v>units</v>
      </c>
      <c r="E13" s="95">
        <f>'Planning Engine'!E13</f>
        <v>77330.846489906864</v>
      </c>
      <c r="F13" s="95">
        <f>'Planning Engine'!F13</f>
        <v>2411.2846308610096</v>
      </c>
      <c r="G13" s="95">
        <f>'Planning Engine'!G13</f>
        <v>0</v>
      </c>
      <c r="H13" s="99">
        <f t="shared" si="0"/>
        <v>-2411.2846308610096</v>
      </c>
      <c r="I13" s="95">
        <f>'Planning Engine'!H13</f>
        <v>74919.561859045847</v>
      </c>
      <c r="J13" s="96">
        <f ca="1">'Planning Engine'!J13</f>
        <v>26.062911450013626</v>
      </c>
      <c r="K13" s="95">
        <f ca="1">'Planning Engine'!K13</f>
        <v>0</v>
      </c>
      <c r="L13" s="12" t="str">
        <f ca="1">'Planning Engine'!L13</f>
        <v>Overstock</v>
      </c>
      <c r="M13" s="93">
        <f>'Planning Engine'!S13</f>
        <v>46235</v>
      </c>
      <c r="N13" s="95">
        <f>'Planning Engine'!T13</f>
        <v>0</v>
      </c>
      <c r="O13" s="98" t="s">
        <v>1045</v>
      </c>
      <c r="P13" s="4" t="str">
        <f t="shared" ca="1" si="1"/>
        <v>Defer / consume inventory</v>
      </c>
    </row>
    <row r="14" spans="1:16" ht="13" customHeight="1" x14ac:dyDescent="0.35">
      <c r="A14" s="93">
        <v>46357</v>
      </c>
      <c r="B14" s="61" t="s">
        <v>26</v>
      </c>
      <c r="C14" s="12" t="str">
        <f>'Planning Engine'!C14</f>
        <v>Label/Pack</v>
      </c>
      <c r="D14" s="12" t="str">
        <f>'Planning Engine'!D14</f>
        <v>units</v>
      </c>
      <c r="E14" s="95">
        <f>'Planning Engine'!E14</f>
        <v>74919.561859045847</v>
      </c>
      <c r="F14" s="95">
        <f>'Planning Engine'!F14</f>
        <v>2102.2871252017048</v>
      </c>
      <c r="G14" s="95">
        <f>'Planning Engine'!G14</f>
        <v>0</v>
      </c>
      <c r="H14" s="95">
        <f t="shared" si="0"/>
        <v>-2102.2871252017048</v>
      </c>
      <c r="I14" s="95">
        <f>'Planning Engine'!H14</f>
        <v>72817.27473384414</v>
      </c>
      <c r="J14" s="96">
        <f ca="1">'Planning Engine'!J14</f>
        <v>23.991288771590391</v>
      </c>
      <c r="K14" s="95">
        <f ca="1">'Planning Engine'!K14</f>
        <v>0</v>
      </c>
      <c r="L14" s="12" t="str">
        <f ca="1">'Planning Engine'!L14</f>
        <v>Overstock</v>
      </c>
      <c r="M14" s="93">
        <f>'Planning Engine'!S14</f>
        <v>46266</v>
      </c>
      <c r="N14" s="95">
        <f>'Planning Engine'!T14</f>
        <v>0</v>
      </c>
      <c r="O14" s="94" t="s">
        <v>1046</v>
      </c>
      <c r="P14" s="12" t="str">
        <f t="shared" ca="1" si="1"/>
        <v>Defer / consume inventory</v>
      </c>
    </row>
    <row r="15" spans="1:16" ht="13" customHeight="1" x14ac:dyDescent="0.35">
      <c r="A15" s="97">
        <v>46388</v>
      </c>
      <c r="B15" s="53" t="s">
        <v>26</v>
      </c>
      <c r="C15" s="12" t="str">
        <f>'Planning Engine'!C15</f>
        <v>Label/Pack</v>
      </c>
      <c r="D15" s="12" t="str">
        <f>'Planning Engine'!D15</f>
        <v>units</v>
      </c>
      <c r="E15" s="95">
        <f>'Planning Engine'!E15</f>
        <v>72817.27473384414</v>
      </c>
      <c r="F15" s="95">
        <f>'Planning Engine'!F15</f>
        <v>2931.4602227597193</v>
      </c>
      <c r="G15" s="95">
        <f>'Planning Engine'!G15</f>
        <v>0</v>
      </c>
      <c r="H15" s="99">
        <f t="shared" si="0"/>
        <v>-2931.4602227597193</v>
      </c>
      <c r="I15" s="95">
        <f>'Planning Engine'!H15</f>
        <v>69885.81451108442</v>
      </c>
      <c r="J15" s="96">
        <f ca="1">'Planning Engine'!J15</f>
        <v>21.175333011620474</v>
      </c>
      <c r="K15" s="95">
        <f ca="1">'Planning Engine'!K15</f>
        <v>0</v>
      </c>
      <c r="L15" s="12" t="str">
        <f ca="1">'Planning Engine'!L15</f>
        <v>Overstock</v>
      </c>
      <c r="M15" s="93">
        <f>'Planning Engine'!S15</f>
        <v>46296</v>
      </c>
      <c r="N15" s="95">
        <f>'Planning Engine'!T15</f>
        <v>0</v>
      </c>
      <c r="O15" s="98" t="s">
        <v>1047</v>
      </c>
      <c r="P15" s="4" t="str">
        <f t="shared" ca="1" si="1"/>
        <v>Defer / consume inventory</v>
      </c>
    </row>
    <row r="16" spans="1:16" ht="13" customHeight="1" x14ac:dyDescent="0.35">
      <c r="A16" s="93">
        <v>46419</v>
      </c>
      <c r="B16" s="61" t="s">
        <v>26</v>
      </c>
      <c r="C16" s="12" t="str">
        <f>'Planning Engine'!C16</f>
        <v>Label/Pack</v>
      </c>
      <c r="D16" s="12" t="str">
        <f>'Planning Engine'!D16</f>
        <v>units</v>
      </c>
      <c r="E16" s="95">
        <f>'Planning Engine'!E16</f>
        <v>69885.81451108442</v>
      </c>
      <c r="F16" s="95">
        <f>'Planning Engine'!F16</f>
        <v>2238.5979430491811</v>
      </c>
      <c r="G16" s="95">
        <f>'Planning Engine'!G16</f>
        <v>0</v>
      </c>
      <c r="H16" s="95">
        <f t="shared" si="0"/>
        <v>-2238.5979430491811</v>
      </c>
      <c r="I16" s="95">
        <f>'Planning Engine'!H16</f>
        <v>67647.216568035234</v>
      </c>
      <c r="J16" s="96">
        <f ca="1">'Planning Engine'!J16</f>
        <v>19.537118401560814</v>
      </c>
      <c r="K16" s="95">
        <f ca="1">'Planning Engine'!K16</f>
        <v>0</v>
      </c>
      <c r="L16" s="12" t="str">
        <f ca="1">'Planning Engine'!L16</f>
        <v>Overstock</v>
      </c>
      <c r="M16" s="93">
        <f>'Planning Engine'!S16</f>
        <v>46327</v>
      </c>
      <c r="N16" s="95">
        <f>'Planning Engine'!T16</f>
        <v>0</v>
      </c>
      <c r="O16" s="94" t="s">
        <v>1048</v>
      </c>
      <c r="P16" s="12" t="str">
        <f t="shared" ca="1" si="1"/>
        <v>Defer / consume inventory</v>
      </c>
    </row>
    <row r="17" spans="1:16" ht="13" customHeight="1" x14ac:dyDescent="0.35">
      <c r="A17" s="97">
        <v>46447</v>
      </c>
      <c r="B17" s="53" t="s">
        <v>26</v>
      </c>
      <c r="C17" s="12" t="str">
        <f>'Planning Engine'!C17</f>
        <v>Label/Pack</v>
      </c>
      <c r="D17" s="12" t="str">
        <f>'Planning Engine'!D17</f>
        <v>units</v>
      </c>
      <c r="E17" s="95">
        <f>'Planning Engine'!E17</f>
        <v>67647.216568035234</v>
      </c>
      <c r="F17" s="95">
        <f>'Planning Engine'!F17</f>
        <v>2525.5929800666936</v>
      </c>
      <c r="G17" s="95">
        <f>'Planning Engine'!G17</f>
        <v>0</v>
      </c>
      <c r="H17" s="99">
        <f t="shared" si="0"/>
        <v>-2525.5929800666936</v>
      </c>
      <c r="I17" s="95">
        <f>'Planning Engine'!H17</f>
        <v>65121.623587968541</v>
      </c>
      <c r="J17" s="96">
        <f ca="1">'Planning Engine'!J17</f>
        <v>17.550653252464389</v>
      </c>
      <c r="K17" s="95">
        <f ca="1">'Planning Engine'!K17</f>
        <v>0</v>
      </c>
      <c r="L17" s="12" t="str">
        <f ca="1">'Planning Engine'!L17</f>
        <v>Low</v>
      </c>
      <c r="M17" s="93">
        <f>'Planning Engine'!S17</f>
        <v>46357</v>
      </c>
      <c r="N17" s="95">
        <f>'Planning Engine'!T17</f>
        <v>0</v>
      </c>
      <c r="O17" s="98" t="s">
        <v>1049</v>
      </c>
      <c r="P17" s="4" t="str">
        <f t="shared" ca="1" si="1"/>
        <v>Plan acceptable</v>
      </c>
    </row>
    <row r="18" spans="1:16" ht="13" customHeight="1" x14ac:dyDescent="0.35">
      <c r="A18" s="93">
        <v>46478</v>
      </c>
      <c r="B18" s="61" t="s">
        <v>26</v>
      </c>
      <c r="C18" s="12" t="str">
        <f>'Planning Engine'!C18</f>
        <v>Label/Pack</v>
      </c>
      <c r="D18" s="12" t="str">
        <f>'Planning Engine'!D18</f>
        <v>units</v>
      </c>
      <c r="E18" s="95">
        <f>'Planning Engine'!E18</f>
        <v>65121.623587968541</v>
      </c>
      <c r="F18" s="95">
        <f>'Planning Engine'!F18</f>
        <v>3618.7106049950644</v>
      </c>
      <c r="G18" s="95">
        <f>'Planning Engine'!G18</f>
        <v>0</v>
      </c>
      <c r="H18" s="95">
        <f t="shared" si="0"/>
        <v>-3618.7106049950644</v>
      </c>
      <c r="I18" s="95">
        <f>'Planning Engine'!H18</f>
        <v>61502.912982973474</v>
      </c>
      <c r="J18" s="96">
        <f ca="1">'Planning Engine'!J18</f>
        <v>15.454533778369896</v>
      </c>
      <c r="K18" s="95">
        <f ca="1">'Planning Engine'!K18</f>
        <v>0</v>
      </c>
      <c r="L18" s="12" t="str">
        <f ca="1">'Planning Engine'!L18</f>
        <v>Low</v>
      </c>
      <c r="M18" s="93">
        <f>'Planning Engine'!S18</f>
        <v>46388</v>
      </c>
      <c r="N18" s="95">
        <f>'Planning Engine'!T18</f>
        <v>0</v>
      </c>
      <c r="O18" s="94" t="s">
        <v>1050</v>
      </c>
      <c r="P18" s="12" t="str">
        <f t="shared" ca="1" si="1"/>
        <v>Plan acceptable</v>
      </c>
    </row>
    <row r="19" spans="1:16" ht="13" customHeight="1" x14ac:dyDescent="0.35">
      <c r="A19" s="97">
        <v>46508</v>
      </c>
      <c r="B19" s="53" t="s">
        <v>26</v>
      </c>
      <c r="C19" s="12" t="str">
        <f>'Planning Engine'!C19</f>
        <v>Label/Pack</v>
      </c>
      <c r="D19" s="12" t="str">
        <f>'Planning Engine'!D19</f>
        <v>units</v>
      </c>
      <c r="E19" s="95">
        <f>'Planning Engine'!E19</f>
        <v>61502.912982973474</v>
      </c>
      <c r="F19" s="95">
        <f>'Planning Engine'!F19</f>
        <v>3306.2074884801073</v>
      </c>
      <c r="G19" s="95">
        <f>'Planning Engine'!G19</f>
        <v>0</v>
      </c>
      <c r="H19" s="99">
        <f t="shared" si="0"/>
        <v>-3306.2074884801073</v>
      </c>
      <c r="I19" s="95">
        <f>'Planning Engine'!H19</f>
        <v>58196.70549449337</v>
      </c>
      <c r="J19" s="96">
        <f ca="1">'Planning Engine'!J19</f>
        <v>13.613277541295881</v>
      </c>
      <c r="K19" s="95">
        <f ca="1">'Planning Engine'!K19</f>
        <v>0</v>
      </c>
      <c r="L19" s="12" t="str">
        <f ca="1">'Planning Engine'!L19</f>
        <v>Low</v>
      </c>
      <c r="M19" s="93">
        <f>'Planning Engine'!S19</f>
        <v>46419</v>
      </c>
      <c r="N19" s="95">
        <f>'Planning Engine'!T19</f>
        <v>0</v>
      </c>
      <c r="O19" s="98" t="s">
        <v>1051</v>
      </c>
      <c r="P19" s="4" t="str">
        <f t="shared" ca="1" si="1"/>
        <v>Plan acceptable</v>
      </c>
    </row>
    <row r="20" spans="1:16" ht="13" customHeight="1" x14ac:dyDescent="0.35">
      <c r="A20" s="93">
        <v>46539</v>
      </c>
      <c r="B20" s="61" t="s">
        <v>26</v>
      </c>
      <c r="C20" s="12" t="str">
        <f>'Planning Engine'!C20</f>
        <v>Label/Pack</v>
      </c>
      <c r="D20" s="12" t="str">
        <f>'Planning Engine'!D20</f>
        <v>units</v>
      </c>
      <c r="E20" s="95">
        <f>'Planning Engine'!E20</f>
        <v>58196.70549449337</v>
      </c>
      <c r="F20" s="95">
        <f>'Planning Engine'!F20</f>
        <v>3046.5446589714029</v>
      </c>
      <c r="G20" s="95">
        <f>'Planning Engine'!G20</f>
        <v>0</v>
      </c>
      <c r="H20" s="95">
        <f t="shared" si="0"/>
        <v>-3046.5446589714029</v>
      </c>
      <c r="I20" s="95">
        <f>'Planning Engine'!H20</f>
        <v>55150.160835521965</v>
      </c>
      <c r="J20" s="96">
        <f ca="1">'Planning Engine'!J20</f>
        <v>12.347973702402223</v>
      </c>
      <c r="K20" s="95">
        <f ca="1">'Planning Engine'!K20</f>
        <v>0</v>
      </c>
      <c r="L20" s="12" t="str">
        <f ca="1">'Planning Engine'!L20</f>
        <v>Low</v>
      </c>
      <c r="M20" s="93">
        <f>'Planning Engine'!S20</f>
        <v>46447</v>
      </c>
      <c r="N20" s="95">
        <f>'Planning Engine'!T20</f>
        <v>0</v>
      </c>
      <c r="O20" s="94" t="s">
        <v>1052</v>
      </c>
      <c r="P20" s="12" t="str">
        <f t="shared" ca="1" si="1"/>
        <v>Plan acceptable</v>
      </c>
    </row>
    <row r="21" spans="1:16" ht="13" customHeight="1" x14ac:dyDescent="0.35">
      <c r="A21" s="97">
        <v>46569</v>
      </c>
      <c r="B21" s="53" t="s">
        <v>26</v>
      </c>
      <c r="C21" s="12" t="str">
        <f>'Planning Engine'!C21</f>
        <v>Label/Pack</v>
      </c>
      <c r="D21" s="12" t="str">
        <f>'Planning Engine'!D21</f>
        <v>units</v>
      </c>
      <c r="E21" s="95">
        <f>'Planning Engine'!E21</f>
        <v>55150.160835521965</v>
      </c>
      <c r="F21" s="95">
        <f>'Planning Engine'!F21</f>
        <v>3690.4092931084087</v>
      </c>
      <c r="G21" s="95">
        <f>'Planning Engine'!G21</f>
        <v>0</v>
      </c>
      <c r="H21" s="99">
        <f t="shared" si="0"/>
        <v>-3690.4092931084087</v>
      </c>
      <c r="I21" s="95">
        <f>'Planning Engine'!H21</f>
        <v>51459.751542413556</v>
      </c>
      <c r="J21" s="96">
        <f ca="1">'Planning Engine'!J21</f>
        <v>10.640584434490879</v>
      </c>
      <c r="K21" s="95">
        <f ca="1">'Planning Engine'!K21</f>
        <v>0</v>
      </c>
      <c r="L21" s="12" t="str">
        <f ca="1">'Planning Engine'!L21</f>
        <v>Low</v>
      </c>
      <c r="M21" s="93">
        <f>'Planning Engine'!S21</f>
        <v>46478</v>
      </c>
      <c r="N21" s="95">
        <f>'Planning Engine'!T21</f>
        <v>0</v>
      </c>
      <c r="O21" s="98" t="s">
        <v>1053</v>
      </c>
      <c r="P21" s="4" t="str">
        <f t="shared" ca="1" si="1"/>
        <v>Plan acceptable</v>
      </c>
    </row>
    <row r="22" spans="1:16" ht="13" customHeight="1" x14ac:dyDescent="0.35">
      <c r="A22" s="93">
        <v>46600</v>
      </c>
      <c r="B22" s="61" t="s">
        <v>26</v>
      </c>
      <c r="C22" s="12" t="str">
        <f>'Planning Engine'!C22</f>
        <v>Label/Pack</v>
      </c>
      <c r="D22" s="12" t="str">
        <f>'Planning Engine'!D22</f>
        <v>units</v>
      </c>
      <c r="E22" s="95">
        <f>'Planning Engine'!E22</f>
        <v>51459.751542413556</v>
      </c>
      <c r="F22" s="95">
        <f>'Planning Engine'!F22</f>
        <v>3856.5826810063154</v>
      </c>
      <c r="G22" s="95">
        <f>'Planning Engine'!G22</f>
        <v>0</v>
      </c>
      <c r="H22" s="95">
        <f t="shared" si="0"/>
        <v>-3856.5826810063154</v>
      </c>
      <c r="I22" s="95">
        <f>'Planning Engine'!H22</f>
        <v>47603.168861407241</v>
      </c>
      <c r="J22" s="96">
        <f ca="1">'Planning Engine'!J22</f>
        <v>8.8824538317781396</v>
      </c>
      <c r="K22" s="95">
        <f ca="1">'Planning Engine'!K22</f>
        <v>0</v>
      </c>
      <c r="L22" s="12" t="str">
        <f ca="1">'Planning Engine'!L22</f>
        <v>Medium</v>
      </c>
      <c r="M22" s="93">
        <f>'Planning Engine'!S22</f>
        <v>46508</v>
      </c>
      <c r="N22" s="95">
        <f>'Planning Engine'!T22</f>
        <v>0</v>
      </c>
      <c r="O22" s="94" t="s">
        <v>1054</v>
      </c>
      <c r="P22" s="12" t="str">
        <f t="shared" ca="1" si="1"/>
        <v>Plan additional batches</v>
      </c>
    </row>
    <row r="23" spans="1:16" ht="13" customHeight="1" x14ac:dyDescent="0.35">
      <c r="A23" s="97">
        <v>46631</v>
      </c>
      <c r="B23" s="53" t="s">
        <v>26</v>
      </c>
      <c r="C23" s="12" t="str">
        <f>'Planning Engine'!C23</f>
        <v>Label/Pack</v>
      </c>
      <c r="D23" s="12" t="str">
        <f>'Planning Engine'!D23</f>
        <v>units</v>
      </c>
      <c r="E23" s="95">
        <f>'Planning Engine'!E23</f>
        <v>47603.168861407241</v>
      </c>
      <c r="F23" s="95">
        <f>'Planning Engine'!F23</f>
        <v>4488.9609107204742</v>
      </c>
      <c r="G23" s="95">
        <f>'Planning Engine'!G23</f>
        <v>0</v>
      </c>
      <c r="H23" s="99">
        <f t="shared" si="0"/>
        <v>-4488.9609107204742</v>
      </c>
      <c r="I23" s="95">
        <f>'Planning Engine'!H23</f>
        <v>43114.207950686767</v>
      </c>
      <c r="J23" s="96">
        <f ca="1">'Planning Engine'!J23</f>
        <v>7.6092890902123518</v>
      </c>
      <c r="K23" s="95">
        <f ca="1">'Planning Engine'!K23</f>
        <v>0</v>
      </c>
      <c r="L23" s="12" t="str">
        <f ca="1">'Planning Engine'!L23</f>
        <v>High</v>
      </c>
      <c r="M23" s="93">
        <f>'Planning Engine'!S23</f>
        <v>46539</v>
      </c>
      <c r="N23" s="95">
        <f>'Planning Engine'!T23</f>
        <v>0</v>
      </c>
      <c r="O23" s="98" t="s">
        <v>1055</v>
      </c>
      <c r="P23" s="4" t="str">
        <f t="shared" ca="1" si="1"/>
        <v>⚠ Expedite production / source alternate</v>
      </c>
    </row>
    <row r="24" spans="1:16" ht="13" customHeight="1" x14ac:dyDescent="0.35">
      <c r="A24" s="93">
        <v>46661</v>
      </c>
      <c r="B24" s="61" t="s">
        <v>26</v>
      </c>
      <c r="C24" s="12" t="str">
        <f>'Planning Engine'!C24</f>
        <v>Label/Pack</v>
      </c>
      <c r="D24" s="12" t="str">
        <f>'Planning Engine'!D24</f>
        <v>units</v>
      </c>
      <c r="E24" s="95">
        <f>'Planning Engine'!E24</f>
        <v>43114.207950686767</v>
      </c>
      <c r="F24" s="95">
        <f>'Planning Engine'!F24</f>
        <v>4390.8676898315116</v>
      </c>
      <c r="G24" s="95">
        <f>'Planning Engine'!G24</f>
        <v>0</v>
      </c>
      <c r="H24" s="95">
        <f t="shared" si="0"/>
        <v>-4390.8676898315116</v>
      </c>
      <c r="I24" s="95">
        <f>'Planning Engine'!H24</f>
        <v>38723.340260855257</v>
      </c>
      <c r="J24" s="96">
        <f ca="1">'Planning Engine'!J24</f>
        <v>6.2936846773063104</v>
      </c>
      <c r="K24" s="95">
        <f ca="1">'Planning Engine'!K24</f>
        <v>16200</v>
      </c>
      <c r="L24" s="12" t="str">
        <f ca="1">'Planning Engine'!L24</f>
        <v>High</v>
      </c>
      <c r="M24" s="93">
        <f>'Planning Engine'!S24</f>
        <v>46569</v>
      </c>
      <c r="N24" s="95">
        <f>'Planning Engine'!T24</f>
        <v>0</v>
      </c>
      <c r="O24" s="94" t="s">
        <v>1056</v>
      </c>
      <c r="P24" s="12" t="str">
        <f t="shared" ca="1" si="1"/>
        <v>⚠ Expedite production / source alternate</v>
      </c>
    </row>
    <row r="25" spans="1:16" ht="13" customHeight="1" x14ac:dyDescent="0.35">
      <c r="A25" s="97">
        <v>46692</v>
      </c>
      <c r="B25" s="53" t="s">
        <v>26</v>
      </c>
      <c r="C25" s="12" t="str">
        <f>'Planning Engine'!C25</f>
        <v>Label/Pack</v>
      </c>
      <c r="D25" s="12" t="str">
        <f>'Planning Engine'!D25</f>
        <v>units</v>
      </c>
      <c r="E25" s="95">
        <f>'Planning Engine'!E25</f>
        <v>38723.340260855257</v>
      </c>
      <c r="F25" s="95">
        <f>'Planning Engine'!F25</f>
        <v>4470.5850761545644</v>
      </c>
      <c r="G25" s="95">
        <f>'Planning Engine'!G25</f>
        <v>0</v>
      </c>
      <c r="H25" s="99">
        <f t="shared" si="0"/>
        <v>-4470.5850761545644</v>
      </c>
      <c r="I25" s="95">
        <f>'Planning Engine'!H25</f>
        <v>34252.755184700691</v>
      </c>
      <c r="J25" s="96">
        <f ca="1">'Planning Engine'!J25</f>
        <v>5.2031964671431457</v>
      </c>
      <c r="K25" s="95">
        <f ca="1">'Planning Engine'!K25</f>
        <v>32400</v>
      </c>
      <c r="L25" s="12" t="str">
        <f ca="1">'Planning Engine'!L25</f>
        <v>High</v>
      </c>
      <c r="M25" s="93">
        <f>'Planning Engine'!S25</f>
        <v>46600</v>
      </c>
      <c r="N25" s="95">
        <f>'Planning Engine'!T25</f>
        <v>0</v>
      </c>
      <c r="O25" s="98" t="s">
        <v>1057</v>
      </c>
      <c r="P25" s="4" t="str">
        <f t="shared" ca="1" si="1"/>
        <v>⚠ Expedite production / source alternate</v>
      </c>
    </row>
    <row r="26" spans="1:16" ht="13" customHeight="1" x14ac:dyDescent="0.35">
      <c r="A26" s="93">
        <v>46722</v>
      </c>
      <c r="B26" s="61" t="s">
        <v>26</v>
      </c>
      <c r="C26" s="12" t="str">
        <f>'Planning Engine'!C26</f>
        <v>Label/Pack</v>
      </c>
      <c r="D26" s="12" t="str">
        <f>'Planning Engine'!D26</f>
        <v>units</v>
      </c>
      <c r="E26" s="95">
        <f>'Planning Engine'!E26</f>
        <v>34252.755184700691</v>
      </c>
      <c r="F26" s="95">
        <f>'Planning Engine'!F26</f>
        <v>4947.5609232171882</v>
      </c>
      <c r="G26" s="95">
        <f>'Planning Engine'!G26</f>
        <v>0</v>
      </c>
      <c r="H26" s="95">
        <f t="shared" si="0"/>
        <v>-4947.5609232171882</v>
      </c>
      <c r="I26" s="95">
        <f>'Planning Engine'!H26</f>
        <v>29305.194261483502</v>
      </c>
      <c r="J26" s="96">
        <f ca="1">'Planning Engine'!J26</f>
        <v>4.1938557577507423</v>
      </c>
      <c r="K26" s="95">
        <f ca="1">'Planning Engine'!K26</f>
        <v>32400</v>
      </c>
      <c r="L26" s="12" t="str">
        <f ca="1">'Planning Engine'!L26</f>
        <v>High</v>
      </c>
      <c r="M26" s="93">
        <f>'Planning Engine'!S26</f>
        <v>46631</v>
      </c>
      <c r="N26" s="95">
        <f>'Planning Engine'!T26</f>
        <v>0</v>
      </c>
      <c r="O26" s="94" t="s">
        <v>1058</v>
      </c>
      <c r="P26" s="12" t="str">
        <f t="shared" ca="1" si="1"/>
        <v>⚠ Expedite production / source alternate</v>
      </c>
    </row>
    <row r="27" spans="1:16" ht="13" customHeight="1" x14ac:dyDescent="0.35">
      <c r="A27" s="97">
        <v>46753</v>
      </c>
      <c r="B27" s="53" t="s">
        <v>26</v>
      </c>
      <c r="C27" s="12" t="str">
        <f>'Planning Engine'!C27</f>
        <v>Label/Pack</v>
      </c>
      <c r="D27" s="12" t="str">
        <f>'Planning Engine'!D27</f>
        <v>units</v>
      </c>
      <c r="E27" s="95">
        <f>'Planning Engine'!E27</f>
        <v>29305.194261483502</v>
      </c>
      <c r="F27" s="95">
        <f>'Planning Engine'!F27</f>
        <v>6277.2442594367567</v>
      </c>
      <c r="G27" s="95">
        <f>'Planning Engine'!G27</f>
        <v>0</v>
      </c>
      <c r="H27" s="99">
        <f t="shared" si="0"/>
        <v>-6277.2442594367567</v>
      </c>
      <c r="I27" s="95">
        <f>'Planning Engine'!H27</f>
        <v>23027.950002046746</v>
      </c>
      <c r="J27" s="96">
        <f ca="1">'Planning Engine'!J27</f>
        <v>3.0126311625958331</v>
      </c>
      <c r="K27" s="95">
        <f ca="1">'Planning Engine'!K27</f>
        <v>48600</v>
      </c>
      <c r="L27" s="12" t="str">
        <f ca="1">'Planning Engine'!L27</f>
        <v>High</v>
      </c>
      <c r="M27" s="93">
        <f>'Planning Engine'!S27</f>
        <v>46661</v>
      </c>
      <c r="N27" s="95">
        <f>'Planning Engine'!T27</f>
        <v>0</v>
      </c>
      <c r="O27" s="98" t="s">
        <v>1059</v>
      </c>
      <c r="P27" s="4" t="str">
        <f t="shared" ca="1" si="1"/>
        <v>⚠ Expedite production / source alternate</v>
      </c>
    </row>
    <row r="28" spans="1:16" ht="13" customHeight="1" x14ac:dyDescent="0.35">
      <c r="A28" s="93">
        <v>46784</v>
      </c>
      <c r="B28" s="61" t="s">
        <v>26</v>
      </c>
      <c r="C28" s="12" t="str">
        <f>'Planning Engine'!C28</f>
        <v>Label/Pack</v>
      </c>
      <c r="D28" s="12" t="str">
        <f>'Planning Engine'!D28</f>
        <v>units</v>
      </c>
      <c r="E28" s="95">
        <f>'Planning Engine'!E28</f>
        <v>23027.950002046746</v>
      </c>
      <c r="F28" s="95">
        <f>'Planning Engine'!F28</f>
        <v>5028.2403452700946</v>
      </c>
      <c r="G28" s="95">
        <f>'Planning Engine'!G28</f>
        <v>0</v>
      </c>
      <c r="H28" s="95">
        <f t="shared" si="0"/>
        <v>-5028.2403452700946</v>
      </c>
      <c r="I28" s="95">
        <f>'Planning Engine'!H28</f>
        <v>17999.709656776649</v>
      </c>
      <c r="J28" s="96">
        <f ca="1">'Planning Engine'!J28</f>
        <v>2.2888546942496268</v>
      </c>
      <c r="K28" s="95">
        <f ca="1">'Planning Engine'!K28</f>
        <v>48600</v>
      </c>
      <c r="L28" s="12" t="str">
        <f ca="1">'Planning Engine'!L28</f>
        <v>High</v>
      </c>
      <c r="M28" s="93">
        <f>'Planning Engine'!S28</f>
        <v>46692</v>
      </c>
      <c r="N28" s="95">
        <f>'Planning Engine'!T28</f>
        <v>0</v>
      </c>
      <c r="O28" s="94" t="s">
        <v>1060</v>
      </c>
      <c r="P28" s="12" t="str">
        <f t="shared" ca="1" si="1"/>
        <v>⚠ Expedite production / source alternate</v>
      </c>
    </row>
    <row r="29" spans="1:16" ht="13" customHeight="1" x14ac:dyDescent="0.35">
      <c r="A29" s="97">
        <v>46813</v>
      </c>
      <c r="B29" s="53" t="s">
        <v>26</v>
      </c>
      <c r="C29" s="12" t="str">
        <f>'Planning Engine'!C29</f>
        <v>Label/Pack</v>
      </c>
      <c r="D29" s="12" t="str">
        <f>'Planning Engine'!D29</f>
        <v>units</v>
      </c>
      <c r="E29" s="95">
        <f>'Planning Engine'!E29</f>
        <v>17999.709656776649</v>
      </c>
      <c r="F29" s="95">
        <f>'Planning Engine'!F29</f>
        <v>6375.1433722913716</v>
      </c>
      <c r="G29" s="95">
        <f>'Planning Engine'!G29</f>
        <v>0</v>
      </c>
      <c r="H29" s="99">
        <f t="shared" si="0"/>
        <v>-6375.1433722913716</v>
      </c>
      <c r="I29" s="95">
        <f>'Planning Engine'!H29</f>
        <v>11624.566284485278</v>
      </c>
      <c r="J29" s="96">
        <f ca="1">'Planning Engine'!J29</f>
        <v>1.3824989694847034</v>
      </c>
      <c r="K29" s="95">
        <f ca="1">'Planning Engine'!K29</f>
        <v>64800</v>
      </c>
      <c r="L29" s="12" t="str">
        <f ca="1">'Planning Engine'!L29</f>
        <v>High</v>
      </c>
      <c r="M29" s="93">
        <f>'Planning Engine'!S29</f>
        <v>46722</v>
      </c>
      <c r="N29" s="95">
        <f>'Planning Engine'!T29</f>
        <v>0</v>
      </c>
      <c r="O29" s="98" t="s">
        <v>1061</v>
      </c>
      <c r="P29" s="4" t="str">
        <f t="shared" ca="1" si="1"/>
        <v>⚠ Expedite production / source alternate</v>
      </c>
    </row>
    <row r="30" spans="1:16" ht="13" customHeight="1" x14ac:dyDescent="0.35">
      <c r="A30" s="93">
        <v>46844</v>
      </c>
      <c r="B30" s="61" t="s">
        <v>26</v>
      </c>
      <c r="C30" s="12" t="str">
        <f>'Planning Engine'!C30</f>
        <v>Label/Pack</v>
      </c>
      <c r="D30" s="12" t="str">
        <f>'Planning Engine'!D30</f>
        <v>units</v>
      </c>
      <c r="E30" s="95">
        <f>'Planning Engine'!E30</f>
        <v>11624.566284485278</v>
      </c>
      <c r="F30" s="95">
        <f>'Planning Engine'!F30</f>
        <v>8397.9412931950319</v>
      </c>
      <c r="G30" s="95">
        <f>'Planning Engine'!G30</f>
        <v>0</v>
      </c>
      <c r="H30" s="95">
        <f t="shared" si="0"/>
        <v>-8397.9412931950319</v>
      </c>
      <c r="I30" s="95">
        <f>'Planning Engine'!H30</f>
        <v>3226.6249912902458</v>
      </c>
      <c r="J30" s="96">
        <f ca="1">'Planning Engine'!J30</f>
        <v>0.37043025875011848</v>
      </c>
      <c r="K30" s="95">
        <f ca="1">'Planning Engine'!K30</f>
        <v>81000</v>
      </c>
      <c r="L30" s="12" t="str">
        <f ca="1">'Planning Engine'!L30</f>
        <v>High</v>
      </c>
      <c r="M30" s="93">
        <f>'Planning Engine'!S30</f>
        <v>46753</v>
      </c>
      <c r="N30" s="95">
        <f>'Planning Engine'!T30</f>
        <v>0</v>
      </c>
      <c r="O30" s="94" t="s">
        <v>1062</v>
      </c>
      <c r="P30" s="12" t="str">
        <f t="shared" ca="1" si="1"/>
        <v>⚠ Expedite production / source alternate</v>
      </c>
    </row>
    <row r="31" spans="1:16" ht="13" customHeight="1" x14ac:dyDescent="0.35">
      <c r="A31" s="97">
        <v>46874</v>
      </c>
      <c r="B31" s="53" t="s">
        <v>26</v>
      </c>
      <c r="C31" s="12" t="str">
        <f>'Planning Engine'!C31</f>
        <v>Label/Pack</v>
      </c>
      <c r="D31" s="12" t="str">
        <f>'Planning Engine'!D31</f>
        <v>units</v>
      </c>
      <c r="E31" s="95">
        <f>'Planning Engine'!E31</f>
        <v>3226.6249912902458</v>
      </c>
      <c r="F31" s="95">
        <f>'Planning Engine'!F31</f>
        <v>6617.4277027717235</v>
      </c>
      <c r="G31" s="95">
        <f>'Planning Engine'!G31</f>
        <v>0</v>
      </c>
      <c r="H31" s="99">
        <f t="shared" si="0"/>
        <v>-6617.4277027717235</v>
      </c>
      <c r="I31" s="95">
        <f>'Planning Engine'!H31</f>
        <v>-3390.8027114814777</v>
      </c>
      <c r="J31" s="96">
        <f ca="1">'Planning Engine'!J31</f>
        <v>-0.38409511090095128</v>
      </c>
      <c r="K31" s="95">
        <f ca="1">'Planning Engine'!K31</f>
        <v>81000</v>
      </c>
      <c r="L31" s="12" t="str">
        <f>'Planning Engine'!L31</f>
        <v>High</v>
      </c>
      <c r="M31" s="93">
        <f>'Planning Engine'!S31</f>
        <v>46784</v>
      </c>
      <c r="N31" s="95">
        <f>'Planning Engine'!T31</f>
        <v>0</v>
      </c>
      <c r="O31" s="98" t="s">
        <v>1063</v>
      </c>
      <c r="P31" s="4" t="str">
        <f t="shared" si="1"/>
        <v>⚠ Expedite production / source alternate</v>
      </c>
    </row>
    <row r="32" spans="1:16" ht="13" customHeight="1" x14ac:dyDescent="0.35">
      <c r="A32" s="93">
        <v>46905</v>
      </c>
      <c r="B32" s="61" t="s">
        <v>26</v>
      </c>
      <c r="C32" s="12" t="str">
        <f>'Planning Engine'!C32</f>
        <v>Label/Pack</v>
      </c>
      <c r="D32" s="12" t="str">
        <f>'Planning Engine'!D32</f>
        <v>units</v>
      </c>
      <c r="E32" s="95">
        <f>'Planning Engine'!E32</f>
        <v>-3390.8027114814777</v>
      </c>
      <c r="F32" s="95">
        <f>'Planning Engine'!F32</f>
        <v>8869.5561006615644</v>
      </c>
      <c r="G32" s="95">
        <f>'Planning Engine'!G32</f>
        <v>0</v>
      </c>
      <c r="H32" s="95">
        <f t="shared" si="0"/>
        <v>-8869.5561006615644</v>
      </c>
      <c r="I32" s="95">
        <f>'Planning Engine'!H32</f>
        <v>-12260.358812143042</v>
      </c>
      <c r="J32" s="96">
        <f ca="1">'Planning Engine'!J32</f>
        <v>-1.3256956649035649</v>
      </c>
      <c r="K32" s="95">
        <f ca="1">'Planning Engine'!K32</f>
        <v>97200</v>
      </c>
      <c r="L32" s="12" t="str">
        <f>'Planning Engine'!L32</f>
        <v>High</v>
      </c>
      <c r="M32" s="93">
        <f>'Planning Engine'!S32</f>
        <v>46813</v>
      </c>
      <c r="N32" s="95">
        <f>'Planning Engine'!T32</f>
        <v>0</v>
      </c>
      <c r="O32" s="94" t="s">
        <v>1064</v>
      </c>
      <c r="P32" s="12" t="str">
        <f t="shared" si="1"/>
        <v>⚠ Expedite production / source alternate</v>
      </c>
    </row>
    <row r="33" spans="1:16" ht="13" customHeight="1" x14ac:dyDescent="0.35">
      <c r="A33" s="97">
        <v>46935</v>
      </c>
      <c r="B33" s="53" t="s">
        <v>26</v>
      </c>
      <c r="C33" s="12" t="str">
        <f>'Planning Engine'!C33</f>
        <v>Label/Pack</v>
      </c>
      <c r="D33" s="12" t="str">
        <f>'Planning Engine'!D33</f>
        <v>units</v>
      </c>
      <c r="E33" s="95">
        <f>'Planning Engine'!E33</f>
        <v>-12260.358812143042</v>
      </c>
      <c r="F33" s="95">
        <f>'Planning Engine'!F33</f>
        <v>8263.4961096135248</v>
      </c>
      <c r="G33" s="95">
        <f>'Planning Engine'!G33</f>
        <v>0</v>
      </c>
      <c r="H33" s="99">
        <f t="shared" si="0"/>
        <v>-8263.4961096135248</v>
      </c>
      <c r="I33" s="95">
        <f>'Planning Engine'!H33</f>
        <v>-20523.854921756567</v>
      </c>
      <c r="J33" s="96">
        <f ca="1">'Planning Engine'!J33</f>
        <v>-2.225529572416673</v>
      </c>
      <c r="K33" s="95">
        <f ca="1">'Planning Engine'!K33</f>
        <v>97200</v>
      </c>
      <c r="L33" s="12" t="str">
        <f>'Planning Engine'!L33</f>
        <v>High</v>
      </c>
      <c r="M33" s="93">
        <f>'Planning Engine'!S33</f>
        <v>46844</v>
      </c>
      <c r="N33" s="95">
        <f>'Planning Engine'!T33</f>
        <v>0</v>
      </c>
      <c r="O33" s="98" t="s">
        <v>1065</v>
      </c>
      <c r="P33" s="4" t="str">
        <f t="shared" si="1"/>
        <v>⚠ Expedite production / source alternate</v>
      </c>
    </row>
    <row r="34" spans="1:16" ht="13" customHeight="1" x14ac:dyDescent="0.35">
      <c r="A34" s="93">
        <v>46966</v>
      </c>
      <c r="B34" s="61" t="s">
        <v>26</v>
      </c>
      <c r="C34" s="12" t="str">
        <f>'Planning Engine'!C34</f>
        <v>Label/Pack</v>
      </c>
      <c r="D34" s="12" t="str">
        <f>'Planning Engine'!D34</f>
        <v>units</v>
      </c>
      <c r="E34" s="95">
        <f>'Planning Engine'!E34</f>
        <v>-20523.854921756567</v>
      </c>
      <c r="F34" s="95">
        <f>'Planning Engine'!F34</f>
        <v>8112.2357642945672</v>
      </c>
      <c r="G34" s="95">
        <f>'Planning Engine'!G34</f>
        <v>0</v>
      </c>
      <c r="H34" s="95">
        <f t="shared" si="0"/>
        <v>-8112.2357642945672</v>
      </c>
      <c r="I34" s="95">
        <f>'Planning Engine'!H34</f>
        <v>-28636.090686051135</v>
      </c>
      <c r="J34" s="96">
        <f ca="1">'Planning Engine'!J34</f>
        <v>-2.9817862313886332</v>
      </c>
      <c r="K34" s="95">
        <f ca="1">'Planning Engine'!K34</f>
        <v>113400</v>
      </c>
      <c r="L34" s="12" t="str">
        <f>'Planning Engine'!L34</f>
        <v>High</v>
      </c>
      <c r="M34" s="93">
        <f>'Planning Engine'!S34</f>
        <v>46874</v>
      </c>
      <c r="N34" s="95">
        <f>'Planning Engine'!T34</f>
        <v>0</v>
      </c>
      <c r="O34" s="94" t="s">
        <v>1066</v>
      </c>
      <c r="P34" s="12" t="str">
        <f t="shared" si="1"/>
        <v>⚠ Expedite production / source alternate</v>
      </c>
    </row>
    <row r="35" spans="1:16" ht="13" customHeight="1" x14ac:dyDescent="0.35">
      <c r="A35" s="97">
        <v>46997</v>
      </c>
      <c r="B35" s="53" t="s">
        <v>26</v>
      </c>
      <c r="C35" s="12" t="str">
        <f>'Planning Engine'!C35</f>
        <v>Label/Pack</v>
      </c>
      <c r="D35" s="12" t="str">
        <f>'Planning Engine'!D35</f>
        <v>units</v>
      </c>
      <c r="E35" s="95">
        <f>'Planning Engine'!E35</f>
        <v>-28636.090686051135</v>
      </c>
      <c r="F35" s="95">
        <f>'Planning Engine'!F35</f>
        <v>10852.914817644212</v>
      </c>
      <c r="G35" s="95">
        <f>'Planning Engine'!G35</f>
        <v>0</v>
      </c>
      <c r="H35" s="99">
        <f t="shared" si="0"/>
        <v>-10852.914817644212</v>
      </c>
      <c r="I35" s="95">
        <f>'Planning Engine'!H35</f>
        <v>-39489.005503695349</v>
      </c>
      <c r="J35" s="96">
        <f ca="1">'Planning Engine'!J35</f>
        <v>-4.0112009858451385</v>
      </c>
      <c r="K35" s="95">
        <f ca="1">'Planning Engine'!K35</f>
        <v>129600</v>
      </c>
      <c r="L35" s="12" t="str">
        <f>'Planning Engine'!L35</f>
        <v>High</v>
      </c>
      <c r="M35" s="93">
        <f>'Planning Engine'!S35</f>
        <v>46905</v>
      </c>
      <c r="N35" s="95">
        <f>'Planning Engine'!T35</f>
        <v>0</v>
      </c>
      <c r="O35" s="98" t="s">
        <v>1067</v>
      </c>
      <c r="P35" s="4" t="str">
        <f t="shared" si="1"/>
        <v>⚠ Expedite production / source alternate</v>
      </c>
    </row>
    <row r="36" spans="1:16" ht="13" customHeight="1" x14ac:dyDescent="0.35">
      <c r="A36" s="93">
        <v>47027</v>
      </c>
      <c r="B36" s="61" t="s">
        <v>26</v>
      </c>
      <c r="C36" s="12" t="str">
        <f>'Planning Engine'!C36</f>
        <v>Label/Pack</v>
      </c>
      <c r="D36" s="12" t="str">
        <f>'Planning Engine'!D36</f>
        <v>units</v>
      </c>
      <c r="E36" s="95">
        <f>'Planning Engine'!E36</f>
        <v>-39489.005503695349</v>
      </c>
      <c r="F36" s="95">
        <f>'Planning Engine'!F36</f>
        <v>8259.6592431022946</v>
      </c>
      <c r="G36" s="95">
        <f>'Planning Engine'!G36</f>
        <v>0</v>
      </c>
      <c r="H36" s="95">
        <f t="shared" si="0"/>
        <v>-8259.6592431022946</v>
      </c>
      <c r="I36" s="95">
        <f>'Planning Engine'!H36</f>
        <v>-47748.664746797644</v>
      </c>
      <c r="J36" s="96">
        <f ca="1">'Planning Engine'!J36</f>
        <v>-4.8119027819926634</v>
      </c>
      <c r="K36" s="95">
        <f ca="1">'Planning Engine'!K36</f>
        <v>129600</v>
      </c>
      <c r="L36" s="12" t="str">
        <f>'Planning Engine'!L36</f>
        <v>High</v>
      </c>
      <c r="M36" s="93">
        <f>'Planning Engine'!S36</f>
        <v>46935</v>
      </c>
      <c r="N36" s="95">
        <f>'Planning Engine'!T36</f>
        <v>0</v>
      </c>
      <c r="O36" s="94" t="s">
        <v>1068</v>
      </c>
      <c r="P36" s="12" t="str">
        <f t="shared" si="1"/>
        <v>⚠ Expedite production / source alternate</v>
      </c>
    </row>
    <row r="37" spans="1:16" ht="13" customHeight="1" x14ac:dyDescent="0.35">
      <c r="A37" s="97">
        <v>47058</v>
      </c>
      <c r="B37" s="53" t="s">
        <v>26</v>
      </c>
      <c r="C37" s="12" t="str">
        <f>'Planning Engine'!C37</f>
        <v>Label/Pack</v>
      </c>
      <c r="D37" s="12" t="str">
        <f>'Planning Engine'!D37</f>
        <v>units</v>
      </c>
      <c r="E37" s="95">
        <f>'Planning Engine'!E37</f>
        <v>-47748.664746797644</v>
      </c>
      <c r="F37" s="95">
        <f>'Planning Engine'!F37</f>
        <v>9926.9778893556359</v>
      </c>
      <c r="G37" s="95">
        <f>'Planning Engine'!G37</f>
        <v>0</v>
      </c>
      <c r="H37" s="99">
        <f t="shared" si="0"/>
        <v>-9926.9778893556359</v>
      </c>
      <c r="I37" s="95">
        <f>'Planning Engine'!H37</f>
        <v>-57675.642636153279</v>
      </c>
      <c r="J37" s="96">
        <f ca="1">'Planning Engine'!J37</f>
        <v>-5.7193989796666784</v>
      </c>
      <c r="K37" s="95">
        <f ca="1">'Planning Engine'!K37</f>
        <v>145800</v>
      </c>
      <c r="L37" s="12" t="str">
        <f>'Planning Engine'!L37</f>
        <v>High</v>
      </c>
      <c r="M37" s="93">
        <f>'Planning Engine'!S37</f>
        <v>46966</v>
      </c>
      <c r="N37" s="95">
        <f>'Planning Engine'!T37</f>
        <v>0</v>
      </c>
      <c r="O37" s="98" t="s">
        <v>1069</v>
      </c>
      <c r="P37" s="4" t="str">
        <f t="shared" si="1"/>
        <v>⚠ Expedite production / source alternate</v>
      </c>
    </row>
    <row r="38" spans="1:16" ht="13" customHeight="1" x14ac:dyDescent="0.35">
      <c r="A38" s="93">
        <v>47088</v>
      </c>
      <c r="B38" s="61" t="s">
        <v>26</v>
      </c>
      <c r="C38" s="12" t="str">
        <f>'Planning Engine'!C38</f>
        <v>Label/Pack</v>
      </c>
      <c r="D38" s="12" t="str">
        <f>'Planning Engine'!D38</f>
        <v>units</v>
      </c>
      <c r="E38" s="95">
        <f>'Planning Engine'!E38</f>
        <v>-57675.642636153279</v>
      </c>
      <c r="F38" s="95">
        <f>'Planning Engine'!F38</f>
        <v>9094.1021153869915</v>
      </c>
      <c r="G38" s="95">
        <f>'Planning Engine'!G38</f>
        <v>0</v>
      </c>
      <c r="H38" s="95">
        <f t="shared" si="0"/>
        <v>-9094.1021153869915</v>
      </c>
      <c r="I38" s="95">
        <f>'Planning Engine'!H38</f>
        <v>-66769.744751540275</v>
      </c>
      <c r="J38" s="96">
        <f ca="1">'Planning Engine'!J38</f>
        <v>-6.5295734166207504</v>
      </c>
      <c r="K38" s="95">
        <f ca="1">'Planning Engine'!K38</f>
        <v>162000</v>
      </c>
      <c r="L38" s="12" t="str">
        <f>'Planning Engine'!L38</f>
        <v>High</v>
      </c>
      <c r="M38" s="93">
        <f>'Planning Engine'!S38</f>
        <v>46997</v>
      </c>
      <c r="N38" s="95">
        <f>'Planning Engine'!T38</f>
        <v>0</v>
      </c>
      <c r="O38" s="94" t="s">
        <v>1070</v>
      </c>
      <c r="P38" s="12" t="str">
        <f t="shared" si="1"/>
        <v>⚠ Expedite production / source alternate</v>
      </c>
    </row>
    <row r="39" spans="1:16" ht="13" customHeight="1" x14ac:dyDescent="0.35">
      <c r="A39" s="97">
        <v>47119</v>
      </c>
      <c r="B39" s="53" t="s">
        <v>26</v>
      </c>
      <c r="C39" s="12" t="str">
        <f>'Planning Engine'!C39</f>
        <v>Label/Pack</v>
      </c>
      <c r="D39" s="12" t="str">
        <f>'Planning Engine'!D39</f>
        <v>units</v>
      </c>
      <c r="E39" s="95">
        <f>'Planning Engine'!E39</f>
        <v>-66769.744751540275</v>
      </c>
      <c r="F39" s="95">
        <f>'Planning Engine'!F39</f>
        <v>9455.8897034058209</v>
      </c>
      <c r="G39" s="95">
        <f>'Planning Engine'!G39</f>
        <v>0</v>
      </c>
      <c r="H39" s="99">
        <f t="shared" si="0"/>
        <v>-9455.8897034058209</v>
      </c>
      <c r="I39" s="95">
        <f>'Planning Engine'!H39</f>
        <v>-76225.634454946092</v>
      </c>
      <c r="J39" s="96">
        <f ca="1">'Planning Engine'!J39</f>
        <v>-7.1563701937678514</v>
      </c>
      <c r="K39" s="95">
        <f ca="1">'Planning Engine'!K39</f>
        <v>178200</v>
      </c>
      <c r="L39" s="12" t="str">
        <f>'Planning Engine'!L39</f>
        <v>High</v>
      </c>
      <c r="M39" s="93">
        <f>'Planning Engine'!S39</f>
        <v>47027</v>
      </c>
      <c r="N39" s="95">
        <f>'Planning Engine'!T39</f>
        <v>0</v>
      </c>
      <c r="O39" s="98" t="s">
        <v>1071</v>
      </c>
      <c r="P39" s="4" t="str">
        <f t="shared" si="1"/>
        <v>⚠ Expedite production / source alternate</v>
      </c>
    </row>
    <row r="40" spans="1:16" ht="13" customHeight="1" x14ac:dyDescent="0.35">
      <c r="A40" s="93">
        <v>47150</v>
      </c>
      <c r="B40" s="61" t="s">
        <v>26</v>
      </c>
      <c r="C40" s="12" t="str">
        <f>'Planning Engine'!C40</f>
        <v>Label/Pack</v>
      </c>
      <c r="D40" s="12" t="str">
        <f>'Planning Engine'!D40</f>
        <v>units</v>
      </c>
      <c r="E40" s="95">
        <f>'Planning Engine'!E40</f>
        <v>-76225.634454946092</v>
      </c>
      <c r="F40" s="95">
        <f>'Planning Engine'!F40</f>
        <v>10399.376703097714</v>
      </c>
      <c r="G40" s="95">
        <f>'Planning Engine'!G40</f>
        <v>0</v>
      </c>
      <c r="H40" s="95">
        <f t="shared" si="0"/>
        <v>-10399.376703097714</v>
      </c>
      <c r="I40" s="95">
        <f>'Planning Engine'!H40</f>
        <v>-86625.01115804381</v>
      </c>
      <c r="J40" s="96">
        <f ca="1">'Planning Engine'!J40</f>
        <v>-8.1762320399667985</v>
      </c>
      <c r="K40" s="95">
        <f ca="1">'Planning Engine'!K40</f>
        <v>178200</v>
      </c>
      <c r="L40" s="12" t="str">
        <f>'Planning Engine'!L40</f>
        <v>High</v>
      </c>
      <c r="M40" s="93">
        <f>'Planning Engine'!S40</f>
        <v>47058</v>
      </c>
      <c r="N40" s="95">
        <f>'Planning Engine'!T40</f>
        <v>0</v>
      </c>
      <c r="O40" s="94" t="s">
        <v>1072</v>
      </c>
      <c r="P40" s="12" t="str">
        <f t="shared" si="1"/>
        <v>⚠ Expedite production / source alternate</v>
      </c>
    </row>
    <row r="41" spans="1:16" ht="13" customHeight="1" x14ac:dyDescent="0.35">
      <c r="A41" s="97">
        <v>47178</v>
      </c>
      <c r="B41" s="53" t="s">
        <v>26</v>
      </c>
      <c r="C41" s="12" t="str">
        <f>'Planning Engine'!C41</f>
        <v>Label/Pack</v>
      </c>
      <c r="D41" s="12" t="str">
        <f>'Planning Engine'!D41</f>
        <v>units</v>
      </c>
      <c r="E41" s="95">
        <f>'Planning Engine'!E41</f>
        <v>-86625.01115804381</v>
      </c>
      <c r="F41" s="95">
        <f>'Planning Engine'!F41</f>
        <v>8633.43340643991</v>
      </c>
      <c r="G41" s="95">
        <f>'Planning Engine'!G41</f>
        <v>0</v>
      </c>
      <c r="H41" s="99">
        <f t="shared" si="0"/>
        <v>-8633.43340643991</v>
      </c>
      <c r="I41" s="95">
        <f>'Planning Engine'!H41</f>
        <v>-95258.444564483725</v>
      </c>
      <c r="J41" s="96">
        <f ca="1">'Planning Engine'!J41</f>
        <v>-8.7637417697566526</v>
      </c>
      <c r="K41" s="95">
        <f ca="1">'Planning Engine'!K41</f>
        <v>194400</v>
      </c>
      <c r="L41" s="12" t="str">
        <f>'Planning Engine'!L41</f>
        <v>High</v>
      </c>
      <c r="M41" s="93">
        <f>'Planning Engine'!S41</f>
        <v>47088</v>
      </c>
      <c r="N41" s="95">
        <f>'Planning Engine'!T41</f>
        <v>0</v>
      </c>
      <c r="O41" s="98" t="s">
        <v>1073</v>
      </c>
      <c r="P41" s="4" t="str">
        <f t="shared" si="1"/>
        <v>⚠ Expedite production / source alternate</v>
      </c>
    </row>
    <row r="42" spans="1:16" ht="13" customHeight="1" x14ac:dyDescent="0.35">
      <c r="A42" s="93">
        <v>47209</v>
      </c>
      <c r="B42" s="61" t="s">
        <v>26</v>
      </c>
      <c r="C42" s="12" t="str">
        <f>'Planning Engine'!C42</f>
        <v>Label/Pack</v>
      </c>
      <c r="D42" s="12" t="str">
        <f>'Planning Engine'!D42</f>
        <v>units</v>
      </c>
      <c r="E42" s="95">
        <f>'Planning Engine'!E42</f>
        <v>-95258.444564483725</v>
      </c>
      <c r="F42" s="95">
        <f>'Planning Engine'!F42</f>
        <v>11698.43947969805</v>
      </c>
      <c r="G42" s="95">
        <f>'Planning Engine'!G42</f>
        <v>0</v>
      </c>
      <c r="H42" s="95">
        <f t="shared" si="0"/>
        <v>-11698.43947969805</v>
      </c>
      <c r="I42" s="95">
        <f>'Planning Engine'!H42</f>
        <v>-106956.88404418177</v>
      </c>
      <c r="J42" s="96">
        <f ca="1">'Planning Engine'!J42</f>
        <v>-9.6672995505093198</v>
      </c>
      <c r="K42" s="95">
        <f ca="1">'Planning Engine'!K42</f>
        <v>210600</v>
      </c>
      <c r="L42" s="12" t="str">
        <f>'Planning Engine'!L42</f>
        <v>High</v>
      </c>
      <c r="M42" s="93">
        <f>'Planning Engine'!S42</f>
        <v>47119</v>
      </c>
      <c r="N42" s="95">
        <f>'Planning Engine'!T42</f>
        <v>0</v>
      </c>
      <c r="O42" s="94" t="s">
        <v>1074</v>
      </c>
      <c r="P42" s="12" t="str">
        <f t="shared" si="1"/>
        <v>⚠ Expedite production / source alternate</v>
      </c>
    </row>
    <row r="43" spans="1:16" ht="13" customHeight="1" x14ac:dyDescent="0.35">
      <c r="A43" s="97">
        <v>47239</v>
      </c>
      <c r="B43" s="53" t="s">
        <v>26</v>
      </c>
      <c r="C43" s="12" t="str">
        <f>'Planning Engine'!C43</f>
        <v>Label/Pack</v>
      </c>
      <c r="D43" s="12" t="str">
        <f>'Planning Engine'!D43</f>
        <v>units</v>
      </c>
      <c r="E43" s="95">
        <f>'Planning Engine'!E43</f>
        <v>-106956.88404418177</v>
      </c>
      <c r="F43" s="95">
        <f>'Planning Engine'!F43</f>
        <v>10281.361155544804</v>
      </c>
      <c r="G43" s="95">
        <f>'Planning Engine'!G43</f>
        <v>0</v>
      </c>
      <c r="H43" s="99">
        <f t="shared" si="0"/>
        <v>-10281.361155544804</v>
      </c>
      <c r="I43" s="95">
        <f>'Planning Engine'!H43</f>
        <v>-117238.24519972657</v>
      </c>
      <c r="J43" s="96">
        <f ca="1">'Planning Engine'!J43</f>
        <v>-10.664753150707439</v>
      </c>
      <c r="K43" s="95">
        <f ca="1">'Planning Engine'!K43</f>
        <v>210600</v>
      </c>
      <c r="L43" s="12" t="str">
        <f>'Planning Engine'!L43</f>
        <v>High</v>
      </c>
      <c r="M43" s="93">
        <f>'Planning Engine'!S43</f>
        <v>47150</v>
      </c>
      <c r="N43" s="95">
        <f>'Planning Engine'!T43</f>
        <v>0</v>
      </c>
      <c r="O43" s="98" t="s">
        <v>1075</v>
      </c>
      <c r="P43" s="4" t="str">
        <f t="shared" si="1"/>
        <v>⚠ Expedite production / source alternate</v>
      </c>
    </row>
    <row r="44" spans="1:16" ht="13" customHeight="1" x14ac:dyDescent="0.35">
      <c r="A44" s="93">
        <v>47270</v>
      </c>
      <c r="B44" s="61" t="s">
        <v>26</v>
      </c>
      <c r="C44" s="12" t="str">
        <f>'Planning Engine'!C44</f>
        <v>Label/Pack</v>
      </c>
      <c r="D44" s="12" t="str">
        <f>'Planning Engine'!D44</f>
        <v>units</v>
      </c>
      <c r="E44" s="95">
        <f>'Planning Engine'!E44</f>
        <v>-117238.24519972657</v>
      </c>
      <c r="F44" s="95">
        <f>'Planning Engine'!F44</f>
        <v>11558.047294338838</v>
      </c>
      <c r="G44" s="95">
        <f>'Planning Engine'!G44</f>
        <v>0</v>
      </c>
      <c r="H44" s="95">
        <f t="shared" si="0"/>
        <v>-11558.047294338838</v>
      </c>
      <c r="I44" s="95">
        <f>'Planning Engine'!H44</f>
        <v>-128796.29249406542</v>
      </c>
      <c r="J44" s="96">
        <f ca="1">'Planning Engine'!J44</f>
        <v>-11.495685599909425</v>
      </c>
      <c r="K44" s="95">
        <f ca="1">'Planning Engine'!K44</f>
        <v>226800</v>
      </c>
      <c r="L44" s="12" t="str">
        <f>'Planning Engine'!L44</f>
        <v>High</v>
      </c>
      <c r="M44" s="93">
        <f>'Planning Engine'!S44</f>
        <v>47178</v>
      </c>
      <c r="N44" s="95">
        <f>'Planning Engine'!T44</f>
        <v>0</v>
      </c>
      <c r="O44" s="94" t="s">
        <v>1076</v>
      </c>
      <c r="P44" s="12" t="str">
        <f t="shared" si="1"/>
        <v>⚠ Expedite production / source alternate</v>
      </c>
    </row>
    <row r="45" spans="1:16" ht="13" customHeight="1" x14ac:dyDescent="0.35">
      <c r="A45" s="97">
        <v>47300</v>
      </c>
      <c r="B45" s="53" t="s">
        <v>26</v>
      </c>
      <c r="C45" s="12" t="str">
        <f>'Planning Engine'!C45</f>
        <v>Label/Pack</v>
      </c>
      <c r="D45" s="12" t="str">
        <f>'Planning Engine'!D45</f>
        <v>units</v>
      </c>
      <c r="E45" s="95">
        <f>'Planning Engine'!E45</f>
        <v>-128796.29249406542</v>
      </c>
      <c r="F45" s="95">
        <f>'Planning Engine'!F45</f>
        <v>9710.2972673691693</v>
      </c>
      <c r="G45" s="95">
        <f>'Planning Engine'!G45</f>
        <v>0</v>
      </c>
      <c r="H45" s="99">
        <f t="shared" si="0"/>
        <v>-9710.2972673691693</v>
      </c>
      <c r="I45" s="95">
        <f>'Planning Engine'!H45</f>
        <v>-138506.58976143459</v>
      </c>
      <c r="J45" s="96">
        <f ca="1">'Planning Engine'!J45</f>
        <v>-12.537314640302386</v>
      </c>
      <c r="K45" s="95">
        <f ca="1">'Planning Engine'!K45</f>
        <v>243000</v>
      </c>
      <c r="L45" s="12" t="str">
        <f>'Planning Engine'!L45</f>
        <v>High</v>
      </c>
      <c r="M45" s="93">
        <f>'Planning Engine'!S45</f>
        <v>47209</v>
      </c>
      <c r="N45" s="95">
        <f>'Planning Engine'!T45</f>
        <v>0</v>
      </c>
      <c r="O45" s="98" t="s">
        <v>1077</v>
      </c>
      <c r="P45" s="4" t="str">
        <f t="shared" si="1"/>
        <v>⚠ Expedite production / source alternate</v>
      </c>
    </row>
    <row r="46" spans="1:16" ht="13" customHeight="1" x14ac:dyDescent="0.35">
      <c r="A46" s="93">
        <v>47331</v>
      </c>
      <c r="B46" s="61" t="s">
        <v>26</v>
      </c>
      <c r="C46" s="12" t="str">
        <f>'Planning Engine'!C46</f>
        <v>Label/Pack</v>
      </c>
      <c r="D46" s="12" t="str">
        <f>'Planning Engine'!D46</f>
        <v>units</v>
      </c>
      <c r="E46" s="95">
        <f>'Planning Engine'!E46</f>
        <v>-138506.58976143459</v>
      </c>
      <c r="F46" s="95">
        <f>'Planning Engine'!F46</f>
        <v>11200.746895376578</v>
      </c>
      <c r="G46" s="95">
        <f>'Planning Engine'!G46</f>
        <v>0</v>
      </c>
      <c r="H46" s="95">
        <f t="shared" si="0"/>
        <v>-11200.746895376578</v>
      </c>
      <c r="I46" s="95">
        <f>'Planning Engine'!H46</f>
        <v>-149707.33665681118</v>
      </c>
      <c r="J46" s="96">
        <f ca="1">'Planning Engine'!J46</f>
        <v>-13.135424483544504</v>
      </c>
      <c r="K46" s="95">
        <f ca="1">'Planning Engine'!K46</f>
        <v>259200</v>
      </c>
      <c r="L46" s="12" t="str">
        <f>'Planning Engine'!L46</f>
        <v>High</v>
      </c>
      <c r="M46" s="93">
        <f>'Planning Engine'!S46</f>
        <v>47239</v>
      </c>
      <c r="N46" s="95">
        <f>'Planning Engine'!T46</f>
        <v>0</v>
      </c>
      <c r="O46" s="94" t="s">
        <v>1078</v>
      </c>
      <c r="P46" s="12" t="str">
        <f t="shared" si="1"/>
        <v>⚠ Expedite production / source alternate</v>
      </c>
    </row>
    <row r="47" spans="1:16" ht="13" customHeight="1" x14ac:dyDescent="0.35">
      <c r="A47" s="97">
        <v>47362</v>
      </c>
      <c r="B47" s="53" t="s">
        <v>26</v>
      </c>
      <c r="C47" s="12" t="str">
        <f>'Planning Engine'!C47</f>
        <v>Label/Pack</v>
      </c>
      <c r="D47" s="12" t="str">
        <f>'Planning Engine'!D47</f>
        <v>units</v>
      </c>
      <c r="E47" s="95">
        <f>'Planning Engine'!E47</f>
        <v>-149707.33665681118</v>
      </c>
      <c r="F47" s="95">
        <f>'Planning Engine'!F47</f>
        <v>12925.351391310809</v>
      </c>
      <c r="G47" s="95">
        <f>'Planning Engine'!G47</f>
        <v>0</v>
      </c>
      <c r="H47" s="99">
        <f t="shared" si="0"/>
        <v>-12925.351391310809</v>
      </c>
      <c r="I47" s="95">
        <f>'Planning Engine'!H47</f>
        <v>-162632.68804812199</v>
      </c>
      <c r="J47" s="96">
        <f ca="1">'Planning Engine'!J47</f>
        <v>-13.940037206749164</v>
      </c>
      <c r="K47" s="95">
        <f ca="1">'Planning Engine'!K47</f>
        <v>275400</v>
      </c>
      <c r="L47" s="12" t="str">
        <f>'Planning Engine'!L47</f>
        <v>High</v>
      </c>
      <c r="M47" s="93">
        <f>'Planning Engine'!S47</f>
        <v>47270</v>
      </c>
      <c r="N47" s="95">
        <f>'Planning Engine'!T47</f>
        <v>0</v>
      </c>
      <c r="O47" s="98" t="s">
        <v>1079</v>
      </c>
      <c r="P47" s="4" t="str">
        <f t="shared" si="1"/>
        <v>⚠ Expedite production / source alternate</v>
      </c>
    </row>
    <row r="48" spans="1:16" ht="13" customHeight="1" x14ac:dyDescent="0.35">
      <c r="A48" s="93">
        <v>47392</v>
      </c>
      <c r="B48" s="61" t="s">
        <v>26</v>
      </c>
      <c r="C48" s="12" t="str">
        <f>'Planning Engine'!C48</f>
        <v>Label/Pack</v>
      </c>
      <c r="D48" s="12" t="str">
        <f>'Planning Engine'!D48</f>
        <v>units</v>
      </c>
      <c r="E48" s="95">
        <f>'Planning Engine'!E48</f>
        <v>-162632.68804812199</v>
      </c>
      <c r="F48" s="95">
        <f>'Planning Engine'!F48</f>
        <v>8945.5607420650613</v>
      </c>
      <c r="G48" s="95">
        <f>'Planning Engine'!G48</f>
        <v>0</v>
      </c>
      <c r="H48" s="95">
        <f t="shared" si="0"/>
        <v>-8945.5607420650613</v>
      </c>
      <c r="I48" s="95">
        <f>'Planning Engine'!H48</f>
        <v>-171578.24879018703</v>
      </c>
      <c r="J48" s="96">
        <f ca="1">'Planning Engine'!J48</f>
        <v>-14.590148570955341</v>
      </c>
      <c r="K48" s="95">
        <f ca="1">'Planning Engine'!K48</f>
        <v>275400</v>
      </c>
      <c r="L48" s="12" t="str">
        <f>'Planning Engine'!L48</f>
        <v>High</v>
      </c>
      <c r="M48" s="93">
        <f>'Planning Engine'!S48</f>
        <v>47300</v>
      </c>
      <c r="N48" s="95">
        <f>'Planning Engine'!T48</f>
        <v>0</v>
      </c>
      <c r="O48" s="94" t="s">
        <v>1080</v>
      </c>
      <c r="P48" s="12" t="str">
        <f t="shared" si="1"/>
        <v>⚠ Expedite production / source alternate</v>
      </c>
    </row>
    <row r="49" spans="1:16" ht="13" customHeight="1" x14ac:dyDescent="0.35">
      <c r="A49" s="97">
        <v>47423</v>
      </c>
      <c r="B49" s="53" t="s">
        <v>26</v>
      </c>
      <c r="C49" s="12" t="str">
        <f>'Planning Engine'!C49</f>
        <v>Label/Pack</v>
      </c>
      <c r="D49" s="12" t="str">
        <f>'Planning Engine'!D49</f>
        <v>units</v>
      </c>
      <c r="E49" s="95">
        <f>'Planning Engine'!E49</f>
        <v>-171578.24879018703</v>
      </c>
      <c r="F49" s="95">
        <f>'Planning Engine'!F49</f>
        <v>12873.241468251274</v>
      </c>
      <c r="G49" s="95">
        <f>'Planning Engine'!G49</f>
        <v>0</v>
      </c>
      <c r="H49" s="99">
        <f t="shared" si="0"/>
        <v>-12873.241468251274</v>
      </c>
      <c r="I49" s="95">
        <f>'Planning Engine'!H49</f>
        <v>-184451.49025843831</v>
      </c>
      <c r="J49" s="96">
        <f ca="1">'Planning Engine'!J49</f>
        <v>-15.399842798344155</v>
      </c>
      <c r="K49" s="95">
        <f ca="1">'Planning Engine'!K49</f>
        <v>291600</v>
      </c>
      <c r="L49" s="12" t="str">
        <f>'Planning Engine'!L49</f>
        <v>High</v>
      </c>
      <c r="M49" s="93">
        <f>'Planning Engine'!S49</f>
        <v>47331</v>
      </c>
      <c r="N49" s="95">
        <f>'Planning Engine'!T49</f>
        <v>0</v>
      </c>
      <c r="O49" s="98" t="s">
        <v>1081</v>
      </c>
      <c r="P49" s="4" t="str">
        <f t="shared" si="1"/>
        <v>⚠ Expedite production / source alternate</v>
      </c>
    </row>
    <row r="50" spans="1:16" ht="13" customHeight="1" x14ac:dyDescent="0.35">
      <c r="A50" s="93">
        <v>47453</v>
      </c>
      <c r="B50" s="61" t="s">
        <v>26</v>
      </c>
      <c r="C50" s="12" t="str">
        <f>'Planning Engine'!C50</f>
        <v>Label/Pack</v>
      </c>
      <c r="D50" s="12" t="str">
        <f>'Planning Engine'!D50</f>
        <v>units</v>
      </c>
      <c r="E50" s="95">
        <f>'Planning Engine'!E50</f>
        <v>-184451.49025843831</v>
      </c>
      <c r="F50" s="95">
        <f>'Planning Engine'!F50</f>
        <v>10380.982334060835</v>
      </c>
      <c r="G50" s="95">
        <f>'Planning Engine'!G50</f>
        <v>0</v>
      </c>
      <c r="H50" s="95">
        <f t="shared" si="0"/>
        <v>-10380.982334060835</v>
      </c>
      <c r="I50" s="95">
        <f>'Planning Engine'!H50</f>
        <v>-194832.47259249914</v>
      </c>
      <c r="J50" s="96">
        <f ca="1">'Planning Engine'!J50</f>
        <v>-15.876406452937935</v>
      </c>
      <c r="K50" s="95">
        <f ca="1">'Planning Engine'!K50</f>
        <v>307800</v>
      </c>
      <c r="L50" s="12" t="str">
        <f>'Planning Engine'!L50</f>
        <v>High</v>
      </c>
      <c r="M50" s="93">
        <f>'Planning Engine'!S50</f>
        <v>47362</v>
      </c>
      <c r="N50" s="95">
        <f>'Planning Engine'!T50</f>
        <v>0</v>
      </c>
      <c r="O50" s="94" t="s">
        <v>1082</v>
      </c>
      <c r="P50" s="12" t="str">
        <f t="shared" si="1"/>
        <v>⚠ Expedite production / source alternate</v>
      </c>
    </row>
    <row r="51" spans="1:16" ht="13" customHeight="1" x14ac:dyDescent="0.35">
      <c r="A51" s="97">
        <v>47484</v>
      </c>
      <c r="B51" s="53" t="s">
        <v>26</v>
      </c>
      <c r="C51" s="12" t="str">
        <f>'Planning Engine'!C51</f>
        <v>Label/Pack</v>
      </c>
      <c r="D51" s="12" t="str">
        <f>'Planning Engine'!D51</f>
        <v>units</v>
      </c>
      <c r="E51" s="95">
        <f>'Planning Engine'!E51</f>
        <v>-194832.47259249914</v>
      </c>
      <c r="F51" s="95">
        <f>'Planning Engine'!F51</f>
        <v>11061.929450169715</v>
      </c>
      <c r="G51" s="95">
        <f>'Planning Engine'!G51</f>
        <v>0</v>
      </c>
      <c r="H51" s="99">
        <f t="shared" si="0"/>
        <v>-11061.929450169715</v>
      </c>
      <c r="I51" s="95">
        <f>'Planning Engine'!H51</f>
        <v>-205894.40204266884</v>
      </c>
      <c r="J51" s="96">
        <f ca="1">'Planning Engine'!J51</f>
        <v>-16.091944629830241</v>
      </c>
      <c r="K51" s="95">
        <f ca="1">'Planning Engine'!K51</f>
        <v>324000</v>
      </c>
      <c r="L51" s="12" t="str">
        <f>'Planning Engine'!L51</f>
        <v>High</v>
      </c>
      <c r="M51" s="93">
        <f>'Planning Engine'!S51</f>
        <v>47392</v>
      </c>
      <c r="N51" s="95">
        <f>'Planning Engine'!T51</f>
        <v>0</v>
      </c>
      <c r="O51" s="98" t="s">
        <v>1083</v>
      </c>
      <c r="P51" s="4" t="str">
        <f t="shared" si="1"/>
        <v>⚠ Expedite production / source alternate</v>
      </c>
    </row>
    <row r="52" spans="1:16" ht="13" customHeight="1" x14ac:dyDescent="0.35">
      <c r="A52" s="93">
        <v>47515</v>
      </c>
      <c r="B52" s="61" t="s">
        <v>26</v>
      </c>
      <c r="C52" s="12" t="str">
        <f>'Planning Engine'!C52</f>
        <v>Label/Pack</v>
      </c>
      <c r="D52" s="12" t="str">
        <f>'Planning Engine'!D52</f>
        <v>units</v>
      </c>
      <c r="E52" s="95">
        <f>'Planning Engine'!E52</f>
        <v>-205894.40204266884</v>
      </c>
      <c r="F52" s="95">
        <f>'Planning Engine'!F52</f>
        <v>12178.771389239188</v>
      </c>
      <c r="G52" s="95">
        <f>'Planning Engine'!G52</f>
        <v>0</v>
      </c>
      <c r="H52" s="95">
        <f t="shared" si="0"/>
        <v>-12178.771389239188</v>
      </c>
      <c r="I52" s="95">
        <f>'Planning Engine'!H52</f>
        <v>-218073.17343190801</v>
      </c>
      <c r="J52" s="96">
        <f ca="1">'Planning Engine'!J52</f>
        <v>-16.729990943823175</v>
      </c>
      <c r="K52" s="95">
        <f ca="1">'Planning Engine'!K52</f>
        <v>340200</v>
      </c>
      <c r="L52" s="12" t="str">
        <f>'Planning Engine'!L52</f>
        <v>High</v>
      </c>
      <c r="M52" s="93">
        <f>'Planning Engine'!S52</f>
        <v>47423</v>
      </c>
      <c r="N52" s="95">
        <f>'Planning Engine'!T52</f>
        <v>0</v>
      </c>
      <c r="O52" s="94" t="s">
        <v>1084</v>
      </c>
      <c r="P52" s="12" t="str">
        <f t="shared" si="1"/>
        <v>⚠ Expedite production / source alternate</v>
      </c>
    </row>
    <row r="53" spans="1:16" ht="13" customHeight="1" x14ac:dyDescent="0.35">
      <c r="A53" s="97">
        <v>47543</v>
      </c>
      <c r="B53" s="53" t="s">
        <v>26</v>
      </c>
      <c r="C53" s="12" t="str">
        <f>'Planning Engine'!C53</f>
        <v>Label/Pack</v>
      </c>
      <c r="D53" s="12" t="str">
        <f>'Planning Engine'!D53</f>
        <v>units</v>
      </c>
      <c r="E53" s="95">
        <f>'Planning Engine'!E53</f>
        <v>-218073.17343190801</v>
      </c>
      <c r="F53" s="95">
        <f>'Planning Engine'!F53</f>
        <v>10151.054279299346</v>
      </c>
      <c r="G53" s="95">
        <f>'Planning Engine'!G53</f>
        <v>0</v>
      </c>
      <c r="H53" s="99">
        <f t="shared" si="0"/>
        <v>-10151.054279299346</v>
      </c>
      <c r="I53" s="95">
        <f>'Planning Engine'!H53</f>
        <v>-228224.22771120735</v>
      </c>
      <c r="J53" s="96">
        <f ca="1">'Planning Engine'!J53</f>
        <v>-16.82138134706333</v>
      </c>
      <c r="K53" s="95">
        <f ca="1">'Planning Engine'!K53</f>
        <v>356400</v>
      </c>
      <c r="L53" s="12" t="str">
        <f>'Planning Engine'!L53</f>
        <v>High</v>
      </c>
      <c r="M53" s="93">
        <f>'Planning Engine'!S53</f>
        <v>47453</v>
      </c>
      <c r="N53" s="95">
        <f>'Planning Engine'!T53</f>
        <v>0</v>
      </c>
      <c r="O53" s="98" t="s">
        <v>1085</v>
      </c>
      <c r="P53" s="4" t="str">
        <f t="shared" si="1"/>
        <v>⚠ Expedite production / source alternate</v>
      </c>
    </row>
    <row r="54" spans="1:16" ht="13" customHeight="1" x14ac:dyDescent="0.35">
      <c r="A54" s="93">
        <v>47574</v>
      </c>
      <c r="B54" s="61" t="s">
        <v>26</v>
      </c>
      <c r="C54" s="12" t="str">
        <f>'Planning Engine'!C54</f>
        <v>Label/Pack</v>
      </c>
      <c r="D54" s="12" t="str">
        <f>'Planning Engine'!D54</f>
        <v>units</v>
      </c>
      <c r="E54" s="95">
        <f>'Planning Engine'!E54</f>
        <v>-228224.22771120735</v>
      </c>
      <c r="F54" s="95">
        <f>'Planning Engine'!F54</f>
        <v>12857.351659373257</v>
      </c>
      <c r="G54" s="95">
        <f>'Planning Engine'!G54</f>
        <v>0</v>
      </c>
      <c r="H54" s="95">
        <f t="shared" si="0"/>
        <v>-12857.351659373257</v>
      </c>
      <c r="I54" s="95">
        <f>'Planning Engine'!H54</f>
        <v>-241081.57937058061</v>
      </c>
      <c r="J54" s="96">
        <f ca="1">'Planning Engine'!J54</f>
        <v>-17.37618740486927</v>
      </c>
      <c r="K54" s="95">
        <f ca="1">'Planning Engine'!K54</f>
        <v>372600</v>
      </c>
      <c r="L54" s="12" t="str">
        <f>'Planning Engine'!L54</f>
        <v>High</v>
      </c>
      <c r="M54" s="93">
        <f>'Planning Engine'!S54</f>
        <v>47484</v>
      </c>
      <c r="N54" s="95">
        <f>'Planning Engine'!T54</f>
        <v>0</v>
      </c>
      <c r="O54" s="94" t="s">
        <v>1086</v>
      </c>
      <c r="P54" s="12" t="str">
        <f t="shared" si="1"/>
        <v>⚠ Expedite production / source alternate</v>
      </c>
    </row>
    <row r="55" spans="1:16" ht="13" customHeight="1" x14ac:dyDescent="0.35">
      <c r="A55" s="97">
        <v>47604</v>
      </c>
      <c r="B55" s="53" t="s">
        <v>26</v>
      </c>
      <c r="C55" s="12" t="str">
        <f>'Planning Engine'!C55</f>
        <v>Label/Pack</v>
      </c>
      <c r="D55" s="12" t="str">
        <f>'Planning Engine'!D55</f>
        <v>units</v>
      </c>
      <c r="E55" s="95">
        <f>'Planning Engine'!E55</f>
        <v>-241081.57937058061</v>
      </c>
      <c r="F55" s="95">
        <f>'Planning Engine'!F55</f>
        <v>13625.060424707097</v>
      </c>
      <c r="G55" s="95">
        <f>'Planning Engine'!G55</f>
        <v>0</v>
      </c>
      <c r="H55" s="99">
        <f t="shared" si="0"/>
        <v>-13625.060424707097</v>
      </c>
      <c r="I55" s="95">
        <f>'Planning Engine'!H55</f>
        <v>-254706.63979528772</v>
      </c>
      <c r="J55" s="96">
        <f ca="1">'Planning Engine'!J55</f>
        <v>-17.731969090426123</v>
      </c>
      <c r="K55" s="95">
        <f ca="1">'Planning Engine'!K55</f>
        <v>388800</v>
      </c>
      <c r="L55" s="12" t="str">
        <f>'Planning Engine'!L55</f>
        <v>High</v>
      </c>
      <c r="M55" s="93">
        <f>'Planning Engine'!S55</f>
        <v>47515</v>
      </c>
      <c r="N55" s="95">
        <f>'Planning Engine'!T55</f>
        <v>0</v>
      </c>
      <c r="O55" s="98" t="s">
        <v>1087</v>
      </c>
      <c r="P55" s="4" t="str">
        <f t="shared" si="1"/>
        <v>⚠ Expedite production / source alternate</v>
      </c>
    </row>
    <row r="56" spans="1:16" ht="13" customHeight="1" x14ac:dyDescent="0.35">
      <c r="A56" s="93">
        <v>47635</v>
      </c>
      <c r="B56" s="61" t="s">
        <v>26</v>
      </c>
      <c r="C56" s="12" t="str">
        <f>'Planning Engine'!C56</f>
        <v>Label/Pack</v>
      </c>
      <c r="D56" s="12" t="str">
        <f>'Planning Engine'!D56</f>
        <v>units</v>
      </c>
      <c r="E56" s="95">
        <f>'Planning Engine'!E56</f>
        <v>-254706.63979528772</v>
      </c>
      <c r="F56" s="95">
        <f>'Planning Engine'!F56</f>
        <v>13764.877213475216</v>
      </c>
      <c r="G56" s="95">
        <f>'Planning Engine'!G56</f>
        <v>0</v>
      </c>
      <c r="H56" s="95">
        <f t="shared" si="0"/>
        <v>-13764.877213475216</v>
      </c>
      <c r="I56" s="95">
        <f>'Planning Engine'!H56</f>
        <v>-268471.51700876292</v>
      </c>
      <c r="J56" s="96">
        <f ca="1">'Planning Engine'!J56</f>
        <v>-18.201176830536745</v>
      </c>
      <c r="K56" s="95">
        <f ca="1">'Planning Engine'!K56</f>
        <v>405000</v>
      </c>
      <c r="L56" s="12" t="str">
        <f>'Planning Engine'!L56</f>
        <v>High</v>
      </c>
      <c r="M56" s="93">
        <f>'Planning Engine'!S56</f>
        <v>47543</v>
      </c>
      <c r="N56" s="95">
        <f>'Planning Engine'!T56</f>
        <v>0</v>
      </c>
      <c r="O56" s="94" t="s">
        <v>1088</v>
      </c>
      <c r="P56" s="12" t="str">
        <f t="shared" si="1"/>
        <v>⚠ Expedite production / source alternate</v>
      </c>
    </row>
    <row r="57" spans="1:16" ht="13" customHeight="1" x14ac:dyDescent="0.35">
      <c r="A57" s="97">
        <v>47665</v>
      </c>
      <c r="B57" s="53" t="s">
        <v>26</v>
      </c>
      <c r="C57" s="12" t="str">
        <f>'Planning Engine'!C57</f>
        <v>Label/Pack</v>
      </c>
      <c r="D57" s="12" t="str">
        <f>'Planning Engine'!D57</f>
        <v>units</v>
      </c>
      <c r="E57" s="95">
        <f>'Planning Engine'!E57</f>
        <v>-268471.51700876292</v>
      </c>
      <c r="F57" s="95">
        <f>'Planning Engine'!F57</f>
        <v>10904.157642449123</v>
      </c>
      <c r="G57" s="95">
        <f>'Planning Engine'!G57</f>
        <v>0</v>
      </c>
      <c r="H57" s="99">
        <f t="shared" si="0"/>
        <v>-10904.157642449123</v>
      </c>
      <c r="I57" s="95">
        <f>'Planning Engine'!H57</f>
        <v>-279375.67465121206</v>
      </c>
      <c r="J57" s="96">
        <f ca="1">'Planning Engine'!J57</f>
        <v>-18.793327524595561</v>
      </c>
      <c r="K57" s="95">
        <f ca="1">'Planning Engine'!K57</f>
        <v>421200</v>
      </c>
      <c r="L57" s="12" t="str">
        <f>'Planning Engine'!L57</f>
        <v>High</v>
      </c>
      <c r="M57" s="93">
        <f>'Planning Engine'!S57</f>
        <v>47574</v>
      </c>
      <c r="N57" s="95">
        <f>'Planning Engine'!T57</f>
        <v>0</v>
      </c>
      <c r="O57" s="98" t="s">
        <v>1089</v>
      </c>
      <c r="P57" s="4" t="str">
        <f t="shared" si="1"/>
        <v>⚠ Expedite production / source alternate</v>
      </c>
    </row>
    <row r="58" spans="1:16" ht="13" customHeight="1" x14ac:dyDescent="0.35">
      <c r="A58" s="93">
        <v>47696</v>
      </c>
      <c r="B58" s="61" t="s">
        <v>26</v>
      </c>
      <c r="C58" s="12" t="str">
        <f>'Planning Engine'!C58</f>
        <v>Label/Pack</v>
      </c>
      <c r="D58" s="12" t="str">
        <f>'Planning Engine'!D58</f>
        <v>units</v>
      </c>
      <c r="E58" s="95">
        <f>'Planning Engine'!E58</f>
        <v>-279375.67465121206</v>
      </c>
      <c r="F58" s="95">
        <f>'Planning Engine'!F58</f>
        <v>15522.235490108971</v>
      </c>
      <c r="G58" s="95">
        <f>'Planning Engine'!G58</f>
        <v>0</v>
      </c>
      <c r="H58" s="95">
        <f t="shared" si="0"/>
        <v>-15522.235490108971</v>
      </c>
      <c r="I58" s="95">
        <f>'Planning Engine'!H58</f>
        <v>-294897.91014132102</v>
      </c>
      <c r="J58" s="96">
        <f ca="1">'Planning Engine'!J58</f>
        <v>-18.674487306115317</v>
      </c>
      <c r="K58" s="95">
        <f ca="1">'Planning Engine'!K58</f>
        <v>437400</v>
      </c>
      <c r="L58" s="12" t="str">
        <f>'Planning Engine'!L58</f>
        <v>High</v>
      </c>
      <c r="M58" s="93">
        <f>'Planning Engine'!S58</f>
        <v>47604</v>
      </c>
      <c r="N58" s="95">
        <f>'Planning Engine'!T58</f>
        <v>0</v>
      </c>
      <c r="O58" s="94" t="s">
        <v>1090</v>
      </c>
      <c r="P58" s="12" t="str">
        <f t="shared" si="1"/>
        <v>⚠ Expedite production / source alternate</v>
      </c>
    </row>
    <row r="59" spans="1:16" ht="13" customHeight="1" x14ac:dyDescent="0.35">
      <c r="A59" s="97">
        <v>47727</v>
      </c>
      <c r="B59" s="53" t="s">
        <v>26</v>
      </c>
      <c r="C59" s="12" t="str">
        <f>'Planning Engine'!C59</f>
        <v>Label/Pack</v>
      </c>
      <c r="D59" s="12" t="str">
        <f>'Planning Engine'!D59</f>
        <v>units</v>
      </c>
      <c r="E59" s="95">
        <f>'Planning Engine'!E59</f>
        <v>-294897.91014132102</v>
      </c>
      <c r="F59" s="95">
        <f>'Planning Engine'!F59</f>
        <v>15088.427382390448</v>
      </c>
      <c r="G59" s="95">
        <f>'Planning Engine'!G59</f>
        <v>0</v>
      </c>
      <c r="H59" s="99">
        <f t="shared" si="0"/>
        <v>-15088.427382390448</v>
      </c>
      <c r="I59" s="95">
        <f>'Planning Engine'!H59</f>
        <v>-309986.33752371144</v>
      </c>
      <c r="J59" s="96">
        <f ca="1">'Planning Engine'!J59</f>
        <v>-18.955359019323566</v>
      </c>
      <c r="K59" s="95">
        <f ca="1">'Planning Engine'!K59</f>
        <v>453600</v>
      </c>
      <c r="L59" s="12" t="str">
        <f>'Planning Engine'!L59</f>
        <v>High</v>
      </c>
      <c r="M59" s="93">
        <f>'Planning Engine'!S59</f>
        <v>47635</v>
      </c>
      <c r="N59" s="95">
        <f>'Planning Engine'!T59</f>
        <v>0</v>
      </c>
      <c r="O59" s="98" t="s">
        <v>1091</v>
      </c>
      <c r="P59" s="4" t="str">
        <f t="shared" si="1"/>
        <v>⚠ Expedite production / source alternate</v>
      </c>
    </row>
    <row r="60" spans="1:16" ht="13" customHeight="1" x14ac:dyDescent="0.35">
      <c r="A60" s="93">
        <v>47757</v>
      </c>
      <c r="B60" s="61" t="s">
        <v>26</v>
      </c>
      <c r="C60" s="12" t="str">
        <f>'Planning Engine'!C60</f>
        <v>Label/Pack</v>
      </c>
      <c r="D60" s="12" t="str">
        <f>'Planning Engine'!D60</f>
        <v>units</v>
      </c>
      <c r="E60" s="95">
        <f>'Planning Engine'!E60</f>
        <v>-309986.33752371144</v>
      </c>
      <c r="F60" s="95">
        <f>'Planning Engine'!F60</f>
        <v>13221.849533993436</v>
      </c>
      <c r="G60" s="95">
        <f>'Planning Engine'!G60</f>
        <v>0</v>
      </c>
      <c r="H60" s="95">
        <f t="shared" si="0"/>
        <v>-13221.849533993436</v>
      </c>
      <c r="I60" s="95">
        <f>'Planning Engine'!H60</f>
        <v>-323208.1870577049</v>
      </c>
      <c r="J60" s="96">
        <f ca="1">'Planning Engine'!J60</f>
        <v>-19.229089684915522</v>
      </c>
      <c r="K60" s="95">
        <f ca="1">'Planning Engine'!K60</f>
        <v>469800</v>
      </c>
      <c r="L60" s="12" t="str">
        <f>'Planning Engine'!L60</f>
        <v>High</v>
      </c>
      <c r="M60" s="93">
        <f>'Planning Engine'!S60</f>
        <v>47665</v>
      </c>
      <c r="N60" s="95">
        <f>'Planning Engine'!T60</f>
        <v>0</v>
      </c>
      <c r="O60" s="94" t="s">
        <v>1092</v>
      </c>
      <c r="P60" s="12" t="str">
        <f t="shared" si="1"/>
        <v>⚠ Expedite production / source alternate</v>
      </c>
    </row>
    <row r="61" spans="1:16" ht="13" customHeight="1" x14ac:dyDescent="0.35">
      <c r="A61" s="97">
        <v>47788</v>
      </c>
      <c r="B61" s="53" t="s">
        <v>26</v>
      </c>
      <c r="C61" s="12" t="str">
        <f>'Planning Engine'!C61</f>
        <v>Label/Pack</v>
      </c>
      <c r="D61" s="12" t="str">
        <f>'Planning Engine'!D61</f>
        <v>units</v>
      </c>
      <c r="E61" s="95">
        <f>'Planning Engine'!E61</f>
        <v>-323208.1870577049</v>
      </c>
      <c r="F61" s="95">
        <f>'Planning Engine'!F61</f>
        <v>16972.559291183326</v>
      </c>
      <c r="G61" s="95">
        <f>'Planning Engine'!G61</f>
        <v>0</v>
      </c>
      <c r="H61" s="99">
        <f t="shared" si="0"/>
        <v>-16972.559291183326</v>
      </c>
      <c r="I61" s="95">
        <f>'Planning Engine'!H61</f>
        <v>-340180.74634888821</v>
      </c>
      <c r="J61" s="96">
        <f ca="1">'Planning Engine'!J61</f>
        <v>-19.545857770142195</v>
      </c>
      <c r="K61" s="95">
        <f ca="1">'Planning Engine'!K61</f>
        <v>502200</v>
      </c>
      <c r="L61" s="12" t="str">
        <f>'Planning Engine'!L61</f>
        <v>High</v>
      </c>
      <c r="M61" s="93">
        <f>'Planning Engine'!S61</f>
        <v>47696</v>
      </c>
      <c r="N61" s="95">
        <f>'Planning Engine'!T61</f>
        <v>0</v>
      </c>
      <c r="O61" s="98" t="s">
        <v>1093</v>
      </c>
      <c r="P61" s="4" t="str">
        <f t="shared" si="1"/>
        <v>⚠ Expedite production / source alternate</v>
      </c>
    </row>
    <row r="62" spans="1:16" ht="13" customHeight="1" x14ac:dyDescent="0.35">
      <c r="A62" s="93">
        <v>47818</v>
      </c>
      <c r="B62" s="61" t="s">
        <v>26</v>
      </c>
      <c r="C62" s="12" t="str">
        <f>'Planning Engine'!C62</f>
        <v>Label/Pack</v>
      </c>
      <c r="D62" s="12" t="str">
        <f>'Planning Engine'!D62</f>
        <v>units</v>
      </c>
      <c r="E62" s="95">
        <f>'Planning Engine'!E62</f>
        <v>-340180.74634888821</v>
      </c>
      <c r="F62" s="95">
        <f>'Planning Engine'!F62</f>
        <v>12911.737198879006</v>
      </c>
      <c r="G62" s="95">
        <f>'Planning Engine'!G62</f>
        <v>0</v>
      </c>
      <c r="H62" s="95">
        <f t="shared" si="0"/>
        <v>-12911.737198879006</v>
      </c>
      <c r="I62" s="95">
        <f>'Planning Engine'!H62</f>
        <v>-353092.48354776722</v>
      </c>
      <c r="J62" s="96">
        <f ca="1">'Planning Engine'!J62</f>
        <v>-19.523999703451175</v>
      </c>
      <c r="K62" s="95">
        <f ca="1">'Planning Engine'!K62</f>
        <v>518400</v>
      </c>
      <c r="L62" s="12" t="str">
        <f>'Planning Engine'!L62</f>
        <v>High</v>
      </c>
      <c r="M62" s="93">
        <f>'Planning Engine'!S62</f>
        <v>47727</v>
      </c>
      <c r="N62" s="95">
        <f>'Planning Engine'!T62</f>
        <v>0</v>
      </c>
      <c r="O62" s="94" t="s">
        <v>1094</v>
      </c>
      <c r="P62" s="12" t="str">
        <f t="shared" si="1"/>
        <v>⚠ Expedite production / source alternate</v>
      </c>
    </row>
    <row r="63" spans="1:16" ht="13" customHeight="1" x14ac:dyDescent="0.35">
      <c r="A63" s="97">
        <v>47849</v>
      </c>
      <c r="B63" s="53" t="s">
        <v>26</v>
      </c>
      <c r="C63" s="12" t="str">
        <f>'Planning Engine'!C63</f>
        <v>Label/Pack</v>
      </c>
      <c r="D63" s="12" t="str">
        <f>'Planning Engine'!D63</f>
        <v>units</v>
      </c>
      <c r="E63" s="95">
        <f>'Planning Engine'!E63</f>
        <v>-353092.48354776722</v>
      </c>
      <c r="F63" s="95">
        <f>'Planning Engine'!F63</f>
        <v>17267.448749521587</v>
      </c>
      <c r="G63" s="95">
        <f>'Planning Engine'!G63</f>
        <v>0</v>
      </c>
      <c r="H63" s="99">
        <f t="shared" si="0"/>
        <v>-17267.448749521587</v>
      </c>
      <c r="I63" s="95">
        <f>'Planning Engine'!H63</f>
        <v>-370359.93229728879</v>
      </c>
      <c r="J63" s="96">
        <f ca="1">'Planning Engine'!J63</f>
        <v>-19.536941596761036</v>
      </c>
      <c r="K63" s="95">
        <f ca="1">'Planning Engine'!K63</f>
        <v>534600</v>
      </c>
      <c r="L63" s="12" t="str">
        <f>'Planning Engine'!L63</f>
        <v>High</v>
      </c>
      <c r="M63" s="93">
        <f>'Planning Engine'!S63</f>
        <v>47757</v>
      </c>
      <c r="N63" s="95">
        <f>'Planning Engine'!T63</f>
        <v>0</v>
      </c>
      <c r="O63" s="98" t="s">
        <v>1095</v>
      </c>
      <c r="P63" s="4" t="str">
        <f t="shared" si="1"/>
        <v>⚠ Expedite production / source alternate</v>
      </c>
    </row>
    <row r="64" spans="1:16" ht="13" customHeight="1" x14ac:dyDescent="0.35">
      <c r="A64" s="93">
        <v>47880</v>
      </c>
      <c r="B64" s="61" t="s">
        <v>26</v>
      </c>
      <c r="C64" s="12" t="str">
        <f>'Planning Engine'!C64</f>
        <v>Label/Pack</v>
      </c>
      <c r="D64" s="12" t="str">
        <f>'Planning Engine'!D64</f>
        <v>units</v>
      </c>
      <c r="E64" s="95">
        <f>'Planning Engine'!E64</f>
        <v>-370359.93229728879</v>
      </c>
      <c r="F64" s="95">
        <f>'Planning Engine'!F64</f>
        <v>17098.763893882613</v>
      </c>
      <c r="G64" s="95">
        <f>'Planning Engine'!G64</f>
        <v>0</v>
      </c>
      <c r="H64" s="95">
        <f t="shared" si="0"/>
        <v>-17098.763893882613</v>
      </c>
      <c r="I64" s="95">
        <f>'Planning Engine'!H64</f>
        <v>-387458.69619117142</v>
      </c>
      <c r="J64" s="96">
        <f ca="1">'Planning Engine'!J64</f>
        <v>-19.912785976871358</v>
      </c>
      <c r="K64" s="95">
        <f ca="1">'Planning Engine'!K64</f>
        <v>567000</v>
      </c>
      <c r="L64" s="12" t="str">
        <f>'Planning Engine'!L64</f>
        <v>High</v>
      </c>
      <c r="M64" s="93">
        <f>'Planning Engine'!S64</f>
        <v>47788</v>
      </c>
      <c r="N64" s="95">
        <f>'Planning Engine'!T64</f>
        <v>0</v>
      </c>
      <c r="O64" s="94" t="s">
        <v>1096</v>
      </c>
      <c r="P64" s="12" t="str">
        <f t="shared" si="1"/>
        <v>⚠ Expedite production / source alternate</v>
      </c>
    </row>
    <row r="65" spans="1:16" ht="13" customHeight="1" x14ac:dyDescent="0.35">
      <c r="A65" s="97">
        <v>47908</v>
      </c>
      <c r="B65" s="53" t="s">
        <v>26</v>
      </c>
      <c r="C65" s="12" t="str">
        <f>'Planning Engine'!C65</f>
        <v>Label/Pack</v>
      </c>
      <c r="D65" s="12" t="str">
        <f>'Planning Engine'!D65</f>
        <v>units</v>
      </c>
      <c r="E65" s="95">
        <f>'Planning Engine'!E65</f>
        <v>-387458.69619117142</v>
      </c>
      <c r="F65" s="95">
        <f>'Planning Engine'!F65</f>
        <v>14803.979864345691</v>
      </c>
      <c r="G65" s="95">
        <f>'Planning Engine'!G65</f>
        <v>0</v>
      </c>
      <c r="H65" s="99">
        <f t="shared" si="0"/>
        <v>-14803.979864345691</v>
      </c>
      <c r="I65" s="95">
        <f>'Planning Engine'!H65</f>
        <v>-402262.67605551711</v>
      </c>
      <c r="J65" s="96">
        <f ca="1">'Planning Engine'!J65</f>
        <v>-19.882920611249503</v>
      </c>
      <c r="K65" s="95">
        <f ca="1">'Planning Engine'!K65</f>
        <v>583200</v>
      </c>
      <c r="L65" s="12" t="str">
        <f>'Planning Engine'!L65</f>
        <v>High</v>
      </c>
      <c r="M65" s="93">
        <f>'Planning Engine'!S65</f>
        <v>47818</v>
      </c>
      <c r="N65" s="95">
        <f>'Planning Engine'!T65</f>
        <v>0</v>
      </c>
      <c r="O65" s="98" t="s">
        <v>1097</v>
      </c>
      <c r="P65" s="4" t="str">
        <f t="shared" si="1"/>
        <v>⚠ Expedite production / source alternate</v>
      </c>
    </row>
    <row r="66" spans="1:16" ht="13" customHeight="1" x14ac:dyDescent="0.35">
      <c r="A66" s="93">
        <v>47939</v>
      </c>
      <c r="B66" s="61" t="s">
        <v>26</v>
      </c>
      <c r="C66" s="12" t="str">
        <f>'Planning Engine'!C66</f>
        <v>Label/Pack</v>
      </c>
      <c r="D66" s="12" t="str">
        <f>'Planning Engine'!D66</f>
        <v>units</v>
      </c>
      <c r="E66" s="95">
        <f>'Planning Engine'!E66</f>
        <v>-402262.67605551711</v>
      </c>
      <c r="F66" s="95">
        <f>'Planning Engine'!F66</f>
        <v>19236.375144980924</v>
      </c>
      <c r="G66" s="95">
        <f>'Planning Engine'!G66</f>
        <v>0</v>
      </c>
      <c r="H66" s="95">
        <f t="shared" si="0"/>
        <v>-19236.375144980924</v>
      </c>
      <c r="I66" s="95">
        <f>'Planning Engine'!H66</f>
        <v>-421499.05120049801</v>
      </c>
      <c r="J66" s="96">
        <f ca="1">'Planning Engine'!J66</f>
        <v>-20.672960075004525</v>
      </c>
      <c r="K66" s="95">
        <f ca="1">'Planning Engine'!K66</f>
        <v>599400</v>
      </c>
      <c r="L66" s="12" t="str">
        <f>'Planning Engine'!L66</f>
        <v>High</v>
      </c>
      <c r="M66" s="93">
        <f>'Planning Engine'!S66</f>
        <v>47849</v>
      </c>
      <c r="N66" s="95">
        <f>'Planning Engine'!T66</f>
        <v>0</v>
      </c>
      <c r="O66" s="94" t="s">
        <v>1098</v>
      </c>
      <c r="P66" s="12" t="str">
        <f t="shared" si="1"/>
        <v>⚠ Expedite production / source alternate</v>
      </c>
    </row>
    <row r="67" spans="1:16" ht="13" customHeight="1" x14ac:dyDescent="0.35">
      <c r="A67" s="97">
        <v>47969</v>
      </c>
      <c r="B67" s="53" t="s">
        <v>26</v>
      </c>
      <c r="C67" s="12" t="str">
        <f>'Planning Engine'!C67</f>
        <v>Label/Pack</v>
      </c>
      <c r="D67" s="12" t="str">
        <f>'Planning Engine'!D67</f>
        <v>units</v>
      </c>
      <c r="E67" s="95">
        <f>'Planning Engine'!E67</f>
        <v>-421499.05120049801</v>
      </c>
      <c r="F67" s="95">
        <f>'Planning Engine'!F67</f>
        <v>20580.299021664116</v>
      </c>
      <c r="G67" s="95">
        <f>'Planning Engine'!G67</f>
        <v>0</v>
      </c>
      <c r="H67" s="99">
        <f t="shared" si="0"/>
        <v>-20580.299021664116</v>
      </c>
      <c r="I67" s="95">
        <f>'Planning Engine'!H67</f>
        <v>-442079.35022216215</v>
      </c>
      <c r="J67" s="96">
        <f ca="1">'Planning Engine'!J67</f>
        <v>-20.877117168077334</v>
      </c>
      <c r="K67" s="95">
        <f ca="1">'Planning Engine'!K67</f>
        <v>631800</v>
      </c>
      <c r="L67" s="12" t="str">
        <f>'Planning Engine'!L67</f>
        <v>High</v>
      </c>
      <c r="M67" s="93">
        <f>'Planning Engine'!S67</f>
        <v>47880</v>
      </c>
      <c r="N67" s="95">
        <f>'Planning Engine'!T67</f>
        <v>0</v>
      </c>
      <c r="O67" s="98" t="s">
        <v>1099</v>
      </c>
      <c r="P67" s="4" t="str">
        <f t="shared" si="1"/>
        <v>⚠ Expedite production / source alternate</v>
      </c>
    </row>
    <row r="68" spans="1:16" ht="13" customHeight="1" x14ac:dyDescent="0.35">
      <c r="A68" s="93">
        <v>48000</v>
      </c>
      <c r="B68" s="61" t="s">
        <v>26</v>
      </c>
      <c r="C68" s="12" t="str">
        <f>'Planning Engine'!C68</f>
        <v>Label/Pack</v>
      </c>
      <c r="D68" s="12" t="str">
        <f>'Planning Engine'!D68</f>
        <v>units</v>
      </c>
      <c r="E68" s="95">
        <f>'Planning Engine'!E68</f>
        <v>-442079.35022216215</v>
      </c>
      <c r="F68" s="95">
        <f>'Planning Engine'!F68</f>
        <v>19181.630624953432</v>
      </c>
      <c r="G68" s="95">
        <f>'Planning Engine'!G68</f>
        <v>0</v>
      </c>
      <c r="H68" s="95">
        <f t="shared" ref="H68:H131" si="2">G68-F68</f>
        <v>-19181.630624953432</v>
      </c>
      <c r="I68" s="95">
        <f>'Planning Engine'!H68</f>
        <v>-461260.98084711557</v>
      </c>
      <c r="J68" s="96">
        <f ca="1">'Planning Engine'!J68</f>
        <v>-21.823127031330845</v>
      </c>
      <c r="K68" s="95">
        <f ca="1">'Planning Engine'!K68</f>
        <v>648000</v>
      </c>
      <c r="L68" s="12" t="str">
        <f>'Planning Engine'!L68</f>
        <v>High</v>
      </c>
      <c r="M68" s="93">
        <f>'Planning Engine'!S68</f>
        <v>47908</v>
      </c>
      <c r="N68" s="95">
        <f>'Planning Engine'!T68</f>
        <v>0</v>
      </c>
      <c r="O68" s="94" t="s">
        <v>1100</v>
      </c>
      <c r="P68" s="12" t="str">
        <f t="shared" ref="P68:P131" si="3">IFERROR(IF(L68="High","⚠ Expedite production / source alternate",IF(L68="Medium","Plan additional batches",IF(L68="Overstock","Defer / consume inventory","Plan acceptable"))),"--")</f>
        <v>⚠ Expedite production / source alternate</v>
      </c>
    </row>
    <row r="69" spans="1:16" ht="13" customHeight="1" x14ac:dyDescent="0.35">
      <c r="A69" s="97">
        <v>48030</v>
      </c>
      <c r="B69" s="53" t="s">
        <v>26</v>
      </c>
      <c r="C69" s="12" t="str">
        <f>'Planning Engine'!C69</f>
        <v>Label/Pack</v>
      </c>
      <c r="D69" s="12" t="str">
        <f>'Planning Engine'!D69</f>
        <v>units</v>
      </c>
      <c r="E69" s="95">
        <f>'Planning Engine'!E69</f>
        <v>-461260.98084711557</v>
      </c>
      <c r="F69" s="95">
        <f>'Planning Engine'!F69</f>
        <v>18585.341673585677</v>
      </c>
      <c r="G69" s="95">
        <f>'Planning Engine'!G69</f>
        <v>0</v>
      </c>
      <c r="H69" s="99">
        <f t="shared" si="2"/>
        <v>-18585.341673585677</v>
      </c>
      <c r="I69" s="95">
        <f>'Planning Engine'!H69</f>
        <v>-479846.32252070127</v>
      </c>
      <c r="J69" s="96">
        <f ca="1">'Planning Engine'!J69</f>
        <v>-22.647022716410664</v>
      </c>
      <c r="K69" s="95">
        <f ca="1">'Planning Engine'!K69</f>
        <v>664200</v>
      </c>
      <c r="L69" s="12" t="str">
        <f>'Planning Engine'!L69</f>
        <v>High</v>
      </c>
      <c r="M69" s="93">
        <f>'Planning Engine'!S69</f>
        <v>47939</v>
      </c>
      <c r="N69" s="95">
        <f>'Planning Engine'!T69</f>
        <v>0</v>
      </c>
      <c r="O69" s="98" t="s">
        <v>1101</v>
      </c>
      <c r="P69" s="4" t="str">
        <f t="shared" si="3"/>
        <v>⚠ Expedite production / source alternate</v>
      </c>
    </row>
    <row r="70" spans="1:16" ht="13" customHeight="1" x14ac:dyDescent="0.35">
      <c r="A70" s="93">
        <v>48061</v>
      </c>
      <c r="B70" s="61" t="s">
        <v>26</v>
      </c>
      <c r="C70" s="12" t="str">
        <f>'Planning Engine'!C70</f>
        <v>Label/Pack</v>
      </c>
      <c r="D70" s="12" t="str">
        <f>'Planning Engine'!D70</f>
        <v>units</v>
      </c>
      <c r="E70" s="95">
        <f>'Planning Engine'!E70</f>
        <v>-479846.32252070127</v>
      </c>
      <c r="F70" s="95">
        <f>'Planning Engine'!F70</f>
        <v>23099.861248685011</v>
      </c>
      <c r="G70" s="95">
        <f>'Planning Engine'!G70</f>
        <v>0</v>
      </c>
      <c r="H70" s="95">
        <f t="shared" si="2"/>
        <v>-23099.861248685011</v>
      </c>
      <c r="I70" s="95">
        <f>'Planning Engine'!H70</f>
        <v>-502946.18376938626</v>
      </c>
      <c r="J70" s="96">
        <f ca="1">'Planning Engine'!J70</f>
        <v>-22.608648917754131</v>
      </c>
      <c r="K70" s="95">
        <f ca="1">'Planning Engine'!K70</f>
        <v>696600</v>
      </c>
      <c r="L70" s="12" t="str">
        <f>'Planning Engine'!L70</f>
        <v>High</v>
      </c>
      <c r="M70" s="93">
        <f>'Planning Engine'!S70</f>
        <v>47969</v>
      </c>
      <c r="N70" s="95">
        <f>'Planning Engine'!T70</f>
        <v>0</v>
      </c>
      <c r="O70" s="94" t="s">
        <v>1102</v>
      </c>
      <c r="P70" s="12" t="str">
        <f t="shared" si="3"/>
        <v>⚠ Expedite production / source alternate</v>
      </c>
    </row>
    <row r="71" spans="1:16" ht="13" customHeight="1" x14ac:dyDescent="0.35">
      <c r="A71" s="97">
        <v>48092</v>
      </c>
      <c r="B71" s="53" t="s">
        <v>26</v>
      </c>
      <c r="C71" s="12" t="str">
        <f>'Planning Engine'!C71</f>
        <v>Label/Pack</v>
      </c>
      <c r="D71" s="12" t="str">
        <f>'Planning Engine'!D71</f>
        <v>units</v>
      </c>
      <c r="E71" s="95">
        <f>'Planning Engine'!E71</f>
        <v>-502946.18376938626</v>
      </c>
      <c r="F71" s="95">
        <f>'Planning Engine'!F71</f>
        <v>20758.438539557646</v>
      </c>
      <c r="G71" s="95">
        <f>'Planning Engine'!G71</f>
        <v>0</v>
      </c>
      <c r="H71" s="99">
        <f t="shared" si="2"/>
        <v>-20758.438539557646</v>
      </c>
      <c r="I71" s="95">
        <f>'Planning Engine'!H71</f>
        <v>-523704.62230894389</v>
      </c>
      <c r="J71" s="96">
        <f ca="1">'Planning Engine'!J71</f>
        <v>-23.44476397191174</v>
      </c>
      <c r="K71" s="95">
        <f ca="1">'Planning Engine'!K71</f>
        <v>729000</v>
      </c>
      <c r="L71" s="12" t="str">
        <f>'Planning Engine'!L71</f>
        <v>High</v>
      </c>
      <c r="M71" s="93">
        <f>'Planning Engine'!S71</f>
        <v>48000</v>
      </c>
      <c r="N71" s="95">
        <f>'Planning Engine'!T71</f>
        <v>0</v>
      </c>
      <c r="O71" s="98" t="s">
        <v>1103</v>
      </c>
      <c r="P71" s="4" t="str">
        <f t="shared" si="3"/>
        <v>⚠ Expedite production / source alternate</v>
      </c>
    </row>
    <row r="72" spans="1:16" ht="13" customHeight="1" x14ac:dyDescent="0.35">
      <c r="A72" s="93">
        <v>48122</v>
      </c>
      <c r="B72" s="61" t="s">
        <v>26</v>
      </c>
      <c r="C72" s="12" t="str">
        <f>'Planning Engine'!C72</f>
        <v>Label/Pack</v>
      </c>
      <c r="D72" s="12" t="str">
        <f>'Planning Engine'!D72</f>
        <v>units</v>
      </c>
      <c r="E72" s="95">
        <f>'Planning Engine'!E72</f>
        <v>-523704.62230894389</v>
      </c>
      <c r="F72" s="95">
        <f>'Planning Engine'!F72</f>
        <v>21775.369520488282</v>
      </c>
      <c r="G72" s="95">
        <f>'Planning Engine'!G72</f>
        <v>0</v>
      </c>
      <c r="H72" s="95">
        <f t="shared" si="2"/>
        <v>-21775.369520488282</v>
      </c>
      <c r="I72" s="95">
        <f>'Planning Engine'!H72</f>
        <v>-545479.9918294322</v>
      </c>
      <c r="J72" s="96">
        <f ca="1">'Planning Engine'!J72</f>
        <v>-24.413739109244467</v>
      </c>
      <c r="K72" s="95">
        <f ca="1">'Planning Engine'!K72</f>
        <v>745200</v>
      </c>
      <c r="L72" s="12" t="str">
        <f>'Planning Engine'!L72</f>
        <v>High</v>
      </c>
      <c r="M72" s="93">
        <f>'Planning Engine'!S72</f>
        <v>48030</v>
      </c>
      <c r="N72" s="95">
        <f>'Planning Engine'!T72</f>
        <v>0</v>
      </c>
      <c r="O72" s="94" t="s">
        <v>1104</v>
      </c>
      <c r="P72" s="12" t="str">
        <f t="shared" si="3"/>
        <v>⚠ Expedite production / source alternate</v>
      </c>
    </row>
    <row r="73" spans="1:16" ht="13" customHeight="1" x14ac:dyDescent="0.35">
      <c r="A73" s="97">
        <v>48153</v>
      </c>
      <c r="B73" s="53" t="s">
        <v>26</v>
      </c>
      <c r="C73" s="12" t="str">
        <f>'Planning Engine'!C73</f>
        <v>Label/Pack</v>
      </c>
      <c r="D73" s="12" t="str">
        <f>'Planning Engine'!D73</f>
        <v>units</v>
      </c>
      <c r="E73" s="95">
        <f>'Planning Engine'!E73</f>
        <v>-545479.9918294322</v>
      </c>
      <c r="F73" s="95">
        <f>'Planning Engine'!F73</f>
        <v>24062.823454952217</v>
      </c>
      <c r="G73" s="95">
        <f>'Planning Engine'!G73</f>
        <v>0</v>
      </c>
      <c r="H73" s="99">
        <f t="shared" si="2"/>
        <v>-24062.823454952217</v>
      </c>
      <c r="I73" s="95">
        <f>'Planning Engine'!H73</f>
        <v>-569542.81528438441</v>
      </c>
      <c r="J73" s="96">
        <f ca="1">'Planning Engine'!J73</f>
        <v>-25.194065714276054</v>
      </c>
      <c r="K73" s="95">
        <f ca="1">'Planning Engine'!K73</f>
        <v>777600</v>
      </c>
      <c r="L73" s="12" t="str">
        <f>'Planning Engine'!L73</f>
        <v>High</v>
      </c>
      <c r="M73" s="93">
        <f>'Planning Engine'!S73</f>
        <v>48061</v>
      </c>
      <c r="N73" s="95">
        <f>'Planning Engine'!T73</f>
        <v>0</v>
      </c>
      <c r="O73" s="98" t="s">
        <v>1105</v>
      </c>
      <c r="P73" s="4" t="str">
        <f t="shared" si="3"/>
        <v>⚠ Expedite production / source alternate</v>
      </c>
    </row>
    <row r="74" spans="1:16" ht="13" customHeight="1" x14ac:dyDescent="0.35">
      <c r="A74" s="93">
        <v>48183</v>
      </c>
      <c r="B74" s="61" t="s">
        <v>26</v>
      </c>
      <c r="C74" s="12" t="str">
        <f>'Planning Engine'!C74</f>
        <v>Label/Pack</v>
      </c>
      <c r="D74" s="12" t="str">
        <f>'Planning Engine'!D74</f>
        <v>units</v>
      </c>
      <c r="E74" s="95">
        <f>'Planning Engine'!E74</f>
        <v>-569542.81528438441</v>
      </c>
      <c r="F74" s="95">
        <f>'Planning Engine'!F74</f>
        <v>16220.019773091768</v>
      </c>
      <c r="G74" s="95">
        <f>'Planning Engine'!G74</f>
        <v>0</v>
      </c>
      <c r="H74" s="95">
        <f t="shared" si="2"/>
        <v>-16220.019773091768</v>
      </c>
      <c r="I74" s="95">
        <f>'Planning Engine'!H74</f>
        <v>-585762.83505747619</v>
      </c>
      <c r="J74" s="96">
        <f ca="1">'Planning Engine'!J74</f>
        <v>-25.974682481523409</v>
      </c>
      <c r="K74" s="95">
        <f ca="1">'Planning Engine'!K74</f>
        <v>793800</v>
      </c>
      <c r="L74" s="12" t="str">
        <f>'Planning Engine'!L74</f>
        <v>High</v>
      </c>
      <c r="M74" s="93">
        <f>'Planning Engine'!S74</f>
        <v>48092</v>
      </c>
      <c r="N74" s="95">
        <f>'Planning Engine'!T74</f>
        <v>0</v>
      </c>
      <c r="O74" s="94" t="s">
        <v>1106</v>
      </c>
      <c r="P74" s="12" t="str">
        <f t="shared" si="3"/>
        <v>⚠ Expedite production / source alternate</v>
      </c>
    </row>
    <row r="75" spans="1:16" ht="13" customHeight="1" x14ac:dyDescent="0.35">
      <c r="A75" s="97">
        <v>48214</v>
      </c>
      <c r="B75" s="53" t="s">
        <v>26</v>
      </c>
      <c r="C75" s="12" t="str">
        <f>'Planning Engine'!C75</f>
        <v>Label/Pack</v>
      </c>
      <c r="D75" s="12" t="str">
        <f>'Planning Engine'!D75</f>
        <v>units</v>
      </c>
      <c r="E75" s="95">
        <f>'Planning Engine'!E75</f>
        <v>-585762.83505747619</v>
      </c>
      <c r="F75" s="95">
        <f>'Planning Engine'!F75</f>
        <v>26313.972639173018</v>
      </c>
      <c r="G75" s="95">
        <f>'Planning Engine'!G75</f>
        <v>0</v>
      </c>
      <c r="H75" s="99">
        <f t="shared" si="2"/>
        <v>-26313.972639173018</v>
      </c>
      <c r="I75" s="95">
        <f>'Planning Engine'!H75</f>
        <v>-612076.80769664922</v>
      </c>
      <c r="J75" s="96">
        <f ca="1">'Planning Engine'!J75</f>
        <v>-25.929160849380597</v>
      </c>
      <c r="K75" s="95">
        <f ca="1">'Planning Engine'!K75</f>
        <v>826200</v>
      </c>
      <c r="L75" s="12" t="str">
        <f>'Planning Engine'!L75</f>
        <v>High</v>
      </c>
      <c r="M75" s="93">
        <f>'Planning Engine'!S75</f>
        <v>48122</v>
      </c>
      <c r="N75" s="95">
        <f>'Planning Engine'!T75</f>
        <v>0</v>
      </c>
      <c r="O75" s="98" t="s">
        <v>1107</v>
      </c>
      <c r="P75" s="4" t="str">
        <f t="shared" si="3"/>
        <v>⚠ Expedite production / source alternate</v>
      </c>
    </row>
    <row r="76" spans="1:16" ht="13" customHeight="1" x14ac:dyDescent="0.35">
      <c r="A76" s="93">
        <v>48245</v>
      </c>
      <c r="B76" s="61" t="s">
        <v>26</v>
      </c>
      <c r="C76" s="12" t="str">
        <f>'Planning Engine'!C76</f>
        <v>Label/Pack</v>
      </c>
      <c r="D76" s="12" t="str">
        <f>'Planning Engine'!D76</f>
        <v>units</v>
      </c>
      <c r="E76" s="95">
        <f>'Planning Engine'!E76</f>
        <v>-612076.80769664922</v>
      </c>
      <c r="F76" s="95">
        <f>'Planning Engine'!F76</f>
        <v>20229.581100876891</v>
      </c>
      <c r="G76" s="95">
        <f>'Planning Engine'!G76</f>
        <v>0</v>
      </c>
      <c r="H76" s="95">
        <f t="shared" si="2"/>
        <v>-20229.581100876891</v>
      </c>
      <c r="I76" s="95">
        <f>'Planning Engine'!H76</f>
        <v>-632306.38879752613</v>
      </c>
      <c r="J76" s="96">
        <f ca="1">'Planning Engine'!J76</f>
        <v>-27.188160149102782</v>
      </c>
      <c r="K76" s="95">
        <f ca="1">'Planning Engine'!K76</f>
        <v>842400</v>
      </c>
      <c r="L76" s="12" t="str">
        <f>'Planning Engine'!L76</f>
        <v>High</v>
      </c>
      <c r="M76" s="93">
        <f>'Planning Engine'!S76</f>
        <v>48153</v>
      </c>
      <c r="N76" s="95">
        <f>'Planning Engine'!T76</f>
        <v>0</v>
      </c>
      <c r="O76" s="94" t="s">
        <v>1108</v>
      </c>
      <c r="P76" s="12" t="str">
        <f t="shared" si="3"/>
        <v>⚠ Expedite production / source alternate</v>
      </c>
    </row>
    <row r="77" spans="1:16" ht="13" customHeight="1" x14ac:dyDescent="0.35">
      <c r="A77" s="97">
        <v>48274</v>
      </c>
      <c r="B77" s="53" t="s">
        <v>26</v>
      </c>
      <c r="C77" s="12" t="str">
        <f>'Planning Engine'!C77</f>
        <v>Label/Pack</v>
      </c>
      <c r="D77" s="12" t="str">
        <f>'Planning Engine'!D77</f>
        <v>units</v>
      </c>
      <c r="E77" s="95">
        <f>'Planning Engine'!E77</f>
        <v>-632306.38879752613</v>
      </c>
      <c r="F77" s="95">
        <f>'Planning Engine'!F77</f>
        <v>19647.071002106328</v>
      </c>
      <c r="G77" s="95">
        <f>'Planning Engine'!G77</f>
        <v>0</v>
      </c>
      <c r="H77" s="99">
        <f t="shared" si="2"/>
        <v>-19647.071002106328</v>
      </c>
      <c r="I77" s="95">
        <f>'Planning Engine'!H77</f>
        <v>-651953.45979963243</v>
      </c>
      <c r="J77" s="96">
        <f ca="1">'Planning Engine'!J77</f>
        <v>-27.816079684643185</v>
      </c>
      <c r="K77" s="95">
        <f ca="1">'Planning Engine'!K77</f>
        <v>858600</v>
      </c>
      <c r="L77" s="12" t="str">
        <f>'Planning Engine'!L77</f>
        <v>High</v>
      </c>
      <c r="M77" s="93">
        <f>'Planning Engine'!S77</f>
        <v>48183</v>
      </c>
      <c r="N77" s="95">
        <f>'Planning Engine'!T77</f>
        <v>0</v>
      </c>
      <c r="O77" s="98" t="s">
        <v>1109</v>
      </c>
      <c r="P77" s="4" t="str">
        <f t="shared" si="3"/>
        <v>⚠ Expedite production / source alternate</v>
      </c>
    </row>
    <row r="78" spans="1:16" ht="13" customHeight="1" x14ac:dyDescent="0.35">
      <c r="A78" s="93">
        <v>48305</v>
      </c>
      <c r="B78" s="61" t="s">
        <v>26</v>
      </c>
      <c r="C78" s="12" t="str">
        <f>'Planning Engine'!C78</f>
        <v>Label/Pack</v>
      </c>
      <c r="D78" s="12" t="str">
        <f>'Planning Engine'!D78</f>
        <v>units</v>
      </c>
      <c r="E78" s="95">
        <f>'Planning Engine'!E78</f>
        <v>-651953.45979963243</v>
      </c>
      <c r="F78" s="95">
        <f>'Planning Engine'!F78</f>
        <v>28104.545886704265</v>
      </c>
      <c r="G78" s="95">
        <f>'Planning Engine'!G78</f>
        <v>0</v>
      </c>
      <c r="H78" s="95">
        <f t="shared" si="2"/>
        <v>-28104.545886704265</v>
      </c>
      <c r="I78" s="95">
        <f>'Planning Engine'!H78</f>
        <v>-680058.00568633666</v>
      </c>
      <c r="J78" s="96">
        <f ca="1">'Planning Engine'!J78</f>
        <v>-28.631838653015631</v>
      </c>
      <c r="K78" s="95">
        <f ca="1">'Planning Engine'!K78</f>
        <v>891000</v>
      </c>
      <c r="L78" s="12" t="str">
        <f>'Planning Engine'!L78</f>
        <v>High</v>
      </c>
      <c r="M78" s="93">
        <f>'Planning Engine'!S78</f>
        <v>48214</v>
      </c>
      <c r="N78" s="95">
        <f>'Planning Engine'!T78</f>
        <v>0</v>
      </c>
      <c r="O78" s="94" t="s">
        <v>1110</v>
      </c>
      <c r="P78" s="12" t="str">
        <f t="shared" si="3"/>
        <v>⚠ Expedite production / source alternate</v>
      </c>
    </row>
    <row r="79" spans="1:16" ht="13" customHeight="1" x14ac:dyDescent="0.35">
      <c r="A79" s="97">
        <v>48335</v>
      </c>
      <c r="B79" s="53" t="s">
        <v>26</v>
      </c>
      <c r="C79" s="12" t="str">
        <f>'Planning Engine'!C79</f>
        <v>Label/Pack</v>
      </c>
      <c r="D79" s="12" t="str">
        <f>'Planning Engine'!D79</f>
        <v>units</v>
      </c>
      <c r="E79" s="95">
        <f>'Planning Engine'!E79</f>
        <v>-680058.00568633666</v>
      </c>
      <c r="F79" s="95">
        <f>'Planning Engine'!F79</f>
        <v>23928.444746743262</v>
      </c>
      <c r="G79" s="95">
        <f>'Planning Engine'!G79</f>
        <v>0</v>
      </c>
      <c r="H79" s="99">
        <f t="shared" si="2"/>
        <v>-23928.444746743262</v>
      </c>
      <c r="I79" s="95">
        <f>'Planning Engine'!H79</f>
        <v>-703986.45043307997</v>
      </c>
      <c r="J79" s="96">
        <f ca="1">'Planning Engine'!J79</f>
        <v>-29.863337527403957</v>
      </c>
      <c r="K79" s="95">
        <f ca="1">'Planning Engine'!K79</f>
        <v>923400</v>
      </c>
      <c r="L79" s="12" t="str">
        <f>'Planning Engine'!L79</f>
        <v>High</v>
      </c>
      <c r="M79" s="93">
        <f>'Planning Engine'!S79</f>
        <v>48245</v>
      </c>
      <c r="N79" s="95">
        <f>'Planning Engine'!T79</f>
        <v>0</v>
      </c>
      <c r="O79" s="98" t="s">
        <v>1111</v>
      </c>
      <c r="P79" s="4" t="str">
        <f t="shared" si="3"/>
        <v>⚠ Expedite production / source alternate</v>
      </c>
    </row>
    <row r="80" spans="1:16" ht="13" customHeight="1" x14ac:dyDescent="0.35">
      <c r="A80" s="93">
        <v>48366</v>
      </c>
      <c r="B80" s="61" t="s">
        <v>26</v>
      </c>
      <c r="C80" s="12" t="str">
        <f>'Planning Engine'!C80</f>
        <v>Label/Pack</v>
      </c>
      <c r="D80" s="12" t="str">
        <f>'Planning Engine'!D80</f>
        <v>units</v>
      </c>
      <c r="E80" s="95">
        <f>'Planning Engine'!E80</f>
        <v>-703986.45043307997</v>
      </c>
      <c r="F80" s="95">
        <f>'Planning Engine'!F80</f>
        <v>20806.57969807808</v>
      </c>
      <c r="G80" s="95">
        <f>'Planning Engine'!G80</f>
        <v>0</v>
      </c>
      <c r="H80" s="95">
        <f t="shared" si="2"/>
        <v>-20806.57969807808</v>
      </c>
      <c r="I80" s="95">
        <f>'Planning Engine'!H80</f>
        <v>-724793.03013115807</v>
      </c>
      <c r="J80" s="96">
        <f ca="1">'Planning Engine'!J80</f>
        <v>-31.453954161789209</v>
      </c>
      <c r="K80" s="95">
        <f ca="1">'Planning Engine'!K80</f>
        <v>939600</v>
      </c>
      <c r="L80" s="12" t="str">
        <f>'Planning Engine'!L80</f>
        <v>High</v>
      </c>
      <c r="M80" s="93">
        <f>'Planning Engine'!S80</f>
        <v>48274</v>
      </c>
      <c r="N80" s="95">
        <f>'Planning Engine'!T80</f>
        <v>0</v>
      </c>
      <c r="O80" s="94" t="s">
        <v>1112</v>
      </c>
      <c r="P80" s="12" t="str">
        <f t="shared" si="3"/>
        <v>⚠ Expedite production / source alternate</v>
      </c>
    </row>
    <row r="81" spans="1:16" ht="13" customHeight="1" x14ac:dyDescent="0.35">
      <c r="A81" s="97">
        <v>48396</v>
      </c>
      <c r="B81" s="53" t="s">
        <v>26</v>
      </c>
      <c r="C81" s="12" t="str">
        <f>'Planning Engine'!C81</f>
        <v>Label/Pack</v>
      </c>
      <c r="D81" s="12" t="str">
        <f>'Planning Engine'!D81</f>
        <v>units</v>
      </c>
      <c r="E81" s="95">
        <f>'Planning Engine'!E81</f>
        <v>-724793.03013115807</v>
      </c>
      <c r="F81" s="95">
        <f>'Planning Engine'!F81</f>
        <v>24143.021378824651</v>
      </c>
      <c r="G81" s="95">
        <f>'Planning Engine'!G81</f>
        <v>0</v>
      </c>
      <c r="H81" s="99">
        <f t="shared" si="2"/>
        <v>-24143.021378824651</v>
      </c>
      <c r="I81" s="95">
        <f>'Planning Engine'!H81</f>
        <v>-748936.05150998267</v>
      </c>
      <c r="J81" s="96">
        <f ca="1">'Planning Engine'!J81</f>
        <v>-32.469004513041924</v>
      </c>
      <c r="K81" s="95">
        <f ca="1">'Planning Engine'!K81</f>
        <v>955800</v>
      </c>
      <c r="L81" s="12" t="str">
        <f>'Planning Engine'!L81</f>
        <v>High</v>
      </c>
      <c r="M81" s="93">
        <f>'Planning Engine'!S81</f>
        <v>48305</v>
      </c>
      <c r="N81" s="95">
        <f>'Planning Engine'!T81</f>
        <v>0</v>
      </c>
      <c r="O81" s="98" t="s">
        <v>1113</v>
      </c>
      <c r="P81" s="4" t="str">
        <f t="shared" si="3"/>
        <v>⚠ Expedite production / source alternate</v>
      </c>
    </row>
    <row r="82" spans="1:16" ht="13" customHeight="1" x14ac:dyDescent="0.35">
      <c r="A82" s="93">
        <v>48427</v>
      </c>
      <c r="B82" s="61" t="s">
        <v>26</v>
      </c>
      <c r="C82" s="12" t="str">
        <f>'Planning Engine'!C82</f>
        <v>Label/Pack</v>
      </c>
      <c r="D82" s="12" t="str">
        <f>'Planning Engine'!D82</f>
        <v>units</v>
      </c>
      <c r="E82" s="95">
        <f>'Planning Engine'!E82</f>
        <v>-748936.05150998267</v>
      </c>
      <c r="F82" s="95">
        <f>'Planning Engine'!F82</f>
        <v>23568.456155716733</v>
      </c>
      <c r="G82" s="95">
        <f>'Planning Engine'!G82</f>
        <v>0</v>
      </c>
      <c r="H82" s="95">
        <f t="shared" si="2"/>
        <v>-23568.456155716733</v>
      </c>
      <c r="I82" s="95">
        <f>'Planning Engine'!H82</f>
        <v>-772504.50766569935</v>
      </c>
      <c r="J82" s="96">
        <f ca="1">'Planning Engine'!J82</f>
        <v>-32.732947990036763</v>
      </c>
      <c r="K82" s="95">
        <f ca="1">'Planning Engine'!K82</f>
        <v>988200</v>
      </c>
      <c r="L82" s="12" t="str">
        <f>'Planning Engine'!L82</f>
        <v>High</v>
      </c>
      <c r="M82" s="93">
        <f>'Planning Engine'!S82</f>
        <v>48335</v>
      </c>
      <c r="N82" s="95">
        <f>'Planning Engine'!T82</f>
        <v>0</v>
      </c>
      <c r="O82" s="94" t="s">
        <v>1114</v>
      </c>
      <c r="P82" s="12" t="str">
        <f t="shared" si="3"/>
        <v>⚠ Expedite production / source alternate</v>
      </c>
    </row>
    <row r="83" spans="1:16" ht="13" customHeight="1" x14ac:dyDescent="0.35">
      <c r="A83" s="97">
        <v>48458</v>
      </c>
      <c r="B83" s="53" t="s">
        <v>26</v>
      </c>
      <c r="C83" s="12" t="str">
        <f>'Planning Engine'!C83</f>
        <v>Label/Pack</v>
      </c>
      <c r="D83" s="12" t="str">
        <f>'Planning Engine'!D83</f>
        <v>units</v>
      </c>
      <c r="E83" s="95">
        <f>'Planning Engine'!E83</f>
        <v>-772504.50766569935</v>
      </c>
      <c r="F83" s="95">
        <f>'Planning Engine'!F83</f>
        <v>25709.910428696974</v>
      </c>
      <c r="G83" s="95">
        <f>'Planning Engine'!G83</f>
        <v>0</v>
      </c>
      <c r="H83" s="99">
        <f t="shared" si="2"/>
        <v>-25709.910428696974</v>
      </c>
      <c r="I83" s="95">
        <f>'Planning Engine'!H83</f>
        <v>-798214.41809439636</v>
      </c>
      <c r="J83" s="96">
        <f ca="1">'Planning Engine'!J83</f>
        <v>-34.004509174869682</v>
      </c>
      <c r="K83" s="95">
        <f ca="1">'Planning Engine'!K83</f>
        <v>1004400</v>
      </c>
      <c r="L83" s="12" t="str">
        <f>'Planning Engine'!L83</f>
        <v>High</v>
      </c>
      <c r="M83" s="93">
        <f>'Planning Engine'!S83</f>
        <v>48366</v>
      </c>
      <c r="N83" s="95">
        <f>'Planning Engine'!T83</f>
        <v>0</v>
      </c>
      <c r="O83" s="98" t="s">
        <v>1115</v>
      </c>
      <c r="P83" s="4" t="str">
        <f t="shared" si="3"/>
        <v>⚠ Expedite production / source alternate</v>
      </c>
    </row>
    <row r="84" spans="1:16" ht="13" customHeight="1" x14ac:dyDescent="0.35">
      <c r="A84" s="93">
        <v>48488</v>
      </c>
      <c r="B84" s="61" t="s">
        <v>26</v>
      </c>
      <c r="C84" s="12" t="str">
        <f>'Planning Engine'!C84</f>
        <v>Label/Pack</v>
      </c>
      <c r="D84" s="12" t="str">
        <f>'Planning Engine'!D84</f>
        <v>units</v>
      </c>
      <c r="E84" s="95">
        <f>'Planning Engine'!E84</f>
        <v>-798214.41809439636</v>
      </c>
      <c r="F84" s="95">
        <f>'Planning Engine'!F84</f>
        <v>23172.525630914246</v>
      </c>
      <c r="G84" s="95">
        <f>'Planning Engine'!G84</f>
        <v>0</v>
      </c>
      <c r="H84" s="95">
        <f t="shared" si="2"/>
        <v>-23172.525630914246</v>
      </c>
      <c r="I84" s="95">
        <f>'Planning Engine'!H84</f>
        <v>-821386.94372531062</v>
      </c>
      <c r="J84" s="96">
        <f ca="1">'Planning Engine'!J84</f>
        <v>-35.303839649110436</v>
      </c>
      <c r="K84" s="95">
        <f ca="1">'Planning Engine'!K84</f>
        <v>1036800</v>
      </c>
      <c r="L84" s="12" t="str">
        <f>'Planning Engine'!L84</f>
        <v>High</v>
      </c>
      <c r="M84" s="93">
        <f>'Planning Engine'!S84</f>
        <v>48396</v>
      </c>
      <c r="N84" s="95">
        <f>'Planning Engine'!T84</f>
        <v>0</v>
      </c>
      <c r="O84" s="94" t="s">
        <v>1116</v>
      </c>
      <c r="P84" s="12" t="str">
        <f t="shared" si="3"/>
        <v>⚠ Expedite production / source alternate</v>
      </c>
    </row>
    <row r="85" spans="1:16" ht="13" customHeight="1" x14ac:dyDescent="0.35">
      <c r="A85" s="97">
        <v>48519</v>
      </c>
      <c r="B85" s="53" t="s">
        <v>26</v>
      </c>
      <c r="C85" s="12" t="str">
        <f>'Planning Engine'!C85</f>
        <v>Label/Pack</v>
      </c>
      <c r="D85" s="12" t="str">
        <f>'Planning Engine'!D85</f>
        <v>units</v>
      </c>
      <c r="E85" s="95">
        <f>'Planning Engine'!E85</f>
        <v>-821386.94372531062</v>
      </c>
      <c r="F85" s="95">
        <f>'Planning Engine'!F85</f>
        <v>21861.504654971453</v>
      </c>
      <c r="G85" s="95">
        <f>'Planning Engine'!G85</f>
        <v>0</v>
      </c>
      <c r="H85" s="99">
        <f t="shared" si="2"/>
        <v>-21861.504654971453</v>
      </c>
      <c r="I85" s="95">
        <f>'Planning Engine'!H85</f>
        <v>-843248.44838028203</v>
      </c>
      <c r="J85" s="96">
        <f ca="1">'Planning Engine'!J85</f>
        <v>-36.121382967857343</v>
      </c>
      <c r="K85" s="95">
        <f ca="1">'Planning Engine'!K85</f>
        <v>1053000</v>
      </c>
      <c r="L85" s="12" t="str">
        <f>'Planning Engine'!L85</f>
        <v>High</v>
      </c>
      <c r="M85" s="93">
        <f>'Planning Engine'!S85</f>
        <v>48427</v>
      </c>
      <c r="N85" s="95">
        <f>'Planning Engine'!T85</f>
        <v>0</v>
      </c>
      <c r="O85" s="98" t="s">
        <v>1117</v>
      </c>
      <c r="P85" s="4" t="str">
        <f t="shared" si="3"/>
        <v>⚠ Expedite production / source alternate</v>
      </c>
    </row>
    <row r="86" spans="1:16" ht="13" customHeight="1" x14ac:dyDescent="0.35">
      <c r="A86" s="93">
        <v>48549</v>
      </c>
      <c r="B86" s="61" t="s">
        <v>26</v>
      </c>
      <c r="C86" s="12" t="str">
        <f>'Planning Engine'!C86</f>
        <v>Label/Pack</v>
      </c>
      <c r="D86" s="12" t="str">
        <f>'Planning Engine'!D86</f>
        <v>units</v>
      </c>
      <c r="E86" s="95">
        <f>'Planning Engine'!E86</f>
        <v>-843248.44838028203</v>
      </c>
      <c r="F86" s="95">
        <f>'Planning Engine'!F86</f>
        <v>22471.305835527819</v>
      </c>
      <c r="G86" s="95">
        <f>'Planning Engine'!G86</f>
        <v>0</v>
      </c>
      <c r="H86" s="95">
        <f t="shared" si="2"/>
        <v>-22471.305835527819</v>
      </c>
      <c r="I86" s="95">
        <f>'Planning Engine'!H86</f>
        <v>-865719.75421580987</v>
      </c>
      <c r="J86" s="96">
        <f ca="1">'Planning Engine'!J86</f>
        <v>-37.084150846344905</v>
      </c>
      <c r="K86" s="95">
        <f ca="1">'Planning Engine'!K86</f>
        <v>1069200</v>
      </c>
      <c r="L86" s="12" t="str">
        <f>'Planning Engine'!L86</f>
        <v>High</v>
      </c>
      <c r="M86" s="93">
        <f>'Planning Engine'!S86</f>
        <v>48458</v>
      </c>
      <c r="N86" s="95">
        <f>'Planning Engine'!T86</f>
        <v>0</v>
      </c>
      <c r="O86" s="94" t="s">
        <v>1118</v>
      </c>
      <c r="P86" s="12" t="str">
        <f t="shared" si="3"/>
        <v>⚠ Expedite production / source alternate</v>
      </c>
    </row>
    <row r="87" spans="1:16" ht="13" customHeight="1" x14ac:dyDescent="0.35">
      <c r="A87" s="97">
        <v>48580</v>
      </c>
      <c r="B87" s="53" t="s">
        <v>26</v>
      </c>
      <c r="C87" s="12" t="str">
        <f>'Planning Engine'!C87</f>
        <v>Label/Pack</v>
      </c>
      <c r="D87" s="12" t="str">
        <f>'Planning Engine'!D87</f>
        <v>units</v>
      </c>
      <c r="E87" s="95">
        <f>'Planning Engine'!E87</f>
        <v>-865719.75421580987</v>
      </c>
      <c r="F87" s="95">
        <f>'Planning Engine'!F87</f>
        <v>26500.674645218191</v>
      </c>
      <c r="G87" s="95">
        <f>'Planning Engine'!G87</f>
        <v>0</v>
      </c>
      <c r="H87" s="99">
        <f t="shared" si="2"/>
        <v>-26500.674645218191</v>
      </c>
      <c r="I87" s="95">
        <f>'Planning Engine'!H87</f>
        <v>-892220.42886102805</v>
      </c>
      <c r="J87" s="96">
        <f ca="1">'Planning Engine'!J87</f>
        <v>-37.123462542815069</v>
      </c>
      <c r="K87" s="95">
        <f ca="1">'Planning Engine'!K87</f>
        <v>1101600</v>
      </c>
      <c r="L87" s="12" t="str">
        <f>'Planning Engine'!L87</f>
        <v>High</v>
      </c>
      <c r="M87" s="93">
        <f>'Planning Engine'!S87</f>
        <v>48488</v>
      </c>
      <c r="N87" s="95">
        <f>'Planning Engine'!T87</f>
        <v>0</v>
      </c>
      <c r="O87" s="98" t="s">
        <v>1119</v>
      </c>
      <c r="P87" s="4" t="str">
        <f t="shared" si="3"/>
        <v>⚠ Expedite production / source alternate</v>
      </c>
    </row>
    <row r="88" spans="1:16" ht="13" customHeight="1" x14ac:dyDescent="0.35">
      <c r="A88" s="93">
        <v>48611</v>
      </c>
      <c r="B88" s="61" t="s">
        <v>26</v>
      </c>
      <c r="C88" s="12" t="str">
        <f>'Planning Engine'!C88</f>
        <v>Label/Pack</v>
      </c>
      <c r="D88" s="12" t="str">
        <f>'Planning Engine'!D88</f>
        <v>units</v>
      </c>
      <c r="E88" s="95">
        <f>'Planning Engine'!E88</f>
        <v>-892220.42886102805</v>
      </c>
      <c r="F88" s="95">
        <f>'Planning Engine'!F88</f>
        <v>19152.896927292219</v>
      </c>
      <c r="G88" s="95">
        <f>'Planning Engine'!G88</f>
        <v>0</v>
      </c>
      <c r="H88" s="95">
        <f t="shared" si="2"/>
        <v>-19152.896927292219</v>
      </c>
      <c r="I88" s="95">
        <f>'Planning Engine'!H88</f>
        <v>-911373.32578832028</v>
      </c>
      <c r="J88" s="96">
        <f ca="1">'Planning Engine'!J88</f>
        <v>-38.592817253832969</v>
      </c>
      <c r="K88" s="95">
        <f ca="1">'Planning Engine'!K88</f>
        <v>1117800</v>
      </c>
      <c r="L88" s="12" t="str">
        <f>'Planning Engine'!L88</f>
        <v>High</v>
      </c>
      <c r="M88" s="93">
        <f>'Planning Engine'!S88</f>
        <v>48519</v>
      </c>
      <c r="N88" s="95">
        <f>'Planning Engine'!T88</f>
        <v>0</v>
      </c>
      <c r="O88" s="94" t="s">
        <v>1120</v>
      </c>
      <c r="P88" s="12" t="str">
        <f t="shared" si="3"/>
        <v>⚠ Expedite production / source alternate</v>
      </c>
    </row>
    <row r="89" spans="1:16" ht="13" customHeight="1" x14ac:dyDescent="0.35">
      <c r="A89" s="97">
        <v>48639</v>
      </c>
      <c r="B89" s="53" t="s">
        <v>26</v>
      </c>
      <c r="C89" s="12" t="str">
        <f>'Planning Engine'!C89</f>
        <v>Label/Pack</v>
      </c>
      <c r="D89" s="12" t="str">
        <f>'Planning Engine'!D89</f>
        <v>units</v>
      </c>
      <c r="E89" s="95">
        <f>'Planning Engine'!E89</f>
        <v>-911373.32578832028</v>
      </c>
      <c r="F89" s="95">
        <f>'Planning Engine'!F89</f>
        <v>21015.365641366225</v>
      </c>
      <c r="G89" s="95">
        <f>'Planning Engine'!G89</f>
        <v>0</v>
      </c>
      <c r="H89" s="99">
        <f t="shared" si="2"/>
        <v>-21015.365641366225</v>
      </c>
      <c r="I89" s="95">
        <f>'Planning Engine'!H89</f>
        <v>-932388.6914296865</v>
      </c>
      <c r="J89" s="96">
        <f ca="1">'Planning Engine'!J89</f>
        <v>-38.947430051627961</v>
      </c>
      <c r="K89" s="95">
        <f ca="1">'Planning Engine'!K89</f>
        <v>1150200</v>
      </c>
      <c r="L89" s="12" t="str">
        <f>'Planning Engine'!L89</f>
        <v>High</v>
      </c>
      <c r="M89" s="93">
        <f>'Planning Engine'!S89</f>
        <v>48549</v>
      </c>
      <c r="N89" s="95">
        <f>'Planning Engine'!T89</f>
        <v>0</v>
      </c>
      <c r="O89" s="98" t="s">
        <v>1121</v>
      </c>
      <c r="P89" s="4" t="str">
        <f t="shared" si="3"/>
        <v>⚠ Expedite production / source alternate</v>
      </c>
    </row>
    <row r="90" spans="1:16" ht="13" customHeight="1" x14ac:dyDescent="0.35">
      <c r="A90" s="93">
        <v>48670</v>
      </c>
      <c r="B90" s="61" t="s">
        <v>26</v>
      </c>
      <c r="C90" s="12" t="str">
        <f>'Planning Engine'!C90</f>
        <v>Label/Pack</v>
      </c>
      <c r="D90" s="12" t="str">
        <f>'Planning Engine'!D90</f>
        <v>units</v>
      </c>
      <c r="E90" s="95">
        <f>'Planning Engine'!E90</f>
        <v>-932388.6914296865</v>
      </c>
      <c r="F90" s="95">
        <f>'Planning Engine'!F90</f>
        <v>28949.266902361283</v>
      </c>
      <c r="G90" s="95">
        <f>'Planning Engine'!G90</f>
        <v>0</v>
      </c>
      <c r="H90" s="95">
        <f t="shared" si="2"/>
        <v>-28949.266902361283</v>
      </c>
      <c r="I90" s="95">
        <f>'Planning Engine'!H90</f>
        <v>-961337.9583320478</v>
      </c>
      <c r="J90" s="96">
        <f ca="1">'Planning Engine'!J90</f>
        <v>-39.851273073570859</v>
      </c>
      <c r="K90" s="95">
        <f ca="1">'Planning Engine'!K90</f>
        <v>1182600</v>
      </c>
      <c r="L90" s="12" t="str">
        <f>'Planning Engine'!L90</f>
        <v>High</v>
      </c>
      <c r="M90" s="93">
        <f>'Planning Engine'!S90</f>
        <v>48580</v>
      </c>
      <c r="N90" s="95">
        <f>'Planning Engine'!T90</f>
        <v>0</v>
      </c>
      <c r="O90" s="94" t="s">
        <v>1122</v>
      </c>
      <c r="P90" s="12" t="str">
        <f t="shared" si="3"/>
        <v>⚠ Expedite production / source alternate</v>
      </c>
    </row>
    <row r="91" spans="1:16" ht="13" customHeight="1" x14ac:dyDescent="0.35">
      <c r="A91" s="97">
        <v>48700</v>
      </c>
      <c r="B91" s="53" t="s">
        <v>26</v>
      </c>
      <c r="C91" s="12" t="str">
        <f>'Planning Engine'!C91</f>
        <v>Label/Pack</v>
      </c>
      <c r="D91" s="12" t="str">
        <f>'Planning Engine'!D91</f>
        <v>units</v>
      </c>
      <c r="E91" s="95">
        <f>'Planning Engine'!E91</f>
        <v>-961337.9583320478</v>
      </c>
      <c r="F91" s="95">
        <f>'Planning Engine'!F91</f>
        <v>22430.582756568845</v>
      </c>
      <c r="G91" s="95">
        <f>'Planning Engine'!G91</f>
        <v>0</v>
      </c>
      <c r="H91" s="99">
        <f t="shared" si="2"/>
        <v>-22430.582756568845</v>
      </c>
      <c r="I91" s="95">
        <f>'Planning Engine'!H91</f>
        <v>-983768.54108861659</v>
      </c>
      <c r="J91" s="96">
        <f ca="1">'Planning Engine'!J91</f>
        <v>-41.60974702982751</v>
      </c>
      <c r="K91" s="95">
        <f ca="1">'Planning Engine'!K91</f>
        <v>1198800</v>
      </c>
      <c r="L91" s="12" t="str">
        <f>'Planning Engine'!L91</f>
        <v>High</v>
      </c>
      <c r="M91" s="93">
        <f>'Planning Engine'!S91</f>
        <v>48611</v>
      </c>
      <c r="N91" s="95">
        <f>'Planning Engine'!T91</f>
        <v>0</v>
      </c>
      <c r="O91" s="98" t="s">
        <v>1123</v>
      </c>
      <c r="P91" s="4" t="str">
        <f t="shared" si="3"/>
        <v>⚠ Expedite production / source alternate</v>
      </c>
    </row>
    <row r="92" spans="1:16" ht="13" customHeight="1" x14ac:dyDescent="0.35">
      <c r="A92" s="93">
        <v>48731</v>
      </c>
      <c r="B92" s="61" t="s">
        <v>26</v>
      </c>
      <c r="C92" s="12" t="str">
        <f>'Planning Engine'!C92</f>
        <v>Label/Pack</v>
      </c>
      <c r="D92" s="12" t="str">
        <f>'Planning Engine'!D92</f>
        <v>units</v>
      </c>
      <c r="E92" s="95">
        <f>'Planning Engine'!E92</f>
        <v>-983768.54108861659</v>
      </c>
      <c r="F92" s="95">
        <f>'Planning Engine'!F92</f>
        <v>23841.868121835716</v>
      </c>
      <c r="G92" s="95">
        <f>'Planning Engine'!G92</f>
        <v>0</v>
      </c>
      <c r="H92" s="95">
        <f t="shared" si="2"/>
        <v>-23841.868121835716</v>
      </c>
      <c r="I92" s="95">
        <f>'Planning Engine'!H92</f>
        <v>-1007610.4092104523</v>
      </c>
      <c r="J92" s="96">
        <f ca="1">'Planning Engine'!J92</f>
        <v>-42.72237902252872</v>
      </c>
      <c r="K92" s="95">
        <f ca="1">'Planning Engine'!K92</f>
        <v>1215000</v>
      </c>
      <c r="L92" s="12" t="str">
        <f>'Planning Engine'!L92</f>
        <v>High</v>
      </c>
      <c r="M92" s="93">
        <f>'Planning Engine'!S92</f>
        <v>48639</v>
      </c>
      <c r="N92" s="95">
        <f>'Planning Engine'!T92</f>
        <v>0</v>
      </c>
      <c r="O92" s="94" t="s">
        <v>1124</v>
      </c>
      <c r="P92" s="12" t="str">
        <f t="shared" si="3"/>
        <v>⚠ Expedite production / source alternate</v>
      </c>
    </row>
    <row r="93" spans="1:16" ht="13" customHeight="1" x14ac:dyDescent="0.35">
      <c r="A93" s="97">
        <v>48761</v>
      </c>
      <c r="B93" s="53" t="s">
        <v>26</v>
      </c>
      <c r="C93" s="12" t="str">
        <f>'Planning Engine'!C93</f>
        <v>Label/Pack</v>
      </c>
      <c r="D93" s="12" t="str">
        <f>'Planning Engine'!D93</f>
        <v>units</v>
      </c>
      <c r="E93" s="95">
        <f>'Planning Engine'!E93</f>
        <v>-1007610.4092104523</v>
      </c>
      <c r="F93" s="95">
        <f>'Planning Engine'!F93</f>
        <v>23880.229663403035</v>
      </c>
      <c r="G93" s="95">
        <f>'Planning Engine'!G93</f>
        <v>0</v>
      </c>
      <c r="H93" s="99">
        <f t="shared" si="2"/>
        <v>-23880.229663403035</v>
      </c>
      <c r="I93" s="95">
        <f>'Planning Engine'!H93</f>
        <v>-1031490.6388738554</v>
      </c>
      <c r="J93" s="96">
        <f ca="1">'Planning Engine'!J93</f>
        <v>-44.439034927166844</v>
      </c>
      <c r="K93" s="95">
        <f ca="1">'Planning Engine'!K93</f>
        <v>1247400</v>
      </c>
      <c r="L93" s="12" t="str">
        <f>'Planning Engine'!L93</f>
        <v>High</v>
      </c>
      <c r="M93" s="93">
        <f>'Planning Engine'!S93</f>
        <v>48670</v>
      </c>
      <c r="N93" s="95">
        <f>'Planning Engine'!T93</f>
        <v>0</v>
      </c>
      <c r="O93" s="98" t="s">
        <v>1125</v>
      </c>
      <c r="P93" s="4" t="str">
        <f t="shared" si="3"/>
        <v>⚠ Expedite production / source alternate</v>
      </c>
    </row>
    <row r="94" spans="1:16" ht="13" customHeight="1" x14ac:dyDescent="0.35">
      <c r="A94" s="93">
        <v>48792</v>
      </c>
      <c r="B94" s="61" t="s">
        <v>26</v>
      </c>
      <c r="C94" s="12" t="str">
        <f>'Planning Engine'!C94</f>
        <v>Label/Pack</v>
      </c>
      <c r="D94" s="12" t="str">
        <f>'Planning Engine'!D94</f>
        <v>units</v>
      </c>
      <c r="E94" s="95">
        <f>'Planning Engine'!E94</f>
        <v>-1031490.6388738554</v>
      </c>
      <c r="F94" s="95">
        <f>'Planning Engine'!F94</f>
        <v>21860.4439236371</v>
      </c>
      <c r="G94" s="95">
        <f>'Planning Engine'!G94</f>
        <v>0</v>
      </c>
      <c r="H94" s="95">
        <f t="shared" si="2"/>
        <v>-21860.4439236371</v>
      </c>
      <c r="I94" s="95">
        <f>'Planning Engine'!H94</f>
        <v>-1053351.0827974924</v>
      </c>
      <c r="J94" s="96">
        <f ca="1">'Planning Engine'!J94</f>
        <v>-44.266385906524455</v>
      </c>
      <c r="K94" s="95">
        <f ca="1">'Planning Engine'!K94</f>
        <v>1263600</v>
      </c>
      <c r="L94" s="12" t="str">
        <f>'Planning Engine'!L94</f>
        <v>High</v>
      </c>
      <c r="M94" s="93">
        <f>'Planning Engine'!S94</f>
        <v>48700</v>
      </c>
      <c r="N94" s="95">
        <f>'Planning Engine'!T94</f>
        <v>0</v>
      </c>
      <c r="O94" s="94" t="s">
        <v>1126</v>
      </c>
      <c r="P94" s="12" t="str">
        <f t="shared" si="3"/>
        <v>⚠ Expedite production / source alternate</v>
      </c>
    </row>
    <row r="95" spans="1:16" ht="13" customHeight="1" x14ac:dyDescent="0.35">
      <c r="A95" s="97">
        <v>48823</v>
      </c>
      <c r="B95" s="53" t="s">
        <v>26</v>
      </c>
      <c r="C95" s="12" t="str">
        <f>'Planning Engine'!C95</f>
        <v>Label/Pack</v>
      </c>
      <c r="D95" s="12" t="str">
        <f>'Planning Engine'!D95</f>
        <v>units</v>
      </c>
      <c r="E95" s="95">
        <f>'Planning Engine'!E95</f>
        <v>-1053351.0827974924</v>
      </c>
      <c r="F95" s="95">
        <f>'Planning Engine'!F95</f>
        <v>28673.490789305375</v>
      </c>
      <c r="G95" s="95">
        <f>'Planning Engine'!G95</f>
        <v>0</v>
      </c>
      <c r="H95" s="99">
        <f t="shared" si="2"/>
        <v>-28673.490789305375</v>
      </c>
      <c r="I95" s="95">
        <f>'Planning Engine'!H95</f>
        <v>-1082024.5735867978</v>
      </c>
      <c r="J95" s="96">
        <f ca="1">'Planning Engine'!J95</f>
        <v>-45.758781818104808</v>
      </c>
      <c r="K95" s="95">
        <f ca="1">'Planning Engine'!K95</f>
        <v>1296000</v>
      </c>
      <c r="L95" s="12" t="str">
        <f>'Planning Engine'!L95</f>
        <v>High</v>
      </c>
      <c r="M95" s="93">
        <f>'Planning Engine'!S95</f>
        <v>48731</v>
      </c>
      <c r="N95" s="95">
        <f>'Planning Engine'!T95</f>
        <v>0</v>
      </c>
      <c r="O95" s="98" t="s">
        <v>1127</v>
      </c>
      <c r="P95" s="4" t="str">
        <f t="shared" si="3"/>
        <v>⚠ Expedite production / source alternate</v>
      </c>
    </row>
    <row r="96" spans="1:16" ht="13" customHeight="1" x14ac:dyDescent="0.35">
      <c r="A96" s="93">
        <v>48853</v>
      </c>
      <c r="B96" s="61" t="s">
        <v>26</v>
      </c>
      <c r="C96" s="12" t="str">
        <f>'Planning Engine'!C96</f>
        <v>Label/Pack</v>
      </c>
      <c r="D96" s="12" t="str">
        <f>'Planning Engine'!D96</f>
        <v>units</v>
      </c>
      <c r="E96" s="95">
        <f>'Planning Engine'!E96</f>
        <v>-1082024.5735867978</v>
      </c>
      <c r="F96" s="95">
        <f>'Planning Engine'!F96</f>
        <v>22731.77557634905</v>
      </c>
      <c r="G96" s="95">
        <f>'Planning Engine'!G96</f>
        <v>0</v>
      </c>
      <c r="H96" s="95">
        <f t="shared" si="2"/>
        <v>-22731.77557634905</v>
      </c>
      <c r="I96" s="95">
        <f>'Planning Engine'!H96</f>
        <v>-1104756.3491631469</v>
      </c>
      <c r="J96" s="96">
        <f ca="1">'Planning Engine'!J96</f>
        <v>-47.176042336557387</v>
      </c>
      <c r="K96" s="95">
        <f ca="1">'Planning Engine'!K96</f>
        <v>1312200</v>
      </c>
      <c r="L96" s="12" t="str">
        <f>'Planning Engine'!L96</f>
        <v>High</v>
      </c>
      <c r="M96" s="93">
        <f>'Planning Engine'!S96</f>
        <v>48761</v>
      </c>
      <c r="N96" s="95">
        <f>'Planning Engine'!T96</f>
        <v>0</v>
      </c>
      <c r="O96" s="94" t="s">
        <v>1128</v>
      </c>
      <c r="P96" s="12" t="str">
        <f t="shared" si="3"/>
        <v>⚠ Expedite production / source alternate</v>
      </c>
    </row>
    <row r="97" spans="1:16" ht="13" customHeight="1" x14ac:dyDescent="0.35">
      <c r="A97" s="97">
        <v>48884</v>
      </c>
      <c r="B97" s="53" t="s">
        <v>26</v>
      </c>
      <c r="C97" s="12" t="str">
        <f>'Planning Engine'!C97</f>
        <v>Label/Pack</v>
      </c>
      <c r="D97" s="12" t="str">
        <f>'Planning Engine'!D97</f>
        <v>units</v>
      </c>
      <c r="E97" s="95">
        <f>'Planning Engine'!E97</f>
        <v>-1104756.3491631469</v>
      </c>
      <c r="F97" s="95">
        <f>'Planning Engine'!F97</f>
        <v>22074.022487854672</v>
      </c>
      <c r="G97" s="95">
        <f>'Planning Engine'!G97</f>
        <v>0</v>
      </c>
      <c r="H97" s="99">
        <f t="shared" si="2"/>
        <v>-22074.022487854672</v>
      </c>
      <c r="I97" s="95">
        <f>'Planning Engine'!H97</f>
        <v>-1126830.3716510015</v>
      </c>
      <c r="J97" s="96">
        <f ca="1">'Planning Engine'!J97</f>
        <v>-47.98022621439047</v>
      </c>
      <c r="K97" s="95">
        <f ca="1">'Planning Engine'!K97</f>
        <v>1344600</v>
      </c>
      <c r="L97" s="12" t="str">
        <f>'Planning Engine'!L97</f>
        <v>High</v>
      </c>
      <c r="M97" s="93">
        <f>'Planning Engine'!S97</f>
        <v>48792</v>
      </c>
      <c r="N97" s="95">
        <f>'Planning Engine'!T97</f>
        <v>0</v>
      </c>
      <c r="O97" s="98" t="s">
        <v>1129</v>
      </c>
      <c r="P97" s="4" t="str">
        <f t="shared" si="3"/>
        <v>⚠ Expedite production / source alternate</v>
      </c>
    </row>
    <row r="98" spans="1:16" ht="13" customHeight="1" x14ac:dyDescent="0.35">
      <c r="A98" s="93">
        <v>48914</v>
      </c>
      <c r="B98" s="61" t="s">
        <v>26</v>
      </c>
      <c r="C98" s="12" t="str">
        <f>'Planning Engine'!C98</f>
        <v>Label/Pack</v>
      </c>
      <c r="D98" s="12" t="str">
        <f>'Planning Engine'!D98</f>
        <v>units</v>
      </c>
      <c r="E98" s="95">
        <f>'Planning Engine'!E98</f>
        <v>-1126830.3716510015</v>
      </c>
      <c r="F98" s="95">
        <f>'Planning Engine'!F98</f>
        <v>22666.606608457892</v>
      </c>
      <c r="G98" s="95">
        <f>'Planning Engine'!G98</f>
        <v>0</v>
      </c>
      <c r="H98" s="95">
        <f t="shared" si="2"/>
        <v>-22666.606608457892</v>
      </c>
      <c r="I98" s="95">
        <f>'Planning Engine'!H98</f>
        <v>-1149496.9782594594</v>
      </c>
      <c r="J98" s="96">
        <f ca="1">'Planning Engine'!J98</f>
        <v>-48.962763714125217</v>
      </c>
      <c r="K98" s="95">
        <f ca="1">'Planning Engine'!K98</f>
        <v>1360800</v>
      </c>
      <c r="L98" s="12" t="str">
        <f>'Planning Engine'!L98</f>
        <v>High</v>
      </c>
      <c r="M98" s="93">
        <f>'Planning Engine'!S98</f>
        <v>48823</v>
      </c>
      <c r="N98" s="95">
        <f>'Planning Engine'!T98</f>
        <v>0</v>
      </c>
      <c r="O98" s="94" t="s">
        <v>1130</v>
      </c>
      <c r="P98" s="12" t="str">
        <f t="shared" si="3"/>
        <v>⚠ Expedite production / source alternate</v>
      </c>
    </row>
    <row r="99" spans="1:16" ht="13" customHeight="1" x14ac:dyDescent="0.35">
      <c r="A99" s="97">
        <v>48945</v>
      </c>
      <c r="B99" s="53" t="s">
        <v>26</v>
      </c>
      <c r="C99" s="12" t="str">
        <f>'Planning Engine'!C99</f>
        <v>Label/Pack</v>
      </c>
      <c r="D99" s="12" t="str">
        <f>'Planning Engine'!D99</f>
        <v>units</v>
      </c>
      <c r="E99" s="95">
        <f>'Planning Engine'!E99</f>
        <v>-1149496.9782594594</v>
      </c>
      <c r="F99" s="95">
        <f>'Planning Engine'!F99</f>
        <v>24625.663994139453</v>
      </c>
      <c r="G99" s="95">
        <f>'Planning Engine'!G99</f>
        <v>0</v>
      </c>
      <c r="H99" s="99">
        <f t="shared" si="2"/>
        <v>-24625.663994139453</v>
      </c>
      <c r="I99" s="95">
        <f>'Planning Engine'!H99</f>
        <v>-1174122.6422535989</v>
      </c>
      <c r="J99" s="96">
        <f ca="1">'Planning Engine'!J99</f>
        <v>-48.589437678862765</v>
      </c>
      <c r="K99" s="95">
        <f ca="1">'Planning Engine'!K99</f>
        <v>1393200</v>
      </c>
      <c r="L99" s="12" t="str">
        <f>'Planning Engine'!L99</f>
        <v>High</v>
      </c>
      <c r="M99" s="93">
        <f>'Planning Engine'!S99</f>
        <v>48853</v>
      </c>
      <c r="N99" s="95">
        <f>'Planning Engine'!T99</f>
        <v>0</v>
      </c>
      <c r="O99" s="98" t="s">
        <v>1131</v>
      </c>
      <c r="P99" s="4" t="str">
        <f t="shared" si="3"/>
        <v>⚠ Expedite production / source alternate</v>
      </c>
    </row>
    <row r="100" spans="1:16" ht="13" customHeight="1" x14ac:dyDescent="0.35">
      <c r="A100" s="93">
        <v>48976</v>
      </c>
      <c r="B100" s="61" t="s">
        <v>26</v>
      </c>
      <c r="C100" s="12" t="str">
        <f>'Planning Engine'!C100</f>
        <v>Label/Pack</v>
      </c>
      <c r="D100" s="12" t="str">
        <f>'Planning Engine'!D100</f>
        <v>units</v>
      </c>
      <c r="E100" s="95">
        <f>'Planning Engine'!E100</f>
        <v>-1174122.6422535989</v>
      </c>
      <c r="F100" s="95">
        <f>'Planning Engine'!F100</f>
        <v>21911.551880977477</v>
      </c>
      <c r="G100" s="95">
        <f>'Planning Engine'!G100</f>
        <v>0</v>
      </c>
      <c r="H100" s="95">
        <f t="shared" si="2"/>
        <v>-21911.551880977477</v>
      </c>
      <c r="I100" s="95">
        <f>'Planning Engine'!H100</f>
        <v>-1196034.1941345765</v>
      </c>
      <c r="J100" s="96">
        <f ca="1">'Planning Engine'!J100</f>
        <v>-50.38423321328132</v>
      </c>
      <c r="K100" s="95">
        <f ca="1">'Planning Engine'!K100</f>
        <v>1409400</v>
      </c>
      <c r="L100" s="12" t="str">
        <f>'Planning Engine'!L100</f>
        <v>High</v>
      </c>
      <c r="M100" s="93">
        <f>'Planning Engine'!S100</f>
        <v>48884</v>
      </c>
      <c r="N100" s="95">
        <f>'Planning Engine'!T100</f>
        <v>0</v>
      </c>
      <c r="O100" s="94" t="s">
        <v>1132</v>
      </c>
      <c r="P100" s="12" t="str">
        <f t="shared" si="3"/>
        <v>⚠ Expedite production / source alternate</v>
      </c>
    </row>
    <row r="101" spans="1:16" ht="13" customHeight="1" x14ac:dyDescent="0.35">
      <c r="A101" s="97">
        <v>49004</v>
      </c>
      <c r="B101" s="53" t="s">
        <v>26</v>
      </c>
      <c r="C101" s="12" t="str">
        <f>'Planning Engine'!C101</f>
        <v>Label/Pack</v>
      </c>
      <c r="D101" s="12" t="str">
        <f>'Planning Engine'!D101</f>
        <v>units</v>
      </c>
      <c r="E101" s="95">
        <f>'Planning Engine'!E101</f>
        <v>-1196034.1941345765</v>
      </c>
      <c r="F101" s="95">
        <f>'Planning Engine'!F101</f>
        <v>20478.495809013191</v>
      </c>
      <c r="G101" s="95">
        <f>'Planning Engine'!G101</f>
        <v>0</v>
      </c>
      <c r="H101" s="99">
        <f t="shared" si="2"/>
        <v>-20478.495809013191</v>
      </c>
      <c r="I101" s="95">
        <f>'Planning Engine'!H101</f>
        <v>-1216512.6899435897</v>
      </c>
      <c r="J101" s="96">
        <f ca="1">'Planning Engine'!J101</f>
        <v>-50.547642255957427</v>
      </c>
      <c r="K101" s="95">
        <f ca="1">'Planning Engine'!K101</f>
        <v>1425600</v>
      </c>
      <c r="L101" s="12" t="str">
        <f>'Planning Engine'!L101</f>
        <v>High</v>
      </c>
      <c r="M101" s="93">
        <f>'Planning Engine'!S101</f>
        <v>48914</v>
      </c>
      <c r="N101" s="95">
        <f>'Planning Engine'!T101</f>
        <v>0</v>
      </c>
      <c r="O101" s="98" t="s">
        <v>1133</v>
      </c>
      <c r="P101" s="4" t="str">
        <f t="shared" si="3"/>
        <v>⚠ Expedite production / source alternate</v>
      </c>
    </row>
    <row r="102" spans="1:16" ht="13" customHeight="1" x14ac:dyDescent="0.35">
      <c r="A102" s="93">
        <v>49035</v>
      </c>
      <c r="B102" s="61" t="s">
        <v>26</v>
      </c>
      <c r="C102" s="12" t="str">
        <f>'Planning Engine'!C102</f>
        <v>Label/Pack</v>
      </c>
      <c r="D102" s="12" t="str">
        <f>'Planning Engine'!D102</f>
        <v>units</v>
      </c>
      <c r="E102" s="95">
        <f>'Planning Engine'!E102</f>
        <v>-1216512.6899435897</v>
      </c>
      <c r="F102" s="95">
        <f>'Planning Engine'!F102</f>
        <v>29139.542451731584</v>
      </c>
      <c r="G102" s="95">
        <f>'Planning Engine'!G102</f>
        <v>0</v>
      </c>
      <c r="H102" s="95">
        <f t="shared" si="2"/>
        <v>-29139.542451731584</v>
      </c>
      <c r="I102" s="95">
        <f>'Planning Engine'!H102</f>
        <v>-1245652.2323953214</v>
      </c>
      <c r="J102" s="96">
        <f ca="1">'Planning Engine'!J102</f>
        <v>-51.367871512631993</v>
      </c>
      <c r="K102" s="95">
        <f ca="1">'Planning Engine'!K102</f>
        <v>1458000</v>
      </c>
      <c r="L102" s="12" t="str">
        <f>'Planning Engine'!L102</f>
        <v>High</v>
      </c>
      <c r="M102" s="93">
        <f>'Planning Engine'!S102</f>
        <v>48945</v>
      </c>
      <c r="N102" s="95">
        <f>'Planning Engine'!T102</f>
        <v>0</v>
      </c>
      <c r="O102" s="94" t="s">
        <v>1134</v>
      </c>
      <c r="P102" s="12" t="str">
        <f t="shared" si="3"/>
        <v>⚠ Expedite production / source alternate</v>
      </c>
    </row>
    <row r="103" spans="1:16" ht="13" customHeight="1" x14ac:dyDescent="0.35">
      <c r="A103" s="97">
        <v>49065</v>
      </c>
      <c r="B103" s="53" t="s">
        <v>26</v>
      </c>
      <c r="C103" s="12" t="str">
        <f>'Planning Engine'!C103</f>
        <v>Label/Pack</v>
      </c>
      <c r="D103" s="12" t="str">
        <f>'Planning Engine'!D103</f>
        <v>units</v>
      </c>
      <c r="E103" s="95">
        <f>'Planning Engine'!E103</f>
        <v>-1245652.2323953214</v>
      </c>
      <c r="F103" s="95">
        <f>'Planning Engine'!F103</f>
        <v>20515.292959393824</v>
      </c>
      <c r="G103" s="95">
        <f>'Planning Engine'!G103</f>
        <v>0</v>
      </c>
      <c r="H103" s="99">
        <f t="shared" si="2"/>
        <v>-20515.292959393824</v>
      </c>
      <c r="I103" s="95">
        <f>'Planning Engine'!H103</f>
        <v>-1266167.5253547153</v>
      </c>
      <c r="J103" s="96">
        <f ca="1">'Planning Engine'!J103</f>
        <v>-53.795394846622109</v>
      </c>
      <c r="K103" s="95">
        <f ca="1">'Planning Engine'!K103</f>
        <v>1474200</v>
      </c>
      <c r="L103" s="12" t="str">
        <f>'Planning Engine'!L103</f>
        <v>High</v>
      </c>
      <c r="M103" s="93">
        <f>'Planning Engine'!S103</f>
        <v>48976</v>
      </c>
      <c r="N103" s="95">
        <f>'Planning Engine'!T103</f>
        <v>0</v>
      </c>
      <c r="O103" s="98" t="s">
        <v>1135</v>
      </c>
      <c r="P103" s="4" t="str">
        <f t="shared" si="3"/>
        <v>⚠ Expedite production / source alternate</v>
      </c>
    </row>
    <row r="104" spans="1:16" ht="13" customHeight="1" x14ac:dyDescent="0.35">
      <c r="A104" s="93">
        <v>49096</v>
      </c>
      <c r="B104" s="61" t="s">
        <v>26</v>
      </c>
      <c r="C104" s="12" t="str">
        <f>'Planning Engine'!C104</f>
        <v>Label/Pack</v>
      </c>
      <c r="D104" s="12" t="str">
        <f>'Planning Engine'!D104</f>
        <v>units</v>
      </c>
      <c r="E104" s="95">
        <f>'Planning Engine'!E104</f>
        <v>-1266167.5253547153</v>
      </c>
      <c r="F104" s="95">
        <f>'Planning Engine'!F104</f>
        <v>26616.718819445807</v>
      </c>
      <c r="G104" s="95">
        <f>'Planning Engine'!G104</f>
        <v>0</v>
      </c>
      <c r="H104" s="95">
        <f t="shared" si="2"/>
        <v>-26616.718819445807</v>
      </c>
      <c r="I104" s="95">
        <f>'Planning Engine'!H104</f>
        <v>-1292784.244174161</v>
      </c>
      <c r="J104" s="96">
        <f ca="1">'Planning Engine'!J104</f>
        <v>-53.863051803498145</v>
      </c>
      <c r="K104" s="95">
        <f ca="1">'Planning Engine'!K104</f>
        <v>1506600</v>
      </c>
      <c r="L104" s="12" t="str">
        <f>'Planning Engine'!L104</f>
        <v>High</v>
      </c>
      <c r="M104" s="93">
        <f>'Planning Engine'!S104</f>
        <v>49004</v>
      </c>
      <c r="N104" s="95">
        <f>'Planning Engine'!T104</f>
        <v>0</v>
      </c>
      <c r="O104" s="94" t="s">
        <v>1136</v>
      </c>
      <c r="P104" s="12" t="str">
        <f t="shared" si="3"/>
        <v>⚠ Expedite production / source alternate</v>
      </c>
    </row>
    <row r="105" spans="1:16" ht="13" customHeight="1" x14ac:dyDescent="0.35">
      <c r="A105" s="97">
        <v>49126</v>
      </c>
      <c r="B105" s="53" t="s">
        <v>26</v>
      </c>
      <c r="C105" s="12" t="str">
        <f>'Planning Engine'!C105</f>
        <v>Label/Pack</v>
      </c>
      <c r="D105" s="12" t="str">
        <f>'Planning Engine'!D105</f>
        <v>units</v>
      </c>
      <c r="E105" s="95">
        <f>'Planning Engine'!E105</f>
        <v>-1292784.244174161</v>
      </c>
      <c r="F105" s="95">
        <f>'Planning Engine'!F105</f>
        <v>23339.873443094217</v>
      </c>
      <c r="G105" s="95">
        <f>'Planning Engine'!G105</f>
        <v>0</v>
      </c>
      <c r="H105" s="99">
        <f t="shared" si="2"/>
        <v>-23339.873443094217</v>
      </c>
      <c r="I105" s="95">
        <f>'Planning Engine'!H105</f>
        <v>-1316124.1176172553</v>
      </c>
      <c r="J105" s="96">
        <f ca="1">'Planning Engine'!J105</f>
        <v>-56.584707560925111</v>
      </c>
      <c r="K105" s="95">
        <f ca="1">'Planning Engine'!K105</f>
        <v>1522800</v>
      </c>
      <c r="L105" s="12" t="str">
        <f>'Planning Engine'!L105</f>
        <v>High</v>
      </c>
      <c r="M105" s="93">
        <f>'Planning Engine'!S105</f>
        <v>49035</v>
      </c>
      <c r="N105" s="95">
        <f>'Planning Engine'!T105</f>
        <v>0</v>
      </c>
      <c r="O105" s="98" t="s">
        <v>1137</v>
      </c>
      <c r="P105" s="4" t="str">
        <f t="shared" si="3"/>
        <v>⚠ Expedite production / source alternate</v>
      </c>
    </row>
    <row r="106" spans="1:16" ht="13" customHeight="1" x14ac:dyDescent="0.35">
      <c r="A106" s="93">
        <v>49157</v>
      </c>
      <c r="B106" s="61" t="s">
        <v>26</v>
      </c>
      <c r="C106" s="12" t="str">
        <f>'Planning Engine'!C106</f>
        <v>Label/Pack</v>
      </c>
      <c r="D106" s="12" t="str">
        <f>'Planning Engine'!D106</f>
        <v>units</v>
      </c>
      <c r="E106" s="95">
        <f>'Planning Engine'!E106</f>
        <v>-1316124.1176172553</v>
      </c>
      <c r="F106" s="95">
        <f>'Planning Engine'!F106</f>
        <v>21998.918490728127</v>
      </c>
      <c r="G106" s="95">
        <f>'Planning Engine'!G106</f>
        <v>0</v>
      </c>
      <c r="H106" s="95">
        <f t="shared" si="2"/>
        <v>-21998.918490728127</v>
      </c>
      <c r="I106" s="95">
        <f>'Planning Engine'!H106</f>
        <v>-1338123.0361079834</v>
      </c>
      <c r="J106" s="96">
        <f ca="1">'Planning Engine'!J106</f>
        <v>-56.473376412784475</v>
      </c>
      <c r="K106" s="95">
        <f ca="1">'Planning Engine'!K106</f>
        <v>1555200</v>
      </c>
      <c r="L106" s="12" t="str">
        <f>'Planning Engine'!L106</f>
        <v>High</v>
      </c>
      <c r="M106" s="93">
        <f>'Planning Engine'!S106</f>
        <v>49065</v>
      </c>
      <c r="N106" s="95">
        <f>'Planning Engine'!T106</f>
        <v>0</v>
      </c>
      <c r="O106" s="94" t="s">
        <v>1138</v>
      </c>
      <c r="P106" s="12" t="str">
        <f t="shared" si="3"/>
        <v>⚠ Expedite production / source alternate</v>
      </c>
    </row>
    <row r="107" spans="1:16" ht="13" customHeight="1" x14ac:dyDescent="0.35">
      <c r="A107" s="97">
        <v>49188</v>
      </c>
      <c r="B107" s="53" t="s">
        <v>26</v>
      </c>
      <c r="C107" s="12" t="str">
        <f>'Planning Engine'!C107</f>
        <v>Label/Pack</v>
      </c>
      <c r="D107" s="12" t="str">
        <f>'Planning Engine'!D107</f>
        <v>units</v>
      </c>
      <c r="E107" s="95">
        <f>'Planning Engine'!E107</f>
        <v>-1338123.0361079834</v>
      </c>
      <c r="F107" s="95">
        <f>'Planning Engine'!F107</f>
        <v>28851.325819146532</v>
      </c>
      <c r="G107" s="95">
        <f>'Planning Engine'!G107</f>
        <v>0</v>
      </c>
      <c r="H107" s="99">
        <f t="shared" si="2"/>
        <v>-28851.325819146532</v>
      </c>
      <c r="I107" s="95">
        <f>'Planning Engine'!H107</f>
        <v>-1366974.36192713</v>
      </c>
      <c r="J107" s="96">
        <f ca="1">'Planning Engine'!J107</f>
        <v>-57.337516177555194</v>
      </c>
      <c r="K107" s="95">
        <f ca="1">'Planning Engine'!K107</f>
        <v>1587600</v>
      </c>
      <c r="L107" s="12" t="str">
        <f>'Planning Engine'!L107</f>
        <v>High</v>
      </c>
      <c r="M107" s="93">
        <f>'Planning Engine'!S107</f>
        <v>49096</v>
      </c>
      <c r="N107" s="95">
        <f>'Planning Engine'!T107</f>
        <v>0</v>
      </c>
      <c r="O107" s="98" t="s">
        <v>1139</v>
      </c>
      <c r="P107" s="4" t="str">
        <f t="shared" si="3"/>
        <v>⚠ Expedite production / source alternate</v>
      </c>
    </row>
    <row r="108" spans="1:16" ht="13" customHeight="1" x14ac:dyDescent="0.35">
      <c r="A108" s="93">
        <v>49218</v>
      </c>
      <c r="B108" s="61" t="s">
        <v>26</v>
      </c>
      <c r="C108" s="12" t="str">
        <f>'Planning Engine'!C108</f>
        <v>Label/Pack</v>
      </c>
      <c r="D108" s="12" t="str">
        <f>'Planning Engine'!D108</f>
        <v>units</v>
      </c>
      <c r="E108" s="95">
        <f>'Planning Engine'!E108</f>
        <v>-1366974.36192713</v>
      </c>
      <c r="F108" s="95">
        <f>'Planning Engine'!F108</f>
        <v>20792.650017376982</v>
      </c>
      <c r="G108" s="95">
        <f>'Planning Engine'!G108</f>
        <v>0</v>
      </c>
      <c r="H108" s="95">
        <f t="shared" si="2"/>
        <v>-20792.650017376982</v>
      </c>
      <c r="I108" s="95">
        <f>'Planning Engine'!H108</f>
        <v>-1387767.011944507</v>
      </c>
      <c r="J108" s="96">
        <f ca="1">'Planning Engine'!J108</f>
        <v>-58.955317588536616</v>
      </c>
      <c r="K108" s="95">
        <f ca="1">'Planning Engine'!K108</f>
        <v>1603800</v>
      </c>
      <c r="L108" s="12" t="str">
        <f>'Planning Engine'!L108</f>
        <v>High</v>
      </c>
      <c r="M108" s="93">
        <f>'Planning Engine'!S108</f>
        <v>49126</v>
      </c>
      <c r="N108" s="95">
        <f>'Planning Engine'!T108</f>
        <v>0</v>
      </c>
      <c r="O108" s="94" t="s">
        <v>1140</v>
      </c>
      <c r="P108" s="12" t="str">
        <f t="shared" si="3"/>
        <v>⚠ Expedite production / source alternate</v>
      </c>
    </row>
    <row r="109" spans="1:16" ht="13" customHeight="1" x14ac:dyDescent="0.35">
      <c r="A109" s="97">
        <v>49249</v>
      </c>
      <c r="B109" s="53" t="s">
        <v>26</v>
      </c>
      <c r="C109" s="12" t="str">
        <f>'Planning Engine'!C109</f>
        <v>Label/Pack</v>
      </c>
      <c r="D109" s="12" t="str">
        <f>'Planning Engine'!D109</f>
        <v>units</v>
      </c>
      <c r="E109" s="95">
        <f>'Planning Engine'!E109</f>
        <v>-1387767.011944507</v>
      </c>
      <c r="F109" s="95">
        <f>'Planning Engine'!F109</f>
        <v>24867.081232876804</v>
      </c>
      <c r="G109" s="95">
        <f>'Planning Engine'!G109</f>
        <v>0</v>
      </c>
      <c r="H109" s="99">
        <f t="shared" si="2"/>
        <v>-24867.081232876804</v>
      </c>
      <c r="I109" s="95">
        <f>'Planning Engine'!H109</f>
        <v>-1412634.0931773838</v>
      </c>
      <c r="J109" s="96">
        <f ca="1">'Planning Engine'!J109</f>
        <v>-59.826574766504933</v>
      </c>
      <c r="K109" s="95">
        <f ca="1">'Planning Engine'!K109</f>
        <v>1620000</v>
      </c>
      <c r="L109" s="12" t="str">
        <f>'Planning Engine'!L109</f>
        <v>High</v>
      </c>
      <c r="M109" s="93">
        <f>'Planning Engine'!S109</f>
        <v>49157</v>
      </c>
      <c r="N109" s="95">
        <f>'Planning Engine'!T109</f>
        <v>0</v>
      </c>
      <c r="O109" s="98" t="s">
        <v>1141</v>
      </c>
      <c r="P109" s="4" t="str">
        <f t="shared" si="3"/>
        <v>⚠ Expedite production / source alternate</v>
      </c>
    </row>
    <row r="110" spans="1:16" ht="13" customHeight="1" x14ac:dyDescent="0.35">
      <c r="A110" s="93">
        <v>49279</v>
      </c>
      <c r="B110" s="61" t="s">
        <v>26</v>
      </c>
      <c r="C110" s="12" t="str">
        <f>'Planning Engine'!C110</f>
        <v>Label/Pack</v>
      </c>
      <c r="D110" s="12" t="str">
        <f>'Planning Engine'!D110</f>
        <v>units</v>
      </c>
      <c r="E110" s="95">
        <f>'Planning Engine'!E110</f>
        <v>-1412634.0931773838</v>
      </c>
      <c r="F110" s="95">
        <f>'Planning Engine'!F110</f>
        <v>22125.328846607801</v>
      </c>
      <c r="G110" s="95">
        <f>'Planning Engine'!G110</f>
        <v>0</v>
      </c>
      <c r="H110" s="95">
        <f t="shared" si="2"/>
        <v>-22125.328846607801</v>
      </c>
      <c r="I110" s="95">
        <f>'Planning Engine'!H110</f>
        <v>-1434759.4220239916</v>
      </c>
      <c r="J110" s="96">
        <f ca="1">'Planning Engine'!J110</f>
        <v>-60.776048302674987</v>
      </c>
      <c r="K110" s="95">
        <f ca="1">'Planning Engine'!K110</f>
        <v>1652400</v>
      </c>
      <c r="L110" s="12" t="str">
        <f>'Planning Engine'!L110</f>
        <v>High</v>
      </c>
      <c r="M110" s="93">
        <f>'Planning Engine'!S110</f>
        <v>49188</v>
      </c>
      <c r="N110" s="95">
        <f>'Planning Engine'!T110</f>
        <v>0</v>
      </c>
      <c r="O110" s="94" t="s">
        <v>1142</v>
      </c>
      <c r="P110" s="12" t="str">
        <f t="shared" si="3"/>
        <v>⚠ Expedite production / source alternate</v>
      </c>
    </row>
    <row r="111" spans="1:16" ht="13" customHeight="1" x14ac:dyDescent="0.35">
      <c r="A111" s="97">
        <v>49310</v>
      </c>
      <c r="B111" s="53" t="s">
        <v>26</v>
      </c>
      <c r="C111" s="12" t="str">
        <f>'Planning Engine'!C111</f>
        <v>Label/Pack</v>
      </c>
      <c r="D111" s="12" t="str">
        <f>'Planning Engine'!D111</f>
        <v>units</v>
      </c>
      <c r="E111" s="95">
        <f>'Planning Engine'!E111</f>
        <v>-1434759.4220239916</v>
      </c>
      <c r="F111" s="95">
        <f>'Planning Engine'!F111</f>
        <v>22723.353871987561</v>
      </c>
      <c r="G111" s="95">
        <f>'Planning Engine'!G111</f>
        <v>0</v>
      </c>
      <c r="H111" s="99">
        <f t="shared" si="2"/>
        <v>-22723.353871987561</v>
      </c>
      <c r="I111" s="95">
        <f>'Planning Engine'!H111</f>
        <v>-1457482.7758959793</v>
      </c>
      <c r="J111" s="96">
        <f ca="1">'Planning Engine'!J111</f>
        <v>-59.966932333165218</v>
      </c>
      <c r="K111" s="95">
        <f ca="1">'Planning Engine'!K111</f>
        <v>1668600</v>
      </c>
      <c r="L111" s="12" t="str">
        <f>'Planning Engine'!L111</f>
        <v>High</v>
      </c>
      <c r="M111" s="93">
        <f>'Planning Engine'!S111</f>
        <v>49218</v>
      </c>
      <c r="N111" s="95">
        <f>'Planning Engine'!T111</f>
        <v>0</v>
      </c>
      <c r="O111" s="98" t="s">
        <v>1143</v>
      </c>
      <c r="P111" s="4" t="str">
        <f t="shared" si="3"/>
        <v>⚠ Expedite production / source alternate</v>
      </c>
    </row>
    <row r="112" spans="1:16" ht="13" customHeight="1" x14ac:dyDescent="0.35">
      <c r="A112" s="93">
        <v>49341</v>
      </c>
      <c r="B112" s="61" t="s">
        <v>26</v>
      </c>
      <c r="C112" s="12" t="str">
        <f>'Planning Engine'!C112</f>
        <v>Label/Pack</v>
      </c>
      <c r="D112" s="12" t="str">
        <f>'Planning Engine'!D112</f>
        <v>units</v>
      </c>
      <c r="E112" s="95">
        <f>'Planning Engine'!E112</f>
        <v>-1457482.7758959793</v>
      </c>
      <c r="F112" s="95">
        <f>'Planning Engine'!F112</f>
        <v>24696.613027369112</v>
      </c>
      <c r="G112" s="95">
        <f>'Planning Engine'!G112</f>
        <v>0</v>
      </c>
      <c r="H112" s="95">
        <f t="shared" si="2"/>
        <v>-24696.613027369112</v>
      </c>
      <c r="I112" s="95">
        <f>'Planning Engine'!H112</f>
        <v>-1482179.3889233484</v>
      </c>
      <c r="J112" s="96">
        <f ca="1">'Planning Engine'!J112</f>
        <v>-62.06928247943528</v>
      </c>
      <c r="K112" s="95">
        <f ca="1">'Planning Engine'!K112</f>
        <v>1701000</v>
      </c>
      <c r="L112" s="12" t="str">
        <f>'Planning Engine'!L112</f>
        <v>High</v>
      </c>
      <c r="M112" s="93">
        <f>'Planning Engine'!S112</f>
        <v>49249</v>
      </c>
      <c r="N112" s="95">
        <f>'Planning Engine'!T112</f>
        <v>0</v>
      </c>
      <c r="O112" s="94" t="s">
        <v>1144</v>
      </c>
      <c r="P112" s="12" t="str">
        <f t="shared" si="3"/>
        <v>⚠ Expedite production / source alternate</v>
      </c>
    </row>
    <row r="113" spans="1:16" ht="13" customHeight="1" x14ac:dyDescent="0.35">
      <c r="A113" s="97">
        <v>49369</v>
      </c>
      <c r="B113" s="53" t="s">
        <v>26</v>
      </c>
      <c r="C113" s="12" t="str">
        <f>'Planning Engine'!C113</f>
        <v>Label/Pack</v>
      </c>
      <c r="D113" s="12" t="str">
        <f>'Planning Engine'!D113</f>
        <v>units</v>
      </c>
      <c r="E113" s="95">
        <f>'Planning Engine'!E113</f>
        <v>-1482179.3889233484</v>
      </c>
      <c r="F113" s="95">
        <f>'Planning Engine'!F113</f>
        <v>19939.100652745656</v>
      </c>
      <c r="G113" s="95">
        <f>'Planning Engine'!G113</f>
        <v>0</v>
      </c>
      <c r="H113" s="99">
        <f t="shared" si="2"/>
        <v>-19939.100652745656</v>
      </c>
      <c r="I113" s="95">
        <f>'Planning Engine'!H113</f>
        <v>-1502118.4895760941</v>
      </c>
      <c r="J113" s="96">
        <f ca="1">'Planning Engine'!J113</f>
        <v>-62.02433861286557</v>
      </c>
      <c r="K113" s="95">
        <f ca="1">'Planning Engine'!K113</f>
        <v>1717200</v>
      </c>
      <c r="L113" s="12" t="str">
        <f>'Planning Engine'!L113</f>
        <v>High</v>
      </c>
      <c r="M113" s="93">
        <f>'Planning Engine'!S113</f>
        <v>49279</v>
      </c>
      <c r="N113" s="95">
        <f>'Planning Engine'!T113</f>
        <v>0</v>
      </c>
      <c r="O113" s="98" t="s">
        <v>1145</v>
      </c>
      <c r="P113" s="4" t="str">
        <f t="shared" si="3"/>
        <v>⚠ Expedite production / source alternate</v>
      </c>
    </row>
    <row r="114" spans="1:16" ht="13" customHeight="1" x14ac:dyDescent="0.35">
      <c r="A114" s="93">
        <v>49400</v>
      </c>
      <c r="B114" s="61" t="s">
        <v>26</v>
      </c>
      <c r="C114" s="12" t="str">
        <f>'Planning Engine'!C114</f>
        <v>Label/Pack</v>
      </c>
      <c r="D114" s="12" t="str">
        <f>'Planning Engine'!D114</f>
        <v>units</v>
      </c>
      <c r="E114" s="95">
        <f>'Planning Engine'!E114</f>
        <v>-1502118.4895760941</v>
      </c>
      <c r="F114" s="95">
        <f>'Planning Engine'!F114</f>
        <v>27258.45778069026</v>
      </c>
      <c r="G114" s="95">
        <f>'Planning Engine'!G114</f>
        <v>0</v>
      </c>
      <c r="H114" s="95">
        <f t="shared" si="2"/>
        <v>-27258.45778069026</v>
      </c>
      <c r="I114" s="95">
        <f>'Planning Engine'!H114</f>
        <v>-1529376.9473567843</v>
      </c>
      <c r="J114" s="96">
        <f ca="1">'Planning Engine'!J114</f>
        <v>-62.666006664968187</v>
      </c>
      <c r="K114" s="95">
        <f ca="1">'Planning Engine'!K114</f>
        <v>1749600</v>
      </c>
      <c r="L114" s="12" t="str">
        <f>'Planning Engine'!L114</f>
        <v>High</v>
      </c>
      <c r="M114" s="93">
        <f>'Planning Engine'!S114</f>
        <v>49310</v>
      </c>
      <c r="N114" s="95">
        <f>'Planning Engine'!T114</f>
        <v>0</v>
      </c>
      <c r="O114" s="94" t="s">
        <v>1146</v>
      </c>
      <c r="P114" s="12" t="str">
        <f t="shared" si="3"/>
        <v>⚠ Expedite production / source alternate</v>
      </c>
    </row>
    <row r="115" spans="1:16" ht="13" customHeight="1" x14ac:dyDescent="0.35">
      <c r="A115" s="97">
        <v>49430</v>
      </c>
      <c r="B115" s="53" t="s">
        <v>26</v>
      </c>
      <c r="C115" s="12" t="str">
        <f>'Planning Engine'!C115</f>
        <v>Label/Pack</v>
      </c>
      <c r="D115" s="12" t="str">
        <f>'Planning Engine'!D115</f>
        <v>units</v>
      </c>
      <c r="E115" s="95">
        <f>'Planning Engine'!E115</f>
        <v>-1529376.9473567843</v>
      </c>
      <c r="F115" s="95">
        <f>'Planning Engine'!F115</f>
        <v>23313.619357976706</v>
      </c>
      <c r="G115" s="95">
        <f>'Planning Engine'!G115</f>
        <v>0</v>
      </c>
      <c r="H115" s="99">
        <f t="shared" si="2"/>
        <v>-23313.619357976706</v>
      </c>
      <c r="I115" s="95">
        <f>'Planning Engine'!H115</f>
        <v>-1552690.5667147608</v>
      </c>
      <c r="J115" s="96">
        <f ca="1">'Planning Engine'!J115</f>
        <v>-64.90085795088136</v>
      </c>
      <c r="K115" s="95">
        <f ca="1">'Planning Engine'!K115</f>
        <v>1765800</v>
      </c>
      <c r="L115" s="12" t="str">
        <f>'Planning Engine'!L115</f>
        <v>High</v>
      </c>
      <c r="M115" s="93">
        <f>'Planning Engine'!S115</f>
        <v>49341</v>
      </c>
      <c r="N115" s="95">
        <f>'Planning Engine'!T115</f>
        <v>0</v>
      </c>
      <c r="O115" s="98" t="s">
        <v>1147</v>
      </c>
      <c r="P115" s="4" t="str">
        <f t="shared" si="3"/>
        <v>⚠ Expedite production / source alternate</v>
      </c>
    </row>
    <row r="116" spans="1:16" ht="13" customHeight="1" x14ac:dyDescent="0.35">
      <c r="A116" s="93">
        <v>49461</v>
      </c>
      <c r="B116" s="61" t="s">
        <v>26</v>
      </c>
      <c r="C116" s="12" t="str">
        <f>'Planning Engine'!C116</f>
        <v>Label/Pack</v>
      </c>
      <c r="D116" s="12" t="str">
        <f>'Planning Engine'!D116</f>
        <v>units</v>
      </c>
      <c r="E116" s="95">
        <f>'Planning Engine'!E116</f>
        <v>-1552690.5667147608</v>
      </c>
      <c r="F116" s="95">
        <f>'Planning Engine'!F116</f>
        <v>26137.511185381281</v>
      </c>
      <c r="G116" s="95">
        <f>'Planning Engine'!G116</f>
        <v>0</v>
      </c>
      <c r="H116" s="95">
        <f t="shared" si="2"/>
        <v>-26137.511185381281</v>
      </c>
      <c r="I116" s="95">
        <f>'Planning Engine'!H116</f>
        <v>-1578828.0779001422</v>
      </c>
      <c r="J116" s="96">
        <f ca="1">'Planning Engine'!J116</f>
        <v>-65.504813378878808</v>
      </c>
      <c r="K116" s="95">
        <f ca="1">'Planning Engine'!K116</f>
        <v>1798200</v>
      </c>
      <c r="L116" s="12" t="str">
        <f>'Planning Engine'!L116</f>
        <v>High</v>
      </c>
      <c r="M116" s="93">
        <f>'Planning Engine'!S116</f>
        <v>49369</v>
      </c>
      <c r="N116" s="95">
        <f>'Planning Engine'!T116</f>
        <v>0</v>
      </c>
      <c r="O116" s="94" t="s">
        <v>1148</v>
      </c>
      <c r="P116" s="12" t="str">
        <f t="shared" si="3"/>
        <v>⚠ Expedite production / source alternate</v>
      </c>
    </row>
    <row r="117" spans="1:16" ht="13" customHeight="1" x14ac:dyDescent="0.35">
      <c r="A117" s="97">
        <v>49491</v>
      </c>
      <c r="B117" s="53" t="s">
        <v>26</v>
      </c>
      <c r="C117" s="12" t="str">
        <f>'Planning Engine'!C117</f>
        <v>Label/Pack</v>
      </c>
      <c r="D117" s="12" t="str">
        <f>'Planning Engine'!D117</f>
        <v>units</v>
      </c>
      <c r="E117" s="95">
        <f>'Planning Engine'!E117</f>
        <v>-1578828.0779001422</v>
      </c>
      <c r="F117" s="95">
        <f>'Planning Engine'!F117</f>
        <v>21448.289430601479</v>
      </c>
      <c r="G117" s="95">
        <f>'Planning Engine'!G117</f>
        <v>0</v>
      </c>
      <c r="H117" s="99">
        <f t="shared" si="2"/>
        <v>-21448.289430601479</v>
      </c>
      <c r="I117" s="95">
        <f>'Planning Engine'!H117</f>
        <v>-1600276.3673307437</v>
      </c>
      <c r="J117" s="96">
        <f ca="1">'Planning Engine'!J117</f>
        <v>-67.628119016546535</v>
      </c>
      <c r="K117" s="95">
        <f ca="1">'Planning Engine'!K117</f>
        <v>1814400</v>
      </c>
      <c r="L117" s="12" t="str">
        <f>'Planning Engine'!L117</f>
        <v>High</v>
      </c>
      <c r="M117" s="93">
        <f>'Planning Engine'!S117</f>
        <v>49400</v>
      </c>
      <c r="N117" s="95">
        <f>'Planning Engine'!T117</f>
        <v>0</v>
      </c>
      <c r="O117" s="98" t="s">
        <v>1149</v>
      </c>
      <c r="P117" s="4" t="str">
        <f t="shared" si="3"/>
        <v>⚠ Expedite production / source alternate</v>
      </c>
    </row>
    <row r="118" spans="1:16" ht="13" customHeight="1" x14ac:dyDescent="0.35">
      <c r="A118" s="93">
        <v>49522</v>
      </c>
      <c r="B118" s="61" t="s">
        <v>26</v>
      </c>
      <c r="C118" s="12" t="str">
        <f>'Planning Engine'!C118</f>
        <v>Label/Pack</v>
      </c>
      <c r="D118" s="12" t="str">
        <f>'Planning Engine'!D118</f>
        <v>units</v>
      </c>
      <c r="E118" s="95">
        <f>'Planning Engine'!E118</f>
        <v>-1600276.3673307437</v>
      </c>
      <c r="F118" s="95">
        <f>'Planning Engine'!F118</f>
        <v>24823.576438107171</v>
      </c>
      <c r="G118" s="95">
        <f>'Planning Engine'!G118</f>
        <v>0</v>
      </c>
      <c r="H118" s="95">
        <f t="shared" si="2"/>
        <v>-24823.576438107171</v>
      </c>
      <c r="I118" s="95">
        <f>'Planning Engine'!H118</f>
        <v>-1625099.9437688508</v>
      </c>
      <c r="J118" s="96">
        <f ca="1">'Planning Engine'!J118</f>
        <v>-67.592514926545022</v>
      </c>
      <c r="K118" s="95">
        <f ca="1">'Planning Engine'!K118</f>
        <v>1846800</v>
      </c>
      <c r="L118" s="12" t="str">
        <f>'Planning Engine'!L118</f>
        <v>High</v>
      </c>
      <c r="M118" s="93">
        <f>'Planning Engine'!S118</f>
        <v>49430</v>
      </c>
      <c r="N118" s="95">
        <f>'Planning Engine'!T118</f>
        <v>0</v>
      </c>
      <c r="O118" s="94" t="s">
        <v>1150</v>
      </c>
      <c r="P118" s="12" t="str">
        <f t="shared" si="3"/>
        <v>⚠ Expedite production / source alternate</v>
      </c>
    </row>
    <row r="119" spans="1:16" ht="13" customHeight="1" x14ac:dyDescent="0.35">
      <c r="A119" s="97">
        <v>49553</v>
      </c>
      <c r="B119" s="53" t="s">
        <v>26</v>
      </c>
      <c r="C119" s="12" t="str">
        <f>'Planning Engine'!C119</f>
        <v>Label/Pack</v>
      </c>
      <c r="D119" s="12" t="str">
        <f>'Planning Engine'!D119</f>
        <v>units</v>
      </c>
      <c r="E119" s="95">
        <f>'Planning Engine'!E119</f>
        <v>-1625099.9437688508</v>
      </c>
      <c r="F119" s="95">
        <f>'Planning Engine'!F119</f>
        <v>28402.449968055222</v>
      </c>
      <c r="G119" s="95">
        <f>'Planning Engine'!G119</f>
        <v>0</v>
      </c>
      <c r="H119" s="99">
        <f t="shared" si="2"/>
        <v>-28402.449968055222</v>
      </c>
      <c r="I119" s="95">
        <f>'Planning Engine'!H119</f>
        <v>-1653502.3937369059</v>
      </c>
      <c r="J119" s="96">
        <f ca="1">'Planning Engine'!J119</f>
        <v>-68.300743901637716</v>
      </c>
      <c r="K119" s="95">
        <f ca="1">'Planning Engine'!K119</f>
        <v>1879200</v>
      </c>
      <c r="L119" s="12" t="str">
        <f>'Planning Engine'!L119</f>
        <v>High</v>
      </c>
      <c r="M119" s="93">
        <f>'Planning Engine'!S119</f>
        <v>49461</v>
      </c>
      <c r="N119" s="95">
        <f>'Planning Engine'!T119</f>
        <v>0</v>
      </c>
      <c r="O119" s="98" t="s">
        <v>1151</v>
      </c>
      <c r="P119" s="4" t="str">
        <f t="shared" si="3"/>
        <v>⚠ Expedite production / source alternate</v>
      </c>
    </row>
    <row r="120" spans="1:16" ht="13" customHeight="1" x14ac:dyDescent="0.35">
      <c r="A120" s="93">
        <v>49583</v>
      </c>
      <c r="B120" s="61" t="s">
        <v>26</v>
      </c>
      <c r="C120" s="12" t="str">
        <f>'Planning Engine'!C120</f>
        <v>Label/Pack</v>
      </c>
      <c r="D120" s="12" t="str">
        <f>'Planning Engine'!D120</f>
        <v>units</v>
      </c>
      <c r="E120" s="95">
        <f>'Planning Engine'!E120</f>
        <v>-1653502.3937369059</v>
      </c>
      <c r="F120" s="95">
        <f>'Planning Engine'!F120</f>
        <v>18895.296065638715</v>
      </c>
      <c r="G120" s="95">
        <f>'Planning Engine'!G120</f>
        <v>0</v>
      </c>
      <c r="H120" s="95">
        <f t="shared" si="2"/>
        <v>-18895.296065638715</v>
      </c>
      <c r="I120" s="95">
        <f>'Planning Engine'!H120</f>
        <v>-1672397.6898025447</v>
      </c>
      <c r="J120" s="96">
        <f ca="1">'Planning Engine'!J120</f>
        <v>-70.606761561839932</v>
      </c>
      <c r="K120" s="95">
        <f ca="1">'Planning Engine'!K120</f>
        <v>1879200</v>
      </c>
      <c r="L120" s="12" t="str">
        <f>'Planning Engine'!L120</f>
        <v>High</v>
      </c>
      <c r="M120" s="93">
        <f>'Planning Engine'!S120</f>
        <v>49491</v>
      </c>
      <c r="N120" s="95">
        <f>'Planning Engine'!T120</f>
        <v>0</v>
      </c>
      <c r="O120" s="94" t="s">
        <v>1152</v>
      </c>
      <c r="P120" s="12" t="str">
        <f t="shared" si="3"/>
        <v>⚠ Expedite production / source alternate</v>
      </c>
    </row>
    <row r="121" spans="1:16" ht="13" customHeight="1" x14ac:dyDescent="0.35">
      <c r="A121" s="97">
        <v>49614</v>
      </c>
      <c r="B121" s="53" t="s">
        <v>26</v>
      </c>
      <c r="C121" s="12" t="str">
        <f>'Planning Engine'!C121</f>
        <v>Label/Pack</v>
      </c>
      <c r="D121" s="12" t="str">
        <f>'Planning Engine'!D121</f>
        <v>units</v>
      </c>
      <c r="E121" s="95">
        <f>'Planning Engine'!E121</f>
        <v>-1672397.6898025447</v>
      </c>
      <c r="F121" s="95">
        <f>'Planning Engine'!F121</f>
        <v>27745.59375523364</v>
      </c>
      <c r="G121" s="95">
        <f>'Planning Engine'!G121</f>
        <v>0</v>
      </c>
      <c r="H121" s="99">
        <f t="shared" si="2"/>
        <v>-27745.59375523364</v>
      </c>
      <c r="I121" s="95">
        <f>'Planning Engine'!H121</f>
        <v>-1700143.2835577782</v>
      </c>
      <c r="J121" s="96">
        <f ca="1">'Planning Engine'!J121</f>
        <v>-70.6379269695489</v>
      </c>
      <c r="K121" s="95">
        <f ca="1">'Planning Engine'!K121</f>
        <v>1911600</v>
      </c>
      <c r="L121" s="12" t="str">
        <f>'Planning Engine'!L121</f>
        <v>High</v>
      </c>
      <c r="M121" s="93">
        <f>'Planning Engine'!S121</f>
        <v>49522</v>
      </c>
      <c r="N121" s="95">
        <f>'Planning Engine'!T121</f>
        <v>0</v>
      </c>
      <c r="O121" s="98" t="s">
        <v>1153</v>
      </c>
      <c r="P121" s="4" t="str">
        <f t="shared" si="3"/>
        <v>⚠ Expedite production / source alternate</v>
      </c>
    </row>
    <row r="122" spans="1:16" ht="13" customHeight="1" x14ac:dyDescent="0.35">
      <c r="A122" s="93">
        <v>49644</v>
      </c>
      <c r="B122" s="61" t="s">
        <v>26</v>
      </c>
      <c r="C122" s="12" t="str">
        <f>'Planning Engine'!C122</f>
        <v>Label/Pack</v>
      </c>
      <c r="D122" s="12" t="str">
        <f>'Planning Engine'!D122</f>
        <v>units</v>
      </c>
      <c r="E122" s="95">
        <f>'Planning Engine'!E122</f>
        <v>-1700143.2835577782</v>
      </c>
      <c r="F122" s="95">
        <f>'Planning Engine'!F122</f>
        <v>21622.080914936072</v>
      </c>
      <c r="G122" s="95">
        <f>'Planning Engine'!G122</f>
        <v>0</v>
      </c>
      <c r="H122" s="95">
        <f t="shared" si="2"/>
        <v>-21622.080914936072</v>
      </c>
      <c r="I122" s="95">
        <f>'Planning Engine'!H122</f>
        <v>-1721765.3644727143</v>
      </c>
      <c r="J122" s="96">
        <f ca="1">'Planning Engine'!J122</f>
        <v>-71.733196623257669</v>
      </c>
      <c r="K122" s="95">
        <f ca="1">'Planning Engine'!K122</f>
        <v>1944000</v>
      </c>
      <c r="L122" s="12" t="str">
        <f>'Planning Engine'!L122</f>
        <v>High</v>
      </c>
      <c r="M122" s="93">
        <f>'Planning Engine'!S122</f>
        <v>49553</v>
      </c>
      <c r="N122" s="95">
        <f>'Planning Engine'!T122</f>
        <v>0</v>
      </c>
      <c r="O122" s="94" t="s">
        <v>1154</v>
      </c>
      <c r="P122" s="12" t="str">
        <f t="shared" si="3"/>
        <v>⚠ Expedite production / source alternate</v>
      </c>
    </row>
    <row r="123" spans="1:16" ht="13" customHeight="1" x14ac:dyDescent="0.35">
      <c r="A123" s="97">
        <v>49675</v>
      </c>
      <c r="B123" s="53" t="s">
        <v>26</v>
      </c>
      <c r="C123" s="12" t="str">
        <f>'Planning Engine'!C123</f>
        <v>Label/Pack</v>
      </c>
      <c r="D123" s="12" t="str">
        <f>'Planning Engine'!D123</f>
        <v>units</v>
      </c>
      <c r="E123" s="95">
        <f>'Planning Engine'!E123</f>
        <v>-1721765.3644727143</v>
      </c>
      <c r="F123" s="95">
        <f>'Planning Engine'!F123</f>
        <v>22927.921398560407</v>
      </c>
      <c r="G123" s="95">
        <f>'Planning Engine'!G123</f>
        <v>0</v>
      </c>
      <c r="H123" s="99">
        <f t="shared" si="2"/>
        <v>-22927.921398560407</v>
      </c>
      <c r="I123" s="95">
        <f>'Planning Engine'!H123</f>
        <v>-1744693.2858712748</v>
      </c>
      <c r="J123" s="96">
        <f ca="1">'Planning Engine'!J123</f>
        <v>-71.959344638789432</v>
      </c>
      <c r="K123" s="95">
        <f ca="1">'Planning Engine'!K123</f>
        <v>1960200</v>
      </c>
      <c r="L123" s="12" t="str">
        <f>'Planning Engine'!L123</f>
        <v>High</v>
      </c>
      <c r="M123" s="93">
        <f>'Planning Engine'!S123</f>
        <v>49583</v>
      </c>
      <c r="N123" s="95">
        <f>'Planning Engine'!T123</f>
        <v>0</v>
      </c>
      <c r="O123" s="98" t="s">
        <v>1155</v>
      </c>
      <c r="P123" s="4" t="str">
        <f t="shared" si="3"/>
        <v>⚠ Expedite production / source alternate</v>
      </c>
    </row>
    <row r="124" spans="1:16" ht="13" customHeight="1" x14ac:dyDescent="0.35">
      <c r="A124" s="93">
        <v>49706</v>
      </c>
      <c r="B124" s="61" t="s">
        <v>26</v>
      </c>
      <c r="C124" s="12" t="str">
        <f>'Planning Engine'!C124</f>
        <v>Label/Pack</v>
      </c>
      <c r="D124" s="12" t="str">
        <f>'Planning Engine'!D124</f>
        <v>units</v>
      </c>
      <c r="E124" s="95">
        <f>'Planning Engine'!E124</f>
        <v>-1744693.2858712748</v>
      </c>
      <c r="F124" s="95">
        <f>'Planning Engine'!F124</f>
        <v>24919.5491188573</v>
      </c>
      <c r="G124" s="95">
        <f>'Planning Engine'!G124</f>
        <v>0</v>
      </c>
      <c r="H124" s="95">
        <f t="shared" si="2"/>
        <v>-24919.5491188573</v>
      </c>
      <c r="I124" s="95">
        <f>'Planning Engine'!H124</f>
        <v>-1769612.8349901321</v>
      </c>
      <c r="J124" s="96">
        <f ca="1">'Planning Engine'!J124</f>
        <v>-72.448532713277459</v>
      </c>
      <c r="K124" s="95">
        <f ca="1">'Planning Engine'!K124</f>
        <v>1992600</v>
      </c>
      <c r="L124" s="12" t="str">
        <f>'Planning Engine'!L124</f>
        <v>High</v>
      </c>
      <c r="M124" s="93">
        <f>'Planning Engine'!S124</f>
        <v>49614</v>
      </c>
      <c r="N124" s="95">
        <f>'Planning Engine'!T124</f>
        <v>0</v>
      </c>
      <c r="O124" s="94" t="s">
        <v>1156</v>
      </c>
      <c r="P124" s="12" t="str">
        <f t="shared" si="3"/>
        <v>⚠ Expedite production / source alternate</v>
      </c>
    </row>
    <row r="125" spans="1:16" ht="13" customHeight="1" x14ac:dyDescent="0.35">
      <c r="A125" s="97">
        <v>49735</v>
      </c>
      <c r="B125" s="53" t="s">
        <v>26</v>
      </c>
      <c r="C125" s="12" t="str">
        <f>'Planning Engine'!C125</f>
        <v>Label/Pack</v>
      </c>
      <c r="D125" s="12" t="str">
        <f>'Planning Engine'!D125</f>
        <v>units</v>
      </c>
      <c r="E125" s="95">
        <f>'Planning Engine'!E125</f>
        <v>-1769612.8349901321</v>
      </c>
      <c r="F125" s="95">
        <f>'Planning Engine'!F125</f>
        <v>22181.203155819028</v>
      </c>
      <c r="G125" s="95">
        <f>'Planning Engine'!G125</f>
        <v>0</v>
      </c>
      <c r="H125" s="99">
        <f t="shared" si="2"/>
        <v>-22181.203155819028</v>
      </c>
      <c r="I125" s="95">
        <f>'Planning Engine'!H125</f>
        <v>-1791794.0381459512</v>
      </c>
      <c r="J125" s="96">
        <f ca="1">'Planning Engine'!J125</f>
        <v>-72.760388333939446</v>
      </c>
      <c r="K125" s="95">
        <f ca="1">'Planning Engine'!K125</f>
        <v>2008800</v>
      </c>
      <c r="L125" s="12" t="str">
        <f>'Planning Engine'!L125</f>
        <v>High</v>
      </c>
      <c r="M125" s="93">
        <f>'Planning Engine'!S125</f>
        <v>49644</v>
      </c>
      <c r="N125" s="95">
        <f>'Planning Engine'!T125</f>
        <v>0</v>
      </c>
      <c r="O125" s="98" t="s">
        <v>1157</v>
      </c>
      <c r="P125" s="4" t="str">
        <f t="shared" si="3"/>
        <v>⚠ Expedite production / source alternate</v>
      </c>
    </row>
    <row r="126" spans="1:16" ht="13" customHeight="1" x14ac:dyDescent="0.35">
      <c r="A126" s="93">
        <v>49766</v>
      </c>
      <c r="B126" s="61" t="s">
        <v>26</v>
      </c>
      <c r="C126" s="12" t="str">
        <f>'Planning Engine'!C126</f>
        <v>Label/Pack</v>
      </c>
      <c r="D126" s="12" t="str">
        <f>'Planning Engine'!D126</f>
        <v>units</v>
      </c>
      <c r="E126" s="95">
        <f>'Planning Engine'!E126</f>
        <v>-1791794.0381459512</v>
      </c>
      <c r="F126" s="95">
        <f>'Planning Engine'!F126</f>
        <v>24865.748411227418</v>
      </c>
      <c r="G126" s="95">
        <f>'Planning Engine'!G126</f>
        <v>0</v>
      </c>
      <c r="H126" s="95">
        <f t="shared" si="2"/>
        <v>-24865.748411227418</v>
      </c>
      <c r="I126" s="95">
        <f>'Planning Engine'!H126</f>
        <v>-1816659.7865571787</v>
      </c>
      <c r="J126" s="96">
        <f ca="1">'Planning Engine'!J126</f>
        <v>-75.279086082369929</v>
      </c>
      <c r="K126" s="95">
        <f ca="1">'Planning Engine'!K126</f>
        <v>2041200</v>
      </c>
      <c r="L126" s="12" t="str">
        <f>'Planning Engine'!L126</f>
        <v>High</v>
      </c>
      <c r="M126" s="93">
        <f>'Planning Engine'!S126</f>
        <v>49675</v>
      </c>
      <c r="N126" s="95">
        <f>'Planning Engine'!T126</f>
        <v>0</v>
      </c>
      <c r="O126" s="94" t="s">
        <v>1158</v>
      </c>
      <c r="P126" s="12" t="str">
        <f t="shared" si="3"/>
        <v>⚠ Expedite production / source alternate</v>
      </c>
    </row>
    <row r="127" spans="1:16" ht="13" customHeight="1" x14ac:dyDescent="0.35">
      <c r="A127" s="97">
        <v>49796</v>
      </c>
      <c r="B127" s="53" t="s">
        <v>26</v>
      </c>
      <c r="C127" s="12" t="str">
        <f>'Planning Engine'!C127</f>
        <v>Label/Pack</v>
      </c>
      <c r="D127" s="12" t="str">
        <f>'Planning Engine'!D127</f>
        <v>units</v>
      </c>
      <c r="E127" s="95">
        <f>'Planning Engine'!E127</f>
        <v>-1816659.7865571787</v>
      </c>
      <c r="F127" s="95">
        <f>'Planning Engine'!F127</f>
        <v>26322.433355890313</v>
      </c>
      <c r="G127" s="95">
        <f>'Planning Engine'!G127</f>
        <v>0</v>
      </c>
      <c r="H127" s="99">
        <f t="shared" si="2"/>
        <v>-26322.433355890313</v>
      </c>
      <c r="I127" s="95">
        <f>'Planning Engine'!H127</f>
        <v>-1842982.2199130689</v>
      </c>
      <c r="J127" s="96">
        <f ca="1">'Planning Engine'!J127</f>
        <v>-75.085369677770728</v>
      </c>
      <c r="K127" s="95">
        <f ca="1">'Planning Engine'!K127</f>
        <v>2057400</v>
      </c>
      <c r="L127" s="12" t="str">
        <f>'Planning Engine'!L127</f>
        <v>High</v>
      </c>
      <c r="M127" s="93">
        <f>'Planning Engine'!S127</f>
        <v>49706</v>
      </c>
      <c r="N127" s="95">
        <f>'Planning Engine'!T127</f>
        <v>0</v>
      </c>
      <c r="O127" s="98" t="s">
        <v>1159</v>
      </c>
      <c r="P127" s="4" t="str">
        <f t="shared" si="3"/>
        <v>⚠ Expedite production / source alternate</v>
      </c>
    </row>
    <row r="128" spans="1:16" ht="13" customHeight="1" x14ac:dyDescent="0.35">
      <c r="A128" s="93">
        <v>49827</v>
      </c>
      <c r="B128" s="61" t="s">
        <v>26</v>
      </c>
      <c r="C128" s="12" t="str">
        <f>'Planning Engine'!C128</f>
        <v>Label/Pack</v>
      </c>
      <c r="D128" s="12" t="str">
        <f>'Planning Engine'!D128</f>
        <v>units</v>
      </c>
      <c r="E128" s="95">
        <f>'Planning Engine'!E128</f>
        <v>-1842982.2199130689</v>
      </c>
      <c r="F128" s="95">
        <f>'Planning Engine'!F128</f>
        <v>23694.930394993389</v>
      </c>
      <c r="G128" s="95">
        <f>'Planning Engine'!G128</f>
        <v>0</v>
      </c>
      <c r="H128" s="95">
        <f t="shared" si="2"/>
        <v>-23694.930394993389</v>
      </c>
      <c r="I128" s="95">
        <f>'Planning Engine'!H128</f>
        <v>-1866677.1503080623</v>
      </c>
      <c r="J128" s="96">
        <f ca="1">'Planning Engine'!J128</f>
        <v>-77.664602423908079</v>
      </c>
      <c r="K128" s="95">
        <f ca="1">'Planning Engine'!K128</f>
        <v>2089800</v>
      </c>
      <c r="L128" s="12" t="str">
        <f>'Planning Engine'!L128</f>
        <v>High</v>
      </c>
      <c r="M128" s="93">
        <f>'Planning Engine'!S128</f>
        <v>49735</v>
      </c>
      <c r="N128" s="95">
        <f>'Planning Engine'!T128</f>
        <v>0</v>
      </c>
      <c r="O128" s="94" t="s">
        <v>1160</v>
      </c>
      <c r="P128" s="12" t="str">
        <f t="shared" si="3"/>
        <v>⚠ Expedite production / source alternate</v>
      </c>
    </row>
    <row r="129" spans="1:16" ht="13" customHeight="1" x14ac:dyDescent="0.35">
      <c r="A129" s="97">
        <v>49857</v>
      </c>
      <c r="B129" s="53" t="s">
        <v>26</v>
      </c>
      <c r="C129" s="12" t="str">
        <f>'Planning Engine'!C129</f>
        <v>Label/Pack</v>
      </c>
      <c r="D129" s="12" t="str">
        <f>'Planning Engine'!D129</f>
        <v>units</v>
      </c>
      <c r="E129" s="95">
        <f>'Planning Engine'!E129</f>
        <v>-1866677.1503080623</v>
      </c>
      <c r="F129" s="95">
        <f>'Planning Engine'!F129</f>
        <v>22336.31813442173</v>
      </c>
      <c r="G129" s="95">
        <f>'Planning Engine'!G129</f>
        <v>0</v>
      </c>
      <c r="H129" s="99">
        <f t="shared" si="2"/>
        <v>-22336.31813442173</v>
      </c>
      <c r="I129" s="95">
        <f>'Planning Engine'!H129</f>
        <v>-1889013.468442484</v>
      </c>
      <c r="J129" s="96">
        <f ca="1">'Planning Engine'!J129</f>
        <v>-79.596913852303715</v>
      </c>
      <c r="K129" s="95">
        <f ca="1">'Planning Engine'!K129</f>
        <v>2106000</v>
      </c>
      <c r="L129" s="12" t="str">
        <f>'Planning Engine'!L129</f>
        <v>High</v>
      </c>
      <c r="M129" s="93">
        <f>'Planning Engine'!S129</f>
        <v>49766</v>
      </c>
      <c r="N129" s="95">
        <f>'Planning Engine'!T129</f>
        <v>0</v>
      </c>
      <c r="O129" s="98" t="s">
        <v>1161</v>
      </c>
      <c r="P129" s="4" t="str">
        <f t="shared" si="3"/>
        <v>⚠ Expedite production / source alternate</v>
      </c>
    </row>
    <row r="130" spans="1:16" ht="13" customHeight="1" x14ac:dyDescent="0.35">
      <c r="A130" s="93">
        <v>49888</v>
      </c>
      <c r="B130" s="61" t="s">
        <v>26</v>
      </c>
      <c r="C130" s="12" t="str">
        <f>'Planning Engine'!C130</f>
        <v>Label/Pack</v>
      </c>
      <c r="D130" s="12" t="str">
        <f>'Planning Engine'!D130</f>
        <v>units</v>
      </c>
      <c r="E130" s="95">
        <f>'Planning Engine'!E130</f>
        <v>-1889013.468442484</v>
      </c>
      <c r="F130" s="95">
        <f>'Planning Engine'!F130</f>
        <v>27150.974211810637</v>
      </c>
      <c r="G130" s="95">
        <f>'Planning Engine'!G130</f>
        <v>0</v>
      </c>
      <c r="H130" s="95">
        <f t="shared" si="2"/>
        <v>-27150.974211810637</v>
      </c>
      <c r="I130" s="95">
        <f>'Planning Engine'!H130</f>
        <v>-1916164.4426542947</v>
      </c>
      <c r="J130" s="96">
        <f ca="1">'Planning Engine'!J130</f>
        <v>-78.762230721979691</v>
      </c>
      <c r="K130" s="95">
        <f ca="1">'Planning Engine'!K130</f>
        <v>2138400</v>
      </c>
      <c r="L130" s="12" t="str">
        <f>'Planning Engine'!L130</f>
        <v>High</v>
      </c>
      <c r="M130" s="93">
        <f>'Planning Engine'!S130</f>
        <v>49796</v>
      </c>
      <c r="N130" s="95">
        <f>'Planning Engine'!T130</f>
        <v>0</v>
      </c>
      <c r="O130" s="94" t="s">
        <v>1162</v>
      </c>
      <c r="P130" s="12" t="str">
        <f t="shared" si="3"/>
        <v>⚠ Expedite production / source alternate</v>
      </c>
    </row>
    <row r="131" spans="1:16" ht="13" customHeight="1" x14ac:dyDescent="0.35">
      <c r="A131" s="97">
        <v>49919</v>
      </c>
      <c r="B131" s="53" t="s">
        <v>26</v>
      </c>
      <c r="C131" s="12" t="str">
        <f>'Planning Engine'!C131</f>
        <v>Label/Pack</v>
      </c>
      <c r="D131" s="12" t="str">
        <f>'Planning Engine'!D131</f>
        <v>units</v>
      </c>
      <c r="E131" s="95">
        <f>'Planning Engine'!E131</f>
        <v>-1916164.4426542947</v>
      </c>
      <c r="F131" s="95">
        <f>'Planning Engine'!F131</f>
        <v>23810.796458901594</v>
      </c>
      <c r="G131" s="95">
        <f>'Planning Engine'!G131</f>
        <v>0</v>
      </c>
      <c r="H131" s="99">
        <f t="shared" si="2"/>
        <v>-23810.796458901594</v>
      </c>
      <c r="I131" s="95">
        <f>'Planning Engine'!H131</f>
        <v>-1939975.2391131963</v>
      </c>
      <c r="J131" s="96">
        <f ca="1">'Planning Engine'!J131</f>
        <v>-80.232093462416529</v>
      </c>
      <c r="K131" s="95">
        <f ca="1">'Planning Engine'!K131</f>
        <v>2154600</v>
      </c>
      <c r="L131" s="12" t="str">
        <f>'Planning Engine'!L131</f>
        <v>High</v>
      </c>
      <c r="M131" s="93">
        <f>'Planning Engine'!S131</f>
        <v>49827</v>
      </c>
      <c r="N131" s="95">
        <f>'Planning Engine'!T131</f>
        <v>0</v>
      </c>
      <c r="O131" s="98" t="s">
        <v>1163</v>
      </c>
      <c r="P131" s="4" t="str">
        <f t="shared" si="3"/>
        <v>⚠ Expedite production / source alternate</v>
      </c>
    </row>
    <row r="132" spans="1:16" ht="13" customHeight="1" x14ac:dyDescent="0.35">
      <c r="A132" s="93">
        <v>49949</v>
      </c>
      <c r="B132" s="61" t="s">
        <v>26</v>
      </c>
      <c r="C132" s="12" t="str">
        <f>'Planning Engine'!C132</f>
        <v>Label/Pack</v>
      </c>
      <c r="D132" s="12" t="str">
        <f>'Planning Engine'!D132</f>
        <v>units</v>
      </c>
      <c r="E132" s="95">
        <f>'Planning Engine'!E132</f>
        <v>-1939975.2391131963</v>
      </c>
      <c r="F132" s="95">
        <f>'Planning Engine'!F132</f>
        <v>24550.180252652164</v>
      </c>
      <c r="G132" s="95">
        <f>'Planning Engine'!G132</f>
        <v>0</v>
      </c>
      <c r="H132" s="95">
        <f t="shared" ref="H132:H195" si="4">G132-F132</f>
        <v>-24550.180252652164</v>
      </c>
      <c r="I132" s="95">
        <f>'Planning Engine'!H132</f>
        <v>-1964525.4193658484</v>
      </c>
      <c r="J132" s="96">
        <f ca="1">'Planning Engine'!J132</f>
        <v>-82.023555870189796</v>
      </c>
      <c r="K132" s="95">
        <f ca="1">'Planning Engine'!K132</f>
        <v>2187000</v>
      </c>
      <c r="L132" s="12" t="str">
        <f>'Planning Engine'!L132</f>
        <v>High</v>
      </c>
      <c r="M132" s="93">
        <f>'Planning Engine'!S132</f>
        <v>49857</v>
      </c>
      <c r="N132" s="95">
        <f>'Planning Engine'!T132</f>
        <v>0</v>
      </c>
      <c r="O132" s="94" t="s">
        <v>1164</v>
      </c>
      <c r="P132" s="12" t="str">
        <f t="shared" ref="P132:P195" si="5">IFERROR(IF(L132="High","⚠ Expedite production / source alternate",IF(L132="Medium","Plan additional batches",IF(L132="Overstock","Defer / consume inventory","Plan acceptable"))),"--")</f>
        <v>⚠ Expedite production / source alternate</v>
      </c>
    </row>
    <row r="133" spans="1:16" ht="13" customHeight="1" x14ac:dyDescent="0.35">
      <c r="A133" s="97">
        <v>49980</v>
      </c>
      <c r="B133" s="53" t="s">
        <v>26</v>
      </c>
      <c r="C133" s="12" t="str">
        <f>'Planning Engine'!C133</f>
        <v>Label/Pack</v>
      </c>
      <c r="D133" s="12" t="str">
        <f>'Planning Engine'!D133</f>
        <v>units</v>
      </c>
      <c r="E133" s="95">
        <f>'Planning Engine'!E133</f>
        <v>-1964525.4193658484</v>
      </c>
      <c r="F133" s="95">
        <f>'Planning Engine'!F133</f>
        <v>26721.009294803473</v>
      </c>
      <c r="G133" s="95">
        <f>'Planning Engine'!G133</f>
        <v>0</v>
      </c>
      <c r="H133" s="99">
        <f t="shared" si="4"/>
        <v>-26721.009294803473</v>
      </c>
      <c r="I133" s="95">
        <f>'Planning Engine'!H133</f>
        <v>-1991246.4286606519</v>
      </c>
      <c r="J133" s="96">
        <f ca="1">'Planning Engine'!J133</f>
        <v>-82.90080830913773</v>
      </c>
      <c r="K133" s="95">
        <f ca="1">'Planning Engine'!K133</f>
        <v>2203200</v>
      </c>
      <c r="L133" s="12" t="str">
        <f>'Planning Engine'!L133</f>
        <v>High</v>
      </c>
      <c r="M133" s="93">
        <f>'Planning Engine'!S133</f>
        <v>49888</v>
      </c>
      <c r="N133" s="95">
        <f>'Planning Engine'!T133</f>
        <v>0</v>
      </c>
      <c r="O133" s="98" t="s">
        <v>1165</v>
      </c>
      <c r="P133" s="4" t="str">
        <f t="shared" si="5"/>
        <v>⚠ Expedite production / source alternate</v>
      </c>
    </row>
    <row r="134" spans="1:16" ht="13" customHeight="1" x14ac:dyDescent="0.35">
      <c r="A134" s="93">
        <v>50010</v>
      </c>
      <c r="B134" s="61" t="s">
        <v>26</v>
      </c>
      <c r="C134" s="12" t="str">
        <f>'Planning Engine'!C134</f>
        <v>Label/Pack</v>
      </c>
      <c r="D134" s="12" t="str">
        <f>'Planning Engine'!D134</f>
        <v>units</v>
      </c>
      <c r="E134" s="95">
        <f>'Planning Engine'!E134</f>
        <v>-1991246.4286606519</v>
      </c>
      <c r="F134" s="95">
        <f>'Planning Engine'!F134</f>
        <v>17738.584162178347</v>
      </c>
      <c r="G134" s="95">
        <f>'Planning Engine'!G134</f>
        <v>0</v>
      </c>
      <c r="H134" s="95">
        <f t="shared" si="4"/>
        <v>-17738.584162178347</v>
      </c>
      <c r="I134" s="95">
        <f>'Planning Engine'!H134</f>
        <v>-2008985.0128228304</v>
      </c>
      <c r="J134" s="96">
        <f ca="1">'Planning Engine'!J134</f>
        <v>-83.671618716915049</v>
      </c>
      <c r="K134" s="95">
        <f ca="1">'Planning Engine'!K134</f>
        <v>2219400</v>
      </c>
      <c r="L134" s="12" t="str">
        <f>'Planning Engine'!L134</f>
        <v>High</v>
      </c>
      <c r="M134" s="93">
        <f>'Planning Engine'!S134</f>
        <v>49919</v>
      </c>
      <c r="N134" s="95">
        <f>'Planning Engine'!T134</f>
        <v>0</v>
      </c>
      <c r="O134" s="94" t="s">
        <v>1166</v>
      </c>
      <c r="P134" s="12" t="str">
        <f t="shared" si="5"/>
        <v>⚠ Expedite production / source alternate</v>
      </c>
    </row>
    <row r="135" spans="1:16" ht="13" customHeight="1" x14ac:dyDescent="0.35">
      <c r="A135" s="97">
        <v>50041</v>
      </c>
      <c r="B135" s="53" t="s">
        <v>26</v>
      </c>
      <c r="C135" s="12" t="str">
        <f>'Planning Engine'!C135</f>
        <v>Label/Pack</v>
      </c>
      <c r="D135" s="12" t="str">
        <f>'Planning Engine'!D135</f>
        <v>units</v>
      </c>
      <c r="E135" s="95">
        <f>'Planning Engine'!E135</f>
        <v>-2008985.0128228304</v>
      </c>
      <c r="F135" s="95">
        <f>'Planning Engine'!F135</f>
        <v>28581.190662175093</v>
      </c>
      <c r="G135" s="95">
        <f>'Planning Engine'!G135</f>
        <v>0</v>
      </c>
      <c r="H135" s="99">
        <f t="shared" si="4"/>
        <v>-28581.190662175093</v>
      </c>
      <c r="I135" s="95">
        <f>'Planning Engine'!H135</f>
        <v>-2037566.2034850055</v>
      </c>
      <c r="J135" s="96">
        <f ca="1">'Planning Engine'!J135</f>
        <v>-83.819637982730825</v>
      </c>
      <c r="K135" s="95">
        <f ca="1">'Planning Engine'!K135</f>
        <v>2251800</v>
      </c>
      <c r="L135" s="12" t="str">
        <f>'Planning Engine'!L135</f>
        <v>High</v>
      </c>
      <c r="M135" s="93">
        <f>'Planning Engine'!S135</f>
        <v>49949</v>
      </c>
      <c r="N135" s="95">
        <f>'Planning Engine'!T135</f>
        <v>0</v>
      </c>
      <c r="O135" s="98" t="s">
        <v>1167</v>
      </c>
      <c r="P135" s="4" t="str">
        <f t="shared" si="5"/>
        <v>⚠ Expedite production / source alternate</v>
      </c>
    </row>
    <row r="136" spans="1:16" ht="13" customHeight="1" x14ac:dyDescent="0.35">
      <c r="A136" s="93">
        <v>50072</v>
      </c>
      <c r="B136" s="61" t="s">
        <v>26</v>
      </c>
      <c r="C136" s="12" t="str">
        <f>'Planning Engine'!C136</f>
        <v>Label/Pack</v>
      </c>
      <c r="D136" s="12" t="str">
        <f>'Planning Engine'!D136</f>
        <v>units</v>
      </c>
      <c r="E136" s="95">
        <f>'Planning Engine'!E136</f>
        <v>-2037566.2034850055</v>
      </c>
      <c r="F136" s="95">
        <f>'Planning Engine'!F136</f>
        <v>21731.993442591658</v>
      </c>
      <c r="G136" s="95">
        <f>'Planning Engine'!G136</f>
        <v>0</v>
      </c>
      <c r="H136" s="95">
        <f t="shared" si="4"/>
        <v>-21731.993442591658</v>
      </c>
      <c r="I136" s="95">
        <f>'Planning Engine'!H136</f>
        <v>-2059298.1969275973</v>
      </c>
      <c r="J136" s="96">
        <f ca="1">'Planning Engine'!J136</f>
        <v>-88.405131698363704</v>
      </c>
      <c r="K136" s="95">
        <f ca="1">'Planning Engine'!K136</f>
        <v>2268000</v>
      </c>
      <c r="L136" s="12" t="str">
        <f>'Planning Engine'!L136</f>
        <v>High</v>
      </c>
      <c r="M136" s="93">
        <f>'Planning Engine'!S136</f>
        <v>49980</v>
      </c>
      <c r="N136" s="95">
        <f>'Planning Engine'!T136</f>
        <v>0</v>
      </c>
      <c r="O136" s="94" t="s">
        <v>1168</v>
      </c>
      <c r="P136" s="12" t="str">
        <f t="shared" si="5"/>
        <v>⚠ Expedite production / source alternate</v>
      </c>
    </row>
    <row r="137" spans="1:16" ht="13" customHeight="1" x14ac:dyDescent="0.35">
      <c r="A137" s="97">
        <v>50100</v>
      </c>
      <c r="B137" s="53" t="s">
        <v>26</v>
      </c>
      <c r="C137" s="12" t="str">
        <f>'Planning Engine'!C137</f>
        <v>Label/Pack</v>
      </c>
      <c r="D137" s="12" t="str">
        <f>'Planning Engine'!D137</f>
        <v>units</v>
      </c>
      <c r="E137" s="95">
        <f>'Planning Engine'!E137</f>
        <v>-2059298.1969275973</v>
      </c>
      <c r="F137" s="95">
        <f>'Planning Engine'!F137</f>
        <v>20969.159246095158</v>
      </c>
      <c r="G137" s="95">
        <f>'Planning Engine'!G137</f>
        <v>0</v>
      </c>
      <c r="H137" s="99">
        <f t="shared" si="4"/>
        <v>-20969.159246095158</v>
      </c>
      <c r="I137" s="95">
        <f>'Planning Engine'!H137</f>
        <v>-2080267.3561736925</v>
      </c>
      <c r="J137" s="96">
        <f ca="1">'Planning Engine'!J137</f>
        <v>-91.01749673000549</v>
      </c>
      <c r="K137" s="95">
        <f ca="1">'Planning Engine'!K137</f>
        <v>2284200</v>
      </c>
      <c r="L137" s="12" t="str">
        <f>'Planning Engine'!L137</f>
        <v>High</v>
      </c>
      <c r="M137" s="93">
        <f>'Planning Engine'!S137</f>
        <v>50010</v>
      </c>
      <c r="N137" s="95">
        <f>'Planning Engine'!T137</f>
        <v>0</v>
      </c>
      <c r="O137" s="98" t="s">
        <v>1169</v>
      </c>
      <c r="P137" s="4" t="str">
        <f t="shared" si="5"/>
        <v>⚠ Expedite production / source alternate</v>
      </c>
    </row>
    <row r="138" spans="1:16" ht="13" customHeight="1" x14ac:dyDescent="0.35">
      <c r="A138" s="93">
        <v>50131</v>
      </c>
      <c r="B138" s="61" t="s">
        <v>26</v>
      </c>
      <c r="C138" s="12" t="str">
        <f>'Planning Engine'!C138</f>
        <v>Label/Pack</v>
      </c>
      <c r="D138" s="12" t="str">
        <f>'Planning Engine'!D138</f>
        <v>units</v>
      </c>
      <c r="E138" s="95">
        <f>'Planning Engine'!E138</f>
        <v>-2080267.3561736925</v>
      </c>
      <c r="F138" s="95">
        <f>'Planning Engine'!F138</f>
        <v>27702.328031178353</v>
      </c>
      <c r="G138" s="95">
        <f>'Planning Engine'!G138</f>
        <v>0</v>
      </c>
      <c r="H138" s="95">
        <f t="shared" si="4"/>
        <v>-27702.328031178353</v>
      </c>
      <c r="I138" s="95">
        <f>'Planning Engine'!H138</f>
        <v>-2107969.6842048708</v>
      </c>
      <c r="J138" s="96">
        <f ca="1">'Planning Engine'!J138</f>
        <v>-95.796187297311533</v>
      </c>
      <c r="K138" s="95">
        <f ca="1">'Planning Engine'!K138</f>
        <v>2300400</v>
      </c>
      <c r="L138" s="12" t="str">
        <f>'Planning Engine'!L138</f>
        <v>High</v>
      </c>
      <c r="M138" s="93">
        <f>'Planning Engine'!S138</f>
        <v>50041</v>
      </c>
      <c r="N138" s="95">
        <f>'Planning Engine'!T138</f>
        <v>0</v>
      </c>
      <c r="O138" s="94" t="s">
        <v>1170</v>
      </c>
      <c r="P138" s="12" t="str">
        <f t="shared" si="5"/>
        <v>⚠ Expedite production / source alternate</v>
      </c>
    </row>
    <row r="139" spans="1:16" ht="13" customHeight="1" x14ac:dyDescent="0.35">
      <c r="A139" s="97">
        <v>50161</v>
      </c>
      <c r="B139" s="53" t="s">
        <v>26</v>
      </c>
      <c r="C139" s="12" t="str">
        <f>'Planning Engine'!C139</f>
        <v>Label/Pack</v>
      </c>
      <c r="D139" s="12" t="str">
        <f>'Planning Engine'!D139</f>
        <v>units</v>
      </c>
      <c r="E139" s="95">
        <f>'Planning Engine'!E139</f>
        <v>-2107969.6842048708</v>
      </c>
      <c r="F139" s="95">
        <f>'Planning Engine'!F139</f>
        <v>25810.632578366407</v>
      </c>
      <c r="G139" s="95">
        <f>'Planning Engine'!G139</f>
        <v>0</v>
      </c>
      <c r="H139" s="99">
        <f t="shared" si="4"/>
        <v>-25810.632578366407</v>
      </c>
      <c r="I139" s="95">
        <f>'Planning Engine'!H139</f>
        <v>-2133780.3167832373</v>
      </c>
      <c r="J139" s="96">
        <f ca="1">'Planning Engine'!J139</f>
        <v>-102.51207911499311</v>
      </c>
      <c r="K139" s="95">
        <f ca="1">'Planning Engine'!K139</f>
        <v>2316600</v>
      </c>
      <c r="L139" s="12" t="str">
        <f>'Planning Engine'!L139</f>
        <v>High</v>
      </c>
      <c r="M139" s="93">
        <f>'Planning Engine'!S139</f>
        <v>50072</v>
      </c>
      <c r="N139" s="95">
        <f>'Planning Engine'!T139</f>
        <v>0</v>
      </c>
      <c r="O139" s="98" t="s">
        <v>1171</v>
      </c>
      <c r="P139" s="4" t="str">
        <f t="shared" si="5"/>
        <v>⚠ Expedite production / source alternate</v>
      </c>
    </row>
    <row r="140" spans="1:16" ht="13" customHeight="1" x14ac:dyDescent="0.35">
      <c r="A140" s="93">
        <v>50192</v>
      </c>
      <c r="B140" s="61" t="s">
        <v>26</v>
      </c>
      <c r="C140" s="12" t="str">
        <f>'Planning Engine'!C140</f>
        <v>Label/Pack</v>
      </c>
      <c r="D140" s="12" t="str">
        <f>'Planning Engine'!D140</f>
        <v>units</v>
      </c>
      <c r="E140" s="95">
        <f>'Planning Engine'!E140</f>
        <v>-2133780.3167832373</v>
      </c>
      <c r="F140" s="95">
        <f>'Planning Engine'!F140</f>
        <v>21751.643648821675</v>
      </c>
      <c r="G140" s="95">
        <f>'Planning Engine'!G140</f>
        <v>0</v>
      </c>
      <c r="H140" s="95">
        <f t="shared" si="4"/>
        <v>-21751.643648821675</v>
      </c>
      <c r="I140" s="95">
        <f>'Planning Engine'!H140</f>
        <v>-2155531.9604320591</v>
      </c>
      <c r="J140" s="96">
        <f ca="1">'Planning Engine'!J140</f>
        <v>-112.73949452396127</v>
      </c>
      <c r="K140" s="95">
        <f ca="1">'Planning Engine'!K140</f>
        <v>2332800</v>
      </c>
      <c r="L140" s="12" t="str">
        <f>'Planning Engine'!L140</f>
        <v>High</v>
      </c>
      <c r="M140" s="93">
        <f>'Planning Engine'!S140</f>
        <v>50100</v>
      </c>
      <c r="N140" s="95">
        <f>'Planning Engine'!T140</f>
        <v>0</v>
      </c>
      <c r="O140" s="94" t="s">
        <v>1172</v>
      </c>
      <c r="P140" s="12" t="str">
        <f t="shared" si="5"/>
        <v>⚠ Expedite production / source alternate</v>
      </c>
    </row>
    <row r="141" spans="1:16" ht="13" customHeight="1" x14ac:dyDescent="0.35">
      <c r="A141" s="97">
        <v>50222</v>
      </c>
      <c r="B141" s="53" t="s">
        <v>26</v>
      </c>
      <c r="C141" s="12" t="str">
        <f>'Planning Engine'!C141</f>
        <v>Label/Pack</v>
      </c>
      <c r="D141" s="12" t="str">
        <f>'Planning Engine'!D141</f>
        <v>units</v>
      </c>
      <c r="E141" s="95">
        <f>'Planning Engine'!E141</f>
        <v>-2155531.9604320591</v>
      </c>
      <c r="F141" s="95">
        <f>'Planning Engine'!F141</f>
        <v>25170.094885486575</v>
      </c>
      <c r="G141" s="95">
        <f>'Planning Engine'!G141</f>
        <v>0</v>
      </c>
      <c r="H141" s="99">
        <f t="shared" si="4"/>
        <v>-25170.094885486575</v>
      </c>
      <c r="I141" s="95">
        <f>'Planning Engine'!H141</f>
        <v>-2180702.0553175458</v>
      </c>
      <c r="J141" s="96">
        <f ca="1">'Planning Engine'!J141</f>
        <v>-121.87990610428331</v>
      </c>
      <c r="K141" s="95">
        <f ca="1">'Planning Engine'!K141</f>
        <v>2349000</v>
      </c>
      <c r="L141" s="12" t="str">
        <f>'Planning Engine'!L141</f>
        <v>High</v>
      </c>
      <c r="M141" s="93">
        <f>'Planning Engine'!S141</f>
        <v>50131</v>
      </c>
      <c r="N141" s="95">
        <f>'Planning Engine'!T141</f>
        <v>0</v>
      </c>
      <c r="O141" s="98" t="s">
        <v>1173</v>
      </c>
      <c r="P141" s="4" t="str">
        <f t="shared" si="5"/>
        <v>⚠ Expedite production / source alternate</v>
      </c>
    </row>
    <row r="142" spans="1:16" ht="13" customHeight="1" x14ac:dyDescent="0.35">
      <c r="A142" s="93">
        <v>50253</v>
      </c>
      <c r="B142" s="61" t="s">
        <v>26</v>
      </c>
      <c r="C142" s="12" t="str">
        <f>'Planning Engine'!C142</f>
        <v>Label/Pack</v>
      </c>
      <c r="D142" s="12" t="str">
        <f>'Planning Engine'!D142</f>
        <v>units</v>
      </c>
      <c r="E142" s="95">
        <f>'Planning Engine'!E142</f>
        <v>-2180702.0553175458</v>
      </c>
      <c r="F142" s="95">
        <f>'Planning Engine'!F142</f>
        <v>26637.540807431713</v>
      </c>
      <c r="G142" s="95">
        <f>'Planning Engine'!G142</f>
        <v>0</v>
      </c>
      <c r="H142" s="95">
        <f t="shared" si="4"/>
        <v>-26637.540807431713</v>
      </c>
      <c r="I142" s="95">
        <f>'Planning Engine'!H142</f>
        <v>-2207339.5961249773</v>
      </c>
      <c r="J142" s="96">
        <f ca="1">'Planning Engine'!J142</f>
        <v>-132.90933910276371</v>
      </c>
      <c r="K142" s="95">
        <f ca="1">'Planning Engine'!K142</f>
        <v>2349000</v>
      </c>
      <c r="L142" s="12" t="str">
        <f>'Planning Engine'!L142</f>
        <v>High</v>
      </c>
      <c r="M142" s="93">
        <f>'Planning Engine'!S142</f>
        <v>50161</v>
      </c>
      <c r="N142" s="95">
        <f>'Planning Engine'!T142</f>
        <v>0</v>
      </c>
      <c r="O142" s="94" t="s">
        <v>1174</v>
      </c>
      <c r="P142" s="12" t="str">
        <f t="shared" si="5"/>
        <v>⚠ Expedite production / source alternate</v>
      </c>
    </row>
    <row r="143" spans="1:16" ht="13" customHeight="1" x14ac:dyDescent="0.35">
      <c r="A143" s="97">
        <v>50284</v>
      </c>
      <c r="B143" s="53" t="s">
        <v>26</v>
      </c>
      <c r="C143" s="12" t="str">
        <f>'Planning Engine'!C143</f>
        <v>Label/Pack</v>
      </c>
      <c r="D143" s="12" t="str">
        <f>'Planning Engine'!D143</f>
        <v>units</v>
      </c>
      <c r="E143" s="95">
        <f>'Planning Engine'!E143</f>
        <v>-2207339.5961249773</v>
      </c>
      <c r="F143" s="95">
        <f>'Planning Engine'!F143</f>
        <v>20425.839432955188</v>
      </c>
      <c r="G143" s="95">
        <f>'Planning Engine'!G143</f>
        <v>0</v>
      </c>
      <c r="H143" s="99">
        <f t="shared" si="4"/>
        <v>-20425.839432955188</v>
      </c>
      <c r="I143" s="95">
        <f>'Planning Engine'!H143</f>
        <v>-2227765.4355579326</v>
      </c>
      <c r="J143" s="96">
        <f ca="1">'Planning Engine'!J143</f>
        <v>-150.70525659812054</v>
      </c>
      <c r="K143" s="95">
        <f ca="1">'Planning Engine'!K143</f>
        <v>2365200</v>
      </c>
      <c r="L143" s="12" t="str">
        <f>'Planning Engine'!L143</f>
        <v>High</v>
      </c>
      <c r="M143" s="93">
        <f>'Planning Engine'!S143</f>
        <v>50192</v>
      </c>
      <c r="N143" s="95">
        <f>'Planning Engine'!T143</f>
        <v>0</v>
      </c>
      <c r="O143" s="98" t="s">
        <v>1175</v>
      </c>
      <c r="P143" s="4" t="str">
        <f t="shared" si="5"/>
        <v>⚠ Expedite production / source alternate</v>
      </c>
    </row>
    <row r="144" spans="1:16" ht="13" customHeight="1" x14ac:dyDescent="0.35">
      <c r="A144" s="93">
        <v>50314</v>
      </c>
      <c r="B144" s="61" t="s">
        <v>26</v>
      </c>
      <c r="C144" s="12" t="str">
        <f>'Planning Engine'!C144</f>
        <v>Label/Pack</v>
      </c>
      <c r="D144" s="12" t="str">
        <f>'Planning Engine'!D144</f>
        <v>units</v>
      </c>
      <c r="E144" s="95">
        <f>'Planning Engine'!E144</f>
        <v>-2227765.4355579326</v>
      </c>
      <c r="F144" s="95">
        <f>'Planning Engine'!F144</f>
        <v>19445.654103872188</v>
      </c>
      <c r="G144" s="95">
        <f>'Planning Engine'!G144</f>
        <v>0</v>
      </c>
      <c r="H144" s="95">
        <f t="shared" si="4"/>
        <v>-19445.654103872188</v>
      </c>
      <c r="I144" s="95">
        <f>'Planning Engine'!H144</f>
        <v>-2247211.089661805</v>
      </c>
      <c r="J144" s="96">
        <f ca="1">'Planning Engine'!J144</f>
        <v>-167.79583179167409</v>
      </c>
      <c r="K144" s="95">
        <f ca="1">'Planning Engine'!K144</f>
        <v>2365200</v>
      </c>
      <c r="L144" s="12" t="str">
        <f>'Planning Engine'!L144</f>
        <v>High</v>
      </c>
      <c r="M144" s="93">
        <f>'Planning Engine'!S144</f>
        <v>50222</v>
      </c>
      <c r="N144" s="95">
        <f>'Planning Engine'!T144</f>
        <v>0</v>
      </c>
      <c r="O144" s="94" t="s">
        <v>1176</v>
      </c>
      <c r="P144" s="12" t="str">
        <f t="shared" si="5"/>
        <v>⚠ Expedite production / source alternate</v>
      </c>
    </row>
    <row r="145" spans="1:16" ht="13" customHeight="1" x14ac:dyDescent="0.35">
      <c r="A145" s="97">
        <v>50345</v>
      </c>
      <c r="B145" s="53" t="s">
        <v>26</v>
      </c>
      <c r="C145" s="12" t="str">
        <f>'Planning Engine'!C145</f>
        <v>Label/Pack</v>
      </c>
      <c r="D145" s="12" t="str">
        <f>'Planning Engine'!D145</f>
        <v>units</v>
      </c>
      <c r="E145" s="95">
        <f>'Planning Engine'!E145</f>
        <v>-2247211.089661805</v>
      </c>
      <c r="F145" s="95">
        <f>'Planning Engine'!F145</f>
        <v>17788.284272466728</v>
      </c>
      <c r="G145" s="95">
        <f>'Planning Engine'!G145</f>
        <v>0</v>
      </c>
      <c r="H145" s="99">
        <f t="shared" si="4"/>
        <v>-17788.284272466728</v>
      </c>
      <c r="I145" s="95">
        <f>'Planning Engine'!H145</f>
        <v>-2264999.3739342717</v>
      </c>
      <c r="J145" s="96">
        <f ca="1">'Planning Engine'!J145</f>
        <v>-186.1930106416784</v>
      </c>
      <c r="K145" s="95">
        <f ca="1">'Planning Engine'!K145</f>
        <v>2381400</v>
      </c>
      <c r="L145" s="12" t="str">
        <f>'Planning Engine'!L145</f>
        <v>High</v>
      </c>
      <c r="M145" s="93">
        <f>'Planning Engine'!S145</f>
        <v>50253</v>
      </c>
      <c r="N145" s="95">
        <f>'Planning Engine'!T145</f>
        <v>0</v>
      </c>
      <c r="O145" s="98" t="s">
        <v>1177</v>
      </c>
      <c r="P145" s="4" t="str">
        <f t="shared" si="5"/>
        <v>⚠ Expedite production / source alternate</v>
      </c>
    </row>
    <row r="146" spans="1:16" ht="13" customHeight="1" x14ac:dyDescent="0.35">
      <c r="A146" s="93">
        <v>50375</v>
      </c>
      <c r="B146" s="61" t="s">
        <v>26</v>
      </c>
      <c r="C146" s="12" t="str">
        <f>'Planning Engine'!C146</f>
        <v>Label/Pack</v>
      </c>
      <c r="D146" s="12" t="str">
        <f>'Planning Engine'!D146</f>
        <v>units</v>
      </c>
      <c r="E146" s="95">
        <f>'Planning Engine'!E146</f>
        <v>-2264999.3739342717</v>
      </c>
      <c r="F146" s="95">
        <f>'Planning Engine'!F146</f>
        <v>13310.594300415654</v>
      </c>
      <c r="G146" s="95">
        <f>'Planning Engine'!G146</f>
        <v>0</v>
      </c>
      <c r="H146" s="95">
        <f t="shared" si="4"/>
        <v>-13310.594300415654</v>
      </c>
      <c r="I146" s="95">
        <f>'Planning Engine'!H146</f>
        <v>-2278309.9682346876</v>
      </c>
      <c r="J146" s="96">
        <f ca="1">'Planning Engine'!J146</f>
        <v>-207.126567211284</v>
      </c>
      <c r="K146" s="95">
        <f ca="1">'Planning Engine'!K146</f>
        <v>2381400</v>
      </c>
      <c r="L146" s="12" t="str">
        <f>'Planning Engine'!L146</f>
        <v>High</v>
      </c>
      <c r="M146" s="93">
        <f>'Planning Engine'!S146</f>
        <v>50284</v>
      </c>
      <c r="N146" s="95">
        <f>'Planning Engine'!T146</f>
        <v>0</v>
      </c>
      <c r="O146" s="94" t="s">
        <v>1178</v>
      </c>
      <c r="P146" s="12" t="str">
        <f t="shared" si="5"/>
        <v>⚠ Expedite production / source alternate</v>
      </c>
    </row>
    <row r="147" spans="1:16" ht="13" customHeight="1" x14ac:dyDescent="0.35">
      <c r="A147" s="97">
        <v>50406</v>
      </c>
      <c r="B147" s="53" t="s">
        <v>26</v>
      </c>
      <c r="C147" s="12" t="str">
        <f>'Planning Engine'!C147</f>
        <v>Label/Pack</v>
      </c>
      <c r="D147" s="12" t="str">
        <f>'Planning Engine'!D147</f>
        <v>units</v>
      </c>
      <c r="E147" s="95">
        <f>'Planning Engine'!E147</f>
        <v>-2278309.9682346876</v>
      </c>
      <c r="F147" s="95">
        <f>'Planning Engine'!F147</f>
        <v>16993.960059672936</v>
      </c>
      <c r="G147" s="95">
        <f>'Planning Engine'!G147</f>
        <v>0</v>
      </c>
      <c r="H147" s="99">
        <f t="shared" si="4"/>
        <v>-16993.960059672936</v>
      </c>
      <c r="I147" s="95">
        <f>'Planning Engine'!H147</f>
        <v>-2295303.9282943606</v>
      </c>
      <c r="J147" s="96">
        <f ca="1">'Planning Engine'!J147</f>
        <v>-222.51172176647921</v>
      </c>
      <c r="K147" s="95">
        <f ca="1">'Planning Engine'!K147</f>
        <v>2381400</v>
      </c>
      <c r="L147" s="12" t="str">
        <f>'Planning Engine'!L147</f>
        <v>High</v>
      </c>
      <c r="M147" s="93">
        <f>'Planning Engine'!S147</f>
        <v>50314</v>
      </c>
      <c r="N147" s="95">
        <f>'Planning Engine'!T147</f>
        <v>0</v>
      </c>
      <c r="O147" s="98" t="s">
        <v>1179</v>
      </c>
      <c r="P147" s="4" t="str">
        <f t="shared" si="5"/>
        <v>⚠ Expedite production / source alternate</v>
      </c>
    </row>
    <row r="148" spans="1:16" ht="13" customHeight="1" x14ac:dyDescent="0.35">
      <c r="A148" s="93">
        <v>50437</v>
      </c>
      <c r="B148" s="61" t="s">
        <v>26</v>
      </c>
      <c r="C148" s="12" t="str">
        <f>'Planning Engine'!C148</f>
        <v>Label/Pack</v>
      </c>
      <c r="D148" s="12" t="str">
        <f>'Planning Engine'!D148</f>
        <v>units</v>
      </c>
      <c r="E148" s="95">
        <f>'Planning Engine'!E148</f>
        <v>-2295303.9282943606</v>
      </c>
      <c r="F148" s="95">
        <f>'Planning Engine'!F148</f>
        <v>10552.622516743824</v>
      </c>
      <c r="G148" s="95">
        <f>'Planning Engine'!G148</f>
        <v>0</v>
      </c>
      <c r="H148" s="95">
        <f t="shared" si="4"/>
        <v>-10552.622516743824</v>
      </c>
      <c r="I148" s="95">
        <f>'Planning Engine'!H148</f>
        <v>-2305856.5508111045</v>
      </c>
      <c r="J148" s="96">
        <f ca="1">'Planning Engine'!J148</f>
        <v>-254.59557374746831</v>
      </c>
      <c r="K148" s="95">
        <f ca="1">'Planning Engine'!K148</f>
        <v>2381400</v>
      </c>
      <c r="L148" s="12" t="str">
        <f>'Planning Engine'!L148</f>
        <v>High</v>
      </c>
      <c r="M148" s="93">
        <f>'Planning Engine'!S148</f>
        <v>50345</v>
      </c>
      <c r="N148" s="95">
        <f>'Planning Engine'!T148</f>
        <v>0</v>
      </c>
      <c r="O148" s="94" t="s">
        <v>1180</v>
      </c>
      <c r="P148" s="12" t="str">
        <f t="shared" si="5"/>
        <v>⚠ Expedite production / source alternate</v>
      </c>
    </row>
    <row r="149" spans="1:16" ht="13" customHeight="1" x14ac:dyDescent="0.35">
      <c r="A149" s="97">
        <v>50465</v>
      </c>
      <c r="B149" s="53" t="s">
        <v>26</v>
      </c>
      <c r="C149" s="12" t="str">
        <f>'Planning Engine'!C149</f>
        <v>Label/Pack</v>
      </c>
      <c r="D149" s="12" t="str">
        <f>'Planning Engine'!D149</f>
        <v>units</v>
      </c>
      <c r="E149" s="95">
        <f>'Planning Engine'!E149</f>
        <v>-2305856.5508111045</v>
      </c>
      <c r="F149" s="95">
        <f>'Planning Engine'!F149</f>
        <v>10705.38679426521</v>
      </c>
      <c r="G149" s="95">
        <f>'Planning Engine'!G149</f>
        <v>0</v>
      </c>
      <c r="H149" s="99">
        <f t="shared" si="4"/>
        <v>-10705.38679426521</v>
      </c>
      <c r="I149" s="95">
        <f>'Planning Engine'!H149</f>
        <v>-2316561.9376053698</v>
      </c>
      <c r="J149" s="96">
        <f ca="1">'Planning Engine'!J149</f>
        <v>-275.45337711068765</v>
      </c>
      <c r="K149" s="95">
        <f ca="1">'Planning Engine'!K149</f>
        <v>2397600</v>
      </c>
      <c r="L149" s="12" t="str">
        <f>'Planning Engine'!L149</f>
        <v>High</v>
      </c>
      <c r="M149" s="93">
        <f>'Planning Engine'!S149</f>
        <v>50375</v>
      </c>
      <c r="N149" s="95">
        <f>'Planning Engine'!T149</f>
        <v>0</v>
      </c>
      <c r="O149" s="98" t="s">
        <v>1181</v>
      </c>
      <c r="P149" s="4" t="str">
        <f t="shared" si="5"/>
        <v>⚠ Expedite production / source alternate</v>
      </c>
    </row>
    <row r="150" spans="1:16" ht="13" customHeight="1" x14ac:dyDescent="0.35">
      <c r="A150" s="93">
        <v>50496</v>
      </c>
      <c r="B150" s="61" t="s">
        <v>26</v>
      </c>
      <c r="C150" s="12" t="str">
        <f>'Planning Engine'!C150</f>
        <v>Label/Pack</v>
      </c>
      <c r="D150" s="12" t="str">
        <f>'Planning Engine'!D150</f>
        <v>units</v>
      </c>
      <c r="E150" s="95">
        <f>'Planning Engine'!E150</f>
        <v>-2316561.9376053698</v>
      </c>
      <c r="F150" s="95">
        <f>'Planning Engine'!F150</f>
        <v>13610.850914488468</v>
      </c>
      <c r="G150" s="95">
        <f>'Planning Engine'!G150</f>
        <v>0</v>
      </c>
      <c r="H150" s="95">
        <f t="shared" si="4"/>
        <v>-13610.850914488468</v>
      </c>
      <c r="I150" s="95">
        <f>'Planning Engine'!H150</f>
        <v>-2330172.7885198584</v>
      </c>
      <c r="J150" s="96">
        <f ca="1">'Planning Engine'!J150</f>
        <v>-302.62911665779649</v>
      </c>
      <c r="K150" s="95">
        <f ca="1">'Planning Engine'!K150</f>
        <v>2397600</v>
      </c>
      <c r="L150" s="12" t="str">
        <f>'Planning Engine'!L150</f>
        <v>High</v>
      </c>
      <c r="M150" s="93">
        <f>'Planning Engine'!S150</f>
        <v>50406</v>
      </c>
      <c r="N150" s="95">
        <f>'Planning Engine'!T150</f>
        <v>0</v>
      </c>
      <c r="O150" s="94" t="s">
        <v>1182</v>
      </c>
      <c r="P150" s="12" t="str">
        <f t="shared" si="5"/>
        <v>⚠ Expedite production / source alternate</v>
      </c>
    </row>
    <row r="151" spans="1:16" ht="13" customHeight="1" x14ac:dyDescent="0.35">
      <c r="A151" s="97">
        <v>50526</v>
      </c>
      <c r="B151" s="53" t="s">
        <v>26</v>
      </c>
      <c r="C151" s="12" t="str">
        <f>'Planning Engine'!C151</f>
        <v>Label/Pack</v>
      </c>
      <c r="D151" s="12" t="str">
        <f>'Planning Engine'!D151</f>
        <v>units</v>
      </c>
      <c r="E151" s="95">
        <f>'Planning Engine'!E151</f>
        <v>-2330172.7885198584</v>
      </c>
      <c r="F151" s="95">
        <f>'Planning Engine'!F151</f>
        <v>10207.216231924356</v>
      </c>
      <c r="G151" s="95">
        <f>'Planning Engine'!G151</f>
        <v>0</v>
      </c>
      <c r="H151" s="99">
        <f t="shared" si="4"/>
        <v>-10207.216231924356</v>
      </c>
      <c r="I151" s="95">
        <f>'Planning Engine'!H151</f>
        <v>-2340380.0047517829</v>
      </c>
      <c r="J151" s="96">
        <f ca="1">'Planning Engine'!J151</f>
        <v>-349.880517034658</v>
      </c>
      <c r="K151" s="95">
        <f ca="1">'Planning Engine'!K151</f>
        <v>2397600</v>
      </c>
      <c r="L151" s="12" t="str">
        <f>'Planning Engine'!L151</f>
        <v>High</v>
      </c>
      <c r="M151" s="93">
        <f>'Planning Engine'!S151</f>
        <v>50437</v>
      </c>
      <c r="N151" s="95">
        <f>'Planning Engine'!T151</f>
        <v>0</v>
      </c>
      <c r="O151" s="98" t="s">
        <v>1183</v>
      </c>
      <c r="P151" s="4" t="str">
        <f t="shared" si="5"/>
        <v>⚠ Expedite production / source alternate</v>
      </c>
    </row>
    <row r="152" spans="1:16" ht="13" customHeight="1" x14ac:dyDescent="0.35">
      <c r="A152" s="93">
        <v>50557</v>
      </c>
      <c r="B152" s="61" t="s">
        <v>26</v>
      </c>
      <c r="C152" s="12" t="str">
        <f>'Planning Engine'!C152</f>
        <v>Label/Pack</v>
      </c>
      <c r="D152" s="12" t="str">
        <f>'Planning Engine'!D152</f>
        <v>units</v>
      </c>
      <c r="E152" s="95">
        <f>'Planning Engine'!E152</f>
        <v>-2340380.0047517829</v>
      </c>
      <c r="F152" s="95">
        <f>'Planning Engine'!F152</f>
        <v>7918.2211085125127</v>
      </c>
      <c r="G152" s="95">
        <f>'Planning Engine'!G152</f>
        <v>0</v>
      </c>
      <c r="H152" s="95">
        <f t="shared" si="4"/>
        <v>-7918.2211085125127</v>
      </c>
      <c r="I152" s="95">
        <f>'Planning Engine'!H152</f>
        <v>-2348298.2258602954</v>
      </c>
      <c r="J152" s="96">
        <f ca="1">'Planning Engine'!J152</f>
        <v>-400.93325872953022</v>
      </c>
      <c r="K152" s="95">
        <f ca="1">'Planning Engine'!K152</f>
        <v>2397600</v>
      </c>
      <c r="L152" s="12" t="str">
        <f>'Planning Engine'!L152</f>
        <v>High</v>
      </c>
      <c r="M152" s="93">
        <f>'Planning Engine'!S152</f>
        <v>50465</v>
      </c>
      <c r="N152" s="95">
        <f>'Planning Engine'!T152</f>
        <v>0</v>
      </c>
      <c r="O152" s="94" t="s">
        <v>1184</v>
      </c>
      <c r="P152" s="12" t="str">
        <f t="shared" si="5"/>
        <v>⚠ Expedite production / source alternate</v>
      </c>
    </row>
    <row r="153" spans="1:16" ht="13" customHeight="1" x14ac:dyDescent="0.35">
      <c r="A153" s="97">
        <v>50587</v>
      </c>
      <c r="B153" s="53" t="s">
        <v>26</v>
      </c>
      <c r="C153" s="12" t="str">
        <f>'Planning Engine'!C153</f>
        <v>Label/Pack</v>
      </c>
      <c r="D153" s="12" t="str">
        <f>'Planning Engine'!D153</f>
        <v>units</v>
      </c>
      <c r="E153" s="95">
        <f>'Planning Engine'!E153</f>
        <v>-2348298.2258602954</v>
      </c>
      <c r="F153" s="95">
        <f>'Planning Engine'!F153</f>
        <v>8395.9979704862744</v>
      </c>
      <c r="G153" s="95">
        <f>'Planning Engine'!G153</f>
        <v>0</v>
      </c>
      <c r="H153" s="99">
        <f t="shared" si="4"/>
        <v>-8395.9979704862744</v>
      </c>
      <c r="I153" s="95">
        <f>'Planning Engine'!H153</f>
        <v>-2356694.2238307814</v>
      </c>
      <c r="J153" s="96">
        <f ca="1">'Planning Engine'!J153</f>
        <v>-447.14533592030915</v>
      </c>
      <c r="K153" s="95">
        <f ca="1">'Planning Engine'!K153</f>
        <v>2397600</v>
      </c>
      <c r="L153" s="12" t="str">
        <f>'Planning Engine'!L153</f>
        <v>High</v>
      </c>
      <c r="M153" s="93">
        <f>'Planning Engine'!S153</f>
        <v>50496</v>
      </c>
      <c r="N153" s="95">
        <f>'Planning Engine'!T153</f>
        <v>0</v>
      </c>
      <c r="O153" s="98" t="s">
        <v>1185</v>
      </c>
      <c r="P153" s="4" t="str">
        <f t="shared" si="5"/>
        <v>⚠ Expedite production / source alternate</v>
      </c>
    </row>
    <row r="154" spans="1:16" ht="13" customHeight="1" x14ac:dyDescent="0.35">
      <c r="A154" s="93">
        <v>50618</v>
      </c>
      <c r="B154" s="61" t="s">
        <v>26</v>
      </c>
      <c r="C154" s="12" t="str">
        <f>'Planning Engine'!C154</f>
        <v>Label/Pack</v>
      </c>
      <c r="D154" s="12" t="str">
        <f>'Planning Engine'!D154</f>
        <v>units</v>
      </c>
      <c r="E154" s="95">
        <f>'Planning Engine'!E154</f>
        <v>-2356694.2238307814</v>
      </c>
      <c r="F154" s="95">
        <f>'Planning Engine'!F154</f>
        <v>7301.5752853739978</v>
      </c>
      <c r="G154" s="95">
        <f>'Planning Engine'!G154</f>
        <v>0</v>
      </c>
      <c r="H154" s="95">
        <f t="shared" si="4"/>
        <v>-7301.5752853739978</v>
      </c>
      <c r="I154" s="95">
        <f>'Planning Engine'!H154</f>
        <v>-2363995.7991161556</v>
      </c>
      <c r="J154" s="96">
        <f ca="1">'Planning Engine'!J154</f>
        <v>-503.85538104434517</v>
      </c>
      <c r="K154" s="95">
        <f ca="1">'Planning Engine'!K154</f>
        <v>2413800</v>
      </c>
      <c r="L154" s="12" t="str">
        <f>'Planning Engine'!L154</f>
        <v>High</v>
      </c>
      <c r="M154" s="93">
        <f>'Planning Engine'!S154</f>
        <v>50526</v>
      </c>
      <c r="N154" s="95">
        <f>'Planning Engine'!T154</f>
        <v>0</v>
      </c>
      <c r="O154" s="94" t="s">
        <v>1186</v>
      </c>
      <c r="P154" s="12" t="str">
        <f t="shared" si="5"/>
        <v>⚠ Expedite production / source alternate</v>
      </c>
    </row>
    <row r="155" spans="1:16" ht="13" customHeight="1" x14ac:dyDescent="0.35">
      <c r="A155" s="97">
        <v>50649</v>
      </c>
      <c r="B155" s="53" t="s">
        <v>26</v>
      </c>
      <c r="C155" s="12" t="str">
        <f>'Planning Engine'!C155</f>
        <v>Label/Pack</v>
      </c>
      <c r="D155" s="12" t="str">
        <f>'Planning Engine'!D155</f>
        <v>units</v>
      </c>
      <c r="E155" s="95">
        <f>'Planning Engine'!E155</f>
        <v>-2363995.7991161556</v>
      </c>
      <c r="F155" s="95">
        <f>'Planning Engine'!F155</f>
        <v>7153.0325754834703</v>
      </c>
      <c r="G155" s="95">
        <f>'Planning Engine'!G155</f>
        <v>0</v>
      </c>
      <c r="H155" s="99">
        <f t="shared" si="4"/>
        <v>-7153.0325754834703</v>
      </c>
      <c r="I155" s="95">
        <f>'Planning Engine'!H155</f>
        <v>-2371148.831691639</v>
      </c>
      <c r="J155" s="96">
        <f ca="1">'Planning Engine'!J155</f>
        <v>-578.39369336238292</v>
      </c>
      <c r="K155" s="95">
        <f ca="1">'Planning Engine'!K155</f>
        <v>2413800</v>
      </c>
      <c r="L155" s="12" t="str">
        <f>'Planning Engine'!L155</f>
        <v>High</v>
      </c>
      <c r="M155" s="93">
        <f>'Planning Engine'!S155</f>
        <v>50557</v>
      </c>
      <c r="N155" s="95">
        <f>'Planning Engine'!T155</f>
        <v>0</v>
      </c>
      <c r="O155" s="98" t="s">
        <v>1187</v>
      </c>
      <c r="P155" s="4" t="str">
        <f t="shared" si="5"/>
        <v>⚠ Expedite production / source alternate</v>
      </c>
    </row>
    <row r="156" spans="1:16" ht="13" customHeight="1" x14ac:dyDescent="0.35">
      <c r="A156" s="93">
        <v>50679</v>
      </c>
      <c r="B156" s="61" t="s">
        <v>26</v>
      </c>
      <c r="C156" s="12" t="str">
        <f>'Planning Engine'!C156</f>
        <v>Label/Pack</v>
      </c>
      <c r="D156" s="12" t="str">
        <f>'Planning Engine'!D156</f>
        <v>units</v>
      </c>
      <c r="E156" s="95">
        <f>'Planning Engine'!E156</f>
        <v>-2371148.831691639</v>
      </c>
      <c r="F156" s="95">
        <f>'Planning Engine'!F156</f>
        <v>5667.5465319748319</v>
      </c>
      <c r="G156" s="95">
        <f>'Planning Engine'!G156</f>
        <v>0</v>
      </c>
      <c r="H156" s="95">
        <f t="shared" si="4"/>
        <v>-5667.5465319748319</v>
      </c>
      <c r="I156" s="95">
        <f>'Planning Engine'!H156</f>
        <v>-2376816.3782236138</v>
      </c>
      <c r="J156" s="96">
        <f ca="1">'Planning Engine'!J156</f>
        <v>-679.15999679109086</v>
      </c>
      <c r="K156" s="95">
        <f ca="1">'Planning Engine'!K156</f>
        <v>2413800</v>
      </c>
      <c r="L156" s="12" t="str">
        <f>'Planning Engine'!L156</f>
        <v>High</v>
      </c>
      <c r="M156" s="93">
        <f>'Planning Engine'!S156</f>
        <v>50587</v>
      </c>
      <c r="N156" s="95">
        <f>'Planning Engine'!T156</f>
        <v>0</v>
      </c>
      <c r="O156" s="94" t="s">
        <v>1188</v>
      </c>
      <c r="P156" s="12" t="str">
        <f t="shared" si="5"/>
        <v>⚠ Expedite production / source alternate</v>
      </c>
    </row>
    <row r="157" spans="1:16" ht="13" customHeight="1" x14ac:dyDescent="0.35">
      <c r="A157" s="97">
        <v>50710</v>
      </c>
      <c r="B157" s="53" t="s">
        <v>26</v>
      </c>
      <c r="C157" s="12" t="str">
        <f>'Planning Engine'!C157</f>
        <v>Label/Pack</v>
      </c>
      <c r="D157" s="12" t="str">
        <f>'Planning Engine'!D157</f>
        <v>units</v>
      </c>
      <c r="E157" s="95">
        <f>'Planning Engine'!E157</f>
        <v>-2376816.3782236138</v>
      </c>
      <c r="F157" s="95">
        <f>'Planning Engine'!F157</f>
        <v>4730.1410937415039</v>
      </c>
      <c r="G157" s="95">
        <f>'Planning Engine'!G157</f>
        <v>0</v>
      </c>
      <c r="H157" s="99">
        <f t="shared" si="4"/>
        <v>-4730.1410937415039</v>
      </c>
      <c r="I157" s="95">
        <f>'Planning Engine'!H157</f>
        <v>-2381546.5193173555</v>
      </c>
      <c r="J157" s="96">
        <f ca="1">'Planning Engine'!J157</f>
        <v>-787.1099269536661</v>
      </c>
      <c r="K157" s="95">
        <f ca="1">'Planning Engine'!K157</f>
        <v>2413800</v>
      </c>
      <c r="L157" s="12" t="str">
        <f>'Planning Engine'!L157</f>
        <v>High</v>
      </c>
      <c r="M157" s="93">
        <f>'Planning Engine'!S157</f>
        <v>50618</v>
      </c>
      <c r="N157" s="95">
        <f>'Planning Engine'!T157</f>
        <v>0</v>
      </c>
      <c r="O157" s="98" t="s">
        <v>1189</v>
      </c>
      <c r="P157" s="4" t="str">
        <f t="shared" si="5"/>
        <v>⚠ Expedite production / source alternate</v>
      </c>
    </row>
    <row r="158" spans="1:16" ht="13" customHeight="1" x14ac:dyDescent="0.35">
      <c r="A158" s="93">
        <v>50740</v>
      </c>
      <c r="B158" s="61" t="s">
        <v>26</v>
      </c>
      <c r="C158" s="12" t="str">
        <f>'Planning Engine'!C158</f>
        <v>Label/Pack</v>
      </c>
      <c r="D158" s="12" t="str">
        <f>'Planning Engine'!D158</f>
        <v>units</v>
      </c>
      <c r="E158" s="95">
        <f>'Planning Engine'!E158</f>
        <v>-2381546.5193173555</v>
      </c>
      <c r="F158" s="95">
        <f>'Planning Engine'!F158</f>
        <v>4313.2946070097005</v>
      </c>
      <c r="G158" s="95">
        <f>'Planning Engine'!G158</f>
        <v>0</v>
      </c>
      <c r="H158" s="95">
        <f t="shared" si="4"/>
        <v>-4313.2946070097005</v>
      </c>
      <c r="I158" s="95">
        <f>'Planning Engine'!H158</f>
        <v>-2385859.8139243652</v>
      </c>
      <c r="J158" s="96">
        <f ca="1">'Planning Engine'!J158</f>
        <v>-915.03746874982323</v>
      </c>
      <c r="K158" s="95">
        <f ca="1">'Planning Engine'!K158</f>
        <v>2413800</v>
      </c>
      <c r="L158" s="12" t="str">
        <f>'Planning Engine'!L158</f>
        <v>High</v>
      </c>
      <c r="M158" s="93">
        <f>'Planning Engine'!S158</f>
        <v>50649</v>
      </c>
      <c r="N158" s="95">
        <f>'Planning Engine'!T158</f>
        <v>0</v>
      </c>
      <c r="O158" s="94" t="s">
        <v>1190</v>
      </c>
      <c r="P158" s="12" t="str">
        <f t="shared" si="5"/>
        <v>⚠ Expedite production / source alternate</v>
      </c>
    </row>
    <row r="159" spans="1:16" ht="13" customHeight="1" x14ac:dyDescent="0.35">
      <c r="A159" s="97">
        <v>50771</v>
      </c>
      <c r="B159" s="53" t="s">
        <v>26</v>
      </c>
      <c r="C159" s="12" t="str">
        <f>'Planning Engine'!C159</f>
        <v>Label/Pack</v>
      </c>
      <c r="D159" s="12" t="str">
        <f>'Planning Engine'!D159</f>
        <v>units</v>
      </c>
      <c r="E159" s="95">
        <f>'Planning Engine'!E159</f>
        <v>-2385859.8139243652</v>
      </c>
      <c r="F159" s="95">
        <f>'Planning Engine'!F159</f>
        <v>4514.7263857468588</v>
      </c>
      <c r="G159" s="95">
        <f>'Planning Engine'!G159</f>
        <v>0</v>
      </c>
      <c r="H159" s="99">
        <f t="shared" si="4"/>
        <v>-4514.7263857468588</v>
      </c>
      <c r="I159" s="95">
        <f>'Planning Engine'!H159</f>
        <v>-2390374.5403101123</v>
      </c>
      <c r="J159" s="96">
        <f ca="1">'Planning Engine'!J159</f>
        <v>-1043.2554862374527</v>
      </c>
      <c r="K159" s="95">
        <f ca="1">'Planning Engine'!K159</f>
        <v>2413800</v>
      </c>
      <c r="L159" s="12" t="str">
        <f>'Planning Engine'!L159</f>
        <v>High</v>
      </c>
      <c r="M159" s="93">
        <f>'Planning Engine'!S159</f>
        <v>50679</v>
      </c>
      <c r="N159" s="95">
        <f>'Planning Engine'!T159</f>
        <v>0</v>
      </c>
      <c r="O159" s="98" t="s">
        <v>1191</v>
      </c>
      <c r="P159" s="4" t="str">
        <f t="shared" si="5"/>
        <v>⚠ Expedite production / source alternate</v>
      </c>
    </row>
    <row r="160" spans="1:16" ht="13" customHeight="1" x14ac:dyDescent="0.35">
      <c r="A160" s="93">
        <v>50802</v>
      </c>
      <c r="B160" s="61" t="s">
        <v>26</v>
      </c>
      <c r="C160" s="12" t="str">
        <f>'Planning Engine'!C160</f>
        <v>Label/Pack</v>
      </c>
      <c r="D160" s="12" t="str">
        <f>'Planning Engine'!D160</f>
        <v>units</v>
      </c>
      <c r="E160" s="95">
        <f>'Planning Engine'!E160</f>
        <v>-2390374.5403101123</v>
      </c>
      <c r="F160" s="95">
        <f>'Planning Engine'!F160</f>
        <v>2719.1856722663092</v>
      </c>
      <c r="G160" s="95">
        <f>'Planning Engine'!G160</f>
        <v>0</v>
      </c>
      <c r="H160" s="95">
        <f t="shared" si="4"/>
        <v>-2719.1856722663092</v>
      </c>
      <c r="I160" s="95">
        <f>'Planning Engine'!H160</f>
        <v>-2393093.7259823787</v>
      </c>
      <c r="J160" s="96">
        <f ca="1">'Planning Engine'!J160</f>
        <v>-1245.8306048363379</v>
      </c>
      <c r="K160" s="95">
        <f ca="1">'Planning Engine'!K160</f>
        <v>2413800</v>
      </c>
      <c r="L160" s="12" t="str">
        <f>'Planning Engine'!L160</f>
        <v>High</v>
      </c>
      <c r="M160" s="93">
        <f>'Planning Engine'!S160</f>
        <v>50710</v>
      </c>
      <c r="N160" s="95">
        <f>'Planning Engine'!T160</f>
        <v>0</v>
      </c>
      <c r="O160" s="94" t="s">
        <v>1192</v>
      </c>
      <c r="P160" s="12" t="str">
        <f t="shared" si="5"/>
        <v>⚠ Expedite production / source alternate</v>
      </c>
    </row>
    <row r="161" spans="1:16" ht="13" customHeight="1" x14ac:dyDescent="0.35">
      <c r="A161" s="97">
        <v>50830</v>
      </c>
      <c r="B161" s="53" t="s">
        <v>26</v>
      </c>
      <c r="C161" s="12" t="str">
        <f>'Planning Engine'!C161</f>
        <v>Label/Pack</v>
      </c>
      <c r="D161" s="12" t="str">
        <f>'Planning Engine'!D161</f>
        <v>units</v>
      </c>
      <c r="E161" s="95">
        <f>'Planning Engine'!E161</f>
        <v>-2393093.7259823787</v>
      </c>
      <c r="F161" s="95">
        <f>'Planning Engine'!F161</f>
        <v>2639.2963760676057</v>
      </c>
      <c r="G161" s="95">
        <f>'Planning Engine'!G161</f>
        <v>0</v>
      </c>
      <c r="H161" s="99">
        <f t="shared" si="4"/>
        <v>-2639.2963760676057</v>
      </c>
      <c r="I161" s="95">
        <f>'Planning Engine'!H161</f>
        <v>-2395733.0223584464</v>
      </c>
      <c r="J161" s="96">
        <f ca="1">'Planning Engine'!J161</f>
        <v>-1371.9619797456869</v>
      </c>
      <c r="K161" s="95">
        <f ca="1">'Planning Engine'!K161</f>
        <v>2413800</v>
      </c>
      <c r="L161" s="12" t="str">
        <f>'Planning Engine'!L161</f>
        <v>High</v>
      </c>
      <c r="M161" s="93">
        <f>'Planning Engine'!S161</f>
        <v>50740</v>
      </c>
      <c r="N161" s="95">
        <f>'Planning Engine'!T161</f>
        <v>0</v>
      </c>
      <c r="O161" s="98" t="s">
        <v>1193</v>
      </c>
      <c r="P161" s="4" t="str">
        <f t="shared" si="5"/>
        <v>⚠ Expedite production / source alternate</v>
      </c>
    </row>
    <row r="162" spans="1:16" ht="13" customHeight="1" x14ac:dyDescent="0.35">
      <c r="A162" s="93">
        <v>50861</v>
      </c>
      <c r="B162" s="61" t="s">
        <v>26</v>
      </c>
      <c r="C162" s="12" t="str">
        <f>'Planning Engine'!C162</f>
        <v>Label/Pack</v>
      </c>
      <c r="D162" s="12" t="str">
        <f>'Planning Engine'!D162</f>
        <v>units</v>
      </c>
      <c r="E162" s="95">
        <f>'Planning Engine'!E162</f>
        <v>-2395733.0223584464</v>
      </c>
      <c r="F162" s="95">
        <f>'Planning Engine'!F162</f>
        <v>3187.5286933461284</v>
      </c>
      <c r="G162" s="95">
        <f>'Planning Engine'!G162</f>
        <v>0</v>
      </c>
      <c r="H162" s="95">
        <f t="shared" si="4"/>
        <v>-3187.5286933461284</v>
      </c>
      <c r="I162" s="95">
        <f>'Planning Engine'!H162</f>
        <v>-2398920.5510517927</v>
      </c>
      <c r="J162" s="96">
        <f ca="1">'Planning Engine'!J162</f>
        <v>-1514.6291383566847</v>
      </c>
      <c r="K162" s="95">
        <f ca="1">'Planning Engine'!K162</f>
        <v>2413800</v>
      </c>
      <c r="L162" s="12" t="str">
        <f>'Planning Engine'!L162</f>
        <v>High</v>
      </c>
      <c r="M162" s="93">
        <f>'Planning Engine'!S162</f>
        <v>50771</v>
      </c>
      <c r="N162" s="95">
        <f>'Planning Engine'!T162</f>
        <v>0</v>
      </c>
      <c r="O162" s="94" t="s">
        <v>1194</v>
      </c>
      <c r="P162" s="12" t="str">
        <f t="shared" si="5"/>
        <v>⚠ Expedite production / source alternate</v>
      </c>
    </row>
    <row r="163" spans="1:16" ht="13" customHeight="1" x14ac:dyDescent="0.35">
      <c r="A163" s="97">
        <v>50891</v>
      </c>
      <c r="B163" s="53" t="s">
        <v>26</v>
      </c>
      <c r="C163" s="12" t="str">
        <f>'Planning Engine'!C163</f>
        <v>Label/Pack</v>
      </c>
      <c r="D163" s="12" t="str">
        <f>'Planning Engine'!D163</f>
        <v>units</v>
      </c>
      <c r="E163" s="95">
        <f>'Planning Engine'!E163</f>
        <v>-2398920.5510517927</v>
      </c>
      <c r="F163" s="95">
        <f>'Planning Engine'!F163</f>
        <v>1971.1197346902472</v>
      </c>
      <c r="G163" s="95">
        <f>'Planning Engine'!G163</f>
        <v>0</v>
      </c>
      <c r="H163" s="99">
        <f t="shared" si="4"/>
        <v>-1971.1197346902472</v>
      </c>
      <c r="I163" s="95">
        <f>'Planning Engine'!H163</f>
        <v>-2400891.6707864827</v>
      </c>
      <c r="J163" s="96">
        <f ca="1">'Planning Engine'!J163</f>
        <v>-1750.1044197947037</v>
      </c>
      <c r="K163" s="95">
        <f ca="1">'Planning Engine'!K163</f>
        <v>2413800</v>
      </c>
      <c r="L163" s="12" t="str">
        <f>'Planning Engine'!L163</f>
        <v>High</v>
      </c>
      <c r="M163" s="93">
        <f>'Planning Engine'!S163</f>
        <v>50802</v>
      </c>
      <c r="N163" s="95">
        <f>'Planning Engine'!T163</f>
        <v>0</v>
      </c>
      <c r="O163" s="98" t="s">
        <v>1195</v>
      </c>
      <c r="P163" s="4" t="str">
        <f t="shared" si="5"/>
        <v>⚠ Expedite production / source alternate</v>
      </c>
    </row>
    <row r="164" spans="1:16" ht="13" customHeight="1" x14ac:dyDescent="0.35">
      <c r="A164" s="93">
        <v>50922</v>
      </c>
      <c r="B164" s="61" t="s">
        <v>26</v>
      </c>
      <c r="C164" s="12" t="str">
        <f>'Planning Engine'!C164</f>
        <v>Label/Pack</v>
      </c>
      <c r="D164" s="12" t="str">
        <f>'Planning Engine'!D164</f>
        <v>units</v>
      </c>
      <c r="E164" s="95">
        <f>'Planning Engine'!E164</f>
        <v>-2400891.6707864827</v>
      </c>
      <c r="F164" s="95">
        <f>'Planning Engine'!F164</f>
        <v>1753.9326600935021</v>
      </c>
      <c r="G164" s="95">
        <f>'Planning Engine'!G164</f>
        <v>0</v>
      </c>
      <c r="H164" s="95">
        <f t="shared" si="4"/>
        <v>-1753.9326600935021</v>
      </c>
      <c r="I164" s="95">
        <f>'Planning Engine'!H164</f>
        <v>-2402645.6034465763</v>
      </c>
      <c r="J164" s="96">
        <f ca="1">'Planning Engine'!J164</f>
        <v>-1877.9562801295053</v>
      </c>
      <c r="K164" s="95">
        <f ca="1">'Planning Engine'!K164</f>
        <v>2413800</v>
      </c>
      <c r="L164" s="12" t="str">
        <f>'Planning Engine'!L164</f>
        <v>High</v>
      </c>
      <c r="M164" s="93">
        <f>'Planning Engine'!S164</f>
        <v>50830</v>
      </c>
      <c r="N164" s="95">
        <f>'Planning Engine'!T164</f>
        <v>0</v>
      </c>
      <c r="O164" s="94" t="s">
        <v>1196</v>
      </c>
      <c r="P164" s="12" t="str">
        <f t="shared" si="5"/>
        <v>⚠ Expedite production / source alternate</v>
      </c>
    </row>
    <row r="165" spans="1:16" ht="13" customHeight="1" x14ac:dyDescent="0.35">
      <c r="A165" s="97">
        <v>50952</v>
      </c>
      <c r="B165" s="53" t="s">
        <v>26</v>
      </c>
      <c r="C165" s="12" t="str">
        <f>'Planning Engine'!C165</f>
        <v>Label/Pack</v>
      </c>
      <c r="D165" s="12" t="str">
        <f>'Planning Engine'!D165</f>
        <v>units</v>
      </c>
      <c r="E165" s="95">
        <f>'Planning Engine'!E165</f>
        <v>-2402645.6034465763</v>
      </c>
      <c r="F165" s="95">
        <f>'Planning Engine'!F165</f>
        <v>1401.9377186763127</v>
      </c>
      <c r="G165" s="95">
        <f>'Planning Engine'!G165</f>
        <v>0</v>
      </c>
      <c r="H165" s="99">
        <f t="shared" si="4"/>
        <v>-1401.9377186763127</v>
      </c>
      <c r="I165" s="95">
        <f>'Planning Engine'!H165</f>
        <v>-2404047.5411652527</v>
      </c>
      <c r="J165" s="96">
        <f ca="1">'Planning Engine'!J165</f>
        <v>-1979.453167513753</v>
      </c>
      <c r="K165" s="95">
        <f ca="1">'Planning Engine'!K165</f>
        <v>2413800</v>
      </c>
      <c r="L165" s="12" t="str">
        <f>'Planning Engine'!L165</f>
        <v>High</v>
      </c>
      <c r="M165" s="93">
        <f>'Planning Engine'!S165</f>
        <v>50861</v>
      </c>
      <c r="N165" s="95">
        <f>'Planning Engine'!T165</f>
        <v>0</v>
      </c>
      <c r="O165" s="98" t="s">
        <v>1197</v>
      </c>
      <c r="P165" s="4" t="str">
        <f t="shared" si="5"/>
        <v>⚠ Expedite production / source alternate</v>
      </c>
    </row>
    <row r="166" spans="1:16" ht="13" customHeight="1" x14ac:dyDescent="0.35">
      <c r="A166" s="93">
        <v>50983</v>
      </c>
      <c r="B166" s="61" t="s">
        <v>26</v>
      </c>
      <c r="C166" s="12" t="str">
        <f>'Planning Engine'!C166</f>
        <v>Label/Pack</v>
      </c>
      <c r="D166" s="12" t="str">
        <f>'Planning Engine'!D166</f>
        <v>units</v>
      </c>
      <c r="E166" s="95">
        <f>'Planning Engine'!E166</f>
        <v>-2404047.5411652527</v>
      </c>
      <c r="F166" s="95">
        <f>'Planning Engine'!F166</f>
        <v>965.49079082246681</v>
      </c>
      <c r="G166" s="95">
        <f>'Planning Engine'!G166</f>
        <v>0</v>
      </c>
      <c r="H166" s="95">
        <f t="shared" si="4"/>
        <v>-965.49079082246681</v>
      </c>
      <c r="I166" s="95">
        <f>'Planning Engine'!H166</f>
        <v>-2405013.0319560752</v>
      </c>
      <c r="J166" s="96">
        <f ca="1">'Planning Engine'!J166</f>
        <v>-1984.4435706664653</v>
      </c>
      <c r="K166" s="95">
        <f ca="1">'Planning Engine'!K166</f>
        <v>2413800</v>
      </c>
      <c r="L166" s="12" t="str">
        <f>'Planning Engine'!L166</f>
        <v>High</v>
      </c>
      <c r="M166" s="93">
        <f>'Planning Engine'!S166</f>
        <v>50891</v>
      </c>
      <c r="N166" s="95">
        <f>'Planning Engine'!T166</f>
        <v>0</v>
      </c>
      <c r="O166" s="94" t="s">
        <v>1198</v>
      </c>
      <c r="P166" s="12" t="str">
        <f t="shared" si="5"/>
        <v>⚠ Expedite production / source alternate</v>
      </c>
    </row>
    <row r="167" spans="1:16" ht="13" customHeight="1" x14ac:dyDescent="0.35">
      <c r="A167" s="97">
        <v>51014</v>
      </c>
      <c r="B167" s="53" t="s">
        <v>26</v>
      </c>
      <c r="C167" s="12" t="str">
        <f>'Planning Engine'!C167</f>
        <v>Label/Pack</v>
      </c>
      <c r="D167" s="12" t="str">
        <f>'Planning Engine'!D167</f>
        <v>units</v>
      </c>
      <c r="E167" s="95">
        <f>'Planning Engine'!E167</f>
        <v>-2405013.0319560752</v>
      </c>
      <c r="F167" s="95">
        <f>'Planning Engine'!F167</f>
        <v>1468.1648860837349</v>
      </c>
      <c r="G167" s="95">
        <f>'Planning Engine'!G167</f>
        <v>0</v>
      </c>
      <c r="H167" s="99">
        <f t="shared" si="4"/>
        <v>-1468.1648860837349</v>
      </c>
      <c r="I167" s="95">
        <f>'Planning Engine'!H167</f>
        <v>-2406481.1968421591</v>
      </c>
      <c r="J167" s="96">
        <f ca="1">'Planning Engine'!J167</f>
        <v>-1942.2388219336156</v>
      </c>
      <c r="K167" s="95">
        <f ca="1">'Planning Engine'!K167</f>
        <v>2413800</v>
      </c>
      <c r="L167" s="12" t="str">
        <f>'Planning Engine'!L167</f>
        <v>High</v>
      </c>
      <c r="M167" s="93">
        <f>'Planning Engine'!S167</f>
        <v>50922</v>
      </c>
      <c r="N167" s="95">
        <f>'Planning Engine'!T167</f>
        <v>0</v>
      </c>
      <c r="O167" s="98" t="s">
        <v>1199</v>
      </c>
      <c r="P167" s="4" t="str">
        <f t="shared" si="5"/>
        <v>⚠ Expedite production / source alternate</v>
      </c>
    </row>
    <row r="168" spans="1:16" ht="13" customHeight="1" x14ac:dyDescent="0.35">
      <c r="A168" s="93">
        <v>51044</v>
      </c>
      <c r="B168" s="61" t="s">
        <v>26</v>
      </c>
      <c r="C168" s="12" t="str">
        <f>'Planning Engine'!C168</f>
        <v>Label/Pack</v>
      </c>
      <c r="D168" s="12" t="str">
        <f>'Planning Engine'!D168</f>
        <v>units</v>
      </c>
      <c r="E168" s="95">
        <f>'Planning Engine'!E168</f>
        <v>-2406481.1968421591</v>
      </c>
      <c r="F168" s="95">
        <f>'Planning Engine'!F168</f>
        <v>1181.2824945204629</v>
      </c>
      <c r="G168" s="95">
        <f>'Planning Engine'!G168</f>
        <v>0</v>
      </c>
      <c r="H168" s="95">
        <f t="shared" si="4"/>
        <v>-1181.2824945204629</v>
      </c>
      <c r="I168" s="95">
        <f>'Planning Engine'!H168</f>
        <v>-2407662.4793366794</v>
      </c>
      <c r="J168" s="96">
        <f ca="1">'Planning Engine'!J168</f>
        <v>-1963.0530725333958</v>
      </c>
      <c r="K168" s="95">
        <f ca="1">'Planning Engine'!K168</f>
        <v>2413800</v>
      </c>
      <c r="L168" s="12" t="str">
        <f>'Planning Engine'!L168</f>
        <v>High</v>
      </c>
      <c r="M168" s="93">
        <f>'Planning Engine'!S168</f>
        <v>50952</v>
      </c>
      <c r="N168" s="95">
        <f>'Planning Engine'!T168</f>
        <v>0</v>
      </c>
      <c r="O168" s="94" t="s">
        <v>1200</v>
      </c>
      <c r="P168" s="12" t="str">
        <f t="shared" si="5"/>
        <v>⚠ Expedite production / source alternate</v>
      </c>
    </row>
    <row r="169" spans="1:16" ht="13" customHeight="1" x14ac:dyDescent="0.35">
      <c r="A169" s="97">
        <v>51075</v>
      </c>
      <c r="B169" s="53" t="s">
        <v>26</v>
      </c>
      <c r="C169" s="12" t="str">
        <f>'Planning Engine'!C169</f>
        <v>Label/Pack</v>
      </c>
      <c r="D169" s="12" t="str">
        <f>'Planning Engine'!D169</f>
        <v>units</v>
      </c>
      <c r="E169" s="95">
        <f>'Planning Engine'!E169</f>
        <v>-2407662.4793366794</v>
      </c>
      <c r="F169" s="95">
        <f>'Planning Engine'!F169</f>
        <v>1147.1320124520287</v>
      </c>
      <c r="G169" s="95">
        <f>'Planning Engine'!G169</f>
        <v>0</v>
      </c>
      <c r="H169" s="99">
        <f t="shared" si="4"/>
        <v>-1147.1320124520287</v>
      </c>
      <c r="I169" s="95">
        <f>'Planning Engine'!H169</f>
        <v>-2408809.6113491314</v>
      </c>
      <c r="J169" s="96">
        <f ca="1">'Planning Engine'!J169</f>
        <v>-1976.4061846095137</v>
      </c>
      <c r="K169" s="95">
        <f ca="1">'Planning Engine'!K169</f>
        <v>2413800</v>
      </c>
      <c r="L169" s="12" t="str">
        <f>'Planning Engine'!L169</f>
        <v>High</v>
      </c>
      <c r="M169" s="93">
        <f>'Planning Engine'!S169</f>
        <v>50983</v>
      </c>
      <c r="N169" s="95">
        <f>'Planning Engine'!T169</f>
        <v>0</v>
      </c>
      <c r="O169" s="98" t="s">
        <v>1201</v>
      </c>
      <c r="P169" s="4" t="str">
        <f t="shared" si="5"/>
        <v>⚠ Expedite production / source alternate</v>
      </c>
    </row>
    <row r="170" spans="1:16" ht="13" customHeight="1" x14ac:dyDescent="0.35">
      <c r="A170" s="93">
        <v>51105</v>
      </c>
      <c r="B170" s="61" t="s">
        <v>26</v>
      </c>
      <c r="C170" s="12" t="str">
        <f>'Planning Engine'!C170</f>
        <v>Label/Pack</v>
      </c>
      <c r="D170" s="12" t="str">
        <f>'Planning Engine'!D170</f>
        <v>units</v>
      </c>
      <c r="E170" s="95">
        <f>'Planning Engine'!E170</f>
        <v>-2408809.6113491314</v>
      </c>
      <c r="F170" s="95">
        <f>'Planning Engine'!F170</f>
        <v>1177.9135886665074</v>
      </c>
      <c r="G170" s="95">
        <f>'Planning Engine'!G170</f>
        <v>0</v>
      </c>
      <c r="H170" s="95">
        <f t="shared" si="4"/>
        <v>-1177.9135886665074</v>
      </c>
      <c r="I170" s="95">
        <f>'Planning Engine'!H170</f>
        <v>-2409987.5249377978</v>
      </c>
      <c r="J170" s="96">
        <f ca="1">'Planning Engine'!J170</f>
        <v>-1952.5819138808338</v>
      </c>
      <c r="K170" s="95">
        <f ca="1">'Planning Engine'!K170</f>
        <v>2413800</v>
      </c>
      <c r="L170" s="12" t="str">
        <f>'Planning Engine'!L170</f>
        <v>High</v>
      </c>
      <c r="M170" s="93">
        <f>'Planning Engine'!S170</f>
        <v>51014</v>
      </c>
      <c r="N170" s="95">
        <f>'Planning Engine'!T170</f>
        <v>0</v>
      </c>
      <c r="O170" s="94" t="s">
        <v>1202</v>
      </c>
      <c r="P170" s="12" t="str">
        <f t="shared" si="5"/>
        <v>⚠ Expedite production / source alternate</v>
      </c>
    </row>
    <row r="171" spans="1:16" ht="13" customHeight="1" x14ac:dyDescent="0.35">
      <c r="A171" s="97">
        <v>51136</v>
      </c>
      <c r="B171" s="53" t="s">
        <v>26</v>
      </c>
      <c r="C171" s="12" t="str">
        <f>'Planning Engine'!C171</f>
        <v>Label/Pack</v>
      </c>
      <c r="D171" s="12" t="str">
        <f>'Planning Engine'!D171</f>
        <v>units</v>
      </c>
      <c r="E171" s="95">
        <f>'Planning Engine'!E171</f>
        <v>-2409987.5249377978</v>
      </c>
      <c r="F171" s="95">
        <f>'Planning Engine'!F171</f>
        <v>1279.7322834546603</v>
      </c>
      <c r="G171" s="95">
        <f>'Planning Engine'!G171</f>
        <v>0</v>
      </c>
      <c r="H171" s="99">
        <f t="shared" si="4"/>
        <v>-1279.7322834546603</v>
      </c>
      <c r="I171" s="95">
        <f>'Planning Engine'!H171</f>
        <v>-2411267.2572212527</v>
      </c>
      <c r="J171" s="96">
        <f ca="1">'Planning Engine'!J171</f>
        <v>-1903.3508917370834</v>
      </c>
      <c r="K171" s="95">
        <f ca="1">'Planning Engine'!K171</f>
        <v>2430000</v>
      </c>
      <c r="L171" s="12" t="str">
        <f>'Planning Engine'!L171</f>
        <v>High</v>
      </c>
      <c r="M171" s="93">
        <f>'Planning Engine'!S171</f>
        <v>51044</v>
      </c>
      <c r="N171" s="95">
        <f>'Planning Engine'!T171</f>
        <v>0</v>
      </c>
      <c r="O171" s="98" t="s">
        <v>1203</v>
      </c>
      <c r="P171" s="4" t="str">
        <f t="shared" si="5"/>
        <v>⚠ Expedite production / source alternate</v>
      </c>
    </row>
    <row r="172" spans="1:16" ht="13" customHeight="1" x14ac:dyDescent="0.35">
      <c r="A172" s="93">
        <v>51167</v>
      </c>
      <c r="B172" s="61" t="s">
        <v>26</v>
      </c>
      <c r="C172" s="12" t="str">
        <f>'Planning Engine'!C172</f>
        <v>Label/Pack</v>
      </c>
      <c r="D172" s="12" t="str">
        <f>'Planning Engine'!D172</f>
        <v>units</v>
      </c>
      <c r="E172" s="95">
        <f>'Planning Engine'!E172</f>
        <v>-2411267.2572212527</v>
      </c>
      <c r="F172" s="95">
        <f>'Planning Engine'!F172</f>
        <v>1138.9576788600573</v>
      </c>
      <c r="G172" s="95">
        <f>'Planning Engine'!G172</f>
        <v>0</v>
      </c>
      <c r="H172" s="95">
        <f t="shared" si="4"/>
        <v>-1138.9576788600573</v>
      </c>
      <c r="I172" s="95">
        <f>'Planning Engine'!H172</f>
        <v>-2412406.2149001127</v>
      </c>
      <c r="J172" s="96">
        <f ca="1">'Planning Engine'!J172</f>
        <v>-1955.8994148521413</v>
      </c>
      <c r="K172" s="95">
        <f ca="1">'Planning Engine'!K172</f>
        <v>2430000</v>
      </c>
      <c r="L172" s="12" t="str">
        <f>'Planning Engine'!L172</f>
        <v>High</v>
      </c>
      <c r="M172" s="93">
        <f>'Planning Engine'!S172</f>
        <v>51075</v>
      </c>
      <c r="N172" s="95">
        <f>'Planning Engine'!T172</f>
        <v>0</v>
      </c>
      <c r="O172" s="94" t="s">
        <v>1204</v>
      </c>
      <c r="P172" s="12" t="str">
        <f t="shared" si="5"/>
        <v>⚠ Expedite production / source alternate</v>
      </c>
    </row>
    <row r="173" spans="1:16" ht="13" customHeight="1" x14ac:dyDescent="0.35">
      <c r="A173" s="97">
        <v>51196</v>
      </c>
      <c r="B173" s="53" t="s">
        <v>26</v>
      </c>
      <c r="C173" s="12" t="str">
        <f>'Planning Engine'!C173</f>
        <v>Label/Pack</v>
      </c>
      <c r="D173" s="12" t="str">
        <f>'Planning Engine'!D173</f>
        <v>units</v>
      </c>
      <c r="E173" s="95">
        <f>'Planning Engine'!E173</f>
        <v>-2412406.2149001127</v>
      </c>
      <c r="F173" s="95">
        <f>'Planning Engine'!F173</f>
        <v>1169.8961359225343</v>
      </c>
      <c r="G173" s="95">
        <f>'Planning Engine'!G173</f>
        <v>0</v>
      </c>
      <c r="H173" s="99">
        <f t="shared" si="4"/>
        <v>-1169.8961359225343</v>
      </c>
      <c r="I173" s="95">
        <f>'Planning Engine'!H173</f>
        <v>-2413576.1110360352</v>
      </c>
      <c r="J173" s="96">
        <f ca="1">'Planning Engine'!J173</f>
        <v>-1905.7903628536519</v>
      </c>
      <c r="K173" s="95">
        <f ca="1">'Planning Engine'!K173</f>
        <v>2430000</v>
      </c>
      <c r="L173" s="12" t="str">
        <f>'Planning Engine'!L173</f>
        <v>High</v>
      </c>
      <c r="M173" s="93">
        <f>'Planning Engine'!S173</f>
        <v>51105</v>
      </c>
      <c r="N173" s="95">
        <f>'Planning Engine'!T173</f>
        <v>0</v>
      </c>
      <c r="O173" s="98" t="s">
        <v>1205</v>
      </c>
      <c r="P173" s="4" t="str">
        <f t="shared" si="5"/>
        <v>⚠ Expedite production / source alternate</v>
      </c>
    </row>
    <row r="174" spans="1:16" ht="13" customHeight="1" x14ac:dyDescent="0.35">
      <c r="A174" s="93">
        <v>51227</v>
      </c>
      <c r="B174" s="61" t="s">
        <v>26</v>
      </c>
      <c r="C174" s="12" t="str">
        <f>'Planning Engine'!C174</f>
        <v>Label/Pack</v>
      </c>
      <c r="D174" s="12" t="str">
        <f>'Planning Engine'!D174</f>
        <v>units</v>
      </c>
      <c r="E174" s="95">
        <f>'Planning Engine'!E174</f>
        <v>-2413576.1110360352</v>
      </c>
      <c r="F174" s="95">
        <f>'Planning Engine'!F174</f>
        <v>1378.828861818077</v>
      </c>
      <c r="G174" s="95">
        <f>'Planning Engine'!G174</f>
        <v>0</v>
      </c>
      <c r="H174" s="95">
        <f t="shared" si="4"/>
        <v>-1378.828861818077</v>
      </c>
      <c r="I174" s="95">
        <f>'Planning Engine'!H174</f>
        <v>-2414954.9398978534</v>
      </c>
      <c r="J174" s="96">
        <f ca="1">'Planning Engine'!J174</f>
        <v>-1915.425672462294</v>
      </c>
      <c r="K174" s="95">
        <f ca="1">'Planning Engine'!K174</f>
        <v>2430000</v>
      </c>
      <c r="L174" s="12" t="str">
        <f>'Planning Engine'!L174</f>
        <v>High</v>
      </c>
      <c r="M174" s="93">
        <f>'Planning Engine'!S174</f>
        <v>51136</v>
      </c>
      <c r="N174" s="95">
        <f>'Planning Engine'!T174</f>
        <v>0</v>
      </c>
      <c r="O174" s="94" t="s">
        <v>1206</v>
      </c>
      <c r="P174" s="12" t="str">
        <f t="shared" si="5"/>
        <v>⚠ Expedite production / source alternate</v>
      </c>
    </row>
    <row r="175" spans="1:16" ht="13" customHeight="1" x14ac:dyDescent="0.35">
      <c r="A175" s="97">
        <v>51257</v>
      </c>
      <c r="B175" s="53" t="s">
        <v>26</v>
      </c>
      <c r="C175" s="12" t="str">
        <f>'Planning Engine'!C175</f>
        <v>Label/Pack</v>
      </c>
      <c r="D175" s="12" t="str">
        <f>'Planning Engine'!D175</f>
        <v>units</v>
      </c>
      <c r="E175" s="95">
        <f>'Planning Engine'!E175</f>
        <v>-2414954.9398978534</v>
      </c>
      <c r="F175" s="95">
        <f>'Planning Engine'!F175</f>
        <v>1209.3112218968054</v>
      </c>
      <c r="G175" s="95">
        <f>'Planning Engine'!G175</f>
        <v>0</v>
      </c>
      <c r="H175" s="99">
        <f t="shared" si="4"/>
        <v>-1209.3112218968054</v>
      </c>
      <c r="I175" s="95">
        <f>'Planning Engine'!H175</f>
        <v>-2416164.2511197501</v>
      </c>
      <c r="J175" s="96">
        <f ca="1">'Planning Engine'!J175</f>
        <v>-1939.0770066955108</v>
      </c>
      <c r="K175" s="95">
        <f ca="1">'Planning Engine'!K175</f>
        <v>2430000</v>
      </c>
      <c r="L175" s="12" t="str">
        <f>'Planning Engine'!L175</f>
        <v>High</v>
      </c>
      <c r="M175" s="93">
        <f>'Planning Engine'!S175</f>
        <v>51167</v>
      </c>
      <c r="N175" s="95">
        <f>'Planning Engine'!T175</f>
        <v>0</v>
      </c>
      <c r="O175" s="98" t="s">
        <v>1207</v>
      </c>
      <c r="P175" s="4" t="str">
        <f t="shared" si="5"/>
        <v>⚠ Expedite production / source alternate</v>
      </c>
    </row>
    <row r="176" spans="1:16" ht="13" customHeight="1" x14ac:dyDescent="0.35">
      <c r="A176" s="93">
        <v>51288</v>
      </c>
      <c r="B176" s="61" t="s">
        <v>26</v>
      </c>
      <c r="C176" s="12" t="str">
        <f>'Planning Engine'!C176</f>
        <v>Label/Pack</v>
      </c>
      <c r="D176" s="12" t="str">
        <f>'Planning Engine'!D176</f>
        <v>units</v>
      </c>
      <c r="E176" s="95">
        <f>'Planning Engine'!E176</f>
        <v>-2416164.2511197501</v>
      </c>
      <c r="F176" s="95">
        <f>'Planning Engine'!F176</f>
        <v>1355.3443358836835</v>
      </c>
      <c r="G176" s="95">
        <f>'Planning Engine'!G176</f>
        <v>0</v>
      </c>
      <c r="H176" s="95">
        <f t="shared" si="4"/>
        <v>-1355.3443358836835</v>
      </c>
      <c r="I176" s="95">
        <f>'Planning Engine'!H176</f>
        <v>-2417519.5954556339</v>
      </c>
      <c r="J176" s="96">
        <f ca="1">'Planning Engine'!J176</f>
        <v>-1932.0294796445039</v>
      </c>
      <c r="K176" s="95">
        <f ca="1">'Planning Engine'!K176</f>
        <v>2430000</v>
      </c>
      <c r="L176" s="12" t="str">
        <f>'Planning Engine'!L176</f>
        <v>High</v>
      </c>
      <c r="M176" s="93">
        <f>'Planning Engine'!S176</f>
        <v>51196</v>
      </c>
      <c r="N176" s="95">
        <f>'Planning Engine'!T176</f>
        <v>0</v>
      </c>
      <c r="O176" s="94" t="s">
        <v>1208</v>
      </c>
      <c r="P176" s="12" t="str">
        <f t="shared" si="5"/>
        <v>⚠ Expedite production / source alternate</v>
      </c>
    </row>
    <row r="177" spans="1:16" ht="13" customHeight="1" x14ac:dyDescent="0.35">
      <c r="A177" s="97">
        <v>51318</v>
      </c>
      <c r="B177" s="53" t="s">
        <v>26</v>
      </c>
      <c r="C177" s="12" t="str">
        <f>'Planning Engine'!C177</f>
        <v>Label/Pack</v>
      </c>
      <c r="D177" s="12" t="str">
        <f>'Planning Engine'!D177</f>
        <v>units</v>
      </c>
      <c r="E177" s="95">
        <f>'Planning Engine'!E177</f>
        <v>-2417519.5954556339</v>
      </c>
      <c r="F177" s="95">
        <f>'Planning Engine'!F177</f>
        <v>1111.9279322943758</v>
      </c>
      <c r="G177" s="95">
        <f>'Planning Engine'!G177</f>
        <v>0</v>
      </c>
      <c r="H177" s="99">
        <f t="shared" si="4"/>
        <v>-1111.9279322943758</v>
      </c>
      <c r="I177" s="95">
        <f>'Planning Engine'!H177</f>
        <v>-2418631.5233879285</v>
      </c>
      <c r="J177" s="96">
        <f ca="1">'Planning Engine'!J177</f>
        <v>-1960.0855272095521</v>
      </c>
      <c r="K177" s="95">
        <f ca="1">'Planning Engine'!K177</f>
        <v>2430000</v>
      </c>
      <c r="L177" s="12" t="str">
        <f>'Planning Engine'!L177</f>
        <v>High</v>
      </c>
      <c r="M177" s="93">
        <f>'Planning Engine'!S177</f>
        <v>51227</v>
      </c>
      <c r="N177" s="95">
        <f>'Planning Engine'!T177</f>
        <v>0</v>
      </c>
      <c r="O177" s="98" t="s">
        <v>1209</v>
      </c>
      <c r="P177" s="4" t="str">
        <f t="shared" si="5"/>
        <v>⚠ Expedite production / source alternate</v>
      </c>
    </row>
    <row r="178" spans="1:16" ht="13" customHeight="1" x14ac:dyDescent="0.35">
      <c r="A178" s="93">
        <v>51349</v>
      </c>
      <c r="B178" s="61" t="s">
        <v>26</v>
      </c>
      <c r="C178" s="12" t="str">
        <f>'Planning Engine'!C178</f>
        <v>Label/Pack</v>
      </c>
      <c r="D178" s="12" t="str">
        <f>'Planning Engine'!D178</f>
        <v>units</v>
      </c>
      <c r="E178" s="95">
        <f>'Planning Engine'!E178</f>
        <v>-2418631.5233879285</v>
      </c>
      <c r="F178" s="95">
        <f>'Planning Engine'!F178</f>
        <v>1286.3992541880161</v>
      </c>
      <c r="G178" s="95">
        <f>'Planning Engine'!G178</f>
        <v>0</v>
      </c>
      <c r="H178" s="95">
        <f t="shared" si="4"/>
        <v>-1286.3992541880161</v>
      </c>
      <c r="I178" s="95">
        <f>'Planning Engine'!H178</f>
        <v>-2419917.9226421164</v>
      </c>
      <c r="J178" s="96">
        <f ca="1">'Planning Engine'!J178</f>
        <v>-1923.0963466861158</v>
      </c>
      <c r="K178" s="95">
        <f ca="1">'Planning Engine'!K178</f>
        <v>2430000</v>
      </c>
      <c r="L178" s="12" t="str">
        <f>'Planning Engine'!L178</f>
        <v>High</v>
      </c>
      <c r="M178" s="93">
        <f>'Planning Engine'!S178</f>
        <v>51257</v>
      </c>
      <c r="N178" s="95">
        <f>'Planning Engine'!T178</f>
        <v>0</v>
      </c>
      <c r="O178" s="94" t="s">
        <v>1210</v>
      </c>
      <c r="P178" s="12" t="str">
        <f t="shared" si="5"/>
        <v>⚠ Expedite production / source alternate</v>
      </c>
    </row>
    <row r="179" spans="1:16" ht="13" customHeight="1" x14ac:dyDescent="0.35">
      <c r="A179" s="97">
        <v>51380</v>
      </c>
      <c r="B179" s="53" t="s">
        <v>26</v>
      </c>
      <c r="C179" s="12" t="str">
        <f>'Planning Engine'!C179</f>
        <v>Label/Pack</v>
      </c>
      <c r="D179" s="12" t="str">
        <f>'Planning Engine'!D179</f>
        <v>units</v>
      </c>
      <c r="E179" s="95">
        <f>'Planning Engine'!E179</f>
        <v>-2419917.9226421164</v>
      </c>
      <c r="F179" s="95">
        <f>'Planning Engine'!F179</f>
        <v>1471.2862464459088</v>
      </c>
      <c r="G179" s="95">
        <f>'Planning Engine'!G179</f>
        <v>0</v>
      </c>
      <c r="H179" s="99">
        <f t="shared" si="4"/>
        <v>-1471.2862464459088</v>
      </c>
      <c r="I179" s="95">
        <f>'Planning Engine'!H179</f>
        <v>-2421389.2088885624</v>
      </c>
      <c r="J179" s="96">
        <f ca="1">'Planning Engine'!J179</f>
        <v>-1935.0510035444356</v>
      </c>
      <c r="K179" s="95">
        <f ca="1">'Planning Engine'!K179</f>
        <v>2430000</v>
      </c>
      <c r="L179" s="12" t="str">
        <f>'Planning Engine'!L179</f>
        <v>High</v>
      </c>
      <c r="M179" s="93">
        <f>'Planning Engine'!S179</f>
        <v>51288</v>
      </c>
      <c r="N179" s="95">
        <f>'Planning Engine'!T179</f>
        <v>0</v>
      </c>
      <c r="O179" s="98" t="s">
        <v>1211</v>
      </c>
      <c r="P179" s="4" t="str">
        <f t="shared" si="5"/>
        <v>⚠ Expedite production / source alternate</v>
      </c>
    </row>
    <row r="180" spans="1:16" ht="13" customHeight="1" x14ac:dyDescent="0.35">
      <c r="A180" s="93">
        <v>51410</v>
      </c>
      <c r="B180" s="61" t="s">
        <v>26</v>
      </c>
      <c r="C180" s="12" t="str">
        <f>'Planning Engine'!C180</f>
        <v>Label/Pack</v>
      </c>
      <c r="D180" s="12" t="str">
        <f>'Planning Engine'!D180</f>
        <v>units</v>
      </c>
      <c r="E180" s="95">
        <f>'Planning Engine'!E180</f>
        <v>-2421389.2088885624</v>
      </c>
      <c r="F180" s="95">
        <f>'Planning Engine'!F180</f>
        <v>978.64776496878005</v>
      </c>
      <c r="G180" s="95">
        <f>'Planning Engine'!G180</f>
        <v>0</v>
      </c>
      <c r="H180" s="95">
        <f t="shared" si="4"/>
        <v>-978.64776496878005</v>
      </c>
      <c r="I180" s="95">
        <f>'Planning Engine'!H180</f>
        <v>-2422367.8566535311</v>
      </c>
      <c r="J180" s="96">
        <f ca="1">'Planning Engine'!J180</f>
        <v>-2056.3175877326962</v>
      </c>
      <c r="K180" s="95">
        <f ca="1">'Planning Engine'!K180</f>
        <v>2430000</v>
      </c>
      <c r="L180" s="12" t="str">
        <f>'Planning Engine'!L180</f>
        <v>High</v>
      </c>
      <c r="M180" s="93">
        <f>'Planning Engine'!S180</f>
        <v>51318</v>
      </c>
      <c r="N180" s="95">
        <f>'Planning Engine'!T180</f>
        <v>0</v>
      </c>
      <c r="O180" s="94" t="s">
        <v>1212</v>
      </c>
      <c r="P180" s="12" t="str">
        <f t="shared" si="5"/>
        <v>⚠ Expedite production / source alternate</v>
      </c>
    </row>
    <row r="181" spans="1:16" ht="13" customHeight="1" x14ac:dyDescent="0.35">
      <c r="A181" s="97">
        <v>51441</v>
      </c>
      <c r="B181" s="53" t="s">
        <v>26</v>
      </c>
      <c r="C181" s="12" t="str">
        <f>'Planning Engine'!C181</f>
        <v>Label/Pack</v>
      </c>
      <c r="D181" s="12" t="str">
        <f>'Planning Engine'!D181</f>
        <v>units</v>
      </c>
      <c r="E181" s="95">
        <f>'Planning Engine'!E181</f>
        <v>-2422367.8566535311</v>
      </c>
      <c r="F181" s="95">
        <f>'Planning Engine'!F181</f>
        <v>1436.3511332697394</v>
      </c>
      <c r="G181" s="95">
        <f>'Planning Engine'!G181</f>
        <v>0</v>
      </c>
      <c r="H181" s="99">
        <f t="shared" si="4"/>
        <v>-1436.3511332697394</v>
      </c>
      <c r="I181" s="95">
        <f>'Planning Engine'!H181</f>
        <v>-2423804.2077868008</v>
      </c>
      <c r="J181" s="96">
        <f ca="1">'Planning Engine'!J181</f>
        <v>-1897.0133025483244</v>
      </c>
      <c r="K181" s="95">
        <f ca="1">'Planning Engine'!K181</f>
        <v>2430000</v>
      </c>
      <c r="L181" s="12" t="str">
        <f>'Planning Engine'!L181</f>
        <v>High</v>
      </c>
      <c r="M181" s="93">
        <f>'Planning Engine'!S181</f>
        <v>51349</v>
      </c>
      <c r="N181" s="95">
        <f>'Planning Engine'!T181</f>
        <v>0</v>
      </c>
      <c r="O181" s="98" t="s">
        <v>1213</v>
      </c>
      <c r="P181" s="4" t="str">
        <f t="shared" si="5"/>
        <v>⚠ Expedite production / source alternate</v>
      </c>
    </row>
    <row r="182" spans="1:16" ht="13" customHeight="1" x14ac:dyDescent="0.35">
      <c r="A182" s="93">
        <v>51471</v>
      </c>
      <c r="B182" s="61" t="s">
        <v>26</v>
      </c>
      <c r="C182" s="12" t="str">
        <f>'Planning Engine'!C182</f>
        <v>Label/Pack</v>
      </c>
      <c r="D182" s="12" t="str">
        <f>'Planning Engine'!D182</f>
        <v>units</v>
      </c>
      <c r="E182" s="95">
        <f>'Planning Engine'!E182</f>
        <v>-2423804.2077868008</v>
      </c>
      <c r="F182" s="95">
        <f>'Planning Engine'!F182</f>
        <v>1119.0386518528212</v>
      </c>
      <c r="G182" s="95">
        <f>'Planning Engine'!G182</f>
        <v>0</v>
      </c>
      <c r="H182" s="95">
        <f t="shared" si="4"/>
        <v>-1119.0386518528212</v>
      </c>
      <c r="I182" s="95">
        <f>'Planning Engine'!H182</f>
        <v>-2424923.2464386537</v>
      </c>
      <c r="J182" s="96">
        <f ca="1">'Planning Engine'!J182</f>
        <v>-2166.9700527534465</v>
      </c>
      <c r="K182" s="95">
        <f ca="1">'Planning Engine'!K182</f>
        <v>2430000</v>
      </c>
      <c r="L182" s="12" t="str">
        <f>'Planning Engine'!L182</f>
        <v>High</v>
      </c>
      <c r="M182" s="93">
        <f>'Planning Engine'!S182</f>
        <v>51380</v>
      </c>
      <c r="N182" s="95">
        <f>'Planning Engine'!T182</f>
        <v>0</v>
      </c>
      <c r="O182" s="94" t="s">
        <v>1214</v>
      </c>
      <c r="P182" s="12" t="str">
        <f t="shared" si="5"/>
        <v>⚠ Expedite production / source alternate</v>
      </c>
    </row>
    <row r="183" spans="1:16" ht="13" customHeight="1" x14ac:dyDescent="0.35">
      <c r="A183" s="97">
        <v>46054</v>
      </c>
      <c r="B183" s="53" t="s">
        <v>35</v>
      </c>
      <c r="C183" s="12" t="str">
        <f>'Planning Engine'!C183</f>
        <v>Label/Pack</v>
      </c>
      <c r="D183" s="12" t="str">
        <f>'Planning Engine'!D183</f>
        <v>units</v>
      </c>
      <c r="E183" s="95">
        <f>'Planning Engine'!E183</f>
        <v>39125</v>
      </c>
      <c r="F183" s="95">
        <f>'Planning Engine'!F183</f>
        <v>735.28479123500347</v>
      </c>
      <c r="G183" s="95">
        <f>'Planning Engine'!G183</f>
        <v>0</v>
      </c>
      <c r="H183" s="99">
        <f t="shared" si="4"/>
        <v>-735.28479123500347</v>
      </c>
      <c r="I183" s="95">
        <f>'Planning Engine'!H183</f>
        <v>38389.715208764996</v>
      </c>
      <c r="J183" s="96">
        <f ca="1">'Planning Engine'!J183</f>
        <v>36.793868188523234</v>
      </c>
      <c r="K183" s="95">
        <f ca="1">'Planning Engine'!K183</f>
        <v>0</v>
      </c>
      <c r="L183" s="12" t="str">
        <f ca="1">'Planning Engine'!L183</f>
        <v>Overstock</v>
      </c>
      <c r="M183" s="93">
        <f>'Planning Engine'!S183</f>
        <v>45962</v>
      </c>
      <c r="N183" s="95">
        <f>'Planning Engine'!T183</f>
        <v>0</v>
      </c>
      <c r="O183" s="98" t="s">
        <v>1215</v>
      </c>
      <c r="P183" s="4" t="str">
        <f t="shared" ca="1" si="5"/>
        <v>Defer / consume inventory</v>
      </c>
    </row>
    <row r="184" spans="1:16" ht="13" customHeight="1" x14ac:dyDescent="0.35">
      <c r="A184" s="93">
        <v>46082</v>
      </c>
      <c r="B184" s="61" t="s">
        <v>35</v>
      </c>
      <c r="C184" s="12" t="str">
        <f>'Planning Engine'!C184</f>
        <v>Label/Pack</v>
      </c>
      <c r="D184" s="12" t="str">
        <f>'Planning Engine'!D184</f>
        <v>units</v>
      </c>
      <c r="E184" s="95">
        <f>'Planning Engine'!E184</f>
        <v>38389.715208764996</v>
      </c>
      <c r="F184" s="95">
        <f>'Planning Engine'!F184</f>
        <v>842.59859910549494</v>
      </c>
      <c r="G184" s="95">
        <f>'Planning Engine'!G184</f>
        <v>0</v>
      </c>
      <c r="H184" s="95">
        <f t="shared" si="4"/>
        <v>-842.59859910549494</v>
      </c>
      <c r="I184" s="95">
        <f>'Planning Engine'!H184</f>
        <v>40082</v>
      </c>
      <c r="J184" s="96">
        <f ca="1">'Planning Engine'!J184</f>
        <v>36.337452281158122</v>
      </c>
      <c r="K184" s="95">
        <f ca="1">'Planning Engine'!K184</f>
        <v>0</v>
      </c>
      <c r="L184" s="12" t="str">
        <f ca="1">'Planning Engine'!L184</f>
        <v>Overstock</v>
      </c>
      <c r="M184" s="93">
        <f>'Planning Engine'!S184</f>
        <v>45992</v>
      </c>
      <c r="N184" s="95">
        <f>'Planning Engine'!T184</f>
        <v>0</v>
      </c>
      <c r="O184" s="94" t="s">
        <v>1216</v>
      </c>
      <c r="P184" s="12" t="str">
        <f t="shared" ca="1" si="5"/>
        <v>Defer / consume inventory</v>
      </c>
    </row>
    <row r="185" spans="1:16" ht="13" customHeight="1" x14ac:dyDescent="0.35">
      <c r="A185" s="97">
        <v>46113</v>
      </c>
      <c r="B185" s="53" t="s">
        <v>35</v>
      </c>
      <c r="C185" s="12" t="str">
        <f>'Planning Engine'!C185</f>
        <v>Label/Pack</v>
      </c>
      <c r="D185" s="12" t="str">
        <f>'Planning Engine'!D185</f>
        <v>units</v>
      </c>
      <c r="E185" s="95">
        <f>'Planning Engine'!E185</f>
        <v>40082</v>
      </c>
      <c r="F185" s="95">
        <f>'Planning Engine'!F185</f>
        <v>1120.6477072832886</v>
      </c>
      <c r="G185" s="95">
        <f>'Planning Engine'!G185</f>
        <v>3</v>
      </c>
      <c r="H185" s="99">
        <f t="shared" si="4"/>
        <v>-1117.6477072832886</v>
      </c>
      <c r="I185" s="95">
        <f>'Planning Engine'!H185</f>
        <v>39125</v>
      </c>
      <c r="J185" s="96">
        <f ca="1">'Planning Engine'!J185</f>
        <v>34.541111077219668</v>
      </c>
      <c r="K185" s="95">
        <f ca="1">'Planning Engine'!K185</f>
        <v>0</v>
      </c>
      <c r="L185" s="12" t="str">
        <f ca="1">'Planning Engine'!L185</f>
        <v>Overstock</v>
      </c>
      <c r="M185" s="93">
        <f>'Planning Engine'!S185</f>
        <v>46023</v>
      </c>
      <c r="N185" s="95">
        <f>'Planning Engine'!T185</f>
        <v>3</v>
      </c>
      <c r="O185" s="98" t="s">
        <v>1217</v>
      </c>
      <c r="P185" s="4" t="str">
        <f t="shared" ca="1" si="5"/>
        <v>Defer / consume inventory</v>
      </c>
    </row>
    <row r="186" spans="1:16" ht="13" customHeight="1" x14ac:dyDescent="0.35">
      <c r="A186" s="93">
        <v>46143</v>
      </c>
      <c r="B186" s="61" t="s">
        <v>35</v>
      </c>
      <c r="C186" s="12" t="str">
        <f>'Planning Engine'!C186</f>
        <v>Label/Pack</v>
      </c>
      <c r="D186" s="12" t="str">
        <f>'Planning Engine'!D186</f>
        <v>units</v>
      </c>
      <c r="E186" s="95">
        <f>'Planning Engine'!E186</f>
        <v>39125</v>
      </c>
      <c r="F186" s="95">
        <f>'Planning Engine'!F186</f>
        <v>1083.0283168822245</v>
      </c>
      <c r="G186" s="95">
        <f>'Planning Engine'!G186</f>
        <v>2</v>
      </c>
      <c r="H186" s="95">
        <f t="shared" si="4"/>
        <v>-1081.0283168822245</v>
      </c>
      <c r="I186" s="95">
        <f>'Planning Engine'!H186</f>
        <v>38043.971683117772</v>
      </c>
      <c r="J186" s="96">
        <f ca="1">'Planning Engine'!J186</f>
        <v>32.236887188139491</v>
      </c>
      <c r="K186" s="95">
        <f ca="1">'Planning Engine'!K186</f>
        <v>0</v>
      </c>
      <c r="L186" s="12" t="str">
        <f ca="1">'Planning Engine'!L186</f>
        <v>Overstock</v>
      </c>
      <c r="M186" s="93">
        <f>'Planning Engine'!S186</f>
        <v>46054</v>
      </c>
      <c r="N186" s="95">
        <f>'Planning Engine'!T186</f>
        <v>2</v>
      </c>
      <c r="O186" s="94" t="s">
        <v>1218</v>
      </c>
      <c r="P186" s="12" t="str">
        <f t="shared" ca="1" si="5"/>
        <v>Defer / consume inventory</v>
      </c>
    </row>
    <row r="187" spans="1:16" ht="13" customHeight="1" x14ac:dyDescent="0.35">
      <c r="A187" s="97">
        <v>46174</v>
      </c>
      <c r="B187" s="53" t="s">
        <v>35</v>
      </c>
      <c r="C187" s="12" t="str">
        <f>'Planning Engine'!C187</f>
        <v>Label/Pack</v>
      </c>
      <c r="D187" s="12" t="str">
        <f>'Planning Engine'!D187</f>
        <v>units</v>
      </c>
      <c r="E187" s="95">
        <f>'Planning Engine'!E187</f>
        <v>38043.971683117772</v>
      </c>
      <c r="F187" s="95">
        <f>'Planning Engine'!F187</f>
        <v>943.64148536614266</v>
      </c>
      <c r="G187" s="95">
        <f>'Planning Engine'!G187</f>
        <v>0</v>
      </c>
      <c r="H187" s="99">
        <f t="shared" si="4"/>
        <v>-943.64148536614266</v>
      </c>
      <c r="I187" s="95">
        <f>'Planning Engine'!H187</f>
        <v>37100.330197751631</v>
      </c>
      <c r="J187" s="96">
        <f ca="1">'Planning Engine'!J187</f>
        <v>31.146701995877933</v>
      </c>
      <c r="K187" s="95">
        <f ca="1">'Planning Engine'!K187</f>
        <v>0</v>
      </c>
      <c r="L187" s="12" t="str">
        <f ca="1">'Planning Engine'!L187</f>
        <v>Overstock</v>
      </c>
      <c r="M187" s="93">
        <f>'Planning Engine'!S187</f>
        <v>46082</v>
      </c>
      <c r="N187" s="95">
        <f>'Planning Engine'!T187</f>
        <v>0</v>
      </c>
      <c r="O187" s="98" t="s">
        <v>1219</v>
      </c>
      <c r="P187" s="4" t="str">
        <f t="shared" ca="1" si="5"/>
        <v>Defer / consume inventory</v>
      </c>
    </row>
    <row r="188" spans="1:16" ht="13" customHeight="1" x14ac:dyDescent="0.35">
      <c r="A188" s="93">
        <v>46204</v>
      </c>
      <c r="B188" s="61" t="s">
        <v>35</v>
      </c>
      <c r="C188" s="12" t="str">
        <f>'Planning Engine'!C188</f>
        <v>Label/Pack</v>
      </c>
      <c r="D188" s="12" t="str">
        <f>'Planning Engine'!D188</f>
        <v>units</v>
      </c>
      <c r="E188" s="95">
        <f>'Planning Engine'!E188</f>
        <v>37100.330197751631</v>
      </c>
      <c r="F188" s="95">
        <f>'Planning Engine'!F188</f>
        <v>1108.4869033982282</v>
      </c>
      <c r="G188" s="95">
        <f>'Planning Engine'!G188</f>
        <v>0</v>
      </c>
      <c r="H188" s="95">
        <f t="shared" si="4"/>
        <v>-1108.4869033982282</v>
      </c>
      <c r="I188" s="95">
        <f>'Planning Engine'!H188</f>
        <v>35991.843294353406</v>
      </c>
      <c r="J188" s="96">
        <f ca="1">'Planning Engine'!J188</f>
        <v>29.15398005447441</v>
      </c>
      <c r="K188" s="95">
        <f ca="1">'Planning Engine'!K188</f>
        <v>0</v>
      </c>
      <c r="L188" s="12" t="str">
        <f ca="1">'Planning Engine'!L188</f>
        <v>Overstock</v>
      </c>
      <c r="M188" s="93">
        <f>'Planning Engine'!S188</f>
        <v>46113</v>
      </c>
      <c r="N188" s="95">
        <f>'Planning Engine'!T188</f>
        <v>0</v>
      </c>
      <c r="O188" s="94" t="s">
        <v>1220</v>
      </c>
      <c r="P188" s="12" t="str">
        <f t="shared" ca="1" si="5"/>
        <v>Defer / consume inventory</v>
      </c>
    </row>
    <row r="189" spans="1:16" ht="13" customHeight="1" x14ac:dyDescent="0.35">
      <c r="A189" s="97">
        <v>46235</v>
      </c>
      <c r="B189" s="53" t="s">
        <v>35</v>
      </c>
      <c r="C189" s="12" t="str">
        <f>'Planning Engine'!C189</f>
        <v>Label/Pack</v>
      </c>
      <c r="D189" s="12" t="str">
        <f>'Planning Engine'!D189</f>
        <v>units</v>
      </c>
      <c r="E189" s="95">
        <f>'Planning Engine'!E189</f>
        <v>35991.843294353406</v>
      </c>
      <c r="F189" s="95">
        <f>'Planning Engine'!F189</f>
        <v>1213.0589248993151</v>
      </c>
      <c r="G189" s="95">
        <f>'Planning Engine'!G189</f>
        <v>0</v>
      </c>
      <c r="H189" s="99">
        <f t="shared" si="4"/>
        <v>-1213.0589248993151</v>
      </c>
      <c r="I189" s="95">
        <f>'Planning Engine'!H189</f>
        <v>34778.784369454093</v>
      </c>
      <c r="J189" s="96">
        <f ca="1">'Planning Engine'!J189</f>
        <v>26.270135322188079</v>
      </c>
      <c r="K189" s="95">
        <f ca="1">'Planning Engine'!K189</f>
        <v>0</v>
      </c>
      <c r="L189" s="12" t="str">
        <f ca="1">'Planning Engine'!L189</f>
        <v>Overstock</v>
      </c>
      <c r="M189" s="93">
        <f>'Planning Engine'!S189</f>
        <v>46143</v>
      </c>
      <c r="N189" s="95">
        <f>'Planning Engine'!T189</f>
        <v>0</v>
      </c>
      <c r="O189" s="98" t="s">
        <v>1221</v>
      </c>
      <c r="P189" s="4" t="str">
        <f t="shared" ca="1" si="5"/>
        <v>Defer / consume inventory</v>
      </c>
    </row>
    <row r="190" spans="1:16" ht="13" customHeight="1" x14ac:dyDescent="0.35">
      <c r="A190" s="93">
        <v>46266</v>
      </c>
      <c r="B190" s="61" t="s">
        <v>35</v>
      </c>
      <c r="C190" s="12" t="str">
        <f>'Planning Engine'!C190</f>
        <v>Label/Pack</v>
      </c>
      <c r="D190" s="12" t="str">
        <f>'Planning Engine'!D190</f>
        <v>units</v>
      </c>
      <c r="E190" s="95">
        <f>'Planning Engine'!E190</f>
        <v>34778.784369454093</v>
      </c>
      <c r="F190" s="95">
        <f>'Planning Engine'!F190</f>
        <v>1137.3123029842027</v>
      </c>
      <c r="G190" s="95">
        <f>'Planning Engine'!G190</f>
        <v>0</v>
      </c>
      <c r="H190" s="95">
        <f t="shared" si="4"/>
        <v>-1137.3123029842027</v>
      </c>
      <c r="I190" s="95">
        <f>'Planning Engine'!H190</f>
        <v>33641.472066469891</v>
      </c>
      <c r="J190" s="96">
        <f ca="1">'Planning Engine'!J190</f>
        <v>24.318179960350843</v>
      </c>
      <c r="K190" s="95">
        <f ca="1">'Planning Engine'!K190</f>
        <v>0</v>
      </c>
      <c r="L190" s="12" t="str">
        <f ca="1">'Planning Engine'!L190</f>
        <v>Overstock</v>
      </c>
      <c r="M190" s="93">
        <f>'Planning Engine'!S190</f>
        <v>46174</v>
      </c>
      <c r="N190" s="95">
        <f>'Planning Engine'!T190</f>
        <v>0</v>
      </c>
      <c r="O190" s="94" t="s">
        <v>1222</v>
      </c>
      <c r="P190" s="12" t="str">
        <f t="shared" ca="1" si="5"/>
        <v>Defer / consume inventory</v>
      </c>
    </row>
    <row r="191" spans="1:16" ht="13" customHeight="1" x14ac:dyDescent="0.35">
      <c r="A191" s="97">
        <v>46296</v>
      </c>
      <c r="B191" s="53" t="s">
        <v>35</v>
      </c>
      <c r="C191" s="12" t="str">
        <f>'Planning Engine'!C191</f>
        <v>Label/Pack</v>
      </c>
      <c r="D191" s="12" t="str">
        <f>'Planning Engine'!D191</f>
        <v>units</v>
      </c>
      <c r="E191" s="95">
        <f>'Planning Engine'!E191</f>
        <v>33641.472066469891</v>
      </c>
      <c r="F191" s="95">
        <f>'Planning Engine'!F191</f>
        <v>1206.2946850844983</v>
      </c>
      <c r="G191" s="95">
        <f>'Planning Engine'!G191</f>
        <v>0</v>
      </c>
      <c r="H191" s="99">
        <f t="shared" si="4"/>
        <v>-1206.2946850844983</v>
      </c>
      <c r="I191" s="95">
        <f>'Planning Engine'!H191</f>
        <v>32435.177381385394</v>
      </c>
      <c r="J191" s="96">
        <f ca="1">'Planning Engine'!J191</f>
        <v>22.584353760193082</v>
      </c>
      <c r="K191" s="95">
        <f ca="1">'Planning Engine'!K191</f>
        <v>0</v>
      </c>
      <c r="L191" s="12" t="str">
        <f ca="1">'Planning Engine'!L191</f>
        <v>Overstock</v>
      </c>
      <c r="M191" s="93">
        <f>'Planning Engine'!S191</f>
        <v>46204</v>
      </c>
      <c r="N191" s="95">
        <f>'Planning Engine'!T191</f>
        <v>0</v>
      </c>
      <c r="O191" s="98" t="s">
        <v>1223</v>
      </c>
      <c r="P191" s="4" t="str">
        <f t="shared" ca="1" si="5"/>
        <v>Defer / consume inventory</v>
      </c>
    </row>
    <row r="192" spans="1:16" ht="13" customHeight="1" x14ac:dyDescent="0.35">
      <c r="A192" s="93">
        <v>46327</v>
      </c>
      <c r="B192" s="61" t="s">
        <v>35</v>
      </c>
      <c r="C192" s="12" t="str">
        <f>'Planning Engine'!C192</f>
        <v>Label/Pack</v>
      </c>
      <c r="D192" s="12" t="str">
        <f>'Planning Engine'!D192</f>
        <v>units</v>
      </c>
      <c r="E192" s="95">
        <f>'Planning Engine'!E192</f>
        <v>32435.177381385394</v>
      </c>
      <c r="F192" s="95">
        <f>'Planning Engine'!F192</f>
        <v>1272.3744523918795</v>
      </c>
      <c r="G192" s="95">
        <f>'Planning Engine'!G192</f>
        <v>0</v>
      </c>
      <c r="H192" s="95">
        <f t="shared" si="4"/>
        <v>-1272.3744523918795</v>
      </c>
      <c r="I192" s="95">
        <f>'Planning Engine'!H192</f>
        <v>31162.802928993515</v>
      </c>
      <c r="J192" s="96">
        <f ca="1">'Planning Engine'!J192</f>
        <v>20.510374088435061</v>
      </c>
      <c r="K192" s="95">
        <f ca="1">'Planning Engine'!K192</f>
        <v>0</v>
      </c>
      <c r="L192" s="12" t="str">
        <f ca="1">'Planning Engine'!L192</f>
        <v>Overstock</v>
      </c>
      <c r="M192" s="93">
        <f>'Planning Engine'!S192</f>
        <v>46235</v>
      </c>
      <c r="N192" s="95">
        <f>'Planning Engine'!T192</f>
        <v>0</v>
      </c>
      <c r="O192" s="94" t="s">
        <v>1224</v>
      </c>
      <c r="P192" s="12" t="str">
        <f t="shared" ca="1" si="5"/>
        <v>Defer / consume inventory</v>
      </c>
    </row>
    <row r="193" spans="1:16" ht="13" customHeight="1" x14ac:dyDescent="0.35">
      <c r="A193" s="97">
        <v>46357</v>
      </c>
      <c r="B193" s="53" t="s">
        <v>35</v>
      </c>
      <c r="C193" s="12" t="str">
        <f>'Planning Engine'!C193</f>
        <v>Label/Pack</v>
      </c>
      <c r="D193" s="12" t="str">
        <f>'Planning Engine'!D193</f>
        <v>units</v>
      </c>
      <c r="E193" s="95">
        <f>'Planning Engine'!E193</f>
        <v>31162.802928993515</v>
      </c>
      <c r="F193" s="95">
        <f>'Planning Engine'!F193</f>
        <v>1109.5290857354362</v>
      </c>
      <c r="G193" s="95">
        <f>'Planning Engine'!G193</f>
        <v>0</v>
      </c>
      <c r="H193" s="99">
        <f t="shared" si="4"/>
        <v>-1109.5290857354362</v>
      </c>
      <c r="I193" s="95">
        <f>'Planning Engine'!H193</f>
        <v>30053.273843258077</v>
      </c>
      <c r="J193" s="96">
        <f ca="1">'Planning Engine'!J193</f>
        <v>18.722013416912112</v>
      </c>
      <c r="K193" s="95">
        <f ca="1">'Planning Engine'!K193</f>
        <v>0</v>
      </c>
      <c r="L193" s="12" t="str">
        <f ca="1">'Planning Engine'!L193</f>
        <v>Overstock</v>
      </c>
      <c r="M193" s="93">
        <f>'Planning Engine'!S193</f>
        <v>46266</v>
      </c>
      <c r="N193" s="95">
        <f>'Planning Engine'!T193</f>
        <v>0</v>
      </c>
      <c r="O193" s="98" t="s">
        <v>1225</v>
      </c>
      <c r="P193" s="4" t="str">
        <f t="shared" ca="1" si="5"/>
        <v>Defer / consume inventory</v>
      </c>
    </row>
    <row r="194" spans="1:16" ht="13" customHeight="1" x14ac:dyDescent="0.35">
      <c r="A194" s="93">
        <v>46388</v>
      </c>
      <c r="B194" s="61" t="s">
        <v>35</v>
      </c>
      <c r="C194" s="12" t="str">
        <f>'Planning Engine'!C194</f>
        <v>Label/Pack</v>
      </c>
      <c r="D194" s="12" t="str">
        <f>'Planning Engine'!D194</f>
        <v>units</v>
      </c>
      <c r="E194" s="95">
        <f>'Planning Engine'!E194</f>
        <v>30053.273843258077</v>
      </c>
      <c r="F194" s="95">
        <f>'Planning Engine'!F194</f>
        <v>1547.5147574252862</v>
      </c>
      <c r="G194" s="95">
        <f>'Planning Engine'!G194</f>
        <v>0</v>
      </c>
      <c r="H194" s="95">
        <f t="shared" si="4"/>
        <v>-1547.5147574252862</v>
      </c>
      <c r="I194" s="95">
        <f>'Planning Engine'!H194</f>
        <v>28505.759085832789</v>
      </c>
      <c r="J194" s="96">
        <f ca="1">'Planning Engine'!J194</f>
        <v>16.319016013306531</v>
      </c>
      <c r="K194" s="95">
        <f ca="1">'Planning Engine'!K194</f>
        <v>0</v>
      </c>
      <c r="L194" s="12" t="str">
        <f ca="1">'Planning Engine'!L194</f>
        <v>Low</v>
      </c>
      <c r="M194" s="93">
        <f>'Planning Engine'!S194</f>
        <v>46296</v>
      </c>
      <c r="N194" s="95">
        <f>'Planning Engine'!T194</f>
        <v>0</v>
      </c>
      <c r="O194" s="94" t="s">
        <v>1226</v>
      </c>
      <c r="P194" s="12" t="str">
        <f t="shared" ca="1" si="5"/>
        <v>Plan acceptable</v>
      </c>
    </row>
    <row r="195" spans="1:16" ht="13" customHeight="1" x14ac:dyDescent="0.35">
      <c r="A195" s="97">
        <v>46419</v>
      </c>
      <c r="B195" s="53" t="s">
        <v>35</v>
      </c>
      <c r="C195" s="12" t="str">
        <f>'Planning Engine'!C195</f>
        <v>Label/Pack</v>
      </c>
      <c r="D195" s="12" t="str">
        <f>'Planning Engine'!D195</f>
        <v>units</v>
      </c>
      <c r="E195" s="95">
        <f>'Planning Engine'!E195</f>
        <v>28505.759085832789</v>
      </c>
      <c r="F195" s="95">
        <f>'Planning Engine'!F195</f>
        <v>1182.1189429196409</v>
      </c>
      <c r="G195" s="95">
        <f>'Planning Engine'!G195</f>
        <v>0</v>
      </c>
      <c r="H195" s="99">
        <f t="shared" si="4"/>
        <v>-1182.1189429196409</v>
      </c>
      <c r="I195" s="95">
        <f>'Planning Engine'!H195</f>
        <v>27323.640142913147</v>
      </c>
      <c r="J195" s="96">
        <f ca="1">'Planning Engine'!J195</f>
        <v>14.896631612022054</v>
      </c>
      <c r="K195" s="95">
        <f ca="1">'Planning Engine'!K195</f>
        <v>0</v>
      </c>
      <c r="L195" s="12" t="str">
        <f ca="1">'Planning Engine'!L195</f>
        <v>Low</v>
      </c>
      <c r="M195" s="93">
        <f>'Planning Engine'!S195</f>
        <v>46327</v>
      </c>
      <c r="N195" s="95">
        <f>'Planning Engine'!T195</f>
        <v>0</v>
      </c>
      <c r="O195" s="98" t="s">
        <v>1227</v>
      </c>
      <c r="P195" s="4" t="str">
        <f t="shared" ca="1" si="5"/>
        <v>Plan acceptable</v>
      </c>
    </row>
    <row r="196" spans="1:16" ht="13" customHeight="1" x14ac:dyDescent="0.35">
      <c r="A196" s="93">
        <v>46447</v>
      </c>
      <c r="B196" s="61" t="s">
        <v>35</v>
      </c>
      <c r="C196" s="12" t="str">
        <f>'Planning Engine'!C196</f>
        <v>Label/Pack</v>
      </c>
      <c r="D196" s="12" t="str">
        <f>'Planning Engine'!D196</f>
        <v>units</v>
      </c>
      <c r="E196" s="95">
        <f>'Planning Engine'!E196</f>
        <v>27323.640142913147</v>
      </c>
      <c r="F196" s="95">
        <f>'Planning Engine'!F196</f>
        <v>1334.1973452325033</v>
      </c>
      <c r="G196" s="95">
        <f>'Planning Engine'!G196</f>
        <v>0</v>
      </c>
      <c r="H196" s="95">
        <f t="shared" ref="H196:H259" si="6">G196-F196</f>
        <v>-1334.1973452325033</v>
      </c>
      <c r="I196" s="95">
        <f>'Planning Engine'!H196</f>
        <v>25989.442797680644</v>
      </c>
      <c r="J196" s="96">
        <f ca="1">'Planning Engine'!J196</f>
        <v>13.210539220774912</v>
      </c>
      <c r="K196" s="95">
        <f ca="1">'Planning Engine'!K196</f>
        <v>0</v>
      </c>
      <c r="L196" s="12" t="str">
        <f ca="1">'Planning Engine'!L196</f>
        <v>Low</v>
      </c>
      <c r="M196" s="93">
        <f>'Planning Engine'!S196</f>
        <v>46357</v>
      </c>
      <c r="N196" s="95">
        <f>'Planning Engine'!T196</f>
        <v>0</v>
      </c>
      <c r="O196" s="94" t="s">
        <v>1228</v>
      </c>
      <c r="P196" s="12" t="str">
        <f t="shared" ref="P196:P259" ca="1" si="7">IFERROR(IF(L196="High","⚠ Expedite production / source alternate",IF(L196="Medium","Plan additional batches",IF(L196="Overstock","Defer / consume inventory","Plan acceptable"))),"--")</f>
        <v>Plan acceptable</v>
      </c>
    </row>
    <row r="197" spans="1:16" ht="13" customHeight="1" x14ac:dyDescent="0.35">
      <c r="A197" s="97">
        <v>46478</v>
      </c>
      <c r="B197" s="53" t="s">
        <v>35</v>
      </c>
      <c r="C197" s="12" t="str">
        <f>'Planning Engine'!C197</f>
        <v>Label/Pack</v>
      </c>
      <c r="D197" s="12" t="str">
        <f>'Planning Engine'!D197</f>
        <v>units</v>
      </c>
      <c r="E197" s="95">
        <f>'Planning Engine'!E197</f>
        <v>25989.442797680644</v>
      </c>
      <c r="F197" s="95">
        <f>'Planning Engine'!F197</f>
        <v>1912.6146140684307</v>
      </c>
      <c r="G197" s="95">
        <f>'Planning Engine'!G197</f>
        <v>0</v>
      </c>
      <c r="H197" s="99">
        <f t="shared" si="6"/>
        <v>-1912.6146140684307</v>
      </c>
      <c r="I197" s="95">
        <f>'Planning Engine'!H197</f>
        <v>24076.828183612211</v>
      </c>
      <c r="J197" s="96">
        <f ca="1">'Planning Engine'!J197</f>
        <v>11.399109190157784</v>
      </c>
      <c r="K197" s="95">
        <f ca="1">'Planning Engine'!K197</f>
        <v>0</v>
      </c>
      <c r="L197" s="12" t="str">
        <f ca="1">'Planning Engine'!L197</f>
        <v>Low</v>
      </c>
      <c r="M197" s="93">
        <f>'Planning Engine'!S197</f>
        <v>46388</v>
      </c>
      <c r="N197" s="95">
        <f>'Planning Engine'!T197</f>
        <v>0</v>
      </c>
      <c r="O197" s="98" t="s">
        <v>1229</v>
      </c>
      <c r="P197" s="4" t="str">
        <f t="shared" ca="1" si="7"/>
        <v>Plan acceptable</v>
      </c>
    </row>
    <row r="198" spans="1:16" ht="13" customHeight="1" x14ac:dyDescent="0.35">
      <c r="A198" s="93">
        <v>46508</v>
      </c>
      <c r="B198" s="61" t="s">
        <v>35</v>
      </c>
      <c r="C198" s="12" t="str">
        <f>'Planning Engine'!C198</f>
        <v>Label/Pack</v>
      </c>
      <c r="D198" s="12" t="str">
        <f>'Planning Engine'!D198</f>
        <v>units</v>
      </c>
      <c r="E198" s="95">
        <f>'Planning Engine'!E198</f>
        <v>24076.828183612211</v>
      </c>
      <c r="F198" s="95">
        <f>'Planning Engine'!F198</f>
        <v>1748.533492739351</v>
      </c>
      <c r="G198" s="95">
        <f>'Planning Engine'!G198</f>
        <v>0</v>
      </c>
      <c r="H198" s="95">
        <f t="shared" si="6"/>
        <v>-1748.533492739351</v>
      </c>
      <c r="I198" s="95">
        <f>'Planning Engine'!H198</f>
        <v>22328.294690872859</v>
      </c>
      <c r="J198" s="96">
        <f ca="1">'Planning Engine'!J198</f>
        <v>9.8275113489730277</v>
      </c>
      <c r="K198" s="95">
        <f ca="1">'Planning Engine'!K198</f>
        <v>0</v>
      </c>
      <c r="L198" s="12" t="str">
        <f ca="1">'Planning Engine'!L198</f>
        <v>Low</v>
      </c>
      <c r="M198" s="93">
        <f>'Planning Engine'!S198</f>
        <v>46419</v>
      </c>
      <c r="N198" s="95">
        <f>'Planning Engine'!T198</f>
        <v>0</v>
      </c>
      <c r="O198" s="94" t="s">
        <v>1230</v>
      </c>
      <c r="P198" s="12" t="str">
        <f t="shared" ca="1" si="7"/>
        <v>Plan acceptable</v>
      </c>
    </row>
    <row r="199" spans="1:16" ht="13" customHeight="1" x14ac:dyDescent="0.35">
      <c r="A199" s="97">
        <v>46539</v>
      </c>
      <c r="B199" s="53" t="s">
        <v>35</v>
      </c>
      <c r="C199" s="12" t="str">
        <f>'Planning Engine'!C199</f>
        <v>Label/Pack</v>
      </c>
      <c r="D199" s="12" t="str">
        <f>'Planning Engine'!D199</f>
        <v>units</v>
      </c>
      <c r="E199" s="95">
        <f>'Planning Engine'!E199</f>
        <v>22328.294690872859</v>
      </c>
      <c r="F199" s="95">
        <f>'Planning Engine'!F199</f>
        <v>1612.4347332159941</v>
      </c>
      <c r="G199" s="95">
        <f>'Planning Engine'!G199</f>
        <v>0</v>
      </c>
      <c r="H199" s="99">
        <f t="shared" si="6"/>
        <v>-1612.4347332159941</v>
      </c>
      <c r="I199" s="95">
        <f>'Planning Engine'!H199</f>
        <v>20715.859957656867</v>
      </c>
      <c r="J199" s="96">
        <f ca="1">'Planning Engine'!J199</f>
        <v>8.7173446799159304</v>
      </c>
      <c r="K199" s="95">
        <f ca="1">'Planning Engine'!K199</f>
        <v>0</v>
      </c>
      <c r="L199" s="12" t="str">
        <f ca="1">'Planning Engine'!L199</f>
        <v>Medium</v>
      </c>
      <c r="M199" s="93">
        <f>'Planning Engine'!S199</f>
        <v>46447</v>
      </c>
      <c r="N199" s="95">
        <f>'Planning Engine'!T199</f>
        <v>0</v>
      </c>
      <c r="O199" s="98" t="s">
        <v>1231</v>
      </c>
      <c r="P199" s="4" t="str">
        <f t="shared" ca="1" si="7"/>
        <v>Plan additional batches</v>
      </c>
    </row>
    <row r="200" spans="1:16" ht="13" customHeight="1" x14ac:dyDescent="0.35">
      <c r="A200" s="93">
        <v>46569</v>
      </c>
      <c r="B200" s="61" t="s">
        <v>35</v>
      </c>
      <c r="C200" s="12" t="str">
        <f>'Planning Engine'!C200</f>
        <v>Label/Pack</v>
      </c>
      <c r="D200" s="12" t="str">
        <f>'Planning Engine'!D200</f>
        <v>units</v>
      </c>
      <c r="E200" s="95">
        <f>'Planning Engine'!E200</f>
        <v>20715.859957656867</v>
      </c>
      <c r="F200" s="95">
        <f>'Planning Engine'!F200</f>
        <v>1954.9932032572733</v>
      </c>
      <c r="G200" s="95">
        <f>'Planning Engine'!G200</f>
        <v>0</v>
      </c>
      <c r="H200" s="95">
        <f t="shared" si="6"/>
        <v>-1954.9932032572733</v>
      </c>
      <c r="I200" s="95">
        <f>'Planning Engine'!H200</f>
        <v>18760.866754399594</v>
      </c>
      <c r="J200" s="96">
        <f ca="1">'Planning Engine'!J200</f>
        <v>7.2819967294243453</v>
      </c>
      <c r="K200" s="95">
        <f ca="1">'Planning Engine'!K200</f>
        <v>0</v>
      </c>
      <c r="L200" s="12" t="str">
        <f ca="1">'Planning Engine'!L200</f>
        <v>High</v>
      </c>
      <c r="M200" s="93">
        <f>'Planning Engine'!S200</f>
        <v>46478</v>
      </c>
      <c r="N200" s="95">
        <f>'Planning Engine'!T200</f>
        <v>0</v>
      </c>
      <c r="O200" s="94" t="s">
        <v>1232</v>
      </c>
      <c r="P200" s="12" t="str">
        <f t="shared" ca="1" si="7"/>
        <v>⚠ Expedite production / source alternate</v>
      </c>
    </row>
    <row r="201" spans="1:16" ht="13" customHeight="1" x14ac:dyDescent="0.35">
      <c r="A201" s="97">
        <v>46600</v>
      </c>
      <c r="B201" s="53" t="s">
        <v>35</v>
      </c>
      <c r="C201" s="12" t="str">
        <f>'Planning Engine'!C201</f>
        <v>Label/Pack</v>
      </c>
      <c r="D201" s="12" t="str">
        <f>'Planning Engine'!D201</f>
        <v>units</v>
      </c>
      <c r="E201" s="95">
        <f>'Planning Engine'!E201</f>
        <v>18760.866754399594</v>
      </c>
      <c r="F201" s="95">
        <f>'Planning Engine'!F201</f>
        <v>2045.199321259915</v>
      </c>
      <c r="G201" s="95">
        <f>'Planning Engine'!G201</f>
        <v>0</v>
      </c>
      <c r="H201" s="99">
        <f t="shared" si="6"/>
        <v>-2045.199321259915</v>
      </c>
      <c r="I201" s="95">
        <f>'Planning Engine'!H201</f>
        <v>16715.667433139679</v>
      </c>
      <c r="J201" s="96">
        <f ca="1">'Planning Engine'!J201</f>
        <v>5.8466681263355689</v>
      </c>
      <c r="K201" s="95">
        <f ca="1">'Planning Engine'!K201</f>
        <v>10000</v>
      </c>
      <c r="L201" s="12" t="str">
        <f ca="1">'Planning Engine'!L201</f>
        <v>High</v>
      </c>
      <c r="M201" s="93">
        <f>'Planning Engine'!S201</f>
        <v>46508</v>
      </c>
      <c r="N201" s="95">
        <f>'Planning Engine'!T201</f>
        <v>0</v>
      </c>
      <c r="O201" s="98" t="s">
        <v>1233</v>
      </c>
      <c r="P201" s="4" t="str">
        <f t="shared" ca="1" si="7"/>
        <v>⚠ Expedite production / source alternate</v>
      </c>
    </row>
    <row r="202" spans="1:16" ht="13" customHeight="1" x14ac:dyDescent="0.35">
      <c r="A202" s="93">
        <v>46631</v>
      </c>
      <c r="B202" s="61" t="s">
        <v>35</v>
      </c>
      <c r="C202" s="12" t="str">
        <f>'Planning Engine'!C202</f>
        <v>Label/Pack</v>
      </c>
      <c r="D202" s="12" t="str">
        <f>'Planning Engine'!D202</f>
        <v>units</v>
      </c>
      <c r="E202" s="95">
        <f>'Planning Engine'!E202</f>
        <v>16715.667433139679</v>
      </c>
      <c r="F202" s="95">
        <f>'Planning Engine'!F202</f>
        <v>2383.429194191488</v>
      </c>
      <c r="G202" s="95">
        <f>'Planning Engine'!G202</f>
        <v>0</v>
      </c>
      <c r="H202" s="95">
        <f t="shared" si="6"/>
        <v>-2383.429194191488</v>
      </c>
      <c r="I202" s="95">
        <f>'Planning Engine'!H202</f>
        <v>14332.23823894819</v>
      </c>
      <c r="J202" s="96">
        <f ca="1">'Planning Engine'!J202</f>
        <v>4.7363479747564199</v>
      </c>
      <c r="K202" s="95">
        <f ca="1">'Planning Engine'!K202</f>
        <v>10000</v>
      </c>
      <c r="L202" s="12" t="str">
        <f ca="1">'Planning Engine'!L202</f>
        <v>High</v>
      </c>
      <c r="M202" s="93">
        <f>'Planning Engine'!S202</f>
        <v>46539</v>
      </c>
      <c r="N202" s="95">
        <f>'Planning Engine'!T202</f>
        <v>0</v>
      </c>
      <c r="O202" s="94" t="s">
        <v>1234</v>
      </c>
      <c r="P202" s="12" t="str">
        <f t="shared" ca="1" si="7"/>
        <v>⚠ Expedite production / source alternate</v>
      </c>
    </row>
    <row r="203" spans="1:16" ht="13" customHeight="1" x14ac:dyDescent="0.35">
      <c r="A203" s="97">
        <v>46661</v>
      </c>
      <c r="B203" s="53" t="s">
        <v>35</v>
      </c>
      <c r="C203" s="12" t="str">
        <f>'Planning Engine'!C203</f>
        <v>Label/Pack</v>
      </c>
      <c r="D203" s="12" t="str">
        <f>'Planning Engine'!D203</f>
        <v>units</v>
      </c>
      <c r="E203" s="95">
        <f>'Planning Engine'!E203</f>
        <v>14332.23823894819</v>
      </c>
      <c r="F203" s="95">
        <f>'Planning Engine'!F203</f>
        <v>2334.4232099288192</v>
      </c>
      <c r="G203" s="95">
        <f>'Planning Engine'!G203</f>
        <v>0</v>
      </c>
      <c r="H203" s="99">
        <f t="shared" si="6"/>
        <v>-2334.4232099288192</v>
      </c>
      <c r="I203" s="95">
        <f>'Planning Engine'!H203</f>
        <v>11997.81502901937</v>
      </c>
      <c r="J203" s="96">
        <f ca="1">'Planning Engine'!J203</f>
        <v>3.6467677398029101</v>
      </c>
      <c r="K203" s="95">
        <f ca="1">'Planning Engine'!K203</f>
        <v>20000</v>
      </c>
      <c r="L203" s="12" t="str">
        <f ca="1">'Planning Engine'!L203</f>
        <v>High</v>
      </c>
      <c r="M203" s="93">
        <f>'Planning Engine'!S203</f>
        <v>46569</v>
      </c>
      <c r="N203" s="95">
        <f>'Planning Engine'!T203</f>
        <v>0</v>
      </c>
      <c r="O203" s="98" t="s">
        <v>1235</v>
      </c>
      <c r="P203" s="4" t="str">
        <f t="shared" ca="1" si="7"/>
        <v>⚠ Expedite production / source alternate</v>
      </c>
    </row>
    <row r="204" spans="1:16" ht="13" customHeight="1" x14ac:dyDescent="0.35">
      <c r="A204" s="93">
        <v>46692</v>
      </c>
      <c r="B204" s="61" t="s">
        <v>35</v>
      </c>
      <c r="C204" s="12" t="str">
        <f>'Planning Engine'!C204</f>
        <v>Label/Pack</v>
      </c>
      <c r="D204" s="12" t="str">
        <f>'Planning Engine'!D204</f>
        <v>units</v>
      </c>
      <c r="E204" s="95">
        <f>'Planning Engine'!E204</f>
        <v>11997.81502901937</v>
      </c>
      <c r="F204" s="95">
        <f>'Planning Engine'!F204</f>
        <v>2380.1126430818408</v>
      </c>
      <c r="G204" s="95">
        <f>'Planning Engine'!G204</f>
        <v>0</v>
      </c>
      <c r="H204" s="95">
        <f t="shared" si="6"/>
        <v>-2380.1126430818408</v>
      </c>
      <c r="I204" s="95">
        <f>'Planning Engine'!H204</f>
        <v>9617.7023859375295</v>
      </c>
      <c r="J204" s="96">
        <f ca="1">'Planning Engine'!J204</f>
        <v>2.7295411397485587</v>
      </c>
      <c r="K204" s="95">
        <f ca="1">'Planning Engine'!K204</f>
        <v>20000</v>
      </c>
      <c r="L204" s="12" t="str">
        <f ca="1">'Planning Engine'!L204</f>
        <v>High</v>
      </c>
      <c r="M204" s="93">
        <f>'Planning Engine'!S204</f>
        <v>46600</v>
      </c>
      <c r="N204" s="95">
        <f>'Planning Engine'!T204</f>
        <v>0</v>
      </c>
      <c r="O204" s="94" t="s">
        <v>1236</v>
      </c>
      <c r="P204" s="12" t="str">
        <f t="shared" ca="1" si="7"/>
        <v>⚠ Expedite production / source alternate</v>
      </c>
    </row>
    <row r="205" spans="1:16" ht="13" customHeight="1" x14ac:dyDescent="0.35">
      <c r="A205" s="97">
        <v>46722</v>
      </c>
      <c r="B205" s="53" t="s">
        <v>35</v>
      </c>
      <c r="C205" s="12" t="str">
        <f>'Planning Engine'!C205</f>
        <v>Label/Pack</v>
      </c>
      <c r="D205" s="12" t="str">
        <f>'Planning Engine'!D205</f>
        <v>units</v>
      </c>
      <c r="E205" s="95">
        <f>'Planning Engine'!E205</f>
        <v>9617.7023859375295</v>
      </c>
      <c r="F205" s="95">
        <f>'Planning Engine'!F205</f>
        <v>2637.7672644887771</v>
      </c>
      <c r="G205" s="95">
        <f>'Planning Engine'!G205</f>
        <v>0</v>
      </c>
      <c r="H205" s="99">
        <f t="shared" si="6"/>
        <v>-2637.7672644887771</v>
      </c>
      <c r="I205" s="95">
        <f>'Planning Engine'!H205</f>
        <v>6979.9351214487524</v>
      </c>
      <c r="J205" s="96">
        <f ca="1">'Planning Engine'!J205</f>
        <v>1.8646679363217293</v>
      </c>
      <c r="K205" s="95">
        <f ca="1">'Planning Engine'!K205</f>
        <v>30000</v>
      </c>
      <c r="L205" s="12" t="str">
        <f ca="1">'Planning Engine'!L205</f>
        <v>High</v>
      </c>
      <c r="M205" s="93">
        <f>'Planning Engine'!S205</f>
        <v>46631</v>
      </c>
      <c r="N205" s="95">
        <f>'Planning Engine'!T205</f>
        <v>0</v>
      </c>
      <c r="O205" s="98" t="s">
        <v>1237</v>
      </c>
      <c r="P205" s="4" t="str">
        <f t="shared" ca="1" si="7"/>
        <v>⚠ Expedite production / source alternate</v>
      </c>
    </row>
    <row r="206" spans="1:16" ht="13" customHeight="1" x14ac:dyDescent="0.35">
      <c r="A206" s="93">
        <v>46753</v>
      </c>
      <c r="B206" s="61" t="s">
        <v>35</v>
      </c>
      <c r="C206" s="12" t="str">
        <f>'Planning Engine'!C206</f>
        <v>Label/Pack</v>
      </c>
      <c r="D206" s="12" t="str">
        <f>'Planning Engine'!D206</f>
        <v>units</v>
      </c>
      <c r="E206" s="95">
        <f>'Planning Engine'!E206</f>
        <v>6979.9351214487524</v>
      </c>
      <c r="F206" s="95">
        <f>'Planning Engine'!F206</f>
        <v>3351.2799372862391</v>
      </c>
      <c r="G206" s="95">
        <f>'Planning Engine'!G206</f>
        <v>0</v>
      </c>
      <c r="H206" s="95">
        <f t="shared" si="6"/>
        <v>-3351.2799372862391</v>
      </c>
      <c r="I206" s="95">
        <f>'Planning Engine'!H206</f>
        <v>3628.6551841625133</v>
      </c>
      <c r="J206" s="96">
        <f ca="1">'Planning Engine'!J206</f>
        <v>0.8854403038707358</v>
      </c>
      <c r="K206" s="95">
        <f ca="1">'Planning Engine'!K206</f>
        <v>30000</v>
      </c>
      <c r="L206" s="12" t="str">
        <f ca="1">'Planning Engine'!L206</f>
        <v>High</v>
      </c>
      <c r="M206" s="93">
        <f>'Planning Engine'!S206</f>
        <v>46661</v>
      </c>
      <c r="N206" s="95">
        <f>'Planning Engine'!T206</f>
        <v>0</v>
      </c>
      <c r="O206" s="94" t="s">
        <v>1238</v>
      </c>
      <c r="P206" s="12" t="str">
        <f t="shared" ca="1" si="7"/>
        <v>⚠ Expedite production / source alternate</v>
      </c>
    </row>
    <row r="207" spans="1:16" ht="13" customHeight="1" x14ac:dyDescent="0.35">
      <c r="A207" s="97">
        <v>46784</v>
      </c>
      <c r="B207" s="53" t="s">
        <v>35</v>
      </c>
      <c r="C207" s="12" t="str">
        <f>'Planning Engine'!C207</f>
        <v>Label/Pack</v>
      </c>
      <c r="D207" s="12" t="str">
        <f>'Planning Engine'!D207</f>
        <v>units</v>
      </c>
      <c r="E207" s="95">
        <f>'Planning Engine'!E207</f>
        <v>3628.6551841625133</v>
      </c>
      <c r="F207" s="95">
        <f>'Planning Engine'!F207</f>
        <v>2687.9213234196204</v>
      </c>
      <c r="G207" s="95">
        <f>'Planning Engine'!G207</f>
        <v>0</v>
      </c>
      <c r="H207" s="99">
        <f t="shared" si="6"/>
        <v>-2687.9213234196204</v>
      </c>
      <c r="I207" s="95">
        <f>'Planning Engine'!H207</f>
        <v>940.73386074289283</v>
      </c>
      <c r="J207" s="96">
        <f ca="1">'Planning Engine'!J207</f>
        <v>0.22297303344354649</v>
      </c>
      <c r="K207" s="95">
        <f ca="1">'Planning Engine'!K207</f>
        <v>40000</v>
      </c>
      <c r="L207" s="12" t="str">
        <f ca="1">'Planning Engine'!L207</f>
        <v>High</v>
      </c>
      <c r="M207" s="93">
        <f>'Planning Engine'!S207</f>
        <v>46692</v>
      </c>
      <c r="N207" s="95">
        <f>'Planning Engine'!T207</f>
        <v>0</v>
      </c>
      <c r="O207" s="98" t="s">
        <v>1239</v>
      </c>
      <c r="P207" s="4" t="str">
        <f t="shared" ca="1" si="7"/>
        <v>⚠ Expedite production / source alternate</v>
      </c>
    </row>
    <row r="208" spans="1:16" ht="13" customHeight="1" x14ac:dyDescent="0.35">
      <c r="A208" s="93">
        <v>46813</v>
      </c>
      <c r="B208" s="61" t="s">
        <v>35</v>
      </c>
      <c r="C208" s="12" t="str">
        <f>'Planning Engine'!C208</f>
        <v>Label/Pack</v>
      </c>
      <c r="D208" s="12" t="str">
        <f>'Planning Engine'!D208</f>
        <v>units</v>
      </c>
      <c r="E208" s="95">
        <f>'Planning Engine'!E208</f>
        <v>940.73386074289283</v>
      </c>
      <c r="F208" s="95">
        <f>'Planning Engine'!F208</f>
        <v>3411.8934889824955</v>
      </c>
      <c r="G208" s="95">
        <f>'Planning Engine'!G208</f>
        <v>0</v>
      </c>
      <c r="H208" s="95">
        <f t="shared" si="6"/>
        <v>-3411.8934889824955</v>
      </c>
      <c r="I208" s="95">
        <f>'Planning Engine'!H208</f>
        <v>-2471.1596282396026</v>
      </c>
      <c r="J208" s="96">
        <f ca="1">'Planning Engine'!J208</f>
        <v>-0.54751978892586928</v>
      </c>
      <c r="K208" s="95">
        <f ca="1">'Planning Engine'!K208</f>
        <v>40000</v>
      </c>
      <c r="L208" s="12" t="str">
        <f>'Planning Engine'!L208</f>
        <v>High</v>
      </c>
      <c r="M208" s="93">
        <f>'Planning Engine'!S208</f>
        <v>46722</v>
      </c>
      <c r="N208" s="95">
        <f>'Planning Engine'!T208</f>
        <v>0</v>
      </c>
      <c r="O208" s="94" t="s">
        <v>1240</v>
      </c>
      <c r="P208" s="12" t="str">
        <f t="shared" si="7"/>
        <v>⚠ Expedite production / source alternate</v>
      </c>
    </row>
    <row r="209" spans="1:16" ht="13" customHeight="1" x14ac:dyDescent="0.35">
      <c r="A209" s="97">
        <v>46844</v>
      </c>
      <c r="B209" s="53" t="s">
        <v>35</v>
      </c>
      <c r="C209" s="12" t="str">
        <f>'Planning Engine'!C209</f>
        <v>Label/Pack</v>
      </c>
      <c r="D209" s="12" t="str">
        <f>'Planning Engine'!D209</f>
        <v>units</v>
      </c>
      <c r="E209" s="95">
        <f>'Planning Engine'!E209</f>
        <v>-2471.1596282396026</v>
      </c>
      <c r="F209" s="95">
        <f>'Planning Engine'!F209</f>
        <v>4499.0402090516873</v>
      </c>
      <c r="G209" s="95">
        <f>'Planning Engine'!G209</f>
        <v>0</v>
      </c>
      <c r="H209" s="99">
        <f t="shared" si="6"/>
        <v>-4499.0402090516873</v>
      </c>
      <c r="I209" s="95">
        <f>'Planning Engine'!H209</f>
        <v>-6970.1998372912894</v>
      </c>
      <c r="J209" s="96">
        <f ca="1">'Planning Engine'!J209</f>
        <v>-1.4901253811090966</v>
      </c>
      <c r="K209" s="95">
        <f ca="1">'Planning Engine'!K209</f>
        <v>50000</v>
      </c>
      <c r="L209" s="12" t="str">
        <f>'Planning Engine'!L209</f>
        <v>High</v>
      </c>
      <c r="M209" s="93">
        <f>'Planning Engine'!S209</f>
        <v>46753</v>
      </c>
      <c r="N209" s="95">
        <f>'Planning Engine'!T209</f>
        <v>0</v>
      </c>
      <c r="O209" s="98" t="s">
        <v>1241</v>
      </c>
      <c r="P209" s="4" t="str">
        <f t="shared" si="7"/>
        <v>⚠ Expedite production / source alternate</v>
      </c>
    </row>
    <row r="210" spans="1:16" ht="13" customHeight="1" x14ac:dyDescent="0.35">
      <c r="A210" s="93">
        <v>46874</v>
      </c>
      <c r="B210" s="61" t="s">
        <v>35</v>
      </c>
      <c r="C210" s="12" t="str">
        <f>'Planning Engine'!C210</f>
        <v>Label/Pack</v>
      </c>
      <c r="D210" s="12" t="str">
        <f>'Planning Engine'!D210</f>
        <v>units</v>
      </c>
      <c r="E210" s="95">
        <f>'Planning Engine'!E210</f>
        <v>-6970.1998372912894</v>
      </c>
      <c r="F210" s="95">
        <f>'Planning Engine'!F210</f>
        <v>3548.2263472718987</v>
      </c>
      <c r="G210" s="95">
        <f>'Planning Engine'!G210</f>
        <v>0</v>
      </c>
      <c r="H210" s="95">
        <f t="shared" si="6"/>
        <v>-3548.2263472718987</v>
      </c>
      <c r="I210" s="95">
        <f>'Planning Engine'!H210</f>
        <v>-10518.426184563188</v>
      </c>
      <c r="J210" s="96">
        <f ca="1">'Planning Engine'!J210</f>
        <v>-2.2178095644669256</v>
      </c>
      <c r="K210" s="95">
        <f ca="1">'Planning Engine'!K210</f>
        <v>50000</v>
      </c>
      <c r="L210" s="12" t="str">
        <f>'Planning Engine'!L210</f>
        <v>High</v>
      </c>
      <c r="M210" s="93">
        <f>'Planning Engine'!S210</f>
        <v>46784</v>
      </c>
      <c r="N210" s="95">
        <f>'Planning Engine'!T210</f>
        <v>0</v>
      </c>
      <c r="O210" s="94" t="s">
        <v>1242</v>
      </c>
      <c r="P210" s="12" t="str">
        <f t="shared" si="7"/>
        <v>⚠ Expedite production / source alternate</v>
      </c>
    </row>
    <row r="211" spans="1:16" ht="13" customHeight="1" x14ac:dyDescent="0.35">
      <c r="A211" s="97">
        <v>46905</v>
      </c>
      <c r="B211" s="53" t="s">
        <v>35</v>
      </c>
      <c r="C211" s="12" t="str">
        <f>'Planning Engine'!C211</f>
        <v>Label/Pack</v>
      </c>
      <c r="D211" s="12" t="str">
        <f>'Planning Engine'!D211</f>
        <v>units</v>
      </c>
      <c r="E211" s="95">
        <f>'Planning Engine'!E211</f>
        <v>-10518.426184563188</v>
      </c>
      <c r="F211" s="95">
        <f>'Planning Engine'!F211</f>
        <v>4759.2101189814548</v>
      </c>
      <c r="G211" s="95">
        <f>'Planning Engine'!G211</f>
        <v>0</v>
      </c>
      <c r="H211" s="99">
        <f t="shared" si="6"/>
        <v>-4759.2101189814548</v>
      </c>
      <c r="I211" s="95">
        <f>'Planning Engine'!H211</f>
        <v>-15277.636303544643</v>
      </c>
      <c r="J211" s="96">
        <f ca="1">'Planning Engine'!J211</f>
        <v>-3.0740386743649579</v>
      </c>
      <c r="K211" s="95">
        <f ca="1">'Planning Engine'!K211</f>
        <v>60000</v>
      </c>
      <c r="L211" s="12" t="str">
        <f>'Planning Engine'!L211</f>
        <v>High</v>
      </c>
      <c r="M211" s="93">
        <f>'Planning Engine'!S211</f>
        <v>46813</v>
      </c>
      <c r="N211" s="95">
        <f>'Planning Engine'!T211</f>
        <v>0</v>
      </c>
      <c r="O211" s="98" t="s">
        <v>1243</v>
      </c>
      <c r="P211" s="4" t="str">
        <f t="shared" si="7"/>
        <v>⚠ Expedite production / source alternate</v>
      </c>
    </row>
    <row r="212" spans="1:16" ht="13" customHeight="1" x14ac:dyDescent="0.35">
      <c r="A212" s="93">
        <v>46935</v>
      </c>
      <c r="B212" s="61" t="s">
        <v>35</v>
      </c>
      <c r="C212" s="12" t="str">
        <f>'Planning Engine'!C212</f>
        <v>Label/Pack</v>
      </c>
      <c r="D212" s="12" t="str">
        <f>'Planning Engine'!D212</f>
        <v>units</v>
      </c>
      <c r="E212" s="95">
        <f>'Planning Engine'!E212</f>
        <v>-15277.636303544643</v>
      </c>
      <c r="F212" s="95">
        <f>'Planning Engine'!F212</f>
        <v>4436.5900112830604</v>
      </c>
      <c r="G212" s="95">
        <f>'Planning Engine'!G212</f>
        <v>0</v>
      </c>
      <c r="H212" s="95">
        <f t="shared" si="6"/>
        <v>-4436.5900112830604</v>
      </c>
      <c r="I212" s="95">
        <f>'Planning Engine'!H212</f>
        <v>-19714.226314827705</v>
      </c>
      <c r="J212" s="96">
        <f ca="1">'Planning Engine'!J212</f>
        <v>-3.9770360572940708</v>
      </c>
      <c r="K212" s="95">
        <f ca="1">'Planning Engine'!K212</f>
        <v>60000</v>
      </c>
      <c r="L212" s="12" t="str">
        <f>'Planning Engine'!L212</f>
        <v>High</v>
      </c>
      <c r="M212" s="93">
        <f>'Planning Engine'!S212</f>
        <v>46844</v>
      </c>
      <c r="N212" s="95">
        <f>'Planning Engine'!T212</f>
        <v>0</v>
      </c>
      <c r="O212" s="94" t="s">
        <v>1244</v>
      </c>
      <c r="P212" s="12" t="str">
        <f t="shared" si="7"/>
        <v>⚠ Expedite production / source alternate</v>
      </c>
    </row>
    <row r="213" spans="1:16" ht="13" customHeight="1" x14ac:dyDescent="0.35">
      <c r="A213" s="97">
        <v>46966</v>
      </c>
      <c r="B213" s="53" t="s">
        <v>35</v>
      </c>
      <c r="C213" s="12" t="str">
        <f>'Planning Engine'!C213</f>
        <v>Label/Pack</v>
      </c>
      <c r="D213" s="12" t="str">
        <f>'Planning Engine'!D213</f>
        <v>units</v>
      </c>
      <c r="E213" s="95">
        <f>'Planning Engine'!E213</f>
        <v>-19714.226314827705</v>
      </c>
      <c r="F213" s="95">
        <f>'Planning Engine'!F213</f>
        <v>4357.4027181882375</v>
      </c>
      <c r="G213" s="95">
        <f>'Planning Engine'!G213</f>
        <v>0</v>
      </c>
      <c r="H213" s="99">
        <f t="shared" si="6"/>
        <v>-4357.4027181882375</v>
      </c>
      <c r="I213" s="95">
        <f>'Planning Engine'!H213</f>
        <v>-24071.629033015943</v>
      </c>
      <c r="J213" s="96">
        <f ca="1">'Planning Engine'!J213</f>
        <v>-4.6621851935729524</v>
      </c>
      <c r="K213" s="95">
        <f ca="1">'Planning Engine'!K213</f>
        <v>70000</v>
      </c>
      <c r="L213" s="12" t="str">
        <f>'Planning Engine'!L213</f>
        <v>High</v>
      </c>
      <c r="M213" s="93">
        <f>'Planning Engine'!S213</f>
        <v>46874</v>
      </c>
      <c r="N213" s="95">
        <f>'Planning Engine'!T213</f>
        <v>0</v>
      </c>
      <c r="O213" s="98" t="s">
        <v>1245</v>
      </c>
      <c r="P213" s="4" t="str">
        <f t="shared" si="7"/>
        <v>⚠ Expedite production / source alternate</v>
      </c>
    </row>
    <row r="214" spans="1:16" ht="13" customHeight="1" x14ac:dyDescent="0.35">
      <c r="A214" s="93">
        <v>46997</v>
      </c>
      <c r="B214" s="61" t="s">
        <v>35</v>
      </c>
      <c r="C214" s="12" t="str">
        <f>'Planning Engine'!C214</f>
        <v>Label/Pack</v>
      </c>
      <c r="D214" s="12" t="str">
        <f>'Planning Engine'!D214</f>
        <v>units</v>
      </c>
      <c r="E214" s="95">
        <f>'Planning Engine'!E214</f>
        <v>-24071.629033015943</v>
      </c>
      <c r="F214" s="95">
        <f>'Planning Engine'!F214</f>
        <v>5831.6639013369077</v>
      </c>
      <c r="G214" s="95">
        <f>'Planning Engine'!G214</f>
        <v>0</v>
      </c>
      <c r="H214" s="95">
        <f t="shared" si="6"/>
        <v>-5831.6639013369077</v>
      </c>
      <c r="I214" s="95">
        <f>'Planning Engine'!H214</f>
        <v>-29903.292934352852</v>
      </c>
      <c r="J214" s="96">
        <f ca="1">'Planning Engine'!J214</f>
        <v>-5.6491388551235868</v>
      </c>
      <c r="K214" s="95">
        <f ca="1">'Planning Engine'!K214</f>
        <v>80000</v>
      </c>
      <c r="L214" s="12" t="str">
        <f>'Planning Engine'!L214</f>
        <v>High</v>
      </c>
      <c r="M214" s="93">
        <f>'Planning Engine'!S214</f>
        <v>46905</v>
      </c>
      <c r="N214" s="95">
        <f>'Planning Engine'!T214</f>
        <v>0</v>
      </c>
      <c r="O214" s="94" t="s">
        <v>1246</v>
      </c>
      <c r="P214" s="12" t="str">
        <f t="shared" si="7"/>
        <v>⚠ Expedite production / source alternate</v>
      </c>
    </row>
    <row r="215" spans="1:16" ht="13" customHeight="1" x14ac:dyDescent="0.35">
      <c r="A215" s="97">
        <v>47027</v>
      </c>
      <c r="B215" s="53" t="s">
        <v>35</v>
      </c>
      <c r="C215" s="12" t="str">
        <f>'Planning Engine'!C215</f>
        <v>Label/Pack</v>
      </c>
      <c r="D215" s="12" t="str">
        <f>'Planning Engine'!D215</f>
        <v>units</v>
      </c>
      <c r="E215" s="95">
        <f>'Planning Engine'!E215</f>
        <v>-29903.292934352852</v>
      </c>
      <c r="F215" s="95">
        <f>'Planning Engine'!F215</f>
        <v>4439.4810535672605</v>
      </c>
      <c r="G215" s="95">
        <f>'Planning Engine'!G215</f>
        <v>0</v>
      </c>
      <c r="H215" s="99">
        <f t="shared" si="6"/>
        <v>-4439.4810535672605</v>
      </c>
      <c r="I215" s="95">
        <f>'Planning Engine'!H215</f>
        <v>-34342.773987920111</v>
      </c>
      <c r="J215" s="96">
        <f ca="1">'Planning Engine'!J215</f>
        <v>-6.4358605126236057</v>
      </c>
      <c r="K215" s="95">
        <f ca="1">'Planning Engine'!K215</f>
        <v>80000</v>
      </c>
      <c r="L215" s="12" t="str">
        <f>'Planning Engine'!L215</f>
        <v>High</v>
      </c>
      <c r="M215" s="93">
        <f>'Planning Engine'!S215</f>
        <v>46935</v>
      </c>
      <c r="N215" s="95">
        <f>'Planning Engine'!T215</f>
        <v>0</v>
      </c>
      <c r="O215" s="98" t="s">
        <v>1247</v>
      </c>
      <c r="P215" s="4" t="str">
        <f t="shared" si="7"/>
        <v>⚠ Expedite production / source alternate</v>
      </c>
    </row>
    <row r="216" spans="1:16" ht="13" customHeight="1" x14ac:dyDescent="0.35">
      <c r="A216" s="93">
        <v>47058</v>
      </c>
      <c r="B216" s="61" t="s">
        <v>35</v>
      </c>
      <c r="C216" s="12" t="str">
        <f>'Planning Engine'!C216</f>
        <v>Label/Pack</v>
      </c>
      <c r="D216" s="12" t="str">
        <f>'Planning Engine'!D216</f>
        <v>units</v>
      </c>
      <c r="E216" s="95">
        <f>'Planning Engine'!E216</f>
        <v>-34342.773987920111</v>
      </c>
      <c r="F216" s="95">
        <f>'Planning Engine'!F216</f>
        <v>5336.8260716651912</v>
      </c>
      <c r="G216" s="95">
        <f>'Planning Engine'!G216</f>
        <v>0</v>
      </c>
      <c r="H216" s="95">
        <f t="shared" si="6"/>
        <v>-5336.8260716651912</v>
      </c>
      <c r="I216" s="95">
        <f>'Planning Engine'!H216</f>
        <v>-39679.600059585304</v>
      </c>
      <c r="J216" s="96">
        <f ca="1">'Planning Engine'!J216</f>
        <v>-7.3167284888556994</v>
      </c>
      <c r="K216" s="95">
        <f ca="1">'Planning Engine'!K216</f>
        <v>90000</v>
      </c>
      <c r="L216" s="12" t="str">
        <f>'Planning Engine'!L216</f>
        <v>High</v>
      </c>
      <c r="M216" s="93">
        <f>'Planning Engine'!S216</f>
        <v>46966</v>
      </c>
      <c r="N216" s="95">
        <f>'Planning Engine'!T216</f>
        <v>0</v>
      </c>
      <c r="O216" s="94" t="s">
        <v>1248</v>
      </c>
      <c r="P216" s="12" t="str">
        <f t="shared" si="7"/>
        <v>⚠ Expedite production / source alternate</v>
      </c>
    </row>
    <row r="217" spans="1:16" ht="13" customHeight="1" x14ac:dyDescent="0.35">
      <c r="A217" s="97">
        <v>47088</v>
      </c>
      <c r="B217" s="53" t="s">
        <v>35</v>
      </c>
      <c r="C217" s="12" t="str">
        <f>'Planning Engine'!C217</f>
        <v>Label/Pack</v>
      </c>
      <c r="D217" s="12" t="str">
        <f>'Planning Engine'!D217</f>
        <v>units</v>
      </c>
      <c r="E217" s="95">
        <f>'Planning Engine'!E217</f>
        <v>-39679.600059585304</v>
      </c>
      <c r="F217" s="95">
        <f>'Planning Engine'!F217</f>
        <v>4889.8952730837318</v>
      </c>
      <c r="G217" s="95">
        <f>'Planning Engine'!G217</f>
        <v>0</v>
      </c>
      <c r="H217" s="99">
        <f t="shared" si="6"/>
        <v>-4889.8952730837318</v>
      </c>
      <c r="I217" s="95">
        <f>'Planning Engine'!H217</f>
        <v>-44569.495332669037</v>
      </c>
      <c r="J217" s="96">
        <f ca="1">'Planning Engine'!J217</f>
        <v>-8.1043914135584743</v>
      </c>
      <c r="K217" s="95">
        <f ca="1">'Planning Engine'!K217</f>
        <v>90000</v>
      </c>
      <c r="L217" s="12" t="str">
        <f>'Planning Engine'!L217</f>
        <v>High</v>
      </c>
      <c r="M217" s="93">
        <f>'Planning Engine'!S217</f>
        <v>46997</v>
      </c>
      <c r="N217" s="95">
        <f>'Planning Engine'!T217</f>
        <v>0</v>
      </c>
      <c r="O217" s="98" t="s">
        <v>1249</v>
      </c>
      <c r="P217" s="4" t="str">
        <f t="shared" si="7"/>
        <v>⚠ Expedite production / source alternate</v>
      </c>
    </row>
    <row r="218" spans="1:16" ht="13" customHeight="1" x14ac:dyDescent="0.35">
      <c r="A218" s="93">
        <v>47119</v>
      </c>
      <c r="B218" s="61" t="s">
        <v>35</v>
      </c>
      <c r="C218" s="12" t="str">
        <f>'Planning Engine'!C218</f>
        <v>Label/Pack</v>
      </c>
      <c r="D218" s="12" t="str">
        <f>'Planning Engine'!D218</f>
        <v>units</v>
      </c>
      <c r="E218" s="95">
        <f>'Planning Engine'!E218</f>
        <v>-44569.495332669037</v>
      </c>
      <c r="F218" s="95">
        <f>'Planning Engine'!F218</f>
        <v>5085.0887627551965</v>
      </c>
      <c r="G218" s="95">
        <f>'Planning Engine'!G218</f>
        <v>0</v>
      </c>
      <c r="H218" s="95">
        <f t="shared" si="6"/>
        <v>-5085.0887627551965</v>
      </c>
      <c r="I218" s="95">
        <f>'Planning Engine'!H218</f>
        <v>-49654.58409542423</v>
      </c>
      <c r="J218" s="96">
        <f ca="1">'Planning Engine'!J218</f>
        <v>-8.668223582114635</v>
      </c>
      <c r="K218" s="95">
        <f ca="1">'Planning Engine'!K218</f>
        <v>100000</v>
      </c>
      <c r="L218" s="12" t="str">
        <f>'Planning Engine'!L218</f>
        <v>High</v>
      </c>
      <c r="M218" s="93">
        <f>'Planning Engine'!S218</f>
        <v>47027</v>
      </c>
      <c r="N218" s="95">
        <f>'Planning Engine'!T218</f>
        <v>0</v>
      </c>
      <c r="O218" s="94" t="s">
        <v>1250</v>
      </c>
      <c r="P218" s="12" t="str">
        <f t="shared" si="7"/>
        <v>⚠ Expedite production / source alternate</v>
      </c>
    </row>
    <row r="219" spans="1:16" ht="13" customHeight="1" x14ac:dyDescent="0.35">
      <c r="A219" s="97">
        <v>47150</v>
      </c>
      <c r="B219" s="53" t="s">
        <v>35</v>
      </c>
      <c r="C219" s="12" t="str">
        <f>'Planning Engine'!C219</f>
        <v>Label/Pack</v>
      </c>
      <c r="D219" s="12" t="str">
        <f>'Planning Engine'!D219</f>
        <v>units</v>
      </c>
      <c r="E219" s="95">
        <f>'Planning Engine'!E219</f>
        <v>-49654.58409542423</v>
      </c>
      <c r="F219" s="95">
        <f>'Planning Engine'!F219</f>
        <v>5592.8586361759262</v>
      </c>
      <c r="G219" s="95">
        <f>'Planning Engine'!G219</f>
        <v>0</v>
      </c>
      <c r="H219" s="99">
        <f t="shared" si="6"/>
        <v>-5592.8586361759262</v>
      </c>
      <c r="I219" s="95">
        <f>'Planning Engine'!H219</f>
        <v>-55247.442731600153</v>
      </c>
      <c r="J219" s="96">
        <f ca="1">'Planning Engine'!J219</f>
        <v>-9.6963883662473407</v>
      </c>
      <c r="K219" s="95">
        <f ca="1">'Planning Engine'!K219</f>
        <v>110000</v>
      </c>
      <c r="L219" s="12" t="str">
        <f>'Planning Engine'!L219</f>
        <v>High</v>
      </c>
      <c r="M219" s="93">
        <f>'Planning Engine'!S219</f>
        <v>47058</v>
      </c>
      <c r="N219" s="95">
        <f>'Planning Engine'!T219</f>
        <v>0</v>
      </c>
      <c r="O219" s="98" t="s">
        <v>1251</v>
      </c>
      <c r="P219" s="4" t="str">
        <f t="shared" si="7"/>
        <v>⚠ Expedite production / source alternate</v>
      </c>
    </row>
    <row r="220" spans="1:16" ht="13" customHeight="1" x14ac:dyDescent="0.35">
      <c r="A220" s="93">
        <v>47178</v>
      </c>
      <c r="B220" s="61" t="s">
        <v>35</v>
      </c>
      <c r="C220" s="12" t="str">
        <f>'Planning Engine'!C220</f>
        <v>Label/Pack</v>
      </c>
      <c r="D220" s="12" t="str">
        <f>'Planning Engine'!D220</f>
        <v>units</v>
      </c>
      <c r="E220" s="95">
        <f>'Planning Engine'!E220</f>
        <v>-55247.442731600153</v>
      </c>
      <c r="F220" s="95">
        <f>'Planning Engine'!F220</f>
        <v>4643.3261353362632</v>
      </c>
      <c r="G220" s="95">
        <f>'Planning Engine'!G220</f>
        <v>0</v>
      </c>
      <c r="H220" s="95">
        <f t="shared" si="6"/>
        <v>-4643.3261353362632</v>
      </c>
      <c r="I220" s="95">
        <f>'Planning Engine'!H220</f>
        <v>-59890.768866936414</v>
      </c>
      <c r="J220" s="96">
        <f ca="1">'Planning Engine'!J220</f>
        <v>-10.2460966078529</v>
      </c>
      <c r="K220" s="95">
        <f ca="1">'Planning Engine'!K220</f>
        <v>110000</v>
      </c>
      <c r="L220" s="12" t="str">
        <f>'Planning Engine'!L220</f>
        <v>High</v>
      </c>
      <c r="M220" s="93">
        <f>'Planning Engine'!S220</f>
        <v>47088</v>
      </c>
      <c r="N220" s="95">
        <f>'Planning Engine'!T220</f>
        <v>0</v>
      </c>
      <c r="O220" s="94" t="s">
        <v>1252</v>
      </c>
      <c r="P220" s="12" t="str">
        <f t="shared" si="7"/>
        <v>⚠ Expedite production / source alternate</v>
      </c>
    </row>
    <row r="221" spans="1:16" ht="13" customHeight="1" x14ac:dyDescent="0.35">
      <c r="A221" s="97">
        <v>47209</v>
      </c>
      <c r="B221" s="53" t="s">
        <v>35</v>
      </c>
      <c r="C221" s="12" t="str">
        <f>'Planning Engine'!C221</f>
        <v>Label/Pack</v>
      </c>
      <c r="D221" s="12" t="str">
        <f>'Planning Engine'!D221</f>
        <v>units</v>
      </c>
      <c r="E221" s="95">
        <f>'Planning Engine'!E221</f>
        <v>-59890.768866936414</v>
      </c>
      <c r="F221" s="95">
        <f>'Planning Engine'!F221</f>
        <v>6291.9378496991349</v>
      </c>
      <c r="G221" s="95">
        <f>'Planning Engine'!G221</f>
        <v>0</v>
      </c>
      <c r="H221" s="99">
        <f t="shared" si="6"/>
        <v>-6291.9378496991349</v>
      </c>
      <c r="I221" s="95">
        <f>'Planning Engine'!H221</f>
        <v>-66182.706716635555</v>
      </c>
      <c r="J221" s="96">
        <f ca="1">'Planning Engine'!J221</f>
        <v>-11.12456345023079</v>
      </c>
      <c r="K221" s="95">
        <f ca="1">'Planning Engine'!K221</f>
        <v>120000</v>
      </c>
      <c r="L221" s="12" t="str">
        <f>'Planning Engine'!L221</f>
        <v>High</v>
      </c>
      <c r="M221" s="93">
        <f>'Planning Engine'!S221</f>
        <v>47119</v>
      </c>
      <c r="N221" s="95">
        <f>'Planning Engine'!T221</f>
        <v>0</v>
      </c>
      <c r="O221" s="98" t="s">
        <v>1253</v>
      </c>
      <c r="P221" s="4" t="str">
        <f t="shared" si="7"/>
        <v>⚠ Expedite production / source alternate</v>
      </c>
    </row>
    <row r="222" spans="1:16" ht="13" customHeight="1" x14ac:dyDescent="0.35">
      <c r="A222" s="93">
        <v>47239</v>
      </c>
      <c r="B222" s="61" t="s">
        <v>35</v>
      </c>
      <c r="C222" s="12" t="str">
        <f>'Planning Engine'!C222</f>
        <v>Label/Pack</v>
      </c>
      <c r="D222" s="12" t="str">
        <f>'Planning Engine'!D222</f>
        <v>units</v>
      </c>
      <c r="E222" s="95">
        <f>'Planning Engine'!E222</f>
        <v>-66182.706716635555</v>
      </c>
      <c r="F222" s="95">
        <f>'Planning Engine'!F222</f>
        <v>5529.7474600363548</v>
      </c>
      <c r="G222" s="95">
        <f>'Planning Engine'!G222</f>
        <v>0</v>
      </c>
      <c r="H222" s="95">
        <f t="shared" si="6"/>
        <v>-5529.7474600363548</v>
      </c>
      <c r="I222" s="95">
        <f>'Planning Engine'!H222</f>
        <v>-71712.454176671905</v>
      </c>
      <c r="J222" s="96">
        <f ca="1">'Planning Engine'!J222</f>
        <v>-12.132857996296828</v>
      </c>
      <c r="K222" s="95">
        <f ca="1">'Planning Engine'!K222</f>
        <v>120000</v>
      </c>
      <c r="L222" s="12" t="str">
        <f>'Planning Engine'!L222</f>
        <v>High</v>
      </c>
      <c r="M222" s="93">
        <f>'Planning Engine'!S222</f>
        <v>47150</v>
      </c>
      <c r="N222" s="95">
        <f>'Planning Engine'!T222</f>
        <v>0</v>
      </c>
      <c r="O222" s="94" t="s">
        <v>1254</v>
      </c>
      <c r="P222" s="12" t="str">
        <f t="shared" si="7"/>
        <v>⚠ Expedite production / source alternate</v>
      </c>
    </row>
    <row r="223" spans="1:16" ht="13" customHeight="1" x14ac:dyDescent="0.35">
      <c r="A223" s="97">
        <v>47270</v>
      </c>
      <c r="B223" s="53" t="s">
        <v>35</v>
      </c>
      <c r="C223" s="12" t="str">
        <f>'Planning Engine'!C223</f>
        <v>Label/Pack</v>
      </c>
      <c r="D223" s="12" t="str">
        <f>'Planning Engine'!D223</f>
        <v>units</v>
      </c>
      <c r="E223" s="95">
        <f>'Planning Engine'!E223</f>
        <v>-71712.454176671905</v>
      </c>
      <c r="F223" s="95">
        <f>'Planning Engine'!F223</f>
        <v>6216.2683463158919</v>
      </c>
      <c r="G223" s="95">
        <f>'Planning Engine'!G223</f>
        <v>0</v>
      </c>
      <c r="H223" s="99">
        <f t="shared" si="6"/>
        <v>-6216.2683463158919</v>
      </c>
      <c r="I223" s="95">
        <f>'Planning Engine'!H223</f>
        <v>-77928.722522987795</v>
      </c>
      <c r="J223" s="96">
        <f ca="1">'Planning Engine'!J223</f>
        <v>-12.938236681572155</v>
      </c>
      <c r="K223" s="95">
        <f ca="1">'Planning Engine'!K223</f>
        <v>130000</v>
      </c>
      <c r="L223" s="12" t="str">
        <f>'Planning Engine'!L223</f>
        <v>High</v>
      </c>
      <c r="M223" s="93">
        <f>'Planning Engine'!S223</f>
        <v>47178</v>
      </c>
      <c r="N223" s="95">
        <f>'Planning Engine'!T223</f>
        <v>0</v>
      </c>
      <c r="O223" s="98" t="s">
        <v>1255</v>
      </c>
      <c r="P223" s="4" t="str">
        <f t="shared" si="7"/>
        <v>⚠ Expedite production / source alternate</v>
      </c>
    </row>
    <row r="224" spans="1:16" ht="13" customHeight="1" x14ac:dyDescent="0.35">
      <c r="A224" s="93">
        <v>47300</v>
      </c>
      <c r="B224" s="61" t="s">
        <v>35</v>
      </c>
      <c r="C224" s="12" t="str">
        <f>'Planning Engine'!C224</f>
        <v>Label/Pack</v>
      </c>
      <c r="D224" s="12" t="str">
        <f>'Planning Engine'!D224</f>
        <v>units</v>
      </c>
      <c r="E224" s="95">
        <f>'Planning Engine'!E224</f>
        <v>-77928.722522987795</v>
      </c>
      <c r="F224" s="95">
        <f>'Planning Engine'!F224</f>
        <v>5222.2587231626903</v>
      </c>
      <c r="G224" s="95">
        <f>'Planning Engine'!G224</f>
        <v>0</v>
      </c>
      <c r="H224" s="95">
        <f t="shared" si="6"/>
        <v>-5222.2587231626903</v>
      </c>
      <c r="I224" s="95">
        <f>'Planning Engine'!H224</f>
        <v>-83150.981246150492</v>
      </c>
      <c r="J224" s="96">
        <f ca="1">'Planning Engine'!J224</f>
        <v>-14.002757448639334</v>
      </c>
      <c r="K224" s="95">
        <f ca="1">'Planning Engine'!K224</f>
        <v>140000</v>
      </c>
      <c r="L224" s="12" t="str">
        <f>'Planning Engine'!L224</f>
        <v>High</v>
      </c>
      <c r="M224" s="93">
        <f>'Planning Engine'!S224</f>
        <v>47209</v>
      </c>
      <c r="N224" s="95">
        <f>'Planning Engine'!T224</f>
        <v>0</v>
      </c>
      <c r="O224" s="94" t="s">
        <v>1256</v>
      </c>
      <c r="P224" s="12" t="str">
        <f t="shared" si="7"/>
        <v>⚠ Expedite production / source alternate</v>
      </c>
    </row>
    <row r="225" spans="1:16" ht="13" customHeight="1" x14ac:dyDescent="0.35">
      <c r="A225" s="97">
        <v>47331</v>
      </c>
      <c r="B225" s="53" t="s">
        <v>35</v>
      </c>
      <c r="C225" s="12" t="str">
        <f>'Planning Engine'!C225</f>
        <v>Label/Pack</v>
      </c>
      <c r="D225" s="12" t="str">
        <f>'Planning Engine'!D225</f>
        <v>units</v>
      </c>
      <c r="E225" s="95">
        <f>'Planning Engine'!E225</f>
        <v>-83150.981246150492</v>
      </c>
      <c r="F225" s="95">
        <f>'Planning Engine'!F225</f>
        <v>6023.4466820576199</v>
      </c>
      <c r="G225" s="95">
        <f>'Planning Engine'!G225</f>
        <v>0</v>
      </c>
      <c r="H225" s="99">
        <f t="shared" si="6"/>
        <v>-6023.4466820576199</v>
      </c>
      <c r="I225" s="95">
        <f>'Planning Engine'!H225</f>
        <v>-89174.427928208112</v>
      </c>
      <c r="J225" s="96">
        <f ca="1">'Planning Engine'!J225</f>
        <v>-14.559247219874907</v>
      </c>
      <c r="K225" s="95">
        <f ca="1">'Planning Engine'!K225</f>
        <v>140000</v>
      </c>
      <c r="L225" s="12" t="str">
        <f>'Planning Engine'!L225</f>
        <v>High</v>
      </c>
      <c r="M225" s="93">
        <f>'Planning Engine'!S225</f>
        <v>47239</v>
      </c>
      <c r="N225" s="95">
        <f>'Planning Engine'!T225</f>
        <v>0</v>
      </c>
      <c r="O225" s="98" t="s">
        <v>1257</v>
      </c>
      <c r="P225" s="4" t="str">
        <f t="shared" si="7"/>
        <v>⚠ Expedite production / source alternate</v>
      </c>
    </row>
    <row r="226" spans="1:16" ht="13" customHeight="1" x14ac:dyDescent="0.35">
      <c r="A226" s="93">
        <v>47362</v>
      </c>
      <c r="B226" s="61" t="s">
        <v>35</v>
      </c>
      <c r="C226" s="12" t="str">
        <f>'Planning Engine'!C226</f>
        <v>Label/Pack</v>
      </c>
      <c r="D226" s="12" t="str">
        <f>'Planning Engine'!D226</f>
        <v>units</v>
      </c>
      <c r="E226" s="95">
        <f>'Planning Engine'!E226</f>
        <v>-89174.427928208112</v>
      </c>
      <c r="F226" s="95">
        <f>'Planning Engine'!F226</f>
        <v>6950.1816242764016</v>
      </c>
      <c r="G226" s="95">
        <f>'Planning Engine'!G226</f>
        <v>0</v>
      </c>
      <c r="H226" s="95">
        <f t="shared" si="6"/>
        <v>-6950.1816242764016</v>
      </c>
      <c r="I226" s="95">
        <f>'Planning Engine'!H226</f>
        <v>-96124.609552484515</v>
      </c>
      <c r="J226" s="96">
        <f ca="1">'Planning Engine'!J226</f>
        <v>-15.33534787304872</v>
      </c>
      <c r="K226" s="95">
        <f ca="1">'Planning Engine'!K226</f>
        <v>150000</v>
      </c>
      <c r="L226" s="12" t="str">
        <f>'Planning Engine'!L226</f>
        <v>High</v>
      </c>
      <c r="M226" s="93">
        <f>'Planning Engine'!S226</f>
        <v>47270</v>
      </c>
      <c r="N226" s="95">
        <f>'Planning Engine'!T226</f>
        <v>0</v>
      </c>
      <c r="O226" s="94" t="s">
        <v>1258</v>
      </c>
      <c r="P226" s="12" t="str">
        <f t="shared" si="7"/>
        <v>⚠ Expedite production / source alternate</v>
      </c>
    </row>
    <row r="227" spans="1:16" ht="13" customHeight="1" x14ac:dyDescent="0.35">
      <c r="A227" s="97">
        <v>47392</v>
      </c>
      <c r="B227" s="53" t="s">
        <v>35</v>
      </c>
      <c r="C227" s="12" t="str">
        <f>'Planning Engine'!C227</f>
        <v>Label/Pack</v>
      </c>
      <c r="D227" s="12" t="str">
        <f>'Planning Engine'!D227</f>
        <v>units</v>
      </c>
      <c r="E227" s="95">
        <f>'Planning Engine'!E227</f>
        <v>-96124.609552484515</v>
      </c>
      <c r="F227" s="95">
        <f>'Planning Engine'!F227</f>
        <v>4809.5815268373999</v>
      </c>
      <c r="G227" s="95">
        <f>'Planning Engine'!G227</f>
        <v>0</v>
      </c>
      <c r="H227" s="99">
        <f t="shared" si="6"/>
        <v>-4809.5815268373999</v>
      </c>
      <c r="I227" s="95">
        <f>'Planning Engine'!H227</f>
        <v>-100934.19107932191</v>
      </c>
      <c r="J227" s="96">
        <f ca="1">'Planning Engine'!J227</f>
        <v>-15.979435416759681</v>
      </c>
      <c r="K227" s="95">
        <f ca="1">'Planning Engine'!K227</f>
        <v>160000</v>
      </c>
      <c r="L227" s="12" t="str">
        <f>'Planning Engine'!L227</f>
        <v>High</v>
      </c>
      <c r="M227" s="93">
        <f>'Planning Engine'!S227</f>
        <v>47300</v>
      </c>
      <c r="N227" s="95">
        <f>'Planning Engine'!T227</f>
        <v>0</v>
      </c>
      <c r="O227" s="98" t="s">
        <v>1259</v>
      </c>
      <c r="P227" s="4" t="str">
        <f t="shared" si="7"/>
        <v>⚠ Expedite production / source alternate</v>
      </c>
    </row>
    <row r="228" spans="1:16" ht="13" customHeight="1" x14ac:dyDescent="0.35">
      <c r="A228" s="93">
        <v>47423</v>
      </c>
      <c r="B228" s="61" t="s">
        <v>35</v>
      </c>
      <c r="C228" s="12" t="str">
        <f>'Planning Engine'!C228</f>
        <v>Label/Pack</v>
      </c>
      <c r="D228" s="12" t="str">
        <f>'Planning Engine'!D228</f>
        <v>units</v>
      </c>
      <c r="E228" s="95">
        <f>'Planning Engine'!E228</f>
        <v>-100934.19107932191</v>
      </c>
      <c r="F228" s="95">
        <f>'Planning Engine'!F228</f>
        <v>6920.3019693043188</v>
      </c>
      <c r="G228" s="95">
        <f>'Planning Engine'!G228</f>
        <v>0</v>
      </c>
      <c r="H228" s="95">
        <f t="shared" si="6"/>
        <v>-6920.3019693043188</v>
      </c>
      <c r="I228" s="95">
        <f>'Planning Engine'!H228</f>
        <v>-107854.49304862623</v>
      </c>
      <c r="J228" s="96">
        <f ca="1">'Planning Engine'!J228</f>
        <v>-16.768437307389451</v>
      </c>
      <c r="K228" s="95">
        <f ca="1">'Planning Engine'!K228</f>
        <v>170000</v>
      </c>
      <c r="L228" s="12" t="str">
        <f>'Planning Engine'!L228</f>
        <v>High</v>
      </c>
      <c r="M228" s="93">
        <f>'Planning Engine'!S228</f>
        <v>47331</v>
      </c>
      <c r="N228" s="95">
        <f>'Planning Engine'!T228</f>
        <v>0</v>
      </c>
      <c r="O228" s="94" t="s">
        <v>1260</v>
      </c>
      <c r="P228" s="12" t="str">
        <f t="shared" si="7"/>
        <v>⚠ Expedite production / source alternate</v>
      </c>
    </row>
    <row r="229" spans="1:16" ht="13" customHeight="1" x14ac:dyDescent="0.35">
      <c r="A229" s="97">
        <v>47453</v>
      </c>
      <c r="B229" s="53" t="s">
        <v>35</v>
      </c>
      <c r="C229" s="12" t="str">
        <f>'Planning Engine'!C229</f>
        <v>Label/Pack</v>
      </c>
      <c r="D229" s="12" t="str">
        <f>'Planning Engine'!D229</f>
        <v>units</v>
      </c>
      <c r="E229" s="95">
        <f>'Planning Engine'!E229</f>
        <v>-107854.49304862623</v>
      </c>
      <c r="F229" s="95">
        <f>'Planning Engine'!F229</f>
        <v>5579.4429829833189</v>
      </c>
      <c r="G229" s="95">
        <f>'Planning Engine'!G229</f>
        <v>0</v>
      </c>
      <c r="H229" s="99">
        <f t="shared" si="6"/>
        <v>-5579.4429829833189</v>
      </c>
      <c r="I229" s="95">
        <f>'Planning Engine'!H229</f>
        <v>-113433.93603160956</v>
      </c>
      <c r="J229" s="96">
        <f ca="1">'Planning Engine'!J229</f>
        <v>-17.218484082729823</v>
      </c>
      <c r="K229" s="95">
        <f ca="1">'Planning Engine'!K229</f>
        <v>170000</v>
      </c>
      <c r="L229" s="12" t="str">
        <f>'Planning Engine'!L229</f>
        <v>High</v>
      </c>
      <c r="M229" s="93">
        <f>'Planning Engine'!S229</f>
        <v>47362</v>
      </c>
      <c r="N229" s="95">
        <f>'Planning Engine'!T229</f>
        <v>0</v>
      </c>
      <c r="O229" s="98" t="s">
        <v>1261</v>
      </c>
      <c r="P229" s="4" t="str">
        <f t="shared" si="7"/>
        <v>⚠ Expedite production / source alternate</v>
      </c>
    </row>
    <row r="230" spans="1:16" ht="13" customHeight="1" x14ac:dyDescent="0.35">
      <c r="A230" s="93">
        <v>47484</v>
      </c>
      <c r="B230" s="61" t="s">
        <v>35</v>
      </c>
      <c r="C230" s="12" t="str">
        <f>'Planning Engine'!C230</f>
        <v>Label/Pack</v>
      </c>
      <c r="D230" s="12" t="str">
        <f>'Planning Engine'!D230</f>
        <v>units</v>
      </c>
      <c r="E230" s="95">
        <f>'Planning Engine'!E230</f>
        <v>-113433.93603160956</v>
      </c>
      <c r="F230" s="95">
        <f>'Planning Engine'!F230</f>
        <v>5944.1585966820085</v>
      </c>
      <c r="G230" s="95">
        <f>'Planning Engine'!G230</f>
        <v>0</v>
      </c>
      <c r="H230" s="95">
        <f t="shared" si="6"/>
        <v>-5944.1585966820085</v>
      </c>
      <c r="I230" s="95">
        <f>'Planning Engine'!H230</f>
        <v>-119378.09462829157</v>
      </c>
      <c r="J230" s="96">
        <f ca="1">'Planning Engine'!J230</f>
        <v>-17.384806455712255</v>
      </c>
      <c r="K230" s="95">
        <f ca="1">'Planning Engine'!K230</f>
        <v>180000</v>
      </c>
      <c r="L230" s="12" t="str">
        <f>'Planning Engine'!L230</f>
        <v>High</v>
      </c>
      <c r="M230" s="93">
        <f>'Planning Engine'!S230</f>
        <v>47392</v>
      </c>
      <c r="N230" s="95">
        <f>'Planning Engine'!T230</f>
        <v>0</v>
      </c>
      <c r="O230" s="94" t="s">
        <v>1262</v>
      </c>
      <c r="P230" s="12" t="str">
        <f t="shared" si="7"/>
        <v>⚠ Expedite production / source alternate</v>
      </c>
    </row>
    <row r="231" spans="1:16" ht="13" customHeight="1" x14ac:dyDescent="0.35">
      <c r="A231" s="97">
        <v>47515</v>
      </c>
      <c r="B231" s="53" t="s">
        <v>35</v>
      </c>
      <c r="C231" s="12" t="str">
        <f>'Planning Engine'!C231</f>
        <v>Label/Pack</v>
      </c>
      <c r="D231" s="12" t="str">
        <f>'Planning Engine'!D231</f>
        <v>units</v>
      </c>
      <c r="E231" s="95">
        <f>'Planning Engine'!E231</f>
        <v>-119378.09462829157</v>
      </c>
      <c r="F231" s="95">
        <f>'Planning Engine'!F231</f>
        <v>6542.558081788733</v>
      </c>
      <c r="G231" s="95">
        <f>'Planning Engine'!G231</f>
        <v>0</v>
      </c>
      <c r="H231" s="99">
        <f t="shared" si="6"/>
        <v>-6542.558081788733</v>
      </c>
      <c r="I231" s="95">
        <f>'Planning Engine'!H231</f>
        <v>-125920.65271008031</v>
      </c>
      <c r="J231" s="96">
        <f ca="1">'Planning Engine'!J231</f>
        <v>-18.004293578853964</v>
      </c>
      <c r="K231" s="95">
        <f ca="1">'Planning Engine'!K231</f>
        <v>190000</v>
      </c>
      <c r="L231" s="12" t="str">
        <f>'Planning Engine'!L231</f>
        <v>High</v>
      </c>
      <c r="M231" s="93">
        <f>'Planning Engine'!S231</f>
        <v>47423</v>
      </c>
      <c r="N231" s="95">
        <f>'Planning Engine'!T231</f>
        <v>0</v>
      </c>
      <c r="O231" s="98" t="s">
        <v>1263</v>
      </c>
      <c r="P231" s="4" t="str">
        <f t="shared" si="7"/>
        <v>⚠ Expedite production / source alternate</v>
      </c>
    </row>
    <row r="232" spans="1:16" ht="13" customHeight="1" x14ac:dyDescent="0.35">
      <c r="A232" s="93">
        <v>47543</v>
      </c>
      <c r="B232" s="61" t="s">
        <v>35</v>
      </c>
      <c r="C232" s="12" t="str">
        <f>'Planning Engine'!C232</f>
        <v>Label/Pack</v>
      </c>
      <c r="D232" s="12" t="str">
        <f>'Planning Engine'!D232</f>
        <v>units</v>
      </c>
      <c r="E232" s="95">
        <f>'Planning Engine'!E232</f>
        <v>-125920.65271008031</v>
      </c>
      <c r="F232" s="95">
        <f>'Planning Engine'!F232</f>
        <v>5451.7457431846269</v>
      </c>
      <c r="G232" s="95">
        <f>'Planning Engine'!G232</f>
        <v>0</v>
      </c>
      <c r="H232" s="95">
        <f t="shared" si="6"/>
        <v>-5451.7457431846269</v>
      </c>
      <c r="I232" s="95">
        <f>'Planning Engine'!H232</f>
        <v>-131372.39845326493</v>
      </c>
      <c r="J232" s="96">
        <f ca="1">'Planning Engine'!J232</f>
        <v>-18.050921177854011</v>
      </c>
      <c r="K232" s="95">
        <f ca="1">'Planning Engine'!K232</f>
        <v>200000</v>
      </c>
      <c r="L232" s="12" t="str">
        <f>'Planning Engine'!L232</f>
        <v>High</v>
      </c>
      <c r="M232" s="93">
        <f>'Planning Engine'!S232</f>
        <v>47453</v>
      </c>
      <c r="N232" s="95">
        <f>'Planning Engine'!T232</f>
        <v>0</v>
      </c>
      <c r="O232" s="94" t="s">
        <v>1264</v>
      </c>
      <c r="P232" s="12" t="str">
        <f t="shared" si="7"/>
        <v>⚠ Expedite production / source alternate</v>
      </c>
    </row>
    <row r="233" spans="1:16" ht="13" customHeight="1" x14ac:dyDescent="0.35">
      <c r="A233" s="97">
        <v>47574</v>
      </c>
      <c r="B233" s="53" t="s">
        <v>35</v>
      </c>
      <c r="C233" s="12" t="str">
        <f>'Planning Engine'!C233</f>
        <v>Label/Pack</v>
      </c>
      <c r="D233" s="12" t="str">
        <f>'Planning Engine'!D233</f>
        <v>units</v>
      </c>
      <c r="E233" s="95">
        <f>'Planning Engine'!E233</f>
        <v>-131372.39845326493</v>
      </c>
      <c r="F233" s="95">
        <f>'Planning Engine'!F233</f>
        <v>6902.98855599952</v>
      </c>
      <c r="G233" s="95">
        <f>'Planning Engine'!G233</f>
        <v>0</v>
      </c>
      <c r="H233" s="99">
        <f t="shared" si="6"/>
        <v>-6902.98855599952</v>
      </c>
      <c r="I233" s="95">
        <f>'Planning Engine'!H233</f>
        <v>-138275.38700926446</v>
      </c>
      <c r="J233" s="96">
        <f ca="1">'Planning Engine'!J233</f>
        <v>-18.582231361590239</v>
      </c>
      <c r="K233" s="95">
        <f ca="1">'Planning Engine'!K233</f>
        <v>210000</v>
      </c>
      <c r="L233" s="12" t="str">
        <f>'Planning Engine'!L233</f>
        <v>High</v>
      </c>
      <c r="M233" s="93">
        <f>'Planning Engine'!S233</f>
        <v>47484</v>
      </c>
      <c r="N233" s="95">
        <f>'Planning Engine'!T233</f>
        <v>0</v>
      </c>
      <c r="O233" s="98" t="s">
        <v>1265</v>
      </c>
      <c r="P233" s="4" t="str">
        <f t="shared" si="7"/>
        <v>⚠ Expedite production / source alternate</v>
      </c>
    </row>
    <row r="234" spans="1:16" ht="13" customHeight="1" x14ac:dyDescent="0.35">
      <c r="A234" s="93">
        <v>47604</v>
      </c>
      <c r="B234" s="61" t="s">
        <v>35</v>
      </c>
      <c r="C234" s="12" t="str">
        <f>'Planning Engine'!C234</f>
        <v>Label/Pack</v>
      </c>
      <c r="D234" s="12" t="str">
        <f>'Planning Engine'!D234</f>
        <v>units</v>
      </c>
      <c r="E234" s="95">
        <f>'Planning Engine'!E234</f>
        <v>-138275.38700926446</v>
      </c>
      <c r="F234" s="95">
        <f>'Planning Engine'!F234</f>
        <v>7312.5956119401162</v>
      </c>
      <c r="G234" s="95">
        <f>'Planning Engine'!G234</f>
        <v>0</v>
      </c>
      <c r="H234" s="95">
        <f t="shared" si="6"/>
        <v>-7312.5956119401162</v>
      </c>
      <c r="I234" s="95">
        <f>'Planning Engine'!H234</f>
        <v>-145587.98262120457</v>
      </c>
      <c r="J234" s="96">
        <f ca="1">'Planning Engine'!J234</f>
        <v>-18.900369968268119</v>
      </c>
      <c r="K234" s="95">
        <f ca="1">'Planning Engine'!K234</f>
        <v>210000</v>
      </c>
      <c r="L234" s="12" t="str">
        <f>'Planning Engine'!L234</f>
        <v>High</v>
      </c>
      <c r="M234" s="93">
        <f>'Planning Engine'!S234</f>
        <v>47515</v>
      </c>
      <c r="N234" s="95">
        <f>'Planning Engine'!T234</f>
        <v>0</v>
      </c>
      <c r="O234" s="94" t="s">
        <v>1266</v>
      </c>
      <c r="P234" s="12" t="str">
        <f t="shared" si="7"/>
        <v>⚠ Expedite production / source alternate</v>
      </c>
    </row>
    <row r="235" spans="1:16" ht="13" customHeight="1" x14ac:dyDescent="0.35">
      <c r="A235" s="97">
        <v>47635</v>
      </c>
      <c r="B235" s="53" t="s">
        <v>35</v>
      </c>
      <c r="C235" s="12" t="str">
        <f>'Planning Engine'!C235</f>
        <v>Label/Pack</v>
      </c>
      <c r="D235" s="12" t="str">
        <f>'Planning Engine'!D235</f>
        <v>units</v>
      </c>
      <c r="E235" s="95">
        <f>'Planning Engine'!E235</f>
        <v>-145587.98262120457</v>
      </c>
      <c r="F235" s="95">
        <f>'Planning Engine'!F235</f>
        <v>7385.176083469245</v>
      </c>
      <c r="G235" s="95">
        <f>'Planning Engine'!G235</f>
        <v>0</v>
      </c>
      <c r="H235" s="99">
        <f t="shared" si="6"/>
        <v>-7385.176083469245</v>
      </c>
      <c r="I235" s="95">
        <f>'Planning Engine'!H235</f>
        <v>-152973.15870467381</v>
      </c>
      <c r="J235" s="96">
        <f ca="1">'Planning Engine'!J235</f>
        <v>-19.341172128207145</v>
      </c>
      <c r="K235" s="95">
        <f ca="1">'Planning Engine'!K235</f>
        <v>220000</v>
      </c>
      <c r="L235" s="12" t="str">
        <f>'Planning Engine'!L235</f>
        <v>High</v>
      </c>
      <c r="M235" s="93">
        <f>'Planning Engine'!S235</f>
        <v>47543</v>
      </c>
      <c r="N235" s="95">
        <f>'Planning Engine'!T235</f>
        <v>0</v>
      </c>
      <c r="O235" s="98" t="s">
        <v>1267</v>
      </c>
      <c r="P235" s="4" t="str">
        <f t="shared" si="7"/>
        <v>⚠ Expedite production / source alternate</v>
      </c>
    </row>
    <row r="236" spans="1:16" ht="13" customHeight="1" x14ac:dyDescent="0.35">
      <c r="A236" s="93">
        <v>47665</v>
      </c>
      <c r="B236" s="61" t="s">
        <v>35</v>
      </c>
      <c r="C236" s="12" t="str">
        <f>'Planning Engine'!C236</f>
        <v>Label/Pack</v>
      </c>
      <c r="D236" s="12" t="str">
        <f>'Planning Engine'!D236</f>
        <v>units</v>
      </c>
      <c r="E236" s="95">
        <f>'Planning Engine'!E236</f>
        <v>-152973.15870467381</v>
      </c>
      <c r="F236" s="95">
        <f>'Planning Engine'!F236</f>
        <v>5848.9810035806331</v>
      </c>
      <c r="G236" s="95">
        <f>'Planning Engine'!G236</f>
        <v>0</v>
      </c>
      <c r="H236" s="95">
        <f t="shared" si="6"/>
        <v>-5848.9810035806331</v>
      </c>
      <c r="I236" s="95">
        <f>'Planning Engine'!H236</f>
        <v>-158822.13970825446</v>
      </c>
      <c r="J236" s="96">
        <f ca="1">'Planning Engine'!J236</f>
        <v>-19.925237017394892</v>
      </c>
      <c r="K236" s="95">
        <f ca="1">'Planning Engine'!K236</f>
        <v>230000</v>
      </c>
      <c r="L236" s="12" t="str">
        <f>'Planning Engine'!L236</f>
        <v>High</v>
      </c>
      <c r="M236" s="93">
        <f>'Planning Engine'!S236</f>
        <v>47574</v>
      </c>
      <c r="N236" s="95">
        <f>'Planning Engine'!T236</f>
        <v>0</v>
      </c>
      <c r="O236" s="94" t="s">
        <v>1268</v>
      </c>
      <c r="P236" s="12" t="str">
        <f t="shared" si="7"/>
        <v>⚠ Expedite production / source alternate</v>
      </c>
    </row>
    <row r="237" spans="1:16" ht="13" customHeight="1" x14ac:dyDescent="0.35">
      <c r="A237" s="97">
        <v>47696</v>
      </c>
      <c r="B237" s="53" t="s">
        <v>35</v>
      </c>
      <c r="C237" s="12" t="str">
        <f>'Planning Engine'!C237</f>
        <v>Label/Pack</v>
      </c>
      <c r="D237" s="12" t="str">
        <f>'Planning Engine'!D237</f>
        <v>units</v>
      </c>
      <c r="E237" s="95">
        <f>'Planning Engine'!E237</f>
        <v>-158822.13970825446</v>
      </c>
      <c r="F237" s="95">
        <f>'Planning Engine'!F237</f>
        <v>8323.6021738539639</v>
      </c>
      <c r="G237" s="95">
        <f>'Planning Engine'!G237</f>
        <v>0</v>
      </c>
      <c r="H237" s="99">
        <f t="shared" si="6"/>
        <v>-8323.6021738539639</v>
      </c>
      <c r="I237" s="95">
        <f>'Planning Engine'!H237</f>
        <v>-167145.74188210841</v>
      </c>
      <c r="J237" s="96">
        <f ca="1">'Planning Engine'!J237</f>
        <v>-19.739323170872229</v>
      </c>
      <c r="K237" s="95">
        <f ca="1">'Planning Engine'!K237</f>
        <v>240000</v>
      </c>
      <c r="L237" s="12" t="str">
        <f>'Planning Engine'!L237</f>
        <v>High</v>
      </c>
      <c r="M237" s="93">
        <f>'Planning Engine'!S237</f>
        <v>47604</v>
      </c>
      <c r="N237" s="95">
        <f>'Planning Engine'!T237</f>
        <v>0</v>
      </c>
      <c r="O237" s="98" t="s">
        <v>1269</v>
      </c>
      <c r="P237" s="4" t="str">
        <f t="shared" si="7"/>
        <v>⚠ Expedite production / source alternate</v>
      </c>
    </row>
    <row r="238" spans="1:16" ht="13" customHeight="1" x14ac:dyDescent="0.35">
      <c r="A238" s="93">
        <v>47727</v>
      </c>
      <c r="B238" s="61" t="s">
        <v>35</v>
      </c>
      <c r="C238" s="12" t="str">
        <f>'Planning Engine'!C238</f>
        <v>Label/Pack</v>
      </c>
      <c r="D238" s="12" t="str">
        <f>'Planning Engine'!D238</f>
        <v>units</v>
      </c>
      <c r="E238" s="95">
        <f>'Planning Engine'!E238</f>
        <v>-167145.74188210841</v>
      </c>
      <c r="F238" s="95">
        <f>'Planning Engine'!F238</f>
        <v>8089.4488480600448</v>
      </c>
      <c r="G238" s="95">
        <f>'Planning Engine'!G238</f>
        <v>0</v>
      </c>
      <c r="H238" s="95">
        <f t="shared" si="6"/>
        <v>-8089.4488480600448</v>
      </c>
      <c r="I238" s="95">
        <f>'Planning Engine'!H238</f>
        <v>-175235.19073016846</v>
      </c>
      <c r="J238" s="96">
        <f ca="1">'Planning Engine'!J238</f>
        <v>-19.981575989093862</v>
      </c>
      <c r="K238" s="95">
        <f ca="1">'Planning Engine'!K238</f>
        <v>250000</v>
      </c>
      <c r="L238" s="12" t="str">
        <f>'Planning Engine'!L238</f>
        <v>High</v>
      </c>
      <c r="M238" s="93">
        <f>'Planning Engine'!S238</f>
        <v>47635</v>
      </c>
      <c r="N238" s="95">
        <f>'Planning Engine'!T238</f>
        <v>0</v>
      </c>
      <c r="O238" s="94" t="s">
        <v>1270</v>
      </c>
      <c r="P238" s="12" t="str">
        <f t="shared" si="7"/>
        <v>⚠ Expedite production / source alternate</v>
      </c>
    </row>
    <row r="239" spans="1:16" ht="13" customHeight="1" x14ac:dyDescent="0.35">
      <c r="A239" s="97">
        <v>47757</v>
      </c>
      <c r="B239" s="53" t="s">
        <v>35</v>
      </c>
      <c r="C239" s="12" t="str">
        <f>'Planning Engine'!C239</f>
        <v>Label/Pack</v>
      </c>
      <c r="D239" s="12" t="str">
        <f>'Planning Engine'!D239</f>
        <v>units</v>
      </c>
      <c r="E239" s="95">
        <f>'Planning Engine'!E239</f>
        <v>-175235.19073016846</v>
      </c>
      <c r="F239" s="95">
        <f>'Planning Engine'!F239</f>
        <v>7088.2157720511514</v>
      </c>
      <c r="G239" s="95">
        <f>'Planning Engine'!G239</f>
        <v>0</v>
      </c>
      <c r="H239" s="99">
        <f t="shared" si="6"/>
        <v>-7088.2157720511514</v>
      </c>
      <c r="I239" s="95">
        <f>'Planning Engine'!H239</f>
        <v>-182323.40650221962</v>
      </c>
      <c r="J239" s="96">
        <f ca="1">'Planning Engine'!J239</f>
        <v>-20.224636909919656</v>
      </c>
      <c r="K239" s="95">
        <f ca="1">'Planning Engine'!K239</f>
        <v>260000</v>
      </c>
      <c r="L239" s="12" t="str">
        <f>'Planning Engine'!L239</f>
        <v>High</v>
      </c>
      <c r="M239" s="93">
        <f>'Planning Engine'!S239</f>
        <v>47665</v>
      </c>
      <c r="N239" s="95">
        <f>'Planning Engine'!T239</f>
        <v>0</v>
      </c>
      <c r="O239" s="98" t="s">
        <v>1271</v>
      </c>
      <c r="P239" s="4" t="str">
        <f t="shared" si="7"/>
        <v>⚠ Expedite production / source alternate</v>
      </c>
    </row>
    <row r="240" spans="1:16" ht="13" customHeight="1" x14ac:dyDescent="0.35">
      <c r="A240" s="93">
        <v>47788</v>
      </c>
      <c r="B240" s="61" t="s">
        <v>35</v>
      </c>
      <c r="C240" s="12" t="str">
        <f>'Planning Engine'!C240</f>
        <v>Label/Pack</v>
      </c>
      <c r="D240" s="12" t="str">
        <f>'Planning Engine'!D240</f>
        <v>units</v>
      </c>
      <c r="E240" s="95">
        <f>'Planning Engine'!E240</f>
        <v>-182323.40650221962</v>
      </c>
      <c r="F240" s="95">
        <f>'Planning Engine'!F240</f>
        <v>9098.1463796462067</v>
      </c>
      <c r="G240" s="95">
        <f>'Planning Engine'!G240</f>
        <v>0</v>
      </c>
      <c r="H240" s="95">
        <f t="shared" si="6"/>
        <v>-9098.1463796462067</v>
      </c>
      <c r="I240" s="95">
        <f>'Planning Engine'!H240</f>
        <v>-191421.55288186582</v>
      </c>
      <c r="J240" s="96">
        <f ca="1">'Planning Engine'!J240</f>
        <v>-20.503820603637177</v>
      </c>
      <c r="K240" s="95">
        <f ca="1">'Planning Engine'!K240</f>
        <v>280000</v>
      </c>
      <c r="L240" s="12" t="str">
        <f>'Planning Engine'!L240</f>
        <v>High</v>
      </c>
      <c r="M240" s="93">
        <f>'Planning Engine'!S240</f>
        <v>47696</v>
      </c>
      <c r="N240" s="95">
        <f>'Planning Engine'!T240</f>
        <v>0</v>
      </c>
      <c r="O240" s="94" t="s">
        <v>1272</v>
      </c>
      <c r="P240" s="12" t="str">
        <f t="shared" si="7"/>
        <v>⚠ Expedite production / source alternate</v>
      </c>
    </row>
    <row r="241" spans="1:16" ht="13" customHeight="1" x14ac:dyDescent="0.35">
      <c r="A241" s="97">
        <v>47818</v>
      </c>
      <c r="B241" s="53" t="s">
        <v>35</v>
      </c>
      <c r="C241" s="12" t="str">
        <f>'Planning Engine'!C241</f>
        <v>Label/Pack</v>
      </c>
      <c r="D241" s="12" t="str">
        <f>'Planning Engine'!D241</f>
        <v>units</v>
      </c>
      <c r="E241" s="95">
        <f>'Planning Engine'!E241</f>
        <v>-191421.55288186582</v>
      </c>
      <c r="F241" s="95">
        <f>'Planning Engine'!F241</f>
        <v>6922.2689094884681</v>
      </c>
      <c r="G241" s="95">
        <f>'Planning Engine'!G241</f>
        <v>0</v>
      </c>
      <c r="H241" s="99">
        <f t="shared" si="6"/>
        <v>-6922.2689094884681</v>
      </c>
      <c r="I241" s="95">
        <f>'Planning Engine'!H241</f>
        <v>-198343.82179135428</v>
      </c>
      <c r="J241" s="96">
        <f ca="1">'Planning Engine'!J241</f>
        <v>-20.44145386341923</v>
      </c>
      <c r="K241" s="95">
        <f ca="1">'Planning Engine'!K241</f>
        <v>290000</v>
      </c>
      <c r="L241" s="12" t="str">
        <f>'Planning Engine'!L241</f>
        <v>High</v>
      </c>
      <c r="M241" s="93">
        <f>'Planning Engine'!S241</f>
        <v>47727</v>
      </c>
      <c r="N241" s="95">
        <f>'Planning Engine'!T241</f>
        <v>0</v>
      </c>
      <c r="O241" s="98" t="s">
        <v>1273</v>
      </c>
      <c r="P241" s="4" t="str">
        <f t="shared" si="7"/>
        <v>⚠ Expedite production / source alternate</v>
      </c>
    </row>
    <row r="242" spans="1:16" ht="13" customHeight="1" x14ac:dyDescent="0.35">
      <c r="A242" s="93">
        <v>47849</v>
      </c>
      <c r="B242" s="61" t="s">
        <v>35</v>
      </c>
      <c r="C242" s="12" t="str">
        <f>'Planning Engine'!C242</f>
        <v>Label/Pack</v>
      </c>
      <c r="D242" s="12" t="str">
        <f>'Planning Engine'!D242</f>
        <v>units</v>
      </c>
      <c r="E242" s="95">
        <f>'Planning Engine'!E242</f>
        <v>-198343.82179135428</v>
      </c>
      <c r="F242" s="95">
        <f>'Planning Engine'!F242</f>
        <v>9257.8189256785045</v>
      </c>
      <c r="G242" s="95">
        <f>'Planning Engine'!G242</f>
        <v>0</v>
      </c>
      <c r="H242" s="95">
        <f t="shared" si="6"/>
        <v>-9257.8189256785045</v>
      </c>
      <c r="I242" s="95">
        <f>'Planning Engine'!H242</f>
        <v>-207601.64071703277</v>
      </c>
      <c r="J242" s="96">
        <f ca="1">'Planning Engine'!J242</f>
        <v>-20.408270685948978</v>
      </c>
      <c r="K242" s="95">
        <f ca="1">'Planning Engine'!K242</f>
        <v>300000</v>
      </c>
      <c r="L242" s="12" t="str">
        <f>'Planning Engine'!L242</f>
        <v>High</v>
      </c>
      <c r="M242" s="93">
        <f>'Planning Engine'!S242</f>
        <v>47757</v>
      </c>
      <c r="N242" s="95">
        <f>'Planning Engine'!T242</f>
        <v>0</v>
      </c>
      <c r="O242" s="94" t="s">
        <v>1274</v>
      </c>
      <c r="P242" s="12" t="str">
        <f t="shared" si="7"/>
        <v>⚠ Expedite production / source alternate</v>
      </c>
    </row>
    <row r="243" spans="1:16" ht="13" customHeight="1" x14ac:dyDescent="0.35">
      <c r="A243" s="97">
        <v>47880</v>
      </c>
      <c r="B243" s="53" t="s">
        <v>35</v>
      </c>
      <c r="C243" s="12" t="str">
        <f>'Planning Engine'!C243</f>
        <v>Label/Pack</v>
      </c>
      <c r="D243" s="12" t="str">
        <f>'Planning Engine'!D243</f>
        <v>units</v>
      </c>
      <c r="E243" s="95">
        <f>'Planning Engine'!E243</f>
        <v>-207601.64071703277</v>
      </c>
      <c r="F243" s="95">
        <f>'Planning Engine'!F243</f>
        <v>9169.1233414043982</v>
      </c>
      <c r="G243" s="95">
        <f>'Planning Engine'!G243</f>
        <v>0</v>
      </c>
      <c r="H243" s="99">
        <f t="shared" si="6"/>
        <v>-9169.1233414043982</v>
      </c>
      <c r="I243" s="95">
        <f>'Planning Engine'!H243</f>
        <v>-216770.76405843717</v>
      </c>
      <c r="J243" s="96">
        <f ca="1">'Planning Engine'!J243</f>
        <v>-20.757241184241302</v>
      </c>
      <c r="K243" s="95">
        <f ca="1">'Planning Engine'!K243</f>
        <v>310000</v>
      </c>
      <c r="L243" s="12" t="str">
        <f>'Planning Engine'!L243</f>
        <v>High</v>
      </c>
      <c r="M243" s="93">
        <f>'Planning Engine'!S243</f>
        <v>47788</v>
      </c>
      <c r="N243" s="95">
        <f>'Planning Engine'!T243</f>
        <v>0</v>
      </c>
      <c r="O243" s="98" t="s">
        <v>1275</v>
      </c>
      <c r="P243" s="4" t="str">
        <f t="shared" si="7"/>
        <v>⚠ Expedite production / source alternate</v>
      </c>
    </row>
    <row r="244" spans="1:16" ht="13" customHeight="1" x14ac:dyDescent="0.35">
      <c r="A244" s="93">
        <v>47908</v>
      </c>
      <c r="B244" s="61" t="s">
        <v>35</v>
      </c>
      <c r="C244" s="12" t="str">
        <f>'Planning Engine'!C244</f>
        <v>Label/Pack</v>
      </c>
      <c r="D244" s="12" t="str">
        <f>'Planning Engine'!D244</f>
        <v>units</v>
      </c>
      <c r="E244" s="95">
        <f>'Planning Engine'!E244</f>
        <v>-216770.76405843717</v>
      </c>
      <c r="F244" s="95">
        <f>'Planning Engine'!F244</f>
        <v>7940.5253458319748</v>
      </c>
      <c r="G244" s="95">
        <f>'Planning Engine'!G244</f>
        <v>0</v>
      </c>
      <c r="H244" s="95">
        <f t="shared" si="6"/>
        <v>-7940.5253458319748</v>
      </c>
      <c r="I244" s="95">
        <f>'Planning Engine'!H244</f>
        <v>-224711.28940426913</v>
      </c>
      <c r="J244" s="96">
        <f ca="1">'Planning Engine'!J244</f>
        <v>-20.691037138117789</v>
      </c>
      <c r="K244" s="95">
        <f ca="1">'Planning Engine'!K244</f>
        <v>320000</v>
      </c>
      <c r="L244" s="12" t="str">
        <f>'Planning Engine'!L244</f>
        <v>High</v>
      </c>
      <c r="M244" s="93">
        <f>'Planning Engine'!S244</f>
        <v>47818</v>
      </c>
      <c r="N244" s="95">
        <f>'Planning Engine'!T244</f>
        <v>0</v>
      </c>
      <c r="O244" s="94" t="s">
        <v>1276</v>
      </c>
      <c r="P244" s="12" t="str">
        <f t="shared" si="7"/>
        <v>⚠ Expedite production / source alternate</v>
      </c>
    </row>
    <row r="245" spans="1:16" ht="13" customHeight="1" x14ac:dyDescent="0.35">
      <c r="A245" s="97">
        <v>47939</v>
      </c>
      <c r="B245" s="53" t="s">
        <v>35</v>
      </c>
      <c r="C245" s="12" t="str">
        <f>'Planning Engine'!C245</f>
        <v>Label/Pack</v>
      </c>
      <c r="D245" s="12" t="str">
        <f>'Planning Engine'!D245</f>
        <v>units</v>
      </c>
      <c r="E245" s="95">
        <f>'Planning Engine'!E245</f>
        <v>-224711.28940426913</v>
      </c>
      <c r="F245" s="95">
        <f>'Planning Engine'!F245</f>
        <v>10319.728588057904</v>
      </c>
      <c r="G245" s="95">
        <f>'Planning Engine'!G245</f>
        <v>0</v>
      </c>
      <c r="H245" s="99">
        <f t="shared" si="6"/>
        <v>-10319.728588057904</v>
      </c>
      <c r="I245" s="95">
        <f>'Planning Engine'!H245</f>
        <v>-235031.01799232705</v>
      </c>
      <c r="J245" s="96">
        <f ca="1">'Planning Engine'!J245</f>
        <v>-21.471669636413932</v>
      </c>
      <c r="K245" s="95">
        <f ca="1">'Planning Engine'!K245</f>
        <v>330000</v>
      </c>
      <c r="L245" s="12" t="str">
        <f>'Planning Engine'!L245</f>
        <v>High</v>
      </c>
      <c r="M245" s="93">
        <f>'Planning Engine'!S245</f>
        <v>47849</v>
      </c>
      <c r="N245" s="95">
        <f>'Planning Engine'!T245</f>
        <v>0</v>
      </c>
      <c r="O245" s="98" t="s">
        <v>1277</v>
      </c>
      <c r="P245" s="4" t="str">
        <f t="shared" si="7"/>
        <v>⚠ Expedite production / source alternate</v>
      </c>
    </row>
    <row r="246" spans="1:16" ht="13" customHeight="1" x14ac:dyDescent="0.35">
      <c r="A246" s="93">
        <v>47969</v>
      </c>
      <c r="B246" s="61" t="s">
        <v>35</v>
      </c>
      <c r="C246" s="12" t="str">
        <f>'Planning Engine'!C246</f>
        <v>Label/Pack</v>
      </c>
      <c r="D246" s="12" t="str">
        <f>'Planning Engine'!D246</f>
        <v>units</v>
      </c>
      <c r="E246" s="95">
        <f>'Planning Engine'!E246</f>
        <v>-235031.01799232705</v>
      </c>
      <c r="F246" s="95">
        <f>'Planning Engine'!F246</f>
        <v>11043.26873691061</v>
      </c>
      <c r="G246" s="95">
        <f>'Planning Engine'!G246</f>
        <v>0</v>
      </c>
      <c r="H246" s="95">
        <f t="shared" si="6"/>
        <v>-11043.26873691061</v>
      </c>
      <c r="I246" s="95">
        <f>'Planning Engine'!H246</f>
        <v>-246074.28672923765</v>
      </c>
      <c r="J246" s="96">
        <f ca="1">'Planning Engine'!J246</f>
        <v>-21.642518694018968</v>
      </c>
      <c r="K246" s="95">
        <f ca="1">'Planning Engine'!K246</f>
        <v>350000</v>
      </c>
      <c r="L246" s="12" t="str">
        <f>'Planning Engine'!L246</f>
        <v>High</v>
      </c>
      <c r="M246" s="93">
        <f>'Planning Engine'!S246</f>
        <v>47880</v>
      </c>
      <c r="N246" s="95">
        <f>'Planning Engine'!T246</f>
        <v>0</v>
      </c>
      <c r="O246" s="94" t="s">
        <v>1278</v>
      </c>
      <c r="P246" s="12" t="str">
        <f t="shared" si="7"/>
        <v>⚠ Expedite production / source alternate</v>
      </c>
    </row>
    <row r="247" spans="1:16" ht="13" customHeight="1" x14ac:dyDescent="0.35">
      <c r="A247" s="97">
        <v>48000</v>
      </c>
      <c r="B247" s="53" t="s">
        <v>35</v>
      </c>
      <c r="C247" s="12" t="str">
        <f>'Planning Engine'!C247</f>
        <v>Label/Pack</v>
      </c>
      <c r="D247" s="12" t="str">
        <f>'Planning Engine'!D247</f>
        <v>units</v>
      </c>
      <c r="E247" s="95">
        <f>'Planning Engine'!E247</f>
        <v>-246074.28672923765</v>
      </c>
      <c r="F247" s="95">
        <f>'Planning Engine'!F247</f>
        <v>10295.149615750834</v>
      </c>
      <c r="G247" s="95">
        <f>'Planning Engine'!G247</f>
        <v>0</v>
      </c>
      <c r="H247" s="99">
        <f t="shared" si="6"/>
        <v>-10295.149615750834</v>
      </c>
      <c r="I247" s="95">
        <f>'Planning Engine'!H247</f>
        <v>-256369.43634498847</v>
      </c>
      <c r="J247" s="96">
        <f ca="1">'Planning Engine'!J247</f>
        <v>-22.586888019586159</v>
      </c>
      <c r="K247" s="95">
        <f ca="1">'Planning Engine'!K247</f>
        <v>360000</v>
      </c>
      <c r="L247" s="12" t="str">
        <f>'Planning Engine'!L247</f>
        <v>High</v>
      </c>
      <c r="M247" s="93">
        <f>'Planning Engine'!S247</f>
        <v>47908</v>
      </c>
      <c r="N247" s="95">
        <f>'Planning Engine'!T247</f>
        <v>0</v>
      </c>
      <c r="O247" s="98" t="s">
        <v>1279</v>
      </c>
      <c r="P247" s="4" t="str">
        <f t="shared" si="7"/>
        <v>⚠ Expedite production / source alternate</v>
      </c>
    </row>
    <row r="248" spans="1:16" ht="13" customHeight="1" x14ac:dyDescent="0.35">
      <c r="A248" s="93">
        <v>48030</v>
      </c>
      <c r="B248" s="61" t="s">
        <v>35</v>
      </c>
      <c r="C248" s="12" t="str">
        <f>'Planning Engine'!C248</f>
        <v>Label/Pack</v>
      </c>
      <c r="D248" s="12" t="str">
        <f>'Planning Engine'!D248</f>
        <v>units</v>
      </c>
      <c r="E248" s="95">
        <f>'Planning Engine'!E248</f>
        <v>-256369.43634498847</v>
      </c>
      <c r="F248" s="95">
        <f>'Planning Engine'!F248</f>
        <v>9977.0412345885452</v>
      </c>
      <c r="G248" s="95">
        <f>'Planning Engine'!G248</f>
        <v>0</v>
      </c>
      <c r="H248" s="95">
        <f t="shared" si="6"/>
        <v>-9977.0412345885452</v>
      </c>
      <c r="I248" s="95">
        <f>'Planning Engine'!H248</f>
        <v>-266346.47757957701</v>
      </c>
      <c r="J248" s="96">
        <f ca="1">'Planning Engine'!J248</f>
        <v>-23.406493946884666</v>
      </c>
      <c r="K248" s="95">
        <f ca="1">'Planning Engine'!K248</f>
        <v>370000</v>
      </c>
      <c r="L248" s="12" t="str">
        <f>'Planning Engine'!L248</f>
        <v>High</v>
      </c>
      <c r="M248" s="93">
        <f>'Planning Engine'!S248</f>
        <v>47939</v>
      </c>
      <c r="N248" s="95">
        <f>'Planning Engine'!T248</f>
        <v>0</v>
      </c>
      <c r="O248" s="94" t="s">
        <v>1280</v>
      </c>
      <c r="P248" s="12" t="str">
        <f t="shared" si="7"/>
        <v>⚠ Expedite production / source alternate</v>
      </c>
    </row>
    <row r="249" spans="1:16" ht="13" customHeight="1" x14ac:dyDescent="0.35">
      <c r="A249" s="97">
        <v>48061</v>
      </c>
      <c r="B249" s="53" t="s">
        <v>35</v>
      </c>
      <c r="C249" s="12" t="str">
        <f>'Planning Engine'!C249</f>
        <v>Label/Pack</v>
      </c>
      <c r="D249" s="12" t="str">
        <f>'Planning Engine'!D249</f>
        <v>units</v>
      </c>
      <c r="E249" s="95">
        <f>'Planning Engine'!E249</f>
        <v>-266346.47757957701</v>
      </c>
      <c r="F249" s="95">
        <f>'Planning Engine'!F249</f>
        <v>12402.249193607895</v>
      </c>
      <c r="G249" s="95">
        <f>'Planning Engine'!G249</f>
        <v>0</v>
      </c>
      <c r="H249" s="99">
        <f t="shared" si="6"/>
        <v>-12402.249193607895</v>
      </c>
      <c r="I249" s="95">
        <f>'Planning Engine'!H249</f>
        <v>-278748.7267731849</v>
      </c>
      <c r="J249" s="96">
        <f ca="1">'Planning Engine'!J249</f>
        <v>-23.329905957587311</v>
      </c>
      <c r="K249" s="95">
        <f ca="1">'Planning Engine'!K249</f>
        <v>390000</v>
      </c>
      <c r="L249" s="12" t="str">
        <f>'Planning Engine'!L249</f>
        <v>High</v>
      </c>
      <c r="M249" s="93">
        <f>'Planning Engine'!S249</f>
        <v>47969</v>
      </c>
      <c r="N249" s="95">
        <f>'Planning Engine'!T249</f>
        <v>0</v>
      </c>
      <c r="O249" s="98" t="s">
        <v>1281</v>
      </c>
      <c r="P249" s="4" t="str">
        <f t="shared" si="7"/>
        <v>⚠ Expedite production / source alternate</v>
      </c>
    </row>
    <row r="250" spans="1:16" ht="13" customHeight="1" x14ac:dyDescent="0.35">
      <c r="A250" s="93">
        <v>48092</v>
      </c>
      <c r="B250" s="61" t="s">
        <v>35</v>
      </c>
      <c r="C250" s="12" t="str">
        <f>'Planning Engine'!C250</f>
        <v>Label/Pack</v>
      </c>
      <c r="D250" s="12" t="str">
        <f>'Planning Engine'!D250</f>
        <v>units</v>
      </c>
      <c r="E250" s="95">
        <f>'Planning Engine'!E250</f>
        <v>-278748.7267731849</v>
      </c>
      <c r="F250" s="95">
        <f>'Planning Engine'!F250</f>
        <v>11146.936681054176</v>
      </c>
      <c r="G250" s="95">
        <f>'Planning Engine'!G250</f>
        <v>0</v>
      </c>
      <c r="H250" s="95">
        <f t="shared" si="6"/>
        <v>-11146.936681054176</v>
      </c>
      <c r="I250" s="95">
        <f>'Planning Engine'!H250</f>
        <v>-289895.66345423908</v>
      </c>
      <c r="J250" s="96">
        <f ca="1">'Planning Engine'!J250</f>
        <v>-24.161156700192063</v>
      </c>
      <c r="K250" s="95">
        <f ca="1">'Planning Engine'!K250</f>
        <v>400000</v>
      </c>
      <c r="L250" s="12" t="str">
        <f>'Planning Engine'!L250</f>
        <v>High</v>
      </c>
      <c r="M250" s="93">
        <f>'Planning Engine'!S250</f>
        <v>48000</v>
      </c>
      <c r="N250" s="95">
        <f>'Planning Engine'!T250</f>
        <v>0</v>
      </c>
      <c r="O250" s="94" t="s">
        <v>1282</v>
      </c>
      <c r="P250" s="12" t="str">
        <f t="shared" si="7"/>
        <v>⚠ Expedite production / source alternate</v>
      </c>
    </row>
    <row r="251" spans="1:16" ht="13" customHeight="1" x14ac:dyDescent="0.35">
      <c r="A251" s="97">
        <v>48122</v>
      </c>
      <c r="B251" s="53" t="s">
        <v>35</v>
      </c>
      <c r="C251" s="12" t="str">
        <f>'Planning Engine'!C251</f>
        <v>Label/Pack</v>
      </c>
      <c r="D251" s="12" t="str">
        <f>'Planning Engine'!D251</f>
        <v>units</v>
      </c>
      <c r="E251" s="95">
        <f>'Planning Engine'!E251</f>
        <v>-289895.66345423908</v>
      </c>
      <c r="F251" s="95">
        <f>'Planning Engine'!F251</f>
        <v>11694.232214856709</v>
      </c>
      <c r="G251" s="95">
        <f>'Planning Engine'!G251</f>
        <v>0</v>
      </c>
      <c r="H251" s="99">
        <f t="shared" si="6"/>
        <v>-11694.232214856709</v>
      </c>
      <c r="I251" s="95">
        <f>'Planning Engine'!H251</f>
        <v>-301589.8956690958</v>
      </c>
      <c r="J251" s="96">
        <f ca="1">'Planning Engine'!J251</f>
        <v>-25.128582776184086</v>
      </c>
      <c r="K251" s="95">
        <f ca="1">'Planning Engine'!K251</f>
        <v>410000</v>
      </c>
      <c r="L251" s="12" t="str">
        <f>'Planning Engine'!L251</f>
        <v>High</v>
      </c>
      <c r="M251" s="93">
        <f>'Planning Engine'!S251</f>
        <v>48030</v>
      </c>
      <c r="N251" s="95">
        <f>'Planning Engine'!T251</f>
        <v>0</v>
      </c>
      <c r="O251" s="98" t="s">
        <v>1283</v>
      </c>
      <c r="P251" s="4" t="str">
        <f t="shared" si="7"/>
        <v>⚠ Expedite production / source alternate</v>
      </c>
    </row>
    <row r="252" spans="1:16" ht="13" customHeight="1" x14ac:dyDescent="0.35">
      <c r="A252" s="93">
        <v>48153</v>
      </c>
      <c r="B252" s="61" t="s">
        <v>35</v>
      </c>
      <c r="C252" s="12" t="str">
        <f>'Planning Engine'!C252</f>
        <v>Label/Pack</v>
      </c>
      <c r="D252" s="12" t="str">
        <f>'Planning Engine'!D252</f>
        <v>units</v>
      </c>
      <c r="E252" s="95">
        <f>'Planning Engine'!E252</f>
        <v>-301589.8956690958</v>
      </c>
      <c r="F252" s="95">
        <f>'Planning Engine'!F252</f>
        <v>12923.750543502676</v>
      </c>
      <c r="G252" s="95">
        <f>'Planning Engine'!G252</f>
        <v>0</v>
      </c>
      <c r="H252" s="95">
        <f t="shared" si="6"/>
        <v>-12923.750543502676</v>
      </c>
      <c r="I252" s="95">
        <f>'Planning Engine'!H252</f>
        <v>-314513.64621259848</v>
      </c>
      <c r="J252" s="96">
        <f ca="1">'Planning Engine'!J252</f>
        <v>-25.899430956428166</v>
      </c>
      <c r="K252" s="95">
        <f ca="1">'Planning Engine'!K252</f>
        <v>420000</v>
      </c>
      <c r="L252" s="12" t="str">
        <f>'Planning Engine'!L252</f>
        <v>High</v>
      </c>
      <c r="M252" s="93">
        <f>'Planning Engine'!S252</f>
        <v>48061</v>
      </c>
      <c r="N252" s="95">
        <f>'Planning Engine'!T252</f>
        <v>0</v>
      </c>
      <c r="O252" s="94" t="s">
        <v>1284</v>
      </c>
      <c r="P252" s="12" t="str">
        <f t="shared" si="7"/>
        <v>⚠ Expedite production / source alternate</v>
      </c>
    </row>
    <row r="253" spans="1:16" ht="13" customHeight="1" x14ac:dyDescent="0.35">
      <c r="A253" s="97">
        <v>48183</v>
      </c>
      <c r="B253" s="53" t="s">
        <v>35</v>
      </c>
      <c r="C253" s="12" t="str">
        <f>'Planning Engine'!C253</f>
        <v>Label/Pack</v>
      </c>
      <c r="D253" s="12" t="str">
        <f>'Planning Engine'!D253</f>
        <v>units</v>
      </c>
      <c r="E253" s="95">
        <f>'Planning Engine'!E253</f>
        <v>-314513.64621259848</v>
      </c>
      <c r="F253" s="95">
        <f>'Planning Engine'!F253</f>
        <v>8712.5327065330057</v>
      </c>
      <c r="G253" s="95">
        <f>'Planning Engine'!G253</f>
        <v>0</v>
      </c>
      <c r="H253" s="99">
        <f t="shared" si="6"/>
        <v>-8712.5327065330057</v>
      </c>
      <c r="I253" s="95">
        <f>'Planning Engine'!H253</f>
        <v>-323226.17891913152</v>
      </c>
      <c r="J253" s="96">
        <f ca="1">'Planning Engine'!J253</f>
        <v>-26.680835656366938</v>
      </c>
      <c r="K253" s="95">
        <f ca="1">'Planning Engine'!K253</f>
        <v>430000</v>
      </c>
      <c r="L253" s="12" t="str">
        <f>'Planning Engine'!L253</f>
        <v>High</v>
      </c>
      <c r="M253" s="93">
        <f>'Planning Engine'!S253</f>
        <v>48092</v>
      </c>
      <c r="N253" s="95">
        <f>'Planning Engine'!T253</f>
        <v>0</v>
      </c>
      <c r="O253" s="98" t="s">
        <v>1285</v>
      </c>
      <c r="P253" s="4" t="str">
        <f t="shared" si="7"/>
        <v>⚠ Expedite production / source alternate</v>
      </c>
    </row>
    <row r="254" spans="1:16" ht="13" customHeight="1" x14ac:dyDescent="0.35">
      <c r="A254" s="93">
        <v>48214</v>
      </c>
      <c r="B254" s="61" t="s">
        <v>35</v>
      </c>
      <c r="C254" s="12" t="str">
        <f>'Planning Engine'!C254</f>
        <v>Label/Pack</v>
      </c>
      <c r="D254" s="12" t="str">
        <f>'Planning Engine'!D254</f>
        <v>units</v>
      </c>
      <c r="E254" s="95">
        <f>'Planning Engine'!E254</f>
        <v>-323226.17891913152</v>
      </c>
      <c r="F254" s="95">
        <f>'Planning Engine'!F254</f>
        <v>14134.360506168839</v>
      </c>
      <c r="G254" s="95">
        <f>'Planning Engine'!G254</f>
        <v>0</v>
      </c>
      <c r="H254" s="95">
        <f t="shared" si="6"/>
        <v>-14134.360506168839</v>
      </c>
      <c r="I254" s="95">
        <f>'Planning Engine'!H254</f>
        <v>-337360.53942530038</v>
      </c>
      <c r="J254" s="96">
        <f ca="1">'Planning Engine'!J254</f>
        <v>-26.603241690618074</v>
      </c>
      <c r="K254" s="95">
        <f ca="1">'Planning Engine'!K254</f>
        <v>450000</v>
      </c>
      <c r="L254" s="12" t="str">
        <f>'Planning Engine'!L254</f>
        <v>High</v>
      </c>
      <c r="M254" s="93">
        <f>'Planning Engine'!S254</f>
        <v>48122</v>
      </c>
      <c r="N254" s="95">
        <f>'Planning Engine'!T254</f>
        <v>0</v>
      </c>
      <c r="O254" s="94" t="s">
        <v>1286</v>
      </c>
      <c r="P254" s="12" t="str">
        <f t="shared" si="7"/>
        <v>⚠ Expedite production / source alternate</v>
      </c>
    </row>
    <row r="255" spans="1:16" ht="13" customHeight="1" x14ac:dyDescent="0.35">
      <c r="A255" s="97">
        <v>48245</v>
      </c>
      <c r="B255" s="53" t="s">
        <v>35</v>
      </c>
      <c r="C255" s="12" t="str">
        <f>'Planning Engine'!C255</f>
        <v>Label/Pack</v>
      </c>
      <c r="D255" s="12" t="str">
        <f>'Planning Engine'!D255</f>
        <v>units</v>
      </c>
      <c r="E255" s="95">
        <f>'Planning Engine'!E255</f>
        <v>-337360.53942530038</v>
      </c>
      <c r="F255" s="95">
        <f>'Planning Engine'!F255</f>
        <v>10867.037527190096</v>
      </c>
      <c r="G255" s="95">
        <f>'Planning Engine'!G255</f>
        <v>0</v>
      </c>
      <c r="H255" s="99">
        <f t="shared" si="6"/>
        <v>-10867.037527190096</v>
      </c>
      <c r="I255" s="95">
        <f>'Planning Engine'!H255</f>
        <v>-348227.57695249049</v>
      </c>
      <c r="J255" s="96">
        <f ca="1">'Planning Engine'!J255</f>
        <v>-27.871689958574038</v>
      </c>
      <c r="K255" s="95">
        <f ca="1">'Planning Engine'!K255</f>
        <v>460000</v>
      </c>
      <c r="L255" s="12" t="str">
        <f>'Planning Engine'!L255</f>
        <v>High</v>
      </c>
      <c r="M255" s="93">
        <f>'Planning Engine'!S255</f>
        <v>48153</v>
      </c>
      <c r="N255" s="95">
        <f>'Planning Engine'!T255</f>
        <v>0</v>
      </c>
      <c r="O255" s="98" t="s">
        <v>1287</v>
      </c>
      <c r="P255" s="4" t="str">
        <f t="shared" si="7"/>
        <v>⚠ Expedite production / source alternate</v>
      </c>
    </row>
    <row r="256" spans="1:16" ht="13" customHeight="1" x14ac:dyDescent="0.35">
      <c r="A256" s="93">
        <v>48274</v>
      </c>
      <c r="B256" s="61" t="s">
        <v>35</v>
      </c>
      <c r="C256" s="12" t="str">
        <f>'Planning Engine'!C256</f>
        <v>Label/Pack</v>
      </c>
      <c r="D256" s="12" t="str">
        <f>'Planning Engine'!D256</f>
        <v>units</v>
      </c>
      <c r="E256" s="95">
        <f>'Planning Engine'!E256</f>
        <v>-348227.57695249049</v>
      </c>
      <c r="F256" s="95">
        <f>'Planning Engine'!F256</f>
        <v>10554.390874396569</v>
      </c>
      <c r="G256" s="95">
        <f>'Planning Engine'!G256</f>
        <v>0</v>
      </c>
      <c r="H256" s="95">
        <f t="shared" si="6"/>
        <v>-10554.390874396569</v>
      </c>
      <c r="I256" s="95">
        <f>'Planning Engine'!H256</f>
        <v>-358781.96782688703</v>
      </c>
      <c r="J256" s="96">
        <f ca="1">'Planning Engine'!J256</f>
        <v>-28.493968812204379</v>
      </c>
      <c r="K256" s="95">
        <f ca="1">'Planning Engine'!K256</f>
        <v>470000</v>
      </c>
      <c r="L256" s="12" t="str">
        <f>'Planning Engine'!L256</f>
        <v>High</v>
      </c>
      <c r="M256" s="93">
        <f>'Planning Engine'!S256</f>
        <v>48183</v>
      </c>
      <c r="N256" s="95">
        <f>'Planning Engine'!T256</f>
        <v>0</v>
      </c>
      <c r="O256" s="94" t="s">
        <v>1288</v>
      </c>
      <c r="P256" s="12" t="str">
        <f t="shared" si="7"/>
        <v>⚠ Expedite production / source alternate</v>
      </c>
    </row>
    <row r="257" spans="1:16" ht="13" customHeight="1" x14ac:dyDescent="0.35">
      <c r="A257" s="97">
        <v>48305</v>
      </c>
      <c r="B257" s="53" t="s">
        <v>35</v>
      </c>
      <c r="C257" s="12" t="str">
        <f>'Planning Engine'!C257</f>
        <v>Label/Pack</v>
      </c>
      <c r="D257" s="12" t="str">
        <f>'Planning Engine'!D257</f>
        <v>units</v>
      </c>
      <c r="E257" s="95">
        <f>'Planning Engine'!E257</f>
        <v>-358781.96782688703</v>
      </c>
      <c r="F257" s="95">
        <f>'Planning Engine'!F257</f>
        <v>15097.671074447366</v>
      </c>
      <c r="G257" s="95">
        <f>'Planning Engine'!G257</f>
        <v>0</v>
      </c>
      <c r="H257" s="99">
        <f t="shared" si="6"/>
        <v>-15097.671074447366</v>
      </c>
      <c r="I257" s="95">
        <f>'Planning Engine'!H257</f>
        <v>-373879.63890133437</v>
      </c>
      <c r="J257" s="96">
        <f ca="1">'Planning Engine'!J257</f>
        <v>-29.300467833468293</v>
      </c>
      <c r="K257" s="95">
        <f ca="1">'Planning Engine'!K257</f>
        <v>490000</v>
      </c>
      <c r="L257" s="12" t="str">
        <f>'Planning Engine'!L257</f>
        <v>High</v>
      </c>
      <c r="M257" s="93">
        <f>'Planning Engine'!S257</f>
        <v>48214</v>
      </c>
      <c r="N257" s="95">
        <f>'Planning Engine'!T257</f>
        <v>0</v>
      </c>
      <c r="O257" s="98" t="s">
        <v>1289</v>
      </c>
      <c r="P257" s="4" t="str">
        <f t="shared" si="7"/>
        <v>⚠ Expedite production / source alternate</v>
      </c>
    </row>
    <row r="258" spans="1:16" ht="13" customHeight="1" x14ac:dyDescent="0.35">
      <c r="A258" s="93">
        <v>48335</v>
      </c>
      <c r="B258" s="61" t="s">
        <v>35</v>
      </c>
      <c r="C258" s="12" t="str">
        <f>'Planning Engine'!C258</f>
        <v>Label/Pack</v>
      </c>
      <c r="D258" s="12" t="str">
        <f>'Planning Engine'!D258</f>
        <v>units</v>
      </c>
      <c r="E258" s="95">
        <f>'Planning Engine'!E258</f>
        <v>-373879.63890133437</v>
      </c>
      <c r="F258" s="95">
        <f>'Planning Engine'!F258</f>
        <v>12854.852107526072</v>
      </c>
      <c r="G258" s="95">
        <f>'Planning Engine'!G258</f>
        <v>0</v>
      </c>
      <c r="H258" s="95">
        <f t="shared" si="6"/>
        <v>-12854.852107526072</v>
      </c>
      <c r="I258" s="95">
        <f>'Planning Engine'!H258</f>
        <v>-386734.49100886047</v>
      </c>
      <c r="J258" s="96">
        <f ca="1">'Planning Engine'!J258</f>
        <v>-30.536684080407255</v>
      </c>
      <c r="K258" s="95">
        <f ca="1">'Planning Engine'!K258</f>
        <v>500000</v>
      </c>
      <c r="L258" s="12" t="str">
        <f>'Planning Engine'!L258</f>
        <v>High</v>
      </c>
      <c r="M258" s="93">
        <f>'Planning Engine'!S258</f>
        <v>48245</v>
      </c>
      <c r="N258" s="95">
        <f>'Planning Engine'!T258</f>
        <v>0</v>
      </c>
      <c r="O258" s="94" t="s">
        <v>1290</v>
      </c>
      <c r="P258" s="12" t="str">
        <f t="shared" si="7"/>
        <v>⚠ Expedite production / source alternate</v>
      </c>
    </row>
    <row r="259" spans="1:16" ht="13" customHeight="1" x14ac:dyDescent="0.35">
      <c r="A259" s="97">
        <v>48366</v>
      </c>
      <c r="B259" s="53" t="s">
        <v>35</v>
      </c>
      <c r="C259" s="12" t="str">
        <f>'Planning Engine'!C259</f>
        <v>Label/Pack</v>
      </c>
      <c r="D259" s="12" t="str">
        <f>'Planning Engine'!D259</f>
        <v>units</v>
      </c>
      <c r="E259" s="95">
        <f>'Planning Engine'!E259</f>
        <v>-386734.49100886047</v>
      </c>
      <c r="F259" s="95">
        <f>'Planning Engine'!F259</f>
        <v>11177.970893494115</v>
      </c>
      <c r="G259" s="95">
        <f>'Planning Engine'!G259</f>
        <v>0</v>
      </c>
      <c r="H259" s="99">
        <f t="shared" si="6"/>
        <v>-11177.970893494115</v>
      </c>
      <c r="I259" s="95">
        <f>'Planning Engine'!H259</f>
        <v>-397912.46190235461</v>
      </c>
      <c r="J259" s="96">
        <f ca="1">'Planning Engine'!J259</f>
        <v>-32.142565052431152</v>
      </c>
      <c r="K259" s="95">
        <f ca="1">'Planning Engine'!K259</f>
        <v>510000</v>
      </c>
      <c r="L259" s="12" t="str">
        <f>'Planning Engine'!L259</f>
        <v>High</v>
      </c>
      <c r="M259" s="93">
        <f>'Planning Engine'!S259</f>
        <v>48274</v>
      </c>
      <c r="N259" s="95">
        <f>'Planning Engine'!T259</f>
        <v>0</v>
      </c>
      <c r="O259" s="98" t="s">
        <v>1291</v>
      </c>
      <c r="P259" s="4" t="str">
        <f t="shared" si="7"/>
        <v>⚠ Expedite production / source alternate</v>
      </c>
    </row>
    <row r="260" spans="1:16" ht="13" customHeight="1" x14ac:dyDescent="0.35">
      <c r="A260" s="93">
        <v>48396</v>
      </c>
      <c r="B260" s="61" t="s">
        <v>35</v>
      </c>
      <c r="C260" s="12" t="str">
        <f>'Planning Engine'!C260</f>
        <v>Label/Pack</v>
      </c>
      <c r="D260" s="12" t="str">
        <f>'Planning Engine'!D260</f>
        <v>units</v>
      </c>
      <c r="E260" s="95">
        <f>'Planning Engine'!E260</f>
        <v>-397912.46190235461</v>
      </c>
      <c r="F260" s="95">
        <f>'Planning Engine'!F260</f>
        <v>12970.291230500843</v>
      </c>
      <c r="G260" s="95">
        <f>'Planning Engine'!G260</f>
        <v>0</v>
      </c>
      <c r="H260" s="95">
        <f t="shared" ref="H260:H323" si="8">G260-F260</f>
        <v>-12970.291230500843</v>
      </c>
      <c r="I260" s="95">
        <f>'Planning Engine'!H260</f>
        <v>-410882.75313285546</v>
      </c>
      <c r="J260" s="96">
        <f ca="1">'Planning Engine'!J260</f>
        <v>-33.156803651963266</v>
      </c>
      <c r="K260" s="95">
        <f ca="1">'Planning Engine'!K260</f>
        <v>520000</v>
      </c>
      <c r="L260" s="12" t="str">
        <f>'Planning Engine'!L260</f>
        <v>High</v>
      </c>
      <c r="M260" s="93">
        <f>'Planning Engine'!S260</f>
        <v>48305</v>
      </c>
      <c r="N260" s="95">
        <f>'Planning Engine'!T260</f>
        <v>0</v>
      </c>
      <c r="O260" s="94" t="s">
        <v>1292</v>
      </c>
      <c r="P260" s="12" t="str">
        <f t="shared" ref="P260:P323" si="9">IFERROR(IF(L260="High","⚠ Expedite production / source alternate",IF(L260="Medium","Plan additional batches",IF(L260="Overstock","Defer / consume inventory","Plan acceptable"))),"--")</f>
        <v>⚠ Expedite production / source alternate</v>
      </c>
    </row>
    <row r="261" spans="1:16" ht="13" customHeight="1" x14ac:dyDescent="0.35">
      <c r="A261" s="97">
        <v>48427</v>
      </c>
      <c r="B261" s="53" t="s">
        <v>35</v>
      </c>
      <c r="C261" s="12" t="str">
        <f>'Planning Engine'!C261</f>
        <v>Label/Pack</v>
      </c>
      <c r="D261" s="12" t="str">
        <f>'Planning Engine'!D261</f>
        <v>units</v>
      </c>
      <c r="E261" s="95">
        <f>'Planning Engine'!E261</f>
        <v>-410882.75313285546</v>
      </c>
      <c r="F261" s="95">
        <f>'Planning Engine'!F261</f>
        <v>12661.796299522501</v>
      </c>
      <c r="G261" s="95">
        <f>'Planning Engine'!G261</f>
        <v>0</v>
      </c>
      <c r="H261" s="99">
        <f t="shared" si="8"/>
        <v>-12661.796299522501</v>
      </c>
      <c r="I261" s="95">
        <f>'Planning Engine'!H261</f>
        <v>-423544.54943237797</v>
      </c>
      <c r="J261" s="96">
        <f ca="1">'Planning Engine'!J261</f>
        <v>-33.405104110828908</v>
      </c>
      <c r="K261" s="95">
        <f ca="1">'Planning Engine'!K261</f>
        <v>540000</v>
      </c>
      <c r="L261" s="12" t="str">
        <f>'Planning Engine'!L261</f>
        <v>High</v>
      </c>
      <c r="M261" s="93">
        <f>'Planning Engine'!S261</f>
        <v>48335</v>
      </c>
      <c r="N261" s="95">
        <f>'Planning Engine'!T261</f>
        <v>0</v>
      </c>
      <c r="O261" s="98" t="s">
        <v>1293</v>
      </c>
      <c r="P261" s="4" t="str">
        <f t="shared" si="9"/>
        <v>⚠ Expedite production / source alternate</v>
      </c>
    </row>
    <row r="262" spans="1:16" ht="13" customHeight="1" x14ac:dyDescent="0.35">
      <c r="A262" s="93">
        <v>48458</v>
      </c>
      <c r="B262" s="61" t="s">
        <v>35</v>
      </c>
      <c r="C262" s="12" t="str">
        <f>'Planning Engine'!C262</f>
        <v>Label/Pack</v>
      </c>
      <c r="D262" s="12" t="str">
        <f>'Planning Engine'!D262</f>
        <v>units</v>
      </c>
      <c r="E262" s="95">
        <f>'Planning Engine'!E262</f>
        <v>-423544.54943237797</v>
      </c>
      <c r="F262" s="95">
        <f>'Planning Engine'!F262</f>
        <v>13812.264021358777</v>
      </c>
      <c r="G262" s="95">
        <f>'Planning Engine'!G262</f>
        <v>0</v>
      </c>
      <c r="H262" s="95">
        <f t="shared" si="8"/>
        <v>-13812.264021358777</v>
      </c>
      <c r="I262" s="95">
        <f>'Planning Engine'!H262</f>
        <v>-437356.81345373677</v>
      </c>
      <c r="J262" s="96">
        <f ca="1">'Planning Engine'!J262</f>
        <v>-34.680122783512935</v>
      </c>
      <c r="K262" s="95">
        <f ca="1">'Planning Engine'!K262</f>
        <v>550000</v>
      </c>
      <c r="L262" s="12" t="str">
        <f>'Planning Engine'!L262</f>
        <v>High</v>
      </c>
      <c r="M262" s="93">
        <f>'Planning Engine'!S262</f>
        <v>48366</v>
      </c>
      <c r="N262" s="95">
        <f>'Planning Engine'!T262</f>
        <v>0</v>
      </c>
      <c r="O262" s="94" t="s">
        <v>1294</v>
      </c>
      <c r="P262" s="12" t="str">
        <f t="shared" si="9"/>
        <v>⚠ Expedite production / source alternate</v>
      </c>
    </row>
    <row r="263" spans="1:16" ht="13" customHeight="1" x14ac:dyDescent="0.35">
      <c r="A263" s="97">
        <v>48488</v>
      </c>
      <c r="B263" s="53" t="s">
        <v>35</v>
      </c>
      <c r="C263" s="12" t="str">
        <f>'Planning Engine'!C263</f>
        <v>Label/Pack</v>
      </c>
      <c r="D263" s="12" t="str">
        <f>'Planning Engine'!D263</f>
        <v>units</v>
      </c>
      <c r="E263" s="95">
        <f>'Planning Engine'!E263</f>
        <v>-437356.81345373677</v>
      </c>
      <c r="F263" s="95">
        <f>'Planning Engine'!F263</f>
        <v>12449.300575420872</v>
      </c>
      <c r="G263" s="95">
        <f>'Planning Engine'!G263</f>
        <v>0</v>
      </c>
      <c r="H263" s="99">
        <f t="shared" si="8"/>
        <v>-12449.300575420872</v>
      </c>
      <c r="I263" s="95">
        <f>'Planning Engine'!H263</f>
        <v>-449806.11402915767</v>
      </c>
      <c r="J263" s="96">
        <f ca="1">'Planning Engine'!J263</f>
        <v>-35.985361812032778</v>
      </c>
      <c r="K263" s="95">
        <f ca="1">'Planning Engine'!K263</f>
        <v>560000</v>
      </c>
      <c r="L263" s="12" t="str">
        <f>'Planning Engine'!L263</f>
        <v>High</v>
      </c>
      <c r="M263" s="93">
        <f>'Planning Engine'!S263</f>
        <v>48396</v>
      </c>
      <c r="N263" s="95">
        <f>'Planning Engine'!T263</f>
        <v>0</v>
      </c>
      <c r="O263" s="98" t="s">
        <v>1295</v>
      </c>
      <c r="P263" s="4" t="str">
        <f t="shared" si="9"/>
        <v>⚠ Expedite production / source alternate</v>
      </c>
    </row>
    <row r="264" spans="1:16" ht="13" customHeight="1" x14ac:dyDescent="0.35">
      <c r="A264" s="93">
        <v>48519</v>
      </c>
      <c r="B264" s="61" t="s">
        <v>35</v>
      </c>
      <c r="C264" s="12" t="str">
        <f>'Planning Engine'!C264</f>
        <v>Label/Pack</v>
      </c>
      <c r="D264" s="12" t="str">
        <f>'Planning Engine'!D264</f>
        <v>units</v>
      </c>
      <c r="E264" s="95">
        <f>'Planning Engine'!E264</f>
        <v>-449806.11402915767</v>
      </c>
      <c r="F264" s="95">
        <f>'Planning Engine'!F264</f>
        <v>11745.013311264105</v>
      </c>
      <c r="G264" s="95">
        <f>'Planning Engine'!G264</f>
        <v>0</v>
      </c>
      <c r="H264" s="95">
        <f t="shared" si="8"/>
        <v>-11745.013311264105</v>
      </c>
      <c r="I264" s="95">
        <f>'Planning Engine'!H264</f>
        <v>-461551.12734042178</v>
      </c>
      <c r="J264" s="96">
        <f ca="1">'Planning Engine'!J264</f>
        <v>-36.800561459887362</v>
      </c>
      <c r="K264" s="95">
        <f ca="1">'Planning Engine'!K264</f>
        <v>570000</v>
      </c>
      <c r="L264" s="12" t="str">
        <f>'Planning Engine'!L264</f>
        <v>High</v>
      </c>
      <c r="M264" s="93">
        <f>'Planning Engine'!S264</f>
        <v>48427</v>
      </c>
      <c r="N264" s="95">
        <f>'Planning Engine'!T264</f>
        <v>0</v>
      </c>
      <c r="O264" s="94" t="s">
        <v>1296</v>
      </c>
      <c r="P264" s="12" t="str">
        <f t="shared" si="9"/>
        <v>⚠ Expedite production / source alternate</v>
      </c>
    </row>
    <row r="265" spans="1:16" ht="13" customHeight="1" x14ac:dyDescent="0.35">
      <c r="A265" s="97">
        <v>48549</v>
      </c>
      <c r="B265" s="53" t="s">
        <v>35</v>
      </c>
      <c r="C265" s="12" t="str">
        <f>'Planning Engine'!C265</f>
        <v>Label/Pack</v>
      </c>
      <c r="D265" s="12" t="str">
        <f>'Planning Engine'!D265</f>
        <v>units</v>
      </c>
      <c r="E265" s="95">
        <f>'Planning Engine'!E265</f>
        <v>-461551.12734042178</v>
      </c>
      <c r="F265" s="95">
        <f>'Planning Engine'!F265</f>
        <v>12072.581896083799</v>
      </c>
      <c r="G265" s="95">
        <f>'Planning Engine'!G265</f>
        <v>0</v>
      </c>
      <c r="H265" s="99">
        <f t="shared" si="8"/>
        <v>-12072.581896083799</v>
      </c>
      <c r="I265" s="95">
        <f>'Planning Engine'!H265</f>
        <v>-473623.70923650556</v>
      </c>
      <c r="J265" s="96">
        <f ca="1">'Planning Engine'!J265</f>
        <v>-37.763267960639503</v>
      </c>
      <c r="K265" s="95">
        <f ca="1">'Planning Engine'!K265</f>
        <v>590000</v>
      </c>
      <c r="L265" s="12" t="str">
        <f>'Planning Engine'!L265</f>
        <v>High</v>
      </c>
      <c r="M265" s="93">
        <f>'Planning Engine'!S265</f>
        <v>48458</v>
      </c>
      <c r="N265" s="95">
        <f>'Planning Engine'!T265</f>
        <v>0</v>
      </c>
      <c r="O265" s="98" t="s">
        <v>1297</v>
      </c>
      <c r="P265" s="4" t="str">
        <f t="shared" si="9"/>
        <v>⚠ Expedite production / source alternate</v>
      </c>
    </row>
    <row r="266" spans="1:16" ht="13" customHeight="1" x14ac:dyDescent="0.35">
      <c r="A266" s="93">
        <v>48580</v>
      </c>
      <c r="B266" s="61" t="s">
        <v>35</v>
      </c>
      <c r="C266" s="12" t="str">
        <f>'Planning Engine'!C266</f>
        <v>Label/Pack</v>
      </c>
      <c r="D266" s="12" t="str">
        <f>'Planning Engine'!D266</f>
        <v>units</v>
      </c>
      <c r="E266" s="95">
        <f>'Planning Engine'!E266</f>
        <v>-473623.70923650556</v>
      </c>
      <c r="F266" s="95">
        <f>'Planning Engine'!F266</f>
        <v>14237.212305564301</v>
      </c>
      <c r="G266" s="95">
        <f>'Planning Engine'!G266</f>
        <v>0</v>
      </c>
      <c r="H266" s="95">
        <f t="shared" si="8"/>
        <v>-14237.212305564301</v>
      </c>
      <c r="I266" s="95">
        <f>'Planning Engine'!H266</f>
        <v>-487860.92154206987</v>
      </c>
      <c r="J266" s="96">
        <f ca="1">'Planning Engine'!J266</f>
        <v>-37.783109359345005</v>
      </c>
      <c r="K266" s="95">
        <f ca="1">'Planning Engine'!K266</f>
        <v>600000</v>
      </c>
      <c r="L266" s="12" t="str">
        <f>'Planning Engine'!L266</f>
        <v>High</v>
      </c>
      <c r="M266" s="93">
        <f>'Planning Engine'!S266</f>
        <v>48488</v>
      </c>
      <c r="N266" s="95">
        <f>'Planning Engine'!T266</f>
        <v>0</v>
      </c>
      <c r="O266" s="94" t="s">
        <v>1298</v>
      </c>
      <c r="P266" s="12" t="str">
        <f t="shared" si="9"/>
        <v>⚠ Expedite production / source alternate</v>
      </c>
    </row>
    <row r="267" spans="1:16" ht="13" customHeight="1" x14ac:dyDescent="0.35">
      <c r="A267" s="97">
        <v>48611</v>
      </c>
      <c r="B267" s="53" t="s">
        <v>35</v>
      </c>
      <c r="C267" s="12" t="str">
        <f>'Planning Engine'!C267</f>
        <v>Label/Pack</v>
      </c>
      <c r="D267" s="12" t="str">
        <f>'Planning Engine'!D267</f>
        <v>units</v>
      </c>
      <c r="E267" s="95">
        <f>'Planning Engine'!E267</f>
        <v>-487860.92154206987</v>
      </c>
      <c r="F267" s="95">
        <f>'Planning Engine'!F267</f>
        <v>10290.071269913618</v>
      </c>
      <c r="G267" s="95">
        <f>'Planning Engine'!G267</f>
        <v>0</v>
      </c>
      <c r="H267" s="99">
        <f t="shared" si="8"/>
        <v>-10290.071269913618</v>
      </c>
      <c r="I267" s="95">
        <f>'Planning Engine'!H267</f>
        <v>-498150.99281198351</v>
      </c>
      <c r="J267" s="96">
        <f ca="1">'Planning Engine'!J267</f>
        <v>-39.264018030472997</v>
      </c>
      <c r="K267" s="95">
        <f ca="1">'Planning Engine'!K267</f>
        <v>610000</v>
      </c>
      <c r="L267" s="12" t="str">
        <f>'Planning Engine'!L267</f>
        <v>High</v>
      </c>
      <c r="M267" s="93">
        <f>'Planning Engine'!S267</f>
        <v>48519</v>
      </c>
      <c r="N267" s="95">
        <f>'Planning Engine'!T267</f>
        <v>0</v>
      </c>
      <c r="O267" s="98" t="s">
        <v>1299</v>
      </c>
      <c r="P267" s="4" t="str">
        <f t="shared" si="9"/>
        <v>⚠ Expedite production / source alternate</v>
      </c>
    </row>
    <row r="268" spans="1:16" ht="13" customHeight="1" x14ac:dyDescent="0.35">
      <c r="A268" s="93">
        <v>48639</v>
      </c>
      <c r="B268" s="61" t="s">
        <v>35</v>
      </c>
      <c r="C268" s="12" t="str">
        <f>'Planning Engine'!C268</f>
        <v>Label/Pack</v>
      </c>
      <c r="D268" s="12" t="str">
        <f>'Planning Engine'!D268</f>
        <v>units</v>
      </c>
      <c r="E268" s="95">
        <f>'Planning Engine'!E268</f>
        <v>-498150.99281198351</v>
      </c>
      <c r="F268" s="95">
        <f>'Planning Engine'!F268</f>
        <v>11290.457741143553</v>
      </c>
      <c r="G268" s="95">
        <f>'Planning Engine'!G268</f>
        <v>0</v>
      </c>
      <c r="H268" s="95">
        <f t="shared" si="8"/>
        <v>-11290.457741143553</v>
      </c>
      <c r="I268" s="95">
        <f>'Planning Engine'!H268</f>
        <v>-509441.45055312704</v>
      </c>
      <c r="J268" s="96">
        <f ca="1">'Planning Engine'!J268</f>
        <v>-39.609542102241093</v>
      </c>
      <c r="K268" s="95">
        <f ca="1">'Planning Engine'!K268</f>
        <v>630000</v>
      </c>
      <c r="L268" s="12" t="str">
        <f>'Planning Engine'!L268</f>
        <v>High</v>
      </c>
      <c r="M268" s="93">
        <f>'Planning Engine'!S268</f>
        <v>48549</v>
      </c>
      <c r="N268" s="95">
        <f>'Planning Engine'!T268</f>
        <v>0</v>
      </c>
      <c r="O268" s="94" t="s">
        <v>1300</v>
      </c>
      <c r="P268" s="12" t="str">
        <f t="shared" si="9"/>
        <v>⚠ Expedite production / source alternate</v>
      </c>
    </row>
    <row r="269" spans="1:16" ht="13" customHeight="1" x14ac:dyDescent="0.35">
      <c r="A269" s="97">
        <v>48670</v>
      </c>
      <c r="B269" s="53" t="s">
        <v>35</v>
      </c>
      <c r="C269" s="12" t="str">
        <f>'Planning Engine'!C269</f>
        <v>Label/Pack</v>
      </c>
      <c r="D269" s="12" t="str">
        <f>'Planning Engine'!D269</f>
        <v>units</v>
      </c>
      <c r="E269" s="95">
        <f>'Planning Engine'!E269</f>
        <v>-509441.45055312704</v>
      </c>
      <c r="F269" s="95">
        <f>'Planning Engine'!F269</f>
        <v>15552.63515467172</v>
      </c>
      <c r="G269" s="95">
        <f>'Planning Engine'!G269</f>
        <v>0</v>
      </c>
      <c r="H269" s="99">
        <f t="shared" si="8"/>
        <v>-15552.63515467172</v>
      </c>
      <c r="I269" s="95">
        <f>'Planning Engine'!H269</f>
        <v>-524994.08570779872</v>
      </c>
      <c r="J269" s="96">
        <f ca="1">'Planning Engine'!J269</f>
        <v>-40.508282195263021</v>
      </c>
      <c r="K269" s="95">
        <f ca="1">'Planning Engine'!K269</f>
        <v>640000</v>
      </c>
      <c r="L269" s="12" t="str">
        <f>'Planning Engine'!L269</f>
        <v>High</v>
      </c>
      <c r="M269" s="93">
        <f>'Planning Engine'!S269</f>
        <v>48580</v>
      </c>
      <c r="N269" s="95">
        <f>'Planning Engine'!T269</f>
        <v>0</v>
      </c>
      <c r="O269" s="98" t="s">
        <v>1301</v>
      </c>
      <c r="P269" s="4" t="str">
        <f t="shared" si="9"/>
        <v>⚠ Expedite production / source alternate</v>
      </c>
    </row>
    <row r="270" spans="1:16" ht="13" customHeight="1" x14ac:dyDescent="0.35">
      <c r="A270" s="93">
        <v>48700</v>
      </c>
      <c r="B270" s="61" t="s">
        <v>35</v>
      </c>
      <c r="C270" s="12" t="str">
        <f>'Planning Engine'!C270</f>
        <v>Label/Pack</v>
      </c>
      <c r="D270" s="12" t="str">
        <f>'Planning Engine'!D270</f>
        <v>units</v>
      </c>
      <c r="E270" s="95">
        <f>'Planning Engine'!E270</f>
        <v>-524994.08570779872</v>
      </c>
      <c r="F270" s="95">
        <f>'Planning Engine'!F270</f>
        <v>12050.965024849196</v>
      </c>
      <c r="G270" s="95">
        <f>'Planning Engine'!G270</f>
        <v>0</v>
      </c>
      <c r="H270" s="95">
        <f t="shared" si="8"/>
        <v>-12050.965024849196</v>
      </c>
      <c r="I270" s="95">
        <f>'Planning Engine'!H270</f>
        <v>-537045.05073264788</v>
      </c>
      <c r="J270" s="96">
        <f ca="1">'Planning Engine'!J270</f>
        <v>-42.279980892216855</v>
      </c>
      <c r="K270" s="95">
        <f ca="1">'Planning Engine'!K270</f>
        <v>650000</v>
      </c>
      <c r="L270" s="12" t="str">
        <f>'Planning Engine'!L270</f>
        <v>High</v>
      </c>
      <c r="M270" s="93">
        <f>'Planning Engine'!S270</f>
        <v>48611</v>
      </c>
      <c r="N270" s="95">
        <f>'Planning Engine'!T270</f>
        <v>0</v>
      </c>
      <c r="O270" s="94" t="s">
        <v>1302</v>
      </c>
      <c r="P270" s="12" t="str">
        <f t="shared" si="9"/>
        <v>⚠ Expedite production / source alternate</v>
      </c>
    </row>
    <row r="271" spans="1:16" ht="13" customHeight="1" x14ac:dyDescent="0.35">
      <c r="A271" s="97">
        <v>48731</v>
      </c>
      <c r="B271" s="53" t="s">
        <v>35</v>
      </c>
      <c r="C271" s="12" t="str">
        <f>'Planning Engine'!C271</f>
        <v>Label/Pack</v>
      </c>
      <c r="D271" s="12" t="str">
        <f>'Planning Engine'!D271</f>
        <v>units</v>
      </c>
      <c r="E271" s="95">
        <f>'Planning Engine'!E271</f>
        <v>-537045.05073264788</v>
      </c>
      <c r="F271" s="95">
        <f>'Planning Engine'!F271</f>
        <v>12809.03445641882</v>
      </c>
      <c r="G271" s="95">
        <f>'Planning Engine'!G271</f>
        <v>0</v>
      </c>
      <c r="H271" s="99">
        <f t="shared" si="8"/>
        <v>-12809.03445641882</v>
      </c>
      <c r="I271" s="95">
        <f>'Planning Engine'!H271</f>
        <v>-549854.08518906671</v>
      </c>
      <c r="J271" s="96">
        <f ca="1">'Planning Engine'!J271</f>
        <v>-43.394234469398619</v>
      </c>
      <c r="K271" s="95">
        <f ca="1">'Planning Engine'!K271</f>
        <v>660000</v>
      </c>
      <c r="L271" s="12" t="str">
        <f>'Planning Engine'!L271</f>
        <v>High</v>
      </c>
      <c r="M271" s="93">
        <f>'Planning Engine'!S271</f>
        <v>48639</v>
      </c>
      <c r="N271" s="95">
        <f>'Planning Engine'!T271</f>
        <v>0</v>
      </c>
      <c r="O271" s="98" t="s">
        <v>1303</v>
      </c>
      <c r="P271" s="4" t="str">
        <f t="shared" si="9"/>
        <v>⚠ Expedite production / source alternate</v>
      </c>
    </row>
    <row r="272" spans="1:16" ht="13" customHeight="1" x14ac:dyDescent="0.35">
      <c r="A272" s="93">
        <v>48761</v>
      </c>
      <c r="B272" s="61" t="s">
        <v>35</v>
      </c>
      <c r="C272" s="12" t="str">
        <f>'Planning Engine'!C272</f>
        <v>Label/Pack</v>
      </c>
      <c r="D272" s="12" t="str">
        <f>'Planning Engine'!D272</f>
        <v>units</v>
      </c>
      <c r="E272" s="95">
        <f>'Planning Engine'!E272</f>
        <v>-549854.08518906671</v>
      </c>
      <c r="F272" s="95">
        <f>'Planning Engine'!F272</f>
        <v>12829.658454291603</v>
      </c>
      <c r="G272" s="95">
        <f>'Planning Engine'!G272</f>
        <v>0</v>
      </c>
      <c r="H272" s="95">
        <f t="shared" si="8"/>
        <v>-12829.658454291603</v>
      </c>
      <c r="I272" s="95">
        <f>'Planning Engine'!H272</f>
        <v>-562683.74364335835</v>
      </c>
      <c r="J272" s="96">
        <f ca="1">'Planning Engine'!J272</f>
        <v>-45.121627761464531</v>
      </c>
      <c r="K272" s="95">
        <f ca="1">'Planning Engine'!K272</f>
        <v>670000</v>
      </c>
      <c r="L272" s="12" t="str">
        <f>'Planning Engine'!L272</f>
        <v>High</v>
      </c>
      <c r="M272" s="93">
        <f>'Planning Engine'!S272</f>
        <v>48670</v>
      </c>
      <c r="N272" s="95">
        <f>'Planning Engine'!T272</f>
        <v>0</v>
      </c>
      <c r="O272" s="94" t="s">
        <v>1304</v>
      </c>
      <c r="P272" s="12" t="str">
        <f t="shared" si="9"/>
        <v>⚠ Expedite production / source alternate</v>
      </c>
    </row>
    <row r="273" spans="1:16" ht="13" customHeight="1" x14ac:dyDescent="0.35">
      <c r="A273" s="97">
        <v>48792</v>
      </c>
      <c r="B273" s="53" t="s">
        <v>35</v>
      </c>
      <c r="C273" s="12" t="str">
        <f>'Planning Engine'!C273</f>
        <v>Label/Pack</v>
      </c>
      <c r="D273" s="12" t="str">
        <f>'Planning Engine'!D273</f>
        <v>units</v>
      </c>
      <c r="E273" s="95">
        <f>'Planning Engine'!E273</f>
        <v>-562683.74364335835</v>
      </c>
      <c r="F273" s="95">
        <f>'Planning Engine'!F273</f>
        <v>11744.621640862471</v>
      </c>
      <c r="G273" s="95">
        <f>'Planning Engine'!G273</f>
        <v>0</v>
      </c>
      <c r="H273" s="99">
        <f t="shared" si="8"/>
        <v>-11744.621640862471</v>
      </c>
      <c r="I273" s="95">
        <f>'Planning Engine'!H273</f>
        <v>-574428.36528422078</v>
      </c>
      <c r="J273" s="96">
        <f ca="1">'Planning Engine'!J273</f>
        <v>-44.932294680587248</v>
      </c>
      <c r="K273" s="95">
        <f ca="1">'Planning Engine'!K273</f>
        <v>690000</v>
      </c>
      <c r="L273" s="12" t="str">
        <f>'Planning Engine'!L273</f>
        <v>High</v>
      </c>
      <c r="M273" s="93">
        <f>'Planning Engine'!S273</f>
        <v>48700</v>
      </c>
      <c r="N273" s="95">
        <f>'Planning Engine'!T273</f>
        <v>0</v>
      </c>
      <c r="O273" s="98" t="s">
        <v>1305</v>
      </c>
      <c r="P273" s="4" t="str">
        <f t="shared" si="9"/>
        <v>⚠ Expedite production / source alternate</v>
      </c>
    </row>
    <row r="274" spans="1:16" ht="13" customHeight="1" x14ac:dyDescent="0.35">
      <c r="A274" s="93">
        <v>48823</v>
      </c>
      <c r="B274" s="61" t="s">
        <v>35</v>
      </c>
      <c r="C274" s="12" t="str">
        <f>'Planning Engine'!C274</f>
        <v>Label/Pack</v>
      </c>
      <c r="D274" s="12" t="str">
        <f>'Planning Engine'!D274</f>
        <v>units</v>
      </c>
      <c r="E274" s="95">
        <f>'Planning Engine'!E274</f>
        <v>-574428.36528422078</v>
      </c>
      <c r="F274" s="95">
        <f>'Planning Engine'!F274</f>
        <v>15404.633455681611</v>
      </c>
      <c r="G274" s="95">
        <f>'Planning Engine'!G274</f>
        <v>0</v>
      </c>
      <c r="H274" s="95">
        <f t="shared" si="8"/>
        <v>-15404.633455681611</v>
      </c>
      <c r="I274" s="95">
        <f>'Planning Engine'!H274</f>
        <v>-589832.9987399024</v>
      </c>
      <c r="J274" s="96">
        <f ca="1">'Planning Engine'!J274</f>
        <v>-46.428777959363849</v>
      </c>
      <c r="K274" s="95">
        <f ca="1">'Planning Engine'!K274</f>
        <v>700000</v>
      </c>
      <c r="L274" s="12" t="str">
        <f>'Planning Engine'!L274</f>
        <v>High</v>
      </c>
      <c r="M274" s="93">
        <f>'Planning Engine'!S274</f>
        <v>48731</v>
      </c>
      <c r="N274" s="95">
        <f>'Planning Engine'!T274</f>
        <v>0</v>
      </c>
      <c r="O274" s="94" t="s">
        <v>1306</v>
      </c>
      <c r="P274" s="12" t="str">
        <f t="shared" si="9"/>
        <v>⚠ Expedite production / source alternate</v>
      </c>
    </row>
    <row r="275" spans="1:16" ht="13" customHeight="1" x14ac:dyDescent="0.35">
      <c r="A275" s="97">
        <v>48853</v>
      </c>
      <c r="B275" s="53" t="s">
        <v>35</v>
      </c>
      <c r="C275" s="12" t="str">
        <f>'Planning Engine'!C275</f>
        <v>Label/Pack</v>
      </c>
      <c r="D275" s="12" t="str">
        <f>'Planning Engine'!D275</f>
        <v>units</v>
      </c>
      <c r="E275" s="95">
        <f>'Planning Engine'!E275</f>
        <v>-589832.9987399024</v>
      </c>
      <c r="F275" s="95">
        <f>'Planning Engine'!F275</f>
        <v>12212.847325895331</v>
      </c>
      <c r="G275" s="95">
        <f>'Planning Engine'!G275</f>
        <v>0</v>
      </c>
      <c r="H275" s="99">
        <f t="shared" si="8"/>
        <v>-12212.847325895331</v>
      </c>
      <c r="I275" s="95">
        <f>'Planning Engine'!H275</f>
        <v>-602045.84606579773</v>
      </c>
      <c r="J275" s="96">
        <f ca="1">'Planning Engine'!J275</f>
        <v>-47.852504800318556</v>
      </c>
      <c r="K275" s="95">
        <f ca="1">'Planning Engine'!K275</f>
        <v>720000</v>
      </c>
      <c r="L275" s="12" t="str">
        <f>'Planning Engine'!L275</f>
        <v>High</v>
      </c>
      <c r="M275" s="93">
        <f>'Planning Engine'!S275</f>
        <v>48761</v>
      </c>
      <c r="N275" s="95">
        <f>'Planning Engine'!T275</f>
        <v>0</v>
      </c>
      <c r="O275" s="98" t="s">
        <v>1307</v>
      </c>
      <c r="P275" s="4" t="str">
        <f t="shared" si="9"/>
        <v>⚠ Expedite production / source alternate</v>
      </c>
    </row>
    <row r="276" spans="1:16" ht="13" customHeight="1" x14ac:dyDescent="0.35">
      <c r="A276" s="93">
        <v>48884</v>
      </c>
      <c r="B276" s="61" t="s">
        <v>35</v>
      </c>
      <c r="C276" s="12" t="str">
        <f>'Planning Engine'!C276</f>
        <v>Label/Pack</v>
      </c>
      <c r="D276" s="12" t="str">
        <f>'Planning Engine'!D276</f>
        <v>units</v>
      </c>
      <c r="E276" s="95">
        <f>'Planning Engine'!E276</f>
        <v>-602045.84606579773</v>
      </c>
      <c r="F276" s="95">
        <f>'Planning Engine'!F276</f>
        <v>11859.402201684301</v>
      </c>
      <c r="G276" s="95">
        <f>'Planning Engine'!G276</f>
        <v>0</v>
      </c>
      <c r="H276" s="95">
        <f t="shared" si="8"/>
        <v>-11859.402201684301</v>
      </c>
      <c r="I276" s="95">
        <f>'Planning Engine'!H276</f>
        <v>-613905.24826748203</v>
      </c>
      <c r="J276" s="96">
        <f ca="1">'Planning Engine'!J276</f>
        <v>-48.654740354539413</v>
      </c>
      <c r="K276" s="95">
        <f ca="1">'Planning Engine'!K276</f>
        <v>730000</v>
      </c>
      <c r="L276" s="12" t="str">
        <f>'Planning Engine'!L276</f>
        <v>High</v>
      </c>
      <c r="M276" s="93">
        <f>'Planning Engine'!S276</f>
        <v>48792</v>
      </c>
      <c r="N276" s="95">
        <f>'Planning Engine'!T276</f>
        <v>0</v>
      </c>
      <c r="O276" s="94" t="s">
        <v>1308</v>
      </c>
      <c r="P276" s="12" t="str">
        <f t="shared" si="9"/>
        <v>⚠ Expedite production / source alternate</v>
      </c>
    </row>
    <row r="277" spans="1:16" ht="13" customHeight="1" x14ac:dyDescent="0.35">
      <c r="A277" s="97">
        <v>48914</v>
      </c>
      <c r="B277" s="53" t="s">
        <v>35</v>
      </c>
      <c r="C277" s="12" t="str">
        <f>'Planning Engine'!C277</f>
        <v>Label/Pack</v>
      </c>
      <c r="D277" s="12" t="str">
        <f>'Planning Engine'!D277</f>
        <v>units</v>
      </c>
      <c r="E277" s="95">
        <f>'Planning Engine'!E277</f>
        <v>-613905.24826748203</v>
      </c>
      <c r="F277" s="95">
        <f>'Planning Engine'!F277</f>
        <v>12177.701636183097</v>
      </c>
      <c r="G277" s="95">
        <f>'Planning Engine'!G277</f>
        <v>0</v>
      </c>
      <c r="H277" s="99">
        <f t="shared" si="8"/>
        <v>-12177.701636183097</v>
      </c>
      <c r="I277" s="95">
        <f>'Planning Engine'!H277</f>
        <v>-626082.94990366511</v>
      </c>
      <c r="J277" s="96">
        <f ca="1">'Planning Engine'!J277</f>
        <v>-49.637478112534495</v>
      </c>
      <c r="K277" s="95">
        <f ca="1">'Planning Engine'!K277</f>
        <v>740000</v>
      </c>
      <c r="L277" s="12" t="str">
        <f>'Planning Engine'!L277</f>
        <v>High</v>
      </c>
      <c r="M277" s="93">
        <f>'Planning Engine'!S277</f>
        <v>48823</v>
      </c>
      <c r="N277" s="95">
        <f>'Planning Engine'!T277</f>
        <v>0</v>
      </c>
      <c r="O277" s="98" t="s">
        <v>1309</v>
      </c>
      <c r="P277" s="4" t="str">
        <f t="shared" si="9"/>
        <v>⚠ Expedite production / source alternate</v>
      </c>
    </row>
    <row r="278" spans="1:16" ht="13" customHeight="1" x14ac:dyDescent="0.35">
      <c r="A278" s="93">
        <v>48945</v>
      </c>
      <c r="B278" s="61" t="s">
        <v>35</v>
      </c>
      <c r="C278" s="12" t="str">
        <f>'Planning Engine'!C278</f>
        <v>Label/Pack</v>
      </c>
      <c r="D278" s="12" t="str">
        <f>'Planning Engine'!D278</f>
        <v>units</v>
      </c>
      <c r="E278" s="95">
        <f>'Planning Engine'!E278</f>
        <v>-626082.94990366511</v>
      </c>
      <c r="F278" s="95">
        <f>'Planning Engine'!F278</f>
        <v>13230.143395823185</v>
      </c>
      <c r="G278" s="95">
        <f>'Planning Engine'!G278</f>
        <v>0</v>
      </c>
      <c r="H278" s="95">
        <f t="shared" si="8"/>
        <v>-13230.143395823185</v>
      </c>
      <c r="I278" s="95">
        <f>'Planning Engine'!H278</f>
        <v>-639313.0932994883</v>
      </c>
      <c r="J278" s="96">
        <f ca="1">'Planning Engine'!J278</f>
        <v>-49.24501682646067</v>
      </c>
      <c r="K278" s="95">
        <f ca="1">'Planning Engine'!K278</f>
        <v>760000</v>
      </c>
      <c r="L278" s="12" t="str">
        <f>'Planning Engine'!L278</f>
        <v>High</v>
      </c>
      <c r="M278" s="93">
        <f>'Planning Engine'!S278</f>
        <v>48853</v>
      </c>
      <c r="N278" s="95">
        <f>'Planning Engine'!T278</f>
        <v>0</v>
      </c>
      <c r="O278" s="94" t="s">
        <v>1310</v>
      </c>
      <c r="P278" s="12" t="str">
        <f t="shared" si="9"/>
        <v>⚠ Expedite production / source alternate</v>
      </c>
    </row>
    <row r="279" spans="1:16" ht="13" customHeight="1" x14ac:dyDescent="0.35">
      <c r="A279" s="97">
        <v>48976</v>
      </c>
      <c r="B279" s="53" t="s">
        <v>35</v>
      </c>
      <c r="C279" s="12" t="str">
        <f>'Planning Engine'!C279</f>
        <v>Label/Pack</v>
      </c>
      <c r="D279" s="12" t="str">
        <f>'Planning Engine'!D279</f>
        <v>units</v>
      </c>
      <c r="E279" s="95">
        <f>'Planning Engine'!E279</f>
        <v>-639313.0932994883</v>
      </c>
      <c r="F279" s="95">
        <f>'Planning Engine'!F279</f>
        <v>11772.147961036906</v>
      </c>
      <c r="G279" s="95">
        <f>'Planning Engine'!G279</f>
        <v>0</v>
      </c>
      <c r="H279" s="99">
        <f t="shared" si="8"/>
        <v>-11772.147961036906</v>
      </c>
      <c r="I279" s="95">
        <f>'Planning Engine'!H279</f>
        <v>-651085.24126052519</v>
      </c>
      <c r="J279" s="96">
        <f ca="1">'Planning Engine'!J279</f>
        <v>-51.051404129788985</v>
      </c>
      <c r="K279" s="95">
        <f ca="1">'Planning Engine'!K279</f>
        <v>770000</v>
      </c>
      <c r="L279" s="12" t="str">
        <f>'Planning Engine'!L279</f>
        <v>High</v>
      </c>
      <c r="M279" s="93">
        <f>'Planning Engine'!S279</f>
        <v>48884</v>
      </c>
      <c r="N279" s="95">
        <f>'Planning Engine'!T279</f>
        <v>0</v>
      </c>
      <c r="O279" s="98" t="s">
        <v>1311</v>
      </c>
      <c r="P279" s="4" t="str">
        <f t="shared" si="9"/>
        <v>⚠ Expedite production / source alternate</v>
      </c>
    </row>
    <row r="280" spans="1:16" ht="13" customHeight="1" x14ac:dyDescent="0.35">
      <c r="A280" s="93">
        <v>49004</v>
      </c>
      <c r="B280" s="61" t="s">
        <v>35</v>
      </c>
      <c r="C280" s="12" t="str">
        <f>'Planning Engine'!C280</f>
        <v>Label/Pack</v>
      </c>
      <c r="D280" s="12" t="str">
        <f>'Planning Engine'!D280</f>
        <v>units</v>
      </c>
      <c r="E280" s="95">
        <f>'Planning Engine'!E280</f>
        <v>-651085.24126052519</v>
      </c>
      <c r="F280" s="95">
        <f>'Planning Engine'!F280</f>
        <v>11002.243830731892</v>
      </c>
      <c r="G280" s="95">
        <f>'Planning Engine'!G280</f>
        <v>0</v>
      </c>
      <c r="H280" s="95">
        <f t="shared" si="8"/>
        <v>-11002.243830731892</v>
      </c>
      <c r="I280" s="95">
        <f>'Planning Engine'!H280</f>
        <v>-662087.48509125703</v>
      </c>
      <c r="J280" s="96">
        <f ca="1">'Planning Engine'!J280</f>
        <v>-51.205750172442421</v>
      </c>
      <c r="K280" s="95">
        <f ca="1">'Planning Engine'!K280</f>
        <v>780000</v>
      </c>
      <c r="L280" s="12" t="str">
        <f>'Planning Engine'!L280</f>
        <v>High</v>
      </c>
      <c r="M280" s="93">
        <f>'Planning Engine'!S280</f>
        <v>48914</v>
      </c>
      <c r="N280" s="95">
        <f>'Planning Engine'!T280</f>
        <v>0</v>
      </c>
      <c r="O280" s="94" t="s">
        <v>1312</v>
      </c>
      <c r="P280" s="12" t="str">
        <f t="shared" si="9"/>
        <v>⚠ Expedite production / source alternate</v>
      </c>
    </row>
    <row r="281" spans="1:16" ht="13" customHeight="1" x14ac:dyDescent="0.35">
      <c r="A281" s="97">
        <v>49035</v>
      </c>
      <c r="B281" s="53" t="s">
        <v>35</v>
      </c>
      <c r="C281" s="12" t="str">
        <f>'Planning Engine'!C281</f>
        <v>Label/Pack</v>
      </c>
      <c r="D281" s="12" t="str">
        <f>'Planning Engine'!D281</f>
        <v>units</v>
      </c>
      <c r="E281" s="95">
        <f>'Planning Engine'!E281</f>
        <v>-662087.48509125703</v>
      </c>
      <c r="F281" s="95">
        <f>'Planning Engine'!F281</f>
        <v>15655.044761646721</v>
      </c>
      <c r="G281" s="95">
        <f>'Planning Engine'!G281</f>
        <v>0</v>
      </c>
      <c r="H281" s="99">
        <f t="shared" si="8"/>
        <v>-15655.044761646721</v>
      </c>
      <c r="I281" s="95">
        <f>'Planning Engine'!H281</f>
        <v>-677742.5298529038</v>
      </c>
      <c r="J281" s="96">
        <f ca="1">'Planning Engine'!J281</f>
        <v>-52.020956672478391</v>
      </c>
      <c r="K281" s="95">
        <f ca="1">'Planning Engine'!K281</f>
        <v>790000</v>
      </c>
      <c r="L281" s="12" t="str">
        <f>'Planning Engine'!L281</f>
        <v>High</v>
      </c>
      <c r="M281" s="93">
        <f>'Planning Engine'!S281</f>
        <v>48945</v>
      </c>
      <c r="N281" s="95">
        <f>'Planning Engine'!T281</f>
        <v>0</v>
      </c>
      <c r="O281" s="98" t="s">
        <v>1313</v>
      </c>
      <c r="P281" s="4" t="str">
        <f t="shared" si="9"/>
        <v>⚠ Expedite production / source alternate</v>
      </c>
    </row>
    <row r="282" spans="1:16" ht="13" customHeight="1" x14ac:dyDescent="0.35">
      <c r="A282" s="93">
        <v>49065</v>
      </c>
      <c r="B282" s="61" t="s">
        <v>35</v>
      </c>
      <c r="C282" s="12" t="str">
        <f>'Planning Engine'!C282</f>
        <v>Label/Pack</v>
      </c>
      <c r="D282" s="12" t="str">
        <f>'Planning Engine'!D282</f>
        <v>units</v>
      </c>
      <c r="E282" s="95">
        <f>'Planning Engine'!E282</f>
        <v>-677742.5298529038</v>
      </c>
      <c r="F282" s="95">
        <f>'Planning Engine'!F282</f>
        <v>11022.185039857384</v>
      </c>
      <c r="G282" s="95">
        <f>'Planning Engine'!G282</f>
        <v>0</v>
      </c>
      <c r="H282" s="95">
        <f t="shared" si="8"/>
        <v>-11022.185039857384</v>
      </c>
      <c r="I282" s="95">
        <f>'Planning Engine'!H282</f>
        <v>-688764.7148927612</v>
      </c>
      <c r="J282" s="96">
        <f ca="1">'Planning Engine'!J282</f>
        <v>-54.468089699335856</v>
      </c>
      <c r="K282" s="95">
        <f ca="1">'Planning Engine'!K282</f>
        <v>800000</v>
      </c>
      <c r="L282" s="12" t="str">
        <f>'Planning Engine'!L282</f>
        <v>High</v>
      </c>
      <c r="M282" s="93">
        <f>'Planning Engine'!S282</f>
        <v>48976</v>
      </c>
      <c r="N282" s="95">
        <f>'Planning Engine'!T282</f>
        <v>0</v>
      </c>
      <c r="O282" s="94" t="s">
        <v>1314</v>
      </c>
      <c r="P282" s="12" t="str">
        <f t="shared" si="9"/>
        <v>⚠ Expedite production / source alternate</v>
      </c>
    </row>
    <row r="283" spans="1:16" ht="13" customHeight="1" x14ac:dyDescent="0.35">
      <c r="A283" s="97">
        <v>49096</v>
      </c>
      <c r="B283" s="53" t="s">
        <v>35</v>
      </c>
      <c r="C283" s="12" t="str">
        <f>'Planning Engine'!C283</f>
        <v>Label/Pack</v>
      </c>
      <c r="D283" s="12" t="str">
        <f>'Planning Engine'!D283</f>
        <v>units</v>
      </c>
      <c r="E283" s="95">
        <f>'Planning Engine'!E283</f>
        <v>-688764.7148927612</v>
      </c>
      <c r="F283" s="95">
        <f>'Planning Engine'!F283</f>
        <v>14299.819734393408</v>
      </c>
      <c r="G283" s="95">
        <f>'Planning Engine'!G283</f>
        <v>0</v>
      </c>
      <c r="H283" s="99">
        <f t="shared" si="8"/>
        <v>-14299.819734393408</v>
      </c>
      <c r="I283" s="95">
        <f>'Planning Engine'!H283</f>
        <v>-703064.53462715459</v>
      </c>
      <c r="J283" s="96">
        <f ca="1">'Planning Engine'!J283</f>
        <v>-54.522825492613265</v>
      </c>
      <c r="K283" s="95">
        <f ca="1">'Planning Engine'!K283</f>
        <v>820000</v>
      </c>
      <c r="L283" s="12" t="str">
        <f>'Planning Engine'!L283</f>
        <v>High</v>
      </c>
      <c r="M283" s="93">
        <f>'Planning Engine'!S283</f>
        <v>49004</v>
      </c>
      <c r="N283" s="95">
        <f>'Planning Engine'!T283</f>
        <v>0</v>
      </c>
      <c r="O283" s="98" t="s">
        <v>1315</v>
      </c>
      <c r="P283" s="4" t="str">
        <f t="shared" si="9"/>
        <v>⚠ Expedite production / source alternate</v>
      </c>
    </row>
    <row r="284" spans="1:16" ht="13" customHeight="1" x14ac:dyDescent="0.35">
      <c r="A284" s="93">
        <v>49126</v>
      </c>
      <c r="B284" s="61" t="s">
        <v>35</v>
      </c>
      <c r="C284" s="12" t="str">
        <f>'Planning Engine'!C284</f>
        <v>Label/Pack</v>
      </c>
      <c r="D284" s="12" t="str">
        <f>'Planning Engine'!D284</f>
        <v>units</v>
      </c>
      <c r="E284" s="95">
        <f>'Planning Engine'!E284</f>
        <v>-703064.53462715459</v>
      </c>
      <c r="F284" s="95">
        <f>'Planning Engine'!F284</f>
        <v>12539.562785715629</v>
      </c>
      <c r="G284" s="95">
        <f>'Planning Engine'!G284</f>
        <v>0</v>
      </c>
      <c r="H284" s="95">
        <f t="shared" si="8"/>
        <v>-12539.562785715629</v>
      </c>
      <c r="I284" s="95">
        <f>'Planning Engine'!H284</f>
        <v>-715604.09741287027</v>
      </c>
      <c r="J284" s="96">
        <f ca="1">'Planning Engine'!J284</f>
        <v>-57.265333132388342</v>
      </c>
      <c r="K284" s="95">
        <f ca="1">'Planning Engine'!K284</f>
        <v>830000</v>
      </c>
      <c r="L284" s="12" t="str">
        <f>'Planning Engine'!L284</f>
        <v>High</v>
      </c>
      <c r="M284" s="93">
        <f>'Planning Engine'!S284</f>
        <v>49035</v>
      </c>
      <c r="N284" s="95">
        <f>'Planning Engine'!T284</f>
        <v>0</v>
      </c>
      <c r="O284" s="94" t="s">
        <v>1316</v>
      </c>
      <c r="P284" s="12" t="str">
        <f t="shared" si="9"/>
        <v>⚠ Expedite production / source alternate</v>
      </c>
    </row>
    <row r="285" spans="1:16" ht="13" customHeight="1" x14ac:dyDescent="0.35">
      <c r="A285" s="97">
        <v>49157</v>
      </c>
      <c r="B285" s="53" t="s">
        <v>35</v>
      </c>
      <c r="C285" s="12" t="str">
        <f>'Planning Engine'!C285</f>
        <v>Label/Pack</v>
      </c>
      <c r="D285" s="12" t="str">
        <f>'Planning Engine'!D285</f>
        <v>units</v>
      </c>
      <c r="E285" s="95">
        <f>'Planning Engine'!E285</f>
        <v>-715604.09741287027</v>
      </c>
      <c r="F285" s="95">
        <f>'Planning Engine'!F285</f>
        <v>11819.13692872896</v>
      </c>
      <c r="G285" s="95">
        <f>'Planning Engine'!G285</f>
        <v>0</v>
      </c>
      <c r="H285" s="99">
        <f t="shared" si="8"/>
        <v>-11819.13692872896</v>
      </c>
      <c r="I285" s="95">
        <f>'Planning Engine'!H285</f>
        <v>-727423.23434159928</v>
      </c>
      <c r="J285" s="96">
        <f ca="1">'Planning Engine'!J285</f>
        <v>-57.141618841005936</v>
      </c>
      <c r="K285" s="95">
        <f ca="1">'Planning Engine'!K285</f>
        <v>840000</v>
      </c>
      <c r="L285" s="12" t="str">
        <f>'Planning Engine'!L285</f>
        <v>High</v>
      </c>
      <c r="M285" s="93">
        <f>'Planning Engine'!S285</f>
        <v>49065</v>
      </c>
      <c r="N285" s="95">
        <f>'Planning Engine'!T285</f>
        <v>0</v>
      </c>
      <c r="O285" s="98" t="s">
        <v>1317</v>
      </c>
      <c r="P285" s="4" t="str">
        <f t="shared" si="9"/>
        <v>⚠ Expedite production / source alternate</v>
      </c>
    </row>
    <row r="286" spans="1:16" ht="13" customHeight="1" x14ac:dyDescent="0.35">
      <c r="A286" s="93">
        <v>49188</v>
      </c>
      <c r="B286" s="61" t="s">
        <v>35</v>
      </c>
      <c r="C286" s="12" t="str">
        <f>'Planning Engine'!C286</f>
        <v>Label/Pack</v>
      </c>
      <c r="D286" s="12" t="str">
        <f>'Planning Engine'!D286</f>
        <v>units</v>
      </c>
      <c r="E286" s="95">
        <f>'Planning Engine'!E286</f>
        <v>-727423.23434159928</v>
      </c>
      <c r="F286" s="95">
        <f>'Planning Engine'!F286</f>
        <v>15500.326257191398</v>
      </c>
      <c r="G286" s="95">
        <f>'Planning Engine'!G286</f>
        <v>0</v>
      </c>
      <c r="H286" s="95">
        <f t="shared" si="8"/>
        <v>-15500.326257191398</v>
      </c>
      <c r="I286" s="95">
        <f>'Planning Engine'!H286</f>
        <v>-742923.56059879065</v>
      </c>
      <c r="J286" s="96">
        <f ca="1">'Planning Engine'!J286</f>
        <v>-58.001611343519045</v>
      </c>
      <c r="K286" s="95">
        <f ca="1">'Planning Engine'!K286</f>
        <v>860000</v>
      </c>
      <c r="L286" s="12" t="str">
        <f>'Planning Engine'!L286</f>
        <v>High</v>
      </c>
      <c r="M286" s="93">
        <f>'Planning Engine'!S286</f>
        <v>49096</v>
      </c>
      <c r="N286" s="95">
        <f>'Planning Engine'!T286</f>
        <v>0</v>
      </c>
      <c r="O286" s="94" t="s">
        <v>1318</v>
      </c>
      <c r="P286" s="12" t="str">
        <f t="shared" si="9"/>
        <v>⚠ Expedite production / source alternate</v>
      </c>
    </row>
    <row r="287" spans="1:16" ht="13" customHeight="1" x14ac:dyDescent="0.35">
      <c r="A287" s="97">
        <v>49218</v>
      </c>
      <c r="B287" s="53" t="s">
        <v>35</v>
      </c>
      <c r="C287" s="12" t="str">
        <f>'Planning Engine'!C287</f>
        <v>Label/Pack</v>
      </c>
      <c r="D287" s="12" t="str">
        <f>'Planning Engine'!D287</f>
        <v>units</v>
      </c>
      <c r="E287" s="95">
        <f>'Planning Engine'!E287</f>
        <v>-742923.56059879065</v>
      </c>
      <c r="F287" s="95">
        <f>'Planning Engine'!F287</f>
        <v>11171.236969738489</v>
      </c>
      <c r="G287" s="95">
        <f>'Planning Engine'!G287</f>
        <v>0</v>
      </c>
      <c r="H287" s="99">
        <f t="shared" si="8"/>
        <v>-11171.236969738489</v>
      </c>
      <c r="I287" s="95">
        <f>'Planning Engine'!H287</f>
        <v>-754094.79756852915</v>
      </c>
      <c r="J287" s="96">
        <f ca="1">'Planning Engine'!J287</f>
        <v>-59.627815396670925</v>
      </c>
      <c r="K287" s="95">
        <f ca="1">'Planning Engine'!K287</f>
        <v>870000</v>
      </c>
      <c r="L287" s="12" t="str">
        <f>'Planning Engine'!L287</f>
        <v>High</v>
      </c>
      <c r="M287" s="93">
        <f>'Planning Engine'!S287</f>
        <v>49126</v>
      </c>
      <c r="N287" s="95">
        <f>'Planning Engine'!T287</f>
        <v>0</v>
      </c>
      <c r="O287" s="98" t="s">
        <v>1319</v>
      </c>
      <c r="P287" s="4" t="str">
        <f t="shared" si="9"/>
        <v>⚠ Expedite production / source alternate</v>
      </c>
    </row>
    <row r="288" spans="1:16" ht="13" customHeight="1" x14ac:dyDescent="0.35">
      <c r="A288" s="93">
        <v>49249</v>
      </c>
      <c r="B288" s="61" t="s">
        <v>35</v>
      </c>
      <c r="C288" s="12" t="str">
        <f>'Planning Engine'!C288</f>
        <v>Label/Pack</v>
      </c>
      <c r="D288" s="12" t="str">
        <f>'Planning Engine'!D288</f>
        <v>units</v>
      </c>
      <c r="E288" s="95">
        <f>'Planning Engine'!E288</f>
        <v>-754094.79756852915</v>
      </c>
      <c r="F288" s="95">
        <f>'Planning Engine'!F288</f>
        <v>13359.940198819595</v>
      </c>
      <c r="G288" s="95">
        <f>'Planning Engine'!G288</f>
        <v>0</v>
      </c>
      <c r="H288" s="95">
        <f t="shared" si="8"/>
        <v>-13359.940198819595</v>
      </c>
      <c r="I288" s="95">
        <f>'Planning Engine'!H288</f>
        <v>-767454.73776734876</v>
      </c>
      <c r="J288" s="96">
        <f ca="1">'Planning Engine'!J288</f>
        <v>-60.497002021740663</v>
      </c>
      <c r="K288" s="95">
        <f ca="1">'Planning Engine'!K288</f>
        <v>880000</v>
      </c>
      <c r="L288" s="12" t="str">
        <f>'Planning Engine'!L288</f>
        <v>High</v>
      </c>
      <c r="M288" s="93">
        <f>'Planning Engine'!S288</f>
        <v>49157</v>
      </c>
      <c r="N288" s="95">
        <f>'Planning Engine'!T288</f>
        <v>0</v>
      </c>
      <c r="O288" s="94" t="s">
        <v>1320</v>
      </c>
      <c r="P288" s="12" t="str">
        <f t="shared" si="9"/>
        <v>⚠ Expedite production / source alternate</v>
      </c>
    </row>
    <row r="289" spans="1:16" ht="13" customHeight="1" x14ac:dyDescent="0.35">
      <c r="A289" s="97">
        <v>49279</v>
      </c>
      <c r="B289" s="53" t="s">
        <v>35</v>
      </c>
      <c r="C289" s="12" t="str">
        <f>'Planning Engine'!C289</f>
        <v>Label/Pack</v>
      </c>
      <c r="D289" s="12" t="str">
        <f>'Planning Engine'!D289</f>
        <v>units</v>
      </c>
      <c r="E289" s="95">
        <f>'Planning Engine'!E289</f>
        <v>-767454.73776734876</v>
      </c>
      <c r="F289" s="95">
        <f>'Planning Engine'!F289</f>
        <v>11887.084015166591</v>
      </c>
      <c r="G289" s="95">
        <f>'Planning Engine'!G289</f>
        <v>0</v>
      </c>
      <c r="H289" s="99">
        <f t="shared" si="8"/>
        <v>-11887.084015166591</v>
      </c>
      <c r="I289" s="95">
        <f>'Planning Engine'!H289</f>
        <v>-779341.82178251538</v>
      </c>
      <c r="J289" s="96">
        <f ca="1">'Planning Engine'!J289</f>
        <v>-61.446583664414959</v>
      </c>
      <c r="K289" s="95">
        <f ca="1">'Planning Engine'!K289</f>
        <v>890000</v>
      </c>
      <c r="L289" s="12" t="str">
        <f>'Planning Engine'!L289</f>
        <v>High</v>
      </c>
      <c r="M289" s="93">
        <f>'Planning Engine'!S289</f>
        <v>49188</v>
      </c>
      <c r="N289" s="95">
        <f>'Planning Engine'!T289</f>
        <v>0</v>
      </c>
      <c r="O289" s="98" t="s">
        <v>1321</v>
      </c>
      <c r="P289" s="4" t="str">
        <f t="shared" si="9"/>
        <v>⚠ Expedite production / source alternate</v>
      </c>
    </row>
    <row r="290" spans="1:16" ht="13" customHeight="1" x14ac:dyDescent="0.35">
      <c r="A290" s="93">
        <v>49310</v>
      </c>
      <c r="B290" s="61" t="s">
        <v>35</v>
      </c>
      <c r="C290" s="12" t="str">
        <f>'Planning Engine'!C290</f>
        <v>Label/Pack</v>
      </c>
      <c r="D290" s="12" t="str">
        <f>'Planning Engine'!D290</f>
        <v>units</v>
      </c>
      <c r="E290" s="95">
        <f>'Planning Engine'!E290</f>
        <v>-779341.82178251538</v>
      </c>
      <c r="F290" s="95">
        <f>'Planning Engine'!F290</f>
        <v>12208.305661064394</v>
      </c>
      <c r="G290" s="95">
        <f>'Planning Engine'!G290</f>
        <v>0</v>
      </c>
      <c r="H290" s="95">
        <f t="shared" si="8"/>
        <v>-12208.305661064394</v>
      </c>
      <c r="I290" s="95">
        <f>'Planning Engine'!H290</f>
        <v>-791550.12744357972</v>
      </c>
      <c r="J290" s="96">
        <f ca="1">'Planning Engine'!J290</f>
        <v>-60.618318524230396</v>
      </c>
      <c r="K290" s="95">
        <f ca="1">'Planning Engine'!K290</f>
        <v>910000</v>
      </c>
      <c r="L290" s="12" t="str">
        <f>'Planning Engine'!L290</f>
        <v>High</v>
      </c>
      <c r="M290" s="93">
        <f>'Planning Engine'!S290</f>
        <v>49218</v>
      </c>
      <c r="N290" s="95">
        <f>'Planning Engine'!T290</f>
        <v>0</v>
      </c>
      <c r="O290" s="94" t="s">
        <v>1322</v>
      </c>
      <c r="P290" s="12" t="str">
        <f t="shared" si="9"/>
        <v>⚠ Expedite production / source alternate</v>
      </c>
    </row>
    <row r="291" spans="1:16" ht="13" customHeight="1" x14ac:dyDescent="0.35">
      <c r="A291" s="97">
        <v>49341</v>
      </c>
      <c r="B291" s="53" t="s">
        <v>35</v>
      </c>
      <c r="C291" s="12" t="str">
        <f>'Planning Engine'!C291</f>
        <v>Label/Pack</v>
      </c>
      <c r="D291" s="12" t="str">
        <f>'Planning Engine'!D291</f>
        <v>units</v>
      </c>
      <c r="E291" s="95">
        <f>'Planning Engine'!E291</f>
        <v>-791550.12744357972</v>
      </c>
      <c r="F291" s="95">
        <f>'Planning Engine'!F291</f>
        <v>13268.382432745819</v>
      </c>
      <c r="G291" s="95">
        <f>'Planning Engine'!G291</f>
        <v>0</v>
      </c>
      <c r="H291" s="99">
        <f t="shared" si="8"/>
        <v>-13268.382432745819</v>
      </c>
      <c r="I291" s="95">
        <f>'Planning Engine'!H291</f>
        <v>-804818.50987632549</v>
      </c>
      <c r="J291" s="96">
        <f ca="1">'Planning Engine'!J291</f>
        <v>-62.73206628100094</v>
      </c>
      <c r="K291" s="95">
        <f ca="1">'Planning Engine'!K291</f>
        <v>920000</v>
      </c>
      <c r="L291" s="12" t="str">
        <f>'Planning Engine'!L291</f>
        <v>High</v>
      </c>
      <c r="M291" s="93">
        <f>'Planning Engine'!S291</f>
        <v>49249</v>
      </c>
      <c r="N291" s="95">
        <f>'Planning Engine'!T291</f>
        <v>0</v>
      </c>
      <c r="O291" s="98" t="s">
        <v>1323</v>
      </c>
      <c r="P291" s="4" t="str">
        <f t="shared" si="9"/>
        <v>⚠ Expedite production / source alternate</v>
      </c>
    </row>
    <row r="292" spans="1:16" ht="13" customHeight="1" x14ac:dyDescent="0.35">
      <c r="A292" s="93">
        <v>49369</v>
      </c>
      <c r="B292" s="61" t="s">
        <v>35</v>
      </c>
      <c r="C292" s="12" t="str">
        <f>'Planning Engine'!C292</f>
        <v>Label/Pack</v>
      </c>
      <c r="D292" s="12" t="str">
        <f>'Planning Engine'!D292</f>
        <v>units</v>
      </c>
      <c r="E292" s="95">
        <f>'Planning Engine'!E292</f>
        <v>-804818.50987632549</v>
      </c>
      <c r="F292" s="95">
        <f>'Planning Engine'!F292</f>
        <v>10712.617092596653</v>
      </c>
      <c r="G292" s="95">
        <f>'Planning Engine'!G292</f>
        <v>0</v>
      </c>
      <c r="H292" s="95">
        <f t="shared" si="8"/>
        <v>-10712.617092596653</v>
      </c>
      <c r="I292" s="95">
        <f>'Planning Engine'!H292</f>
        <v>-815531.12696892209</v>
      </c>
      <c r="J292" s="96">
        <f ca="1">'Planning Engine'!J292</f>
        <v>-62.677919722825671</v>
      </c>
      <c r="K292" s="95">
        <f ca="1">'Planning Engine'!K292</f>
        <v>930000</v>
      </c>
      <c r="L292" s="12" t="str">
        <f>'Planning Engine'!L292</f>
        <v>High</v>
      </c>
      <c r="M292" s="93">
        <f>'Planning Engine'!S292</f>
        <v>49279</v>
      </c>
      <c r="N292" s="95">
        <f>'Planning Engine'!T292</f>
        <v>0</v>
      </c>
      <c r="O292" s="94" t="s">
        <v>1324</v>
      </c>
      <c r="P292" s="12" t="str">
        <f t="shared" si="9"/>
        <v>⚠ Expedite production / source alternate</v>
      </c>
    </row>
    <row r="293" spans="1:16" ht="13" customHeight="1" x14ac:dyDescent="0.35">
      <c r="A293" s="97">
        <v>49400</v>
      </c>
      <c r="B293" s="53" t="s">
        <v>35</v>
      </c>
      <c r="C293" s="12" t="str">
        <f>'Planning Engine'!C293</f>
        <v>Label/Pack</v>
      </c>
      <c r="D293" s="12" t="str">
        <f>'Planning Engine'!D293</f>
        <v>units</v>
      </c>
      <c r="E293" s="95">
        <f>'Planning Engine'!E293</f>
        <v>-815531.12696892209</v>
      </c>
      <c r="F293" s="95">
        <f>'Planning Engine'!F293</f>
        <v>14644.612652591233</v>
      </c>
      <c r="G293" s="95">
        <f>'Planning Engine'!G293</f>
        <v>0</v>
      </c>
      <c r="H293" s="99">
        <f t="shared" si="8"/>
        <v>-14644.612652591233</v>
      </c>
      <c r="I293" s="95">
        <f>'Planning Engine'!H293</f>
        <v>-830175.73962151329</v>
      </c>
      <c r="J293" s="96">
        <f ca="1">'Planning Engine'!J293</f>
        <v>-63.314537991032722</v>
      </c>
      <c r="K293" s="95">
        <f ca="1">'Planning Engine'!K293</f>
        <v>950000</v>
      </c>
      <c r="L293" s="12" t="str">
        <f>'Planning Engine'!L293</f>
        <v>High</v>
      </c>
      <c r="M293" s="93">
        <f>'Planning Engine'!S293</f>
        <v>49310</v>
      </c>
      <c r="N293" s="95">
        <f>'Planning Engine'!T293</f>
        <v>0</v>
      </c>
      <c r="O293" s="98" t="s">
        <v>1325</v>
      </c>
      <c r="P293" s="4" t="str">
        <f t="shared" si="9"/>
        <v>⚠ Expedite production / source alternate</v>
      </c>
    </row>
    <row r="294" spans="1:16" ht="13" customHeight="1" x14ac:dyDescent="0.35">
      <c r="A294" s="93">
        <v>49430</v>
      </c>
      <c r="B294" s="61" t="s">
        <v>35</v>
      </c>
      <c r="C294" s="12" t="str">
        <f>'Planning Engine'!C294</f>
        <v>Label/Pack</v>
      </c>
      <c r="D294" s="12" t="str">
        <f>'Planning Engine'!D294</f>
        <v>units</v>
      </c>
      <c r="E294" s="95">
        <f>'Planning Engine'!E294</f>
        <v>-830175.73962151329</v>
      </c>
      <c r="F294" s="95">
        <f>'Planning Engine'!F294</f>
        <v>12525.534252279394</v>
      </c>
      <c r="G294" s="95">
        <f>'Planning Engine'!G294</f>
        <v>0</v>
      </c>
      <c r="H294" s="95">
        <f t="shared" si="8"/>
        <v>-12525.534252279394</v>
      </c>
      <c r="I294" s="95">
        <f>'Planning Engine'!H294</f>
        <v>-842701.27387379273</v>
      </c>
      <c r="J294" s="96">
        <f ca="1">'Planning Engine'!J294</f>
        <v>-65.562275838007807</v>
      </c>
      <c r="K294" s="95">
        <f ca="1">'Planning Engine'!K294</f>
        <v>960000</v>
      </c>
      <c r="L294" s="12" t="str">
        <f>'Planning Engine'!L294</f>
        <v>High</v>
      </c>
      <c r="M294" s="93">
        <f>'Planning Engine'!S294</f>
        <v>49341</v>
      </c>
      <c r="N294" s="95">
        <f>'Planning Engine'!T294</f>
        <v>0</v>
      </c>
      <c r="O294" s="94" t="s">
        <v>1326</v>
      </c>
      <c r="P294" s="12" t="str">
        <f t="shared" si="9"/>
        <v>⚠ Expedite production / source alternate</v>
      </c>
    </row>
    <row r="295" spans="1:16" ht="13" customHeight="1" x14ac:dyDescent="0.35">
      <c r="A295" s="97">
        <v>49461</v>
      </c>
      <c r="B295" s="53" t="s">
        <v>35</v>
      </c>
      <c r="C295" s="12" t="str">
        <f>'Planning Engine'!C295</f>
        <v>Label/Pack</v>
      </c>
      <c r="D295" s="12" t="str">
        <f>'Planning Engine'!D295</f>
        <v>units</v>
      </c>
      <c r="E295" s="95">
        <f>'Planning Engine'!E295</f>
        <v>-842701.27387379273</v>
      </c>
      <c r="F295" s="95">
        <f>'Planning Engine'!F295</f>
        <v>14042.542137133547</v>
      </c>
      <c r="G295" s="95">
        <f>'Planning Engine'!G295</f>
        <v>0</v>
      </c>
      <c r="H295" s="99">
        <f t="shared" si="8"/>
        <v>-14042.542137133547</v>
      </c>
      <c r="I295" s="95">
        <f>'Planning Engine'!H295</f>
        <v>-856743.81601092627</v>
      </c>
      <c r="J295" s="96">
        <f ca="1">'Planning Engine'!J295</f>
        <v>-66.161388920197339</v>
      </c>
      <c r="K295" s="95">
        <f ca="1">'Planning Engine'!K295</f>
        <v>970000</v>
      </c>
      <c r="L295" s="12" t="str">
        <f>'Planning Engine'!L295</f>
        <v>High</v>
      </c>
      <c r="M295" s="93">
        <f>'Planning Engine'!S295</f>
        <v>49369</v>
      </c>
      <c r="N295" s="95">
        <f>'Planning Engine'!T295</f>
        <v>0</v>
      </c>
      <c r="O295" s="98" t="s">
        <v>1327</v>
      </c>
      <c r="P295" s="4" t="str">
        <f t="shared" si="9"/>
        <v>⚠ Expedite production / source alternate</v>
      </c>
    </row>
    <row r="296" spans="1:16" ht="13" customHeight="1" x14ac:dyDescent="0.35">
      <c r="A296" s="93">
        <v>49491</v>
      </c>
      <c r="B296" s="61" t="s">
        <v>35</v>
      </c>
      <c r="C296" s="12" t="str">
        <f>'Planning Engine'!C296</f>
        <v>Label/Pack</v>
      </c>
      <c r="D296" s="12" t="str">
        <f>'Planning Engine'!D296</f>
        <v>units</v>
      </c>
      <c r="E296" s="95">
        <f>'Planning Engine'!E296</f>
        <v>-856743.81601092627</v>
      </c>
      <c r="F296" s="95">
        <f>'Planning Engine'!F296</f>
        <v>11523.459681790708</v>
      </c>
      <c r="G296" s="95">
        <f>'Planning Engine'!G296</f>
        <v>0</v>
      </c>
      <c r="H296" s="95">
        <f t="shared" si="8"/>
        <v>-11523.459681790708</v>
      </c>
      <c r="I296" s="95">
        <f>'Planning Engine'!H296</f>
        <v>-868267.27569271694</v>
      </c>
      <c r="J296" s="96">
        <f ca="1">'Planning Engine'!J296</f>
        <v>-68.29677834690925</v>
      </c>
      <c r="K296" s="95">
        <f ca="1">'Planning Engine'!K296</f>
        <v>980000</v>
      </c>
      <c r="L296" s="12" t="str">
        <f>'Planning Engine'!L296</f>
        <v>High</v>
      </c>
      <c r="M296" s="93">
        <f>'Planning Engine'!S296</f>
        <v>49400</v>
      </c>
      <c r="N296" s="95">
        <f>'Planning Engine'!T296</f>
        <v>0</v>
      </c>
      <c r="O296" s="94" t="s">
        <v>1328</v>
      </c>
      <c r="P296" s="12" t="str">
        <f t="shared" si="9"/>
        <v>⚠ Expedite production / source alternate</v>
      </c>
    </row>
    <row r="297" spans="1:16" ht="13" customHeight="1" x14ac:dyDescent="0.35">
      <c r="A297" s="97">
        <v>49522</v>
      </c>
      <c r="B297" s="53" t="s">
        <v>35</v>
      </c>
      <c r="C297" s="12" t="str">
        <f>'Planning Engine'!C297</f>
        <v>Label/Pack</v>
      </c>
      <c r="D297" s="12" t="str">
        <f>'Planning Engine'!D297</f>
        <v>units</v>
      </c>
      <c r="E297" s="95">
        <f>'Planning Engine'!E297</f>
        <v>-868267.27569271694</v>
      </c>
      <c r="F297" s="95">
        <f>'Planning Engine'!F297</f>
        <v>13336.629981986658</v>
      </c>
      <c r="G297" s="95">
        <f>'Planning Engine'!G297</f>
        <v>0</v>
      </c>
      <c r="H297" s="99">
        <f t="shared" si="8"/>
        <v>-13336.629981986658</v>
      </c>
      <c r="I297" s="95">
        <f>'Planning Engine'!H297</f>
        <v>-881603.90567470365</v>
      </c>
      <c r="J297" s="96">
        <f ca="1">'Planning Engine'!J297</f>
        <v>-68.250721556381649</v>
      </c>
      <c r="K297" s="95">
        <f ca="1">'Planning Engine'!K297</f>
        <v>1000000</v>
      </c>
      <c r="L297" s="12" t="str">
        <f>'Planning Engine'!L297</f>
        <v>High</v>
      </c>
      <c r="M297" s="93">
        <f>'Planning Engine'!S297</f>
        <v>49430</v>
      </c>
      <c r="N297" s="95">
        <f>'Planning Engine'!T297</f>
        <v>0</v>
      </c>
      <c r="O297" s="98" t="s">
        <v>1329</v>
      </c>
      <c r="P297" s="4" t="str">
        <f t="shared" si="9"/>
        <v>⚠ Expedite production / source alternate</v>
      </c>
    </row>
    <row r="298" spans="1:16" ht="13" customHeight="1" x14ac:dyDescent="0.35">
      <c r="A298" s="93">
        <v>49553</v>
      </c>
      <c r="B298" s="61" t="s">
        <v>35</v>
      </c>
      <c r="C298" s="12" t="str">
        <f>'Planning Engine'!C298</f>
        <v>Label/Pack</v>
      </c>
      <c r="D298" s="12" t="str">
        <f>'Planning Engine'!D298</f>
        <v>units</v>
      </c>
      <c r="E298" s="95">
        <f>'Planning Engine'!E298</f>
        <v>-881603.90567470365</v>
      </c>
      <c r="F298" s="95">
        <f>'Planning Engine'!F298</f>
        <v>15259.340661094569</v>
      </c>
      <c r="G298" s="95">
        <f>'Planning Engine'!G298</f>
        <v>0</v>
      </c>
      <c r="H298" s="95">
        <f t="shared" si="8"/>
        <v>-15259.340661094569</v>
      </c>
      <c r="I298" s="95">
        <f>'Planning Engine'!H298</f>
        <v>-896863.24633579818</v>
      </c>
      <c r="J298" s="96">
        <f ca="1">'Planning Engine'!J298</f>
        <v>-68.954382703310614</v>
      </c>
      <c r="K298" s="95">
        <f ca="1">'Planning Engine'!K298</f>
        <v>1010000</v>
      </c>
      <c r="L298" s="12" t="str">
        <f>'Planning Engine'!L298</f>
        <v>High</v>
      </c>
      <c r="M298" s="93">
        <f>'Planning Engine'!S298</f>
        <v>49461</v>
      </c>
      <c r="N298" s="95">
        <f>'Planning Engine'!T298</f>
        <v>0</v>
      </c>
      <c r="O298" s="94" t="s">
        <v>1330</v>
      </c>
      <c r="P298" s="12" t="str">
        <f t="shared" si="9"/>
        <v>⚠ Expedite production / source alternate</v>
      </c>
    </row>
    <row r="299" spans="1:16" ht="13" customHeight="1" x14ac:dyDescent="0.35">
      <c r="A299" s="97">
        <v>49583</v>
      </c>
      <c r="B299" s="53" t="s">
        <v>35</v>
      </c>
      <c r="C299" s="12" t="str">
        <f>'Planning Engine'!C299</f>
        <v>Label/Pack</v>
      </c>
      <c r="D299" s="12" t="str">
        <f>'Planning Engine'!D299</f>
        <v>units</v>
      </c>
      <c r="E299" s="95">
        <f>'Planning Engine'!E299</f>
        <v>-896863.24633579818</v>
      </c>
      <c r="F299" s="95">
        <f>'Planning Engine'!F299</f>
        <v>10152.017493391886</v>
      </c>
      <c r="G299" s="95">
        <f>'Planning Engine'!G299</f>
        <v>0</v>
      </c>
      <c r="H299" s="99">
        <f t="shared" si="8"/>
        <v>-10152.017493391886</v>
      </c>
      <c r="I299" s="95">
        <f>'Planning Engine'!H299</f>
        <v>-907015.26382919005</v>
      </c>
      <c r="J299" s="96">
        <f ca="1">'Planning Engine'!J299</f>
        <v>-71.274684030243122</v>
      </c>
      <c r="K299" s="95">
        <f ca="1">'Planning Engine'!K299</f>
        <v>1020000</v>
      </c>
      <c r="L299" s="12" t="str">
        <f>'Planning Engine'!L299</f>
        <v>High</v>
      </c>
      <c r="M299" s="93">
        <f>'Planning Engine'!S299</f>
        <v>49491</v>
      </c>
      <c r="N299" s="95">
        <f>'Planning Engine'!T299</f>
        <v>0</v>
      </c>
      <c r="O299" s="98" t="s">
        <v>1331</v>
      </c>
      <c r="P299" s="4" t="str">
        <f t="shared" si="9"/>
        <v>⚠ Expedite production / source alternate</v>
      </c>
    </row>
    <row r="300" spans="1:16" ht="13" customHeight="1" x14ac:dyDescent="0.35">
      <c r="A300" s="93">
        <v>49614</v>
      </c>
      <c r="B300" s="61" t="s">
        <v>35</v>
      </c>
      <c r="C300" s="12" t="str">
        <f>'Planning Engine'!C300</f>
        <v>Label/Pack</v>
      </c>
      <c r="D300" s="12" t="str">
        <f>'Planning Engine'!D300</f>
        <v>units</v>
      </c>
      <c r="E300" s="95">
        <f>'Planning Engine'!E300</f>
        <v>-907015.26382919005</v>
      </c>
      <c r="F300" s="95">
        <f>'Planning Engine'!F300</f>
        <v>14906.369047679702</v>
      </c>
      <c r="G300" s="95">
        <f>'Planning Engine'!G300</f>
        <v>0</v>
      </c>
      <c r="H300" s="95">
        <f t="shared" si="8"/>
        <v>-14906.369047679702</v>
      </c>
      <c r="I300" s="95">
        <f>'Planning Engine'!H300</f>
        <v>-921921.63287686976</v>
      </c>
      <c r="J300" s="96">
        <f ca="1">'Planning Engine'!J300</f>
        <v>-71.295349060367855</v>
      </c>
      <c r="K300" s="95">
        <f ca="1">'Planning Engine'!K300</f>
        <v>1040000</v>
      </c>
      <c r="L300" s="12" t="str">
        <f>'Planning Engine'!L300</f>
        <v>High</v>
      </c>
      <c r="M300" s="93">
        <f>'Planning Engine'!S300</f>
        <v>49522</v>
      </c>
      <c r="N300" s="95">
        <f>'Planning Engine'!T300</f>
        <v>0</v>
      </c>
      <c r="O300" s="94" t="s">
        <v>1332</v>
      </c>
      <c r="P300" s="12" t="str">
        <f t="shared" si="9"/>
        <v>⚠ Expedite production / source alternate</v>
      </c>
    </row>
    <row r="301" spans="1:16" ht="13" customHeight="1" x14ac:dyDescent="0.35">
      <c r="A301" s="97">
        <v>49644</v>
      </c>
      <c r="B301" s="53" t="s">
        <v>35</v>
      </c>
      <c r="C301" s="12" t="str">
        <f>'Planning Engine'!C301</f>
        <v>Label/Pack</v>
      </c>
      <c r="D301" s="12" t="str">
        <f>'Planning Engine'!D301</f>
        <v>units</v>
      </c>
      <c r="E301" s="95">
        <f>'Planning Engine'!E301</f>
        <v>-921921.63287686976</v>
      </c>
      <c r="F301" s="95">
        <f>'Planning Engine'!F301</f>
        <v>11616.856913712998</v>
      </c>
      <c r="G301" s="95">
        <f>'Planning Engine'!G301</f>
        <v>0</v>
      </c>
      <c r="H301" s="99">
        <f t="shared" si="8"/>
        <v>-11616.856913712998</v>
      </c>
      <c r="I301" s="95">
        <f>'Planning Engine'!H301</f>
        <v>-933538.4897905828</v>
      </c>
      <c r="J301" s="96">
        <f ca="1">'Planning Engine'!J301</f>
        <v>-72.392365225766682</v>
      </c>
      <c r="K301" s="95">
        <f ca="1">'Planning Engine'!K301</f>
        <v>1050000</v>
      </c>
      <c r="L301" s="12" t="str">
        <f>'Planning Engine'!L301</f>
        <v>High</v>
      </c>
      <c r="M301" s="93">
        <f>'Planning Engine'!S301</f>
        <v>49553</v>
      </c>
      <c r="N301" s="95">
        <f>'Planning Engine'!T301</f>
        <v>0</v>
      </c>
      <c r="O301" s="98" t="s">
        <v>1333</v>
      </c>
      <c r="P301" s="4" t="str">
        <f t="shared" si="9"/>
        <v>⚠ Expedite production / source alternate</v>
      </c>
    </row>
    <row r="302" spans="1:16" ht="13" customHeight="1" x14ac:dyDescent="0.35">
      <c r="A302" s="93">
        <v>49675</v>
      </c>
      <c r="B302" s="61" t="s">
        <v>35</v>
      </c>
      <c r="C302" s="12" t="str">
        <f>'Planning Engine'!C302</f>
        <v>Label/Pack</v>
      </c>
      <c r="D302" s="12" t="str">
        <f>'Planning Engine'!D302</f>
        <v>units</v>
      </c>
      <c r="E302" s="95">
        <f>'Planning Engine'!E302</f>
        <v>-933538.4897905828</v>
      </c>
      <c r="F302" s="95">
        <f>'Planning Engine'!F302</f>
        <v>12318.277798958348</v>
      </c>
      <c r="G302" s="95">
        <f>'Planning Engine'!G302</f>
        <v>0</v>
      </c>
      <c r="H302" s="95">
        <f t="shared" si="8"/>
        <v>-12318.277798958348</v>
      </c>
      <c r="I302" s="95">
        <f>'Planning Engine'!H302</f>
        <v>-945856.76758954115</v>
      </c>
      <c r="J302" s="96">
        <f ca="1">'Planning Engine'!J302</f>
        <v>-72.611932608623547</v>
      </c>
      <c r="K302" s="95">
        <f ca="1">'Planning Engine'!K302</f>
        <v>1060000</v>
      </c>
      <c r="L302" s="12" t="str">
        <f>'Planning Engine'!L302</f>
        <v>High</v>
      </c>
      <c r="M302" s="93">
        <f>'Planning Engine'!S302</f>
        <v>49583</v>
      </c>
      <c r="N302" s="95">
        <f>'Planning Engine'!T302</f>
        <v>0</v>
      </c>
      <c r="O302" s="94" t="s">
        <v>1334</v>
      </c>
      <c r="P302" s="12" t="str">
        <f t="shared" si="9"/>
        <v>⚠ Expedite production / source alternate</v>
      </c>
    </row>
    <row r="303" spans="1:16" ht="13" customHeight="1" x14ac:dyDescent="0.35">
      <c r="A303" s="97">
        <v>49706</v>
      </c>
      <c r="B303" s="53" t="s">
        <v>35</v>
      </c>
      <c r="C303" s="12" t="str">
        <f>'Planning Engine'!C303</f>
        <v>Label/Pack</v>
      </c>
      <c r="D303" s="12" t="str">
        <f>'Planning Engine'!D303</f>
        <v>units</v>
      </c>
      <c r="E303" s="95">
        <f>'Planning Engine'!E303</f>
        <v>-945856.76758954115</v>
      </c>
      <c r="F303" s="95">
        <f>'Planning Engine'!F303</f>
        <v>13388.225664127878</v>
      </c>
      <c r="G303" s="95">
        <f>'Planning Engine'!G303</f>
        <v>0</v>
      </c>
      <c r="H303" s="99">
        <f t="shared" si="8"/>
        <v>-13388.225664127878</v>
      </c>
      <c r="I303" s="95">
        <f>'Planning Engine'!H303</f>
        <v>-959244.993253669</v>
      </c>
      <c r="J303" s="96">
        <f ca="1">'Planning Engine'!J303</f>
        <v>-73.096280987236383</v>
      </c>
      <c r="K303" s="95">
        <f ca="1">'Planning Engine'!K303</f>
        <v>1080000</v>
      </c>
      <c r="L303" s="12" t="str">
        <f>'Planning Engine'!L303</f>
        <v>High</v>
      </c>
      <c r="M303" s="93">
        <f>'Planning Engine'!S303</f>
        <v>49614</v>
      </c>
      <c r="N303" s="95">
        <f>'Planning Engine'!T303</f>
        <v>0</v>
      </c>
      <c r="O303" s="98" t="s">
        <v>1335</v>
      </c>
      <c r="P303" s="4" t="str">
        <f t="shared" si="9"/>
        <v>⚠ Expedite production / source alternate</v>
      </c>
    </row>
    <row r="304" spans="1:16" ht="13" customHeight="1" x14ac:dyDescent="0.35">
      <c r="A304" s="93">
        <v>49735</v>
      </c>
      <c r="B304" s="61" t="s">
        <v>35</v>
      </c>
      <c r="C304" s="12" t="str">
        <f>'Planning Engine'!C304</f>
        <v>Label/Pack</v>
      </c>
      <c r="D304" s="12" t="str">
        <f>'Planning Engine'!D304</f>
        <v>units</v>
      </c>
      <c r="E304" s="95">
        <f>'Planning Engine'!E304</f>
        <v>-959244.993253669</v>
      </c>
      <c r="F304" s="95">
        <f>'Planning Engine'!F304</f>
        <v>11917.184360518606</v>
      </c>
      <c r="G304" s="95">
        <f>'Planning Engine'!G304</f>
        <v>0</v>
      </c>
      <c r="H304" s="95">
        <f t="shared" si="8"/>
        <v>-11917.184360518606</v>
      </c>
      <c r="I304" s="95">
        <f>'Planning Engine'!H304</f>
        <v>-971162.17761418759</v>
      </c>
      <c r="J304" s="96">
        <f ca="1">'Planning Engine'!J304</f>
        <v>-73.402860422413866</v>
      </c>
      <c r="K304" s="95">
        <f ca="1">'Planning Engine'!K304</f>
        <v>1090000</v>
      </c>
      <c r="L304" s="12" t="str">
        <f>'Planning Engine'!L304</f>
        <v>High</v>
      </c>
      <c r="M304" s="93">
        <f>'Planning Engine'!S304</f>
        <v>49644</v>
      </c>
      <c r="N304" s="95">
        <f>'Planning Engine'!T304</f>
        <v>0</v>
      </c>
      <c r="O304" s="94" t="s">
        <v>1336</v>
      </c>
      <c r="P304" s="12" t="str">
        <f t="shared" si="9"/>
        <v>⚠ Expedite production / source alternate</v>
      </c>
    </row>
    <row r="305" spans="1:16" ht="13" customHeight="1" x14ac:dyDescent="0.35">
      <c r="A305" s="97">
        <v>49766</v>
      </c>
      <c r="B305" s="53" t="s">
        <v>35</v>
      </c>
      <c r="C305" s="12" t="str">
        <f>'Planning Engine'!C305</f>
        <v>Label/Pack</v>
      </c>
      <c r="D305" s="12" t="str">
        <f>'Planning Engine'!D305</f>
        <v>units</v>
      </c>
      <c r="E305" s="95">
        <f>'Planning Engine'!E305</f>
        <v>-971162.17761418759</v>
      </c>
      <c r="F305" s="95">
        <f>'Planning Engine'!F305</f>
        <v>13359.329098163755</v>
      </c>
      <c r="G305" s="95">
        <f>'Planning Engine'!G305</f>
        <v>0</v>
      </c>
      <c r="H305" s="99">
        <f t="shared" si="8"/>
        <v>-13359.329098163755</v>
      </c>
      <c r="I305" s="95">
        <f>'Planning Engine'!H305</f>
        <v>-984521.50671235134</v>
      </c>
      <c r="J305" s="96">
        <f ca="1">'Planning Engine'!J305</f>
        <v>-75.934516959985345</v>
      </c>
      <c r="K305" s="95">
        <f ca="1">'Planning Engine'!K305</f>
        <v>1100000</v>
      </c>
      <c r="L305" s="12" t="str">
        <f>'Planning Engine'!L305</f>
        <v>High</v>
      </c>
      <c r="M305" s="93">
        <f>'Planning Engine'!S305</f>
        <v>49675</v>
      </c>
      <c r="N305" s="95">
        <f>'Planning Engine'!T305</f>
        <v>0</v>
      </c>
      <c r="O305" s="98" t="s">
        <v>1337</v>
      </c>
      <c r="P305" s="4" t="str">
        <f t="shared" si="9"/>
        <v>⚠ Expedite production / source alternate</v>
      </c>
    </row>
    <row r="306" spans="1:16" ht="13" customHeight="1" x14ac:dyDescent="0.35">
      <c r="A306" s="93">
        <v>49796</v>
      </c>
      <c r="B306" s="61" t="s">
        <v>35</v>
      </c>
      <c r="C306" s="12" t="str">
        <f>'Planning Engine'!C306</f>
        <v>Label/Pack</v>
      </c>
      <c r="D306" s="12" t="str">
        <f>'Planning Engine'!D306</f>
        <v>units</v>
      </c>
      <c r="E306" s="95">
        <f>'Planning Engine'!E306</f>
        <v>-984521.50671235134</v>
      </c>
      <c r="F306" s="95">
        <f>'Planning Engine'!F306</f>
        <v>14141.951967887968</v>
      </c>
      <c r="G306" s="95">
        <f>'Planning Engine'!G306</f>
        <v>0</v>
      </c>
      <c r="H306" s="95">
        <f t="shared" si="8"/>
        <v>-14141.951967887968</v>
      </c>
      <c r="I306" s="95">
        <f>'Planning Engine'!H306</f>
        <v>-998663.45868023927</v>
      </c>
      <c r="J306" s="96">
        <f ca="1">'Planning Engine'!J306</f>
        <v>-75.729906926753387</v>
      </c>
      <c r="K306" s="95">
        <f ca="1">'Planning Engine'!K306</f>
        <v>1120000</v>
      </c>
      <c r="L306" s="12" t="str">
        <f>'Planning Engine'!L306</f>
        <v>High</v>
      </c>
      <c r="M306" s="93">
        <f>'Planning Engine'!S306</f>
        <v>49706</v>
      </c>
      <c r="N306" s="95">
        <f>'Planning Engine'!T306</f>
        <v>0</v>
      </c>
      <c r="O306" s="94" t="s">
        <v>1338</v>
      </c>
      <c r="P306" s="12" t="str">
        <f t="shared" si="9"/>
        <v>⚠ Expedite production / source alternate</v>
      </c>
    </row>
    <row r="307" spans="1:16" ht="13" customHeight="1" x14ac:dyDescent="0.35">
      <c r="A307" s="97">
        <v>49827</v>
      </c>
      <c r="B307" s="53" t="s">
        <v>35</v>
      </c>
      <c r="C307" s="12" t="str">
        <f>'Planning Engine'!C307</f>
        <v>Label/Pack</v>
      </c>
      <c r="D307" s="12" t="str">
        <f>'Planning Engine'!D307</f>
        <v>units</v>
      </c>
      <c r="E307" s="95">
        <f>'Planning Engine'!E307</f>
        <v>-998663.45868023927</v>
      </c>
      <c r="F307" s="95">
        <f>'Planning Engine'!F307</f>
        <v>12730.458475494661</v>
      </c>
      <c r="G307" s="95">
        <f>'Planning Engine'!G307</f>
        <v>0</v>
      </c>
      <c r="H307" s="99">
        <f t="shared" si="8"/>
        <v>-12730.458475494661</v>
      </c>
      <c r="I307" s="95">
        <f>'Planning Engine'!H307</f>
        <v>-1011393.9171557339</v>
      </c>
      <c r="J307" s="96">
        <f ca="1">'Planning Engine'!J307</f>
        <v>-78.322642542340532</v>
      </c>
      <c r="K307" s="95">
        <f ca="1">'Planning Engine'!K307</f>
        <v>1130000</v>
      </c>
      <c r="L307" s="12" t="str">
        <f>'Planning Engine'!L307</f>
        <v>High</v>
      </c>
      <c r="M307" s="93">
        <f>'Planning Engine'!S307</f>
        <v>49735</v>
      </c>
      <c r="N307" s="95">
        <f>'Planning Engine'!T307</f>
        <v>0</v>
      </c>
      <c r="O307" s="98" t="s">
        <v>1339</v>
      </c>
      <c r="P307" s="4" t="str">
        <f t="shared" si="9"/>
        <v>⚠ Expedite production / source alternate</v>
      </c>
    </row>
    <row r="308" spans="1:16" ht="13" customHeight="1" x14ac:dyDescent="0.35">
      <c r="A308" s="93">
        <v>49857</v>
      </c>
      <c r="B308" s="61" t="s">
        <v>35</v>
      </c>
      <c r="C308" s="12" t="str">
        <f>'Planning Engine'!C308</f>
        <v>Label/Pack</v>
      </c>
      <c r="D308" s="12" t="str">
        <f>'Planning Engine'!D308</f>
        <v>units</v>
      </c>
      <c r="E308" s="95">
        <f>'Planning Engine'!E308</f>
        <v>-1011393.9171557339</v>
      </c>
      <c r="F308" s="95">
        <f>'Planning Engine'!F308</f>
        <v>12000.532766875243</v>
      </c>
      <c r="G308" s="95">
        <f>'Planning Engine'!G308</f>
        <v>0</v>
      </c>
      <c r="H308" s="95">
        <f t="shared" si="8"/>
        <v>-12000.532766875243</v>
      </c>
      <c r="I308" s="95">
        <f>'Planning Engine'!H308</f>
        <v>-1023394.4499226091</v>
      </c>
      <c r="J308" s="96">
        <f ca="1">'Planning Engine'!J308</f>
        <v>-80.263334395879539</v>
      </c>
      <c r="K308" s="95">
        <f ca="1">'Planning Engine'!K308</f>
        <v>1140000</v>
      </c>
      <c r="L308" s="12" t="str">
        <f>'Planning Engine'!L308</f>
        <v>High</v>
      </c>
      <c r="M308" s="93">
        <f>'Planning Engine'!S308</f>
        <v>49766</v>
      </c>
      <c r="N308" s="95">
        <f>'Planning Engine'!T308</f>
        <v>0</v>
      </c>
      <c r="O308" s="94" t="s">
        <v>1340</v>
      </c>
      <c r="P308" s="12" t="str">
        <f t="shared" si="9"/>
        <v>⚠ Expedite production / source alternate</v>
      </c>
    </row>
    <row r="309" spans="1:16" ht="13" customHeight="1" x14ac:dyDescent="0.35">
      <c r="A309" s="97">
        <v>49888</v>
      </c>
      <c r="B309" s="53" t="s">
        <v>35</v>
      </c>
      <c r="C309" s="12" t="str">
        <f>'Planning Engine'!C309</f>
        <v>Label/Pack</v>
      </c>
      <c r="D309" s="12" t="str">
        <f>'Planning Engine'!D309</f>
        <v>units</v>
      </c>
      <c r="E309" s="95">
        <f>'Planning Engine'!E309</f>
        <v>-1023394.4499226091</v>
      </c>
      <c r="F309" s="95">
        <f>'Planning Engine'!F309</f>
        <v>14587.024097906</v>
      </c>
      <c r="G309" s="95">
        <f>'Planning Engine'!G309</f>
        <v>0</v>
      </c>
      <c r="H309" s="99">
        <f t="shared" si="8"/>
        <v>-14587.024097906</v>
      </c>
      <c r="I309" s="95">
        <f>'Planning Engine'!H309</f>
        <v>-1037981.4740205151</v>
      </c>
      <c r="J309" s="96">
        <f ca="1">'Planning Engine'!J309</f>
        <v>-79.412506304757258</v>
      </c>
      <c r="K309" s="95">
        <f ca="1">'Planning Engine'!K309</f>
        <v>1160000</v>
      </c>
      <c r="L309" s="12" t="str">
        <f>'Planning Engine'!L309</f>
        <v>High</v>
      </c>
      <c r="M309" s="93">
        <f>'Planning Engine'!S309</f>
        <v>49796</v>
      </c>
      <c r="N309" s="95">
        <f>'Planning Engine'!T309</f>
        <v>0</v>
      </c>
      <c r="O309" s="98" t="s">
        <v>1341</v>
      </c>
      <c r="P309" s="4" t="str">
        <f t="shared" si="9"/>
        <v>⚠ Expedite production / source alternate</v>
      </c>
    </row>
    <row r="310" spans="1:16" ht="13" customHeight="1" x14ac:dyDescent="0.35">
      <c r="A310" s="93">
        <v>49919</v>
      </c>
      <c r="B310" s="61" t="s">
        <v>35</v>
      </c>
      <c r="C310" s="12" t="str">
        <f>'Planning Engine'!C310</f>
        <v>Label/Pack</v>
      </c>
      <c r="D310" s="12" t="str">
        <f>'Planning Engine'!D310</f>
        <v>units</v>
      </c>
      <c r="E310" s="95">
        <f>'Planning Engine'!E310</f>
        <v>-1037981.4740205151</v>
      </c>
      <c r="F310" s="95">
        <f>'Planning Engine'!F310</f>
        <v>12792.717981564436</v>
      </c>
      <c r="G310" s="95">
        <f>'Planning Engine'!G310</f>
        <v>0</v>
      </c>
      <c r="H310" s="95">
        <f t="shared" si="8"/>
        <v>-12792.717981564436</v>
      </c>
      <c r="I310" s="95">
        <f>'Planning Engine'!H310</f>
        <v>-1050774.1920020794</v>
      </c>
      <c r="J310" s="96">
        <f ca="1">'Planning Engine'!J310</f>
        <v>-80.886253256747054</v>
      </c>
      <c r="K310" s="95">
        <f ca="1">'Planning Engine'!K310</f>
        <v>1170000</v>
      </c>
      <c r="L310" s="12" t="str">
        <f>'Planning Engine'!L310</f>
        <v>High</v>
      </c>
      <c r="M310" s="93">
        <f>'Planning Engine'!S310</f>
        <v>49827</v>
      </c>
      <c r="N310" s="95">
        <f>'Planning Engine'!T310</f>
        <v>0</v>
      </c>
      <c r="O310" s="94" t="s">
        <v>1342</v>
      </c>
      <c r="P310" s="12" t="str">
        <f t="shared" si="9"/>
        <v>⚠ Expedite production / source alternate</v>
      </c>
    </row>
    <row r="311" spans="1:16" ht="13" customHeight="1" x14ac:dyDescent="0.35">
      <c r="A311" s="97">
        <v>49949</v>
      </c>
      <c r="B311" s="53" t="s">
        <v>35</v>
      </c>
      <c r="C311" s="12" t="str">
        <f>'Planning Engine'!C311</f>
        <v>Label/Pack</v>
      </c>
      <c r="D311" s="12" t="str">
        <f>'Planning Engine'!D311</f>
        <v>units</v>
      </c>
      <c r="E311" s="95">
        <f>'Planning Engine'!E311</f>
        <v>-1050774.1920020794</v>
      </c>
      <c r="F311" s="95">
        <f>'Planning Engine'!F311</f>
        <v>13189.883136945376</v>
      </c>
      <c r="G311" s="95">
        <f>'Planning Engine'!G311</f>
        <v>0</v>
      </c>
      <c r="H311" s="99">
        <f t="shared" si="8"/>
        <v>-13189.883136945376</v>
      </c>
      <c r="I311" s="95">
        <f>'Planning Engine'!H311</f>
        <v>-1063964.0751390248</v>
      </c>
      <c r="J311" s="96">
        <f ca="1">'Planning Engine'!J311</f>
        <v>-82.683890565146442</v>
      </c>
      <c r="K311" s="95">
        <f ca="1">'Planning Engine'!K311</f>
        <v>1180000</v>
      </c>
      <c r="L311" s="12" t="str">
        <f>'Planning Engine'!L311</f>
        <v>High</v>
      </c>
      <c r="M311" s="93">
        <f>'Planning Engine'!S311</f>
        <v>49857</v>
      </c>
      <c r="N311" s="95">
        <f>'Planning Engine'!T311</f>
        <v>0</v>
      </c>
      <c r="O311" s="98" t="s">
        <v>1343</v>
      </c>
      <c r="P311" s="4" t="str">
        <f t="shared" si="9"/>
        <v>⚠ Expedite production / source alternate</v>
      </c>
    </row>
    <row r="312" spans="1:16" ht="13" customHeight="1" x14ac:dyDescent="0.35">
      <c r="A312" s="93">
        <v>49980</v>
      </c>
      <c r="B312" s="61" t="s">
        <v>35</v>
      </c>
      <c r="C312" s="12" t="str">
        <f>'Planning Engine'!C312</f>
        <v>Label/Pack</v>
      </c>
      <c r="D312" s="12" t="str">
        <f>'Planning Engine'!D312</f>
        <v>units</v>
      </c>
      <c r="E312" s="95">
        <f>'Planning Engine'!E312</f>
        <v>-1063964.0751390248</v>
      </c>
      <c r="F312" s="95">
        <f>'Planning Engine'!F312</f>
        <v>14356.108757470076</v>
      </c>
      <c r="G312" s="95">
        <f>'Planning Engine'!G312</f>
        <v>0</v>
      </c>
      <c r="H312" s="95">
        <f t="shared" si="8"/>
        <v>-14356.108757470076</v>
      </c>
      <c r="I312" s="95">
        <f>'Planning Engine'!H312</f>
        <v>-1078320.1838964948</v>
      </c>
      <c r="J312" s="96">
        <f ca="1">'Planning Engine'!J312</f>
        <v>-83.559285229678821</v>
      </c>
      <c r="K312" s="95">
        <f ca="1">'Planning Engine'!K312</f>
        <v>1190000</v>
      </c>
      <c r="L312" s="12" t="str">
        <f>'Planning Engine'!L312</f>
        <v>High</v>
      </c>
      <c r="M312" s="93">
        <f>'Planning Engine'!S312</f>
        <v>49888</v>
      </c>
      <c r="N312" s="95">
        <f>'Planning Engine'!T312</f>
        <v>0</v>
      </c>
      <c r="O312" s="94" t="s">
        <v>1344</v>
      </c>
      <c r="P312" s="12" t="str">
        <f t="shared" si="9"/>
        <v>⚠ Expedite production / source alternate</v>
      </c>
    </row>
    <row r="313" spans="1:16" ht="13" customHeight="1" x14ac:dyDescent="0.35">
      <c r="A313" s="97">
        <v>50010</v>
      </c>
      <c r="B313" s="53" t="s">
        <v>35</v>
      </c>
      <c r="C313" s="12" t="str">
        <f>'Planning Engine'!C313</f>
        <v>Label/Pack</v>
      </c>
      <c r="D313" s="12" t="str">
        <f>'Planning Engine'!D313</f>
        <v>units</v>
      </c>
      <c r="E313" s="95">
        <f>'Planning Engine'!E313</f>
        <v>-1078320.1838964948</v>
      </c>
      <c r="F313" s="95">
        <f>'Planning Engine'!F313</f>
        <v>9530.6080020293066</v>
      </c>
      <c r="G313" s="95">
        <f>'Planning Engine'!G313</f>
        <v>0</v>
      </c>
      <c r="H313" s="99">
        <f t="shared" si="8"/>
        <v>-9530.6080020293066</v>
      </c>
      <c r="I313" s="95">
        <f>'Planning Engine'!H313</f>
        <v>-1087850.7918985242</v>
      </c>
      <c r="J313" s="96">
        <f ca="1">'Planning Engine'!J313</f>
        <v>-84.330360371690773</v>
      </c>
      <c r="K313" s="95">
        <f ca="1">'Planning Engine'!K313</f>
        <v>1200000</v>
      </c>
      <c r="L313" s="12" t="str">
        <f>'Planning Engine'!L313</f>
        <v>High</v>
      </c>
      <c r="M313" s="93">
        <f>'Planning Engine'!S313</f>
        <v>49919</v>
      </c>
      <c r="N313" s="95">
        <f>'Planning Engine'!T313</f>
        <v>0</v>
      </c>
      <c r="O313" s="98" t="s">
        <v>1345</v>
      </c>
      <c r="P313" s="4" t="str">
        <f t="shared" si="9"/>
        <v>⚠ Expedite production / source alternate</v>
      </c>
    </row>
    <row r="314" spans="1:16" ht="13" customHeight="1" x14ac:dyDescent="0.35">
      <c r="A314" s="93">
        <v>50041</v>
      </c>
      <c r="B314" s="61" t="s">
        <v>35</v>
      </c>
      <c r="C314" s="12" t="str">
        <f>'Planning Engine'!C314</f>
        <v>Label/Pack</v>
      </c>
      <c r="D314" s="12" t="str">
        <f>'Planning Engine'!D314</f>
        <v>units</v>
      </c>
      <c r="E314" s="95">
        <f>'Planning Engine'!E314</f>
        <v>-1087850.7918985242</v>
      </c>
      <c r="F314" s="95">
        <f>'Planning Engine'!F314</f>
        <v>15355.280698945444</v>
      </c>
      <c r="G314" s="95">
        <f>'Planning Engine'!G314</f>
        <v>0</v>
      </c>
      <c r="H314" s="95">
        <f t="shared" si="8"/>
        <v>-15355.280698945444</v>
      </c>
      <c r="I314" s="95">
        <f>'Planning Engine'!H314</f>
        <v>-1103206.0725974697</v>
      </c>
      <c r="J314" s="96">
        <f ca="1">'Planning Engine'!J314</f>
        <v>-84.470313355506647</v>
      </c>
      <c r="K314" s="95">
        <f ca="1">'Planning Engine'!K314</f>
        <v>1220000</v>
      </c>
      <c r="L314" s="12" t="str">
        <f>'Planning Engine'!L314</f>
        <v>High</v>
      </c>
      <c r="M314" s="93">
        <f>'Planning Engine'!S314</f>
        <v>49949</v>
      </c>
      <c r="N314" s="95">
        <f>'Planning Engine'!T314</f>
        <v>0</v>
      </c>
      <c r="O314" s="94" t="s">
        <v>1346</v>
      </c>
      <c r="P314" s="12" t="str">
        <f t="shared" si="9"/>
        <v>⚠ Expedite production / source alternate</v>
      </c>
    </row>
    <row r="315" spans="1:16" ht="13" customHeight="1" x14ac:dyDescent="0.35">
      <c r="A315" s="97">
        <v>50072</v>
      </c>
      <c r="B315" s="53" t="s">
        <v>35</v>
      </c>
      <c r="C315" s="12" t="str">
        <f>'Planning Engine'!C315</f>
        <v>Label/Pack</v>
      </c>
      <c r="D315" s="12" t="str">
        <f>'Planning Engine'!D315</f>
        <v>units</v>
      </c>
      <c r="E315" s="95">
        <f>'Planning Engine'!E315</f>
        <v>-1103206.0725974697</v>
      </c>
      <c r="F315" s="95">
        <f>'Planning Engine'!F315</f>
        <v>11675.952756906507</v>
      </c>
      <c r="G315" s="95">
        <f>'Planning Engine'!G315</f>
        <v>0</v>
      </c>
      <c r="H315" s="99">
        <f t="shared" si="8"/>
        <v>-11675.952756906507</v>
      </c>
      <c r="I315" s="95">
        <f>'Planning Engine'!H315</f>
        <v>-1114882.0253543761</v>
      </c>
      <c r="J315" s="96">
        <f ca="1">'Planning Engine'!J315</f>
        <v>-89.083794650803398</v>
      </c>
      <c r="K315" s="95">
        <f ca="1">'Planning Engine'!K315</f>
        <v>1230000</v>
      </c>
      <c r="L315" s="12" t="str">
        <f>'Planning Engine'!L315</f>
        <v>High</v>
      </c>
      <c r="M315" s="93">
        <f>'Planning Engine'!S315</f>
        <v>49980</v>
      </c>
      <c r="N315" s="95">
        <f>'Planning Engine'!T315</f>
        <v>0</v>
      </c>
      <c r="O315" s="98" t="s">
        <v>1347</v>
      </c>
      <c r="P315" s="4" t="str">
        <f t="shared" si="9"/>
        <v>⚠ Expedite production / source alternate</v>
      </c>
    </row>
    <row r="316" spans="1:16" ht="13" customHeight="1" x14ac:dyDescent="0.35">
      <c r="A316" s="93">
        <v>50100</v>
      </c>
      <c r="B316" s="61" t="s">
        <v>35</v>
      </c>
      <c r="C316" s="12" t="str">
        <f>'Planning Engine'!C316</f>
        <v>Label/Pack</v>
      </c>
      <c r="D316" s="12" t="str">
        <f>'Planning Engine'!D316</f>
        <v>units</v>
      </c>
      <c r="E316" s="95">
        <f>'Planning Engine'!E316</f>
        <v>-1114882.0253543761</v>
      </c>
      <c r="F316" s="95">
        <f>'Planning Engine'!F316</f>
        <v>11266.033510380894</v>
      </c>
      <c r="G316" s="95">
        <f>'Planning Engine'!G316</f>
        <v>0</v>
      </c>
      <c r="H316" s="95">
        <f t="shared" si="8"/>
        <v>-11266.033510380894</v>
      </c>
      <c r="I316" s="95">
        <f>'Planning Engine'!H316</f>
        <v>-1126148.058864757</v>
      </c>
      <c r="J316" s="96">
        <f ca="1">'Planning Engine'!J316</f>
        <v>-91.709183009673708</v>
      </c>
      <c r="K316" s="95">
        <f ca="1">'Planning Engine'!K316</f>
        <v>1240000</v>
      </c>
      <c r="L316" s="12" t="str">
        <f>'Planning Engine'!L316</f>
        <v>High</v>
      </c>
      <c r="M316" s="93">
        <f>'Planning Engine'!S316</f>
        <v>50010</v>
      </c>
      <c r="N316" s="95">
        <f>'Planning Engine'!T316</f>
        <v>0</v>
      </c>
      <c r="O316" s="94" t="s">
        <v>1348</v>
      </c>
      <c r="P316" s="12" t="str">
        <f t="shared" si="9"/>
        <v>⚠ Expedite production / source alternate</v>
      </c>
    </row>
    <row r="317" spans="1:16" ht="13" customHeight="1" x14ac:dyDescent="0.35">
      <c r="A317" s="97">
        <v>50131</v>
      </c>
      <c r="B317" s="53" t="s">
        <v>35</v>
      </c>
      <c r="C317" s="12" t="str">
        <f>'Planning Engine'!C317</f>
        <v>Label/Pack</v>
      </c>
      <c r="D317" s="12" t="str">
        <f>'Planning Engine'!D317</f>
        <v>units</v>
      </c>
      <c r="E317" s="95">
        <f>'Planning Engine'!E317</f>
        <v>-1126148.058864757</v>
      </c>
      <c r="F317" s="95">
        <f>'Planning Engine'!F317</f>
        <v>14883.192877630398</v>
      </c>
      <c r="G317" s="95">
        <f>'Planning Engine'!G317</f>
        <v>0</v>
      </c>
      <c r="H317" s="99">
        <f t="shared" si="8"/>
        <v>-14883.192877630398</v>
      </c>
      <c r="I317" s="95">
        <f>'Planning Engine'!H317</f>
        <v>-1141031.2517423874</v>
      </c>
      <c r="J317" s="96">
        <f ca="1">'Planning Engine'!J317</f>
        <v>-96.514434496206519</v>
      </c>
      <c r="K317" s="95">
        <f ca="1">'Planning Engine'!K317</f>
        <v>1250000</v>
      </c>
      <c r="L317" s="12" t="str">
        <f>'Planning Engine'!L317</f>
        <v>High</v>
      </c>
      <c r="M317" s="93">
        <f>'Planning Engine'!S317</f>
        <v>50041</v>
      </c>
      <c r="N317" s="95">
        <f>'Planning Engine'!T317</f>
        <v>0</v>
      </c>
      <c r="O317" s="98" t="s">
        <v>1349</v>
      </c>
      <c r="P317" s="4" t="str">
        <f t="shared" si="9"/>
        <v>⚠ Expedite production / source alternate</v>
      </c>
    </row>
    <row r="318" spans="1:16" ht="13" customHeight="1" x14ac:dyDescent="0.35">
      <c r="A318" s="93">
        <v>50161</v>
      </c>
      <c r="B318" s="61" t="s">
        <v>35</v>
      </c>
      <c r="C318" s="12" t="str">
        <f>'Planning Engine'!C318</f>
        <v>Label/Pack</v>
      </c>
      <c r="D318" s="12" t="str">
        <f>'Planning Engine'!D318</f>
        <v>units</v>
      </c>
      <c r="E318" s="95">
        <f>'Planning Engine'!E318</f>
        <v>-1141031.2517423874</v>
      </c>
      <c r="F318" s="95">
        <f>'Planning Engine'!F318</f>
        <v>13867.09439483512</v>
      </c>
      <c r="G318" s="95">
        <f>'Planning Engine'!G318</f>
        <v>0</v>
      </c>
      <c r="H318" s="95">
        <f t="shared" si="8"/>
        <v>-13867.09439483512</v>
      </c>
      <c r="I318" s="95">
        <f>'Planning Engine'!H318</f>
        <v>-1154898.3461372226</v>
      </c>
      <c r="J318" s="96">
        <f ca="1">'Planning Engine'!J318</f>
        <v>-103.2711409948004</v>
      </c>
      <c r="K318" s="95">
        <f ca="1">'Planning Engine'!K318</f>
        <v>1260000</v>
      </c>
      <c r="L318" s="12" t="str">
        <f>'Planning Engine'!L318</f>
        <v>High</v>
      </c>
      <c r="M318" s="93">
        <f>'Planning Engine'!S318</f>
        <v>50072</v>
      </c>
      <c r="N318" s="95">
        <f>'Planning Engine'!T318</f>
        <v>0</v>
      </c>
      <c r="O318" s="94" t="s">
        <v>1350</v>
      </c>
      <c r="P318" s="12" t="str">
        <f t="shared" si="9"/>
        <v>⚠ Expedite production / source alternate</v>
      </c>
    </row>
    <row r="319" spans="1:16" ht="13" customHeight="1" x14ac:dyDescent="0.35">
      <c r="A319" s="97">
        <v>50192</v>
      </c>
      <c r="B319" s="53" t="s">
        <v>35</v>
      </c>
      <c r="C319" s="12" t="str">
        <f>'Planning Engine'!C319</f>
        <v>Label/Pack</v>
      </c>
      <c r="D319" s="12" t="str">
        <f>'Planning Engine'!D319</f>
        <v>units</v>
      </c>
      <c r="E319" s="95">
        <f>'Planning Engine'!E319</f>
        <v>-1154898.3461372226</v>
      </c>
      <c r="F319" s="95">
        <f>'Planning Engine'!F319</f>
        <v>11686.514796872963</v>
      </c>
      <c r="G319" s="95">
        <f>'Planning Engine'!G319</f>
        <v>0</v>
      </c>
      <c r="H319" s="99">
        <f t="shared" si="8"/>
        <v>-11686.514796872963</v>
      </c>
      <c r="I319" s="95">
        <f>'Planning Engine'!H319</f>
        <v>-1166584.8609340955</v>
      </c>
      <c r="J319" s="96">
        <f ca="1">'Planning Engine'!J319</f>
        <v>-113.565472574282</v>
      </c>
      <c r="K319" s="95">
        <f ca="1">'Planning Engine'!K319</f>
        <v>1260000</v>
      </c>
      <c r="L319" s="12" t="str">
        <f>'Planning Engine'!L319</f>
        <v>High</v>
      </c>
      <c r="M319" s="93">
        <f>'Planning Engine'!S319</f>
        <v>50100</v>
      </c>
      <c r="N319" s="95">
        <f>'Planning Engine'!T319</f>
        <v>0</v>
      </c>
      <c r="O319" s="98" t="s">
        <v>1351</v>
      </c>
      <c r="P319" s="4" t="str">
        <f t="shared" si="9"/>
        <v>⚠ Expedite production / source alternate</v>
      </c>
    </row>
    <row r="320" spans="1:16" ht="13" customHeight="1" x14ac:dyDescent="0.35">
      <c r="A320" s="93">
        <v>50222</v>
      </c>
      <c r="B320" s="61" t="s">
        <v>35</v>
      </c>
      <c r="C320" s="12" t="str">
        <f>'Planning Engine'!C320</f>
        <v>Label/Pack</v>
      </c>
      <c r="D320" s="12" t="str">
        <f>'Planning Engine'!D320</f>
        <v>units</v>
      </c>
      <c r="E320" s="95">
        <f>'Planning Engine'!E320</f>
        <v>-1166584.8609340955</v>
      </c>
      <c r="F320" s="95">
        <f>'Planning Engine'!F320</f>
        <v>13522.879488718085</v>
      </c>
      <c r="G320" s="95">
        <f>'Planning Engine'!G320</f>
        <v>0</v>
      </c>
      <c r="H320" s="95">
        <f t="shared" si="8"/>
        <v>-13522.879488718085</v>
      </c>
      <c r="I320" s="95">
        <f>'Planning Engine'!H320</f>
        <v>-1180107.7404228135</v>
      </c>
      <c r="J320" s="96">
        <f ca="1">'Planning Engine'!J320</f>
        <v>-122.76252108541338</v>
      </c>
      <c r="K320" s="95">
        <f ca="1">'Planning Engine'!K320</f>
        <v>1270000</v>
      </c>
      <c r="L320" s="12" t="str">
        <f>'Planning Engine'!L320</f>
        <v>High</v>
      </c>
      <c r="M320" s="93">
        <f>'Planning Engine'!S320</f>
        <v>50131</v>
      </c>
      <c r="N320" s="95">
        <f>'Planning Engine'!T320</f>
        <v>0</v>
      </c>
      <c r="O320" s="94" t="s">
        <v>1352</v>
      </c>
      <c r="P320" s="12" t="str">
        <f t="shared" si="9"/>
        <v>⚠ Expedite production / source alternate</v>
      </c>
    </row>
    <row r="321" spans="1:16" ht="13" customHeight="1" x14ac:dyDescent="0.35">
      <c r="A321" s="97">
        <v>50253</v>
      </c>
      <c r="B321" s="53" t="s">
        <v>35</v>
      </c>
      <c r="C321" s="12" t="str">
        <f>'Planning Engine'!C321</f>
        <v>Label/Pack</v>
      </c>
      <c r="D321" s="12" t="str">
        <f>'Planning Engine'!D321</f>
        <v>units</v>
      </c>
      <c r="E321" s="95">
        <f>'Planning Engine'!E321</f>
        <v>-1180107.7404228135</v>
      </c>
      <c r="F321" s="95">
        <f>'Planning Engine'!F321</f>
        <v>14311.284791729129</v>
      </c>
      <c r="G321" s="95">
        <f>'Planning Engine'!G321</f>
        <v>0</v>
      </c>
      <c r="H321" s="99">
        <f t="shared" si="8"/>
        <v>-14311.284791729129</v>
      </c>
      <c r="I321" s="95">
        <f>'Planning Engine'!H321</f>
        <v>-1194419.0252145426</v>
      </c>
      <c r="J321" s="96">
        <f ca="1">'Planning Engine'!J321</f>
        <v>-133.86004082171277</v>
      </c>
      <c r="K321" s="95">
        <f ca="1">'Planning Engine'!K321</f>
        <v>1270000</v>
      </c>
      <c r="L321" s="12" t="str">
        <f>'Planning Engine'!L321</f>
        <v>High</v>
      </c>
      <c r="M321" s="93">
        <f>'Planning Engine'!S321</f>
        <v>50161</v>
      </c>
      <c r="N321" s="95">
        <f>'Planning Engine'!T321</f>
        <v>0</v>
      </c>
      <c r="O321" s="98" t="s">
        <v>1353</v>
      </c>
      <c r="P321" s="4" t="str">
        <f t="shared" si="9"/>
        <v>⚠ Expedite production / source alternate</v>
      </c>
    </row>
    <row r="322" spans="1:16" ht="13" customHeight="1" x14ac:dyDescent="0.35">
      <c r="A322" s="93">
        <v>50284</v>
      </c>
      <c r="B322" s="61" t="s">
        <v>35</v>
      </c>
      <c r="C322" s="12" t="str">
        <f>'Planning Engine'!C322</f>
        <v>Label/Pack</v>
      </c>
      <c r="D322" s="12" t="str">
        <f>'Planning Engine'!D322</f>
        <v>units</v>
      </c>
      <c r="E322" s="95">
        <f>'Planning Engine'!E322</f>
        <v>-1194419.0252145426</v>
      </c>
      <c r="F322" s="95">
        <f>'Planning Engine'!F322</f>
        <v>10974.30037377702</v>
      </c>
      <c r="G322" s="95">
        <f>'Planning Engine'!G322</f>
        <v>0</v>
      </c>
      <c r="H322" s="95">
        <f t="shared" si="8"/>
        <v>-10974.30037377702</v>
      </c>
      <c r="I322" s="95">
        <f>'Planning Engine'!H322</f>
        <v>-1205393.3255883197</v>
      </c>
      <c r="J322" s="96">
        <f ca="1">'Planning Engine'!J322</f>
        <v>-151.77271245603021</v>
      </c>
      <c r="K322" s="95">
        <f ca="1">'Planning Engine'!K322</f>
        <v>1280000</v>
      </c>
      <c r="L322" s="12" t="str">
        <f>'Planning Engine'!L322</f>
        <v>High</v>
      </c>
      <c r="M322" s="93">
        <f>'Planning Engine'!S322</f>
        <v>50192</v>
      </c>
      <c r="N322" s="95">
        <f>'Planning Engine'!T322</f>
        <v>0</v>
      </c>
      <c r="O322" s="94" t="s">
        <v>1354</v>
      </c>
      <c r="P322" s="12" t="str">
        <f t="shared" si="9"/>
        <v>⚠ Expedite production / source alternate</v>
      </c>
    </row>
    <row r="323" spans="1:16" ht="13" customHeight="1" x14ac:dyDescent="0.35">
      <c r="A323" s="97">
        <v>50314</v>
      </c>
      <c r="B323" s="53" t="s">
        <v>35</v>
      </c>
      <c r="C323" s="12" t="str">
        <f>'Planning Engine'!C323</f>
        <v>Label/Pack</v>
      </c>
      <c r="D323" s="12" t="str">
        <f>'Planning Engine'!D323</f>
        <v>units</v>
      </c>
      <c r="E323" s="95">
        <f>'Planning Engine'!E323</f>
        <v>-1205393.3255883197</v>
      </c>
      <c r="F323" s="95">
        <f>'Planning Engine'!F323</f>
        <v>10447.578827002784</v>
      </c>
      <c r="G323" s="95">
        <f>'Planning Engine'!G323</f>
        <v>0</v>
      </c>
      <c r="H323" s="99">
        <f t="shared" si="8"/>
        <v>-10447.578827002784</v>
      </c>
      <c r="I323" s="95">
        <f>'Planning Engine'!H323</f>
        <v>-1215840.9044153225</v>
      </c>
      <c r="J323" s="96">
        <f ca="1">'Planning Engine'!J323</f>
        <v>-168.97403487567044</v>
      </c>
      <c r="K323" s="95">
        <f ca="1">'Planning Engine'!K323</f>
        <v>1280000</v>
      </c>
      <c r="L323" s="12" t="str">
        <f>'Planning Engine'!L323</f>
        <v>High</v>
      </c>
      <c r="M323" s="93">
        <f>'Planning Engine'!S323</f>
        <v>50222</v>
      </c>
      <c r="N323" s="95">
        <f>'Planning Engine'!T323</f>
        <v>0</v>
      </c>
      <c r="O323" s="98" t="s">
        <v>1355</v>
      </c>
      <c r="P323" s="4" t="str">
        <f t="shared" si="9"/>
        <v>⚠ Expedite production / source alternate</v>
      </c>
    </row>
    <row r="324" spans="1:16" ht="13" customHeight="1" x14ac:dyDescent="0.35">
      <c r="A324" s="93">
        <v>50345</v>
      </c>
      <c r="B324" s="61" t="s">
        <v>35</v>
      </c>
      <c r="C324" s="12" t="str">
        <f>'Planning Engine'!C324</f>
        <v>Label/Pack</v>
      </c>
      <c r="D324" s="12" t="str">
        <f>'Planning Engine'!D324</f>
        <v>units</v>
      </c>
      <c r="E324" s="95">
        <f>'Planning Engine'!E324</f>
        <v>-1215840.9044153225</v>
      </c>
      <c r="F324" s="95">
        <f>'Planning Engine'!F324</f>
        <v>9557.1259580244187</v>
      </c>
      <c r="G324" s="95">
        <f>'Planning Engine'!G324</f>
        <v>0</v>
      </c>
      <c r="H324" s="95">
        <f t="shared" ref="H324:H387" si="10">G324-F324</f>
        <v>-9557.1259580244187</v>
      </c>
      <c r="I324" s="95">
        <f>'Planning Engine'!H324</f>
        <v>-1225398.030373347</v>
      </c>
      <c r="J324" s="96">
        <f ca="1">'Planning Engine'!J324</f>
        <v>-187.49013920885997</v>
      </c>
      <c r="K324" s="95">
        <f ca="1">'Planning Engine'!K324</f>
        <v>1280000</v>
      </c>
      <c r="L324" s="12" t="str">
        <f>'Planning Engine'!L324</f>
        <v>High</v>
      </c>
      <c r="M324" s="93">
        <f>'Planning Engine'!S324</f>
        <v>50253</v>
      </c>
      <c r="N324" s="95">
        <f>'Planning Engine'!T324</f>
        <v>0</v>
      </c>
      <c r="O324" s="94" t="s">
        <v>1356</v>
      </c>
      <c r="P324" s="12" t="str">
        <f t="shared" ref="P324:P387" si="11">IFERROR(IF(L324="High","⚠ Expedite production / source alternate",IF(L324="Medium","Plan additional batches",IF(L324="Overstock","Defer / consume inventory","Plan acceptable"))),"--")</f>
        <v>⚠ Expedite production / source alternate</v>
      </c>
    </row>
    <row r="325" spans="1:16" ht="13" customHeight="1" x14ac:dyDescent="0.35">
      <c r="A325" s="97">
        <v>50375</v>
      </c>
      <c r="B325" s="53" t="s">
        <v>35</v>
      </c>
      <c r="C325" s="12" t="str">
        <f>'Planning Engine'!C325</f>
        <v>Label/Pack</v>
      </c>
      <c r="D325" s="12" t="str">
        <f>'Planning Engine'!D325</f>
        <v>units</v>
      </c>
      <c r="E325" s="95">
        <f>'Planning Engine'!E325</f>
        <v>-1225398.030373347</v>
      </c>
      <c r="F325" s="95">
        <f>'Planning Engine'!F325</f>
        <v>7151.5353674112857</v>
      </c>
      <c r="G325" s="95">
        <f>'Planning Engine'!G325</f>
        <v>0</v>
      </c>
      <c r="H325" s="99">
        <f t="shared" si="10"/>
        <v>-7151.5353674112857</v>
      </c>
      <c r="I325" s="95">
        <f>'Planning Engine'!H325</f>
        <v>-1232549.5657407583</v>
      </c>
      <c r="J325" s="96">
        <f ca="1">'Planning Engine'!J325</f>
        <v>-208.56102559967488</v>
      </c>
      <c r="K325" s="95">
        <f ca="1">'Planning Engine'!K325</f>
        <v>1290000</v>
      </c>
      <c r="L325" s="12" t="str">
        <f>'Planning Engine'!L325</f>
        <v>High</v>
      </c>
      <c r="M325" s="93">
        <f>'Planning Engine'!S325</f>
        <v>50284</v>
      </c>
      <c r="N325" s="95">
        <f>'Planning Engine'!T325</f>
        <v>0</v>
      </c>
      <c r="O325" s="98" t="s">
        <v>1357</v>
      </c>
      <c r="P325" s="4" t="str">
        <f t="shared" si="11"/>
        <v>⚠ Expedite production / source alternate</v>
      </c>
    </row>
    <row r="326" spans="1:16" ht="13" customHeight="1" x14ac:dyDescent="0.35">
      <c r="A326" s="93">
        <v>50406</v>
      </c>
      <c r="B326" s="61" t="s">
        <v>35</v>
      </c>
      <c r="C326" s="12" t="str">
        <f>'Planning Engine'!C326</f>
        <v>Label/Pack</v>
      </c>
      <c r="D326" s="12" t="str">
        <f>'Planning Engine'!D326</f>
        <v>units</v>
      </c>
      <c r="E326" s="95">
        <f>'Planning Engine'!E326</f>
        <v>-1232549.5657407583</v>
      </c>
      <c r="F326" s="95">
        <f>'Planning Engine'!F326</f>
        <v>9130.1829109287028</v>
      </c>
      <c r="G326" s="95">
        <f>'Planning Engine'!G326</f>
        <v>0</v>
      </c>
      <c r="H326" s="95">
        <f t="shared" si="10"/>
        <v>-9130.1829109287028</v>
      </c>
      <c r="I326" s="95">
        <f>'Planning Engine'!H326</f>
        <v>-1241679.7486516871</v>
      </c>
      <c r="J326" s="96">
        <f ca="1">'Planning Engine'!J326</f>
        <v>-224.04194358549546</v>
      </c>
      <c r="K326" s="95">
        <f ca="1">'Planning Engine'!K326</f>
        <v>1290000</v>
      </c>
      <c r="L326" s="12" t="str">
        <f>'Planning Engine'!L326</f>
        <v>High</v>
      </c>
      <c r="M326" s="93">
        <f>'Planning Engine'!S326</f>
        <v>50314</v>
      </c>
      <c r="N326" s="95">
        <f>'Planning Engine'!T326</f>
        <v>0</v>
      </c>
      <c r="O326" s="94" t="s">
        <v>1358</v>
      </c>
      <c r="P326" s="12" t="str">
        <f t="shared" si="11"/>
        <v>⚠ Expedite production / source alternate</v>
      </c>
    </row>
    <row r="327" spans="1:16" ht="13" customHeight="1" x14ac:dyDescent="0.35">
      <c r="A327" s="97">
        <v>50437</v>
      </c>
      <c r="B327" s="53" t="s">
        <v>35</v>
      </c>
      <c r="C327" s="12" t="str">
        <f>'Planning Engine'!C327</f>
        <v>Label/Pack</v>
      </c>
      <c r="D327" s="12" t="str">
        <f>'Planning Engine'!D327</f>
        <v>units</v>
      </c>
      <c r="E327" s="95">
        <f>'Planning Engine'!E327</f>
        <v>-1241679.7486516871</v>
      </c>
      <c r="F327" s="95">
        <f>'Planning Engine'!F327</f>
        <v>5669.7933500128183</v>
      </c>
      <c r="G327" s="95">
        <f>'Planning Engine'!G327</f>
        <v>0</v>
      </c>
      <c r="H327" s="99">
        <f t="shared" si="10"/>
        <v>-5669.7933500128183</v>
      </c>
      <c r="I327" s="95">
        <f>'Planning Engine'!H327</f>
        <v>-1247349.5420016998</v>
      </c>
      <c r="J327" s="96">
        <f ca="1">'Planning Engine'!J327</f>
        <v>-256.33721806770632</v>
      </c>
      <c r="K327" s="95">
        <f ca="1">'Planning Engine'!K327</f>
        <v>1290000</v>
      </c>
      <c r="L327" s="12" t="str">
        <f>'Planning Engine'!L327</f>
        <v>High</v>
      </c>
      <c r="M327" s="93">
        <f>'Planning Engine'!S327</f>
        <v>50345</v>
      </c>
      <c r="N327" s="95">
        <f>'Planning Engine'!T327</f>
        <v>0</v>
      </c>
      <c r="O327" s="98" t="s">
        <v>1359</v>
      </c>
      <c r="P327" s="4" t="str">
        <f t="shared" si="11"/>
        <v>⚠ Expedite production / source alternate</v>
      </c>
    </row>
    <row r="328" spans="1:16" ht="13" customHeight="1" x14ac:dyDescent="0.35">
      <c r="A328" s="93">
        <v>50465</v>
      </c>
      <c r="B328" s="61" t="s">
        <v>35</v>
      </c>
      <c r="C328" s="12" t="str">
        <f>'Planning Engine'!C328</f>
        <v>Label/Pack</v>
      </c>
      <c r="D328" s="12" t="str">
        <f>'Planning Engine'!D328</f>
        <v>units</v>
      </c>
      <c r="E328" s="95">
        <f>'Planning Engine'!E328</f>
        <v>-1247349.5420016998</v>
      </c>
      <c r="F328" s="95">
        <f>'Planning Engine'!F328</f>
        <v>5751.7049588416003</v>
      </c>
      <c r="G328" s="95">
        <f>'Planning Engine'!G328</f>
        <v>0</v>
      </c>
      <c r="H328" s="95">
        <f t="shared" si="10"/>
        <v>-5751.7049588416003</v>
      </c>
      <c r="I328" s="95">
        <f>'Planning Engine'!H328</f>
        <v>-1253101.2469605415</v>
      </c>
      <c r="J328" s="96">
        <f ca="1">'Planning Engine'!J328</f>
        <v>-277.32984894175422</v>
      </c>
      <c r="K328" s="95">
        <f ca="1">'Planning Engine'!K328</f>
        <v>1290000</v>
      </c>
      <c r="L328" s="12" t="str">
        <f>'Planning Engine'!L328</f>
        <v>High</v>
      </c>
      <c r="M328" s="93">
        <f>'Planning Engine'!S328</f>
        <v>50375</v>
      </c>
      <c r="N328" s="95">
        <f>'Planning Engine'!T328</f>
        <v>0</v>
      </c>
      <c r="O328" s="94" t="s">
        <v>1360</v>
      </c>
      <c r="P328" s="12" t="str">
        <f t="shared" si="11"/>
        <v>⚠ Expedite production / source alternate</v>
      </c>
    </row>
    <row r="329" spans="1:16" ht="13" customHeight="1" x14ac:dyDescent="0.35">
      <c r="A329" s="97">
        <v>50496</v>
      </c>
      <c r="B329" s="53" t="s">
        <v>35</v>
      </c>
      <c r="C329" s="12" t="str">
        <f>'Planning Engine'!C329</f>
        <v>Label/Pack</v>
      </c>
      <c r="D329" s="12" t="str">
        <f>'Planning Engine'!D329</f>
        <v>units</v>
      </c>
      <c r="E329" s="95">
        <f>'Planning Engine'!E329</f>
        <v>-1253101.2469605415</v>
      </c>
      <c r="F329" s="95">
        <f>'Planning Engine'!F329</f>
        <v>7312.5441772008708</v>
      </c>
      <c r="G329" s="95">
        <f>'Planning Engine'!G329</f>
        <v>0</v>
      </c>
      <c r="H329" s="99">
        <f t="shared" si="10"/>
        <v>-7312.5441772008708</v>
      </c>
      <c r="I329" s="95">
        <f>'Planning Engine'!H329</f>
        <v>-1260413.7911377423</v>
      </c>
      <c r="J329" s="96">
        <f ca="1">'Planning Engine'!J329</f>
        <v>-304.67856642292759</v>
      </c>
      <c r="K329" s="95">
        <f ca="1">'Planning Engine'!K329</f>
        <v>1300000</v>
      </c>
      <c r="L329" s="12" t="str">
        <f>'Planning Engine'!L329</f>
        <v>High</v>
      </c>
      <c r="M329" s="93">
        <f>'Planning Engine'!S329</f>
        <v>50406</v>
      </c>
      <c r="N329" s="95">
        <f>'Planning Engine'!T329</f>
        <v>0</v>
      </c>
      <c r="O329" s="98" t="s">
        <v>1361</v>
      </c>
      <c r="P329" s="4" t="str">
        <f t="shared" si="11"/>
        <v>⚠ Expedite production / source alternate</v>
      </c>
    </row>
    <row r="330" spans="1:16" ht="13" customHeight="1" x14ac:dyDescent="0.35">
      <c r="A330" s="93">
        <v>50526</v>
      </c>
      <c r="B330" s="61" t="s">
        <v>35</v>
      </c>
      <c r="C330" s="12" t="str">
        <f>'Planning Engine'!C330</f>
        <v>Label/Pack</v>
      </c>
      <c r="D330" s="12" t="str">
        <f>'Planning Engine'!D330</f>
        <v>units</v>
      </c>
      <c r="E330" s="95">
        <f>'Planning Engine'!E330</f>
        <v>-1260413.7911377423</v>
      </c>
      <c r="F330" s="95">
        <f>'Planning Engine'!F330</f>
        <v>5484.0905506728177</v>
      </c>
      <c r="G330" s="95">
        <f>'Planning Engine'!G330</f>
        <v>0</v>
      </c>
      <c r="H330" s="95">
        <f t="shared" si="10"/>
        <v>-5484.0905506728177</v>
      </c>
      <c r="I330" s="95">
        <f>'Planning Engine'!H330</f>
        <v>-1265897.8816884151</v>
      </c>
      <c r="J330" s="96">
        <f ca="1">'Planning Engine'!J330</f>
        <v>-352.23790835931214</v>
      </c>
      <c r="K330" s="95">
        <f ca="1">'Planning Engine'!K330</f>
        <v>1300000</v>
      </c>
      <c r="L330" s="12" t="str">
        <f>'Planning Engine'!L330</f>
        <v>High</v>
      </c>
      <c r="M330" s="93">
        <f>'Planning Engine'!S330</f>
        <v>50437</v>
      </c>
      <c r="N330" s="95">
        <f>'Planning Engine'!T330</f>
        <v>0</v>
      </c>
      <c r="O330" s="94" t="s">
        <v>1362</v>
      </c>
      <c r="P330" s="12" t="str">
        <f t="shared" si="11"/>
        <v>⚠ Expedite production / source alternate</v>
      </c>
    </row>
    <row r="331" spans="1:16" ht="13" customHeight="1" x14ac:dyDescent="0.35">
      <c r="A331" s="97">
        <v>50557</v>
      </c>
      <c r="B331" s="53" t="s">
        <v>35</v>
      </c>
      <c r="C331" s="12" t="str">
        <f>'Planning Engine'!C331</f>
        <v>Label/Pack</v>
      </c>
      <c r="D331" s="12" t="str">
        <f>'Planning Engine'!D331</f>
        <v>units</v>
      </c>
      <c r="E331" s="95">
        <f>'Planning Engine'!E331</f>
        <v>-1265897.8816884151</v>
      </c>
      <c r="F331" s="95">
        <f>'Planning Engine'!F331</f>
        <v>4254.3173433266165</v>
      </c>
      <c r="G331" s="95">
        <f>'Planning Engine'!G331</f>
        <v>0</v>
      </c>
      <c r="H331" s="99">
        <f t="shared" si="10"/>
        <v>-4254.3173433266165</v>
      </c>
      <c r="I331" s="95">
        <f>'Planning Engine'!H331</f>
        <v>-1270152.1990317416</v>
      </c>
      <c r="J331" s="96">
        <f ca="1">'Planning Engine'!J331</f>
        <v>-403.62499995681821</v>
      </c>
      <c r="K331" s="95">
        <f ca="1">'Planning Engine'!K331</f>
        <v>1300000</v>
      </c>
      <c r="L331" s="12" t="str">
        <f>'Planning Engine'!L331</f>
        <v>High</v>
      </c>
      <c r="M331" s="93">
        <f>'Planning Engine'!S331</f>
        <v>50465</v>
      </c>
      <c r="N331" s="95">
        <f>'Planning Engine'!T331</f>
        <v>0</v>
      </c>
      <c r="O331" s="98" t="s">
        <v>1363</v>
      </c>
      <c r="P331" s="4" t="str">
        <f t="shared" si="11"/>
        <v>⚠ Expedite production / source alternate</v>
      </c>
    </row>
    <row r="332" spans="1:16" ht="13" customHeight="1" x14ac:dyDescent="0.35">
      <c r="A332" s="93">
        <v>50587</v>
      </c>
      <c r="B332" s="61" t="s">
        <v>35</v>
      </c>
      <c r="C332" s="12" t="str">
        <f>'Planning Engine'!C332</f>
        <v>Label/Pack</v>
      </c>
      <c r="D332" s="12" t="str">
        <f>'Planning Engine'!D332</f>
        <v>units</v>
      </c>
      <c r="E332" s="95">
        <f>'Planning Engine'!E332</f>
        <v>-1270152.1990317416</v>
      </c>
      <c r="F332" s="95">
        <f>'Planning Engine'!F332</f>
        <v>4510.9043530665185</v>
      </c>
      <c r="G332" s="95">
        <f>'Planning Engine'!G332</f>
        <v>0</v>
      </c>
      <c r="H332" s="95">
        <f t="shared" si="10"/>
        <v>-4510.9043530665185</v>
      </c>
      <c r="I332" s="95">
        <f>'Planning Engine'!H332</f>
        <v>-1274663.1033848082</v>
      </c>
      <c r="J332" s="96">
        <f ca="1">'Planning Engine'!J332</f>
        <v>-450.13748040293075</v>
      </c>
      <c r="K332" s="95">
        <f ca="1">'Planning Engine'!K332</f>
        <v>1300000</v>
      </c>
      <c r="L332" s="12" t="str">
        <f>'Planning Engine'!L332</f>
        <v>High</v>
      </c>
      <c r="M332" s="93">
        <f>'Planning Engine'!S332</f>
        <v>50496</v>
      </c>
      <c r="N332" s="95">
        <f>'Planning Engine'!T332</f>
        <v>0</v>
      </c>
      <c r="O332" s="94" t="s">
        <v>1364</v>
      </c>
      <c r="P332" s="12" t="str">
        <f t="shared" si="11"/>
        <v>⚠ Expedite production / source alternate</v>
      </c>
    </row>
    <row r="333" spans="1:16" ht="13" customHeight="1" x14ac:dyDescent="0.35">
      <c r="A333" s="97">
        <v>50618</v>
      </c>
      <c r="B333" s="53" t="s">
        <v>35</v>
      </c>
      <c r="C333" s="12" t="str">
        <f>'Planning Engine'!C333</f>
        <v>Label/Pack</v>
      </c>
      <c r="D333" s="12" t="str">
        <f>'Planning Engine'!D333</f>
        <v>units</v>
      </c>
      <c r="E333" s="95">
        <f>'Planning Engine'!E333</f>
        <v>-1274663.1033848082</v>
      </c>
      <c r="F333" s="95">
        <f>'Planning Engine'!F333</f>
        <v>3922.937834627146</v>
      </c>
      <c r="G333" s="95">
        <f>'Planning Engine'!G333</f>
        <v>0</v>
      </c>
      <c r="H333" s="99">
        <f t="shared" si="10"/>
        <v>-3922.937834627146</v>
      </c>
      <c r="I333" s="95">
        <f>'Planning Engine'!H333</f>
        <v>-1278586.0412194354</v>
      </c>
      <c r="J333" s="96">
        <f ca="1">'Planning Engine'!J333</f>
        <v>-507.21636272206337</v>
      </c>
      <c r="K333" s="95">
        <f ca="1">'Planning Engine'!K333</f>
        <v>1300000</v>
      </c>
      <c r="L333" s="12" t="str">
        <f>'Planning Engine'!L333</f>
        <v>High</v>
      </c>
      <c r="M333" s="93">
        <f>'Planning Engine'!S333</f>
        <v>50526</v>
      </c>
      <c r="N333" s="95">
        <f>'Planning Engine'!T333</f>
        <v>0</v>
      </c>
      <c r="O333" s="98" t="s">
        <v>1365</v>
      </c>
      <c r="P333" s="4" t="str">
        <f t="shared" si="11"/>
        <v>⚠ Expedite production / source alternate</v>
      </c>
    </row>
    <row r="334" spans="1:16" ht="13" customHeight="1" x14ac:dyDescent="0.35">
      <c r="A334" s="93">
        <v>50649</v>
      </c>
      <c r="B334" s="61" t="s">
        <v>35</v>
      </c>
      <c r="C334" s="12" t="str">
        <f>'Planning Engine'!C334</f>
        <v>Label/Pack</v>
      </c>
      <c r="D334" s="12" t="str">
        <f>'Planning Engine'!D334</f>
        <v>units</v>
      </c>
      <c r="E334" s="95">
        <f>'Planning Engine'!E334</f>
        <v>-1278586.0412194354</v>
      </c>
      <c r="F334" s="95">
        <f>'Planning Engine'!F334</f>
        <v>3843.1031351403908</v>
      </c>
      <c r="G334" s="95">
        <f>'Planning Engine'!G334</f>
        <v>0</v>
      </c>
      <c r="H334" s="95">
        <f t="shared" si="10"/>
        <v>-3843.1031351403908</v>
      </c>
      <c r="I334" s="95">
        <f>'Planning Engine'!H334</f>
        <v>-1282429.1443545758</v>
      </c>
      <c r="J334" s="96">
        <f ca="1">'Planning Engine'!J334</f>
        <v>-582.239015184908</v>
      </c>
      <c r="K334" s="95">
        <f ca="1">'Planning Engine'!K334</f>
        <v>1300000</v>
      </c>
      <c r="L334" s="12" t="str">
        <f>'Planning Engine'!L334</f>
        <v>High</v>
      </c>
      <c r="M334" s="93">
        <f>'Planning Engine'!S334</f>
        <v>50557</v>
      </c>
      <c r="N334" s="95">
        <f>'Planning Engine'!T334</f>
        <v>0</v>
      </c>
      <c r="O334" s="94" t="s">
        <v>1366</v>
      </c>
      <c r="P334" s="12" t="str">
        <f t="shared" si="11"/>
        <v>⚠ Expedite production / source alternate</v>
      </c>
    </row>
    <row r="335" spans="1:16" ht="13" customHeight="1" x14ac:dyDescent="0.35">
      <c r="A335" s="97">
        <v>50679</v>
      </c>
      <c r="B335" s="53" t="s">
        <v>35</v>
      </c>
      <c r="C335" s="12" t="str">
        <f>'Planning Engine'!C335</f>
        <v>Label/Pack</v>
      </c>
      <c r="D335" s="12" t="str">
        <f>'Planning Engine'!D335</f>
        <v>units</v>
      </c>
      <c r="E335" s="95">
        <f>'Planning Engine'!E335</f>
        <v>-1282429.1443545758</v>
      </c>
      <c r="F335" s="95">
        <f>'Planning Engine'!F335</f>
        <v>3045.048048350413</v>
      </c>
      <c r="G335" s="95">
        <f>'Planning Engine'!G335</f>
        <v>0</v>
      </c>
      <c r="H335" s="99">
        <f t="shared" si="10"/>
        <v>-3045.048048350413</v>
      </c>
      <c r="I335" s="95">
        <f>'Planning Engine'!H335</f>
        <v>-1285474.1924029263</v>
      </c>
      <c r="J335" s="96">
        <f ca="1">'Planning Engine'!J335</f>
        <v>-683.66225433394413</v>
      </c>
      <c r="K335" s="95">
        <f ca="1">'Planning Engine'!K335</f>
        <v>1300000</v>
      </c>
      <c r="L335" s="12" t="str">
        <f>'Planning Engine'!L335</f>
        <v>High</v>
      </c>
      <c r="M335" s="93">
        <f>'Planning Engine'!S335</f>
        <v>50587</v>
      </c>
      <c r="N335" s="95">
        <f>'Planning Engine'!T335</f>
        <v>0</v>
      </c>
      <c r="O335" s="98" t="s">
        <v>1367</v>
      </c>
      <c r="P335" s="4" t="str">
        <f t="shared" si="11"/>
        <v>⚠ Expedite production / source alternate</v>
      </c>
    </row>
    <row r="336" spans="1:16" ht="13" customHeight="1" x14ac:dyDescent="0.35">
      <c r="A336" s="93">
        <v>50710</v>
      </c>
      <c r="B336" s="61" t="s">
        <v>35</v>
      </c>
      <c r="C336" s="12" t="str">
        <f>'Planning Engine'!C336</f>
        <v>Label/Pack</v>
      </c>
      <c r="D336" s="12" t="str">
        <f>'Planning Engine'!D336</f>
        <v>units</v>
      </c>
      <c r="E336" s="95">
        <f>'Planning Engine'!E336</f>
        <v>-1285474.1924029263</v>
      </c>
      <c r="F336" s="95">
        <f>'Planning Engine'!F336</f>
        <v>2541.4057974826815</v>
      </c>
      <c r="G336" s="95">
        <f>'Planning Engine'!G336</f>
        <v>0</v>
      </c>
      <c r="H336" s="95">
        <f t="shared" si="10"/>
        <v>-2541.4057974826815</v>
      </c>
      <c r="I336" s="95">
        <f>'Planning Engine'!H336</f>
        <v>-1288015.598200409</v>
      </c>
      <c r="J336" s="96">
        <f ca="1">'Planning Engine'!J336</f>
        <v>-792.31719628456949</v>
      </c>
      <c r="K336" s="95">
        <f ca="1">'Planning Engine'!K336</f>
        <v>1300000</v>
      </c>
      <c r="L336" s="12" t="str">
        <f>'Planning Engine'!L336</f>
        <v>High</v>
      </c>
      <c r="M336" s="93">
        <f>'Planning Engine'!S336</f>
        <v>50618</v>
      </c>
      <c r="N336" s="95">
        <f>'Planning Engine'!T336</f>
        <v>0</v>
      </c>
      <c r="O336" s="94" t="s">
        <v>1368</v>
      </c>
      <c r="P336" s="12" t="str">
        <f t="shared" si="11"/>
        <v>⚠ Expedite production / source alternate</v>
      </c>
    </row>
    <row r="337" spans="1:16" ht="13" customHeight="1" x14ac:dyDescent="0.35">
      <c r="A337" s="97">
        <v>50740</v>
      </c>
      <c r="B337" s="53" t="s">
        <v>35</v>
      </c>
      <c r="C337" s="12" t="str">
        <f>'Planning Engine'!C337</f>
        <v>Label/Pack</v>
      </c>
      <c r="D337" s="12" t="str">
        <f>'Planning Engine'!D337</f>
        <v>units</v>
      </c>
      <c r="E337" s="95">
        <f>'Planning Engine'!E337</f>
        <v>-1288015.598200409</v>
      </c>
      <c r="F337" s="95">
        <f>'Planning Engine'!F337</f>
        <v>2317.424704927213</v>
      </c>
      <c r="G337" s="95">
        <f>'Planning Engine'!G337</f>
        <v>0</v>
      </c>
      <c r="H337" s="99">
        <f t="shared" si="10"/>
        <v>-2317.424704927213</v>
      </c>
      <c r="I337" s="95">
        <f>'Planning Engine'!H337</f>
        <v>-1290333.0229053362</v>
      </c>
      <c r="J337" s="96">
        <f ca="1">'Planning Engine'!J337</f>
        <v>-921.07945955351374</v>
      </c>
      <c r="K337" s="95">
        <f ca="1">'Planning Engine'!K337</f>
        <v>1300000</v>
      </c>
      <c r="L337" s="12" t="str">
        <f>'Planning Engine'!L337</f>
        <v>High</v>
      </c>
      <c r="M337" s="93">
        <f>'Planning Engine'!S337</f>
        <v>50649</v>
      </c>
      <c r="N337" s="95">
        <f>'Planning Engine'!T337</f>
        <v>0</v>
      </c>
      <c r="O337" s="98" t="s">
        <v>1369</v>
      </c>
      <c r="P337" s="4" t="str">
        <f t="shared" si="11"/>
        <v>⚠ Expedite production / source alternate</v>
      </c>
    </row>
    <row r="338" spans="1:16" ht="13" customHeight="1" x14ac:dyDescent="0.35">
      <c r="A338" s="93">
        <v>50771</v>
      </c>
      <c r="B338" s="61" t="s">
        <v>35</v>
      </c>
      <c r="C338" s="12" t="str">
        <f>'Planning Engine'!C338</f>
        <v>Label/Pack</v>
      </c>
      <c r="D338" s="12" t="str">
        <f>'Planning Engine'!D338</f>
        <v>units</v>
      </c>
      <c r="E338" s="95">
        <f>'Planning Engine'!E338</f>
        <v>-1290333.0229053362</v>
      </c>
      <c r="F338" s="95">
        <f>'Planning Engine'!F338</f>
        <v>2425.6143287946657</v>
      </c>
      <c r="G338" s="95">
        <f>'Planning Engine'!G338</f>
        <v>0</v>
      </c>
      <c r="H338" s="95">
        <f t="shared" si="10"/>
        <v>-2425.6143287946657</v>
      </c>
      <c r="I338" s="95">
        <f>'Planning Engine'!H338</f>
        <v>-1292758.6372341309</v>
      </c>
      <c r="J338" s="96">
        <f ca="1">'Planning Engine'!J338</f>
        <v>-1050.1327185277014</v>
      </c>
      <c r="K338" s="95">
        <f ca="1">'Planning Engine'!K338</f>
        <v>1300000</v>
      </c>
      <c r="L338" s="12" t="str">
        <f>'Planning Engine'!L338</f>
        <v>High</v>
      </c>
      <c r="M338" s="93">
        <f>'Planning Engine'!S338</f>
        <v>50679</v>
      </c>
      <c r="N338" s="95">
        <f>'Planning Engine'!T338</f>
        <v>0</v>
      </c>
      <c r="O338" s="94" t="s">
        <v>1370</v>
      </c>
      <c r="P338" s="12" t="str">
        <f t="shared" si="11"/>
        <v>⚠ Expedite production / source alternate</v>
      </c>
    </row>
    <row r="339" spans="1:16" ht="13" customHeight="1" x14ac:dyDescent="0.35">
      <c r="A339" s="97">
        <v>50802</v>
      </c>
      <c r="B339" s="53" t="s">
        <v>35</v>
      </c>
      <c r="C339" s="12" t="str">
        <f>'Planning Engine'!C339</f>
        <v>Label/Pack</v>
      </c>
      <c r="D339" s="12" t="str">
        <f>'Planning Engine'!D339</f>
        <v>units</v>
      </c>
      <c r="E339" s="95">
        <f>'Planning Engine'!E339</f>
        <v>-1292758.6372341309</v>
      </c>
      <c r="F339" s="95">
        <f>'Planning Engine'!F339</f>
        <v>1461.002998746809</v>
      </c>
      <c r="G339" s="95">
        <f>'Planning Engine'!G339</f>
        <v>0</v>
      </c>
      <c r="H339" s="99">
        <f t="shared" si="10"/>
        <v>-1461.002998746809</v>
      </c>
      <c r="I339" s="95">
        <f>'Planning Engine'!H339</f>
        <v>-1294219.6402328776</v>
      </c>
      <c r="J339" s="96">
        <f ca="1">'Planning Engine'!J339</f>
        <v>-1254.0290480421638</v>
      </c>
      <c r="K339" s="95">
        <f ca="1">'Planning Engine'!K339</f>
        <v>1300000</v>
      </c>
      <c r="L339" s="12" t="str">
        <f>'Planning Engine'!L339</f>
        <v>High</v>
      </c>
      <c r="M339" s="93">
        <f>'Planning Engine'!S339</f>
        <v>50710</v>
      </c>
      <c r="N339" s="95">
        <f>'Planning Engine'!T339</f>
        <v>0</v>
      </c>
      <c r="O339" s="98" t="s">
        <v>1371</v>
      </c>
      <c r="P339" s="4" t="str">
        <f t="shared" si="11"/>
        <v>⚠ Expedite production / source alternate</v>
      </c>
    </row>
    <row r="340" spans="1:16" ht="13" customHeight="1" x14ac:dyDescent="0.35">
      <c r="A340" s="93">
        <v>50830</v>
      </c>
      <c r="B340" s="61" t="s">
        <v>35</v>
      </c>
      <c r="C340" s="12" t="str">
        <f>'Planning Engine'!C340</f>
        <v>Label/Pack</v>
      </c>
      <c r="D340" s="12" t="str">
        <f>'Planning Engine'!D340</f>
        <v>units</v>
      </c>
      <c r="E340" s="95">
        <f>'Planning Engine'!E340</f>
        <v>-1294219.6402328776</v>
      </c>
      <c r="F340" s="95">
        <f>'Planning Engine'!F340</f>
        <v>1418.0347476662746</v>
      </c>
      <c r="G340" s="95">
        <f>'Planning Engine'!G340</f>
        <v>0</v>
      </c>
      <c r="H340" s="95">
        <f t="shared" si="10"/>
        <v>-1418.0347476662746</v>
      </c>
      <c r="I340" s="95">
        <f>'Planning Engine'!H340</f>
        <v>-1295637.6749805438</v>
      </c>
      <c r="J340" s="96">
        <f ca="1">'Planning Engine'!J340</f>
        <v>-1380.9894609383259</v>
      </c>
      <c r="K340" s="95">
        <f ca="1">'Planning Engine'!K340</f>
        <v>1300000</v>
      </c>
      <c r="L340" s="12" t="str">
        <f>'Planning Engine'!L340</f>
        <v>High</v>
      </c>
      <c r="M340" s="93">
        <f>'Planning Engine'!S340</f>
        <v>50740</v>
      </c>
      <c r="N340" s="95">
        <f>'Planning Engine'!T340</f>
        <v>0</v>
      </c>
      <c r="O340" s="94" t="s">
        <v>1372</v>
      </c>
      <c r="P340" s="12" t="str">
        <f t="shared" si="11"/>
        <v>⚠ Expedite production / source alternate</v>
      </c>
    </row>
    <row r="341" spans="1:16" ht="13" customHeight="1" x14ac:dyDescent="0.35">
      <c r="A341" s="97">
        <v>50861</v>
      </c>
      <c r="B341" s="53" t="s">
        <v>35</v>
      </c>
      <c r="C341" s="12" t="str">
        <f>'Planning Engine'!C341</f>
        <v>Label/Pack</v>
      </c>
      <c r="D341" s="12" t="str">
        <f>'Planning Engine'!D341</f>
        <v>units</v>
      </c>
      <c r="E341" s="95">
        <f>'Planning Engine'!E341</f>
        <v>-1295637.6749805438</v>
      </c>
      <c r="F341" s="95">
        <f>'Planning Engine'!F341</f>
        <v>1712.5402892579468</v>
      </c>
      <c r="G341" s="95">
        <f>'Planning Engine'!G341</f>
        <v>0</v>
      </c>
      <c r="H341" s="99">
        <f t="shared" si="10"/>
        <v>-1712.5402892579468</v>
      </c>
      <c r="I341" s="95">
        <f>'Planning Engine'!H341</f>
        <v>-1297350.2152698017</v>
      </c>
      <c r="J341" s="96">
        <f ca="1">'Planning Engine'!J341</f>
        <v>-1524.5858349532382</v>
      </c>
      <c r="K341" s="95">
        <f ca="1">'Planning Engine'!K341</f>
        <v>1310000</v>
      </c>
      <c r="L341" s="12" t="str">
        <f>'Planning Engine'!L341</f>
        <v>High</v>
      </c>
      <c r="M341" s="93">
        <f>'Planning Engine'!S341</f>
        <v>50771</v>
      </c>
      <c r="N341" s="95">
        <f>'Planning Engine'!T341</f>
        <v>0</v>
      </c>
      <c r="O341" s="98" t="s">
        <v>1373</v>
      </c>
      <c r="P341" s="4" t="str">
        <f t="shared" si="11"/>
        <v>⚠ Expedite production / source alternate</v>
      </c>
    </row>
    <row r="342" spans="1:16" ht="13" customHeight="1" x14ac:dyDescent="0.35">
      <c r="A342" s="93">
        <v>50891</v>
      </c>
      <c r="B342" s="61" t="s">
        <v>35</v>
      </c>
      <c r="C342" s="12" t="str">
        <f>'Planning Engine'!C342</f>
        <v>Label/Pack</v>
      </c>
      <c r="D342" s="12" t="str">
        <f>'Planning Engine'!D342</f>
        <v>units</v>
      </c>
      <c r="E342" s="95">
        <f>'Planning Engine'!E342</f>
        <v>-1297350.2152698017</v>
      </c>
      <c r="F342" s="95">
        <f>'Planning Engine'!F342</f>
        <v>1059.0634829784076</v>
      </c>
      <c r="G342" s="95">
        <f>'Planning Engine'!G342</f>
        <v>0</v>
      </c>
      <c r="H342" s="95">
        <f t="shared" si="10"/>
        <v>-1059.0634829784076</v>
      </c>
      <c r="I342" s="95">
        <f>'Planning Engine'!H342</f>
        <v>-1298409.2787527801</v>
      </c>
      <c r="J342" s="96">
        <f ca="1">'Planning Engine'!J342</f>
        <v>-1761.5944588241719</v>
      </c>
      <c r="K342" s="95">
        <f ca="1">'Planning Engine'!K342</f>
        <v>1310000</v>
      </c>
      <c r="L342" s="12" t="str">
        <f>'Planning Engine'!L342</f>
        <v>High</v>
      </c>
      <c r="M342" s="93">
        <f>'Planning Engine'!S342</f>
        <v>50802</v>
      </c>
      <c r="N342" s="95">
        <f>'Planning Engine'!T342</f>
        <v>0</v>
      </c>
      <c r="O342" s="94" t="s">
        <v>1374</v>
      </c>
      <c r="P342" s="12" t="str">
        <f t="shared" si="11"/>
        <v>⚠ Expedite production / source alternate</v>
      </c>
    </row>
    <row r="343" spans="1:16" ht="13" customHeight="1" x14ac:dyDescent="0.35">
      <c r="A343" s="97">
        <v>50922</v>
      </c>
      <c r="B343" s="53" t="s">
        <v>35</v>
      </c>
      <c r="C343" s="12" t="str">
        <f>'Planning Engine'!C343</f>
        <v>Label/Pack</v>
      </c>
      <c r="D343" s="12" t="str">
        <f>'Planning Engine'!D343</f>
        <v>units</v>
      </c>
      <c r="E343" s="95">
        <f>'Planning Engine'!E343</f>
        <v>-1298409.2787527801</v>
      </c>
      <c r="F343" s="95">
        <f>'Planning Engine'!F343</f>
        <v>942.35570313613619</v>
      </c>
      <c r="G343" s="95">
        <f>'Planning Engine'!G343</f>
        <v>0</v>
      </c>
      <c r="H343" s="99">
        <f t="shared" si="10"/>
        <v>-942.35570313613619</v>
      </c>
      <c r="I343" s="95">
        <f>'Planning Engine'!H343</f>
        <v>-1299351.6344559162</v>
      </c>
      <c r="J343" s="96">
        <f ca="1">'Planning Engine'!J343</f>
        <v>-1890.2881795273652</v>
      </c>
      <c r="K343" s="95">
        <f ca="1">'Planning Engine'!K343</f>
        <v>1310000</v>
      </c>
      <c r="L343" s="12" t="str">
        <f>'Planning Engine'!L343</f>
        <v>High</v>
      </c>
      <c r="M343" s="93">
        <f>'Planning Engine'!S343</f>
        <v>50830</v>
      </c>
      <c r="N343" s="95">
        <f>'Planning Engine'!T343</f>
        <v>0</v>
      </c>
      <c r="O343" s="98" t="s">
        <v>1375</v>
      </c>
      <c r="P343" s="4" t="str">
        <f t="shared" si="11"/>
        <v>⚠ Expedite production / source alternate</v>
      </c>
    </row>
    <row r="344" spans="1:16" ht="13" customHeight="1" x14ac:dyDescent="0.35">
      <c r="A344" s="93">
        <v>50952</v>
      </c>
      <c r="B344" s="61" t="s">
        <v>35</v>
      </c>
      <c r="C344" s="12" t="str">
        <f>'Planning Engine'!C344</f>
        <v>Label/Pack</v>
      </c>
      <c r="D344" s="12" t="str">
        <f>'Planning Engine'!D344</f>
        <v>units</v>
      </c>
      <c r="E344" s="95">
        <f>'Planning Engine'!E344</f>
        <v>-1299351.6344559162</v>
      </c>
      <c r="F344" s="95">
        <f>'Planning Engine'!F344</f>
        <v>753.23924253514224</v>
      </c>
      <c r="G344" s="95">
        <f>'Planning Engine'!G344</f>
        <v>0</v>
      </c>
      <c r="H344" s="95">
        <f t="shared" si="10"/>
        <v>-753.23924253514224</v>
      </c>
      <c r="I344" s="95">
        <f>'Planning Engine'!H344</f>
        <v>-1300104.8736984513</v>
      </c>
      <c r="J344" s="96">
        <f ca="1">'Planning Engine'!J344</f>
        <v>-1992.4525981744241</v>
      </c>
      <c r="K344" s="95">
        <f ca="1">'Planning Engine'!K344</f>
        <v>1310000</v>
      </c>
      <c r="L344" s="12" t="str">
        <f>'Planning Engine'!L344</f>
        <v>High</v>
      </c>
      <c r="M344" s="93">
        <f>'Planning Engine'!S344</f>
        <v>50861</v>
      </c>
      <c r="N344" s="95">
        <f>'Planning Engine'!T344</f>
        <v>0</v>
      </c>
      <c r="O344" s="94" t="s">
        <v>1376</v>
      </c>
      <c r="P344" s="12" t="str">
        <f t="shared" si="11"/>
        <v>⚠ Expedite production / source alternate</v>
      </c>
    </row>
    <row r="345" spans="1:16" ht="13" customHeight="1" x14ac:dyDescent="0.35">
      <c r="A345" s="97">
        <v>50983</v>
      </c>
      <c r="B345" s="53" t="s">
        <v>35</v>
      </c>
      <c r="C345" s="12" t="str">
        <f>'Planning Engine'!C345</f>
        <v>Label/Pack</v>
      </c>
      <c r="D345" s="12" t="str">
        <f>'Planning Engine'!D345</f>
        <v>units</v>
      </c>
      <c r="E345" s="95">
        <f>'Planning Engine'!E345</f>
        <v>-1300104.8736984513</v>
      </c>
      <c r="F345" s="95">
        <f>'Planning Engine'!F345</f>
        <v>518.75422805436813</v>
      </c>
      <c r="G345" s="95">
        <f>'Planning Engine'!G345</f>
        <v>0</v>
      </c>
      <c r="H345" s="99">
        <f t="shared" si="10"/>
        <v>-518.75422805436813</v>
      </c>
      <c r="I345" s="95">
        <f>'Planning Engine'!H345</f>
        <v>-1300623.6279265056</v>
      </c>
      <c r="J345" s="96">
        <f ca="1">'Planning Engine'!J345</f>
        <v>-1997.4828089633656</v>
      </c>
      <c r="K345" s="95">
        <f ca="1">'Planning Engine'!K345</f>
        <v>1310000</v>
      </c>
      <c r="L345" s="12" t="str">
        <f>'Planning Engine'!L345</f>
        <v>High</v>
      </c>
      <c r="M345" s="93">
        <f>'Planning Engine'!S345</f>
        <v>50891</v>
      </c>
      <c r="N345" s="95">
        <f>'Planning Engine'!T345</f>
        <v>0</v>
      </c>
      <c r="O345" s="98" t="s">
        <v>1377</v>
      </c>
      <c r="P345" s="4" t="str">
        <f t="shared" si="11"/>
        <v>⚠ Expedite production / source alternate</v>
      </c>
    </row>
    <row r="346" spans="1:16" ht="13" customHeight="1" x14ac:dyDescent="0.35">
      <c r="A346" s="93">
        <v>51014</v>
      </c>
      <c r="B346" s="61" t="s">
        <v>35</v>
      </c>
      <c r="C346" s="12" t="str">
        <f>'Planning Engine'!C346</f>
        <v>Label/Pack</v>
      </c>
      <c r="D346" s="12" t="str">
        <f>'Planning Engine'!D346</f>
        <v>units</v>
      </c>
      <c r="E346" s="95">
        <f>'Planning Engine'!E346</f>
        <v>-1300623.6279265056</v>
      </c>
      <c r="F346" s="95">
        <f>'Planning Engine'!F346</f>
        <v>788.78287888477337</v>
      </c>
      <c r="G346" s="95">
        <f>'Planning Engine'!G346</f>
        <v>0</v>
      </c>
      <c r="H346" s="95">
        <f t="shared" si="10"/>
        <v>-788.78287888477337</v>
      </c>
      <c r="I346" s="95">
        <f>'Planning Engine'!H346</f>
        <v>-1301412.4108053904</v>
      </c>
      <c r="J346" s="96">
        <f ca="1">'Planning Engine'!J346</f>
        <v>-1955.0016663262188</v>
      </c>
      <c r="K346" s="95">
        <f ca="1">'Planning Engine'!K346</f>
        <v>1310000</v>
      </c>
      <c r="L346" s="12" t="str">
        <f>'Planning Engine'!L346</f>
        <v>High</v>
      </c>
      <c r="M346" s="93">
        <f>'Planning Engine'!S346</f>
        <v>50922</v>
      </c>
      <c r="N346" s="95">
        <f>'Planning Engine'!T346</f>
        <v>0</v>
      </c>
      <c r="O346" s="94" t="s">
        <v>1378</v>
      </c>
      <c r="P346" s="12" t="str">
        <f t="shared" si="11"/>
        <v>⚠ Expedite production / source alternate</v>
      </c>
    </row>
    <row r="347" spans="1:16" ht="13" customHeight="1" x14ac:dyDescent="0.35">
      <c r="A347" s="97">
        <v>51044</v>
      </c>
      <c r="B347" s="53" t="s">
        <v>35</v>
      </c>
      <c r="C347" s="12" t="str">
        <f>'Planning Engine'!C347</f>
        <v>Label/Pack</v>
      </c>
      <c r="D347" s="12" t="str">
        <f>'Planning Engine'!D347</f>
        <v>units</v>
      </c>
      <c r="E347" s="95">
        <f>'Planning Engine'!E347</f>
        <v>-1301412.4108053904</v>
      </c>
      <c r="F347" s="95">
        <f>'Planning Engine'!F347</f>
        <v>634.66897341735171</v>
      </c>
      <c r="G347" s="95">
        <f>'Planning Engine'!G347</f>
        <v>0</v>
      </c>
      <c r="H347" s="99">
        <f t="shared" si="10"/>
        <v>-634.66897341735171</v>
      </c>
      <c r="I347" s="95">
        <f>'Planning Engine'!H347</f>
        <v>-1302047.0797788077</v>
      </c>
      <c r="J347" s="96">
        <f ca="1">'Planning Engine'!J347</f>
        <v>-1975.9444439288548</v>
      </c>
      <c r="K347" s="95">
        <f ca="1">'Planning Engine'!K347</f>
        <v>1310000</v>
      </c>
      <c r="L347" s="12" t="str">
        <f>'Planning Engine'!L347</f>
        <v>High</v>
      </c>
      <c r="M347" s="93">
        <f>'Planning Engine'!S347</f>
        <v>50952</v>
      </c>
      <c r="N347" s="95">
        <f>'Planning Engine'!T347</f>
        <v>0</v>
      </c>
      <c r="O347" s="98" t="s">
        <v>1379</v>
      </c>
      <c r="P347" s="4" t="str">
        <f t="shared" si="11"/>
        <v>⚠ Expedite production / source alternate</v>
      </c>
    </row>
    <row r="348" spans="1:16" ht="13" customHeight="1" x14ac:dyDescent="0.35">
      <c r="A348" s="93">
        <v>51075</v>
      </c>
      <c r="B348" s="61" t="s">
        <v>35</v>
      </c>
      <c r="C348" s="12" t="str">
        <f>'Planning Engine'!C348</f>
        <v>Label/Pack</v>
      </c>
      <c r="D348" s="12" t="str">
        <f>'Planning Engine'!D348</f>
        <v>units</v>
      </c>
      <c r="E348" s="95">
        <f>'Planning Engine'!E348</f>
        <v>-1302047.0797788077</v>
      </c>
      <c r="F348" s="95">
        <f>'Planning Engine'!F348</f>
        <v>616.31719852867707</v>
      </c>
      <c r="G348" s="95">
        <f>'Planning Engine'!G348</f>
        <v>0</v>
      </c>
      <c r="H348" s="95">
        <f t="shared" si="10"/>
        <v>-616.31719852867707</v>
      </c>
      <c r="I348" s="95">
        <f>'Planning Engine'!H348</f>
        <v>-1302663.3969773364</v>
      </c>
      <c r="J348" s="96">
        <f ca="1">'Planning Engine'!J348</f>
        <v>-1989.3788992630009</v>
      </c>
      <c r="K348" s="95">
        <f ca="1">'Planning Engine'!K348</f>
        <v>1310000</v>
      </c>
      <c r="L348" s="12" t="str">
        <f>'Planning Engine'!L348</f>
        <v>High</v>
      </c>
      <c r="M348" s="93">
        <f>'Planning Engine'!S348</f>
        <v>50983</v>
      </c>
      <c r="N348" s="95">
        <f>'Planning Engine'!T348</f>
        <v>0</v>
      </c>
      <c r="O348" s="94" t="s">
        <v>1380</v>
      </c>
      <c r="P348" s="12" t="str">
        <f t="shared" si="11"/>
        <v>⚠ Expedite production / source alternate</v>
      </c>
    </row>
    <row r="349" spans="1:16" ht="13" customHeight="1" x14ac:dyDescent="0.35">
      <c r="A349" s="97">
        <v>51105</v>
      </c>
      <c r="B349" s="53" t="s">
        <v>35</v>
      </c>
      <c r="C349" s="12" t="str">
        <f>'Planning Engine'!C349</f>
        <v>Label/Pack</v>
      </c>
      <c r="D349" s="12" t="str">
        <f>'Planning Engine'!D349</f>
        <v>units</v>
      </c>
      <c r="E349" s="95">
        <f>'Planning Engine'!E349</f>
        <v>-1302663.3969773364</v>
      </c>
      <c r="F349" s="95">
        <f>'Planning Engine'!F349</f>
        <v>632.85102004645</v>
      </c>
      <c r="G349" s="95">
        <f>'Planning Engine'!G349</f>
        <v>0</v>
      </c>
      <c r="H349" s="99">
        <f t="shared" si="10"/>
        <v>-632.85102004645</v>
      </c>
      <c r="I349" s="95">
        <f>'Planning Engine'!H349</f>
        <v>-1303296.2479973829</v>
      </c>
      <c r="J349" s="96">
        <f ca="1">'Planning Engine'!J349</f>
        <v>-1965.3946330330382</v>
      </c>
      <c r="K349" s="95">
        <f ca="1">'Planning Engine'!K349</f>
        <v>1310000</v>
      </c>
      <c r="L349" s="12" t="str">
        <f>'Planning Engine'!L349</f>
        <v>High</v>
      </c>
      <c r="M349" s="93">
        <f>'Planning Engine'!S349</f>
        <v>51014</v>
      </c>
      <c r="N349" s="95">
        <f>'Planning Engine'!T349</f>
        <v>0</v>
      </c>
      <c r="O349" s="98" t="s">
        <v>1381</v>
      </c>
      <c r="P349" s="4" t="str">
        <f t="shared" si="11"/>
        <v>⚠ Expedite production / source alternate</v>
      </c>
    </row>
    <row r="350" spans="1:16" ht="13" customHeight="1" x14ac:dyDescent="0.35">
      <c r="A350" s="93">
        <v>51136</v>
      </c>
      <c r="B350" s="61" t="s">
        <v>35</v>
      </c>
      <c r="C350" s="12" t="str">
        <f>'Planning Engine'!C350</f>
        <v>Label/Pack</v>
      </c>
      <c r="D350" s="12" t="str">
        <f>'Planning Engine'!D350</f>
        <v>units</v>
      </c>
      <c r="E350" s="95">
        <f>'Planning Engine'!E350</f>
        <v>-1303296.2479973829</v>
      </c>
      <c r="F350" s="95">
        <f>'Planning Engine'!F350</f>
        <v>687.55053004029992</v>
      </c>
      <c r="G350" s="95">
        <f>'Planning Engine'!G350</f>
        <v>0</v>
      </c>
      <c r="H350" s="95">
        <f t="shared" si="10"/>
        <v>-687.55053004029992</v>
      </c>
      <c r="I350" s="95">
        <f>'Planning Engine'!H350</f>
        <v>-1303983.7985274233</v>
      </c>
      <c r="J350" s="96">
        <f ca="1">'Planning Engine'!J350</f>
        <v>-1915.8364241674415</v>
      </c>
      <c r="K350" s="95">
        <f ca="1">'Planning Engine'!K350</f>
        <v>1310000</v>
      </c>
      <c r="L350" s="12" t="str">
        <f>'Planning Engine'!L350</f>
        <v>High</v>
      </c>
      <c r="M350" s="93">
        <f>'Planning Engine'!S350</f>
        <v>51044</v>
      </c>
      <c r="N350" s="95">
        <f>'Planning Engine'!T350</f>
        <v>0</v>
      </c>
      <c r="O350" s="94" t="s">
        <v>1382</v>
      </c>
      <c r="P350" s="12" t="str">
        <f t="shared" si="11"/>
        <v>⚠ Expedite production / source alternate</v>
      </c>
    </row>
    <row r="351" spans="1:16" ht="13" customHeight="1" x14ac:dyDescent="0.35">
      <c r="A351" s="97">
        <v>51167</v>
      </c>
      <c r="B351" s="53" t="s">
        <v>35</v>
      </c>
      <c r="C351" s="12" t="str">
        <f>'Planning Engine'!C351</f>
        <v>Label/Pack</v>
      </c>
      <c r="D351" s="12" t="str">
        <f>'Planning Engine'!D351</f>
        <v>units</v>
      </c>
      <c r="E351" s="95">
        <f>'Planning Engine'!E351</f>
        <v>-1303983.7985274233</v>
      </c>
      <c r="F351" s="95">
        <f>'Planning Engine'!F351</f>
        <v>611.92567677319585</v>
      </c>
      <c r="G351" s="95">
        <f>'Planning Engine'!G351</f>
        <v>0</v>
      </c>
      <c r="H351" s="99">
        <f t="shared" si="10"/>
        <v>-611.92567677319585</v>
      </c>
      <c r="I351" s="95">
        <f>'Planning Engine'!H351</f>
        <v>-1304595.7242041966</v>
      </c>
      <c r="J351" s="96">
        <f ca="1">'Planning Engine'!J351</f>
        <v>-1968.716741542768</v>
      </c>
      <c r="K351" s="95">
        <f ca="1">'Planning Engine'!K351</f>
        <v>1310000</v>
      </c>
      <c r="L351" s="12" t="str">
        <f>'Planning Engine'!L351</f>
        <v>High</v>
      </c>
      <c r="M351" s="93">
        <f>'Planning Engine'!S351</f>
        <v>51075</v>
      </c>
      <c r="N351" s="95">
        <f>'Planning Engine'!T351</f>
        <v>0</v>
      </c>
      <c r="O351" s="98" t="s">
        <v>1383</v>
      </c>
      <c r="P351" s="4" t="str">
        <f t="shared" si="11"/>
        <v>⚠ Expedite production / source alternate</v>
      </c>
    </row>
    <row r="352" spans="1:16" ht="13" customHeight="1" x14ac:dyDescent="0.35">
      <c r="A352" s="93">
        <v>51196</v>
      </c>
      <c r="B352" s="61" t="s">
        <v>35</v>
      </c>
      <c r="C352" s="12" t="str">
        <f>'Planning Engine'!C352</f>
        <v>Label/Pack</v>
      </c>
      <c r="D352" s="12" t="str">
        <f>'Planning Engine'!D352</f>
        <v>units</v>
      </c>
      <c r="E352" s="95">
        <f>'Planning Engine'!E352</f>
        <v>-1304595.7242041966</v>
      </c>
      <c r="F352" s="95">
        <f>'Planning Engine'!F352</f>
        <v>628.54374573962502</v>
      </c>
      <c r="G352" s="95">
        <f>'Planning Engine'!G352</f>
        <v>0</v>
      </c>
      <c r="H352" s="95">
        <f t="shared" si="10"/>
        <v>-628.54374573962502</v>
      </c>
      <c r="I352" s="95">
        <f>'Planning Engine'!H352</f>
        <v>-1305224.2679499362</v>
      </c>
      <c r="J352" s="96">
        <f ca="1">'Planning Engine'!J352</f>
        <v>-1918.2785033865468</v>
      </c>
      <c r="K352" s="95">
        <f ca="1">'Planning Engine'!K352</f>
        <v>1310000</v>
      </c>
      <c r="L352" s="12" t="str">
        <f>'Planning Engine'!L352</f>
        <v>High</v>
      </c>
      <c r="M352" s="93">
        <f>'Planning Engine'!S352</f>
        <v>51105</v>
      </c>
      <c r="N352" s="95">
        <f>'Planning Engine'!T352</f>
        <v>0</v>
      </c>
      <c r="O352" s="94" t="s">
        <v>1384</v>
      </c>
      <c r="P352" s="12" t="str">
        <f t="shared" si="11"/>
        <v>⚠ Expedite production / source alternate</v>
      </c>
    </row>
    <row r="353" spans="1:16" ht="13" customHeight="1" x14ac:dyDescent="0.35">
      <c r="A353" s="97">
        <v>51227</v>
      </c>
      <c r="B353" s="53" t="s">
        <v>35</v>
      </c>
      <c r="C353" s="12" t="str">
        <f>'Planning Engine'!C353</f>
        <v>Label/Pack</v>
      </c>
      <c r="D353" s="12" t="str">
        <f>'Planning Engine'!D353</f>
        <v>units</v>
      </c>
      <c r="E353" s="95">
        <f>'Planning Engine'!E353</f>
        <v>-1305224.2679499362</v>
      </c>
      <c r="F353" s="95">
        <f>'Planning Engine'!F353</f>
        <v>740.78767289107702</v>
      </c>
      <c r="G353" s="95">
        <f>'Planning Engine'!G353</f>
        <v>0</v>
      </c>
      <c r="H353" s="99">
        <f t="shared" si="10"/>
        <v>-740.78767289107702</v>
      </c>
      <c r="I353" s="95">
        <f>'Planning Engine'!H353</f>
        <v>-1305965.0556228273</v>
      </c>
      <c r="J353" s="96">
        <f ca="1">'Planning Engine'!J353</f>
        <v>-1927.9671007585443</v>
      </c>
      <c r="K353" s="95">
        <f ca="1">'Planning Engine'!K353</f>
        <v>1310000</v>
      </c>
      <c r="L353" s="12" t="str">
        <f>'Planning Engine'!L353</f>
        <v>High</v>
      </c>
      <c r="M353" s="93">
        <f>'Planning Engine'!S353</f>
        <v>51136</v>
      </c>
      <c r="N353" s="95">
        <f>'Planning Engine'!T353</f>
        <v>0</v>
      </c>
      <c r="O353" s="98" t="s">
        <v>1385</v>
      </c>
      <c r="P353" s="4" t="str">
        <f t="shared" si="11"/>
        <v>⚠ Expedite production / source alternate</v>
      </c>
    </row>
    <row r="354" spans="1:16" ht="13" customHeight="1" x14ac:dyDescent="0.35">
      <c r="A354" s="93">
        <v>51257</v>
      </c>
      <c r="B354" s="61" t="s">
        <v>35</v>
      </c>
      <c r="C354" s="12" t="str">
        <f>'Planning Engine'!C354</f>
        <v>Label/Pack</v>
      </c>
      <c r="D354" s="12" t="str">
        <f>'Planning Engine'!D354</f>
        <v>units</v>
      </c>
      <c r="E354" s="95">
        <f>'Planning Engine'!E354</f>
        <v>-1305965.0556228273</v>
      </c>
      <c r="F354" s="95">
        <f>'Planning Engine'!F354</f>
        <v>649.72407556358132</v>
      </c>
      <c r="G354" s="95">
        <f>'Planning Engine'!G354</f>
        <v>0</v>
      </c>
      <c r="H354" s="95">
        <f t="shared" si="10"/>
        <v>-649.72407556358132</v>
      </c>
      <c r="I354" s="95">
        <f>'Planning Engine'!H354</f>
        <v>-1306614.7796983907</v>
      </c>
      <c r="J354" s="96">
        <f ca="1">'Planning Engine'!J354</f>
        <v>-1951.7639440611772</v>
      </c>
      <c r="K354" s="95">
        <f ca="1">'Planning Engine'!K354</f>
        <v>1310000</v>
      </c>
      <c r="L354" s="12" t="str">
        <f>'Planning Engine'!L354</f>
        <v>High</v>
      </c>
      <c r="M354" s="93">
        <f>'Planning Engine'!S354</f>
        <v>51167</v>
      </c>
      <c r="N354" s="95">
        <f>'Planning Engine'!T354</f>
        <v>0</v>
      </c>
      <c r="O354" s="94" t="s">
        <v>1386</v>
      </c>
      <c r="P354" s="12" t="str">
        <f t="shared" si="11"/>
        <v>⚠ Expedite production / source alternate</v>
      </c>
    </row>
    <row r="355" spans="1:16" ht="13" customHeight="1" x14ac:dyDescent="0.35">
      <c r="A355" s="97">
        <v>51288</v>
      </c>
      <c r="B355" s="53" t="s">
        <v>35</v>
      </c>
      <c r="C355" s="12" t="str">
        <f>'Planning Engine'!C355</f>
        <v>Label/Pack</v>
      </c>
      <c r="D355" s="12" t="str">
        <f>'Planning Engine'!D355</f>
        <v>units</v>
      </c>
      <c r="E355" s="95">
        <f>'Planning Engine'!E355</f>
        <v>-1306614.7796983907</v>
      </c>
      <c r="F355" s="95">
        <f>'Planning Engine'!F355</f>
        <v>728.174222224696</v>
      </c>
      <c r="G355" s="95">
        <f>'Planning Engine'!G355</f>
        <v>0</v>
      </c>
      <c r="H355" s="99">
        <f t="shared" si="10"/>
        <v>-728.174222224696</v>
      </c>
      <c r="I355" s="95">
        <f>'Planning Engine'!H355</f>
        <v>-1307342.9539206154</v>
      </c>
      <c r="J355" s="96">
        <f ca="1">'Planning Engine'!J355</f>
        <v>-1944.6644476118029</v>
      </c>
      <c r="K355" s="95">
        <f ca="1">'Planning Engine'!K355</f>
        <v>1310000</v>
      </c>
      <c r="L355" s="12" t="str">
        <f>'Planning Engine'!L355</f>
        <v>High</v>
      </c>
      <c r="M355" s="93">
        <f>'Planning Engine'!S355</f>
        <v>51196</v>
      </c>
      <c r="N355" s="95">
        <f>'Planning Engine'!T355</f>
        <v>0</v>
      </c>
      <c r="O355" s="98" t="s">
        <v>1387</v>
      </c>
      <c r="P355" s="4" t="str">
        <f t="shared" si="11"/>
        <v>⚠ Expedite production / source alternate</v>
      </c>
    </row>
    <row r="356" spans="1:16" ht="13" customHeight="1" x14ac:dyDescent="0.35">
      <c r="A356" s="93">
        <v>51318</v>
      </c>
      <c r="B356" s="61" t="s">
        <v>35</v>
      </c>
      <c r="C356" s="12" t="str">
        <f>'Planning Engine'!C356</f>
        <v>Label/Pack</v>
      </c>
      <c r="D356" s="12" t="str">
        <f>'Planning Engine'!D356</f>
        <v>units</v>
      </c>
      <c r="E356" s="95">
        <f>'Planning Engine'!E356</f>
        <v>-1307342.9539206154</v>
      </c>
      <c r="F356" s="95">
        <f>'Planning Engine'!F356</f>
        <v>597.407714725294</v>
      </c>
      <c r="G356" s="95">
        <f>'Planning Engine'!G356</f>
        <v>0</v>
      </c>
      <c r="H356" s="95">
        <f t="shared" si="10"/>
        <v>-597.407714725294</v>
      </c>
      <c r="I356" s="95">
        <f>'Planning Engine'!H356</f>
        <v>-1307940.3616353406</v>
      </c>
      <c r="J356" s="96">
        <f ca="1">'Planning Engine'!J356</f>
        <v>-1972.8956426516418</v>
      </c>
      <c r="K356" s="95">
        <f ca="1">'Planning Engine'!K356</f>
        <v>1310000</v>
      </c>
      <c r="L356" s="12" t="str">
        <f>'Planning Engine'!L356</f>
        <v>High</v>
      </c>
      <c r="M356" s="93">
        <f>'Planning Engine'!S356</f>
        <v>51227</v>
      </c>
      <c r="N356" s="95">
        <f>'Planning Engine'!T356</f>
        <v>0</v>
      </c>
      <c r="O356" s="94" t="s">
        <v>1388</v>
      </c>
      <c r="P356" s="12" t="str">
        <f t="shared" si="11"/>
        <v>⚠ Expedite production / source alternate</v>
      </c>
    </row>
    <row r="357" spans="1:16" ht="13" customHeight="1" x14ac:dyDescent="0.35">
      <c r="A357" s="97">
        <v>51349</v>
      </c>
      <c r="B357" s="53" t="s">
        <v>35</v>
      </c>
      <c r="C357" s="12" t="str">
        <f>'Planning Engine'!C357</f>
        <v>Label/Pack</v>
      </c>
      <c r="D357" s="12" t="str">
        <f>'Planning Engine'!D357</f>
        <v>units</v>
      </c>
      <c r="E357" s="95">
        <f>'Planning Engine'!E357</f>
        <v>-1307940.3616353406</v>
      </c>
      <c r="F357" s="95">
        <f>'Planning Engine'!F357</f>
        <v>691.13255506030441</v>
      </c>
      <c r="G357" s="95">
        <f>'Planning Engine'!G357</f>
        <v>0</v>
      </c>
      <c r="H357" s="99">
        <f t="shared" si="10"/>
        <v>-691.13255506030441</v>
      </c>
      <c r="I357" s="95">
        <f>'Planning Engine'!H357</f>
        <v>-1308631.4941904009</v>
      </c>
      <c r="J357" s="96">
        <f ca="1">'Planning Engine'!J357</f>
        <v>-1935.6620043353857</v>
      </c>
      <c r="K357" s="95">
        <f ca="1">'Planning Engine'!K357</f>
        <v>1310000</v>
      </c>
      <c r="L357" s="12" t="str">
        <f>'Planning Engine'!L357</f>
        <v>High</v>
      </c>
      <c r="M357" s="93">
        <f>'Planning Engine'!S357</f>
        <v>51257</v>
      </c>
      <c r="N357" s="95">
        <f>'Planning Engine'!T357</f>
        <v>0</v>
      </c>
      <c r="O357" s="98" t="s">
        <v>1389</v>
      </c>
      <c r="P357" s="4" t="str">
        <f t="shared" si="11"/>
        <v>⚠ Expedite production / source alternate</v>
      </c>
    </row>
    <row r="358" spans="1:16" ht="13" customHeight="1" x14ac:dyDescent="0.35">
      <c r="A358" s="93">
        <v>51380</v>
      </c>
      <c r="B358" s="61" t="s">
        <v>35</v>
      </c>
      <c r="C358" s="12" t="str">
        <f>'Planning Engine'!C358</f>
        <v>Label/Pack</v>
      </c>
      <c r="D358" s="12" t="str">
        <f>'Planning Engine'!D358</f>
        <v>units</v>
      </c>
      <c r="E358" s="95">
        <f>'Planning Engine'!E358</f>
        <v>-1308631.4941904009</v>
      </c>
      <c r="F358" s="95">
        <f>'Planning Engine'!F358</f>
        <v>790.4616381433591</v>
      </c>
      <c r="G358" s="95">
        <f>'Planning Engine'!G358</f>
        <v>0</v>
      </c>
      <c r="H358" s="95">
        <f t="shared" si="10"/>
        <v>-790.4616381433591</v>
      </c>
      <c r="I358" s="95">
        <f>'Planning Engine'!H358</f>
        <v>-1309421.9558285442</v>
      </c>
      <c r="J358" s="96">
        <f ca="1">'Planning Engine'!J358</f>
        <v>-1947.6839912011997</v>
      </c>
      <c r="K358" s="95">
        <f ca="1">'Planning Engine'!K358</f>
        <v>1320000</v>
      </c>
      <c r="L358" s="12" t="str">
        <f>'Planning Engine'!L358</f>
        <v>High</v>
      </c>
      <c r="M358" s="93">
        <f>'Planning Engine'!S358</f>
        <v>51288</v>
      </c>
      <c r="N358" s="95">
        <f>'Planning Engine'!T358</f>
        <v>0</v>
      </c>
      <c r="O358" s="94" t="s">
        <v>1390</v>
      </c>
      <c r="P358" s="12" t="str">
        <f t="shared" si="11"/>
        <v>⚠ Expedite production / source alternate</v>
      </c>
    </row>
    <row r="359" spans="1:16" ht="13" customHeight="1" x14ac:dyDescent="0.35">
      <c r="A359" s="97">
        <v>51410</v>
      </c>
      <c r="B359" s="53" t="s">
        <v>35</v>
      </c>
      <c r="C359" s="12" t="str">
        <f>'Planning Engine'!C359</f>
        <v>Label/Pack</v>
      </c>
      <c r="D359" s="12" t="str">
        <f>'Planning Engine'!D359</f>
        <v>units</v>
      </c>
      <c r="E359" s="95">
        <f>'Planning Engine'!E359</f>
        <v>-1309421.9558285442</v>
      </c>
      <c r="F359" s="95">
        <f>'Planning Engine'!F359</f>
        <v>525.80961706373205</v>
      </c>
      <c r="G359" s="95">
        <f>'Planning Engine'!G359</f>
        <v>0</v>
      </c>
      <c r="H359" s="99">
        <f t="shared" si="10"/>
        <v>-525.80961706373205</v>
      </c>
      <c r="I359" s="95">
        <f>'Planning Engine'!H359</f>
        <v>-1309947.7654456079</v>
      </c>
      <c r="J359" s="96">
        <f ca="1">'Planning Engine'!J359</f>
        <v>-2069.7263208092863</v>
      </c>
      <c r="K359" s="95">
        <f ca="1">'Planning Engine'!K359</f>
        <v>1320000</v>
      </c>
      <c r="L359" s="12" t="str">
        <f>'Planning Engine'!L359</f>
        <v>High</v>
      </c>
      <c r="M359" s="93">
        <f>'Planning Engine'!S359</f>
        <v>51318</v>
      </c>
      <c r="N359" s="95">
        <f>'Planning Engine'!T359</f>
        <v>0</v>
      </c>
      <c r="O359" s="98" t="s">
        <v>1391</v>
      </c>
      <c r="P359" s="4" t="str">
        <f t="shared" si="11"/>
        <v>⚠ Expedite production / source alternate</v>
      </c>
    </row>
    <row r="360" spans="1:16" ht="13" customHeight="1" x14ac:dyDescent="0.35">
      <c r="A360" s="93">
        <v>51441</v>
      </c>
      <c r="B360" s="61" t="s">
        <v>35</v>
      </c>
      <c r="C360" s="12" t="str">
        <f>'Planning Engine'!C360</f>
        <v>Label/Pack</v>
      </c>
      <c r="D360" s="12" t="str">
        <f>'Planning Engine'!D360</f>
        <v>units</v>
      </c>
      <c r="E360" s="95">
        <f>'Planning Engine'!E360</f>
        <v>-1309947.7654456079</v>
      </c>
      <c r="F360" s="95">
        <f>'Planning Engine'!F360</f>
        <v>771.68812886023466</v>
      </c>
      <c r="G360" s="95">
        <f>'Planning Engine'!G360</f>
        <v>0</v>
      </c>
      <c r="H360" s="95">
        <f t="shared" si="10"/>
        <v>-771.68812886023466</v>
      </c>
      <c r="I360" s="95">
        <f>'Planning Engine'!H360</f>
        <v>-1310719.4535744681</v>
      </c>
      <c r="J360" s="96">
        <f ca="1">'Planning Engine'!J360</f>
        <v>-1909.3943598820447</v>
      </c>
      <c r="K360" s="95">
        <f ca="1">'Planning Engine'!K360</f>
        <v>1320000</v>
      </c>
      <c r="L360" s="12" t="str">
        <f>'Planning Engine'!L360</f>
        <v>High</v>
      </c>
      <c r="M360" s="93">
        <f>'Planning Engine'!S360</f>
        <v>51349</v>
      </c>
      <c r="N360" s="95">
        <f>'Planning Engine'!T360</f>
        <v>0</v>
      </c>
      <c r="O360" s="94" t="s">
        <v>1392</v>
      </c>
      <c r="P360" s="12" t="str">
        <f t="shared" si="11"/>
        <v>⚠ Expedite production / source alternate</v>
      </c>
    </row>
    <row r="361" spans="1:16" ht="13" customHeight="1" x14ac:dyDescent="0.35">
      <c r="A361" s="97">
        <v>51471</v>
      </c>
      <c r="B361" s="53" t="s">
        <v>35</v>
      </c>
      <c r="C361" s="12" t="str">
        <f>'Planning Engine'!C361</f>
        <v>Label/Pack</v>
      </c>
      <c r="D361" s="12" t="str">
        <f>'Planning Engine'!D361</f>
        <v>units</v>
      </c>
      <c r="E361" s="95">
        <f>'Planning Engine'!E361</f>
        <v>-1310719.4535744681</v>
      </c>
      <c r="F361" s="95">
        <f>'Planning Engine'!F361</f>
        <v>601.22831115212557</v>
      </c>
      <c r="G361" s="95">
        <f>'Planning Engine'!G361</f>
        <v>0</v>
      </c>
      <c r="H361" s="99">
        <f t="shared" si="10"/>
        <v>-601.22831115212557</v>
      </c>
      <c r="I361" s="95">
        <f>'Planning Engine'!H361</f>
        <v>-1311320.6818856203</v>
      </c>
      <c r="J361" s="96">
        <f ca="1">'Planning Engine'!J361</f>
        <v>-2181.0694166626226</v>
      </c>
      <c r="K361" s="95">
        <f ca="1">'Planning Engine'!K361</f>
        <v>1320000</v>
      </c>
      <c r="L361" s="12" t="str">
        <f>'Planning Engine'!L361</f>
        <v>High</v>
      </c>
      <c r="M361" s="93">
        <f>'Planning Engine'!S361</f>
        <v>51380</v>
      </c>
      <c r="N361" s="95">
        <f>'Planning Engine'!T361</f>
        <v>0</v>
      </c>
      <c r="O361" s="98" t="s">
        <v>1393</v>
      </c>
      <c r="P361" s="4" t="str">
        <f t="shared" si="11"/>
        <v>⚠ Expedite production / source alternate</v>
      </c>
    </row>
    <row r="362" spans="1:16" ht="13" customHeight="1" x14ac:dyDescent="0.35">
      <c r="A362" s="93">
        <v>46054</v>
      </c>
      <c r="B362" s="61" t="s">
        <v>36</v>
      </c>
      <c r="C362" s="12" t="str">
        <f>'Planning Engine'!C362</f>
        <v>Drug Product</v>
      </c>
      <c r="D362" s="12" t="str">
        <f>'Planning Engine'!D362</f>
        <v>units</v>
      </c>
      <c r="E362" s="95">
        <f>'Planning Engine'!E362</f>
        <v>21528</v>
      </c>
      <c r="F362" s="95">
        <f>'Planning Engine'!F362</f>
        <v>0</v>
      </c>
      <c r="G362" s="95">
        <f>'Planning Engine'!G362</f>
        <v>0</v>
      </c>
      <c r="H362" s="95">
        <f t="shared" si="10"/>
        <v>0</v>
      </c>
      <c r="I362" s="95">
        <f>'Planning Engine'!H362</f>
        <v>21528</v>
      </c>
      <c r="J362" s="96">
        <f ca="1">'Planning Engine'!J362</f>
        <v>1.2266666666666666</v>
      </c>
      <c r="K362" s="95">
        <f ca="1">'Planning Engine'!K362</f>
        <v>129600</v>
      </c>
      <c r="L362" s="12" t="str">
        <f ca="1">'Planning Engine'!L362</f>
        <v>High</v>
      </c>
      <c r="M362" s="93">
        <f>'Planning Engine'!S362</f>
        <v>45901</v>
      </c>
      <c r="N362" s="95">
        <f>'Planning Engine'!T362</f>
        <v>0</v>
      </c>
      <c r="O362" s="94" t="s">
        <v>1394</v>
      </c>
      <c r="P362" s="12" t="str">
        <f t="shared" ca="1" si="11"/>
        <v>⚠ Expedite production / source alternate</v>
      </c>
    </row>
    <row r="363" spans="1:16" ht="13" customHeight="1" x14ac:dyDescent="0.35">
      <c r="A363" s="97">
        <v>46082</v>
      </c>
      <c r="B363" s="53" t="s">
        <v>36</v>
      </c>
      <c r="C363" s="12" t="str">
        <f>'Planning Engine'!C363</f>
        <v>Drug Product</v>
      </c>
      <c r="D363" s="12" t="str">
        <f>'Planning Engine'!D363</f>
        <v>units</v>
      </c>
      <c r="E363" s="95">
        <f>'Planning Engine'!E363</f>
        <v>21528</v>
      </c>
      <c r="F363" s="95">
        <f>'Planning Engine'!F363</f>
        <v>0</v>
      </c>
      <c r="G363" s="95">
        <f>'Planning Engine'!G363</f>
        <v>0</v>
      </c>
      <c r="H363" s="99">
        <f t="shared" si="10"/>
        <v>0</v>
      </c>
      <c r="I363" s="95">
        <f>'Planning Engine'!H363</f>
        <v>20902</v>
      </c>
      <c r="J363" s="96">
        <f ca="1">'Planning Engine'!J363</f>
        <v>1.1909971509971511</v>
      </c>
      <c r="K363" s="95">
        <f ca="1">'Planning Engine'!K363</f>
        <v>129600</v>
      </c>
      <c r="L363" s="12" t="str">
        <f ca="1">'Planning Engine'!L363</f>
        <v>High</v>
      </c>
      <c r="M363" s="93">
        <f>'Planning Engine'!S363</f>
        <v>45931</v>
      </c>
      <c r="N363" s="95">
        <f>'Planning Engine'!T363</f>
        <v>0</v>
      </c>
      <c r="O363" s="98" t="s">
        <v>1395</v>
      </c>
      <c r="P363" s="4" t="str">
        <f t="shared" ca="1" si="11"/>
        <v>⚠ Expedite production / source alternate</v>
      </c>
    </row>
    <row r="364" spans="1:16" ht="13" customHeight="1" x14ac:dyDescent="0.35">
      <c r="A364" s="93">
        <v>46113</v>
      </c>
      <c r="B364" s="61" t="s">
        <v>36</v>
      </c>
      <c r="C364" s="12" t="str">
        <f>'Planning Engine'!C364</f>
        <v>Drug Product</v>
      </c>
      <c r="D364" s="12" t="str">
        <f>'Planning Engine'!D364</f>
        <v>units</v>
      </c>
      <c r="E364" s="95">
        <f>'Planning Engine'!E364</f>
        <v>20902</v>
      </c>
      <c r="F364" s="95">
        <f>'Planning Engine'!F364</f>
        <v>0</v>
      </c>
      <c r="G364" s="95">
        <f>'Planning Engine'!G364</f>
        <v>16200</v>
      </c>
      <c r="H364" s="95">
        <f t="shared" si="10"/>
        <v>16200</v>
      </c>
      <c r="I364" s="95">
        <f>'Planning Engine'!H364</f>
        <v>21528</v>
      </c>
      <c r="J364" s="96">
        <f ca="1">'Planning Engine'!J364</f>
        <v>1.2266666666666666</v>
      </c>
      <c r="K364" s="95">
        <f ca="1">'Planning Engine'!K364</f>
        <v>129600</v>
      </c>
      <c r="L364" s="12" t="str">
        <f ca="1">'Planning Engine'!L364</f>
        <v>High</v>
      </c>
      <c r="M364" s="93">
        <f>'Planning Engine'!S364</f>
        <v>45962</v>
      </c>
      <c r="N364" s="95">
        <f>'Planning Engine'!T364</f>
        <v>16200</v>
      </c>
      <c r="O364" s="94" t="s">
        <v>1396</v>
      </c>
      <c r="P364" s="12" t="str">
        <f t="shared" ca="1" si="11"/>
        <v>⚠ Expedite production / source alternate</v>
      </c>
    </row>
    <row r="365" spans="1:16" ht="13" customHeight="1" x14ac:dyDescent="0.35">
      <c r="A365" s="97">
        <v>46143</v>
      </c>
      <c r="B365" s="53" t="s">
        <v>36</v>
      </c>
      <c r="C365" s="12" t="str">
        <f>'Planning Engine'!C365</f>
        <v>Drug Product</v>
      </c>
      <c r="D365" s="12" t="str">
        <f>'Planning Engine'!D365</f>
        <v>units</v>
      </c>
      <c r="E365" s="95">
        <f>'Planning Engine'!E365</f>
        <v>21528</v>
      </c>
      <c r="F365" s="95">
        <f>'Planning Engine'!F365</f>
        <v>0</v>
      </c>
      <c r="G365" s="95">
        <f>'Planning Engine'!G365</f>
        <v>0</v>
      </c>
      <c r="H365" s="99">
        <f t="shared" si="10"/>
        <v>0</v>
      </c>
      <c r="I365" s="95">
        <f>'Planning Engine'!H365</f>
        <v>21528</v>
      </c>
      <c r="J365" s="96">
        <f ca="1">'Planning Engine'!J365</f>
        <v>1.2266666666666666</v>
      </c>
      <c r="K365" s="95">
        <f ca="1">'Planning Engine'!K365</f>
        <v>129600</v>
      </c>
      <c r="L365" s="12" t="str">
        <f ca="1">'Planning Engine'!L365</f>
        <v>High</v>
      </c>
      <c r="M365" s="93">
        <f>'Planning Engine'!S365</f>
        <v>45992</v>
      </c>
      <c r="N365" s="95">
        <f>'Planning Engine'!T365</f>
        <v>0</v>
      </c>
      <c r="O365" s="98" t="s">
        <v>1397</v>
      </c>
      <c r="P365" s="4" t="str">
        <f t="shared" ca="1" si="11"/>
        <v>⚠ Expedite production / source alternate</v>
      </c>
    </row>
    <row r="366" spans="1:16" ht="13" customHeight="1" x14ac:dyDescent="0.35">
      <c r="A366" s="93">
        <v>46174</v>
      </c>
      <c r="B366" s="61" t="s">
        <v>36</v>
      </c>
      <c r="C366" s="12" t="str">
        <f>'Planning Engine'!C366</f>
        <v>Drug Product</v>
      </c>
      <c r="D366" s="12" t="str">
        <f>'Planning Engine'!D366</f>
        <v>units</v>
      </c>
      <c r="E366" s="95">
        <f>'Planning Engine'!E366</f>
        <v>21528</v>
      </c>
      <c r="F366" s="95">
        <f>'Planning Engine'!F366</f>
        <v>2700</v>
      </c>
      <c r="G366" s="95">
        <f>'Planning Engine'!G366</f>
        <v>16200</v>
      </c>
      <c r="H366" s="95">
        <f t="shared" si="10"/>
        <v>13500</v>
      </c>
      <c r="I366" s="95">
        <f>'Planning Engine'!H366</f>
        <v>35028</v>
      </c>
      <c r="J366" s="96">
        <f ca="1">'Planning Engine'!J366</f>
        <v>1.995897435897436</v>
      </c>
      <c r="K366" s="95">
        <f ca="1">'Planning Engine'!K366</f>
        <v>129600</v>
      </c>
      <c r="L366" s="12" t="str">
        <f ca="1">'Planning Engine'!L366</f>
        <v>High</v>
      </c>
      <c r="M366" s="93">
        <f>'Planning Engine'!S366</f>
        <v>46023</v>
      </c>
      <c r="N366" s="95">
        <f>'Planning Engine'!T366</f>
        <v>16200</v>
      </c>
      <c r="O366" s="94" t="s">
        <v>1398</v>
      </c>
      <c r="P366" s="12" t="str">
        <f t="shared" ca="1" si="11"/>
        <v>⚠ Expedite production / source alternate</v>
      </c>
    </row>
    <row r="367" spans="1:16" ht="13" customHeight="1" x14ac:dyDescent="0.35">
      <c r="A367" s="97">
        <v>46204</v>
      </c>
      <c r="B367" s="53" t="s">
        <v>36</v>
      </c>
      <c r="C367" s="12" t="str">
        <f>'Planning Engine'!C367</f>
        <v>Drug Product</v>
      </c>
      <c r="D367" s="12" t="str">
        <f>'Planning Engine'!D367</f>
        <v>units</v>
      </c>
      <c r="E367" s="95">
        <f>'Planning Engine'!E367</f>
        <v>35028</v>
      </c>
      <c r="F367" s="95">
        <f>'Planning Engine'!F367</f>
        <v>0</v>
      </c>
      <c r="G367" s="95">
        <f>'Planning Engine'!G367</f>
        <v>0</v>
      </c>
      <c r="H367" s="99">
        <f t="shared" si="10"/>
        <v>0</v>
      </c>
      <c r="I367" s="95">
        <f>'Planning Engine'!H367</f>
        <v>35028</v>
      </c>
      <c r="J367" s="96">
        <f ca="1">'Planning Engine'!J367</f>
        <v>1.0811111111111111</v>
      </c>
      <c r="K367" s="95">
        <f ca="1">'Planning Engine'!K367</f>
        <v>259200</v>
      </c>
      <c r="L367" s="12" t="str">
        <f ca="1">'Planning Engine'!L367</f>
        <v>High</v>
      </c>
      <c r="M367" s="93">
        <f>'Planning Engine'!S367</f>
        <v>46054</v>
      </c>
      <c r="N367" s="95">
        <f>'Planning Engine'!T367</f>
        <v>0</v>
      </c>
      <c r="O367" s="98" t="s">
        <v>1399</v>
      </c>
      <c r="P367" s="4" t="str">
        <f t="shared" ca="1" si="11"/>
        <v>⚠ Expedite production / source alternate</v>
      </c>
    </row>
    <row r="368" spans="1:16" ht="13" customHeight="1" x14ac:dyDescent="0.35">
      <c r="A368" s="93">
        <v>46235</v>
      </c>
      <c r="B368" s="61" t="s">
        <v>36</v>
      </c>
      <c r="C368" s="12" t="str">
        <f>'Planning Engine'!C368</f>
        <v>Drug Product</v>
      </c>
      <c r="D368" s="12" t="str">
        <f>'Planning Engine'!D368</f>
        <v>units</v>
      </c>
      <c r="E368" s="95">
        <f>'Planning Engine'!E368</f>
        <v>35028</v>
      </c>
      <c r="F368" s="95">
        <f>'Planning Engine'!F368</f>
        <v>0</v>
      </c>
      <c r="G368" s="95">
        <f>'Planning Engine'!G368</f>
        <v>0</v>
      </c>
      <c r="H368" s="95">
        <f t="shared" si="10"/>
        <v>0</v>
      </c>
      <c r="I368" s="95">
        <f>'Planning Engine'!H368</f>
        <v>35028</v>
      </c>
      <c r="J368" s="96">
        <f ca="1">'Planning Engine'!J368</f>
        <v>1.0811111111111111</v>
      </c>
      <c r="K368" s="95">
        <f ca="1">'Planning Engine'!K368</f>
        <v>259200</v>
      </c>
      <c r="L368" s="12" t="str">
        <f ca="1">'Planning Engine'!L368</f>
        <v>High</v>
      </c>
      <c r="M368" s="93">
        <f>'Planning Engine'!S368</f>
        <v>46082</v>
      </c>
      <c r="N368" s="95">
        <f>'Planning Engine'!T368</f>
        <v>0</v>
      </c>
      <c r="O368" s="94" t="s">
        <v>1400</v>
      </c>
      <c r="P368" s="12" t="str">
        <f t="shared" ca="1" si="11"/>
        <v>⚠ Expedite production / source alternate</v>
      </c>
    </row>
    <row r="369" spans="1:16" ht="13" customHeight="1" x14ac:dyDescent="0.35">
      <c r="A369" s="97">
        <v>46266</v>
      </c>
      <c r="B369" s="53" t="s">
        <v>36</v>
      </c>
      <c r="C369" s="12" t="str">
        <f>'Planning Engine'!C369</f>
        <v>Drug Product</v>
      </c>
      <c r="D369" s="12" t="str">
        <f>'Planning Engine'!D369</f>
        <v>units</v>
      </c>
      <c r="E369" s="95">
        <f>'Planning Engine'!E369</f>
        <v>35028</v>
      </c>
      <c r="F369" s="95">
        <f>'Planning Engine'!F369</f>
        <v>0</v>
      </c>
      <c r="G369" s="95">
        <f>'Planning Engine'!G369</f>
        <v>0</v>
      </c>
      <c r="H369" s="99">
        <f t="shared" si="10"/>
        <v>0</v>
      </c>
      <c r="I369" s="95">
        <f>'Planning Engine'!H369</f>
        <v>35028</v>
      </c>
      <c r="J369" s="96">
        <f ca="1">'Planning Engine'!J369</f>
        <v>1.0811111111111111</v>
      </c>
      <c r="K369" s="95">
        <f ca="1">'Planning Engine'!K369</f>
        <v>259200</v>
      </c>
      <c r="L369" s="12" t="str">
        <f ca="1">'Planning Engine'!L369</f>
        <v>High</v>
      </c>
      <c r="M369" s="93">
        <f>'Planning Engine'!S369</f>
        <v>46113</v>
      </c>
      <c r="N369" s="95">
        <f>'Planning Engine'!T369</f>
        <v>0</v>
      </c>
      <c r="O369" s="98" t="s">
        <v>1401</v>
      </c>
      <c r="P369" s="4" t="str">
        <f t="shared" ca="1" si="11"/>
        <v>⚠ Expedite production / source alternate</v>
      </c>
    </row>
    <row r="370" spans="1:16" ht="13" customHeight="1" x14ac:dyDescent="0.35">
      <c r="A370" s="93">
        <v>46296</v>
      </c>
      <c r="B370" s="61" t="s">
        <v>36</v>
      </c>
      <c r="C370" s="12" t="str">
        <f>'Planning Engine'!C370</f>
        <v>Drug Product</v>
      </c>
      <c r="D370" s="12" t="str">
        <f>'Planning Engine'!D370</f>
        <v>units</v>
      </c>
      <c r="E370" s="95">
        <f>'Planning Engine'!E370</f>
        <v>35028</v>
      </c>
      <c r="F370" s="95">
        <f>'Planning Engine'!F370</f>
        <v>32400</v>
      </c>
      <c r="G370" s="95">
        <f>'Planning Engine'!G370</f>
        <v>0</v>
      </c>
      <c r="H370" s="95">
        <f t="shared" si="10"/>
        <v>-32400</v>
      </c>
      <c r="I370" s="95">
        <f>'Planning Engine'!H370</f>
        <v>2628</v>
      </c>
      <c r="J370" s="96">
        <f ca="1">'Planning Engine'!J370</f>
        <v>8.1111111111111106E-2</v>
      </c>
      <c r="K370" s="95">
        <f ca="1">'Planning Engine'!K370</f>
        <v>291600</v>
      </c>
      <c r="L370" s="12" t="str">
        <f ca="1">'Planning Engine'!L370</f>
        <v>High</v>
      </c>
      <c r="M370" s="93">
        <f>'Planning Engine'!S370</f>
        <v>46143</v>
      </c>
      <c r="N370" s="95">
        <f>'Planning Engine'!T370</f>
        <v>0</v>
      </c>
      <c r="O370" s="94" t="s">
        <v>1402</v>
      </c>
      <c r="P370" s="12" t="str">
        <f t="shared" ca="1" si="11"/>
        <v>⚠ Expedite production / source alternate</v>
      </c>
    </row>
    <row r="371" spans="1:16" ht="13" customHeight="1" x14ac:dyDescent="0.35">
      <c r="A371" s="97">
        <v>46327</v>
      </c>
      <c r="B371" s="53" t="s">
        <v>36</v>
      </c>
      <c r="C371" s="12" t="str">
        <f>'Planning Engine'!C371</f>
        <v>Drug Product</v>
      </c>
      <c r="D371" s="12" t="str">
        <f>'Planning Engine'!D371</f>
        <v>units</v>
      </c>
      <c r="E371" s="95">
        <f>'Planning Engine'!E371</f>
        <v>2628</v>
      </c>
      <c r="F371" s="95">
        <f>'Planning Engine'!F371</f>
        <v>0</v>
      </c>
      <c r="G371" s="95">
        <f>'Planning Engine'!G371</f>
        <v>0</v>
      </c>
      <c r="H371" s="99">
        <f t="shared" si="10"/>
        <v>0</v>
      </c>
      <c r="I371" s="95">
        <f>'Planning Engine'!H371</f>
        <v>2628</v>
      </c>
      <c r="J371" s="96">
        <f ca="1">'Planning Engine'!J371</f>
        <v>999</v>
      </c>
      <c r="K371" s="95">
        <f ca="1">'Planning Engine'!K371</f>
        <v>0</v>
      </c>
      <c r="L371" s="12" t="str">
        <f ca="1">'Planning Engine'!L371</f>
        <v>Overstock</v>
      </c>
      <c r="M371" s="93">
        <f>'Planning Engine'!S371</f>
        <v>46174</v>
      </c>
      <c r="N371" s="95">
        <f>'Planning Engine'!T371</f>
        <v>0</v>
      </c>
      <c r="O371" s="98" t="s">
        <v>1403</v>
      </c>
      <c r="P371" s="4" t="str">
        <f t="shared" ca="1" si="11"/>
        <v>Defer / consume inventory</v>
      </c>
    </row>
    <row r="372" spans="1:16" ht="13" customHeight="1" x14ac:dyDescent="0.35">
      <c r="A372" s="93">
        <v>46357</v>
      </c>
      <c r="B372" s="61" t="s">
        <v>36</v>
      </c>
      <c r="C372" s="12" t="str">
        <f>'Planning Engine'!C372</f>
        <v>Drug Product</v>
      </c>
      <c r="D372" s="12" t="str">
        <f>'Planning Engine'!D372</f>
        <v>units</v>
      </c>
      <c r="E372" s="95">
        <f>'Planning Engine'!E372</f>
        <v>2628</v>
      </c>
      <c r="F372" s="95">
        <f>'Planning Engine'!F372</f>
        <v>0</v>
      </c>
      <c r="G372" s="95">
        <f>'Planning Engine'!G372</f>
        <v>0</v>
      </c>
      <c r="H372" s="95">
        <f t="shared" si="10"/>
        <v>0</v>
      </c>
      <c r="I372" s="95">
        <f>'Planning Engine'!H372</f>
        <v>2628</v>
      </c>
      <c r="J372" s="96">
        <f ca="1">'Planning Engine'!J372</f>
        <v>999</v>
      </c>
      <c r="K372" s="95">
        <f ca="1">'Planning Engine'!K372</f>
        <v>0</v>
      </c>
      <c r="L372" s="12" t="str">
        <f ca="1">'Planning Engine'!L372</f>
        <v>Overstock</v>
      </c>
      <c r="M372" s="93">
        <f>'Planning Engine'!S372</f>
        <v>46204</v>
      </c>
      <c r="N372" s="95">
        <f>'Planning Engine'!T372</f>
        <v>0</v>
      </c>
      <c r="O372" s="94" t="s">
        <v>1404</v>
      </c>
      <c r="P372" s="12" t="str">
        <f t="shared" ca="1" si="11"/>
        <v>Defer / consume inventory</v>
      </c>
    </row>
    <row r="373" spans="1:16" ht="13" customHeight="1" x14ac:dyDescent="0.35">
      <c r="A373" s="97">
        <v>46388</v>
      </c>
      <c r="B373" s="53" t="s">
        <v>36</v>
      </c>
      <c r="C373" s="12" t="str">
        <f>'Planning Engine'!C373</f>
        <v>Drug Product</v>
      </c>
      <c r="D373" s="12" t="str">
        <f>'Planning Engine'!D373</f>
        <v>units</v>
      </c>
      <c r="E373" s="95">
        <f>'Planning Engine'!E373</f>
        <v>2628</v>
      </c>
      <c r="F373" s="95">
        <f>'Planning Engine'!F373</f>
        <v>0</v>
      </c>
      <c r="G373" s="95">
        <f>'Planning Engine'!G373</f>
        <v>0</v>
      </c>
      <c r="H373" s="99">
        <f t="shared" si="10"/>
        <v>0</v>
      </c>
      <c r="I373" s="95">
        <f>'Planning Engine'!H373</f>
        <v>2628</v>
      </c>
      <c r="J373" s="96">
        <f ca="1">'Planning Engine'!J373</f>
        <v>999</v>
      </c>
      <c r="K373" s="95">
        <f ca="1">'Planning Engine'!K373</f>
        <v>0</v>
      </c>
      <c r="L373" s="12" t="str">
        <f ca="1">'Planning Engine'!L373</f>
        <v>Overstock</v>
      </c>
      <c r="M373" s="93">
        <f>'Planning Engine'!S373</f>
        <v>46235</v>
      </c>
      <c r="N373" s="95">
        <f>'Planning Engine'!T373</f>
        <v>0</v>
      </c>
      <c r="O373" s="98" t="s">
        <v>1405</v>
      </c>
      <c r="P373" s="4" t="str">
        <f t="shared" ca="1" si="11"/>
        <v>Defer / consume inventory</v>
      </c>
    </row>
    <row r="374" spans="1:16" ht="13" customHeight="1" x14ac:dyDescent="0.35">
      <c r="A374" s="93">
        <v>46419</v>
      </c>
      <c r="B374" s="61" t="s">
        <v>36</v>
      </c>
      <c r="C374" s="12" t="str">
        <f>'Planning Engine'!C374</f>
        <v>Drug Product</v>
      </c>
      <c r="D374" s="12" t="str">
        <f>'Planning Engine'!D374</f>
        <v>units</v>
      </c>
      <c r="E374" s="95">
        <f>'Planning Engine'!E374</f>
        <v>2628</v>
      </c>
      <c r="F374" s="95">
        <f>'Planning Engine'!F374</f>
        <v>0</v>
      </c>
      <c r="G374" s="95">
        <f>'Planning Engine'!G374</f>
        <v>0</v>
      </c>
      <c r="H374" s="95">
        <f t="shared" si="10"/>
        <v>0</v>
      </c>
      <c r="I374" s="95">
        <f>'Planning Engine'!H374</f>
        <v>2628</v>
      </c>
      <c r="J374" s="96">
        <f ca="1">'Planning Engine'!J374</f>
        <v>999</v>
      </c>
      <c r="K374" s="95">
        <f ca="1">'Planning Engine'!K374</f>
        <v>0</v>
      </c>
      <c r="L374" s="12" t="str">
        <f ca="1">'Planning Engine'!L374</f>
        <v>Overstock</v>
      </c>
      <c r="M374" s="93">
        <f>'Planning Engine'!S374</f>
        <v>46266</v>
      </c>
      <c r="N374" s="95">
        <f>'Planning Engine'!T374</f>
        <v>0</v>
      </c>
      <c r="O374" s="94" t="s">
        <v>1406</v>
      </c>
      <c r="P374" s="12" t="str">
        <f t="shared" ca="1" si="11"/>
        <v>Defer / consume inventory</v>
      </c>
    </row>
    <row r="375" spans="1:16" ht="13" customHeight="1" x14ac:dyDescent="0.35">
      <c r="A375" s="97">
        <v>46447</v>
      </c>
      <c r="B375" s="53" t="s">
        <v>36</v>
      </c>
      <c r="C375" s="12" t="str">
        <f>'Planning Engine'!C375</f>
        <v>Drug Product</v>
      </c>
      <c r="D375" s="12" t="str">
        <f>'Planning Engine'!D375</f>
        <v>units</v>
      </c>
      <c r="E375" s="95">
        <f>'Planning Engine'!E375</f>
        <v>2628</v>
      </c>
      <c r="F375" s="95">
        <f>'Planning Engine'!F375</f>
        <v>0</v>
      </c>
      <c r="G375" s="95">
        <f>'Planning Engine'!G375</f>
        <v>0</v>
      </c>
      <c r="H375" s="99">
        <f t="shared" si="10"/>
        <v>0</v>
      </c>
      <c r="I375" s="95">
        <f>'Planning Engine'!H375</f>
        <v>2628</v>
      </c>
      <c r="J375" s="96">
        <f ca="1">'Planning Engine'!J375</f>
        <v>999</v>
      </c>
      <c r="K375" s="95">
        <f ca="1">'Planning Engine'!K375</f>
        <v>0</v>
      </c>
      <c r="L375" s="12" t="str">
        <f ca="1">'Planning Engine'!L375</f>
        <v>Overstock</v>
      </c>
      <c r="M375" s="93">
        <f>'Planning Engine'!S375</f>
        <v>46296</v>
      </c>
      <c r="N375" s="95">
        <f>'Planning Engine'!T375</f>
        <v>0</v>
      </c>
      <c r="O375" s="98" t="s">
        <v>1407</v>
      </c>
      <c r="P375" s="4" t="str">
        <f t="shared" ca="1" si="11"/>
        <v>Defer / consume inventory</v>
      </c>
    </row>
    <row r="376" spans="1:16" ht="13" customHeight="1" x14ac:dyDescent="0.35">
      <c r="A376" s="93">
        <v>46478</v>
      </c>
      <c r="B376" s="61" t="s">
        <v>36</v>
      </c>
      <c r="C376" s="12" t="str">
        <f>'Planning Engine'!C376</f>
        <v>Drug Product</v>
      </c>
      <c r="D376" s="12" t="str">
        <f>'Planning Engine'!D376</f>
        <v>units</v>
      </c>
      <c r="E376" s="95">
        <f>'Planning Engine'!E376</f>
        <v>2628</v>
      </c>
      <c r="F376" s="95">
        <f>'Planning Engine'!F376</f>
        <v>0</v>
      </c>
      <c r="G376" s="95">
        <f>'Planning Engine'!G376</f>
        <v>0</v>
      </c>
      <c r="H376" s="95">
        <f t="shared" si="10"/>
        <v>0</v>
      </c>
      <c r="I376" s="95">
        <f>'Planning Engine'!H376</f>
        <v>2628</v>
      </c>
      <c r="J376" s="96">
        <f ca="1">'Planning Engine'!J376</f>
        <v>999</v>
      </c>
      <c r="K376" s="95">
        <f ca="1">'Planning Engine'!K376</f>
        <v>0</v>
      </c>
      <c r="L376" s="12" t="str">
        <f ca="1">'Planning Engine'!L376</f>
        <v>Overstock</v>
      </c>
      <c r="M376" s="93">
        <f>'Planning Engine'!S376</f>
        <v>46327</v>
      </c>
      <c r="N376" s="95">
        <f>'Planning Engine'!T376</f>
        <v>0</v>
      </c>
      <c r="O376" s="94" t="s">
        <v>1408</v>
      </c>
      <c r="P376" s="12" t="str">
        <f t="shared" ca="1" si="11"/>
        <v>Defer / consume inventory</v>
      </c>
    </row>
    <row r="377" spans="1:16" ht="13" customHeight="1" x14ac:dyDescent="0.35">
      <c r="A377" s="97">
        <v>46508</v>
      </c>
      <c r="B377" s="53" t="s">
        <v>36</v>
      </c>
      <c r="C377" s="12" t="str">
        <f>'Planning Engine'!C377</f>
        <v>Drug Product</v>
      </c>
      <c r="D377" s="12" t="str">
        <f>'Planning Engine'!D377</f>
        <v>units</v>
      </c>
      <c r="E377" s="95">
        <f>'Planning Engine'!E377</f>
        <v>2628</v>
      </c>
      <c r="F377" s="95">
        <f>'Planning Engine'!F377</f>
        <v>0</v>
      </c>
      <c r="G377" s="95">
        <f>'Planning Engine'!G377</f>
        <v>0</v>
      </c>
      <c r="H377" s="99">
        <f t="shared" si="10"/>
        <v>0</v>
      </c>
      <c r="I377" s="95">
        <f>'Planning Engine'!H377</f>
        <v>2628</v>
      </c>
      <c r="J377" s="96">
        <f ca="1">'Planning Engine'!J377</f>
        <v>999</v>
      </c>
      <c r="K377" s="95">
        <f ca="1">'Planning Engine'!K377</f>
        <v>0</v>
      </c>
      <c r="L377" s="12" t="str">
        <f ca="1">'Planning Engine'!L377</f>
        <v>Overstock</v>
      </c>
      <c r="M377" s="93">
        <f>'Planning Engine'!S377</f>
        <v>46357</v>
      </c>
      <c r="N377" s="95">
        <f>'Planning Engine'!T377</f>
        <v>0</v>
      </c>
      <c r="O377" s="98" t="s">
        <v>1409</v>
      </c>
      <c r="P377" s="4" t="str">
        <f t="shared" ca="1" si="11"/>
        <v>Defer / consume inventory</v>
      </c>
    </row>
    <row r="378" spans="1:16" ht="13" customHeight="1" x14ac:dyDescent="0.35">
      <c r="A378" s="93">
        <v>46539</v>
      </c>
      <c r="B378" s="61" t="s">
        <v>36</v>
      </c>
      <c r="C378" s="12" t="str">
        <f>'Planning Engine'!C378</f>
        <v>Drug Product</v>
      </c>
      <c r="D378" s="12" t="str">
        <f>'Planning Engine'!D378</f>
        <v>units</v>
      </c>
      <c r="E378" s="95">
        <f>'Planning Engine'!E378</f>
        <v>2628</v>
      </c>
      <c r="F378" s="95">
        <f>'Planning Engine'!F378</f>
        <v>0</v>
      </c>
      <c r="G378" s="95">
        <f>'Planning Engine'!G378</f>
        <v>0</v>
      </c>
      <c r="H378" s="95">
        <f t="shared" si="10"/>
        <v>0</v>
      </c>
      <c r="I378" s="95">
        <f>'Planning Engine'!H378</f>
        <v>2628</v>
      </c>
      <c r="J378" s="96">
        <f ca="1">'Planning Engine'!J378</f>
        <v>999</v>
      </c>
      <c r="K378" s="95">
        <f ca="1">'Planning Engine'!K378</f>
        <v>0</v>
      </c>
      <c r="L378" s="12" t="str">
        <f ca="1">'Planning Engine'!L378</f>
        <v>Overstock</v>
      </c>
      <c r="M378" s="93">
        <f>'Planning Engine'!S378</f>
        <v>46388</v>
      </c>
      <c r="N378" s="95">
        <f>'Planning Engine'!T378</f>
        <v>0</v>
      </c>
      <c r="O378" s="94" t="s">
        <v>1410</v>
      </c>
      <c r="P378" s="12" t="str">
        <f t="shared" ca="1" si="11"/>
        <v>Defer / consume inventory</v>
      </c>
    </row>
    <row r="379" spans="1:16" ht="13" customHeight="1" x14ac:dyDescent="0.35">
      <c r="A379" s="97">
        <v>46569</v>
      </c>
      <c r="B379" s="53" t="s">
        <v>36</v>
      </c>
      <c r="C379" s="12" t="str">
        <f>'Planning Engine'!C379</f>
        <v>Drug Product</v>
      </c>
      <c r="D379" s="12" t="str">
        <f>'Planning Engine'!D379</f>
        <v>units</v>
      </c>
      <c r="E379" s="95">
        <f>'Planning Engine'!E379</f>
        <v>2628</v>
      </c>
      <c r="F379" s="95">
        <f>'Planning Engine'!F379</f>
        <v>0</v>
      </c>
      <c r="G379" s="95">
        <f>'Planning Engine'!G379</f>
        <v>0</v>
      </c>
      <c r="H379" s="99">
        <f t="shared" si="10"/>
        <v>0</v>
      </c>
      <c r="I379" s="95">
        <f>'Planning Engine'!H379</f>
        <v>2628</v>
      </c>
      <c r="J379" s="96">
        <f ca="1">'Planning Engine'!J379</f>
        <v>999</v>
      </c>
      <c r="K379" s="95">
        <f ca="1">'Planning Engine'!K379</f>
        <v>0</v>
      </c>
      <c r="L379" s="12" t="str">
        <f ca="1">'Planning Engine'!L379</f>
        <v>Overstock</v>
      </c>
      <c r="M379" s="93">
        <f>'Planning Engine'!S379</f>
        <v>46419</v>
      </c>
      <c r="N379" s="95">
        <f>'Planning Engine'!T379</f>
        <v>0</v>
      </c>
      <c r="O379" s="98" t="s">
        <v>1411</v>
      </c>
      <c r="P379" s="4" t="str">
        <f t="shared" ca="1" si="11"/>
        <v>Defer / consume inventory</v>
      </c>
    </row>
    <row r="380" spans="1:16" ht="13" customHeight="1" x14ac:dyDescent="0.35">
      <c r="A380" s="93">
        <v>46600</v>
      </c>
      <c r="B380" s="61" t="s">
        <v>36</v>
      </c>
      <c r="C380" s="12" t="str">
        <f>'Planning Engine'!C380</f>
        <v>Drug Product</v>
      </c>
      <c r="D380" s="12" t="str">
        <f>'Planning Engine'!D380</f>
        <v>units</v>
      </c>
      <c r="E380" s="95">
        <f>'Planning Engine'!E380</f>
        <v>2628</v>
      </c>
      <c r="F380" s="95">
        <f>'Planning Engine'!F380</f>
        <v>0</v>
      </c>
      <c r="G380" s="95">
        <f>'Planning Engine'!G380</f>
        <v>0</v>
      </c>
      <c r="H380" s="95">
        <f t="shared" si="10"/>
        <v>0</v>
      </c>
      <c r="I380" s="95">
        <f>'Planning Engine'!H380</f>
        <v>2628</v>
      </c>
      <c r="J380" s="96">
        <f ca="1">'Planning Engine'!J380</f>
        <v>999</v>
      </c>
      <c r="K380" s="95">
        <f ca="1">'Planning Engine'!K380</f>
        <v>0</v>
      </c>
      <c r="L380" s="12" t="str">
        <f ca="1">'Planning Engine'!L380</f>
        <v>Overstock</v>
      </c>
      <c r="M380" s="93">
        <f>'Planning Engine'!S380</f>
        <v>46447</v>
      </c>
      <c r="N380" s="95">
        <f>'Planning Engine'!T380</f>
        <v>0</v>
      </c>
      <c r="O380" s="94" t="s">
        <v>1412</v>
      </c>
      <c r="P380" s="12" t="str">
        <f t="shared" ca="1" si="11"/>
        <v>Defer / consume inventory</v>
      </c>
    </row>
    <row r="381" spans="1:16" ht="13" customHeight="1" x14ac:dyDescent="0.35">
      <c r="A381" s="97">
        <v>46631</v>
      </c>
      <c r="B381" s="53" t="s">
        <v>36</v>
      </c>
      <c r="C381" s="12" t="str">
        <f>'Planning Engine'!C381</f>
        <v>Drug Product</v>
      </c>
      <c r="D381" s="12" t="str">
        <f>'Planning Engine'!D381</f>
        <v>units</v>
      </c>
      <c r="E381" s="95">
        <f>'Planning Engine'!E381</f>
        <v>2628</v>
      </c>
      <c r="F381" s="95">
        <f>'Planning Engine'!F381</f>
        <v>0</v>
      </c>
      <c r="G381" s="95">
        <f>'Planning Engine'!G381</f>
        <v>0</v>
      </c>
      <c r="H381" s="99">
        <f t="shared" si="10"/>
        <v>0</v>
      </c>
      <c r="I381" s="95">
        <f>'Planning Engine'!H381</f>
        <v>2628</v>
      </c>
      <c r="J381" s="96">
        <f ca="1">'Planning Engine'!J381</f>
        <v>999</v>
      </c>
      <c r="K381" s="95">
        <f ca="1">'Planning Engine'!K381</f>
        <v>0</v>
      </c>
      <c r="L381" s="12" t="str">
        <f ca="1">'Planning Engine'!L381</f>
        <v>Overstock</v>
      </c>
      <c r="M381" s="93">
        <f>'Planning Engine'!S381</f>
        <v>46478</v>
      </c>
      <c r="N381" s="95">
        <f>'Planning Engine'!T381</f>
        <v>0</v>
      </c>
      <c r="O381" s="98" t="s">
        <v>1413</v>
      </c>
      <c r="P381" s="4" t="str">
        <f t="shared" ca="1" si="11"/>
        <v>Defer / consume inventory</v>
      </c>
    </row>
    <row r="382" spans="1:16" ht="13" customHeight="1" x14ac:dyDescent="0.35">
      <c r="A382" s="93">
        <v>46661</v>
      </c>
      <c r="B382" s="61" t="s">
        <v>36</v>
      </c>
      <c r="C382" s="12" t="str">
        <f>'Planning Engine'!C382</f>
        <v>Drug Product</v>
      </c>
      <c r="D382" s="12" t="str">
        <f>'Planning Engine'!D382</f>
        <v>units</v>
      </c>
      <c r="E382" s="95">
        <f>'Planning Engine'!E382</f>
        <v>2628</v>
      </c>
      <c r="F382" s="95">
        <f>'Planning Engine'!F382</f>
        <v>0</v>
      </c>
      <c r="G382" s="95">
        <f>'Planning Engine'!G382</f>
        <v>0</v>
      </c>
      <c r="H382" s="95">
        <f t="shared" si="10"/>
        <v>0</v>
      </c>
      <c r="I382" s="95">
        <f>'Planning Engine'!H382</f>
        <v>2628</v>
      </c>
      <c r="J382" s="96">
        <f ca="1">'Planning Engine'!J382</f>
        <v>999</v>
      </c>
      <c r="K382" s="95">
        <f ca="1">'Planning Engine'!K382</f>
        <v>0</v>
      </c>
      <c r="L382" s="12" t="str">
        <f ca="1">'Planning Engine'!L382</f>
        <v>Overstock</v>
      </c>
      <c r="M382" s="93">
        <f>'Planning Engine'!S382</f>
        <v>46508</v>
      </c>
      <c r="N382" s="95">
        <f>'Planning Engine'!T382</f>
        <v>0</v>
      </c>
      <c r="O382" s="94" t="s">
        <v>1414</v>
      </c>
      <c r="P382" s="12" t="str">
        <f t="shared" ca="1" si="11"/>
        <v>Defer / consume inventory</v>
      </c>
    </row>
    <row r="383" spans="1:16" ht="13" customHeight="1" x14ac:dyDescent="0.35">
      <c r="A383" s="97">
        <v>46692</v>
      </c>
      <c r="B383" s="53" t="s">
        <v>36</v>
      </c>
      <c r="C383" s="12" t="str">
        <f>'Planning Engine'!C383</f>
        <v>Drug Product</v>
      </c>
      <c r="D383" s="12" t="str">
        <f>'Planning Engine'!D383</f>
        <v>units</v>
      </c>
      <c r="E383" s="95">
        <f>'Planning Engine'!E383</f>
        <v>2628</v>
      </c>
      <c r="F383" s="95">
        <f>'Planning Engine'!F383</f>
        <v>0</v>
      </c>
      <c r="G383" s="95">
        <f>'Planning Engine'!G383</f>
        <v>0</v>
      </c>
      <c r="H383" s="99">
        <f t="shared" si="10"/>
        <v>0</v>
      </c>
      <c r="I383" s="95">
        <f>'Planning Engine'!H383</f>
        <v>2628</v>
      </c>
      <c r="J383" s="96">
        <f ca="1">'Planning Engine'!J383</f>
        <v>999</v>
      </c>
      <c r="K383" s="95">
        <f ca="1">'Planning Engine'!K383</f>
        <v>0</v>
      </c>
      <c r="L383" s="12" t="str">
        <f ca="1">'Planning Engine'!L383</f>
        <v>Overstock</v>
      </c>
      <c r="M383" s="93">
        <f>'Planning Engine'!S383</f>
        <v>46539</v>
      </c>
      <c r="N383" s="95">
        <f>'Planning Engine'!T383</f>
        <v>0</v>
      </c>
      <c r="O383" s="98" t="s">
        <v>1415</v>
      </c>
      <c r="P383" s="4" t="str">
        <f t="shared" ca="1" si="11"/>
        <v>Defer / consume inventory</v>
      </c>
    </row>
    <row r="384" spans="1:16" ht="13" customHeight="1" x14ac:dyDescent="0.35">
      <c r="A384" s="93">
        <v>46722</v>
      </c>
      <c r="B384" s="61" t="s">
        <v>36</v>
      </c>
      <c r="C384" s="12" t="str">
        <f>'Planning Engine'!C384</f>
        <v>Drug Product</v>
      </c>
      <c r="D384" s="12" t="str">
        <f>'Planning Engine'!D384</f>
        <v>units</v>
      </c>
      <c r="E384" s="95">
        <f>'Planning Engine'!E384</f>
        <v>2628</v>
      </c>
      <c r="F384" s="95">
        <f>'Planning Engine'!F384</f>
        <v>0</v>
      </c>
      <c r="G384" s="95">
        <f>'Planning Engine'!G384</f>
        <v>0</v>
      </c>
      <c r="H384" s="95">
        <f t="shared" si="10"/>
        <v>0</v>
      </c>
      <c r="I384" s="95">
        <f>'Planning Engine'!H384</f>
        <v>2628</v>
      </c>
      <c r="J384" s="96">
        <f ca="1">'Planning Engine'!J384</f>
        <v>999</v>
      </c>
      <c r="K384" s="95">
        <f ca="1">'Planning Engine'!K384</f>
        <v>0</v>
      </c>
      <c r="L384" s="12" t="str">
        <f ca="1">'Planning Engine'!L384</f>
        <v>Overstock</v>
      </c>
      <c r="M384" s="93">
        <f>'Planning Engine'!S384</f>
        <v>46569</v>
      </c>
      <c r="N384" s="95">
        <f>'Planning Engine'!T384</f>
        <v>0</v>
      </c>
      <c r="O384" s="94" t="s">
        <v>1416</v>
      </c>
      <c r="P384" s="12" t="str">
        <f t="shared" ca="1" si="11"/>
        <v>Defer / consume inventory</v>
      </c>
    </row>
    <row r="385" spans="1:16" ht="13" customHeight="1" x14ac:dyDescent="0.35">
      <c r="A385" s="97">
        <v>46753</v>
      </c>
      <c r="B385" s="53" t="s">
        <v>36</v>
      </c>
      <c r="C385" s="12" t="str">
        <f>'Planning Engine'!C385</f>
        <v>Drug Product</v>
      </c>
      <c r="D385" s="12" t="str">
        <f>'Planning Engine'!D385</f>
        <v>units</v>
      </c>
      <c r="E385" s="95">
        <f>'Planning Engine'!E385</f>
        <v>2628</v>
      </c>
      <c r="F385" s="95">
        <f>'Planning Engine'!F385</f>
        <v>0</v>
      </c>
      <c r="G385" s="95">
        <f>'Planning Engine'!G385</f>
        <v>0</v>
      </c>
      <c r="H385" s="99">
        <f t="shared" si="10"/>
        <v>0</v>
      </c>
      <c r="I385" s="95">
        <f>'Planning Engine'!H385</f>
        <v>2628</v>
      </c>
      <c r="J385" s="96">
        <f ca="1">'Planning Engine'!J385</f>
        <v>999</v>
      </c>
      <c r="K385" s="95">
        <f ca="1">'Planning Engine'!K385</f>
        <v>0</v>
      </c>
      <c r="L385" s="12" t="str">
        <f ca="1">'Planning Engine'!L385</f>
        <v>Overstock</v>
      </c>
      <c r="M385" s="93">
        <f>'Planning Engine'!S385</f>
        <v>46600</v>
      </c>
      <c r="N385" s="95">
        <f>'Planning Engine'!T385</f>
        <v>0</v>
      </c>
      <c r="O385" s="98" t="s">
        <v>1417</v>
      </c>
      <c r="P385" s="4" t="str">
        <f t="shared" ca="1" si="11"/>
        <v>Defer / consume inventory</v>
      </c>
    </row>
    <row r="386" spans="1:16" ht="13" customHeight="1" x14ac:dyDescent="0.35">
      <c r="A386" s="93">
        <v>46784</v>
      </c>
      <c r="B386" s="61" t="s">
        <v>36</v>
      </c>
      <c r="C386" s="12" t="str">
        <f>'Planning Engine'!C386</f>
        <v>Drug Product</v>
      </c>
      <c r="D386" s="12" t="str">
        <f>'Planning Engine'!D386</f>
        <v>units</v>
      </c>
      <c r="E386" s="95">
        <f>'Planning Engine'!E386</f>
        <v>2628</v>
      </c>
      <c r="F386" s="95">
        <f>'Planning Engine'!F386</f>
        <v>0</v>
      </c>
      <c r="G386" s="95">
        <f>'Planning Engine'!G386</f>
        <v>0</v>
      </c>
      <c r="H386" s="95">
        <f t="shared" si="10"/>
        <v>0</v>
      </c>
      <c r="I386" s="95">
        <f>'Planning Engine'!H386</f>
        <v>2628</v>
      </c>
      <c r="J386" s="96">
        <f ca="1">'Planning Engine'!J386</f>
        <v>999</v>
      </c>
      <c r="K386" s="95">
        <f ca="1">'Planning Engine'!K386</f>
        <v>0</v>
      </c>
      <c r="L386" s="12" t="str">
        <f ca="1">'Planning Engine'!L386</f>
        <v>Overstock</v>
      </c>
      <c r="M386" s="93">
        <f>'Planning Engine'!S386</f>
        <v>46631</v>
      </c>
      <c r="N386" s="95">
        <f>'Planning Engine'!T386</f>
        <v>0</v>
      </c>
      <c r="O386" s="94" t="s">
        <v>1418</v>
      </c>
      <c r="P386" s="12" t="str">
        <f t="shared" ca="1" si="11"/>
        <v>Defer / consume inventory</v>
      </c>
    </row>
    <row r="387" spans="1:16" ht="13" customHeight="1" x14ac:dyDescent="0.35">
      <c r="A387" s="97">
        <v>46813</v>
      </c>
      <c r="B387" s="53" t="s">
        <v>36</v>
      </c>
      <c r="C387" s="12" t="str">
        <f>'Planning Engine'!C387</f>
        <v>Drug Product</v>
      </c>
      <c r="D387" s="12" t="str">
        <f>'Planning Engine'!D387</f>
        <v>units</v>
      </c>
      <c r="E387" s="95">
        <f>'Planning Engine'!E387</f>
        <v>2628</v>
      </c>
      <c r="F387" s="95">
        <f>'Planning Engine'!F387</f>
        <v>0</v>
      </c>
      <c r="G387" s="95">
        <f>'Planning Engine'!G387</f>
        <v>0</v>
      </c>
      <c r="H387" s="99">
        <f t="shared" si="10"/>
        <v>0</v>
      </c>
      <c r="I387" s="95">
        <f>'Planning Engine'!H387</f>
        <v>2628</v>
      </c>
      <c r="J387" s="96">
        <f ca="1">'Planning Engine'!J387</f>
        <v>999</v>
      </c>
      <c r="K387" s="95">
        <f ca="1">'Planning Engine'!K387</f>
        <v>0</v>
      </c>
      <c r="L387" s="12" t="str">
        <f ca="1">'Planning Engine'!L387</f>
        <v>Overstock</v>
      </c>
      <c r="M387" s="93">
        <f>'Planning Engine'!S387</f>
        <v>46661</v>
      </c>
      <c r="N387" s="95">
        <f>'Planning Engine'!T387</f>
        <v>0</v>
      </c>
      <c r="O387" s="98" t="s">
        <v>1419</v>
      </c>
      <c r="P387" s="4" t="str">
        <f t="shared" ca="1" si="11"/>
        <v>Defer / consume inventory</v>
      </c>
    </row>
    <row r="388" spans="1:16" ht="13" customHeight="1" x14ac:dyDescent="0.35">
      <c r="A388" s="93">
        <v>46844</v>
      </c>
      <c r="B388" s="61" t="s">
        <v>36</v>
      </c>
      <c r="C388" s="12" t="str">
        <f>'Planning Engine'!C388</f>
        <v>Drug Product</v>
      </c>
      <c r="D388" s="12" t="str">
        <f>'Planning Engine'!D388</f>
        <v>units</v>
      </c>
      <c r="E388" s="95">
        <f>'Planning Engine'!E388</f>
        <v>2628</v>
      </c>
      <c r="F388" s="95">
        <f>'Planning Engine'!F388</f>
        <v>0</v>
      </c>
      <c r="G388" s="95">
        <f>'Planning Engine'!G388</f>
        <v>0</v>
      </c>
      <c r="H388" s="95">
        <f t="shared" ref="H388:H451" si="12">G388-F388</f>
        <v>0</v>
      </c>
      <c r="I388" s="95">
        <f>'Planning Engine'!H388</f>
        <v>2628</v>
      </c>
      <c r="J388" s="96">
        <f ca="1">'Planning Engine'!J388</f>
        <v>999</v>
      </c>
      <c r="K388" s="95">
        <f ca="1">'Planning Engine'!K388</f>
        <v>0</v>
      </c>
      <c r="L388" s="12" t="str">
        <f ca="1">'Planning Engine'!L388</f>
        <v>Overstock</v>
      </c>
      <c r="M388" s="93">
        <f>'Planning Engine'!S388</f>
        <v>46692</v>
      </c>
      <c r="N388" s="95">
        <f>'Planning Engine'!T388</f>
        <v>0</v>
      </c>
      <c r="O388" s="94" t="s">
        <v>1420</v>
      </c>
      <c r="P388" s="12" t="str">
        <f t="shared" ref="P388:P451" ca="1" si="13">IFERROR(IF(L388="High","⚠ Expedite production / source alternate",IF(L388="Medium","Plan additional batches",IF(L388="Overstock","Defer / consume inventory","Plan acceptable"))),"--")</f>
        <v>Defer / consume inventory</v>
      </c>
    </row>
    <row r="389" spans="1:16" ht="13" customHeight="1" x14ac:dyDescent="0.35">
      <c r="A389" s="97">
        <v>46874</v>
      </c>
      <c r="B389" s="53" t="s">
        <v>36</v>
      </c>
      <c r="C389" s="12" t="str">
        <f>'Planning Engine'!C389</f>
        <v>Drug Product</v>
      </c>
      <c r="D389" s="12" t="str">
        <f>'Planning Engine'!D389</f>
        <v>units</v>
      </c>
      <c r="E389" s="95">
        <f>'Planning Engine'!E389</f>
        <v>2628</v>
      </c>
      <c r="F389" s="95">
        <f>'Planning Engine'!F389</f>
        <v>0</v>
      </c>
      <c r="G389" s="95">
        <f>'Planning Engine'!G389</f>
        <v>0</v>
      </c>
      <c r="H389" s="99">
        <f t="shared" si="12"/>
        <v>0</v>
      </c>
      <c r="I389" s="95">
        <f>'Planning Engine'!H389</f>
        <v>2628</v>
      </c>
      <c r="J389" s="96">
        <f ca="1">'Planning Engine'!J389</f>
        <v>999</v>
      </c>
      <c r="K389" s="95">
        <f ca="1">'Planning Engine'!K389</f>
        <v>0</v>
      </c>
      <c r="L389" s="12" t="str">
        <f ca="1">'Planning Engine'!L389</f>
        <v>Overstock</v>
      </c>
      <c r="M389" s="93">
        <f>'Planning Engine'!S389</f>
        <v>46722</v>
      </c>
      <c r="N389" s="95">
        <f>'Planning Engine'!T389</f>
        <v>0</v>
      </c>
      <c r="O389" s="98" t="s">
        <v>1421</v>
      </c>
      <c r="P389" s="4" t="str">
        <f t="shared" ca="1" si="13"/>
        <v>Defer / consume inventory</v>
      </c>
    </row>
    <row r="390" spans="1:16" ht="13" customHeight="1" x14ac:dyDescent="0.35">
      <c r="A390" s="93">
        <v>46905</v>
      </c>
      <c r="B390" s="61" t="s">
        <v>36</v>
      </c>
      <c r="C390" s="12" t="str">
        <f>'Planning Engine'!C390</f>
        <v>Drug Product</v>
      </c>
      <c r="D390" s="12" t="str">
        <f>'Planning Engine'!D390</f>
        <v>units</v>
      </c>
      <c r="E390" s="95">
        <f>'Planning Engine'!E390</f>
        <v>2628</v>
      </c>
      <c r="F390" s="95">
        <f>'Planning Engine'!F390</f>
        <v>0</v>
      </c>
      <c r="G390" s="95">
        <f>'Planning Engine'!G390</f>
        <v>0</v>
      </c>
      <c r="H390" s="95">
        <f t="shared" si="12"/>
        <v>0</v>
      </c>
      <c r="I390" s="95">
        <f>'Planning Engine'!H390</f>
        <v>2628</v>
      </c>
      <c r="J390" s="96">
        <f ca="1">'Planning Engine'!J390</f>
        <v>999</v>
      </c>
      <c r="K390" s="95">
        <f ca="1">'Planning Engine'!K390</f>
        <v>0</v>
      </c>
      <c r="L390" s="12" t="str">
        <f ca="1">'Planning Engine'!L390</f>
        <v>Overstock</v>
      </c>
      <c r="M390" s="93">
        <f>'Planning Engine'!S390</f>
        <v>46753</v>
      </c>
      <c r="N390" s="95">
        <f>'Planning Engine'!T390</f>
        <v>0</v>
      </c>
      <c r="O390" s="94" t="s">
        <v>1422</v>
      </c>
      <c r="P390" s="12" t="str">
        <f t="shared" ca="1" si="13"/>
        <v>Defer / consume inventory</v>
      </c>
    </row>
    <row r="391" spans="1:16" ht="13" customHeight="1" x14ac:dyDescent="0.35">
      <c r="A391" s="97">
        <v>46935</v>
      </c>
      <c r="B391" s="53" t="s">
        <v>36</v>
      </c>
      <c r="C391" s="12" t="str">
        <f>'Planning Engine'!C391</f>
        <v>Drug Product</v>
      </c>
      <c r="D391" s="12" t="str">
        <f>'Planning Engine'!D391</f>
        <v>units</v>
      </c>
      <c r="E391" s="95">
        <f>'Planning Engine'!E391</f>
        <v>2628</v>
      </c>
      <c r="F391" s="95">
        <f>'Planning Engine'!F391</f>
        <v>0</v>
      </c>
      <c r="G391" s="95">
        <f>'Planning Engine'!G391</f>
        <v>0</v>
      </c>
      <c r="H391" s="99">
        <f t="shared" si="12"/>
        <v>0</v>
      </c>
      <c r="I391" s="95">
        <f>'Planning Engine'!H391</f>
        <v>2628</v>
      </c>
      <c r="J391" s="96">
        <f ca="1">'Planning Engine'!J391</f>
        <v>999</v>
      </c>
      <c r="K391" s="95">
        <f ca="1">'Planning Engine'!K391</f>
        <v>0</v>
      </c>
      <c r="L391" s="12" t="str">
        <f ca="1">'Planning Engine'!L391</f>
        <v>Overstock</v>
      </c>
      <c r="M391" s="93">
        <f>'Planning Engine'!S391</f>
        <v>46784</v>
      </c>
      <c r="N391" s="95">
        <f>'Planning Engine'!T391</f>
        <v>0</v>
      </c>
      <c r="O391" s="98" t="s">
        <v>1423</v>
      </c>
      <c r="P391" s="4" t="str">
        <f t="shared" ca="1" si="13"/>
        <v>Defer / consume inventory</v>
      </c>
    </row>
    <row r="392" spans="1:16" ht="13" customHeight="1" x14ac:dyDescent="0.35">
      <c r="A392" s="93">
        <v>46966</v>
      </c>
      <c r="B392" s="61" t="s">
        <v>36</v>
      </c>
      <c r="C392" s="12" t="str">
        <f>'Planning Engine'!C392</f>
        <v>Drug Product</v>
      </c>
      <c r="D392" s="12" t="str">
        <f>'Planning Engine'!D392</f>
        <v>units</v>
      </c>
      <c r="E392" s="95">
        <f>'Planning Engine'!E392</f>
        <v>2628</v>
      </c>
      <c r="F392" s="95">
        <f>'Planning Engine'!F392</f>
        <v>0</v>
      </c>
      <c r="G392" s="95">
        <f>'Planning Engine'!G392</f>
        <v>85200</v>
      </c>
      <c r="H392" s="95">
        <f t="shared" si="12"/>
        <v>85200</v>
      </c>
      <c r="I392" s="95">
        <f>'Planning Engine'!H392</f>
        <v>87828</v>
      </c>
      <c r="J392" s="96">
        <f ca="1">'Planning Engine'!J392</f>
        <v>999</v>
      </c>
      <c r="K392" s="95">
        <f ca="1">'Planning Engine'!K392</f>
        <v>0</v>
      </c>
      <c r="L392" s="12" t="str">
        <f ca="1">'Planning Engine'!L392</f>
        <v>Overstock</v>
      </c>
      <c r="M392" s="93">
        <f>'Planning Engine'!S392</f>
        <v>46813</v>
      </c>
      <c r="N392" s="95">
        <f>'Planning Engine'!T392</f>
        <v>85200</v>
      </c>
      <c r="O392" s="94" t="s">
        <v>1424</v>
      </c>
      <c r="P392" s="12" t="str">
        <f t="shared" ca="1" si="13"/>
        <v>Defer / consume inventory</v>
      </c>
    </row>
    <row r="393" spans="1:16" ht="13" customHeight="1" x14ac:dyDescent="0.35">
      <c r="A393" s="97">
        <v>46997</v>
      </c>
      <c r="B393" s="53" t="s">
        <v>36</v>
      </c>
      <c r="C393" s="12" t="str">
        <f>'Planning Engine'!C393</f>
        <v>Drug Product</v>
      </c>
      <c r="D393" s="12" t="str">
        <f>'Planning Engine'!D393</f>
        <v>units</v>
      </c>
      <c r="E393" s="95">
        <f>'Planning Engine'!E393</f>
        <v>87828</v>
      </c>
      <c r="F393" s="95">
        <f>'Planning Engine'!F393</f>
        <v>0</v>
      </c>
      <c r="G393" s="95">
        <f>'Planning Engine'!G393</f>
        <v>0</v>
      </c>
      <c r="H393" s="99">
        <f t="shared" si="12"/>
        <v>0</v>
      </c>
      <c r="I393" s="95">
        <f>'Planning Engine'!H393</f>
        <v>87828</v>
      </c>
      <c r="J393" s="96">
        <f ca="1">'Planning Engine'!J393</f>
        <v>999</v>
      </c>
      <c r="K393" s="95">
        <f ca="1">'Planning Engine'!K393</f>
        <v>0</v>
      </c>
      <c r="L393" s="12" t="str">
        <f ca="1">'Planning Engine'!L393</f>
        <v>Overstock</v>
      </c>
      <c r="M393" s="93">
        <f>'Planning Engine'!S393</f>
        <v>46844</v>
      </c>
      <c r="N393" s="95">
        <f>'Planning Engine'!T393</f>
        <v>0</v>
      </c>
      <c r="O393" s="98" t="s">
        <v>1425</v>
      </c>
      <c r="P393" s="4" t="str">
        <f t="shared" ca="1" si="13"/>
        <v>Defer / consume inventory</v>
      </c>
    </row>
    <row r="394" spans="1:16" ht="13" customHeight="1" x14ac:dyDescent="0.35">
      <c r="A394" s="93">
        <v>47027</v>
      </c>
      <c r="B394" s="61" t="s">
        <v>36</v>
      </c>
      <c r="C394" s="12" t="str">
        <f>'Planning Engine'!C394</f>
        <v>Drug Product</v>
      </c>
      <c r="D394" s="12" t="str">
        <f>'Planning Engine'!D394</f>
        <v>units</v>
      </c>
      <c r="E394" s="95">
        <f>'Planning Engine'!E394</f>
        <v>87828</v>
      </c>
      <c r="F394" s="95">
        <f>'Planning Engine'!F394</f>
        <v>0</v>
      </c>
      <c r="G394" s="95">
        <f>'Planning Engine'!G394</f>
        <v>0</v>
      </c>
      <c r="H394" s="95">
        <f t="shared" si="12"/>
        <v>0</v>
      </c>
      <c r="I394" s="95">
        <f>'Planning Engine'!H394</f>
        <v>87828</v>
      </c>
      <c r="J394" s="96">
        <f ca="1">'Planning Engine'!J394</f>
        <v>999</v>
      </c>
      <c r="K394" s="95">
        <f ca="1">'Planning Engine'!K394</f>
        <v>0</v>
      </c>
      <c r="L394" s="12" t="str">
        <f ca="1">'Planning Engine'!L394</f>
        <v>Overstock</v>
      </c>
      <c r="M394" s="93">
        <f>'Planning Engine'!S394</f>
        <v>46874</v>
      </c>
      <c r="N394" s="95">
        <f>'Planning Engine'!T394</f>
        <v>0</v>
      </c>
      <c r="O394" s="94" t="s">
        <v>1426</v>
      </c>
      <c r="P394" s="12" t="str">
        <f t="shared" ca="1" si="13"/>
        <v>Defer / consume inventory</v>
      </c>
    </row>
    <row r="395" spans="1:16" ht="13" customHeight="1" x14ac:dyDescent="0.35">
      <c r="A395" s="97">
        <v>47058</v>
      </c>
      <c r="B395" s="53" t="s">
        <v>36</v>
      </c>
      <c r="C395" s="12" t="str">
        <f>'Planning Engine'!C395</f>
        <v>Drug Product</v>
      </c>
      <c r="D395" s="12" t="str">
        <f>'Planning Engine'!D395</f>
        <v>units</v>
      </c>
      <c r="E395" s="95">
        <f>'Planning Engine'!E395</f>
        <v>87828</v>
      </c>
      <c r="F395" s="95">
        <f>'Planning Engine'!F395</f>
        <v>0</v>
      </c>
      <c r="G395" s="95">
        <f>'Planning Engine'!G395</f>
        <v>0</v>
      </c>
      <c r="H395" s="99">
        <f t="shared" si="12"/>
        <v>0</v>
      </c>
      <c r="I395" s="95">
        <f>'Planning Engine'!H395</f>
        <v>87828</v>
      </c>
      <c r="J395" s="96">
        <f ca="1">'Planning Engine'!J395</f>
        <v>999</v>
      </c>
      <c r="K395" s="95">
        <f ca="1">'Planning Engine'!K395</f>
        <v>0</v>
      </c>
      <c r="L395" s="12" t="str">
        <f ca="1">'Planning Engine'!L395</f>
        <v>Overstock</v>
      </c>
      <c r="M395" s="93">
        <f>'Planning Engine'!S395</f>
        <v>46905</v>
      </c>
      <c r="N395" s="95">
        <f>'Planning Engine'!T395</f>
        <v>0</v>
      </c>
      <c r="O395" s="98" t="s">
        <v>1427</v>
      </c>
      <c r="P395" s="4" t="str">
        <f t="shared" ca="1" si="13"/>
        <v>Defer / consume inventory</v>
      </c>
    </row>
    <row r="396" spans="1:16" ht="13" customHeight="1" x14ac:dyDescent="0.35">
      <c r="A396" s="93">
        <v>47088</v>
      </c>
      <c r="B396" s="61" t="s">
        <v>36</v>
      </c>
      <c r="C396" s="12" t="str">
        <f>'Planning Engine'!C396</f>
        <v>Drug Product</v>
      </c>
      <c r="D396" s="12" t="str">
        <f>'Planning Engine'!D396</f>
        <v>units</v>
      </c>
      <c r="E396" s="95">
        <f>'Planning Engine'!E396</f>
        <v>87828</v>
      </c>
      <c r="F396" s="95">
        <f>'Planning Engine'!F396</f>
        <v>0</v>
      </c>
      <c r="G396" s="95">
        <f>'Planning Engine'!G396</f>
        <v>0</v>
      </c>
      <c r="H396" s="95">
        <f t="shared" si="12"/>
        <v>0</v>
      </c>
      <c r="I396" s="95">
        <f>'Planning Engine'!H396</f>
        <v>87828</v>
      </c>
      <c r="J396" s="96">
        <f ca="1">'Planning Engine'!J396</f>
        <v>999</v>
      </c>
      <c r="K396" s="95">
        <f ca="1">'Planning Engine'!K396</f>
        <v>0</v>
      </c>
      <c r="L396" s="12" t="str">
        <f ca="1">'Planning Engine'!L396</f>
        <v>Overstock</v>
      </c>
      <c r="M396" s="93">
        <f>'Planning Engine'!S396</f>
        <v>46935</v>
      </c>
      <c r="N396" s="95">
        <f>'Planning Engine'!T396</f>
        <v>0</v>
      </c>
      <c r="O396" s="94" t="s">
        <v>1428</v>
      </c>
      <c r="P396" s="12" t="str">
        <f t="shared" ca="1" si="13"/>
        <v>Defer / consume inventory</v>
      </c>
    </row>
    <row r="397" spans="1:16" ht="13" customHeight="1" x14ac:dyDescent="0.35">
      <c r="A397" s="97">
        <v>47119</v>
      </c>
      <c r="B397" s="53" t="s">
        <v>36</v>
      </c>
      <c r="C397" s="12" t="str">
        <f>'Planning Engine'!C397</f>
        <v>Drug Product</v>
      </c>
      <c r="D397" s="12" t="str">
        <f>'Planning Engine'!D397</f>
        <v>units</v>
      </c>
      <c r="E397" s="95">
        <f>'Planning Engine'!E397</f>
        <v>87828</v>
      </c>
      <c r="F397" s="95">
        <f>'Planning Engine'!F397</f>
        <v>0</v>
      </c>
      <c r="G397" s="95">
        <f>'Planning Engine'!G397</f>
        <v>0</v>
      </c>
      <c r="H397" s="99">
        <f t="shared" si="12"/>
        <v>0</v>
      </c>
      <c r="I397" s="95">
        <f>'Planning Engine'!H397</f>
        <v>87828</v>
      </c>
      <c r="J397" s="96">
        <f ca="1">'Planning Engine'!J397</f>
        <v>999</v>
      </c>
      <c r="K397" s="95">
        <f ca="1">'Planning Engine'!K397</f>
        <v>0</v>
      </c>
      <c r="L397" s="12" t="str">
        <f ca="1">'Planning Engine'!L397</f>
        <v>Overstock</v>
      </c>
      <c r="M397" s="93">
        <f>'Planning Engine'!S397</f>
        <v>46966</v>
      </c>
      <c r="N397" s="95">
        <f>'Planning Engine'!T397</f>
        <v>0</v>
      </c>
      <c r="O397" s="98" t="s">
        <v>1429</v>
      </c>
      <c r="P397" s="4" t="str">
        <f t="shared" ca="1" si="13"/>
        <v>Defer / consume inventory</v>
      </c>
    </row>
    <row r="398" spans="1:16" ht="13" customHeight="1" x14ac:dyDescent="0.35">
      <c r="A398" s="93">
        <v>47150</v>
      </c>
      <c r="B398" s="61" t="s">
        <v>36</v>
      </c>
      <c r="C398" s="12" t="str">
        <f>'Planning Engine'!C398</f>
        <v>Drug Product</v>
      </c>
      <c r="D398" s="12" t="str">
        <f>'Planning Engine'!D398</f>
        <v>units</v>
      </c>
      <c r="E398" s="95">
        <f>'Planning Engine'!E398</f>
        <v>87828</v>
      </c>
      <c r="F398" s="95">
        <f>'Planning Engine'!F398</f>
        <v>0</v>
      </c>
      <c r="G398" s="95">
        <f>'Planning Engine'!G398</f>
        <v>0</v>
      </c>
      <c r="H398" s="95">
        <f t="shared" si="12"/>
        <v>0</v>
      </c>
      <c r="I398" s="95">
        <f>'Planning Engine'!H398</f>
        <v>87828</v>
      </c>
      <c r="J398" s="96">
        <f ca="1">'Planning Engine'!J398</f>
        <v>999</v>
      </c>
      <c r="K398" s="95">
        <f ca="1">'Planning Engine'!K398</f>
        <v>0</v>
      </c>
      <c r="L398" s="12" t="str">
        <f ca="1">'Planning Engine'!L398</f>
        <v>Overstock</v>
      </c>
      <c r="M398" s="93">
        <f>'Planning Engine'!S398</f>
        <v>46997</v>
      </c>
      <c r="N398" s="95">
        <f>'Planning Engine'!T398</f>
        <v>0</v>
      </c>
      <c r="O398" s="94" t="s">
        <v>1430</v>
      </c>
      <c r="P398" s="12" t="str">
        <f t="shared" ca="1" si="13"/>
        <v>Defer / consume inventory</v>
      </c>
    </row>
    <row r="399" spans="1:16" ht="13" customHeight="1" x14ac:dyDescent="0.35">
      <c r="A399" s="97">
        <v>47178</v>
      </c>
      <c r="B399" s="53" t="s">
        <v>36</v>
      </c>
      <c r="C399" s="12" t="str">
        <f>'Planning Engine'!C399</f>
        <v>Drug Product</v>
      </c>
      <c r="D399" s="12" t="str">
        <f>'Planning Engine'!D399</f>
        <v>units</v>
      </c>
      <c r="E399" s="95">
        <f>'Planning Engine'!E399</f>
        <v>87828</v>
      </c>
      <c r="F399" s="95">
        <f>'Planning Engine'!F399</f>
        <v>0</v>
      </c>
      <c r="G399" s="95">
        <f>'Planning Engine'!G399</f>
        <v>0</v>
      </c>
      <c r="H399" s="99">
        <f t="shared" si="12"/>
        <v>0</v>
      </c>
      <c r="I399" s="95">
        <f>'Planning Engine'!H399</f>
        <v>87828</v>
      </c>
      <c r="J399" s="96">
        <f ca="1">'Planning Engine'!J399</f>
        <v>999</v>
      </c>
      <c r="K399" s="95">
        <f ca="1">'Planning Engine'!K399</f>
        <v>0</v>
      </c>
      <c r="L399" s="12" t="str">
        <f ca="1">'Planning Engine'!L399</f>
        <v>Overstock</v>
      </c>
      <c r="M399" s="93">
        <f>'Planning Engine'!S399</f>
        <v>47027</v>
      </c>
      <c r="N399" s="95">
        <f>'Planning Engine'!T399</f>
        <v>0</v>
      </c>
      <c r="O399" s="98" t="s">
        <v>1431</v>
      </c>
      <c r="P399" s="4" t="str">
        <f t="shared" ca="1" si="13"/>
        <v>Defer / consume inventory</v>
      </c>
    </row>
    <row r="400" spans="1:16" ht="13" customHeight="1" x14ac:dyDescent="0.35">
      <c r="A400" s="93">
        <v>47209</v>
      </c>
      <c r="B400" s="61" t="s">
        <v>36</v>
      </c>
      <c r="C400" s="12" t="str">
        <f>'Planning Engine'!C400</f>
        <v>Drug Product</v>
      </c>
      <c r="D400" s="12" t="str">
        <f>'Planning Engine'!D400</f>
        <v>units</v>
      </c>
      <c r="E400" s="95">
        <f>'Planning Engine'!E400</f>
        <v>87828</v>
      </c>
      <c r="F400" s="95">
        <f>'Planning Engine'!F400</f>
        <v>0</v>
      </c>
      <c r="G400" s="95">
        <f>'Planning Engine'!G400</f>
        <v>0</v>
      </c>
      <c r="H400" s="95">
        <f t="shared" si="12"/>
        <v>0</v>
      </c>
      <c r="I400" s="95">
        <f>'Planning Engine'!H400</f>
        <v>87828</v>
      </c>
      <c r="J400" s="96">
        <f ca="1">'Planning Engine'!J400</f>
        <v>999</v>
      </c>
      <c r="K400" s="95">
        <f ca="1">'Planning Engine'!K400</f>
        <v>0</v>
      </c>
      <c r="L400" s="12" t="str">
        <f ca="1">'Planning Engine'!L400</f>
        <v>Overstock</v>
      </c>
      <c r="M400" s="93">
        <f>'Planning Engine'!S400</f>
        <v>47058</v>
      </c>
      <c r="N400" s="95">
        <f>'Planning Engine'!T400</f>
        <v>0</v>
      </c>
      <c r="O400" s="94" t="s">
        <v>1432</v>
      </c>
      <c r="P400" s="12" t="str">
        <f t="shared" ca="1" si="13"/>
        <v>Defer / consume inventory</v>
      </c>
    </row>
    <row r="401" spans="1:16" ht="13" customHeight="1" x14ac:dyDescent="0.35">
      <c r="A401" s="97">
        <v>47239</v>
      </c>
      <c r="B401" s="53" t="s">
        <v>36</v>
      </c>
      <c r="C401" s="12" t="str">
        <f>'Planning Engine'!C401</f>
        <v>Drug Product</v>
      </c>
      <c r="D401" s="12" t="str">
        <f>'Planning Engine'!D401</f>
        <v>units</v>
      </c>
      <c r="E401" s="95">
        <f>'Planning Engine'!E401</f>
        <v>87828</v>
      </c>
      <c r="F401" s="95">
        <f>'Planning Engine'!F401</f>
        <v>0</v>
      </c>
      <c r="G401" s="95">
        <f>'Planning Engine'!G401</f>
        <v>0</v>
      </c>
      <c r="H401" s="99">
        <f t="shared" si="12"/>
        <v>0</v>
      </c>
      <c r="I401" s="95">
        <f>'Planning Engine'!H401</f>
        <v>87828</v>
      </c>
      <c r="J401" s="96">
        <f ca="1">'Planning Engine'!J401</f>
        <v>999</v>
      </c>
      <c r="K401" s="95">
        <f ca="1">'Planning Engine'!K401</f>
        <v>0</v>
      </c>
      <c r="L401" s="12" t="str">
        <f ca="1">'Planning Engine'!L401</f>
        <v>Overstock</v>
      </c>
      <c r="M401" s="93">
        <f>'Planning Engine'!S401</f>
        <v>47088</v>
      </c>
      <c r="N401" s="95">
        <f>'Planning Engine'!T401</f>
        <v>0</v>
      </c>
      <c r="O401" s="98" t="s">
        <v>1433</v>
      </c>
      <c r="P401" s="4" t="str">
        <f t="shared" ca="1" si="13"/>
        <v>Defer / consume inventory</v>
      </c>
    </row>
    <row r="402" spans="1:16" ht="13" customHeight="1" x14ac:dyDescent="0.35">
      <c r="A402" s="93">
        <v>47270</v>
      </c>
      <c r="B402" s="61" t="s">
        <v>36</v>
      </c>
      <c r="C402" s="12" t="str">
        <f>'Planning Engine'!C402</f>
        <v>Drug Product</v>
      </c>
      <c r="D402" s="12" t="str">
        <f>'Planning Engine'!D402</f>
        <v>units</v>
      </c>
      <c r="E402" s="95">
        <f>'Planning Engine'!E402</f>
        <v>87828</v>
      </c>
      <c r="F402" s="95">
        <f>'Planning Engine'!F402</f>
        <v>0</v>
      </c>
      <c r="G402" s="95">
        <f>'Planning Engine'!G402</f>
        <v>0</v>
      </c>
      <c r="H402" s="95">
        <f t="shared" si="12"/>
        <v>0</v>
      </c>
      <c r="I402" s="95">
        <f>'Planning Engine'!H402</f>
        <v>87828</v>
      </c>
      <c r="J402" s="96">
        <f ca="1">'Planning Engine'!J402</f>
        <v>999</v>
      </c>
      <c r="K402" s="95">
        <f ca="1">'Planning Engine'!K402</f>
        <v>0</v>
      </c>
      <c r="L402" s="12" t="str">
        <f ca="1">'Planning Engine'!L402</f>
        <v>Overstock</v>
      </c>
      <c r="M402" s="93">
        <f>'Planning Engine'!S402</f>
        <v>47119</v>
      </c>
      <c r="N402" s="95">
        <f>'Planning Engine'!T402</f>
        <v>0</v>
      </c>
      <c r="O402" s="94" t="s">
        <v>1434</v>
      </c>
      <c r="P402" s="12" t="str">
        <f t="shared" ca="1" si="13"/>
        <v>Defer / consume inventory</v>
      </c>
    </row>
    <row r="403" spans="1:16" ht="13" customHeight="1" x14ac:dyDescent="0.35">
      <c r="A403" s="97">
        <v>47300</v>
      </c>
      <c r="B403" s="53" t="s">
        <v>36</v>
      </c>
      <c r="C403" s="12" t="str">
        <f>'Planning Engine'!C403</f>
        <v>Drug Product</v>
      </c>
      <c r="D403" s="12" t="str">
        <f>'Planning Engine'!D403</f>
        <v>units</v>
      </c>
      <c r="E403" s="95">
        <f>'Planning Engine'!E403</f>
        <v>87828</v>
      </c>
      <c r="F403" s="95">
        <f>'Planning Engine'!F403</f>
        <v>0</v>
      </c>
      <c r="G403" s="95">
        <f>'Planning Engine'!G403</f>
        <v>0</v>
      </c>
      <c r="H403" s="99">
        <f t="shared" si="12"/>
        <v>0</v>
      </c>
      <c r="I403" s="95">
        <f>'Planning Engine'!H403</f>
        <v>87828</v>
      </c>
      <c r="J403" s="96">
        <f ca="1">'Planning Engine'!J403</f>
        <v>999</v>
      </c>
      <c r="K403" s="95">
        <f ca="1">'Planning Engine'!K403</f>
        <v>0</v>
      </c>
      <c r="L403" s="12" t="str">
        <f ca="1">'Planning Engine'!L403</f>
        <v>Overstock</v>
      </c>
      <c r="M403" s="93">
        <f>'Planning Engine'!S403</f>
        <v>47150</v>
      </c>
      <c r="N403" s="95">
        <f>'Planning Engine'!T403</f>
        <v>0</v>
      </c>
      <c r="O403" s="98" t="s">
        <v>1435</v>
      </c>
      <c r="P403" s="4" t="str">
        <f t="shared" ca="1" si="13"/>
        <v>Defer / consume inventory</v>
      </c>
    </row>
    <row r="404" spans="1:16" ht="13" customHeight="1" x14ac:dyDescent="0.35">
      <c r="A404" s="93">
        <v>47331</v>
      </c>
      <c r="B404" s="61" t="s">
        <v>36</v>
      </c>
      <c r="C404" s="12" t="str">
        <f>'Planning Engine'!C404</f>
        <v>Drug Product</v>
      </c>
      <c r="D404" s="12" t="str">
        <f>'Planning Engine'!D404</f>
        <v>units</v>
      </c>
      <c r="E404" s="95">
        <f>'Planning Engine'!E404</f>
        <v>87828</v>
      </c>
      <c r="F404" s="95">
        <f>'Planning Engine'!F404</f>
        <v>0</v>
      </c>
      <c r="G404" s="95">
        <f>'Planning Engine'!G404</f>
        <v>0</v>
      </c>
      <c r="H404" s="95">
        <f t="shared" si="12"/>
        <v>0</v>
      </c>
      <c r="I404" s="95">
        <f>'Planning Engine'!H404</f>
        <v>87828</v>
      </c>
      <c r="J404" s="96">
        <f ca="1">'Planning Engine'!J404</f>
        <v>999</v>
      </c>
      <c r="K404" s="95">
        <f ca="1">'Planning Engine'!K404</f>
        <v>0</v>
      </c>
      <c r="L404" s="12" t="str">
        <f ca="1">'Planning Engine'!L404</f>
        <v>Overstock</v>
      </c>
      <c r="M404" s="93">
        <f>'Planning Engine'!S404</f>
        <v>47178</v>
      </c>
      <c r="N404" s="95">
        <f>'Planning Engine'!T404</f>
        <v>0</v>
      </c>
      <c r="O404" s="94" t="s">
        <v>1436</v>
      </c>
      <c r="P404" s="12" t="str">
        <f t="shared" ca="1" si="13"/>
        <v>Defer / consume inventory</v>
      </c>
    </row>
    <row r="405" spans="1:16" ht="13" customHeight="1" x14ac:dyDescent="0.35">
      <c r="A405" s="97">
        <v>47362</v>
      </c>
      <c r="B405" s="53" t="s">
        <v>36</v>
      </c>
      <c r="C405" s="12" t="str">
        <f>'Planning Engine'!C405</f>
        <v>Drug Product</v>
      </c>
      <c r="D405" s="12" t="str">
        <f>'Planning Engine'!D405</f>
        <v>units</v>
      </c>
      <c r="E405" s="95">
        <f>'Planning Engine'!E405</f>
        <v>87828</v>
      </c>
      <c r="F405" s="95">
        <f>'Planning Engine'!F405</f>
        <v>0</v>
      </c>
      <c r="G405" s="95">
        <f>'Planning Engine'!G405</f>
        <v>0</v>
      </c>
      <c r="H405" s="99">
        <f t="shared" si="12"/>
        <v>0</v>
      </c>
      <c r="I405" s="95">
        <f>'Planning Engine'!H405</f>
        <v>87828</v>
      </c>
      <c r="J405" s="96">
        <f ca="1">'Planning Engine'!J405</f>
        <v>999</v>
      </c>
      <c r="K405" s="95">
        <f ca="1">'Planning Engine'!K405</f>
        <v>0</v>
      </c>
      <c r="L405" s="12" t="str">
        <f ca="1">'Planning Engine'!L405</f>
        <v>Overstock</v>
      </c>
      <c r="M405" s="93">
        <f>'Planning Engine'!S405</f>
        <v>47209</v>
      </c>
      <c r="N405" s="95">
        <f>'Planning Engine'!T405</f>
        <v>0</v>
      </c>
      <c r="O405" s="98" t="s">
        <v>1437</v>
      </c>
      <c r="P405" s="4" t="str">
        <f t="shared" ca="1" si="13"/>
        <v>Defer / consume inventory</v>
      </c>
    </row>
    <row r="406" spans="1:16" ht="13" customHeight="1" x14ac:dyDescent="0.35">
      <c r="A406" s="93">
        <v>47392</v>
      </c>
      <c r="B406" s="61" t="s">
        <v>36</v>
      </c>
      <c r="C406" s="12" t="str">
        <f>'Planning Engine'!C406</f>
        <v>Drug Product</v>
      </c>
      <c r="D406" s="12" t="str">
        <f>'Planning Engine'!D406</f>
        <v>units</v>
      </c>
      <c r="E406" s="95">
        <f>'Planning Engine'!E406</f>
        <v>87828</v>
      </c>
      <c r="F406" s="95">
        <f>'Planning Engine'!F406</f>
        <v>0</v>
      </c>
      <c r="G406" s="95">
        <f>'Planning Engine'!G406</f>
        <v>0</v>
      </c>
      <c r="H406" s="95">
        <f t="shared" si="12"/>
        <v>0</v>
      </c>
      <c r="I406" s="95">
        <f>'Planning Engine'!H406</f>
        <v>87828</v>
      </c>
      <c r="J406" s="96">
        <f ca="1">'Planning Engine'!J406</f>
        <v>999</v>
      </c>
      <c r="K406" s="95">
        <f ca="1">'Planning Engine'!K406</f>
        <v>0</v>
      </c>
      <c r="L406" s="12" t="str">
        <f ca="1">'Planning Engine'!L406</f>
        <v>Overstock</v>
      </c>
      <c r="M406" s="93">
        <f>'Planning Engine'!S406</f>
        <v>47239</v>
      </c>
      <c r="N406" s="95">
        <f>'Planning Engine'!T406</f>
        <v>0</v>
      </c>
      <c r="O406" s="94" t="s">
        <v>1438</v>
      </c>
      <c r="P406" s="12" t="str">
        <f t="shared" ca="1" si="13"/>
        <v>Defer / consume inventory</v>
      </c>
    </row>
    <row r="407" spans="1:16" ht="13" customHeight="1" x14ac:dyDescent="0.35">
      <c r="A407" s="97">
        <v>47423</v>
      </c>
      <c r="B407" s="53" t="s">
        <v>36</v>
      </c>
      <c r="C407" s="12" t="str">
        <f>'Planning Engine'!C407</f>
        <v>Drug Product</v>
      </c>
      <c r="D407" s="12" t="str">
        <f>'Planning Engine'!D407</f>
        <v>units</v>
      </c>
      <c r="E407" s="95">
        <f>'Planning Engine'!E407</f>
        <v>87828</v>
      </c>
      <c r="F407" s="95">
        <f>'Planning Engine'!F407</f>
        <v>0</v>
      </c>
      <c r="G407" s="95">
        <f>'Planning Engine'!G407</f>
        <v>0</v>
      </c>
      <c r="H407" s="99">
        <f t="shared" si="12"/>
        <v>0</v>
      </c>
      <c r="I407" s="95">
        <f>'Planning Engine'!H407</f>
        <v>87828</v>
      </c>
      <c r="J407" s="96">
        <f ca="1">'Planning Engine'!J407</f>
        <v>999</v>
      </c>
      <c r="K407" s="95">
        <f ca="1">'Planning Engine'!K407</f>
        <v>0</v>
      </c>
      <c r="L407" s="12" t="str">
        <f ca="1">'Planning Engine'!L407</f>
        <v>Overstock</v>
      </c>
      <c r="M407" s="93">
        <f>'Planning Engine'!S407</f>
        <v>47270</v>
      </c>
      <c r="N407" s="95">
        <f>'Planning Engine'!T407</f>
        <v>0</v>
      </c>
      <c r="O407" s="98" t="s">
        <v>1439</v>
      </c>
      <c r="P407" s="4" t="str">
        <f t="shared" ca="1" si="13"/>
        <v>Defer / consume inventory</v>
      </c>
    </row>
    <row r="408" spans="1:16" ht="13" customHeight="1" x14ac:dyDescent="0.35">
      <c r="A408" s="93">
        <v>47453</v>
      </c>
      <c r="B408" s="61" t="s">
        <v>36</v>
      </c>
      <c r="C408" s="12" t="str">
        <f>'Planning Engine'!C408</f>
        <v>Drug Product</v>
      </c>
      <c r="D408" s="12" t="str">
        <f>'Planning Engine'!D408</f>
        <v>units</v>
      </c>
      <c r="E408" s="95">
        <f>'Planning Engine'!E408</f>
        <v>87828</v>
      </c>
      <c r="F408" s="95">
        <f>'Planning Engine'!F408</f>
        <v>0</v>
      </c>
      <c r="G408" s="95">
        <f>'Planning Engine'!G408</f>
        <v>0</v>
      </c>
      <c r="H408" s="95">
        <f t="shared" si="12"/>
        <v>0</v>
      </c>
      <c r="I408" s="95">
        <f>'Planning Engine'!H408</f>
        <v>87828</v>
      </c>
      <c r="J408" s="96">
        <f ca="1">'Planning Engine'!J408</f>
        <v>999</v>
      </c>
      <c r="K408" s="95">
        <f ca="1">'Planning Engine'!K408</f>
        <v>0</v>
      </c>
      <c r="L408" s="12" t="str">
        <f ca="1">'Planning Engine'!L408</f>
        <v>Overstock</v>
      </c>
      <c r="M408" s="93">
        <f>'Planning Engine'!S408</f>
        <v>47300</v>
      </c>
      <c r="N408" s="95">
        <f>'Planning Engine'!T408</f>
        <v>0</v>
      </c>
      <c r="O408" s="94" t="s">
        <v>1440</v>
      </c>
      <c r="P408" s="12" t="str">
        <f t="shared" ca="1" si="13"/>
        <v>Defer / consume inventory</v>
      </c>
    </row>
    <row r="409" spans="1:16" ht="13" customHeight="1" x14ac:dyDescent="0.35">
      <c r="A409" s="97">
        <v>47484</v>
      </c>
      <c r="B409" s="53" t="s">
        <v>36</v>
      </c>
      <c r="C409" s="12" t="str">
        <f>'Planning Engine'!C409</f>
        <v>Drug Product</v>
      </c>
      <c r="D409" s="12" t="str">
        <f>'Planning Engine'!D409</f>
        <v>units</v>
      </c>
      <c r="E409" s="95">
        <f>'Planning Engine'!E409</f>
        <v>87828</v>
      </c>
      <c r="F409" s="95">
        <f>'Planning Engine'!F409</f>
        <v>0</v>
      </c>
      <c r="G409" s="95">
        <f>'Planning Engine'!G409</f>
        <v>0</v>
      </c>
      <c r="H409" s="99">
        <f t="shared" si="12"/>
        <v>0</v>
      </c>
      <c r="I409" s="95">
        <f>'Planning Engine'!H409</f>
        <v>87828</v>
      </c>
      <c r="J409" s="96">
        <f ca="1">'Planning Engine'!J409</f>
        <v>999</v>
      </c>
      <c r="K409" s="95">
        <f ca="1">'Planning Engine'!K409</f>
        <v>0</v>
      </c>
      <c r="L409" s="12" t="str">
        <f ca="1">'Planning Engine'!L409</f>
        <v>Overstock</v>
      </c>
      <c r="M409" s="93">
        <f>'Planning Engine'!S409</f>
        <v>47331</v>
      </c>
      <c r="N409" s="95">
        <f>'Planning Engine'!T409</f>
        <v>0</v>
      </c>
      <c r="O409" s="98" t="s">
        <v>1441</v>
      </c>
      <c r="P409" s="4" t="str">
        <f t="shared" ca="1" si="13"/>
        <v>Defer / consume inventory</v>
      </c>
    </row>
    <row r="410" spans="1:16" ht="13" customHeight="1" x14ac:dyDescent="0.35">
      <c r="A410" s="93">
        <v>47515</v>
      </c>
      <c r="B410" s="61" t="s">
        <v>36</v>
      </c>
      <c r="C410" s="12" t="str">
        <f>'Planning Engine'!C410</f>
        <v>Drug Product</v>
      </c>
      <c r="D410" s="12" t="str">
        <f>'Planning Engine'!D410</f>
        <v>units</v>
      </c>
      <c r="E410" s="95">
        <f>'Planning Engine'!E410</f>
        <v>87828</v>
      </c>
      <c r="F410" s="95">
        <f>'Planning Engine'!F410</f>
        <v>0</v>
      </c>
      <c r="G410" s="95">
        <f>'Planning Engine'!G410</f>
        <v>0</v>
      </c>
      <c r="H410" s="95">
        <f t="shared" si="12"/>
        <v>0</v>
      </c>
      <c r="I410" s="95">
        <f>'Planning Engine'!H410</f>
        <v>87828</v>
      </c>
      <c r="J410" s="96">
        <f ca="1">'Planning Engine'!J410</f>
        <v>999</v>
      </c>
      <c r="K410" s="95">
        <f ca="1">'Planning Engine'!K410</f>
        <v>0</v>
      </c>
      <c r="L410" s="12" t="str">
        <f ca="1">'Planning Engine'!L410</f>
        <v>Overstock</v>
      </c>
      <c r="M410" s="93">
        <f>'Planning Engine'!S410</f>
        <v>47362</v>
      </c>
      <c r="N410" s="95">
        <f>'Planning Engine'!T410</f>
        <v>0</v>
      </c>
      <c r="O410" s="94" t="s">
        <v>1442</v>
      </c>
      <c r="P410" s="12" t="str">
        <f t="shared" ca="1" si="13"/>
        <v>Defer / consume inventory</v>
      </c>
    </row>
    <row r="411" spans="1:16" ht="13" customHeight="1" x14ac:dyDescent="0.35">
      <c r="A411" s="97">
        <v>47543</v>
      </c>
      <c r="B411" s="53" t="s">
        <v>36</v>
      </c>
      <c r="C411" s="12" t="str">
        <f>'Planning Engine'!C411</f>
        <v>Drug Product</v>
      </c>
      <c r="D411" s="12" t="str">
        <f>'Planning Engine'!D411</f>
        <v>units</v>
      </c>
      <c r="E411" s="95">
        <f>'Planning Engine'!E411</f>
        <v>87828</v>
      </c>
      <c r="F411" s="95">
        <f>'Planning Engine'!F411</f>
        <v>0</v>
      </c>
      <c r="G411" s="95">
        <f>'Planning Engine'!G411</f>
        <v>0</v>
      </c>
      <c r="H411" s="99">
        <f t="shared" si="12"/>
        <v>0</v>
      </c>
      <c r="I411" s="95">
        <f>'Planning Engine'!H411</f>
        <v>87828</v>
      </c>
      <c r="J411" s="96">
        <f ca="1">'Planning Engine'!J411</f>
        <v>999</v>
      </c>
      <c r="K411" s="95">
        <f ca="1">'Planning Engine'!K411</f>
        <v>0</v>
      </c>
      <c r="L411" s="12" t="str">
        <f ca="1">'Planning Engine'!L411</f>
        <v>Overstock</v>
      </c>
      <c r="M411" s="93">
        <f>'Planning Engine'!S411</f>
        <v>47392</v>
      </c>
      <c r="N411" s="95">
        <f>'Planning Engine'!T411</f>
        <v>0</v>
      </c>
      <c r="O411" s="98" t="s">
        <v>1443</v>
      </c>
      <c r="P411" s="4" t="str">
        <f t="shared" ca="1" si="13"/>
        <v>Defer / consume inventory</v>
      </c>
    </row>
    <row r="412" spans="1:16" ht="13" customHeight="1" x14ac:dyDescent="0.35">
      <c r="A412" s="93">
        <v>47574</v>
      </c>
      <c r="B412" s="61" t="s">
        <v>36</v>
      </c>
      <c r="C412" s="12" t="str">
        <f>'Planning Engine'!C412</f>
        <v>Drug Product</v>
      </c>
      <c r="D412" s="12" t="str">
        <f>'Planning Engine'!D412</f>
        <v>units</v>
      </c>
      <c r="E412" s="95">
        <f>'Planning Engine'!E412</f>
        <v>87828</v>
      </c>
      <c r="F412" s="95">
        <f>'Planning Engine'!F412</f>
        <v>0</v>
      </c>
      <c r="G412" s="95">
        <f>'Planning Engine'!G412</f>
        <v>0</v>
      </c>
      <c r="H412" s="95">
        <f t="shared" si="12"/>
        <v>0</v>
      </c>
      <c r="I412" s="95">
        <f>'Planning Engine'!H412</f>
        <v>87828</v>
      </c>
      <c r="J412" s="96">
        <f ca="1">'Planning Engine'!J412</f>
        <v>999</v>
      </c>
      <c r="K412" s="95">
        <f ca="1">'Planning Engine'!K412</f>
        <v>0</v>
      </c>
      <c r="L412" s="12" t="str">
        <f ca="1">'Planning Engine'!L412</f>
        <v>Overstock</v>
      </c>
      <c r="M412" s="93">
        <f>'Planning Engine'!S412</f>
        <v>47423</v>
      </c>
      <c r="N412" s="95">
        <f>'Planning Engine'!T412</f>
        <v>0</v>
      </c>
      <c r="O412" s="94" t="s">
        <v>1444</v>
      </c>
      <c r="P412" s="12" t="str">
        <f t="shared" ca="1" si="13"/>
        <v>Defer / consume inventory</v>
      </c>
    </row>
    <row r="413" spans="1:16" ht="13" customHeight="1" x14ac:dyDescent="0.35">
      <c r="A413" s="97">
        <v>47604</v>
      </c>
      <c r="B413" s="53" t="s">
        <v>36</v>
      </c>
      <c r="C413" s="12" t="str">
        <f>'Planning Engine'!C413</f>
        <v>Drug Product</v>
      </c>
      <c r="D413" s="12" t="str">
        <f>'Planning Engine'!D413</f>
        <v>units</v>
      </c>
      <c r="E413" s="95">
        <f>'Planning Engine'!E413</f>
        <v>87828</v>
      </c>
      <c r="F413" s="95">
        <f>'Planning Engine'!F413</f>
        <v>0</v>
      </c>
      <c r="G413" s="95">
        <f>'Planning Engine'!G413</f>
        <v>0</v>
      </c>
      <c r="H413" s="99">
        <f t="shared" si="12"/>
        <v>0</v>
      </c>
      <c r="I413" s="95">
        <f>'Planning Engine'!H413</f>
        <v>87828</v>
      </c>
      <c r="J413" s="96">
        <f ca="1">'Planning Engine'!J413</f>
        <v>999</v>
      </c>
      <c r="K413" s="95">
        <f ca="1">'Planning Engine'!K413</f>
        <v>0</v>
      </c>
      <c r="L413" s="12" t="str">
        <f ca="1">'Planning Engine'!L413</f>
        <v>Overstock</v>
      </c>
      <c r="M413" s="93">
        <f>'Planning Engine'!S413</f>
        <v>47453</v>
      </c>
      <c r="N413" s="95">
        <f>'Planning Engine'!T413</f>
        <v>0</v>
      </c>
      <c r="O413" s="98" t="s">
        <v>1445</v>
      </c>
      <c r="P413" s="4" t="str">
        <f t="shared" ca="1" si="13"/>
        <v>Defer / consume inventory</v>
      </c>
    </row>
    <row r="414" spans="1:16" ht="13" customHeight="1" x14ac:dyDescent="0.35">
      <c r="A414" s="93">
        <v>47635</v>
      </c>
      <c r="B414" s="61" t="s">
        <v>36</v>
      </c>
      <c r="C414" s="12" t="str">
        <f>'Planning Engine'!C414</f>
        <v>Drug Product</v>
      </c>
      <c r="D414" s="12" t="str">
        <f>'Planning Engine'!D414</f>
        <v>units</v>
      </c>
      <c r="E414" s="95">
        <f>'Planning Engine'!E414</f>
        <v>87828</v>
      </c>
      <c r="F414" s="95">
        <f>'Planning Engine'!F414</f>
        <v>0</v>
      </c>
      <c r="G414" s="95">
        <f>'Planning Engine'!G414</f>
        <v>0</v>
      </c>
      <c r="H414" s="95">
        <f t="shared" si="12"/>
        <v>0</v>
      </c>
      <c r="I414" s="95">
        <f>'Planning Engine'!H414</f>
        <v>87828</v>
      </c>
      <c r="J414" s="96">
        <f ca="1">'Planning Engine'!J414</f>
        <v>999</v>
      </c>
      <c r="K414" s="95">
        <f ca="1">'Planning Engine'!K414</f>
        <v>0</v>
      </c>
      <c r="L414" s="12" t="str">
        <f ca="1">'Planning Engine'!L414</f>
        <v>Overstock</v>
      </c>
      <c r="M414" s="93">
        <f>'Planning Engine'!S414</f>
        <v>47484</v>
      </c>
      <c r="N414" s="95">
        <f>'Planning Engine'!T414</f>
        <v>0</v>
      </c>
      <c r="O414" s="94" t="s">
        <v>1446</v>
      </c>
      <c r="P414" s="12" t="str">
        <f t="shared" ca="1" si="13"/>
        <v>Defer / consume inventory</v>
      </c>
    </row>
    <row r="415" spans="1:16" ht="13" customHeight="1" x14ac:dyDescent="0.35">
      <c r="A415" s="97">
        <v>47665</v>
      </c>
      <c r="B415" s="53" t="s">
        <v>36</v>
      </c>
      <c r="C415" s="12" t="str">
        <f>'Planning Engine'!C415</f>
        <v>Drug Product</v>
      </c>
      <c r="D415" s="12" t="str">
        <f>'Planning Engine'!D415</f>
        <v>units</v>
      </c>
      <c r="E415" s="95">
        <f>'Planning Engine'!E415</f>
        <v>87828</v>
      </c>
      <c r="F415" s="95">
        <f>'Planning Engine'!F415</f>
        <v>0</v>
      </c>
      <c r="G415" s="95">
        <f>'Planning Engine'!G415</f>
        <v>0</v>
      </c>
      <c r="H415" s="99">
        <f t="shared" si="12"/>
        <v>0</v>
      </c>
      <c r="I415" s="95">
        <f>'Planning Engine'!H415</f>
        <v>87828</v>
      </c>
      <c r="J415" s="96">
        <f ca="1">'Planning Engine'!J415</f>
        <v>999</v>
      </c>
      <c r="K415" s="95">
        <f ca="1">'Planning Engine'!K415</f>
        <v>0</v>
      </c>
      <c r="L415" s="12" t="str">
        <f ca="1">'Planning Engine'!L415</f>
        <v>Overstock</v>
      </c>
      <c r="M415" s="93">
        <f>'Planning Engine'!S415</f>
        <v>47515</v>
      </c>
      <c r="N415" s="95">
        <f>'Planning Engine'!T415</f>
        <v>0</v>
      </c>
      <c r="O415" s="98" t="s">
        <v>1447</v>
      </c>
      <c r="P415" s="4" t="str">
        <f t="shared" ca="1" si="13"/>
        <v>Defer / consume inventory</v>
      </c>
    </row>
    <row r="416" spans="1:16" ht="13" customHeight="1" x14ac:dyDescent="0.35">
      <c r="A416" s="93">
        <v>47696</v>
      </c>
      <c r="B416" s="61" t="s">
        <v>36</v>
      </c>
      <c r="C416" s="12" t="str">
        <f>'Planning Engine'!C416</f>
        <v>Drug Product</v>
      </c>
      <c r="D416" s="12" t="str">
        <f>'Planning Engine'!D416</f>
        <v>units</v>
      </c>
      <c r="E416" s="95">
        <f>'Planning Engine'!E416</f>
        <v>87828</v>
      </c>
      <c r="F416" s="95">
        <f>'Planning Engine'!F416</f>
        <v>0</v>
      </c>
      <c r="G416" s="95">
        <f>'Planning Engine'!G416</f>
        <v>0</v>
      </c>
      <c r="H416" s="95">
        <f t="shared" si="12"/>
        <v>0</v>
      </c>
      <c r="I416" s="95">
        <f>'Planning Engine'!H416</f>
        <v>87828</v>
      </c>
      <c r="J416" s="96">
        <f ca="1">'Planning Engine'!J416</f>
        <v>999</v>
      </c>
      <c r="K416" s="95">
        <f ca="1">'Planning Engine'!K416</f>
        <v>0</v>
      </c>
      <c r="L416" s="12" t="str">
        <f ca="1">'Planning Engine'!L416</f>
        <v>Overstock</v>
      </c>
      <c r="M416" s="93">
        <f>'Planning Engine'!S416</f>
        <v>47543</v>
      </c>
      <c r="N416" s="95">
        <f>'Planning Engine'!T416</f>
        <v>0</v>
      </c>
      <c r="O416" s="94" t="s">
        <v>1448</v>
      </c>
      <c r="P416" s="12" t="str">
        <f t="shared" ca="1" si="13"/>
        <v>Defer / consume inventory</v>
      </c>
    </row>
    <row r="417" spans="1:16" ht="13" customHeight="1" x14ac:dyDescent="0.35">
      <c r="A417" s="97">
        <v>47727</v>
      </c>
      <c r="B417" s="53" t="s">
        <v>36</v>
      </c>
      <c r="C417" s="12" t="str">
        <f>'Planning Engine'!C417</f>
        <v>Drug Product</v>
      </c>
      <c r="D417" s="12" t="str">
        <f>'Planning Engine'!D417</f>
        <v>units</v>
      </c>
      <c r="E417" s="95">
        <f>'Planning Engine'!E417</f>
        <v>87828</v>
      </c>
      <c r="F417" s="95">
        <f>'Planning Engine'!F417</f>
        <v>0</v>
      </c>
      <c r="G417" s="95">
        <f>'Planning Engine'!G417</f>
        <v>0</v>
      </c>
      <c r="H417" s="99">
        <f t="shared" si="12"/>
        <v>0</v>
      </c>
      <c r="I417" s="95">
        <f>'Planning Engine'!H417</f>
        <v>87828</v>
      </c>
      <c r="J417" s="96">
        <f ca="1">'Planning Engine'!J417</f>
        <v>999</v>
      </c>
      <c r="K417" s="95">
        <f ca="1">'Planning Engine'!K417</f>
        <v>0</v>
      </c>
      <c r="L417" s="12" t="str">
        <f ca="1">'Planning Engine'!L417</f>
        <v>Overstock</v>
      </c>
      <c r="M417" s="93">
        <f>'Planning Engine'!S417</f>
        <v>47574</v>
      </c>
      <c r="N417" s="95">
        <f>'Planning Engine'!T417</f>
        <v>0</v>
      </c>
      <c r="O417" s="98" t="s">
        <v>1449</v>
      </c>
      <c r="P417" s="4" t="str">
        <f t="shared" ca="1" si="13"/>
        <v>Defer / consume inventory</v>
      </c>
    </row>
    <row r="418" spans="1:16" ht="13" customHeight="1" x14ac:dyDescent="0.35">
      <c r="A418" s="93">
        <v>47757</v>
      </c>
      <c r="B418" s="61" t="s">
        <v>36</v>
      </c>
      <c r="C418" s="12" t="str">
        <f>'Planning Engine'!C418</f>
        <v>Drug Product</v>
      </c>
      <c r="D418" s="12" t="str">
        <f>'Planning Engine'!D418</f>
        <v>units</v>
      </c>
      <c r="E418" s="95">
        <f>'Planning Engine'!E418</f>
        <v>87828</v>
      </c>
      <c r="F418" s="95">
        <f>'Planning Engine'!F418</f>
        <v>0</v>
      </c>
      <c r="G418" s="95">
        <f>'Planning Engine'!G418</f>
        <v>0</v>
      </c>
      <c r="H418" s="95">
        <f t="shared" si="12"/>
        <v>0</v>
      </c>
      <c r="I418" s="95">
        <f>'Planning Engine'!H418</f>
        <v>87828</v>
      </c>
      <c r="J418" s="96">
        <f ca="1">'Planning Engine'!J418</f>
        <v>999</v>
      </c>
      <c r="K418" s="95">
        <f ca="1">'Planning Engine'!K418</f>
        <v>0</v>
      </c>
      <c r="L418" s="12" t="str">
        <f ca="1">'Planning Engine'!L418</f>
        <v>Overstock</v>
      </c>
      <c r="M418" s="93">
        <f>'Planning Engine'!S418</f>
        <v>47604</v>
      </c>
      <c r="N418" s="95">
        <f>'Planning Engine'!T418</f>
        <v>0</v>
      </c>
      <c r="O418" s="94" t="s">
        <v>1450</v>
      </c>
      <c r="P418" s="12" t="str">
        <f t="shared" ca="1" si="13"/>
        <v>Defer / consume inventory</v>
      </c>
    </row>
    <row r="419" spans="1:16" ht="13" customHeight="1" x14ac:dyDescent="0.35">
      <c r="A419" s="97">
        <v>47788</v>
      </c>
      <c r="B419" s="53" t="s">
        <v>36</v>
      </c>
      <c r="C419" s="12" t="str">
        <f>'Planning Engine'!C419</f>
        <v>Drug Product</v>
      </c>
      <c r="D419" s="12" t="str">
        <f>'Planning Engine'!D419</f>
        <v>units</v>
      </c>
      <c r="E419" s="95">
        <f>'Planning Engine'!E419</f>
        <v>87828</v>
      </c>
      <c r="F419" s="95">
        <f>'Planning Engine'!F419</f>
        <v>0</v>
      </c>
      <c r="G419" s="95">
        <f>'Planning Engine'!G419</f>
        <v>0</v>
      </c>
      <c r="H419" s="99">
        <f t="shared" si="12"/>
        <v>0</v>
      </c>
      <c r="I419" s="95">
        <f>'Planning Engine'!H419</f>
        <v>87828</v>
      </c>
      <c r="J419" s="96">
        <f ca="1">'Planning Engine'!J419</f>
        <v>999</v>
      </c>
      <c r="K419" s="95">
        <f ca="1">'Planning Engine'!K419</f>
        <v>0</v>
      </c>
      <c r="L419" s="12" t="str">
        <f ca="1">'Planning Engine'!L419</f>
        <v>Overstock</v>
      </c>
      <c r="M419" s="93">
        <f>'Planning Engine'!S419</f>
        <v>47635</v>
      </c>
      <c r="N419" s="95">
        <f>'Planning Engine'!T419</f>
        <v>0</v>
      </c>
      <c r="O419" s="98" t="s">
        <v>1451</v>
      </c>
      <c r="P419" s="4" t="str">
        <f t="shared" ca="1" si="13"/>
        <v>Defer / consume inventory</v>
      </c>
    </row>
    <row r="420" spans="1:16" ht="13" customHeight="1" x14ac:dyDescent="0.35">
      <c r="A420" s="93">
        <v>47818</v>
      </c>
      <c r="B420" s="61" t="s">
        <v>36</v>
      </c>
      <c r="C420" s="12" t="str">
        <f>'Planning Engine'!C420</f>
        <v>Drug Product</v>
      </c>
      <c r="D420" s="12" t="str">
        <f>'Planning Engine'!D420</f>
        <v>units</v>
      </c>
      <c r="E420" s="95">
        <f>'Planning Engine'!E420</f>
        <v>87828</v>
      </c>
      <c r="F420" s="95">
        <f>'Planning Engine'!F420</f>
        <v>0</v>
      </c>
      <c r="G420" s="95">
        <f>'Planning Engine'!G420</f>
        <v>0</v>
      </c>
      <c r="H420" s="95">
        <f t="shared" si="12"/>
        <v>0</v>
      </c>
      <c r="I420" s="95">
        <f>'Planning Engine'!H420</f>
        <v>87828</v>
      </c>
      <c r="J420" s="96">
        <f ca="1">'Planning Engine'!J420</f>
        <v>999</v>
      </c>
      <c r="K420" s="95">
        <f ca="1">'Planning Engine'!K420</f>
        <v>0</v>
      </c>
      <c r="L420" s="12" t="str">
        <f ca="1">'Planning Engine'!L420</f>
        <v>Overstock</v>
      </c>
      <c r="M420" s="93">
        <f>'Planning Engine'!S420</f>
        <v>47665</v>
      </c>
      <c r="N420" s="95">
        <f>'Planning Engine'!T420</f>
        <v>0</v>
      </c>
      <c r="O420" s="94" t="s">
        <v>1452</v>
      </c>
      <c r="P420" s="12" t="str">
        <f t="shared" ca="1" si="13"/>
        <v>Defer / consume inventory</v>
      </c>
    </row>
    <row r="421" spans="1:16" ht="13" customHeight="1" x14ac:dyDescent="0.35">
      <c r="A421" s="97">
        <v>47849</v>
      </c>
      <c r="B421" s="53" t="s">
        <v>36</v>
      </c>
      <c r="C421" s="12" t="str">
        <f>'Planning Engine'!C421</f>
        <v>Drug Product</v>
      </c>
      <c r="D421" s="12" t="str">
        <f>'Planning Engine'!D421</f>
        <v>units</v>
      </c>
      <c r="E421" s="95">
        <f>'Planning Engine'!E421</f>
        <v>87828</v>
      </c>
      <c r="F421" s="95">
        <f>'Planning Engine'!F421</f>
        <v>0</v>
      </c>
      <c r="G421" s="95">
        <f>'Planning Engine'!G421</f>
        <v>0</v>
      </c>
      <c r="H421" s="99">
        <f t="shared" si="12"/>
        <v>0</v>
      </c>
      <c r="I421" s="95">
        <f>'Planning Engine'!H421</f>
        <v>87828</v>
      </c>
      <c r="J421" s="96">
        <f ca="1">'Planning Engine'!J421</f>
        <v>999</v>
      </c>
      <c r="K421" s="95">
        <f ca="1">'Planning Engine'!K421</f>
        <v>0</v>
      </c>
      <c r="L421" s="12" t="str">
        <f ca="1">'Planning Engine'!L421</f>
        <v>Overstock</v>
      </c>
      <c r="M421" s="93">
        <f>'Planning Engine'!S421</f>
        <v>47696</v>
      </c>
      <c r="N421" s="95">
        <f>'Planning Engine'!T421</f>
        <v>0</v>
      </c>
      <c r="O421" s="98" t="s">
        <v>1453</v>
      </c>
      <c r="P421" s="4" t="str">
        <f t="shared" ca="1" si="13"/>
        <v>Defer / consume inventory</v>
      </c>
    </row>
    <row r="422" spans="1:16" ht="13" customHeight="1" x14ac:dyDescent="0.35">
      <c r="A422" s="93">
        <v>47880</v>
      </c>
      <c r="B422" s="61" t="s">
        <v>36</v>
      </c>
      <c r="C422" s="12" t="str">
        <f>'Planning Engine'!C422</f>
        <v>Drug Product</v>
      </c>
      <c r="D422" s="12" t="str">
        <f>'Planning Engine'!D422</f>
        <v>units</v>
      </c>
      <c r="E422" s="95">
        <f>'Planning Engine'!E422</f>
        <v>87828</v>
      </c>
      <c r="F422" s="95">
        <f>'Planning Engine'!F422</f>
        <v>0</v>
      </c>
      <c r="G422" s="95">
        <f>'Planning Engine'!G422</f>
        <v>0</v>
      </c>
      <c r="H422" s="95">
        <f t="shared" si="12"/>
        <v>0</v>
      </c>
      <c r="I422" s="95">
        <f>'Planning Engine'!H422</f>
        <v>87828</v>
      </c>
      <c r="J422" s="96">
        <f ca="1">'Planning Engine'!J422</f>
        <v>999</v>
      </c>
      <c r="K422" s="95">
        <f ca="1">'Planning Engine'!K422</f>
        <v>0</v>
      </c>
      <c r="L422" s="12" t="str">
        <f ca="1">'Planning Engine'!L422</f>
        <v>Overstock</v>
      </c>
      <c r="M422" s="93">
        <f>'Planning Engine'!S422</f>
        <v>47727</v>
      </c>
      <c r="N422" s="95">
        <f>'Planning Engine'!T422</f>
        <v>0</v>
      </c>
      <c r="O422" s="94" t="s">
        <v>1454</v>
      </c>
      <c r="P422" s="12" t="str">
        <f t="shared" ca="1" si="13"/>
        <v>Defer / consume inventory</v>
      </c>
    </row>
    <row r="423" spans="1:16" ht="13" customHeight="1" x14ac:dyDescent="0.35">
      <c r="A423" s="97">
        <v>47908</v>
      </c>
      <c r="B423" s="53" t="s">
        <v>36</v>
      </c>
      <c r="C423" s="12" t="str">
        <f>'Planning Engine'!C423</f>
        <v>Drug Product</v>
      </c>
      <c r="D423" s="12" t="str">
        <f>'Planning Engine'!D423</f>
        <v>units</v>
      </c>
      <c r="E423" s="95">
        <f>'Planning Engine'!E423</f>
        <v>87828</v>
      </c>
      <c r="F423" s="95">
        <f>'Planning Engine'!F423</f>
        <v>0</v>
      </c>
      <c r="G423" s="95">
        <f>'Planning Engine'!G423</f>
        <v>0</v>
      </c>
      <c r="H423" s="99">
        <f t="shared" si="12"/>
        <v>0</v>
      </c>
      <c r="I423" s="95">
        <f>'Planning Engine'!H423</f>
        <v>87828</v>
      </c>
      <c r="J423" s="96">
        <f ca="1">'Planning Engine'!J423</f>
        <v>999</v>
      </c>
      <c r="K423" s="95">
        <f ca="1">'Planning Engine'!K423</f>
        <v>0</v>
      </c>
      <c r="L423" s="12" t="str">
        <f ca="1">'Planning Engine'!L423</f>
        <v>Overstock</v>
      </c>
      <c r="M423" s="93">
        <f>'Planning Engine'!S423</f>
        <v>47757</v>
      </c>
      <c r="N423" s="95">
        <f>'Planning Engine'!T423</f>
        <v>0</v>
      </c>
      <c r="O423" s="98" t="s">
        <v>1455</v>
      </c>
      <c r="P423" s="4" t="str">
        <f t="shared" ca="1" si="13"/>
        <v>Defer / consume inventory</v>
      </c>
    </row>
    <row r="424" spans="1:16" ht="13" customHeight="1" x14ac:dyDescent="0.35">
      <c r="A424" s="93">
        <v>47939</v>
      </c>
      <c r="B424" s="61" t="s">
        <v>36</v>
      </c>
      <c r="C424" s="12" t="str">
        <f>'Planning Engine'!C424</f>
        <v>Drug Product</v>
      </c>
      <c r="D424" s="12" t="str">
        <f>'Planning Engine'!D424</f>
        <v>units</v>
      </c>
      <c r="E424" s="95">
        <f>'Planning Engine'!E424</f>
        <v>87828</v>
      </c>
      <c r="F424" s="95">
        <f>'Planning Engine'!F424</f>
        <v>0</v>
      </c>
      <c r="G424" s="95">
        <f>'Planning Engine'!G424</f>
        <v>0</v>
      </c>
      <c r="H424" s="95">
        <f t="shared" si="12"/>
        <v>0</v>
      </c>
      <c r="I424" s="95">
        <f>'Planning Engine'!H424</f>
        <v>87828</v>
      </c>
      <c r="J424" s="96">
        <f ca="1">'Planning Engine'!J424</f>
        <v>999</v>
      </c>
      <c r="K424" s="95">
        <f ca="1">'Planning Engine'!K424</f>
        <v>0</v>
      </c>
      <c r="L424" s="12" t="str">
        <f ca="1">'Planning Engine'!L424</f>
        <v>Overstock</v>
      </c>
      <c r="M424" s="93">
        <f>'Planning Engine'!S424</f>
        <v>47788</v>
      </c>
      <c r="N424" s="95">
        <f>'Planning Engine'!T424</f>
        <v>0</v>
      </c>
      <c r="O424" s="94" t="s">
        <v>1456</v>
      </c>
      <c r="P424" s="12" t="str">
        <f t="shared" ca="1" si="13"/>
        <v>Defer / consume inventory</v>
      </c>
    </row>
    <row r="425" spans="1:16" ht="13" customHeight="1" x14ac:dyDescent="0.35">
      <c r="A425" s="97">
        <v>47969</v>
      </c>
      <c r="B425" s="53" t="s">
        <v>36</v>
      </c>
      <c r="C425" s="12" t="str">
        <f>'Planning Engine'!C425</f>
        <v>Drug Product</v>
      </c>
      <c r="D425" s="12" t="str">
        <f>'Planning Engine'!D425</f>
        <v>units</v>
      </c>
      <c r="E425" s="95">
        <f>'Planning Engine'!E425</f>
        <v>87828</v>
      </c>
      <c r="F425" s="95">
        <f>'Planning Engine'!F425</f>
        <v>0</v>
      </c>
      <c r="G425" s="95">
        <f>'Planning Engine'!G425</f>
        <v>0</v>
      </c>
      <c r="H425" s="99">
        <f t="shared" si="12"/>
        <v>0</v>
      </c>
      <c r="I425" s="95">
        <f>'Planning Engine'!H425</f>
        <v>87828</v>
      </c>
      <c r="J425" s="96">
        <f ca="1">'Planning Engine'!J425</f>
        <v>999</v>
      </c>
      <c r="K425" s="95">
        <f ca="1">'Planning Engine'!K425</f>
        <v>0</v>
      </c>
      <c r="L425" s="12" t="str">
        <f ca="1">'Planning Engine'!L425</f>
        <v>Overstock</v>
      </c>
      <c r="M425" s="93">
        <f>'Planning Engine'!S425</f>
        <v>47818</v>
      </c>
      <c r="N425" s="95">
        <f>'Planning Engine'!T425</f>
        <v>0</v>
      </c>
      <c r="O425" s="98" t="s">
        <v>1457</v>
      </c>
      <c r="P425" s="4" t="str">
        <f t="shared" ca="1" si="13"/>
        <v>Defer / consume inventory</v>
      </c>
    </row>
    <row r="426" spans="1:16" ht="13" customHeight="1" x14ac:dyDescent="0.35">
      <c r="A426" s="93">
        <v>48000</v>
      </c>
      <c r="B426" s="61" t="s">
        <v>36</v>
      </c>
      <c r="C426" s="12" t="str">
        <f>'Planning Engine'!C426</f>
        <v>Drug Product</v>
      </c>
      <c r="D426" s="12" t="str">
        <f>'Planning Engine'!D426</f>
        <v>units</v>
      </c>
      <c r="E426" s="95">
        <f>'Planning Engine'!E426</f>
        <v>87828</v>
      </c>
      <c r="F426" s="95">
        <f>'Planning Engine'!F426</f>
        <v>0</v>
      </c>
      <c r="G426" s="95">
        <f>'Planning Engine'!G426</f>
        <v>0</v>
      </c>
      <c r="H426" s="95">
        <f t="shared" si="12"/>
        <v>0</v>
      </c>
      <c r="I426" s="95">
        <f>'Planning Engine'!H426</f>
        <v>87828</v>
      </c>
      <c r="J426" s="96">
        <f ca="1">'Planning Engine'!J426</f>
        <v>999</v>
      </c>
      <c r="K426" s="95">
        <f ca="1">'Planning Engine'!K426</f>
        <v>0</v>
      </c>
      <c r="L426" s="12" t="str">
        <f ca="1">'Planning Engine'!L426</f>
        <v>Overstock</v>
      </c>
      <c r="M426" s="93">
        <f>'Planning Engine'!S426</f>
        <v>47849</v>
      </c>
      <c r="N426" s="95">
        <f>'Planning Engine'!T426</f>
        <v>0</v>
      </c>
      <c r="O426" s="94" t="s">
        <v>1458</v>
      </c>
      <c r="P426" s="12" t="str">
        <f t="shared" ca="1" si="13"/>
        <v>Defer / consume inventory</v>
      </c>
    </row>
    <row r="427" spans="1:16" ht="13" customHeight="1" x14ac:dyDescent="0.35">
      <c r="A427" s="97">
        <v>48030</v>
      </c>
      <c r="B427" s="53" t="s">
        <v>36</v>
      </c>
      <c r="C427" s="12" t="str">
        <f>'Planning Engine'!C427</f>
        <v>Drug Product</v>
      </c>
      <c r="D427" s="12" t="str">
        <f>'Planning Engine'!D427</f>
        <v>units</v>
      </c>
      <c r="E427" s="95">
        <f>'Planning Engine'!E427</f>
        <v>87828</v>
      </c>
      <c r="F427" s="95">
        <f>'Planning Engine'!F427</f>
        <v>0</v>
      </c>
      <c r="G427" s="95">
        <f>'Planning Engine'!G427</f>
        <v>0</v>
      </c>
      <c r="H427" s="99">
        <f t="shared" si="12"/>
        <v>0</v>
      </c>
      <c r="I427" s="95">
        <f>'Planning Engine'!H427</f>
        <v>87828</v>
      </c>
      <c r="J427" s="96">
        <f ca="1">'Planning Engine'!J427</f>
        <v>999</v>
      </c>
      <c r="K427" s="95">
        <f ca="1">'Planning Engine'!K427</f>
        <v>0</v>
      </c>
      <c r="L427" s="12" t="str">
        <f ca="1">'Planning Engine'!L427</f>
        <v>Overstock</v>
      </c>
      <c r="M427" s="93">
        <f>'Planning Engine'!S427</f>
        <v>47880</v>
      </c>
      <c r="N427" s="95">
        <f>'Planning Engine'!T427</f>
        <v>0</v>
      </c>
      <c r="O427" s="98" t="s">
        <v>1459</v>
      </c>
      <c r="P427" s="4" t="str">
        <f t="shared" ca="1" si="13"/>
        <v>Defer / consume inventory</v>
      </c>
    </row>
    <row r="428" spans="1:16" ht="13" customHeight="1" x14ac:dyDescent="0.35">
      <c r="A428" s="93">
        <v>48061</v>
      </c>
      <c r="B428" s="61" t="s">
        <v>36</v>
      </c>
      <c r="C428" s="12" t="str">
        <f>'Planning Engine'!C428</f>
        <v>Drug Product</v>
      </c>
      <c r="D428" s="12" t="str">
        <f>'Planning Engine'!D428</f>
        <v>units</v>
      </c>
      <c r="E428" s="95">
        <f>'Planning Engine'!E428</f>
        <v>87828</v>
      </c>
      <c r="F428" s="95">
        <f>'Planning Engine'!F428</f>
        <v>0</v>
      </c>
      <c r="G428" s="95">
        <f>'Planning Engine'!G428</f>
        <v>0</v>
      </c>
      <c r="H428" s="95">
        <f t="shared" si="12"/>
        <v>0</v>
      </c>
      <c r="I428" s="95">
        <f>'Planning Engine'!H428</f>
        <v>87828</v>
      </c>
      <c r="J428" s="96">
        <f ca="1">'Planning Engine'!J428</f>
        <v>999</v>
      </c>
      <c r="K428" s="95">
        <f ca="1">'Planning Engine'!K428</f>
        <v>0</v>
      </c>
      <c r="L428" s="12" t="str">
        <f ca="1">'Planning Engine'!L428</f>
        <v>Overstock</v>
      </c>
      <c r="M428" s="93">
        <f>'Planning Engine'!S428</f>
        <v>47908</v>
      </c>
      <c r="N428" s="95">
        <f>'Planning Engine'!T428</f>
        <v>0</v>
      </c>
      <c r="O428" s="94" t="s">
        <v>1460</v>
      </c>
      <c r="P428" s="12" t="str">
        <f t="shared" ca="1" si="13"/>
        <v>Defer / consume inventory</v>
      </c>
    </row>
    <row r="429" spans="1:16" ht="13" customHeight="1" x14ac:dyDescent="0.35">
      <c r="A429" s="97">
        <v>48092</v>
      </c>
      <c r="B429" s="53" t="s">
        <v>36</v>
      </c>
      <c r="C429" s="12" t="str">
        <f>'Planning Engine'!C429</f>
        <v>Drug Product</v>
      </c>
      <c r="D429" s="12" t="str">
        <f>'Planning Engine'!D429</f>
        <v>units</v>
      </c>
      <c r="E429" s="95">
        <f>'Planning Engine'!E429</f>
        <v>87828</v>
      </c>
      <c r="F429" s="95">
        <f>'Planning Engine'!F429</f>
        <v>0</v>
      </c>
      <c r="G429" s="95">
        <f>'Planning Engine'!G429</f>
        <v>0</v>
      </c>
      <c r="H429" s="99">
        <f t="shared" si="12"/>
        <v>0</v>
      </c>
      <c r="I429" s="95">
        <f>'Planning Engine'!H429</f>
        <v>87828</v>
      </c>
      <c r="J429" s="96">
        <f ca="1">'Planning Engine'!J429</f>
        <v>999</v>
      </c>
      <c r="K429" s="95">
        <f ca="1">'Planning Engine'!K429</f>
        <v>0</v>
      </c>
      <c r="L429" s="12" t="str">
        <f ca="1">'Planning Engine'!L429</f>
        <v>Overstock</v>
      </c>
      <c r="M429" s="93">
        <f>'Planning Engine'!S429</f>
        <v>47939</v>
      </c>
      <c r="N429" s="95">
        <f>'Planning Engine'!T429</f>
        <v>0</v>
      </c>
      <c r="O429" s="98" t="s">
        <v>1461</v>
      </c>
      <c r="P429" s="4" t="str">
        <f t="shared" ca="1" si="13"/>
        <v>Defer / consume inventory</v>
      </c>
    </row>
    <row r="430" spans="1:16" ht="13" customHeight="1" x14ac:dyDescent="0.35">
      <c r="A430" s="93">
        <v>48122</v>
      </c>
      <c r="B430" s="61" t="s">
        <v>36</v>
      </c>
      <c r="C430" s="12" t="str">
        <f>'Planning Engine'!C430</f>
        <v>Drug Product</v>
      </c>
      <c r="D430" s="12" t="str">
        <f>'Planning Engine'!D430</f>
        <v>units</v>
      </c>
      <c r="E430" s="95">
        <f>'Planning Engine'!E430</f>
        <v>87828</v>
      </c>
      <c r="F430" s="95">
        <f>'Planning Engine'!F430</f>
        <v>0</v>
      </c>
      <c r="G430" s="95">
        <f>'Planning Engine'!G430</f>
        <v>0</v>
      </c>
      <c r="H430" s="95">
        <f t="shared" si="12"/>
        <v>0</v>
      </c>
      <c r="I430" s="95">
        <f>'Planning Engine'!H430</f>
        <v>87828</v>
      </c>
      <c r="J430" s="96">
        <f ca="1">'Planning Engine'!J430</f>
        <v>999</v>
      </c>
      <c r="K430" s="95">
        <f ca="1">'Planning Engine'!K430</f>
        <v>0</v>
      </c>
      <c r="L430" s="12" t="str">
        <f ca="1">'Planning Engine'!L430</f>
        <v>Overstock</v>
      </c>
      <c r="M430" s="93">
        <f>'Planning Engine'!S430</f>
        <v>47969</v>
      </c>
      <c r="N430" s="95">
        <f>'Planning Engine'!T430</f>
        <v>0</v>
      </c>
      <c r="O430" s="94" t="s">
        <v>1462</v>
      </c>
      <c r="P430" s="12" t="str">
        <f t="shared" ca="1" si="13"/>
        <v>Defer / consume inventory</v>
      </c>
    </row>
    <row r="431" spans="1:16" ht="13" customHeight="1" x14ac:dyDescent="0.35">
      <c r="A431" s="97">
        <v>48153</v>
      </c>
      <c r="B431" s="53" t="s">
        <v>36</v>
      </c>
      <c r="C431" s="12" t="str">
        <f>'Planning Engine'!C431</f>
        <v>Drug Product</v>
      </c>
      <c r="D431" s="12" t="str">
        <f>'Planning Engine'!D431</f>
        <v>units</v>
      </c>
      <c r="E431" s="95">
        <f>'Planning Engine'!E431</f>
        <v>87828</v>
      </c>
      <c r="F431" s="95">
        <f>'Planning Engine'!F431</f>
        <v>0</v>
      </c>
      <c r="G431" s="95">
        <f>'Planning Engine'!G431</f>
        <v>0</v>
      </c>
      <c r="H431" s="99">
        <f t="shared" si="12"/>
        <v>0</v>
      </c>
      <c r="I431" s="95">
        <f>'Planning Engine'!H431</f>
        <v>87828</v>
      </c>
      <c r="J431" s="96">
        <f ca="1">'Planning Engine'!J431</f>
        <v>999</v>
      </c>
      <c r="K431" s="95">
        <f ca="1">'Planning Engine'!K431</f>
        <v>0</v>
      </c>
      <c r="L431" s="12" t="str">
        <f ca="1">'Planning Engine'!L431</f>
        <v>Overstock</v>
      </c>
      <c r="M431" s="93">
        <f>'Planning Engine'!S431</f>
        <v>48000</v>
      </c>
      <c r="N431" s="95">
        <f>'Planning Engine'!T431</f>
        <v>0</v>
      </c>
      <c r="O431" s="98" t="s">
        <v>1463</v>
      </c>
      <c r="P431" s="4" t="str">
        <f t="shared" ca="1" si="13"/>
        <v>Defer / consume inventory</v>
      </c>
    </row>
    <row r="432" spans="1:16" ht="13" customHeight="1" x14ac:dyDescent="0.35">
      <c r="A432" s="93">
        <v>48183</v>
      </c>
      <c r="B432" s="61" t="s">
        <v>36</v>
      </c>
      <c r="C432" s="12" t="str">
        <f>'Planning Engine'!C432</f>
        <v>Drug Product</v>
      </c>
      <c r="D432" s="12" t="str">
        <f>'Planning Engine'!D432</f>
        <v>units</v>
      </c>
      <c r="E432" s="95">
        <f>'Planning Engine'!E432</f>
        <v>87828</v>
      </c>
      <c r="F432" s="95">
        <f>'Planning Engine'!F432</f>
        <v>0</v>
      </c>
      <c r="G432" s="95">
        <f>'Planning Engine'!G432</f>
        <v>0</v>
      </c>
      <c r="H432" s="95">
        <f t="shared" si="12"/>
        <v>0</v>
      </c>
      <c r="I432" s="95">
        <f>'Planning Engine'!H432</f>
        <v>87828</v>
      </c>
      <c r="J432" s="96">
        <f ca="1">'Planning Engine'!J432</f>
        <v>999</v>
      </c>
      <c r="K432" s="95">
        <f ca="1">'Planning Engine'!K432</f>
        <v>0</v>
      </c>
      <c r="L432" s="12" t="str">
        <f ca="1">'Planning Engine'!L432</f>
        <v>Overstock</v>
      </c>
      <c r="M432" s="93">
        <f>'Planning Engine'!S432</f>
        <v>48030</v>
      </c>
      <c r="N432" s="95">
        <f>'Planning Engine'!T432</f>
        <v>0</v>
      </c>
      <c r="O432" s="94" t="s">
        <v>1464</v>
      </c>
      <c r="P432" s="12" t="str">
        <f t="shared" ca="1" si="13"/>
        <v>Defer / consume inventory</v>
      </c>
    </row>
    <row r="433" spans="1:16" ht="13" customHeight="1" x14ac:dyDescent="0.35">
      <c r="A433" s="97">
        <v>48214</v>
      </c>
      <c r="B433" s="53" t="s">
        <v>36</v>
      </c>
      <c r="C433" s="12" t="str">
        <f>'Planning Engine'!C433</f>
        <v>Drug Product</v>
      </c>
      <c r="D433" s="12" t="str">
        <f>'Planning Engine'!D433</f>
        <v>units</v>
      </c>
      <c r="E433" s="95">
        <f>'Planning Engine'!E433</f>
        <v>87828</v>
      </c>
      <c r="F433" s="95">
        <f>'Planning Engine'!F433</f>
        <v>0</v>
      </c>
      <c r="G433" s="95">
        <f>'Planning Engine'!G433</f>
        <v>0</v>
      </c>
      <c r="H433" s="99">
        <f t="shared" si="12"/>
        <v>0</v>
      </c>
      <c r="I433" s="95">
        <f>'Planning Engine'!H433</f>
        <v>87828</v>
      </c>
      <c r="J433" s="96">
        <f ca="1">'Planning Engine'!J433</f>
        <v>999</v>
      </c>
      <c r="K433" s="95">
        <f ca="1">'Planning Engine'!K433</f>
        <v>0</v>
      </c>
      <c r="L433" s="12" t="str">
        <f ca="1">'Planning Engine'!L433</f>
        <v>Overstock</v>
      </c>
      <c r="M433" s="93">
        <f>'Planning Engine'!S433</f>
        <v>48061</v>
      </c>
      <c r="N433" s="95">
        <f>'Planning Engine'!T433</f>
        <v>0</v>
      </c>
      <c r="O433" s="98" t="s">
        <v>1465</v>
      </c>
      <c r="P433" s="4" t="str">
        <f t="shared" ca="1" si="13"/>
        <v>Defer / consume inventory</v>
      </c>
    </row>
    <row r="434" spans="1:16" ht="13" customHeight="1" x14ac:dyDescent="0.35">
      <c r="A434" s="93">
        <v>48245</v>
      </c>
      <c r="B434" s="61" t="s">
        <v>36</v>
      </c>
      <c r="C434" s="12" t="str">
        <f>'Planning Engine'!C434</f>
        <v>Drug Product</v>
      </c>
      <c r="D434" s="12" t="str">
        <f>'Planning Engine'!D434</f>
        <v>units</v>
      </c>
      <c r="E434" s="95">
        <f>'Planning Engine'!E434</f>
        <v>87828</v>
      </c>
      <c r="F434" s="95">
        <f>'Planning Engine'!F434</f>
        <v>0</v>
      </c>
      <c r="G434" s="95">
        <f>'Planning Engine'!G434</f>
        <v>0</v>
      </c>
      <c r="H434" s="95">
        <f t="shared" si="12"/>
        <v>0</v>
      </c>
      <c r="I434" s="95">
        <f>'Planning Engine'!H434</f>
        <v>87828</v>
      </c>
      <c r="J434" s="96">
        <f ca="1">'Planning Engine'!J434</f>
        <v>999</v>
      </c>
      <c r="K434" s="95">
        <f ca="1">'Planning Engine'!K434</f>
        <v>0</v>
      </c>
      <c r="L434" s="12" t="str">
        <f ca="1">'Planning Engine'!L434</f>
        <v>Overstock</v>
      </c>
      <c r="M434" s="93">
        <f>'Planning Engine'!S434</f>
        <v>48092</v>
      </c>
      <c r="N434" s="95">
        <f>'Planning Engine'!T434</f>
        <v>0</v>
      </c>
      <c r="O434" s="94" t="s">
        <v>1466</v>
      </c>
      <c r="P434" s="12" t="str">
        <f t="shared" ca="1" si="13"/>
        <v>Defer / consume inventory</v>
      </c>
    </row>
    <row r="435" spans="1:16" ht="13" customHeight="1" x14ac:dyDescent="0.35">
      <c r="A435" s="97">
        <v>48274</v>
      </c>
      <c r="B435" s="53" t="s">
        <v>36</v>
      </c>
      <c r="C435" s="12" t="str">
        <f>'Planning Engine'!C435</f>
        <v>Drug Product</v>
      </c>
      <c r="D435" s="12" t="str">
        <f>'Planning Engine'!D435</f>
        <v>units</v>
      </c>
      <c r="E435" s="95">
        <f>'Planning Engine'!E435</f>
        <v>87828</v>
      </c>
      <c r="F435" s="95">
        <f>'Planning Engine'!F435</f>
        <v>0</v>
      </c>
      <c r="G435" s="95">
        <f>'Planning Engine'!G435</f>
        <v>0</v>
      </c>
      <c r="H435" s="99">
        <f t="shared" si="12"/>
        <v>0</v>
      </c>
      <c r="I435" s="95">
        <f>'Planning Engine'!H435</f>
        <v>87828</v>
      </c>
      <c r="J435" s="96">
        <f ca="1">'Planning Engine'!J435</f>
        <v>999</v>
      </c>
      <c r="K435" s="95">
        <f ca="1">'Planning Engine'!K435</f>
        <v>0</v>
      </c>
      <c r="L435" s="12" t="str">
        <f ca="1">'Planning Engine'!L435</f>
        <v>Overstock</v>
      </c>
      <c r="M435" s="93">
        <f>'Planning Engine'!S435</f>
        <v>48122</v>
      </c>
      <c r="N435" s="95">
        <f>'Planning Engine'!T435</f>
        <v>0</v>
      </c>
      <c r="O435" s="98" t="s">
        <v>1467</v>
      </c>
      <c r="P435" s="4" t="str">
        <f t="shared" ca="1" si="13"/>
        <v>Defer / consume inventory</v>
      </c>
    </row>
    <row r="436" spans="1:16" ht="13" customHeight="1" x14ac:dyDescent="0.35">
      <c r="A436" s="93">
        <v>48305</v>
      </c>
      <c r="B436" s="61" t="s">
        <v>36</v>
      </c>
      <c r="C436" s="12" t="str">
        <f>'Planning Engine'!C436</f>
        <v>Drug Product</v>
      </c>
      <c r="D436" s="12" t="str">
        <f>'Planning Engine'!D436</f>
        <v>units</v>
      </c>
      <c r="E436" s="95">
        <f>'Planning Engine'!E436</f>
        <v>87828</v>
      </c>
      <c r="F436" s="95">
        <f>'Planning Engine'!F436</f>
        <v>0</v>
      </c>
      <c r="G436" s="95">
        <f>'Planning Engine'!G436</f>
        <v>0</v>
      </c>
      <c r="H436" s="95">
        <f t="shared" si="12"/>
        <v>0</v>
      </c>
      <c r="I436" s="95">
        <f>'Planning Engine'!H436</f>
        <v>87828</v>
      </c>
      <c r="J436" s="96">
        <f ca="1">'Planning Engine'!J436</f>
        <v>999</v>
      </c>
      <c r="K436" s="95">
        <f ca="1">'Planning Engine'!K436</f>
        <v>0</v>
      </c>
      <c r="L436" s="12" t="str">
        <f ca="1">'Planning Engine'!L436</f>
        <v>Overstock</v>
      </c>
      <c r="M436" s="93">
        <f>'Planning Engine'!S436</f>
        <v>48153</v>
      </c>
      <c r="N436" s="95">
        <f>'Planning Engine'!T436</f>
        <v>0</v>
      </c>
      <c r="O436" s="94" t="s">
        <v>1468</v>
      </c>
      <c r="P436" s="12" t="str">
        <f t="shared" ca="1" si="13"/>
        <v>Defer / consume inventory</v>
      </c>
    </row>
    <row r="437" spans="1:16" ht="13" customHeight="1" x14ac:dyDescent="0.35">
      <c r="A437" s="97">
        <v>48335</v>
      </c>
      <c r="B437" s="53" t="s">
        <v>36</v>
      </c>
      <c r="C437" s="12" t="str">
        <f>'Planning Engine'!C437</f>
        <v>Drug Product</v>
      </c>
      <c r="D437" s="12" t="str">
        <f>'Planning Engine'!D437</f>
        <v>units</v>
      </c>
      <c r="E437" s="95">
        <f>'Planning Engine'!E437</f>
        <v>87828</v>
      </c>
      <c r="F437" s="95">
        <f>'Planning Engine'!F437</f>
        <v>0</v>
      </c>
      <c r="G437" s="95">
        <f>'Planning Engine'!G437</f>
        <v>0</v>
      </c>
      <c r="H437" s="99">
        <f t="shared" si="12"/>
        <v>0</v>
      </c>
      <c r="I437" s="95">
        <f>'Planning Engine'!H437</f>
        <v>87828</v>
      </c>
      <c r="J437" s="96">
        <f ca="1">'Planning Engine'!J437</f>
        <v>999</v>
      </c>
      <c r="K437" s="95">
        <f ca="1">'Planning Engine'!K437</f>
        <v>0</v>
      </c>
      <c r="L437" s="12" t="str">
        <f ca="1">'Planning Engine'!L437</f>
        <v>Overstock</v>
      </c>
      <c r="M437" s="93">
        <f>'Planning Engine'!S437</f>
        <v>48183</v>
      </c>
      <c r="N437" s="95">
        <f>'Planning Engine'!T437</f>
        <v>0</v>
      </c>
      <c r="O437" s="98" t="s">
        <v>1469</v>
      </c>
      <c r="P437" s="4" t="str">
        <f t="shared" ca="1" si="13"/>
        <v>Defer / consume inventory</v>
      </c>
    </row>
    <row r="438" spans="1:16" ht="13" customHeight="1" x14ac:dyDescent="0.35">
      <c r="A438" s="93">
        <v>48366</v>
      </c>
      <c r="B438" s="61" t="s">
        <v>36</v>
      </c>
      <c r="C438" s="12" t="str">
        <f>'Planning Engine'!C438</f>
        <v>Drug Product</v>
      </c>
      <c r="D438" s="12" t="str">
        <f>'Planning Engine'!D438</f>
        <v>units</v>
      </c>
      <c r="E438" s="95">
        <f>'Planning Engine'!E438</f>
        <v>87828</v>
      </c>
      <c r="F438" s="95">
        <f>'Planning Engine'!F438</f>
        <v>0</v>
      </c>
      <c r="G438" s="95">
        <f>'Planning Engine'!G438</f>
        <v>0</v>
      </c>
      <c r="H438" s="95">
        <f t="shared" si="12"/>
        <v>0</v>
      </c>
      <c r="I438" s="95">
        <f>'Planning Engine'!H438</f>
        <v>87828</v>
      </c>
      <c r="J438" s="96">
        <f ca="1">'Planning Engine'!J438</f>
        <v>999</v>
      </c>
      <c r="K438" s="95">
        <f ca="1">'Planning Engine'!K438</f>
        <v>0</v>
      </c>
      <c r="L438" s="12" t="str">
        <f ca="1">'Planning Engine'!L438</f>
        <v>Overstock</v>
      </c>
      <c r="M438" s="93">
        <f>'Planning Engine'!S438</f>
        <v>48214</v>
      </c>
      <c r="N438" s="95">
        <f>'Planning Engine'!T438</f>
        <v>0</v>
      </c>
      <c r="O438" s="94" t="s">
        <v>1470</v>
      </c>
      <c r="P438" s="12" t="str">
        <f t="shared" ca="1" si="13"/>
        <v>Defer / consume inventory</v>
      </c>
    </row>
    <row r="439" spans="1:16" ht="13" customHeight="1" x14ac:dyDescent="0.35">
      <c r="A439" s="97">
        <v>48396</v>
      </c>
      <c r="B439" s="53" t="s">
        <v>36</v>
      </c>
      <c r="C439" s="12" t="str">
        <f>'Planning Engine'!C439</f>
        <v>Drug Product</v>
      </c>
      <c r="D439" s="12" t="str">
        <f>'Planning Engine'!D439</f>
        <v>units</v>
      </c>
      <c r="E439" s="95">
        <f>'Planning Engine'!E439</f>
        <v>87828</v>
      </c>
      <c r="F439" s="95">
        <f>'Planning Engine'!F439</f>
        <v>0</v>
      </c>
      <c r="G439" s="95">
        <f>'Planning Engine'!G439</f>
        <v>0</v>
      </c>
      <c r="H439" s="99">
        <f t="shared" si="12"/>
        <v>0</v>
      </c>
      <c r="I439" s="95">
        <f>'Planning Engine'!H439</f>
        <v>87828</v>
      </c>
      <c r="J439" s="96">
        <f ca="1">'Planning Engine'!J439</f>
        <v>999</v>
      </c>
      <c r="K439" s="95">
        <f ca="1">'Planning Engine'!K439</f>
        <v>0</v>
      </c>
      <c r="L439" s="12" t="str">
        <f ca="1">'Planning Engine'!L439</f>
        <v>Overstock</v>
      </c>
      <c r="M439" s="93">
        <f>'Planning Engine'!S439</f>
        <v>48245</v>
      </c>
      <c r="N439" s="95">
        <f>'Planning Engine'!T439</f>
        <v>0</v>
      </c>
      <c r="O439" s="98" t="s">
        <v>1471</v>
      </c>
      <c r="P439" s="4" t="str">
        <f t="shared" ca="1" si="13"/>
        <v>Defer / consume inventory</v>
      </c>
    </row>
    <row r="440" spans="1:16" ht="13" customHeight="1" x14ac:dyDescent="0.35">
      <c r="A440" s="93">
        <v>48427</v>
      </c>
      <c r="B440" s="61" t="s">
        <v>36</v>
      </c>
      <c r="C440" s="12" t="str">
        <f>'Planning Engine'!C440</f>
        <v>Drug Product</v>
      </c>
      <c r="D440" s="12" t="str">
        <f>'Planning Engine'!D440</f>
        <v>units</v>
      </c>
      <c r="E440" s="95">
        <f>'Planning Engine'!E440</f>
        <v>87828</v>
      </c>
      <c r="F440" s="95">
        <f>'Planning Engine'!F440</f>
        <v>0</v>
      </c>
      <c r="G440" s="95">
        <f>'Planning Engine'!G440</f>
        <v>0</v>
      </c>
      <c r="H440" s="95">
        <f t="shared" si="12"/>
        <v>0</v>
      </c>
      <c r="I440" s="95">
        <f>'Planning Engine'!H440</f>
        <v>87828</v>
      </c>
      <c r="J440" s="96">
        <f ca="1">'Planning Engine'!J440</f>
        <v>999</v>
      </c>
      <c r="K440" s="95">
        <f ca="1">'Planning Engine'!K440</f>
        <v>0</v>
      </c>
      <c r="L440" s="12" t="str">
        <f ca="1">'Planning Engine'!L440</f>
        <v>Overstock</v>
      </c>
      <c r="M440" s="93">
        <f>'Planning Engine'!S440</f>
        <v>48274</v>
      </c>
      <c r="N440" s="95">
        <f>'Planning Engine'!T440</f>
        <v>0</v>
      </c>
      <c r="O440" s="94" t="s">
        <v>1472</v>
      </c>
      <c r="P440" s="12" t="str">
        <f t="shared" ca="1" si="13"/>
        <v>Defer / consume inventory</v>
      </c>
    </row>
    <row r="441" spans="1:16" ht="13" customHeight="1" x14ac:dyDescent="0.35">
      <c r="A441" s="97">
        <v>48458</v>
      </c>
      <c r="B441" s="53" t="s">
        <v>36</v>
      </c>
      <c r="C441" s="12" t="str">
        <f>'Planning Engine'!C441</f>
        <v>Drug Product</v>
      </c>
      <c r="D441" s="12" t="str">
        <f>'Planning Engine'!D441</f>
        <v>units</v>
      </c>
      <c r="E441" s="95">
        <f>'Planning Engine'!E441</f>
        <v>87828</v>
      </c>
      <c r="F441" s="95">
        <f>'Planning Engine'!F441</f>
        <v>0</v>
      </c>
      <c r="G441" s="95">
        <f>'Planning Engine'!G441</f>
        <v>0</v>
      </c>
      <c r="H441" s="99">
        <f t="shared" si="12"/>
        <v>0</v>
      </c>
      <c r="I441" s="95">
        <f>'Planning Engine'!H441</f>
        <v>87828</v>
      </c>
      <c r="J441" s="96">
        <f ca="1">'Planning Engine'!J441</f>
        <v>999</v>
      </c>
      <c r="K441" s="95">
        <f ca="1">'Planning Engine'!K441</f>
        <v>0</v>
      </c>
      <c r="L441" s="12" t="str">
        <f ca="1">'Planning Engine'!L441</f>
        <v>Overstock</v>
      </c>
      <c r="M441" s="93">
        <f>'Planning Engine'!S441</f>
        <v>48305</v>
      </c>
      <c r="N441" s="95">
        <f>'Planning Engine'!T441</f>
        <v>0</v>
      </c>
      <c r="O441" s="98" t="s">
        <v>1473</v>
      </c>
      <c r="P441" s="4" t="str">
        <f t="shared" ca="1" si="13"/>
        <v>Defer / consume inventory</v>
      </c>
    </row>
    <row r="442" spans="1:16" ht="13" customHeight="1" x14ac:dyDescent="0.35">
      <c r="A442" s="93">
        <v>48488</v>
      </c>
      <c r="B442" s="61" t="s">
        <v>36</v>
      </c>
      <c r="C442" s="12" t="str">
        <f>'Planning Engine'!C442</f>
        <v>Drug Product</v>
      </c>
      <c r="D442" s="12" t="str">
        <f>'Planning Engine'!D442</f>
        <v>units</v>
      </c>
      <c r="E442" s="95">
        <f>'Planning Engine'!E442</f>
        <v>87828</v>
      </c>
      <c r="F442" s="95">
        <f>'Planning Engine'!F442</f>
        <v>0</v>
      </c>
      <c r="G442" s="95">
        <f>'Planning Engine'!G442</f>
        <v>0</v>
      </c>
      <c r="H442" s="95">
        <f t="shared" si="12"/>
        <v>0</v>
      </c>
      <c r="I442" s="95">
        <f>'Planning Engine'!H442</f>
        <v>87828</v>
      </c>
      <c r="J442" s="96">
        <f ca="1">'Planning Engine'!J442</f>
        <v>999</v>
      </c>
      <c r="K442" s="95">
        <f ca="1">'Planning Engine'!K442</f>
        <v>0</v>
      </c>
      <c r="L442" s="12" t="str">
        <f ca="1">'Planning Engine'!L442</f>
        <v>Overstock</v>
      </c>
      <c r="M442" s="93">
        <f>'Planning Engine'!S442</f>
        <v>48335</v>
      </c>
      <c r="N442" s="95">
        <f>'Planning Engine'!T442</f>
        <v>0</v>
      </c>
      <c r="O442" s="94" t="s">
        <v>1474</v>
      </c>
      <c r="P442" s="12" t="str">
        <f t="shared" ca="1" si="13"/>
        <v>Defer / consume inventory</v>
      </c>
    </row>
    <row r="443" spans="1:16" ht="13" customHeight="1" x14ac:dyDescent="0.35">
      <c r="A443" s="97">
        <v>48519</v>
      </c>
      <c r="B443" s="53" t="s">
        <v>36</v>
      </c>
      <c r="C443" s="12" t="str">
        <f>'Planning Engine'!C443</f>
        <v>Drug Product</v>
      </c>
      <c r="D443" s="12" t="str">
        <f>'Planning Engine'!D443</f>
        <v>units</v>
      </c>
      <c r="E443" s="95">
        <f>'Planning Engine'!E443</f>
        <v>87828</v>
      </c>
      <c r="F443" s="95">
        <f>'Planning Engine'!F443</f>
        <v>0</v>
      </c>
      <c r="G443" s="95">
        <f>'Planning Engine'!G443</f>
        <v>0</v>
      </c>
      <c r="H443" s="99">
        <f t="shared" si="12"/>
        <v>0</v>
      </c>
      <c r="I443" s="95">
        <f>'Planning Engine'!H443</f>
        <v>87828</v>
      </c>
      <c r="J443" s="96">
        <f ca="1">'Planning Engine'!J443</f>
        <v>999</v>
      </c>
      <c r="K443" s="95">
        <f ca="1">'Planning Engine'!K443</f>
        <v>0</v>
      </c>
      <c r="L443" s="12" t="str">
        <f ca="1">'Planning Engine'!L443</f>
        <v>Overstock</v>
      </c>
      <c r="M443" s="93">
        <f>'Planning Engine'!S443</f>
        <v>48366</v>
      </c>
      <c r="N443" s="95">
        <f>'Planning Engine'!T443</f>
        <v>0</v>
      </c>
      <c r="O443" s="98" t="s">
        <v>1475</v>
      </c>
      <c r="P443" s="4" t="str">
        <f t="shared" ca="1" si="13"/>
        <v>Defer / consume inventory</v>
      </c>
    </row>
    <row r="444" spans="1:16" ht="13" customHeight="1" x14ac:dyDescent="0.35">
      <c r="A444" s="93">
        <v>48549</v>
      </c>
      <c r="B444" s="61" t="s">
        <v>36</v>
      </c>
      <c r="C444" s="12" t="str">
        <f>'Planning Engine'!C444</f>
        <v>Drug Product</v>
      </c>
      <c r="D444" s="12" t="str">
        <f>'Planning Engine'!D444</f>
        <v>units</v>
      </c>
      <c r="E444" s="95">
        <f>'Planning Engine'!E444</f>
        <v>87828</v>
      </c>
      <c r="F444" s="95">
        <f>'Planning Engine'!F444</f>
        <v>0</v>
      </c>
      <c r="G444" s="95">
        <f>'Planning Engine'!G444</f>
        <v>0</v>
      </c>
      <c r="H444" s="95">
        <f t="shared" si="12"/>
        <v>0</v>
      </c>
      <c r="I444" s="95">
        <f>'Planning Engine'!H444</f>
        <v>87828</v>
      </c>
      <c r="J444" s="96">
        <f ca="1">'Planning Engine'!J444</f>
        <v>999</v>
      </c>
      <c r="K444" s="95">
        <f ca="1">'Planning Engine'!K444</f>
        <v>0</v>
      </c>
      <c r="L444" s="12" t="str">
        <f ca="1">'Planning Engine'!L444</f>
        <v>Overstock</v>
      </c>
      <c r="M444" s="93">
        <f>'Planning Engine'!S444</f>
        <v>48396</v>
      </c>
      <c r="N444" s="95">
        <f>'Planning Engine'!T444</f>
        <v>0</v>
      </c>
      <c r="O444" s="94" t="s">
        <v>1476</v>
      </c>
      <c r="P444" s="12" t="str">
        <f t="shared" ca="1" si="13"/>
        <v>Defer / consume inventory</v>
      </c>
    </row>
    <row r="445" spans="1:16" ht="13" customHeight="1" x14ac:dyDescent="0.35">
      <c r="A445" s="97">
        <v>48580</v>
      </c>
      <c r="B445" s="53" t="s">
        <v>36</v>
      </c>
      <c r="C445" s="12" t="str">
        <f>'Planning Engine'!C445</f>
        <v>Drug Product</v>
      </c>
      <c r="D445" s="12" t="str">
        <f>'Planning Engine'!D445</f>
        <v>units</v>
      </c>
      <c r="E445" s="95">
        <f>'Planning Engine'!E445</f>
        <v>87828</v>
      </c>
      <c r="F445" s="95">
        <f>'Planning Engine'!F445</f>
        <v>0</v>
      </c>
      <c r="G445" s="95">
        <f>'Planning Engine'!G445</f>
        <v>0</v>
      </c>
      <c r="H445" s="99">
        <f t="shared" si="12"/>
        <v>0</v>
      </c>
      <c r="I445" s="95">
        <f>'Planning Engine'!H445</f>
        <v>87828</v>
      </c>
      <c r="J445" s="96">
        <f ca="1">'Planning Engine'!J445</f>
        <v>999</v>
      </c>
      <c r="K445" s="95">
        <f ca="1">'Planning Engine'!K445</f>
        <v>0</v>
      </c>
      <c r="L445" s="12" t="str">
        <f ca="1">'Planning Engine'!L445</f>
        <v>Overstock</v>
      </c>
      <c r="M445" s="93">
        <f>'Planning Engine'!S445</f>
        <v>48427</v>
      </c>
      <c r="N445" s="95">
        <f>'Planning Engine'!T445</f>
        <v>0</v>
      </c>
      <c r="O445" s="98" t="s">
        <v>1477</v>
      </c>
      <c r="P445" s="4" t="str">
        <f t="shared" ca="1" si="13"/>
        <v>Defer / consume inventory</v>
      </c>
    </row>
    <row r="446" spans="1:16" ht="13" customHeight="1" x14ac:dyDescent="0.35">
      <c r="A446" s="93">
        <v>48611</v>
      </c>
      <c r="B446" s="61" t="s">
        <v>36</v>
      </c>
      <c r="C446" s="12" t="str">
        <f>'Planning Engine'!C446</f>
        <v>Drug Product</v>
      </c>
      <c r="D446" s="12" t="str">
        <f>'Planning Engine'!D446</f>
        <v>units</v>
      </c>
      <c r="E446" s="95">
        <f>'Planning Engine'!E446</f>
        <v>87828</v>
      </c>
      <c r="F446" s="95">
        <f>'Planning Engine'!F446</f>
        <v>0</v>
      </c>
      <c r="G446" s="95">
        <f>'Planning Engine'!G446</f>
        <v>0</v>
      </c>
      <c r="H446" s="95">
        <f t="shared" si="12"/>
        <v>0</v>
      </c>
      <c r="I446" s="95">
        <f>'Planning Engine'!H446</f>
        <v>87828</v>
      </c>
      <c r="J446" s="96">
        <f ca="1">'Planning Engine'!J446</f>
        <v>999</v>
      </c>
      <c r="K446" s="95">
        <f ca="1">'Planning Engine'!K446</f>
        <v>0</v>
      </c>
      <c r="L446" s="12" t="str">
        <f ca="1">'Planning Engine'!L446</f>
        <v>Overstock</v>
      </c>
      <c r="M446" s="93">
        <f>'Planning Engine'!S446</f>
        <v>48458</v>
      </c>
      <c r="N446" s="95">
        <f>'Planning Engine'!T446</f>
        <v>0</v>
      </c>
      <c r="O446" s="94" t="s">
        <v>1478</v>
      </c>
      <c r="P446" s="12" t="str">
        <f t="shared" ca="1" si="13"/>
        <v>Defer / consume inventory</v>
      </c>
    </row>
    <row r="447" spans="1:16" ht="13" customHeight="1" x14ac:dyDescent="0.35">
      <c r="A447" s="97">
        <v>48639</v>
      </c>
      <c r="B447" s="53" t="s">
        <v>36</v>
      </c>
      <c r="C447" s="12" t="str">
        <f>'Planning Engine'!C447</f>
        <v>Drug Product</v>
      </c>
      <c r="D447" s="12" t="str">
        <f>'Planning Engine'!D447</f>
        <v>units</v>
      </c>
      <c r="E447" s="95">
        <f>'Planning Engine'!E447</f>
        <v>87828</v>
      </c>
      <c r="F447" s="95">
        <f>'Planning Engine'!F447</f>
        <v>0</v>
      </c>
      <c r="G447" s="95">
        <f>'Planning Engine'!G447</f>
        <v>0</v>
      </c>
      <c r="H447" s="99">
        <f t="shared" si="12"/>
        <v>0</v>
      </c>
      <c r="I447" s="95">
        <f>'Planning Engine'!H447</f>
        <v>87828</v>
      </c>
      <c r="J447" s="96">
        <f ca="1">'Planning Engine'!J447</f>
        <v>999</v>
      </c>
      <c r="K447" s="95">
        <f ca="1">'Planning Engine'!K447</f>
        <v>0</v>
      </c>
      <c r="L447" s="12" t="str">
        <f ca="1">'Planning Engine'!L447</f>
        <v>Overstock</v>
      </c>
      <c r="M447" s="93">
        <f>'Planning Engine'!S447</f>
        <v>48488</v>
      </c>
      <c r="N447" s="95">
        <f>'Planning Engine'!T447</f>
        <v>0</v>
      </c>
      <c r="O447" s="98" t="s">
        <v>1479</v>
      </c>
      <c r="P447" s="4" t="str">
        <f t="shared" ca="1" si="13"/>
        <v>Defer / consume inventory</v>
      </c>
    </row>
    <row r="448" spans="1:16" ht="13" customHeight="1" x14ac:dyDescent="0.35">
      <c r="A448" s="93">
        <v>48670</v>
      </c>
      <c r="B448" s="61" t="s">
        <v>36</v>
      </c>
      <c r="C448" s="12" t="str">
        <f>'Planning Engine'!C448</f>
        <v>Drug Product</v>
      </c>
      <c r="D448" s="12" t="str">
        <f>'Planning Engine'!D448</f>
        <v>units</v>
      </c>
      <c r="E448" s="95">
        <f>'Planning Engine'!E448</f>
        <v>87828</v>
      </c>
      <c r="F448" s="95">
        <f>'Planning Engine'!F448</f>
        <v>0</v>
      </c>
      <c r="G448" s="95">
        <f>'Planning Engine'!G448</f>
        <v>0</v>
      </c>
      <c r="H448" s="95">
        <f t="shared" si="12"/>
        <v>0</v>
      </c>
      <c r="I448" s="95">
        <f>'Planning Engine'!H448</f>
        <v>87828</v>
      </c>
      <c r="J448" s="96">
        <f ca="1">'Planning Engine'!J448</f>
        <v>999</v>
      </c>
      <c r="K448" s="95">
        <f ca="1">'Planning Engine'!K448</f>
        <v>0</v>
      </c>
      <c r="L448" s="12" t="str">
        <f ca="1">'Planning Engine'!L448</f>
        <v>Overstock</v>
      </c>
      <c r="M448" s="93">
        <f>'Planning Engine'!S448</f>
        <v>48519</v>
      </c>
      <c r="N448" s="95">
        <f>'Planning Engine'!T448</f>
        <v>0</v>
      </c>
      <c r="O448" s="94" t="s">
        <v>1480</v>
      </c>
      <c r="P448" s="12" t="str">
        <f t="shared" ca="1" si="13"/>
        <v>Defer / consume inventory</v>
      </c>
    </row>
    <row r="449" spans="1:16" ht="13" customHeight="1" x14ac:dyDescent="0.35">
      <c r="A449" s="97">
        <v>48700</v>
      </c>
      <c r="B449" s="53" t="s">
        <v>36</v>
      </c>
      <c r="C449" s="12" t="str">
        <f>'Planning Engine'!C449</f>
        <v>Drug Product</v>
      </c>
      <c r="D449" s="12" t="str">
        <f>'Planning Engine'!D449</f>
        <v>units</v>
      </c>
      <c r="E449" s="95">
        <f>'Planning Engine'!E449</f>
        <v>87828</v>
      </c>
      <c r="F449" s="95">
        <f>'Planning Engine'!F449</f>
        <v>0</v>
      </c>
      <c r="G449" s="95">
        <f>'Planning Engine'!G449</f>
        <v>0</v>
      </c>
      <c r="H449" s="99">
        <f t="shared" si="12"/>
        <v>0</v>
      </c>
      <c r="I449" s="95">
        <f>'Planning Engine'!H449</f>
        <v>87828</v>
      </c>
      <c r="J449" s="96">
        <f ca="1">'Planning Engine'!J449</f>
        <v>999</v>
      </c>
      <c r="K449" s="95">
        <f ca="1">'Planning Engine'!K449</f>
        <v>0</v>
      </c>
      <c r="L449" s="12" t="str">
        <f ca="1">'Planning Engine'!L449</f>
        <v>Overstock</v>
      </c>
      <c r="M449" s="93">
        <f>'Planning Engine'!S449</f>
        <v>48549</v>
      </c>
      <c r="N449" s="95">
        <f>'Planning Engine'!T449</f>
        <v>0</v>
      </c>
      <c r="O449" s="98" t="s">
        <v>1481</v>
      </c>
      <c r="P449" s="4" t="str">
        <f t="shared" ca="1" si="13"/>
        <v>Defer / consume inventory</v>
      </c>
    </row>
    <row r="450" spans="1:16" ht="13" customHeight="1" x14ac:dyDescent="0.35">
      <c r="A450" s="93">
        <v>48731</v>
      </c>
      <c r="B450" s="61" t="s">
        <v>36</v>
      </c>
      <c r="C450" s="12" t="str">
        <f>'Planning Engine'!C450</f>
        <v>Drug Product</v>
      </c>
      <c r="D450" s="12" t="str">
        <f>'Planning Engine'!D450</f>
        <v>units</v>
      </c>
      <c r="E450" s="95">
        <f>'Planning Engine'!E450</f>
        <v>87828</v>
      </c>
      <c r="F450" s="95">
        <f>'Planning Engine'!F450</f>
        <v>0</v>
      </c>
      <c r="G450" s="95">
        <f>'Planning Engine'!G450</f>
        <v>0</v>
      </c>
      <c r="H450" s="95">
        <f t="shared" si="12"/>
        <v>0</v>
      </c>
      <c r="I450" s="95">
        <f>'Planning Engine'!H450</f>
        <v>87828</v>
      </c>
      <c r="J450" s="96">
        <f ca="1">'Planning Engine'!J450</f>
        <v>999</v>
      </c>
      <c r="K450" s="95">
        <f ca="1">'Planning Engine'!K450</f>
        <v>0</v>
      </c>
      <c r="L450" s="12" t="str">
        <f ca="1">'Planning Engine'!L450</f>
        <v>Overstock</v>
      </c>
      <c r="M450" s="93">
        <f>'Planning Engine'!S450</f>
        <v>48580</v>
      </c>
      <c r="N450" s="95">
        <f>'Planning Engine'!T450</f>
        <v>0</v>
      </c>
      <c r="O450" s="94" t="s">
        <v>1482</v>
      </c>
      <c r="P450" s="12" t="str">
        <f t="shared" ca="1" si="13"/>
        <v>Defer / consume inventory</v>
      </c>
    </row>
    <row r="451" spans="1:16" ht="13" customHeight="1" x14ac:dyDescent="0.35">
      <c r="A451" s="97">
        <v>48761</v>
      </c>
      <c r="B451" s="53" t="s">
        <v>36</v>
      </c>
      <c r="C451" s="12" t="str">
        <f>'Planning Engine'!C451</f>
        <v>Drug Product</v>
      </c>
      <c r="D451" s="12" t="str">
        <f>'Planning Engine'!D451</f>
        <v>units</v>
      </c>
      <c r="E451" s="95">
        <f>'Planning Engine'!E451</f>
        <v>87828</v>
      </c>
      <c r="F451" s="95">
        <f>'Planning Engine'!F451</f>
        <v>0</v>
      </c>
      <c r="G451" s="95">
        <f>'Planning Engine'!G451</f>
        <v>0</v>
      </c>
      <c r="H451" s="99">
        <f t="shared" si="12"/>
        <v>0</v>
      </c>
      <c r="I451" s="95">
        <f>'Planning Engine'!H451</f>
        <v>87828</v>
      </c>
      <c r="J451" s="96">
        <f ca="1">'Planning Engine'!J451</f>
        <v>999</v>
      </c>
      <c r="K451" s="95">
        <f ca="1">'Planning Engine'!K451</f>
        <v>0</v>
      </c>
      <c r="L451" s="12" t="str">
        <f ca="1">'Planning Engine'!L451</f>
        <v>Overstock</v>
      </c>
      <c r="M451" s="93">
        <f>'Planning Engine'!S451</f>
        <v>48611</v>
      </c>
      <c r="N451" s="95">
        <f>'Planning Engine'!T451</f>
        <v>0</v>
      </c>
      <c r="O451" s="98" t="s">
        <v>1483</v>
      </c>
      <c r="P451" s="4" t="str">
        <f t="shared" ca="1" si="13"/>
        <v>Defer / consume inventory</v>
      </c>
    </row>
    <row r="452" spans="1:16" ht="13" customHeight="1" x14ac:dyDescent="0.35">
      <c r="A452" s="93">
        <v>48792</v>
      </c>
      <c r="B452" s="61" t="s">
        <v>36</v>
      </c>
      <c r="C452" s="12" t="str">
        <f>'Planning Engine'!C452</f>
        <v>Drug Product</v>
      </c>
      <c r="D452" s="12" t="str">
        <f>'Planning Engine'!D452</f>
        <v>units</v>
      </c>
      <c r="E452" s="95">
        <f>'Planning Engine'!E452</f>
        <v>87828</v>
      </c>
      <c r="F452" s="95">
        <f>'Planning Engine'!F452</f>
        <v>0</v>
      </c>
      <c r="G452" s="95">
        <f>'Planning Engine'!G452</f>
        <v>0</v>
      </c>
      <c r="H452" s="95">
        <f t="shared" ref="H452:H515" si="14">G452-F452</f>
        <v>0</v>
      </c>
      <c r="I452" s="95">
        <f>'Planning Engine'!H452</f>
        <v>87828</v>
      </c>
      <c r="J452" s="96">
        <f ca="1">'Planning Engine'!J452</f>
        <v>999</v>
      </c>
      <c r="K452" s="95">
        <f ca="1">'Planning Engine'!K452</f>
        <v>0</v>
      </c>
      <c r="L452" s="12" t="str">
        <f ca="1">'Planning Engine'!L452</f>
        <v>Overstock</v>
      </c>
      <c r="M452" s="93">
        <f>'Planning Engine'!S452</f>
        <v>48639</v>
      </c>
      <c r="N452" s="95">
        <f>'Planning Engine'!T452</f>
        <v>0</v>
      </c>
      <c r="O452" s="94" t="s">
        <v>1484</v>
      </c>
      <c r="P452" s="12" t="str">
        <f t="shared" ref="P452:P515" ca="1" si="15">IFERROR(IF(L452="High","⚠ Expedite production / source alternate",IF(L452="Medium","Plan additional batches",IF(L452="Overstock","Defer / consume inventory","Plan acceptable"))),"--")</f>
        <v>Defer / consume inventory</v>
      </c>
    </row>
    <row r="453" spans="1:16" ht="13" customHeight="1" x14ac:dyDescent="0.35">
      <c r="A453" s="97">
        <v>48823</v>
      </c>
      <c r="B453" s="53" t="s">
        <v>36</v>
      </c>
      <c r="C453" s="12" t="str">
        <f>'Planning Engine'!C453</f>
        <v>Drug Product</v>
      </c>
      <c r="D453" s="12" t="str">
        <f>'Planning Engine'!D453</f>
        <v>units</v>
      </c>
      <c r="E453" s="95">
        <f>'Planning Engine'!E453</f>
        <v>87828</v>
      </c>
      <c r="F453" s="95">
        <f>'Planning Engine'!F453</f>
        <v>0</v>
      </c>
      <c r="G453" s="95">
        <f>'Planning Engine'!G453</f>
        <v>0</v>
      </c>
      <c r="H453" s="99">
        <f t="shared" si="14"/>
        <v>0</v>
      </c>
      <c r="I453" s="95">
        <f>'Planning Engine'!H453</f>
        <v>87828</v>
      </c>
      <c r="J453" s="96">
        <f ca="1">'Planning Engine'!J453</f>
        <v>999</v>
      </c>
      <c r="K453" s="95">
        <f ca="1">'Planning Engine'!K453</f>
        <v>0</v>
      </c>
      <c r="L453" s="12" t="str">
        <f ca="1">'Planning Engine'!L453</f>
        <v>Overstock</v>
      </c>
      <c r="M453" s="93">
        <f>'Planning Engine'!S453</f>
        <v>48670</v>
      </c>
      <c r="N453" s="95">
        <f>'Planning Engine'!T453</f>
        <v>0</v>
      </c>
      <c r="O453" s="98" t="s">
        <v>1485</v>
      </c>
      <c r="P453" s="4" t="str">
        <f t="shared" ca="1" si="15"/>
        <v>Defer / consume inventory</v>
      </c>
    </row>
    <row r="454" spans="1:16" ht="13" customHeight="1" x14ac:dyDescent="0.35">
      <c r="A454" s="93">
        <v>48853</v>
      </c>
      <c r="B454" s="61" t="s">
        <v>36</v>
      </c>
      <c r="C454" s="12" t="str">
        <f>'Planning Engine'!C454</f>
        <v>Drug Product</v>
      </c>
      <c r="D454" s="12" t="str">
        <f>'Planning Engine'!D454</f>
        <v>units</v>
      </c>
      <c r="E454" s="95">
        <f>'Planning Engine'!E454</f>
        <v>87828</v>
      </c>
      <c r="F454" s="95">
        <f>'Planning Engine'!F454</f>
        <v>0</v>
      </c>
      <c r="G454" s="95">
        <f>'Planning Engine'!G454</f>
        <v>0</v>
      </c>
      <c r="H454" s="95">
        <f t="shared" si="14"/>
        <v>0</v>
      </c>
      <c r="I454" s="95">
        <f>'Planning Engine'!H454</f>
        <v>87828</v>
      </c>
      <c r="J454" s="96">
        <f ca="1">'Planning Engine'!J454</f>
        <v>999</v>
      </c>
      <c r="K454" s="95">
        <f ca="1">'Planning Engine'!K454</f>
        <v>0</v>
      </c>
      <c r="L454" s="12" t="str">
        <f ca="1">'Planning Engine'!L454</f>
        <v>Overstock</v>
      </c>
      <c r="M454" s="93">
        <f>'Planning Engine'!S454</f>
        <v>48700</v>
      </c>
      <c r="N454" s="95">
        <f>'Planning Engine'!T454</f>
        <v>0</v>
      </c>
      <c r="O454" s="94" t="s">
        <v>1486</v>
      </c>
      <c r="P454" s="12" t="str">
        <f t="shared" ca="1" si="15"/>
        <v>Defer / consume inventory</v>
      </c>
    </row>
    <row r="455" spans="1:16" ht="13" customHeight="1" x14ac:dyDescent="0.35">
      <c r="A455" s="97">
        <v>48884</v>
      </c>
      <c r="B455" s="53" t="s">
        <v>36</v>
      </c>
      <c r="C455" s="12" t="str">
        <f>'Planning Engine'!C455</f>
        <v>Drug Product</v>
      </c>
      <c r="D455" s="12" t="str">
        <f>'Planning Engine'!D455</f>
        <v>units</v>
      </c>
      <c r="E455" s="95">
        <f>'Planning Engine'!E455</f>
        <v>87828</v>
      </c>
      <c r="F455" s="95">
        <f>'Planning Engine'!F455</f>
        <v>0</v>
      </c>
      <c r="G455" s="95">
        <f>'Planning Engine'!G455</f>
        <v>0</v>
      </c>
      <c r="H455" s="99">
        <f t="shared" si="14"/>
        <v>0</v>
      </c>
      <c r="I455" s="95">
        <f>'Planning Engine'!H455</f>
        <v>87828</v>
      </c>
      <c r="J455" s="96">
        <f ca="1">'Planning Engine'!J455</f>
        <v>999</v>
      </c>
      <c r="K455" s="95">
        <f ca="1">'Planning Engine'!K455</f>
        <v>0</v>
      </c>
      <c r="L455" s="12" t="str">
        <f ca="1">'Planning Engine'!L455</f>
        <v>Overstock</v>
      </c>
      <c r="M455" s="93">
        <f>'Planning Engine'!S455</f>
        <v>48731</v>
      </c>
      <c r="N455" s="95">
        <f>'Planning Engine'!T455</f>
        <v>0</v>
      </c>
      <c r="O455" s="98" t="s">
        <v>1487</v>
      </c>
      <c r="P455" s="4" t="str">
        <f t="shared" ca="1" si="15"/>
        <v>Defer / consume inventory</v>
      </c>
    </row>
    <row r="456" spans="1:16" ht="13" customHeight="1" x14ac:dyDescent="0.35">
      <c r="A456" s="93">
        <v>48914</v>
      </c>
      <c r="B456" s="61" t="s">
        <v>36</v>
      </c>
      <c r="C456" s="12" t="str">
        <f>'Planning Engine'!C456</f>
        <v>Drug Product</v>
      </c>
      <c r="D456" s="12" t="str">
        <f>'Planning Engine'!D456</f>
        <v>units</v>
      </c>
      <c r="E456" s="95">
        <f>'Planning Engine'!E456</f>
        <v>87828</v>
      </c>
      <c r="F456" s="95">
        <f>'Planning Engine'!F456</f>
        <v>0</v>
      </c>
      <c r="G456" s="95">
        <f>'Planning Engine'!G456</f>
        <v>0</v>
      </c>
      <c r="H456" s="95">
        <f t="shared" si="14"/>
        <v>0</v>
      </c>
      <c r="I456" s="95">
        <f>'Planning Engine'!H456</f>
        <v>87828</v>
      </c>
      <c r="J456" s="96">
        <f ca="1">'Planning Engine'!J456</f>
        <v>999</v>
      </c>
      <c r="K456" s="95">
        <f ca="1">'Planning Engine'!K456</f>
        <v>0</v>
      </c>
      <c r="L456" s="12" t="str">
        <f ca="1">'Planning Engine'!L456</f>
        <v>Overstock</v>
      </c>
      <c r="M456" s="93">
        <f>'Planning Engine'!S456</f>
        <v>48761</v>
      </c>
      <c r="N456" s="95">
        <f>'Planning Engine'!T456</f>
        <v>0</v>
      </c>
      <c r="O456" s="94" t="s">
        <v>1488</v>
      </c>
      <c r="P456" s="12" t="str">
        <f t="shared" ca="1" si="15"/>
        <v>Defer / consume inventory</v>
      </c>
    </row>
    <row r="457" spans="1:16" ht="13" customHeight="1" x14ac:dyDescent="0.35">
      <c r="A457" s="97">
        <v>48945</v>
      </c>
      <c r="B457" s="53" t="s">
        <v>36</v>
      </c>
      <c r="C457" s="12" t="str">
        <f>'Planning Engine'!C457</f>
        <v>Drug Product</v>
      </c>
      <c r="D457" s="12" t="str">
        <f>'Planning Engine'!D457</f>
        <v>units</v>
      </c>
      <c r="E457" s="95">
        <f>'Planning Engine'!E457</f>
        <v>87828</v>
      </c>
      <c r="F457" s="95">
        <f>'Planning Engine'!F457</f>
        <v>0</v>
      </c>
      <c r="G457" s="95">
        <f>'Planning Engine'!G457</f>
        <v>0</v>
      </c>
      <c r="H457" s="99">
        <f t="shared" si="14"/>
        <v>0</v>
      </c>
      <c r="I457" s="95">
        <f>'Planning Engine'!H457</f>
        <v>87828</v>
      </c>
      <c r="J457" s="96">
        <f ca="1">'Planning Engine'!J457</f>
        <v>999</v>
      </c>
      <c r="K457" s="95">
        <f ca="1">'Planning Engine'!K457</f>
        <v>0</v>
      </c>
      <c r="L457" s="12" t="str">
        <f ca="1">'Planning Engine'!L457</f>
        <v>Overstock</v>
      </c>
      <c r="M457" s="93">
        <f>'Planning Engine'!S457</f>
        <v>48792</v>
      </c>
      <c r="N457" s="95">
        <f>'Planning Engine'!T457</f>
        <v>0</v>
      </c>
      <c r="O457" s="98" t="s">
        <v>1489</v>
      </c>
      <c r="P457" s="4" t="str">
        <f t="shared" ca="1" si="15"/>
        <v>Defer / consume inventory</v>
      </c>
    </row>
    <row r="458" spans="1:16" ht="13" customHeight="1" x14ac:dyDescent="0.35">
      <c r="A458" s="93">
        <v>48976</v>
      </c>
      <c r="B458" s="61" t="s">
        <v>36</v>
      </c>
      <c r="C458" s="12" t="str">
        <f>'Planning Engine'!C458</f>
        <v>Drug Product</v>
      </c>
      <c r="D458" s="12" t="str">
        <f>'Planning Engine'!D458</f>
        <v>units</v>
      </c>
      <c r="E458" s="95">
        <f>'Planning Engine'!E458</f>
        <v>87828</v>
      </c>
      <c r="F458" s="95">
        <f>'Planning Engine'!F458</f>
        <v>0</v>
      </c>
      <c r="G458" s="95">
        <f>'Planning Engine'!G458</f>
        <v>0</v>
      </c>
      <c r="H458" s="95">
        <f t="shared" si="14"/>
        <v>0</v>
      </c>
      <c r="I458" s="95">
        <f>'Planning Engine'!H458</f>
        <v>87828</v>
      </c>
      <c r="J458" s="96">
        <f ca="1">'Planning Engine'!J458</f>
        <v>999</v>
      </c>
      <c r="K458" s="95">
        <f ca="1">'Planning Engine'!K458</f>
        <v>0</v>
      </c>
      <c r="L458" s="12" t="str">
        <f ca="1">'Planning Engine'!L458</f>
        <v>Overstock</v>
      </c>
      <c r="M458" s="93">
        <f>'Planning Engine'!S458</f>
        <v>48823</v>
      </c>
      <c r="N458" s="95">
        <f>'Planning Engine'!T458</f>
        <v>0</v>
      </c>
      <c r="O458" s="94" t="s">
        <v>1490</v>
      </c>
      <c r="P458" s="12" t="str">
        <f t="shared" ca="1" si="15"/>
        <v>Defer / consume inventory</v>
      </c>
    </row>
    <row r="459" spans="1:16" ht="13" customHeight="1" x14ac:dyDescent="0.35">
      <c r="A459" s="97">
        <v>49004</v>
      </c>
      <c r="B459" s="53" t="s">
        <v>36</v>
      </c>
      <c r="C459" s="12" t="str">
        <f>'Planning Engine'!C459</f>
        <v>Drug Product</v>
      </c>
      <c r="D459" s="12" t="str">
        <f>'Planning Engine'!D459</f>
        <v>units</v>
      </c>
      <c r="E459" s="95">
        <f>'Planning Engine'!E459</f>
        <v>87828</v>
      </c>
      <c r="F459" s="95">
        <f>'Planning Engine'!F459</f>
        <v>0</v>
      </c>
      <c r="G459" s="95">
        <f>'Planning Engine'!G459</f>
        <v>0</v>
      </c>
      <c r="H459" s="99">
        <f t="shared" si="14"/>
        <v>0</v>
      </c>
      <c r="I459" s="95">
        <f>'Planning Engine'!H459</f>
        <v>87828</v>
      </c>
      <c r="J459" s="96">
        <f ca="1">'Planning Engine'!J459</f>
        <v>999</v>
      </c>
      <c r="K459" s="95">
        <f ca="1">'Planning Engine'!K459</f>
        <v>0</v>
      </c>
      <c r="L459" s="12" t="str">
        <f ca="1">'Planning Engine'!L459</f>
        <v>Overstock</v>
      </c>
      <c r="M459" s="93">
        <f>'Planning Engine'!S459</f>
        <v>48853</v>
      </c>
      <c r="N459" s="95">
        <f>'Planning Engine'!T459</f>
        <v>0</v>
      </c>
      <c r="O459" s="98" t="s">
        <v>1491</v>
      </c>
      <c r="P459" s="4" t="str">
        <f t="shared" ca="1" si="15"/>
        <v>Defer / consume inventory</v>
      </c>
    </row>
    <row r="460" spans="1:16" ht="13" customHeight="1" x14ac:dyDescent="0.35">
      <c r="A460" s="93">
        <v>49035</v>
      </c>
      <c r="B460" s="61" t="s">
        <v>36</v>
      </c>
      <c r="C460" s="12" t="str">
        <f>'Planning Engine'!C460</f>
        <v>Drug Product</v>
      </c>
      <c r="D460" s="12" t="str">
        <f>'Planning Engine'!D460</f>
        <v>units</v>
      </c>
      <c r="E460" s="95">
        <f>'Planning Engine'!E460</f>
        <v>87828</v>
      </c>
      <c r="F460" s="95">
        <f>'Planning Engine'!F460</f>
        <v>0</v>
      </c>
      <c r="G460" s="95">
        <f>'Planning Engine'!G460</f>
        <v>0</v>
      </c>
      <c r="H460" s="95">
        <f t="shared" si="14"/>
        <v>0</v>
      </c>
      <c r="I460" s="95">
        <f>'Planning Engine'!H460</f>
        <v>87828</v>
      </c>
      <c r="J460" s="96">
        <f ca="1">'Planning Engine'!J460</f>
        <v>999</v>
      </c>
      <c r="K460" s="95">
        <f ca="1">'Planning Engine'!K460</f>
        <v>0</v>
      </c>
      <c r="L460" s="12" t="str">
        <f ca="1">'Planning Engine'!L460</f>
        <v>Overstock</v>
      </c>
      <c r="M460" s="93">
        <f>'Planning Engine'!S460</f>
        <v>48884</v>
      </c>
      <c r="N460" s="95">
        <f>'Planning Engine'!T460</f>
        <v>0</v>
      </c>
      <c r="O460" s="94" t="s">
        <v>1492</v>
      </c>
      <c r="P460" s="12" t="str">
        <f t="shared" ca="1" si="15"/>
        <v>Defer / consume inventory</v>
      </c>
    </row>
    <row r="461" spans="1:16" ht="13" customHeight="1" x14ac:dyDescent="0.35">
      <c r="A461" s="97">
        <v>49065</v>
      </c>
      <c r="B461" s="53" t="s">
        <v>36</v>
      </c>
      <c r="C461" s="12" t="str">
        <f>'Planning Engine'!C461</f>
        <v>Drug Product</v>
      </c>
      <c r="D461" s="12" t="str">
        <f>'Planning Engine'!D461</f>
        <v>units</v>
      </c>
      <c r="E461" s="95">
        <f>'Planning Engine'!E461</f>
        <v>87828</v>
      </c>
      <c r="F461" s="95">
        <f>'Planning Engine'!F461</f>
        <v>0</v>
      </c>
      <c r="G461" s="95">
        <f>'Planning Engine'!G461</f>
        <v>0</v>
      </c>
      <c r="H461" s="99">
        <f t="shared" si="14"/>
        <v>0</v>
      </c>
      <c r="I461" s="95">
        <f>'Planning Engine'!H461</f>
        <v>87828</v>
      </c>
      <c r="J461" s="96">
        <f ca="1">'Planning Engine'!J461</f>
        <v>999</v>
      </c>
      <c r="K461" s="95">
        <f ca="1">'Planning Engine'!K461</f>
        <v>0</v>
      </c>
      <c r="L461" s="12" t="str">
        <f ca="1">'Planning Engine'!L461</f>
        <v>Overstock</v>
      </c>
      <c r="M461" s="93">
        <f>'Planning Engine'!S461</f>
        <v>48914</v>
      </c>
      <c r="N461" s="95">
        <f>'Planning Engine'!T461</f>
        <v>0</v>
      </c>
      <c r="O461" s="98" t="s">
        <v>1493</v>
      </c>
      <c r="P461" s="4" t="str">
        <f t="shared" ca="1" si="15"/>
        <v>Defer / consume inventory</v>
      </c>
    </row>
    <row r="462" spans="1:16" ht="13" customHeight="1" x14ac:dyDescent="0.35">
      <c r="A462" s="93">
        <v>49096</v>
      </c>
      <c r="B462" s="61" t="s">
        <v>36</v>
      </c>
      <c r="C462" s="12" t="str">
        <f>'Planning Engine'!C462</f>
        <v>Drug Product</v>
      </c>
      <c r="D462" s="12" t="str">
        <f>'Planning Engine'!D462</f>
        <v>units</v>
      </c>
      <c r="E462" s="95">
        <f>'Planning Engine'!E462</f>
        <v>87828</v>
      </c>
      <c r="F462" s="95">
        <f>'Planning Engine'!F462</f>
        <v>0</v>
      </c>
      <c r="G462" s="95">
        <f>'Planning Engine'!G462</f>
        <v>0</v>
      </c>
      <c r="H462" s="95">
        <f t="shared" si="14"/>
        <v>0</v>
      </c>
      <c r="I462" s="95">
        <f>'Planning Engine'!H462</f>
        <v>87828</v>
      </c>
      <c r="J462" s="96">
        <f ca="1">'Planning Engine'!J462</f>
        <v>999</v>
      </c>
      <c r="K462" s="95">
        <f ca="1">'Planning Engine'!K462</f>
        <v>0</v>
      </c>
      <c r="L462" s="12" t="str">
        <f ca="1">'Planning Engine'!L462</f>
        <v>Overstock</v>
      </c>
      <c r="M462" s="93">
        <f>'Planning Engine'!S462</f>
        <v>48945</v>
      </c>
      <c r="N462" s="95">
        <f>'Planning Engine'!T462</f>
        <v>0</v>
      </c>
      <c r="O462" s="94" t="s">
        <v>1494</v>
      </c>
      <c r="P462" s="12" t="str">
        <f t="shared" ca="1" si="15"/>
        <v>Defer / consume inventory</v>
      </c>
    </row>
    <row r="463" spans="1:16" ht="13" customHeight="1" x14ac:dyDescent="0.35">
      <c r="A463" s="97">
        <v>49126</v>
      </c>
      <c r="B463" s="53" t="s">
        <v>36</v>
      </c>
      <c r="C463" s="12" t="str">
        <f>'Planning Engine'!C463</f>
        <v>Drug Product</v>
      </c>
      <c r="D463" s="12" t="str">
        <f>'Planning Engine'!D463</f>
        <v>units</v>
      </c>
      <c r="E463" s="95">
        <f>'Planning Engine'!E463</f>
        <v>87828</v>
      </c>
      <c r="F463" s="95">
        <f>'Planning Engine'!F463</f>
        <v>0</v>
      </c>
      <c r="G463" s="95">
        <f>'Planning Engine'!G463</f>
        <v>0</v>
      </c>
      <c r="H463" s="99">
        <f t="shared" si="14"/>
        <v>0</v>
      </c>
      <c r="I463" s="95">
        <f>'Planning Engine'!H463</f>
        <v>87828</v>
      </c>
      <c r="J463" s="96">
        <f ca="1">'Planning Engine'!J463</f>
        <v>999</v>
      </c>
      <c r="K463" s="95">
        <f ca="1">'Planning Engine'!K463</f>
        <v>0</v>
      </c>
      <c r="L463" s="12" t="str">
        <f ca="1">'Planning Engine'!L463</f>
        <v>Overstock</v>
      </c>
      <c r="M463" s="93">
        <f>'Planning Engine'!S463</f>
        <v>48976</v>
      </c>
      <c r="N463" s="95">
        <f>'Planning Engine'!T463</f>
        <v>0</v>
      </c>
      <c r="O463" s="98" t="s">
        <v>1495</v>
      </c>
      <c r="P463" s="4" t="str">
        <f t="shared" ca="1" si="15"/>
        <v>Defer / consume inventory</v>
      </c>
    </row>
    <row r="464" spans="1:16" ht="13" customHeight="1" x14ac:dyDescent="0.35">
      <c r="A464" s="93">
        <v>49157</v>
      </c>
      <c r="B464" s="61" t="s">
        <v>36</v>
      </c>
      <c r="C464" s="12" t="str">
        <f>'Planning Engine'!C464</f>
        <v>Drug Product</v>
      </c>
      <c r="D464" s="12" t="str">
        <f>'Planning Engine'!D464</f>
        <v>units</v>
      </c>
      <c r="E464" s="95">
        <f>'Planning Engine'!E464</f>
        <v>87828</v>
      </c>
      <c r="F464" s="95">
        <f>'Planning Engine'!F464</f>
        <v>0</v>
      </c>
      <c r="G464" s="95">
        <f>'Planning Engine'!G464</f>
        <v>0</v>
      </c>
      <c r="H464" s="95">
        <f t="shared" si="14"/>
        <v>0</v>
      </c>
      <c r="I464" s="95">
        <f>'Planning Engine'!H464</f>
        <v>87828</v>
      </c>
      <c r="J464" s="96">
        <f ca="1">'Planning Engine'!J464</f>
        <v>999</v>
      </c>
      <c r="K464" s="95">
        <f ca="1">'Planning Engine'!K464</f>
        <v>0</v>
      </c>
      <c r="L464" s="12" t="str">
        <f ca="1">'Planning Engine'!L464</f>
        <v>Overstock</v>
      </c>
      <c r="M464" s="93">
        <f>'Planning Engine'!S464</f>
        <v>49004</v>
      </c>
      <c r="N464" s="95">
        <f>'Planning Engine'!T464</f>
        <v>0</v>
      </c>
      <c r="O464" s="94" t="s">
        <v>1496</v>
      </c>
      <c r="P464" s="12" t="str">
        <f t="shared" ca="1" si="15"/>
        <v>Defer / consume inventory</v>
      </c>
    </row>
    <row r="465" spans="1:16" ht="13" customHeight="1" x14ac:dyDescent="0.35">
      <c r="A465" s="97">
        <v>49188</v>
      </c>
      <c r="B465" s="53" t="s">
        <v>36</v>
      </c>
      <c r="C465" s="12" t="str">
        <f>'Planning Engine'!C465</f>
        <v>Drug Product</v>
      </c>
      <c r="D465" s="12" t="str">
        <f>'Planning Engine'!D465</f>
        <v>units</v>
      </c>
      <c r="E465" s="95">
        <f>'Planning Engine'!E465</f>
        <v>87828</v>
      </c>
      <c r="F465" s="95">
        <f>'Planning Engine'!F465</f>
        <v>0</v>
      </c>
      <c r="G465" s="95">
        <f>'Planning Engine'!G465</f>
        <v>0</v>
      </c>
      <c r="H465" s="99">
        <f t="shared" si="14"/>
        <v>0</v>
      </c>
      <c r="I465" s="95">
        <f>'Planning Engine'!H465</f>
        <v>87828</v>
      </c>
      <c r="J465" s="96">
        <f ca="1">'Planning Engine'!J465</f>
        <v>999</v>
      </c>
      <c r="K465" s="95">
        <f ca="1">'Planning Engine'!K465</f>
        <v>0</v>
      </c>
      <c r="L465" s="12" t="str">
        <f ca="1">'Planning Engine'!L465</f>
        <v>Overstock</v>
      </c>
      <c r="M465" s="93">
        <f>'Planning Engine'!S465</f>
        <v>49035</v>
      </c>
      <c r="N465" s="95">
        <f>'Planning Engine'!T465</f>
        <v>0</v>
      </c>
      <c r="O465" s="98" t="s">
        <v>1497</v>
      </c>
      <c r="P465" s="4" t="str">
        <f t="shared" ca="1" si="15"/>
        <v>Defer / consume inventory</v>
      </c>
    </row>
    <row r="466" spans="1:16" ht="13" customHeight="1" x14ac:dyDescent="0.35">
      <c r="A466" s="93">
        <v>49218</v>
      </c>
      <c r="B466" s="61" t="s">
        <v>36</v>
      </c>
      <c r="C466" s="12" t="str">
        <f>'Planning Engine'!C466</f>
        <v>Drug Product</v>
      </c>
      <c r="D466" s="12" t="str">
        <f>'Planning Engine'!D466</f>
        <v>units</v>
      </c>
      <c r="E466" s="95">
        <f>'Planning Engine'!E466</f>
        <v>87828</v>
      </c>
      <c r="F466" s="95">
        <f>'Planning Engine'!F466</f>
        <v>0</v>
      </c>
      <c r="G466" s="95">
        <f>'Planning Engine'!G466</f>
        <v>0</v>
      </c>
      <c r="H466" s="95">
        <f t="shared" si="14"/>
        <v>0</v>
      </c>
      <c r="I466" s="95">
        <f>'Planning Engine'!H466</f>
        <v>87828</v>
      </c>
      <c r="J466" s="96">
        <f ca="1">'Planning Engine'!J466</f>
        <v>999</v>
      </c>
      <c r="K466" s="95">
        <f ca="1">'Planning Engine'!K466</f>
        <v>0</v>
      </c>
      <c r="L466" s="12" t="str">
        <f ca="1">'Planning Engine'!L466</f>
        <v>Overstock</v>
      </c>
      <c r="M466" s="93">
        <f>'Planning Engine'!S466</f>
        <v>49065</v>
      </c>
      <c r="N466" s="95">
        <f>'Planning Engine'!T466</f>
        <v>0</v>
      </c>
      <c r="O466" s="94" t="s">
        <v>1498</v>
      </c>
      <c r="P466" s="12" t="str">
        <f t="shared" ca="1" si="15"/>
        <v>Defer / consume inventory</v>
      </c>
    </row>
    <row r="467" spans="1:16" ht="13" customHeight="1" x14ac:dyDescent="0.35">
      <c r="A467" s="97">
        <v>49249</v>
      </c>
      <c r="B467" s="53" t="s">
        <v>36</v>
      </c>
      <c r="C467" s="12" t="str">
        <f>'Planning Engine'!C467</f>
        <v>Drug Product</v>
      </c>
      <c r="D467" s="12" t="str">
        <f>'Planning Engine'!D467</f>
        <v>units</v>
      </c>
      <c r="E467" s="95">
        <f>'Planning Engine'!E467</f>
        <v>87828</v>
      </c>
      <c r="F467" s="95">
        <f>'Planning Engine'!F467</f>
        <v>0</v>
      </c>
      <c r="G467" s="95">
        <f>'Planning Engine'!G467</f>
        <v>0</v>
      </c>
      <c r="H467" s="99">
        <f t="shared" si="14"/>
        <v>0</v>
      </c>
      <c r="I467" s="95">
        <f>'Planning Engine'!H467</f>
        <v>87828</v>
      </c>
      <c r="J467" s="96">
        <f ca="1">'Planning Engine'!J467</f>
        <v>999</v>
      </c>
      <c r="K467" s="95">
        <f ca="1">'Planning Engine'!K467</f>
        <v>0</v>
      </c>
      <c r="L467" s="12" t="str">
        <f ca="1">'Planning Engine'!L467</f>
        <v>Overstock</v>
      </c>
      <c r="M467" s="93">
        <f>'Planning Engine'!S467</f>
        <v>49096</v>
      </c>
      <c r="N467" s="95">
        <f>'Planning Engine'!T467</f>
        <v>0</v>
      </c>
      <c r="O467" s="98" t="s">
        <v>1499</v>
      </c>
      <c r="P467" s="4" t="str">
        <f t="shared" ca="1" si="15"/>
        <v>Defer / consume inventory</v>
      </c>
    </row>
    <row r="468" spans="1:16" ht="13" customHeight="1" x14ac:dyDescent="0.35">
      <c r="A468" s="93">
        <v>49279</v>
      </c>
      <c r="B468" s="61" t="s">
        <v>36</v>
      </c>
      <c r="C468" s="12" t="str">
        <f>'Planning Engine'!C468</f>
        <v>Drug Product</v>
      </c>
      <c r="D468" s="12" t="str">
        <f>'Planning Engine'!D468</f>
        <v>units</v>
      </c>
      <c r="E468" s="95">
        <f>'Planning Engine'!E468</f>
        <v>87828</v>
      </c>
      <c r="F468" s="95">
        <f>'Planning Engine'!F468</f>
        <v>0</v>
      </c>
      <c r="G468" s="95">
        <f>'Planning Engine'!G468</f>
        <v>0</v>
      </c>
      <c r="H468" s="95">
        <f t="shared" si="14"/>
        <v>0</v>
      </c>
      <c r="I468" s="95">
        <f>'Planning Engine'!H468</f>
        <v>87828</v>
      </c>
      <c r="J468" s="96">
        <f ca="1">'Planning Engine'!J468</f>
        <v>999</v>
      </c>
      <c r="K468" s="95">
        <f ca="1">'Planning Engine'!K468</f>
        <v>0</v>
      </c>
      <c r="L468" s="12" t="str">
        <f ca="1">'Planning Engine'!L468</f>
        <v>Overstock</v>
      </c>
      <c r="M468" s="93">
        <f>'Planning Engine'!S468</f>
        <v>49126</v>
      </c>
      <c r="N468" s="95">
        <f>'Planning Engine'!T468</f>
        <v>0</v>
      </c>
      <c r="O468" s="94" t="s">
        <v>1500</v>
      </c>
      <c r="P468" s="12" t="str">
        <f t="shared" ca="1" si="15"/>
        <v>Defer / consume inventory</v>
      </c>
    </row>
    <row r="469" spans="1:16" ht="13" customHeight="1" x14ac:dyDescent="0.35">
      <c r="A469" s="97">
        <v>49310</v>
      </c>
      <c r="B469" s="53" t="s">
        <v>36</v>
      </c>
      <c r="C469" s="12" t="str">
        <f>'Planning Engine'!C469</f>
        <v>Drug Product</v>
      </c>
      <c r="D469" s="12" t="str">
        <f>'Planning Engine'!D469</f>
        <v>units</v>
      </c>
      <c r="E469" s="95">
        <f>'Planning Engine'!E469</f>
        <v>87828</v>
      </c>
      <c r="F469" s="95">
        <f>'Planning Engine'!F469</f>
        <v>0</v>
      </c>
      <c r="G469" s="95">
        <f>'Planning Engine'!G469</f>
        <v>0</v>
      </c>
      <c r="H469" s="99">
        <f t="shared" si="14"/>
        <v>0</v>
      </c>
      <c r="I469" s="95">
        <f>'Planning Engine'!H469</f>
        <v>87828</v>
      </c>
      <c r="J469" s="96">
        <f ca="1">'Planning Engine'!J469</f>
        <v>999</v>
      </c>
      <c r="K469" s="95">
        <f ca="1">'Planning Engine'!K469</f>
        <v>0</v>
      </c>
      <c r="L469" s="12" t="str">
        <f ca="1">'Planning Engine'!L469</f>
        <v>Overstock</v>
      </c>
      <c r="M469" s="93">
        <f>'Planning Engine'!S469</f>
        <v>49157</v>
      </c>
      <c r="N469" s="95">
        <f>'Planning Engine'!T469</f>
        <v>0</v>
      </c>
      <c r="O469" s="98" t="s">
        <v>1501</v>
      </c>
      <c r="P469" s="4" t="str">
        <f t="shared" ca="1" si="15"/>
        <v>Defer / consume inventory</v>
      </c>
    </row>
    <row r="470" spans="1:16" ht="13" customHeight="1" x14ac:dyDescent="0.35">
      <c r="A470" s="93">
        <v>49341</v>
      </c>
      <c r="B470" s="61" t="s">
        <v>36</v>
      </c>
      <c r="C470" s="12" t="str">
        <f>'Planning Engine'!C470</f>
        <v>Drug Product</v>
      </c>
      <c r="D470" s="12" t="str">
        <f>'Planning Engine'!D470</f>
        <v>units</v>
      </c>
      <c r="E470" s="95">
        <f>'Planning Engine'!E470</f>
        <v>87828</v>
      </c>
      <c r="F470" s="95">
        <f>'Planning Engine'!F470</f>
        <v>0</v>
      </c>
      <c r="G470" s="95">
        <f>'Planning Engine'!G470</f>
        <v>0</v>
      </c>
      <c r="H470" s="95">
        <f t="shared" si="14"/>
        <v>0</v>
      </c>
      <c r="I470" s="95">
        <f>'Planning Engine'!H470</f>
        <v>87828</v>
      </c>
      <c r="J470" s="96">
        <f ca="1">'Planning Engine'!J470</f>
        <v>999</v>
      </c>
      <c r="K470" s="95">
        <f ca="1">'Planning Engine'!K470</f>
        <v>0</v>
      </c>
      <c r="L470" s="12" t="str">
        <f ca="1">'Planning Engine'!L470</f>
        <v>Overstock</v>
      </c>
      <c r="M470" s="93">
        <f>'Planning Engine'!S470</f>
        <v>49188</v>
      </c>
      <c r="N470" s="95">
        <f>'Planning Engine'!T470</f>
        <v>0</v>
      </c>
      <c r="O470" s="94" t="s">
        <v>1502</v>
      </c>
      <c r="P470" s="12" t="str">
        <f t="shared" ca="1" si="15"/>
        <v>Defer / consume inventory</v>
      </c>
    </row>
    <row r="471" spans="1:16" ht="13" customHeight="1" x14ac:dyDescent="0.35">
      <c r="A471" s="97">
        <v>49369</v>
      </c>
      <c r="B471" s="53" t="s">
        <v>36</v>
      </c>
      <c r="C471" s="12" t="str">
        <f>'Planning Engine'!C471</f>
        <v>Drug Product</v>
      </c>
      <c r="D471" s="12" t="str">
        <f>'Planning Engine'!D471</f>
        <v>units</v>
      </c>
      <c r="E471" s="95">
        <f>'Planning Engine'!E471</f>
        <v>87828</v>
      </c>
      <c r="F471" s="95">
        <f>'Planning Engine'!F471</f>
        <v>0</v>
      </c>
      <c r="G471" s="95">
        <f>'Planning Engine'!G471</f>
        <v>0</v>
      </c>
      <c r="H471" s="99">
        <f t="shared" si="14"/>
        <v>0</v>
      </c>
      <c r="I471" s="95">
        <f>'Planning Engine'!H471</f>
        <v>87828</v>
      </c>
      <c r="J471" s="96">
        <f ca="1">'Planning Engine'!J471</f>
        <v>999</v>
      </c>
      <c r="K471" s="95">
        <f ca="1">'Planning Engine'!K471</f>
        <v>0</v>
      </c>
      <c r="L471" s="12" t="str">
        <f ca="1">'Planning Engine'!L471</f>
        <v>Overstock</v>
      </c>
      <c r="M471" s="93">
        <f>'Planning Engine'!S471</f>
        <v>49218</v>
      </c>
      <c r="N471" s="95">
        <f>'Planning Engine'!T471</f>
        <v>0</v>
      </c>
      <c r="O471" s="98" t="s">
        <v>1503</v>
      </c>
      <c r="P471" s="4" t="str">
        <f t="shared" ca="1" si="15"/>
        <v>Defer / consume inventory</v>
      </c>
    </row>
    <row r="472" spans="1:16" ht="13" customHeight="1" x14ac:dyDescent="0.35">
      <c r="A472" s="93">
        <v>49400</v>
      </c>
      <c r="B472" s="61" t="s">
        <v>36</v>
      </c>
      <c r="C472" s="12" t="str">
        <f>'Planning Engine'!C472</f>
        <v>Drug Product</v>
      </c>
      <c r="D472" s="12" t="str">
        <f>'Planning Engine'!D472</f>
        <v>units</v>
      </c>
      <c r="E472" s="95">
        <f>'Planning Engine'!E472</f>
        <v>87828</v>
      </c>
      <c r="F472" s="95">
        <f>'Planning Engine'!F472</f>
        <v>0</v>
      </c>
      <c r="G472" s="95">
        <f>'Planning Engine'!G472</f>
        <v>0</v>
      </c>
      <c r="H472" s="95">
        <f t="shared" si="14"/>
        <v>0</v>
      </c>
      <c r="I472" s="95">
        <f>'Planning Engine'!H472</f>
        <v>87828</v>
      </c>
      <c r="J472" s="96">
        <f ca="1">'Planning Engine'!J472</f>
        <v>999</v>
      </c>
      <c r="K472" s="95">
        <f ca="1">'Planning Engine'!K472</f>
        <v>0</v>
      </c>
      <c r="L472" s="12" t="str">
        <f ca="1">'Planning Engine'!L472</f>
        <v>Overstock</v>
      </c>
      <c r="M472" s="93">
        <f>'Planning Engine'!S472</f>
        <v>49249</v>
      </c>
      <c r="N472" s="95">
        <f>'Planning Engine'!T472</f>
        <v>0</v>
      </c>
      <c r="O472" s="94" t="s">
        <v>1504</v>
      </c>
      <c r="P472" s="12" t="str">
        <f t="shared" ca="1" si="15"/>
        <v>Defer / consume inventory</v>
      </c>
    </row>
    <row r="473" spans="1:16" ht="13" customHeight="1" x14ac:dyDescent="0.35">
      <c r="A473" s="97">
        <v>49430</v>
      </c>
      <c r="B473" s="53" t="s">
        <v>36</v>
      </c>
      <c r="C473" s="12" t="str">
        <f>'Planning Engine'!C473</f>
        <v>Drug Product</v>
      </c>
      <c r="D473" s="12" t="str">
        <f>'Planning Engine'!D473</f>
        <v>units</v>
      </c>
      <c r="E473" s="95">
        <f>'Planning Engine'!E473</f>
        <v>87828</v>
      </c>
      <c r="F473" s="95">
        <f>'Planning Engine'!F473</f>
        <v>0</v>
      </c>
      <c r="G473" s="95">
        <f>'Planning Engine'!G473</f>
        <v>0</v>
      </c>
      <c r="H473" s="99">
        <f t="shared" si="14"/>
        <v>0</v>
      </c>
      <c r="I473" s="95">
        <f>'Planning Engine'!H473</f>
        <v>87828</v>
      </c>
      <c r="J473" s="96">
        <f ca="1">'Planning Engine'!J473</f>
        <v>999</v>
      </c>
      <c r="K473" s="95">
        <f ca="1">'Planning Engine'!K473</f>
        <v>0</v>
      </c>
      <c r="L473" s="12" t="str">
        <f ca="1">'Planning Engine'!L473</f>
        <v>Overstock</v>
      </c>
      <c r="M473" s="93">
        <f>'Planning Engine'!S473</f>
        <v>49279</v>
      </c>
      <c r="N473" s="95">
        <f>'Planning Engine'!T473</f>
        <v>0</v>
      </c>
      <c r="O473" s="98" t="s">
        <v>1505</v>
      </c>
      <c r="P473" s="4" t="str">
        <f t="shared" ca="1" si="15"/>
        <v>Defer / consume inventory</v>
      </c>
    </row>
    <row r="474" spans="1:16" ht="13" customHeight="1" x14ac:dyDescent="0.35">
      <c r="A474" s="93">
        <v>49461</v>
      </c>
      <c r="B474" s="61" t="s">
        <v>36</v>
      </c>
      <c r="C474" s="12" t="str">
        <f>'Planning Engine'!C474</f>
        <v>Drug Product</v>
      </c>
      <c r="D474" s="12" t="str">
        <f>'Planning Engine'!D474</f>
        <v>units</v>
      </c>
      <c r="E474" s="95">
        <f>'Planning Engine'!E474</f>
        <v>87828</v>
      </c>
      <c r="F474" s="95">
        <f>'Planning Engine'!F474</f>
        <v>0</v>
      </c>
      <c r="G474" s="95">
        <f>'Planning Engine'!G474</f>
        <v>0</v>
      </c>
      <c r="H474" s="95">
        <f t="shared" si="14"/>
        <v>0</v>
      </c>
      <c r="I474" s="95">
        <f>'Planning Engine'!H474</f>
        <v>87828</v>
      </c>
      <c r="J474" s="96">
        <f ca="1">'Planning Engine'!J474</f>
        <v>999</v>
      </c>
      <c r="K474" s="95">
        <f ca="1">'Planning Engine'!K474</f>
        <v>0</v>
      </c>
      <c r="L474" s="12" t="str">
        <f ca="1">'Planning Engine'!L474</f>
        <v>Overstock</v>
      </c>
      <c r="M474" s="93">
        <f>'Planning Engine'!S474</f>
        <v>49310</v>
      </c>
      <c r="N474" s="95">
        <f>'Planning Engine'!T474</f>
        <v>0</v>
      </c>
      <c r="O474" s="94" t="s">
        <v>1506</v>
      </c>
      <c r="P474" s="12" t="str">
        <f t="shared" ca="1" si="15"/>
        <v>Defer / consume inventory</v>
      </c>
    </row>
    <row r="475" spans="1:16" ht="13" customHeight="1" x14ac:dyDescent="0.35">
      <c r="A475" s="97">
        <v>49491</v>
      </c>
      <c r="B475" s="53" t="s">
        <v>36</v>
      </c>
      <c r="C475" s="12" t="str">
        <f>'Planning Engine'!C475</f>
        <v>Drug Product</v>
      </c>
      <c r="D475" s="12" t="str">
        <f>'Planning Engine'!D475</f>
        <v>units</v>
      </c>
      <c r="E475" s="95">
        <f>'Planning Engine'!E475</f>
        <v>87828</v>
      </c>
      <c r="F475" s="95">
        <f>'Planning Engine'!F475</f>
        <v>0</v>
      </c>
      <c r="G475" s="95">
        <f>'Planning Engine'!G475</f>
        <v>0</v>
      </c>
      <c r="H475" s="99">
        <f t="shared" si="14"/>
        <v>0</v>
      </c>
      <c r="I475" s="95">
        <f>'Planning Engine'!H475</f>
        <v>87828</v>
      </c>
      <c r="J475" s="96">
        <f ca="1">'Planning Engine'!J475</f>
        <v>999</v>
      </c>
      <c r="K475" s="95">
        <f ca="1">'Planning Engine'!K475</f>
        <v>0</v>
      </c>
      <c r="L475" s="12" t="str">
        <f ca="1">'Planning Engine'!L475</f>
        <v>Overstock</v>
      </c>
      <c r="M475" s="93">
        <f>'Planning Engine'!S475</f>
        <v>49341</v>
      </c>
      <c r="N475" s="95">
        <f>'Planning Engine'!T475</f>
        <v>0</v>
      </c>
      <c r="O475" s="98" t="s">
        <v>1507</v>
      </c>
      <c r="P475" s="4" t="str">
        <f t="shared" ca="1" si="15"/>
        <v>Defer / consume inventory</v>
      </c>
    </row>
    <row r="476" spans="1:16" ht="13" customHeight="1" x14ac:dyDescent="0.35">
      <c r="A476" s="93">
        <v>49522</v>
      </c>
      <c r="B476" s="61" t="s">
        <v>36</v>
      </c>
      <c r="C476" s="12" t="str">
        <f>'Planning Engine'!C476</f>
        <v>Drug Product</v>
      </c>
      <c r="D476" s="12" t="str">
        <f>'Planning Engine'!D476</f>
        <v>units</v>
      </c>
      <c r="E476" s="95">
        <f>'Planning Engine'!E476</f>
        <v>87828</v>
      </c>
      <c r="F476" s="95">
        <f>'Planning Engine'!F476</f>
        <v>0</v>
      </c>
      <c r="G476" s="95">
        <f>'Planning Engine'!G476</f>
        <v>0</v>
      </c>
      <c r="H476" s="95">
        <f t="shared" si="14"/>
        <v>0</v>
      </c>
      <c r="I476" s="95">
        <f>'Planning Engine'!H476</f>
        <v>87828</v>
      </c>
      <c r="J476" s="96">
        <f ca="1">'Planning Engine'!J476</f>
        <v>999</v>
      </c>
      <c r="K476" s="95">
        <f ca="1">'Planning Engine'!K476</f>
        <v>0</v>
      </c>
      <c r="L476" s="12" t="str">
        <f ca="1">'Planning Engine'!L476</f>
        <v>Overstock</v>
      </c>
      <c r="M476" s="93">
        <f>'Planning Engine'!S476</f>
        <v>49369</v>
      </c>
      <c r="N476" s="95">
        <f>'Planning Engine'!T476</f>
        <v>0</v>
      </c>
      <c r="O476" s="94" t="s">
        <v>1508</v>
      </c>
      <c r="P476" s="12" t="str">
        <f t="shared" ca="1" si="15"/>
        <v>Defer / consume inventory</v>
      </c>
    </row>
    <row r="477" spans="1:16" ht="13" customHeight="1" x14ac:dyDescent="0.35">
      <c r="A477" s="97">
        <v>49553</v>
      </c>
      <c r="B477" s="53" t="s">
        <v>36</v>
      </c>
      <c r="C477" s="12" t="str">
        <f>'Planning Engine'!C477</f>
        <v>Drug Product</v>
      </c>
      <c r="D477" s="12" t="str">
        <f>'Planning Engine'!D477</f>
        <v>units</v>
      </c>
      <c r="E477" s="95">
        <f>'Planning Engine'!E477</f>
        <v>87828</v>
      </c>
      <c r="F477" s="95">
        <f>'Planning Engine'!F477</f>
        <v>0</v>
      </c>
      <c r="G477" s="95">
        <f>'Planning Engine'!G477</f>
        <v>0</v>
      </c>
      <c r="H477" s="99">
        <f t="shared" si="14"/>
        <v>0</v>
      </c>
      <c r="I477" s="95">
        <f>'Planning Engine'!H477</f>
        <v>87828</v>
      </c>
      <c r="J477" s="96">
        <f ca="1">'Planning Engine'!J477</f>
        <v>999</v>
      </c>
      <c r="K477" s="95">
        <f ca="1">'Planning Engine'!K477</f>
        <v>0</v>
      </c>
      <c r="L477" s="12" t="str">
        <f ca="1">'Planning Engine'!L477</f>
        <v>Overstock</v>
      </c>
      <c r="M477" s="93">
        <f>'Planning Engine'!S477</f>
        <v>49400</v>
      </c>
      <c r="N477" s="95">
        <f>'Planning Engine'!T477</f>
        <v>0</v>
      </c>
      <c r="O477" s="98" t="s">
        <v>1509</v>
      </c>
      <c r="P477" s="4" t="str">
        <f t="shared" ca="1" si="15"/>
        <v>Defer / consume inventory</v>
      </c>
    </row>
    <row r="478" spans="1:16" ht="13" customHeight="1" x14ac:dyDescent="0.35">
      <c r="A478" s="93">
        <v>49583</v>
      </c>
      <c r="B478" s="61" t="s">
        <v>36</v>
      </c>
      <c r="C478" s="12" t="str">
        <f>'Planning Engine'!C478</f>
        <v>Drug Product</v>
      </c>
      <c r="D478" s="12" t="str">
        <f>'Planning Engine'!D478</f>
        <v>units</v>
      </c>
      <c r="E478" s="95">
        <f>'Planning Engine'!E478</f>
        <v>87828</v>
      </c>
      <c r="F478" s="95">
        <f>'Planning Engine'!F478</f>
        <v>0</v>
      </c>
      <c r="G478" s="95">
        <f>'Planning Engine'!G478</f>
        <v>0</v>
      </c>
      <c r="H478" s="95">
        <f t="shared" si="14"/>
        <v>0</v>
      </c>
      <c r="I478" s="95">
        <f>'Planning Engine'!H478</f>
        <v>87828</v>
      </c>
      <c r="J478" s="96">
        <f ca="1">'Planning Engine'!J478</f>
        <v>999</v>
      </c>
      <c r="K478" s="95">
        <f ca="1">'Planning Engine'!K478</f>
        <v>0</v>
      </c>
      <c r="L478" s="12" t="str">
        <f ca="1">'Planning Engine'!L478</f>
        <v>Overstock</v>
      </c>
      <c r="M478" s="93">
        <f>'Planning Engine'!S478</f>
        <v>49430</v>
      </c>
      <c r="N478" s="95">
        <f>'Planning Engine'!T478</f>
        <v>0</v>
      </c>
      <c r="O478" s="94" t="s">
        <v>1510</v>
      </c>
      <c r="P478" s="12" t="str">
        <f t="shared" ca="1" si="15"/>
        <v>Defer / consume inventory</v>
      </c>
    </row>
    <row r="479" spans="1:16" ht="13" customHeight="1" x14ac:dyDescent="0.35">
      <c r="A479" s="97">
        <v>49614</v>
      </c>
      <c r="B479" s="53" t="s">
        <v>36</v>
      </c>
      <c r="C479" s="12" t="str">
        <f>'Planning Engine'!C479</f>
        <v>Drug Product</v>
      </c>
      <c r="D479" s="12" t="str">
        <f>'Planning Engine'!D479</f>
        <v>units</v>
      </c>
      <c r="E479" s="95">
        <f>'Planning Engine'!E479</f>
        <v>87828</v>
      </c>
      <c r="F479" s="95">
        <f>'Planning Engine'!F479</f>
        <v>0</v>
      </c>
      <c r="G479" s="95">
        <f>'Planning Engine'!G479</f>
        <v>0</v>
      </c>
      <c r="H479" s="99">
        <f t="shared" si="14"/>
        <v>0</v>
      </c>
      <c r="I479" s="95">
        <f>'Planning Engine'!H479</f>
        <v>87828</v>
      </c>
      <c r="J479" s="96">
        <f ca="1">'Planning Engine'!J479</f>
        <v>999</v>
      </c>
      <c r="K479" s="95">
        <f ca="1">'Planning Engine'!K479</f>
        <v>0</v>
      </c>
      <c r="L479" s="12" t="str">
        <f ca="1">'Planning Engine'!L479</f>
        <v>Overstock</v>
      </c>
      <c r="M479" s="93">
        <f>'Planning Engine'!S479</f>
        <v>49461</v>
      </c>
      <c r="N479" s="95">
        <f>'Planning Engine'!T479</f>
        <v>0</v>
      </c>
      <c r="O479" s="98" t="s">
        <v>1511</v>
      </c>
      <c r="P479" s="4" t="str">
        <f t="shared" ca="1" si="15"/>
        <v>Defer / consume inventory</v>
      </c>
    </row>
    <row r="480" spans="1:16" ht="13" customHeight="1" x14ac:dyDescent="0.35">
      <c r="A480" s="93">
        <v>49644</v>
      </c>
      <c r="B480" s="61" t="s">
        <v>36</v>
      </c>
      <c r="C480" s="12" t="str">
        <f>'Planning Engine'!C480</f>
        <v>Drug Product</v>
      </c>
      <c r="D480" s="12" t="str">
        <f>'Planning Engine'!D480</f>
        <v>units</v>
      </c>
      <c r="E480" s="95">
        <f>'Planning Engine'!E480</f>
        <v>87828</v>
      </c>
      <c r="F480" s="95">
        <f>'Planning Engine'!F480</f>
        <v>0</v>
      </c>
      <c r="G480" s="95">
        <f>'Planning Engine'!G480</f>
        <v>0</v>
      </c>
      <c r="H480" s="95">
        <f t="shared" si="14"/>
        <v>0</v>
      </c>
      <c r="I480" s="95">
        <f>'Planning Engine'!H480</f>
        <v>87828</v>
      </c>
      <c r="J480" s="96">
        <f ca="1">'Planning Engine'!J480</f>
        <v>999</v>
      </c>
      <c r="K480" s="95">
        <f ca="1">'Planning Engine'!K480</f>
        <v>0</v>
      </c>
      <c r="L480" s="12" t="str">
        <f ca="1">'Planning Engine'!L480</f>
        <v>Overstock</v>
      </c>
      <c r="M480" s="93">
        <f>'Planning Engine'!S480</f>
        <v>49491</v>
      </c>
      <c r="N480" s="95">
        <f>'Planning Engine'!T480</f>
        <v>0</v>
      </c>
      <c r="O480" s="94" t="s">
        <v>1512</v>
      </c>
      <c r="P480" s="12" t="str">
        <f t="shared" ca="1" si="15"/>
        <v>Defer / consume inventory</v>
      </c>
    </row>
    <row r="481" spans="1:16" ht="13" customHeight="1" x14ac:dyDescent="0.35">
      <c r="A481" s="97">
        <v>49675</v>
      </c>
      <c r="B481" s="53" t="s">
        <v>36</v>
      </c>
      <c r="C481" s="12" t="str">
        <f>'Planning Engine'!C481</f>
        <v>Drug Product</v>
      </c>
      <c r="D481" s="12" t="str">
        <f>'Planning Engine'!D481</f>
        <v>units</v>
      </c>
      <c r="E481" s="95">
        <f>'Planning Engine'!E481</f>
        <v>87828</v>
      </c>
      <c r="F481" s="95">
        <f>'Planning Engine'!F481</f>
        <v>0</v>
      </c>
      <c r="G481" s="95">
        <f>'Planning Engine'!G481</f>
        <v>0</v>
      </c>
      <c r="H481" s="99">
        <f t="shared" si="14"/>
        <v>0</v>
      </c>
      <c r="I481" s="95">
        <f>'Planning Engine'!H481</f>
        <v>87828</v>
      </c>
      <c r="J481" s="96">
        <f ca="1">'Planning Engine'!J481</f>
        <v>999</v>
      </c>
      <c r="K481" s="95">
        <f ca="1">'Planning Engine'!K481</f>
        <v>0</v>
      </c>
      <c r="L481" s="12" t="str">
        <f ca="1">'Planning Engine'!L481</f>
        <v>Overstock</v>
      </c>
      <c r="M481" s="93">
        <f>'Planning Engine'!S481</f>
        <v>49522</v>
      </c>
      <c r="N481" s="95">
        <f>'Planning Engine'!T481</f>
        <v>0</v>
      </c>
      <c r="O481" s="98" t="s">
        <v>1513</v>
      </c>
      <c r="P481" s="4" t="str">
        <f t="shared" ca="1" si="15"/>
        <v>Defer / consume inventory</v>
      </c>
    </row>
    <row r="482" spans="1:16" ht="13" customHeight="1" x14ac:dyDescent="0.35">
      <c r="A482" s="93">
        <v>49706</v>
      </c>
      <c r="B482" s="61" t="s">
        <v>36</v>
      </c>
      <c r="C482" s="12" t="str">
        <f>'Planning Engine'!C482</f>
        <v>Drug Product</v>
      </c>
      <c r="D482" s="12" t="str">
        <f>'Planning Engine'!D482</f>
        <v>units</v>
      </c>
      <c r="E482" s="95">
        <f>'Planning Engine'!E482</f>
        <v>87828</v>
      </c>
      <c r="F482" s="95">
        <f>'Planning Engine'!F482</f>
        <v>0</v>
      </c>
      <c r="G482" s="95">
        <f>'Planning Engine'!G482</f>
        <v>0</v>
      </c>
      <c r="H482" s="95">
        <f t="shared" si="14"/>
        <v>0</v>
      </c>
      <c r="I482" s="95">
        <f>'Planning Engine'!H482</f>
        <v>87828</v>
      </c>
      <c r="J482" s="96">
        <f ca="1">'Planning Engine'!J482</f>
        <v>999</v>
      </c>
      <c r="K482" s="95">
        <f ca="1">'Planning Engine'!K482</f>
        <v>0</v>
      </c>
      <c r="L482" s="12" t="str">
        <f ca="1">'Planning Engine'!L482</f>
        <v>Overstock</v>
      </c>
      <c r="M482" s="93">
        <f>'Planning Engine'!S482</f>
        <v>49553</v>
      </c>
      <c r="N482" s="95">
        <f>'Planning Engine'!T482</f>
        <v>0</v>
      </c>
      <c r="O482" s="94" t="s">
        <v>1514</v>
      </c>
      <c r="P482" s="12" t="str">
        <f t="shared" ca="1" si="15"/>
        <v>Defer / consume inventory</v>
      </c>
    </row>
    <row r="483" spans="1:16" ht="13" customHeight="1" x14ac:dyDescent="0.35">
      <c r="A483" s="97">
        <v>49735</v>
      </c>
      <c r="B483" s="53" t="s">
        <v>36</v>
      </c>
      <c r="C483" s="12" t="str">
        <f>'Planning Engine'!C483</f>
        <v>Drug Product</v>
      </c>
      <c r="D483" s="12" t="str">
        <f>'Planning Engine'!D483</f>
        <v>units</v>
      </c>
      <c r="E483" s="95">
        <f>'Planning Engine'!E483</f>
        <v>87828</v>
      </c>
      <c r="F483" s="95">
        <f>'Planning Engine'!F483</f>
        <v>0</v>
      </c>
      <c r="G483" s="95">
        <f>'Planning Engine'!G483</f>
        <v>0</v>
      </c>
      <c r="H483" s="99">
        <f t="shared" si="14"/>
        <v>0</v>
      </c>
      <c r="I483" s="95">
        <f>'Planning Engine'!H483</f>
        <v>87828</v>
      </c>
      <c r="J483" s="96">
        <f ca="1">'Planning Engine'!J483</f>
        <v>999</v>
      </c>
      <c r="K483" s="95">
        <f ca="1">'Planning Engine'!K483</f>
        <v>0</v>
      </c>
      <c r="L483" s="12" t="str">
        <f ca="1">'Planning Engine'!L483</f>
        <v>Overstock</v>
      </c>
      <c r="M483" s="93">
        <f>'Planning Engine'!S483</f>
        <v>49583</v>
      </c>
      <c r="N483" s="95">
        <f>'Planning Engine'!T483</f>
        <v>0</v>
      </c>
      <c r="O483" s="98" t="s">
        <v>1515</v>
      </c>
      <c r="P483" s="4" t="str">
        <f t="shared" ca="1" si="15"/>
        <v>Defer / consume inventory</v>
      </c>
    </row>
    <row r="484" spans="1:16" ht="13" customHeight="1" x14ac:dyDescent="0.35">
      <c r="A484" s="93">
        <v>49766</v>
      </c>
      <c r="B484" s="61" t="s">
        <v>36</v>
      </c>
      <c r="C484" s="12" t="str">
        <f>'Planning Engine'!C484</f>
        <v>Drug Product</v>
      </c>
      <c r="D484" s="12" t="str">
        <f>'Planning Engine'!D484</f>
        <v>units</v>
      </c>
      <c r="E484" s="95">
        <f>'Planning Engine'!E484</f>
        <v>87828</v>
      </c>
      <c r="F484" s="95">
        <f>'Planning Engine'!F484</f>
        <v>0</v>
      </c>
      <c r="G484" s="95">
        <f>'Planning Engine'!G484</f>
        <v>0</v>
      </c>
      <c r="H484" s="95">
        <f t="shared" si="14"/>
        <v>0</v>
      </c>
      <c r="I484" s="95">
        <f>'Planning Engine'!H484</f>
        <v>87828</v>
      </c>
      <c r="J484" s="96">
        <f ca="1">'Planning Engine'!J484</f>
        <v>999</v>
      </c>
      <c r="K484" s="95">
        <f ca="1">'Planning Engine'!K484</f>
        <v>0</v>
      </c>
      <c r="L484" s="12" t="str">
        <f ca="1">'Planning Engine'!L484</f>
        <v>Overstock</v>
      </c>
      <c r="M484" s="93">
        <f>'Planning Engine'!S484</f>
        <v>49614</v>
      </c>
      <c r="N484" s="95">
        <f>'Planning Engine'!T484</f>
        <v>0</v>
      </c>
      <c r="O484" s="94" t="s">
        <v>1516</v>
      </c>
      <c r="P484" s="12" t="str">
        <f t="shared" ca="1" si="15"/>
        <v>Defer / consume inventory</v>
      </c>
    </row>
    <row r="485" spans="1:16" ht="13" customHeight="1" x14ac:dyDescent="0.35">
      <c r="A485" s="97">
        <v>49796</v>
      </c>
      <c r="B485" s="53" t="s">
        <v>36</v>
      </c>
      <c r="C485" s="12" t="str">
        <f>'Planning Engine'!C485</f>
        <v>Drug Product</v>
      </c>
      <c r="D485" s="12" t="str">
        <f>'Planning Engine'!D485</f>
        <v>units</v>
      </c>
      <c r="E485" s="95">
        <f>'Planning Engine'!E485</f>
        <v>87828</v>
      </c>
      <c r="F485" s="95">
        <f>'Planning Engine'!F485</f>
        <v>0</v>
      </c>
      <c r="G485" s="95">
        <f>'Planning Engine'!G485</f>
        <v>0</v>
      </c>
      <c r="H485" s="99">
        <f t="shared" si="14"/>
        <v>0</v>
      </c>
      <c r="I485" s="95">
        <f>'Planning Engine'!H485</f>
        <v>87828</v>
      </c>
      <c r="J485" s="96">
        <f ca="1">'Planning Engine'!J485</f>
        <v>999</v>
      </c>
      <c r="K485" s="95">
        <f ca="1">'Planning Engine'!K485</f>
        <v>0</v>
      </c>
      <c r="L485" s="12" t="str">
        <f ca="1">'Planning Engine'!L485</f>
        <v>Overstock</v>
      </c>
      <c r="M485" s="93">
        <f>'Planning Engine'!S485</f>
        <v>49644</v>
      </c>
      <c r="N485" s="95">
        <f>'Planning Engine'!T485</f>
        <v>0</v>
      </c>
      <c r="O485" s="98" t="s">
        <v>1517</v>
      </c>
      <c r="P485" s="4" t="str">
        <f t="shared" ca="1" si="15"/>
        <v>Defer / consume inventory</v>
      </c>
    </row>
    <row r="486" spans="1:16" ht="13" customHeight="1" x14ac:dyDescent="0.35">
      <c r="A486" s="93">
        <v>49827</v>
      </c>
      <c r="B486" s="61" t="s">
        <v>36</v>
      </c>
      <c r="C486" s="12" t="str">
        <f>'Planning Engine'!C486</f>
        <v>Drug Product</v>
      </c>
      <c r="D486" s="12" t="str">
        <f>'Planning Engine'!D486</f>
        <v>units</v>
      </c>
      <c r="E486" s="95">
        <f>'Planning Engine'!E486</f>
        <v>87828</v>
      </c>
      <c r="F486" s="95">
        <f>'Planning Engine'!F486</f>
        <v>0</v>
      </c>
      <c r="G486" s="95">
        <f>'Planning Engine'!G486</f>
        <v>0</v>
      </c>
      <c r="H486" s="95">
        <f t="shared" si="14"/>
        <v>0</v>
      </c>
      <c r="I486" s="95">
        <f>'Planning Engine'!H486</f>
        <v>87828</v>
      </c>
      <c r="J486" s="96">
        <f ca="1">'Planning Engine'!J486</f>
        <v>999</v>
      </c>
      <c r="K486" s="95">
        <f ca="1">'Planning Engine'!K486</f>
        <v>0</v>
      </c>
      <c r="L486" s="12" t="str">
        <f ca="1">'Planning Engine'!L486</f>
        <v>Overstock</v>
      </c>
      <c r="M486" s="93">
        <f>'Planning Engine'!S486</f>
        <v>49675</v>
      </c>
      <c r="N486" s="95">
        <f>'Planning Engine'!T486</f>
        <v>0</v>
      </c>
      <c r="O486" s="94" t="s">
        <v>1518</v>
      </c>
      <c r="P486" s="12" t="str">
        <f t="shared" ca="1" si="15"/>
        <v>Defer / consume inventory</v>
      </c>
    </row>
    <row r="487" spans="1:16" ht="13" customHeight="1" x14ac:dyDescent="0.35">
      <c r="A487" s="97">
        <v>49857</v>
      </c>
      <c r="B487" s="53" t="s">
        <v>36</v>
      </c>
      <c r="C487" s="12" t="str">
        <f>'Planning Engine'!C487</f>
        <v>Drug Product</v>
      </c>
      <c r="D487" s="12" t="str">
        <f>'Planning Engine'!D487</f>
        <v>units</v>
      </c>
      <c r="E487" s="95">
        <f>'Planning Engine'!E487</f>
        <v>87828</v>
      </c>
      <c r="F487" s="95">
        <f>'Planning Engine'!F487</f>
        <v>0</v>
      </c>
      <c r="G487" s="95">
        <f>'Planning Engine'!G487</f>
        <v>0</v>
      </c>
      <c r="H487" s="99">
        <f t="shared" si="14"/>
        <v>0</v>
      </c>
      <c r="I487" s="95">
        <f>'Planning Engine'!H487</f>
        <v>87828</v>
      </c>
      <c r="J487" s="96">
        <f ca="1">'Planning Engine'!J487</f>
        <v>999</v>
      </c>
      <c r="K487" s="95">
        <f ca="1">'Planning Engine'!K487</f>
        <v>0</v>
      </c>
      <c r="L487" s="12" t="str">
        <f ca="1">'Planning Engine'!L487</f>
        <v>Overstock</v>
      </c>
      <c r="M487" s="93">
        <f>'Planning Engine'!S487</f>
        <v>49706</v>
      </c>
      <c r="N487" s="95">
        <f>'Planning Engine'!T487</f>
        <v>0</v>
      </c>
      <c r="O487" s="98" t="s">
        <v>1519</v>
      </c>
      <c r="P487" s="4" t="str">
        <f t="shared" ca="1" si="15"/>
        <v>Defer / consume inventory</v>
      </c>
    </row>
    <row r="488" spans="1:16" ht="13" customHeight="1" x14ac:dyDescent="0.35">
      <c r="A488" s="93">
        <v>49888</v>
      </c>
      <c r="B488" s="61" t="s">
        <v>36</v>
      </c>
      <c r="C488" s="12" t="str">
        <f>'Planning Engine'!C488</f>
        <v>Drug Product</v>
      </c>
      <c r="D488" s="12" t="str">
        <f>'Planning Engine'!D488</f>
        <v>units</v>
      </c>
      <c r="E488" s="95">
        <f>'Planning Engine'!E488</f>
        <v>87828</v>
      </c>
      <c r="F488" s="95">
        <f>'Planning Engine'!F488</f>
        <v>0</v>
      </c>
      <c r="G488" s="95">
        <f>'Planning Engine'!G488</f>
        <v>0</v>
      </c>
      <c r="H488" s="95">
        <f t="shared" si="14"/>
        <v>0</v>
      </c>
      <c r="I488" s="95">
        <f>'Planning Engine'!H488</f>
        <v>87828</v>
      </c>
      <c r="J488" s="96">
        <f ca="1">'Planning Engine'!J488</f>
        <v>999</v>
      </c>
      <c r="K488" s="95">
        <f ca="1">'Planning Engine'!K488</f>
        <v>0</v>
      </c>
      <c r="L488" s="12" t="str">
        <f ca="1">'Planning Engine'!L488</f>
        <v>Overstock</v>
      </c>
      <c r="M488" s="93">
        <f>'Planning Engine'!S488</f>
        <v>49735</v>
      </c>
      <c r="N488" s="95">
        <f>'Planning Engine'!T488</f>
        <v>0</v>
      </c>
      <c r="O488" s="94" t="s">
        <v>1520</v>
      </c>
      <c r="P488" s="12" t="str">
        <f t="shared" ca="1" si="15"/>
        <v>Defer / consume inventory</v>
      </c>
    </row>
    <row r="489" spans="1:16" ht="13" customHeight="1" x14ac:dyDescent="0.35">
      <c r="A489" s="97">
        <v>49919</v>
      </c>
      <c r="B489" s="53" t="s">
        <v>36</v>
      </c>
      <c r="C489" s="12" t="str">
        <f>'Planning Engine'!C489</f>
        <v>Drug Product</v>
      </c>
      <c r="D489" s="12" t="str">
        <f>'Planning Engine'!D489</f>
        <v>units</v>
      </c>
      <c r="E489" s="95">
        <f>'Planning Engine'!E489</f>
        <v>87828</v>
      </c>
      <c r="F489" s="95">
        <f>'Planning Engine'!F489</f>
        <v>0</v>
      </c>
      <c r="G489" s="95">
        <f>'Planning Engine'!G489</f>
        <v>0</v>
      </c>
      <c r="H489" s="99">
        <f t="shared" si="14"/>
        <v>0</v>
      </c>
      <c r="I489" s="95">
        <f>'Planning Engine'!H489</f>
        <v>87828</v>
      </c>
      <c r="J489" s="96">
        <f ca="1">'Planning Engine'!J489</f>
        <v>999</v>
      </c>
      <c r="K489" s="95">
        <f ca="1">'Planning Engine'!K489</f>
        <v>0</v>
      </c>
      <c r="L489" s="12" t="str">
        <f ca="1">'Planning Engine'!L489</f>
        <v>Overstock</v>
      </c>
      <c r="M489" s="93">
        <f>'Planning Engine'!S489</f>
        <v>49766</v>
      </c>
      <c r="N489" s="95">
        <f>'Planning Engine'!T489</f>
        <v>0</v>
      </c>
      <c r="O489" s="98" t="s">
        <v>1521</v>
      </c>
      <c r="P489" s="4" t="str">
        <f t="shared" ca="1" si="15"/>
        <v>Defer / consume inventory</v>
      </c>
    </row>
    <row r="490" spans="1:16" ht="13" customHeight="1" x14ac:dyDescent="0.35">
      <c r="A490" s="93">
        <v>49949</v>
      </c>
      <c r="B490" s="61" t="s">
        <v>36</v>
      </c>
      <c r="C490" s="12" t="str">
        <f>'Planning Engine'!C490</f>
        <v>Drug Product</v>
      </c>
      <c r="D490" s="12" t="str">
        <f>'Planning Engine'!D490</f>
        <v>units</v>
      </c>
      <c r="E490" s="95">
        <f>'Planning Engine'!E490</f>
        <v>87828</v>
      </c>
      <c r="F490" s="95">
        <f>'Planning Engine'!F490</f>
        <v>0</v>
      </c>
      <c r="G490" s="95">
        <f>'Planning Engine'!G490</f>
        <v>0</v>
      </c>
      <c r="H490" s="95">
        <f t="shared" si="14"/>
        <v>0</v>
      </c>
      <c r="I490" s="95">
        <f>'Planning Engine'!H490</f>
        <v>87828</v>
      </c>
      <c r="J490" s="96">
        <f ca="1">'Planning Engine'!J490</f>
        <v>999</v>
      </c>
      <c r="K490" s="95">
        <f ca="1">'Planning Engine'!K490</f>
        <v>0</v>
      </c>
      <c r="L490" s="12" t="str">
        <f ca="1">'Planning Engine'!L490</f>
        <v>Overstock</v>
      </c>
      <c r="M490" s="93">
        <f>'Planning Engine'!S490</f>
        <v>49796</v>
      </c>
      <c r="N490" s="95">
        <f>'Planning Engine'!T490</f>
        <v>0</v>
      </c>
      <c r="O490" s="94" t="s">
        <v>1522</v>
      </c>
      <c r="P490" s="12" t="str">
        <f t="shared" ca="1" si="15"/>
        <v>Defer / consume inventory</v>
      </c>
    </row>
    <row r="491" spans="1:16" ht="13" customHeight="1" x14ac:dyDescent="0.35">
      <c r="A491" s="97">
        <v>49980</v>
      </c>
      <c r="B491" s="53" t="s">
        <v>36</v>
      </c>
      <c r="C491" s="12" t="str">
        <f>'Planning Engine'!C491</f>
        <v>Drug Product</v>
      </c>
      <c r="D491" s="12" t="str">
        <f>'Planning Engine'!D491</f>
        <v>units</v>
      </c>
      <c r="E491" s="95">
        <f>'Planning Engine'!E491</f>
        <v>87828</v>
      </c>
      <c r="F491" s="95">
        <f>'Planning Engine'!F491</f>
        <v>0</v>
      </c>
      <c r="G491" s="95">
        <f>'Planning Engine'!G491</f>
        <v>0</v>
      </c>
      <c r="H491" s="99">
        <f t="shared" si="14"/>
        <v>0</v>
      </c>
      <c r="I491" s="95">
        <f>'Planning Engine'!H491</f>
        <v>87828</v>
      </c>
      <c r="J491" s="96">
        <f ca="1">'Planning Engine'!J491</f>
        <v>999</v>
      </c>
      <c r="K491" s="95">
        <f ca="1">'Planning Engine'!K491</f>
        <v>0</v>
      </c>
      <c r="L491" s="12" t="str">
        <f ca="1">'Planning Engine'!L491</f>
        <v>Overstock</v>
      </c>
      <c r="M491" s="93">
        <f>'Planning Engine'!S491</f>
        <v>49827</v>
      </c>
      <c r="N491" s="95">
        <f>'Planning Engine'!T491</f>
        <v>0</v>
      </c>
      <c r="O491" s="98" t="s">
        <v>1523</v>
      </c>
      <c r="P491" s="4" t="str">
        <f t="shared" ca="1" si="15"/>
        <v>Defer / consume inventory</v>
      </c>
    </row>
    <row r="492" spans="1:16" ht="13" customHeight="1" x14ac:dyDescent="0.35">
      <c r="A492" s="93">
        <v>50010</v>
      </c>
      <c r="B492" s="61" t="s">
        <v>36</v>
      </c>
      <c r="C492" s="12" t="str">
        <f>'Planning Engine'!C492</f>
        <v>Drug Product</v>
      </c>
      <c r="D492" s="12" t="str">
        <f>'Planning Engine'!D492</f>
        <v>units</v>
      </c>
      <c r="E492" s="95">
        <f>'Planning Engine'!E492</f>
        <v>87828</v>
      </c>
      <c r="F492" s="95">
        <f>'Planning Engine'!F492</f>
        <v>0</v>
      </c>
      <c r="G492" s="95">
        <f>'Planning Engine'!G492</f>
        <v>0</v>
      </c>
      <c r="H492" s="95">
        <f t="shared" si="14"/>
        <v>0</v>
      </c>
      <c r="I492" s="95">
        <f>'Planning Engine'!H492</f>
        <v>87828</v>
      </c>
      <c r="J492" s="96">
        <f ca="1">'Planning Engine'!J492</f>
        <v>999</v>
      </c>
      <c r="K492" s="95">
        <f ca="1">'Planning Engine'!K492</f>
        <v>0</v>
      </c>
      <c r="L492" s="12" t="str">
        <f ca="1">'Planning Engine'!L492</f>
        <v>Overstock</v>
      </c>
      <c r="M492" s="93">
        <f>'Planning Engine'!S492</f>
        <v>49857</v>
      </c>
      <c r="N492" s="95">
        <f>'Planning Engine'!T492</f>
        <v>0</v>
      </c>
      <c r="O492" s="94" t="s">
        <v>1524</v>
      </c>
      <c r="P492" s="12" t="str">
        <f t="shared" ca="1" si="15"/>
        <v>Defer / consume inventory</v>
      </c>
    </row>
    <row r="493" spans="1:16" ht="13" customHeight="1" x14ac:dyDescent="0.35">
      <c r="A493" s="97">
        <v>50041</v>
      </c>
      <c r="B493" s="53" t="s">
        <v>36</v>
      </c>
      <c r="C493" s="12" t="str">
        <f>'Planning Engine'!C493</f>
        <v>Drug Product</v>
      </c>
      <c r="D493" s="12" t="str">
        <f>'Planning Engine'!D493</f>
        <v>units</v>
      </c>
      <c r="E493" s="95">
        <f>'Planning Engine'!E493</f>
        <v>87828</v>
      </c>
      <c r="F493" s="95">
        <f>'Planning Engine'!F493</f>
        <v>0</v>
      </c>
      <c r="G493" s="95">
        <f>'Planning Engine'!G493</f>
        <v>0</v>
      </c>
      <c r="H493" s="99">
        <f t="shared" si="14"/>
        <v>0</v>
      </c>
      <c r="I493" s="95">
        <f>'Planning Engine'!H493</f>
        <v>87828</v>
      </c>
      <c r="J493" s="96">
        <f ca="1">'Planning Engine'!J493</f>
        <v>999</v>
      </c>
      <c r="K493" s="95">
        <f ca="1">'Planning Engine'!K493</f>
        <v>0</v>
      </c>
      <c r="L493" s="12" t="str">
        <f ca="1">'Planning Engine'!L493</f>
        <v>Overstock</v>
      </c>
      <c r="M493" s="93">
        <f>'Planning Engine'!S493</f>
        <v>49888</v>
      </c>
      <c r="N493" s="95">
        <f>'Planning Engine'!T493</f>
        <v>0</v>
      </c>
      <c r="O493" s="98" t="s">
        <v>1525</v>
      </c>
      <c r="P493" s="4" t="str">
        <f t="shared" ca="1" si="15"/>
        <v>Defer / consume inventory</v>
      </c>
    </row>
    <row r="494" spans="1:16" ht="13" customHeight="1" x14ac:dyDescent="0.35">
      <c r="A494" s="93">
        <v>50072</v>
      </c>
      <c r="B494" s="61" t="s">
        <v>36</v>
      </c>
      <c r="C494" s="12" t="str">
        <f>'Planning Engine'!C494</f>
        <v>Drug Product</v>
      </c>
      <c r="D494" s="12" t="str">
        <f>'Planning Engine'!D494</f>
        <v>units</v>
      </c>
      <c r="E494" s="95">
        <f>'Planning Engine'!E494</f>
        <v>87828</v>
      </c>
      <c r="F494" s="95">
        <f>'Planning Engine'!F494</f>
        <v>0</v>
      </c>
      <c r="G494" s="95">
        <f>'Planning Engine'!G494</f>
        <v>0</v>
      </c>
      <c r="H494" s="95">
        <f t="shared" si="14"/>
        <v>0</v>
      </c>
      <c r="I494" s="95">
        <f>'Planning Engine'!H494</f>
        <v>87828</v>
      </c>
      <c r="J494" s="96">
        <f ca="1">'Planning Engine'!J494</f>
        <v>999</v>
      </c>
      <c r="K494" s="95">
        <f ca="1">'Planning Engine'!K494</f>
        <v>0</v>
      </c>
      <c r="L494" s="12" t="str">
        <f ca="1">'Planning Engine'!L494</f>
        <v>Overstock</v>
      </c>
      <c r="M494" s="93">
        <f>'Planning Engine'!S494</f>
        <v>49919</v>
      </c>
      <c r="N494" s="95">
        <f>'Planning Engine'!T494</f>
        <v>0</v>
      </c>
      <c r="O494" s="94" t="s">
        <v>1526</v>
      </c>
      <c r="P494" s="12" t="str">
        <f t="shared" ca="1" si="15"/>
        <v>Defer / consume inventory</v>
      </c>
    </row>
    <row r="495" spans="1:16" ht="13" customHeight="1" x14ac:dyDescent="0.35">
      <c r="A495" s="97">
        <v>50100</v>
      </c>
      <c r="B495" s="53" t="s">
        <v>36</v>
      </c>
      <c r="C495" s="12" t="str">
        <f>'Planning Engine'!C495</f>
        <v>Drug Product</v>
      </c>
      <c r="D495" s="12" t="str">
        <f>'Planning Engine'!D495</f>
        <v>units</v>
      </c>
      <c r="E495" s="95">
        <f>'Planning Engine'!E495</f>
        <v>87828</v>
      </c>
      <c r="F495" s="95">
        <f>'Planning Engine'!F495</f>
        <v>0</v>
      </c>
      <c r="G495" s="95">
        <f>'Planning Engine'!G495</f>
        <v>0</v>
      </c>
      <c r="H495" s="99">
        <f t="shared" si="14"/>
        <v>0</v>
      </c>
      <c r="I495" s="95">
        <f>'Planning Engine'!H495</f>
        <v>87828</v>
      </c>
      <c r="J495" s="96">
        <f ca="1">'Planning Engine'!J495</f>
        <v>999</v>
      </c>
      <c r="K495" s="95">
        <f ca="1">'Planning Engine'!K495</f>
        <v>0</v>
      </c>
      <c r="L495" s="12" t="str">
        <f ca="1">'Planning Engine'!L495</f>
        <v>Overstock</v>
      </c>
      <c r="M495" s="93">
        <f>'Planning Engine'!S495</f>
        <v>49949</v>
      </c>
      <c r="N495" s="95">
        <f>'Planning Engine'!T495</f>
        <v>0</v>
      </c>
      <c r="O495" s="98" t="s">
        <v>1527</v>
      </c>
      <c r="P495" s="4" t="str">
        <f t="shared" ca="1" si="15"/>
        <v>Defer / consume inventory</v>
      </c>
    </row>
    <row r="496" spans="1:16" ht="13" customHeight="1" x14ac:dyDescent="0.35">
      <c r="A496" s="93">
        <v>50131</v>
      </c>
      <c r="B496" s="61" t="s">
        <v>36</v>
      </c>
      <c r="C496" s="12" t="str">
        <f>'Planning Engine'!C496</f>
        <v>Drug Product</v>
      </c>
      <c r="D496" s="12" t="str">
        <f>'Planning Engine'!D496</f>
        <v>units</v>
      </c>
      <c r="E496" s="95">
        <f>'Planning Engine'!E496</f>
        <v>87828</v>
      </c>
      <c r="F496" s="95">
        <f>'Planning Engine'!F496</f>
        <v>0</v>
      </c>
      <c r="G496" s="95">
        <f>'Planning Engine'!G496</f>
        <v>0</v>
      </c>
      <c r="H496" s="95">
        <f t="shared" si="14"/>
        <v>0</v>
      </c>
      <c r="I496" s="95">
        <f>'Planning Engine'!H496</f>
        <v>87828</v>
      </c>
      <c r="J496" s="96">
        <f ca="1">'Planning Engine'!J496</f>
        <v>999</v>
      </c>
      <c r="K496" s="95">
        <f ca="1">'Planning Engine'!K496</f>
        <v>0</v>
      </c>
      <c r="L496" s="12" t="str">
        <f ca="1">'Planning Engine'!L496</f>
        <v>Overstock</v>
      </c>
      <c r="M496" s="93">
        <f>'Planning Engine'!S496</f>
        <v>49980</v>
      </c>
      <c r="N496" s="95">
        <f>'Planning Engine'!T496</f>
        <v>0</v>
      </c>
      <c r="O496" s="94" t="s">
        <v>1528</v>
      </c>
      <c r="P496" s="12" t="str">
        <f t="shared" ca="1" si="15"/>
        <v>Defer / consume inventory</v>
      </c>
    </row>
    <row r="497" spans="1:16" ht="13" customHeight="1" x14ac:dyDescent="0.35">
      <c r="A497" s="97">
        <v>50161</v>
      </c>
      <c r="B497" s="53" t="s">
        <v>36</v>
      </c>
      <c r="C497" s="12" t="str">
        <f>'Planning Engine'!C497</f>
        <v>Drug Product</v>
      </c>
      <c r="D497" s="12" t="str">
        <f>'Planning Engine'!D497</f>
        <v>units</v>
      </c>
      <c r="E497" s="95">
        <f>'Planning Engine'!E497</f>
        <v>87828</v>
      </c>
      <c r="F497" s="95">
        <f>'Planning Engine'!F497</f>
        <v>0</v>
      </c>
      <c r="G497" s="95">
        <f>'Planning Engine'!G497</f>
        <v>0</v>
      </c>
      <c r="H497" s="99">
        <f t="shared" si="14"/>
        <v>0</v>
      </c>
      <c r="I497" s="95">
        <f>'Planning Engine'!H497</f>
        <v>87828</v>
      </c>
      <c r="J497" s="96">
        <f ca="1">'Planning Engine'!J497</f>
        <v>999</v>
      </c>
      <c r="K497" s="95">
        <f ca="1">'Planning Engine'!K497</f>
        <v>0</v>
      </c>
      <c r="L497" s="12" t="str">
        <f ca="1">'Planning Engine'!L497</f>
        <v>Overstock</v>
      </c>
      <c r="M497" s="93">
        <f>'Planning Engine'!S497</f>
        <v>50010</v>
      </c>
      <c r="N497" s="95">
        <f>'Planning Engine'!T497</f>
        <v>0</v>
      </c>
      <c r="O497" s="98" t="s">
        <v>1529</v>
      </c>
      <c r="P497" s="4" t="str">
        <f t="shared" ca="1" si="15"/>
        <v>Defer / consume inventory</v>
      </c>
    </row>
    <row r="498" spans="1:16" ht="13" customHeight="1" x14ac:dyDescent="0.35">
      <c r="A498" s="93">
        <v>50192</v>
      </c>
      <c r="B498" s="61" t="s">
        <v>36</v>
      </c>
      <c r="C498" s="12" t="str">
        <f>'Planning Engine'!C498</f>
        <v>Drug Product</v>
      </c>
      <c r="D498" s="12" t="str">
        <f>'Planning Engine'!D498</f>
        <v>units</v>
      </c>
      <c r="E498" s="95">
        <f>'Planning Engine'!E498</f>
        <v>87828</v>
      </c>
      <c r="F498" s="95">
        <f>'Planning Engine'!F498</f>
        <v>0</v>
      </c>
      <c r="G498" s="95">
        <f>'Planning Engine'!G498</f>
        <v>0</v>
      </c>
      <c r="H498" s="95">
        <f t="shared" si="14"/>
        <v>0</v>
      </c>
      <c r="I498" s="95">
        <f>'Planning Engine'!H498</f>
        <v>87828</v>
      </c>
      <c r="J498" s="96">
        <f ca="1">'Planning Engine'!J498</f>
        <v>999</v>
      </c>
      <c r="K498" s="95">
        <f ca="1">'Planning Engine'!K498</f>
        <v>0</v>
      </c>
      <c r="L498" s="12" t="str">
        <f ca="1">'Planning Engine'!L498</f>
        <v>Overstock</v>
      </c>
      <c r="M498" s="93">
        <f>'Planning Engine'!S498</f>
        <v>50041</v>
      </c>
      <c r="N498" s="95">
        <f>'Planning Engine'!T498</f>
        <v>0</v>
      </c>
      <c r="O498" s="94" t="s">
        <v>1530</v>
      </c>
      <c r="P498" s="12" t="str">
        <f t="shared" ca="1" si="15"/>
        <v>Defer / consume inventory</v>
      </c>
    </row>
    <row r="499" spans="1:16" ht="13" customHeight="1" x14ac:dyDescent="0.35">
      <c r="A499" s="97">
        <v>50222</v>
      </c>
      <c r="B499" s="53" t="s">
        <v>36</v>
      </c>
      <c r="C499" s="12" t="str">
        <f>'Planning Engine'!C499</f>
        <v>Drug Product</v>
      </c>
      <c r="D499" s="12" t="str">
        <f>'Planning Engine'!D499</f>
        <v>units</v>
      </c>
      <c r="E499" s="95">
        <f>'Planning Engine'!E499</f>
        <v>87828</v>
      </c>
      <c r="F499" s="95">
        <f>'Planning Engine'!F499</f>
        <v>0</v>
      </c>
      <c r="G499" s="95">
        <f>'Planning Engine'!G499</f>
        <v>0</v>
      </c>
      <c r="H499" s="99">
        <f t="shared" si="14"/>
        <v>0</v>
      </c>
      <c r="I499" s="95">
        <f>'Planning Engine'!H499</f>
        <v>87828</v>
      </c>
      <c r="J499" s="96">
        <f ca="1">'Planning Engine'!J499</f>
        <v>999</v>
      </c>
      <c r="K499" s="95">
        <f ca="1">'Planning Engine'!K499</f>
        <v>0</v>
      </c>
      <c r="L499" s="12" t="str">
        <f ca="1">'Planning Engine'!L499</f>
        <v>Overstock</v>
      </c>
      <c r="M499" s="93">
        <f>'Planning Engine'!S499</f>
        <v>50072</v>
      </c>
      <c r="N499" s="95">
        <f>'Planning Engine'!T499</f>
        <v>0</v>
      </c>
      <c r="O499" s="98" t="s">
        <v>1531</v>
      </c>
      <c r="P499" s="4" t="str">
        <f t="shared" ca="1" si="15"/>
        <v>Defer / consume inventory</v>
      </c>
    </row>
    <row r="500" spans="1:16" ht="13" customHeight="1" x14ac:dyDescent="0.35">
      <c r="A500" s="93">
        <v>50253</v>
      </c>
      <c r="B500" s="61" t="s">
        <v>36</v>
      </c>
      <c r="C500" s="12" t="str">
        <f>'Planning Engine'!C500</f>
        <v>Drug Product</v>
      </c>
      <c r="D500" s="12" t="str">
        <f>'Planning Engine'!D500</f>
        <v>units</v>
      </c>
      <c r="E500" s="95">
        <f>'Planning Engine'!E500</f>
        <v>87828</v>
      </c>
      <c r="F500" s="95">
        <f>'Planning Engine'!F500</f>
        <v>0</v>
      </c>
      <c r="G500" s="95">
        <f>'Planning Engine'!G500</f>
        <v>0</v>
      </c>
      <c r="H500" s="95">
        <f t="shared" si="14"/>
        <v>0</v>
      </c>
      <c r="I500" s="95">
        <f>'Planning Engine'!H500</f>
        <v>87828</v>
      </c>
      <c r="J500" s="96">
        <f ca="1">'Planning Engine'!J500</f>
        <v>999</v>
      </c>
      <c r="K500" s="95">
        <f ca="1">'Planning Engine'!K500</f>
        <v>0</v>
      </c>
      <c r="L500" s="12" t="str">
        <f ca="1">'Planning Engine'!L500</f>
        <v>Overstock</v>
      </c>
      <c r="M500" s="93">
        <f>'Planning Engine'!S500</f>
        <v>50100</v>
      </c>
      <c r="N500" s="95">
        <f>'Planning Engine'!T500</f>
        <v>0</v>
      </c>
      <c r="O500" s="94" t="s">
        <v>1532</v>
      </c>
      <c r="P500" s="12" t="str">
        <f t="shared" ca="1" si="15"/>
        <v>Defer / consume inventory</v>
      </c>
    </row>
    <row r="501" spans="1:16" ht="13" customHeight="1" x14ac:dyDescent="0.35">
      <c r="A501" s="97">
        <v>50284</v>
      </c>
      <c r="B501" s="53" t="s">
        <v>36</v>
      </c>
      <c r="C501" s="12" t="str">
        <f>'Planning Engine'!C501</f>
        <v>Drug Product</v>
      </c>
      <c r="D501" s="12" t="str">
        <f>'Planning Engine'!D501</f>
        <v>units</v>
      </c>
      <c r="E501" s="95">
        <f>'Planning Engine'!E501</f>
        <v>87828</v>
      </c>
      <c r="F501" s="95">
        <f>'Planning Engine'!F501</f>
        <v>0</v>
      </c>
      <c r="G501" s="95">
        <f>'Planning Engine'!G501</f>
        <v>0</v>
      </c>
      <c r="H501" s="99">
        <f t="shared" si="14"/>
        <v>0</v>
      </c>
      <c r="I501" s="95">
        <f>'Planning Engine'!H501</f>
        <v>87828</v>
      </c>
      <c r="J501" s="96">
        <f ca="1">'Planning Engine'!J501</f>
        <v>999</v>
      </c>
      <c r="K501" s="95">
        <f ca="1">'Planning Engine'!K501</f>
        <v>0</v>
      </c>
      <c r="L501" s="12" t="str">
        <f ca="1">'Planning Engine'!L501</f>
        <v>Overstock</v>
      </c>
      <c r="M501" s="93">
        <f>'Planning Engine'!S501</f>
        <v>50131</v>
      </c>
      <c r="N501" s="95">
        <f>'Planning Engine'!T501</f>
        <v>0</v>
      </c>
      <c r="O501" s="98" t="s">
        <v>1533</v>
      </c>
      <c r="P501" s="4" t="str">
        <f t="shared" ca="1" si="15"/>
        <v>Defer / consume inventory</v>
      </c>
    </row>
    <row r="502" spans="1:16" ht="13" customHeight="1" x14ac:dyDescent="0.35">
      <c r="A502" s="93">
        <v>50314</v>
      </c>
      <c r="B502" s="61" t="s">
        <v>36</v>
      </c>
      <c r="C502" s="12" t="str">
        <f>'Planning Engine'!C502</f>
        <v>Drug Product</v>
      </c>
      <c r="D502" s="12" t="str">
        <f>'Planning Engine'!D502</f>
        <v>units</v>
      </c>
      <c r="E502" s="95">
        <f>'Planning Engine'!E502</f>
        <v>87828</v>
      </c>
      <c r="F502" s="95">
        <f>'Planning Engine'!F502</f>
        <v>0</v>
      </c>
      <c r="G502" s="95">
        <f>'Planning Engine'!G502</f>
        <v>0</v>
      </c>
      <c r="H502" s="95">
        <f t="shared" si="14"/>
        <v>0</v>
      </c>
      <c r="I502" s="95">
        <f>'Planning Engine'!H502</f>
        <v>87828</v>
      </c>
      <c r="J502" s="96">
        <f ca="1">'Planning Engine'!J502</f>
        <v>999</v>
      </c>
      <c r="K502" s="95">
        <f ca="1">'Planning Engine'!K502</f>
        <v>0</v>
      </c>
      <c r="L502" s="12" t="str">
        <f ca="1">'Planning Engine'!L502</f>
        <v>Overstock</v>
      </c>
      <c r="M502" s="93">
        <f>'Planning Engine'!S502</f>
        <v>50161</v>
      </c>
      <c r="N502" s="95">
        <f>'Planning Engine'!T502</f>
        <v>0</v>
      </c>
      <c r="O502" s="94" t="s">
        <v>1534</v>
      </c>
      <c r="P502" s="12" t="str">
        <f t="shared" ca="1" si="15"/>
        <v>Defer / consume inventory</v>
      </c>
    </row>
    <row r="503" spans="1:16" ht="13" customHeight="1" x14ac:dyDescent="0.35">
      <c r="A503" s="97">
        <v>50345</v>
      </c>
      <c r="B503" s="53" t="s">
        <v>36</v>
      </c>
      <c r="C503" s="12" t="str">
        <f>'Planning Engine'!C503</f>
        <v>Drug Product</v>
      </c>
      <c r="D503" s="12" t="str">
        <f>'Planning Engine'!D503</f>
        <v>units</v>
      </c>
      <c r="E503" s="95">
        <f>'Planning Engine'!E503</f>
        <v>87828</v>
      </c>
      <c r="F503" s="95">
        <f>'Planning Engine'!F503</f>
        <v>0</v>
      </c>
      <c r="G503" s="95">
        <f>'Planning Engine'!G503</f>
        <v>0</v>
      </c>
      <c r="H503" s="99">
        <f t="shared" si="14"/>
        <v>0</v>
      </c>
      <c r="I503" s="95">
        <f>'Planning Engine'!H503</f>
        <v>87828</v>
      </c>
      <c r="J503" s="96">
        <f ca="1">'Planning Engine'!J503</f>
        <v>999</v>
      </c>
      <c r="K503" s="95">
        <f ca="1">'Planning Engine'!K503</f>
        <v>0</v>
      </c>
      <c r="L503" s="12" t="str">
        <f ca="1">'Planning Engine'!L503</f>
        <v>Overstock</v>
      </c>
      <c r="M503" s="93">
        <f>'Planning Engine'!S503</f>
        <v>50192</v>
      </c>
      <c r="N503" s="95">
        <f>'Planning Engine'!T503</f>
        <v>0</v>
      </c>
      <c r="O503" s="98" t="s">
        <v>1535</v>
      </c>
      <c r="P503" s="4" t="str">
        <f t="shared" ca="1" si="15"/>
        <v>Defer / consume inventory</v>
      </c>
    </row>
    <row r="504" spans="1:16" ht="13" customHeight="1" x14ac:dyDescent="0.35">
      <c r="A504" s="93">
        <v>50375</v>
      </c>
      <c r="B504" s="61" t="s">
        <v>36</v>
      </c>
      <c r="C504" s="12" t="str">
        <f>'Planning Engine'!C504</f>
        <v>Drug Product</v>
      </c>
      <c r="D504" s="12" t="str">
        <f>'Planning Engine'!D504</f>
        <v>units</v>
      </c>
      <c r="E504" s="95">
        <f>'Planning Engine'!E504</f>
        <v>87828</v>
      </c>
      <c r="F504" s="95">
        <f>'Planning Engine'!F504</f>
        <v>0</v>
      </c>
      <c r="G504" s="95">
        <f>'Planning Engine'!G504</f>
        <v>0</v>
      </c>
      <c r="H504" s="95">
        <f t="shared" si="14"/>
        <v>0</v>
      </c>
      <c r="I504" s="95">
        <f>'Planning Engine'!H504</f>
        <v>87828</v>
      </c>
      <c r="J504" s="96">
        <f ca="1">'Planning Engine'!J504</f>
        <v>999</v>
      </c>
      <c r="K504" s="95">
        <f ca="1">'Planning Engine'!K504</f>
        <v>0</v>
      </c>
      <c r="L504" s="12" t="str">
        <f ca="1">'Planning Engine'!L504</f>
        <v>Overstock</v>
      </c>
      <c r="M504" s="93">
        <f>'Planning Engine'!S504</f>
        <v>50222</v>
      </c>
      <c r="N504" s="95">
        <f>'Planning Engine'!T504</f>
        <v>0</v>
      </c>
      <c r="O504" s="94" t="s">
        <v>1536</v>
      </c>
      <c r="P504" s="12" t="str">
        <f t="shared" ca="1" si="15"/>
        <v>Defer / consume inventory</v>
      </c>
    </row>
    <row r="505" spans="1:16" ht="13" customHeight="1" x14ac:dyDescent="0.35">
      <c r="A505" s="97">
        <v>50406</v>
      </c>
      <c r="B505" s="53" t="s">
        <v>36</v>
      </c>
      <c r="C505" s="12" t="str">
        <f>'Planning Engine'!C505</f>
        <v>Drug Product</v>
      </c>
      <c r="D505" s="12" t="str">
        <f>'Planning Engine'!D505</f>
        <v>units</v>
      </c>
      <c r="E505" s="95">
        <f>'Planning Engine'!E505</f>
        <v>87828</v>
      </c>
      <c r="F505" s="95">
        <f>'Planning Engine'!F505</f>
        <v>0</v>
      </c>
      <c r="G505" s="95">
        <f>'Planning Engine'!G505</f>
        <v>0</v>
      </c>
      <c r="H505" s="99">
        <f t="shared" si="14"/>
        <v>0</v>
      </c>
      <c r="I505" s="95">
        <f>'Planning Engine'!H505</f>
        <v>87828</v>
      </c>
      <c r="J505" s="96">
        <f ca="1">'Planning Engine'!J505</f>
        <v>999</v>
      </c>
      <c r="K505" s="95">
        <f ca="1">'Planning Engine'!K505</f>
        <v>0</v>
      </c>
      <c r="L505" s="12" t="str">
        <f ca="1">'Planning Engine'!L505</f>
        <v>Overstock</v>
      </c>
      <c r="M505" s="93">
        <f>'Planning Engine'!S505</f>
        <v>50253</v>
      </c>
      <c r="N505" s="95">
        <f>'Planning Engine'!T505</f>
        <v>0</v>
      </c>
      <c r="O505" s="98" t="s">
        <v>1537</v>
      </c>
      <c r="P505" s="4" t="str">
        <f t="shared" ca="1" si="15"/>
        <v>Defer / consume inventory</v>
      </c>
    </row>
    <row r="506" spans="1:16" ht="13" customHeight="1" x14ac:dyDescent="0.35">
      <c r="A506" s="93">
        <v>50437</v>
      </c>
      <c r="B506" s="61" t="s">
        <v>36</v>
      </c>
      <c r="C506" s="12" t="str">
        <f>'Planning Engine'!C506</f>
        <v>Drug Product</v>
      </c>
      <c r="D506" s="12" t="str">
        <f>'Planning Engine'!D506</f>
        <v>units</v>
      </c>
      <c r="E506" s="95">
        <f>'Planning Engine'!E506</f>
        <v>87828</v>
      </c>
      <c r="F506" s="95">
        <f>'Planning Engine'!F506</f>
        <v>0</v>
      </c>
      <c r="G506" s="95">
        <f>'Planning Engine'!G506</f>
        <v>0</v>
      </c>
      <c r="H506" s="95">
        <f t="shared" si="14"/>
        <v>0</v>
      </c>
      <c r="I506" s="95">
        <f>'Planning Engine'!H506</f>
        <v>87828</v>
      </c>
      <c r="J506" s="96">
        <f ca="1">'Planning Engine'!J506</f>
        <v>999</v>
      </c>
      <c r="K506" s="95">
        <f ca="1">'Planning Engine'!K506</f>
        <v>0</v>
      </c>
      <c r="L506" s="12" t="str">
        <f ca="1">'Planning Engine'!L506</f>
        <v>Overstock</v>
      </c>
      <c r="M506" s="93">
        <f>'Planning Engine'!S506</f>
        <v>50284</v>
      </c>
      <c r="N506" s="95">
        <f>'Planning Engine'!T506</f>
        <v>0</v>
      </c>
      <c r="O506" s="94" t="s">
        <v>1538</v>
      </c>
      <c r="P506" s="12" t="str">
        <f t="shared" ca="1" si="15"/>
        <v>Defer / consume inventory</v>
      </c>
    </row>
    <row r="507" spans="1:16" ht="13" customHeight="1" x14ac:dyDescent="0.35">
      <c r="A507" s="97">
        <v>50465</v>
      </c>
      <c r="B507" s="53" t="s">
        <v>36</v>
      </c>
      <c r="C507" s="12" t="str">
        <f>'Planning Engine'!C507</f>
        <v>Drug Product</v>
      </c>
      <c r="D507" s="12" t="str">
        <f>'Planning Engine'!D507</f>
        <v>units</v>
      </c>
      <c r="E507" s="95">
        <f>'Planning Engine'!E507</f>
        <v>87828</v>
      </c>
      <c r="F507" s="95">
        <f>'Planning Engine'!F507</f>
        <v>0</v>
      </c>
      <c r="G507" s="95">
        <f>'Planning Engine'!G507</f>
        <v>0</v>
      </c>
      <c r="H507" s="99">
        <f t="shared" si="14"/>
        <v>0</v>
      </c>
      <c r="I507" s="95">
        <f>'Planning Engine'!H507</f>
        <v>87828</v>
      </c>
      <c r="J507" s="96">
        <f ca="1">'Planning Engine'!J507</f>
        <v>999</v>
      </c>
      <c r="K507" s="95">
        <f ca="1">'Planning Engine'!K507</f>
        <v>0</v>
      </c>
      <c r="L507" s="12" t="str">
        <f ca="1">'Planning Engine'!L507</f>
        <v>Overstock</v>
      </c>
      <c r="M507" s="93">
        <f>'Planning Engine'!S507</f>
        <v>50314</v>
      </c>
      <c r="N507" s="95">
        <f>'Planning Engine'!T507</f>
        <v>0</v>
      </c>
      <c r="O507" s="98" t="s">
        <v>1539</v>
      </c>
      <c r="P507" s="4" t="str">
        <f t="shared" ca="1" si="15"/>
        <v>Defer / consume inventory</v>
      </c>
    </row>
    <row r="508" spans="1:16" ht="13" customHeight="1" x14ac:dyDescent="0.35">
      <c r="A508" s="93">
        <v>50496</v>
      </c>
      <c r="B508" s="61" t="s">
        <v>36</v>
      </c>
      <c r="C508" s="12" t="str">
        <f>'Planning Engine'!C508</f>
        <v>Drug Product</v>
      </c>
      <c r="D508" s="12" t="str">
        <f>'Planning Engine'!D508</f>
        <v>units</v>
      </c>
      <c r="E508" s="95">
        <f>'Planning Engine'!E508</f>
        <v>87828</v>
      </c>
      <c r="F508" s="95">
        <f>'Planning Engine'!F508</f>
        <v>0</v>
      </c>
      <c r="G508" s="95">
        <f>'Planning Engine'!G508</f>
        <v>0</v>
      </c>
      <c r="H508" s="95">
        <f t="shared" si="14"/>
        <v>0</v>
      </c>
      <c r="I508" s="95">
        <f>'Planning Engine'!H508</f>
        <v>87828</v>
      </c>
      <c r="J508" s="96">
        <f ca="1">'Planning Engine'!J508</f>
        <v>999</v>
      </c>
      <c r="K508" s="95">
        <f ca="1">'Planning Engine'!K508</f>
        <v>0</v>
      </c>
      <c r="L508" s="12" t="str">
        <f ca="1">'Planning Engine'!L508</f>
        <v>Overstock</v>
      </c>
      <c r="M508" s="93">
        <f>'Planning Engine'!S508</f>
        <v>50345</v>
      </c>
      <c r="N508" s="95">
        <f>'Planning Engine'!T508</f>
        <v>0</v>
      </c>
      <c r="O508" s="94" t="s">
        <v>1540</v>
      </c>
      <c r="P508" s="12" t="str">
        <f t="shared" ca="1" si="15"/>
        <v>Defer / consume inventory</v>
      </c>
    </row>
    <row r="509" spans="1:16" ht="13" customHeight="1" x14ac:dyDescent="0.35">
      <c r="A509" s="97">
        <v>50526</v>
      </c>
      <c r="B509" s="53" t="s">
        <v>36</v>
      </c>
      <c r="C509" s="12" t="str">
        <f>'Planning Engine'!C509</f>
        <v>Drug Product</v>
      </c>
      <c r="D509" s="12" t="str">
        <f>'Planning Engine'!D509</f>
        <v>units</v>
      </c>
      <c r="E509" s="95">
        <f>'Planning Engine'!E509</f>
        <v>87828</v>
      </c>
      <c r="F509" s="95">
        <f>'Planning Engine'!F509</f>
        <v>0</v>
      </c>
      <c r="G509" s="95">
        <f>'Planning Engine'!G509</f>
        <v>0</v>
      </c>
      <c r="H509" s="99">
        <f t="shared" si="14"/>
        <v>0</v>
      </c>
      <c r="I509" s="95">
        <f>'Planning Engine'!H509</f>
        <v>87828</v>
      </c>
      <c r="J509" s="96">
        <f ca="1">'Planning Engine'!J509</f>
        <v>999</v>
      </c>
      <c r="K509" s="95">
        <f ca="1">'Planning Engine'!K509</f>
        <v>0</v>
      </c>
      <c r="L509" s="12" t="str">
        <f ca="1">'Planning Engine'!L509</f>
        <v>Overstock</v>
      </c>
      <c r="M509" s="93">
        <f>'Planning Engine'!S509</f>
        <v>50375</v>
      </c>
      <c r="N509" s="95">
        <f>'Planning Engine'!T509</f>
        <v>0</v>
      </c>
      <c r="O509" s="98" t="s">
        <v>1541</v>
      </c>
      <c r="P509" s="4" t="str">
        <f t="shared" ca="1" si="15"/>
        <v>Defer / consume inventory</v>
      </c>
    </row>
    <row r="510" spans="1:16" ht="13" customHeight="1" x14ac:dyDescent="0.35">
      <c r="A510" s="93">
        <v>50557</v>
      </c>
      <c r="B510" s="61" t="s">
        <v>36</v>
      </c>
      <c r="C510" s="12" t="str">
        <f>'Planning Engine'!C510</f>
        <v>Drug Product</v>
      </c>
      <c r="D510" s="12" t="str">
        <f>'Planning Engine'!D510</f>
        <v>units</v>
      </c>
      <c r="E510" s="95">
        <f>'Planning Engine'!E510</f>
        <v>87828</v>
      </c>
      <c r="F510" s="95">
        <f>'Planning Engine'!F510</f>
        <v>0</v>
      </c>
      <c r="G510" s="95">
        <f>'Planning Engine'!G510</f>
        <v>0</v>
      </c>
      <c r="H510" s="95">
        <f t="shared" si="14"/>
        <v>0</v>
      </c>
      <c r="I510" s="95">
        <f>'Planning Engine'!H510</f>
        <v>87828</v>
      </c>
      <c r="J510" s="96">
        <f ca="1">'Planning Engine'!J510</f>
        <v>999</v>
      </c>
      <c r="K510" s="95">
        <f ca="1">'Planning Engine'!K510</f>
        <v>0</v>
      </c>
      <c r="L510" s="12" t="str">
        <f ca="1">'Planning Engine'!L510</f>
        <v>Overstock</v>
      </c>
      <c r="M510" s="93">
        <f>'Planning Engine'!S510</f>
        <v>50406</v>
      </c>
      <c r="N510" s="95">
        <f>'Planning Engine'!T510</f>
        <v>0</v>
      </c>
      <c r="O510" s="94" t="s">
        <v>1542</v>
      </c>
      <c r="P510" s="12" t="str">
        <f t="shared" ca="1" si="15"/>
        <v>Defer / consume inventory</v>
      </c>
    </row>
    <row r="511" spans="1:16" ht="13" customHeight="1" x14ac:dyDescent="0.35">
      <c r="A511" s="97">
        <v>50587</v>
      </c>
      <c r="B511" s="53" t="s">
        <v>36</v>
      </c>
      <c r="C511" s="12" t="str">
        <f>'Planning Engine'!C511</f>
        <v>Drug Product</v>
      </c>
      <c r="D511" s="12" t="str">
        <f>'Planning Engine'!D511</f>
        <v>units</v>
      </c>
      <c r="E511" s="95">
        <f>'Planning Engine'!E511</f>
        <v>87828</v>
      </c>
      <c r="F511" s="95">
        <f>'Planning Engine'!F511</f>
        <v>0</v>
      </c>
      <c r="G511" s="95">
        <f>'Planning Engine'!G511</f>
        <v>0</v>
      </c>
      <c r="H511" s="99">
        <f t="shared" si="14"/>
        <v>0</v>
      </c>
      <c r="I511" s="95">
        <f>'Planning Engine'!H511</f>
        <v>87828</v>
      </c>
      <c r="J511" s="96">
        <f ca="1">'Planning Engine'!J511</f>
        <v>999</v>
      </c>
      <c r="K511" s="95">
        <f ca="1">'Planning Engine'!K511</f>
        <v>0</v>
      </c>
      <c r="L511" s="12" t="str">
        <f ca="1">'Planning Engine'!L511</f>
        <v>Overstock</v>
      </c>
      <c r="M511" s="93">
        <f>'Planning Engine'!S511</f>
        <v>50437</v>
      </c>
      <c r="N511" s="95">
        <f>'Planning Engine'!T511</f>
        <v>0</v>
      </c>
      <c r="O511" s="98" t="s">
        <v>1543</v>
      </c>
      <c r="P511" s="4" t="str">
        <f t="shared" ca="1" si="15"/>
        <v>Defer / consume inventory</v>
      </c>
    </row>
    <row r="512" spans="1:16" ht="13" customHeight="1" x14ac:dyDescent="0.35">
      <c r="A512" s="93">
        <v>50618</v>
      </c>
      <c r="B512" s="61" t="s">
        <v>36</v>
      </c>
      <c r="C512" s="12" t="str">
        <f>'Planning Engine'!C512</f>
        <v>Drug Product</v>
      </c>
      <c r="D512" s="12" t="str">
        <f>'Planning Engine'!D512</f>
        <v>units</v>
      </c>
      <c r="E512" s="95">
        <f>'Planning Engine'!E512</f>
        <v>87828</v>
      </c>
      <c r="F512" s="95">
        <f>'Planning Engine'!F512</f>
        <v>0</v>
      </c>
      <c r="G512" s="95">
        <f>'Planning Engine'!G512</f>
        <v>0</v>
      </c>
      <c r="H512" s="95">
        <f t="shared" si="14"/>
        <v>0</v>
      </c>
      <c r="I512" s="95">
        <f>'Planning Engine'!H512</f>
        <v>87828</v>
      </c>
      <c r="J512" s="96">
        <f ca="1">'Planning Engine'!J512</f>
        <v>999</v>
      </c>
      <c r="K512" s="95">
        <f ca="1">'Planning Engine'!K512</f>
        <v>0</v>
      </c>
      <c r="L512" s="12" t="str">
        <f ca="1">'Planning Engine'!L512</f>
        <v>Overstock</v>
      </c>
      <c r="M512" s="93">
        <f>'Planning Engine'!S512</f>
        <v>50465</v>
      </c>
      <c r="N512" s="95">
        <f>'Planning Engine'!T512</f>
        <v>0</v>
      </c>
      <c r="O512" s="94" t="s">
        <v>1544</v>
      </c>
      <c r="P512" s="12" t="str">
        <f t="shared" ca="1" si="15"/>
        <v>Defer / consume inventory</v>
      </c>
    </row>
    <row r="513" spans="1:16" ht="13" customHeight="1" x14ac:dyDescent="0.35">
      <c r="A513" s="97">
        <v>50649</v>
      </c>
      <c r="B513" s="53" t="s">
        <v>36</v>
      </c>
      <c r="C513" s="12" t="str">
        <f>'Planning Engine'!C513</f>
        <v>Drug Product</v>
      </c>
      <c r="D513" s="12" t="str">
        <f>'Planning Engine'!D513</f>
        <v>units</v>
      </c>
      <c r="E513" s="95">
        <f>'Planning Engine'!E513</f>
        <v>87828</v>
      </c>
      <c r="F513" s="95">
        <f>'Planning Engine'!F513</f>
        <v>0</v>
      </c>
      <c r="G513" s="95">
        <f>'Planning Engine'!G513</f>
        <v>0</v>
      </c>
      <c r="H513" s="99">
        <f t="shared" si="14"/>
        <v>0</v>
      </c>
      <c r="I513" s="95">
        <f>'Planning Engine'!H513</f>
        <v>87828</v>
      </c>
      <c r="J513" s="96">
        <f ca="1">'Planning Engine'!J513</f>
        <v>999</v>
      </c>
      <c r="K513" s="95">
        <f ca="1">'Planning Engine'!K513</f>
        <v>0</v>
      </c>
      <c r="L513" s="12" t="str">
        <f ca="1">'Planning Engine'!L513</f>
        <v>Overstock</v>
      </c>
      <c r="M513" s="93">
        <f>'Planning Engine'!S513</f>
        <v>50496</v>
      </c>
      <c r="N513" s="95">
        <f>'Planning Engine'!T513</f>
        <v>0</v>
      </c>
      <c r="O513" s="98" t="s">
        <v>1545</v>
      </c>
      <c r="P513" s="4" t="str">
        <f t="shared" ca="1" si="15"/>
        <v>Defer / consume inventory</v>
      </c>
    </row>
    <row r="514" spans="1:16" ht="13" customHeight="1" x14ac:dyDescent="0.35">
      <c r="A514" s="93">
        <v>50679</v>
      </c>
      <c r="B514" s="61" t="s">
        <v>36</v>
      </c>
      <c r="C514" s="12" t="str">
        <f>'Planning Engine'!C514</f>
        <v>Drug Product</v>
      </c>
      <c r="D514" s="12" t="str">
        <f>'Planning Engine'!D514</f>
        <v>units</v>
      </c>
      <c r="E514" s="95">
        <f>'Planning Engine'!E514</f>
        <v>87828</v>
      </c>
      <c r="F514" s="95">
        <f>'Planning Engine'!F514</f>
        <v>0</v>
      </c>
      <c r="G514" s="95">
        <f>'Planning Engine'!G514</f>
        <v>0</v>
      </c>
      <c r="H514" s="95">
        <f t="shared" si="14"/>
        <v>0</v>
      </c>
      <c r="I514" s="95">
        <f>'Planning Engine'!H514</f>
        <v>87828</v>
      </c>
      <c r="J514" s="96">
        <f ca="1">'Planning Engine'!J514</f>
        <v>999</v>
      </c>
      <c r="K514" s="95">
        <f ca="1">'Planning Engine'!K514</f>
        <v>0</v>
      </c>
      <c r="L514" s="12" t="str">
        <f ca="1">'Planning Engine'!L514</f>
        <v>Overstock</v>
      </c>
      <c r="M514" s="93">
        <f>'Planning Engine'!S514</f>
        <v>50526</v>
      </c>
      <c r="N514" s="95">
        <f>'Planning Engine'!T514</f>
        <v>0</v>
      </c>
      <c r="O514" s="94" t="s">
        <v>1546</v>
      </c>
      <c r="P514" s="12" t="str">
        <f t="shared" ca="1" si="15"/>
        <v>Defer / consume inventory</v>
      </c>
    </row>
    <row r="515" spans="1:16" ht="13" customHeight="1" x14ac:dyDescent="0.35">
      <c r="A515" s="97">
        <v>50710</v>
      </c>
      <c r="B515" s="53" t="s">
        <v>36</v>
      </c>
      <c r="C515" s="12" t="str">
        <f>'Planning Engine'!C515</f>
        <v>Drug Product</v>
      </c>
      <c r="D515" s="12" t="str">
        <f>'Planning Engine'!D515</f>
        <v>units</v>
      </c>
      <c r="E515" s="95">
        <f>'Planning Engine'!E515</f>
        <v>87828</v>
      </c>
      <c r="F515" s="95">
        <f>'Planning Engine'!F515</f>
        <v>0</v>
      </c>
      <c r="G515" s="95">
        <f>'Planning Engine'!G515</f>
        <v>0</v>
      </c>
      <c r="H515" s="99">
        <f t="shared" si="14"/>
        <v>0</v>
      </c>
      <c r="I515" s="95">
        <f>'Planning Engine'!H515</f>
        <v>87828</v>
      </c>
      <c r="J515" s="96">
        <f ca="1">'Planning Engine'!J515</f>
        <v>999</v>
      </c>
      <c r="K515" s="95">
        <f ca="1">'Planning Engine'!K515</f>
        <v>0</v>
      </c>
      <c r="L515" s="12" t="str">
        <f ca="1">'Planning Engine'!L515</f>
        <v>Overstock</v>
      </c>
      <c r="M515" s="93">
        <f>'Planning Engine'!S515</f>
        <v>50557</v>
      </c>
      <c r="N515" s="95">
        <f>'Planning Engine'!T515</f>
        <v>0</v>
      </c>
      <c r="O515" s="98" t="s">
        <v>1547</v>
      </c>
      <c r="P515" s="4" t="str">
        <f t="shared" ca="1" si="15"/>
        <v>Defer / consume inventory</v>
      </c>
    </row>
    <row r="516" spans="1:16" ht="13" customHeight="1" x14ac:dyDescent="0.35">
      <c r="A516" s="93">
        <v>50740</v>
      </c>
      <c r="B516" s="61" t="s">
        <v>36</v>
      </c>
      <c r="C516" s="12" t="str">
        <f>'Planning Engine'!C516</f>
        <v>Drug Product</v>
      </c>
      <c r="D516" s="12" t="str">
        <f>'Planning Engine'!D516</f>
        <v>units</v>
      </c>
      <c r="E516" s="95">
        <f>'Planning Engine'!E516</f>
        <v>87828</v>
      </c>
      <c r="F516" s="95">
        <f>'Planning Engine'!F516</f>
        <v>0</v>
      </c>
      <c r="G516" s="95">
        <f>'Planning Engine'!G516</f>
        <v>0</v>
      </c>
      <c r="H516" s="95">
        <f t="shared" ref="H516:H579" si="16">G516-F516</f>
        <v>0</v>
      </c>
      <c r="I516" s="95">
        <f>'Planning Engine'!H516</f>
        <v>87828</v>
      </c>
      <c r="J516" s="96">
        <f ca="1">'Planning Engine'!J516</f>
        <v>999</v>
      </c>
      <c r="K516" s="95">
        <f ca="1">'Planning Engine'!K516</f>
        <v>0</v>
      </c>
      <c r="L516" s="12" t="str">
        <f ca="1">'Planning Engine'!L516</f>
        <v>Overstock</v>
      </c>
      <c r="M516" s="93">
        <f>'Planning Engine'!S516</f>
        <v>50587</v>
      </c>
      <c r="N516" s="95">
        <f>'Planning Engine'!T516</f>
        <v>0</v>
      </c>
      <c r="O516" s="94" t="s">
        <v>1548</v>
      </c>
      <c r="P516" s="12" t="str">
        <f t="shared" ref="P516:P579" ca="1" si="17">IFERROR(IF(L516="High","⚠ Expedite production / source alternate",IF(L516="Medium","Plan additional batches",IF(L516="Overstock","Defer / consume inventory","Plan acceptable"))),"--")</f>
        <v>Defer / consume inventory</v>
      </c>
    </row>
    <row r="517" spans="1:16" ht="13" customHeight="1" x14ac:dyDescent="0.35">
      <c r="A517" s="97">
        <v>50771</v>
      </c>
      <c r="B517" s="53" t="s">
        <v>36</v>
      </c>
      <c r="C517" s="12" t="str">
        <f>'Planning Engine'!C517</f>
        <v>Drug Product</v>
      </c>
      <c r="D517" s="12" t="str">
        <f>'Planning Engine'!D517</f>
        <v>units</v>
      </c>
      <c r="E517" s="95">
        <f>'Planning Engine'!E517</f>
        <v>87828</v>
      </c>
      <c r="F517" s="95">
        <f>'Planning Engine'!F517</f>
        <v>0</v>
      </c>
      <c r="G517" s="95">
        <f>'Planning Engine'!G517</f>
        <v>0</v>
      </c>
      <c r="H517" s="99">
        <f t="shared" si="16"/>
        <v>0</v>
      </c>
      <c r="I517" s="95">
        <f>'Planning Engine'!H517</f>
        <v>87828</v>
      </c>
      <c r="J517" s="96">
        <f ca="1">'Planning Engine'!J517</f>
        <v>999</v>
      </c>
      <c r="K517" s="95">
        <f ca="1">'Planning Engine'!K517</f>
        <v>0</v>
      </c>
      <c r="L517" s="12" t="str">
        <f ca="1">'Planning Engine'!L517</f>
        <v>Overstock</v>
      </c>
      <c r="M517" s="93">
        <f>'Planning Engine'!S517</f>
        <v>50618</v>
      </c>
      <c r="N517" s="95">
        <f>'Planning Engine'!T517</f>
        <v>0</v>
      </c>
      <c r="O517" s="98" t="s">
        <v>1549</v>
      </c>
      <c r="P517" s="4" t="str">
        <f t="shared" ca="1" si="17"/>
        <v>Defer / consume inventory</v>
      </c>
    </row>
    <row r="518" spans="1:16" ht="13" customHeight="1" x14ac:dyDescent="0.35">
      <c r="A518" s="93">
        <v>50802</v>
      </c>
      <c r="B518" s="61" t="s">
        <v>36</v>
      </c>
      <c r="C518" s="12" t="str">
        <f>'Planning Engine'!C518</f>
        <v>Drug Product</v>
      </c>
      <c r="D518" s="12" t="str">
        <f>'Planning Engine'!D518</f>
        <v>units</v>
      </c>
      <c r="E518" s="95">
        <f>'Planning Engine'!E518</f>
        <v>87828</v>
      </c>
      <c r="F518" s="95">
        <f>'Planning Engine'!F518</f>
        <v>0</v>
      </c>
      <c r="G518" s="95">
        <f>'Planning Engine'!G518</f>
        <v>0</v>
      </c>
      <c r="H518" s="95">
        <f t="shared" si="16"/>
        <v>0</v>
      </c>
      <c r="I518" s="95">
        <f>'Planning Engine'!H518</f>
        <v>87828</v>
      </c>
      <c r="J518" s="96">
        <f ca="1">'Planning Engine'!J518</f>
        <v>999</v>
      </c>
      <c r="K518" s="95">
        <f ca="1">'Planning Engine'!K518</f>
        <v>0</v>
      </c>
      <c r="L518" s="12" t="str">
        <f ca="1">'Planning Engine'!L518</f>
        <v>Overstock</v>
      </c>
      <c r="M518" s="93">
        <f>'Planning Engine'!S518</f>
        <v>50649</v>
      </c>
      <c r="N518" s="95">
        <f>'Planning Engine'!T518</f>
        <v>0</v>
      </c>
      <c r="O518" s="94" t="s">
        <v>1550</v>
      </c>
      <c r="P518" s="12" t="str">
        <f t="shared" ca="1" si="17"/>
        <v>Defer / consume inventory</v>
      </c>
    </row>
    <row r="519" spans="1:16" ht="13" customHeight="1" x14ac:dyDescent="0.35">
      <c r="A519" s="97">
        <v>50830</v>
      </c>
      <c r="B519" s="53" t="s">
        <v>36</v>
      </c>
      <c r="C519" s="12" t="str">
        <f>'Planning Engine'!C519</f>
        <v>Drug Product</v>
      </c>
      <c r="D519" s="12" t="str">
        <f>'Planning Engine'!D519</f>
        <v>units</v>
      </c>
      <c r="E519" s="95">
        <f>'Planning Engine'!E519</f>
        <v>87828</v>
      </c>
      <c r="F519" s="95">
        <f>'Planning Engine'!F519</f>
        <v>0</v>
      </c>
      <c r="G519" s="95">
        <f>'Planning Engine'!G519</f>
        <v>0</v>
      </c>
      <c r="H519" s="99">
        <f t="shared" si="16"/>
        <v>0</v>
      </c>
      <c r="I519" s="95">
        <f>'Planning Engine'!H519</f>
        <v>87828</v>
      </c>
      <c r="J519" s="96">
        <f ca="1">'Planning Engine'!J519</f>
        <v>999</v>
      </c>
      <c r="K519" s="95">
        <f ca="1">'Planning Engine'!K519</f>
        <v>0</v>
      </c>
      <c r="L519" s="12" t="str">
        <f ca="1">'Planning Engine'!L519</f>
        <v>Overstock</v>
      </c>
      <c r="M519" s="93">
        <f>'Planning Engine'!S519</f>
        <v>50679</v>
      </c>
      <c r="N519" s="95">
        <f>'Planning Engine'!T519</f>
        <v>0</v>
      </c>
      <c r="O519" s="98" t="s">
        <v>1551</v>
      </c>
      <c r="P519" s="4" t="str">
        <f t="shared" ca="1" si="17"/>
        <v>Defer / consume inventory</v>
      </c>
    </row>
    <row r="520" spans="1:16" ht="13" customHeight="1" x14ac:dyDescent="0.35">
      <c r="A520" s="93">
        <v>50861</v>
      </c>
      <c r="B520" s="61" t="s">
        <v>36</v>
      </c>
      <c r="C520" s="12" t="str">
        <f>'Planning Engine'!C520</f>
        <v>Drug Product</v>
      </c>
      <c r="D520" s="12" t="str">
        <f>'Planning Engine'!D520</f>
        <v>units</v>
      </c>
      <c r="E520" s="95">
        <f>'Planning Engine'!E520</f>
        <v>87828</v>
      </c>
      <c r="F520" s="95">
        <f>'Planning Engine'!F520</f>
        <v>0</v>
      </c>
      <c r="G520" s="95">
        <f>'Planning Engine'!G520</f>
        <v>0</v>
      </c>
      <c r="H520" s="95">
        <f t="shared" si="16"/>
        <v>0</v>
      </c>
      <c r="I520" s="95">
        <f>'Planning Engine'!H520</f>
        <v>87828</v>
      </c>
      <c r="J520" s="96">
        <f ca="1">'Planning Engine'!J520</f>
        <v>999</v>
      </c>
      <c r="K520" s="95">
        <f ca="1">'Planning Engine'!K520</f>
        <v>0</v>
      </c>
      <c r="L520" s="12" t="str">
        <f ca="1">'Planning Engine'!L520</f>
        <v>Overstock</v>
      </c>
      <c r="M520" s="93">
        <f>'Planning Engine'!S520</f>
        <v>50710</v>
      </c>
      <c r="N520" s="95">
        <f>'Planning Engine'!T520</f>
        <v>0</v>
      </c>
      <c r="O520" s="94" t="s">
        <v>1552</v>
      </c>
      <c r="P520" s="12" t="str">
        <f t="shared" ca="1" si="17"/>
        <v>Defer / consume inventory</v>
      </c>
    </row>
    <row r="521" spans="1:16" ht="13" customHeight="1" x14ac:dyDescent="0.35">
      <c r="A521" s="97">
        <v>50891</v>
      </c>
      <c r="B521" s="53" t="s">
        <v>36</v>
      </c>
      <c r="C521" s="12" t="str">
        <f>'Planning Engine'!C521</f>
        <v>Drug Product</v>
      </c>
      <c r="D521" s="12" t="str">
        <f>'Planning Engine'!D521</f>
        <v>units</v>
      </c>
      <c r="E521" s="95">
        <f>'Planning Engine'!E521</f>
        <v>87828</v>
      </c>
      <c r="F521" s="95">
        <f>'Planning Engine'!F521</f>
        <v>0</v>
      </c>
      <c r="G521" s="95">
        <f>'Planning Engine'!G521</f>
        <v>0</v>
      </c>
      <c r="H521" s="99">
        <f t="shared" si="16"/>
        <v>0</v>
      </c>
      <c r="I521" s="95">
        <f>'Planning Engine'!H521</f>
        <v>87828</v>
      </c>
      <c r="J521" s="96">
        <f ca="1">'Planning Engine'!J521</f>
        <v>999</v>
      </c>
      <c r="K521" s="95">
        <f ca="1">'Planning Engine'!K521</f>
        <v>0</v>
      </c>
      <c r="L521" s="12" t="str">
        <f ca="1">'Planning Engine'!L521</f>
        <v>Overstock</v>
      </c>
      <c r="M521" s="93">
        <f>'Planning Engine'!S521</f>
        <v>50740</v>
      </c>
      <c r="N521" s="95">
        <f>'Planning Engine'!T521</f>
        <v>0</v>
      </c>
      <c r="O521" s="98" t="s">
        <v>1553</v>
      </c>
      <c r="P521" s="4" t="str">
        <f t="shared" ca="1" si="17"/>
        <v>Defer / consume inventory</v>
      </c>
    </row>
    <row r="522" spans="1:16" ht="13" customHeight="1" x14ac:dyDescent="0.35">
      <c r="A522" s="93">
        <v>50922</v>
      </c>
      <c r="B522" s="61" t="s">
        <v>36</v>
      </c>
      <c r="C522" s="12" t="str">
        <f>'Planning Engine'!C522</f>
        <v>Drug Product</v>
      </c>
      <c r="D522" s="12" t="str">
        <f>'Planning Engine'!D522</f>
        <v>units</v>
      </c>
      <c r="E522" s="95">
        <f>'Planning Engine'!E522</f>
        <v>87828</v>
      </c>
      <c r="F522" s="95">
        <f>'Planning Engine'!F522</f>
        <v>0</v>
      </c>
      <c r="G522" s="95">
        <f>'Planning Engine'!G522</f>
        <v>0</v>
      </c>
      <c r="H522" s="95">
        <f t="shared" si="16"/>
        <v>0</v>
      </c>
      <c r="I522" s="95">
        <f>'Planning Engine'!H522</f>
        <v>87828</v>
      </c>
      <c r="J522" s="96">
        <f ca="1">'Planning Engine'!J522</f>
        <v>999</v>
      </c>
      <c r="K522" s="95">
        <f ca="1">'Planning Engine'!K522</f>
        <v>0</v>
      </c>
      <c r="L522" s="12" t="str">
        <f ca="1">'Planning Engine'!L522</f>
        <v>Overstock</v>
      </c>
      <c r="M522" s="93">
        <f>'Planning Engine'!S522</f>
        <v>50771</v>
      </c>
      <c r="N522" s="95">
        <f>'Planning Engine'!T522</f>
        <v>0</v>
      </c>
      <c r="O522" s="94" t="s">
        <v>1554</v>
      </c>
      <c r="P522" s="12" t="str">
        <f t="shared" ca="1" si="17"/>
        <v>Defer / consume inventory</v>
      </c>
    </row>
    <row r="523" spans="1:16" ht="13" customHeight="1" x14ac:dyDescent="0.35">
      <c r="A523" s="97">
        <v>50952</v>
      </c>
      <c r="B523" s="53" t="s">
        <v>36</v>
      </c>
      <c r="C523" s="12" t="str">
        <f>'Planning Engine'!C523</f>
        <v>Drug Product</v>
      </c>
      <c r="D523" s="12" t="str">
        <f>'Planning Engine'!D523</f>
        <v>units</v>
      </c>
      <c r="E523" s="95">
        <f>'Planning Engine'!E523</f>
        <v>87828</v>
      </c>
      <c r="F523" s="95">
        <f>'Planning Engine'!F523</f>
        <v>0</v>
      </c>
      <c r="G523" s="95">
        <f>'Planning Engine'!G523</f>
        <v>0</v>
      </c>
      <c r="H523" s="99">
        <f t="shared" si="16"/>
        <v>0</v>
      </c>
      <c r="I523" s="95">
        <f>'Planning Engine'!H523</f>
        <v>87828</v>
      </c>
      <c r="J523" s="96">
        <f ca="1">'Planning Engine'!J523</f>
        <v>999</v>
      </c>
      <c r="K523" s="95">
        <f ca="1">'Planning Engine'!K523</f>
        <v>0</v>
      </c>
      <c r="L523" s="12" t="str">
        <f ca="1">'Planning Engine'!L523</f>
        <v>Overstock</v>
      </c>
      <c r="M523" s="93">
        <f>'Planning Engine'!S523</f>
        <v>50802</v>
      </c>
      <c r="N523" s="95">
        <f>'Planning Engine'!T523</f>
        <v>0</v>
      </c>
      <c r="O523" s="98" t="s">
        <v>1555</v>
      </c>
      <c r="P523" s="4" t="str">
        <f t="shared" ca="1" si="17"/>
        <v>Defer / consume inventory</v>
      </c>
    </row>
    <row r="524" spans="1:16" ht="13" customHeight="1" x14ac:dyDescent="0.35">
      <c r="A524" s="93">
        <v>50983</v>
      </c>
      <c r="B524" s="61" t="s">
        <v>36</v>
      </c>
      <c r="C524" s="12" t="str">
        <f>'Planning Engine'!C524</f>
        <v>Drug Product</v>
      </c>
      <c r="D524" s="12" t="str">
        <f>'Planning Engine'!D524</f>
        <v>units</v>
      </c>
      <c r="E524" s="95">
        <f>'Planning Engine'!E524</f>
        <v>87828</v>
      </c>
      <c r="F524" s="95">
        <f>'Planning Engine'!F524</f>
        <v>0</v>
      </c>
      <c r="G524" s="95">
        <f>'Planning Engine'!G524</f>
        <v>0</v>
      </c>
      <c r="H524" s="95">
        <f t="shared" si="16"/>
        <v>0</v>
      </c>
      <c r="I524" s="95">
        <f>'Planning Engine'!H524</f>
        <v>87828</v>
      </c>
      <c r="J524" s="96">
        <f ca="1">'Planning Engine'!J524</f>
        <v>999</v>
      </c>
      <c r="K524" s="95">
        <f ca="1">'Planning Engine'!K524</f>
        <v>0</v>
      </c>
      <c r="L524" s="12" t="str">
        <f ca="1">'Planning Engine'!L524</f>
        <v>Overstock</v>
      </c>
      <c r="M524" s="93">
        <f>'Planning Engine'!S524</f>
        <v>50830</v>
      </c>
      <c r="N524" s="95">
        <f>'Planning Engine'!T524</f>
        <v>0</v>
      </c>
      <c r="O524" s="94" t="s">
        <v>1556</v>
      </c>
      <c r="P524" s="12" t="str">
        <f t="shared" ca="1" si="17"/>
        <v>Defer / consume inventory</v>
      </c>
    </row>
    <row r="525" spans="1:16" ht="13" customHeight="1" x14ac:dyDescent="0.35">
      <c r="A525" s="97">
        <v>51014</v>
      </c>
      <c r="B525" s="53" t="s">
        <v>36</v>
      </c>
      <c r="C525" s="12" t="str">
        <f>'Planning Engine'!C525</f>
        <v>Drug Product</v>
      </c>
      <c r="D525" s="12" t="str">
        <f>'Planning Engine'!D525</f>
        <v>units</v>
      </c>
      <c r="E525" s="95">
        <f>'Planning Engine'!E525</f>
        <v>87828</v>
      </c>
      <c r="F525" s="95">
        <f>'Planning Engine'!F525</f>
        <v>0</v>
      </c>
      <c r="G525" s="95">
        <f>'Planning Engine'!G525</f>
        <v>0</v>
      </c>
      <c r="H525" s="99">
        <f t="shared" si="16"/>
        <v>0</v>
      </c>
      <c r="I525" s="95">
        <f>'Planning Engine'!H525</f>
        <v>87828</v>
      </c>
      <c r="J525" s="96">
        <f ca="1">'Planning Engine'!J525</f>
        <v>999</v>
      </c>
      <c r="K525" s="95">
        <f ca="1">'Planning Engine'!K525</f>
        <v>0</v>
      </c>
      <c r="L525" s="12" t="str">
        <f ca="1">'Planning Engine'!L525</f>
        <v>Overstock</v>
      </c>
      <c r="M525" s="93">
        <f>'Planning Engine'!S525</f>
        <v>50861</v>
      </c>
      <c r="N525" s="95">
        <f>'Planning Engine'!T525</f>
        <v>0</v>
      </c>
      <c r="O525" s="98" t="s">
        <v>1557</v>
      </c>
      <c r="P525" s="4" t="str">
        <f t="shared" ca="1" si="17"/>
        <v>Defer / consume inventory</v>
      </c>
    </row>
    <row r="526" spans="1:16" ht="13" customHeight="1" x14ac:dyDescent="0.35">
      <c r="A526" s="93">
        <v>51044</v>
      </c>
      <c r="B526" s="61" t="s">
        <v>36</v>
      </c>
      <c r="C526" s="12" t="str">
        <f>'Planning Engine'!C526</f>
        <v>Drug Product</v>
      </c>
      <c r="D526" s="12" t="str">
        <f>'Planning Engine'!D526</f>
        <v>units</v>
      </c>
      <c r="E526" s="95">
        <f>'Planning Engine'!E526</f>
        <v>87828</v>
      </c>
      <c r="F526" s="95">
        <f>'Planning Engine'!F526</f>
        <v>0</v>
      </c>
      <c r="G526" s="95">
        <f>'Planning Engine'!G526</f>
        <v>0</v>
      </c>
      <c r="H526" s="95">
        <f t="shared" si="16"/>
        <v>0</v>
      </c>
      <c r="I526" s="95">
        <f>'Planning Engine'!H526</f>
        <v>87828</v>
      </c>
      <c r="J526" s="96">
        <f ca="1">'Planning Engine'!J526</f>
        <v>999</v>
      </c>
      <c r="K526" s="95">
        <f ca="1">'Planning Engine'!K526</f>
        <v>0</v>
      </c>
      <c r="L526" s="12" t="str">
        <f ca="1">'Planning Engine'!L526</f>
        <v>Overstock</v>
      </c>
      <c r="M526" s="93">
        <f>'Planning Engine'!S526</f>
        <v>50891</v>
      </c>
      <c r="N526" s="95">
        <f>'Planning Engine'!T526</f>
        <v>0</v>
      </c>
      <c r="O526" s="94" t="s">
        <v>1558</v>
      </c>
      <c r="P526" s="12" t="str">
        <f t="shared" ca="1" si="17"/>
        <v>Defer / consume inventory</v>
      </c>
    </row>
    <row r="527" spans="1:16" ht="13" customHeight="1" x14ac:dyDescent="0.35">
      <c r="A527" s="97">
        <v>51075</v>
      </c>
      <c r="B527" s="53" t="s">
        <v>36</v>
      </c>
      <c r="C527" s="12" t="str">
        <f>'Planning Engine'!C527</f>
        <v>Drug Product</v>
      </c>
      <c r="D527" s="12" t="str">
        <f>'Planning Engine'!D527</f>
        <v>units</v>
      </c>
      <c r="E527" s="95">
        <f>'Planning Engine'!E527</f>
        <v>87828</v>
      </c>
      <c r="F527" s="95">
        <f>'Planning Engine'!F527</f>
        <v>0</v>
      </c>
      <c r="G527" s="95">
        <f>'Planning Engine'!G527</f>
        <v>0</v>
      </c>
      <c r="H527" s="99">
        <f t="shared" si="16"/>
        <v>0</v>
      </c>
      <c r="I527" s="95">
        <f>'Planning Engine'!H527</f>
        <v>87828</v>
      </c>
      <c r="J527" s="96">
        <f ca="1">'Planning Engine'!J527</f>
        <v>999</v>
      </c>
      <c r="K527" s="95">
        <f ca="1">'Planning Engine'!K527</f>
        <v>0</v>
      </c>
      <c r="L527" s="12" t="str">
        <f ca="1">'Planning Engine'!L527</f>
        <v>Overstock</v>
      </c>
      <c r="M527" s="93">
        <f>'Planning Engine'!S527</f>
        <v>50922</v>
      </c>
      <c r="N527" s="95">
        <f>'Planning Engine'!T527</f>
        <v>0</v>
      </c>
      <c r="O527" s="98" t="s">
        <v>1559</v>
      </c>
      <c r="P527" s="4" t="str">
        <f t="shared" ca="1" si="17"/>
        <v>Defer / consume inventory</v>
      </c>
    </row>
    <row r="528" spans="1:16" ht="13" customHeight="1" x14ac:dyDescent="0.35">
      <c r="A528" s="93">
        <v>51105</v>
      </c>
      <c r="B528" s="61" t="s">
        <v>36</v>
      </c>
      <c r="C528" s="12" t="str">
        <f>'Planning Engine'!C528</f>
        <v>Drug Product</v>
      </c>
      <c r="D528" s="12" t="str">
        <f>'Planning Engine'!D528</f>
        <v>units</v>
      </c>
      <c r="E528" s="95">
        <f>'Planning Engine'!E528</f>
        <v>87828</v>
      </c>
      <c r="F528" s="95">
        <f>'Planning Engine'!F528</f>
        <v>0</v>
      </c>
      <c r="G528" s="95">
        <f>'Planning Engine'!G528</f>
        <v>0</v>
      </c>
      <c r="H528" s="95">
        <f t="shared" si="16"/>
        <v>0</v>
      </c>
      <c r="I528" s="95">
        <f>'Planning Engine'!H528</f>
        <v>87828</v>
      </c>
      <c r="J528" s="96">
        <f ca="1">'Planning Engine'!J528</f>
        <v>999</v>
      </c>
      <c r="K528" s="95">
        <f ca="1">'Planning Engine'!K528</f>
        <v>0</v>
      </c>
      <c r="L528" s="12" t="str">
        <f ca="1">'Planning Engine'!L528</f>
        <v>Overstock</v>
      </c>
      <c r="M528" s="93">
        <f>'Planning Engine'!S528</f>
        <v>50952</v>
      </c>
      <c r="N528" s="95">
        <f>'Planning Engine'!T528</f>
        <v>0</v>
      </c>
      <c r="O528" s="94" t="s">
        <v>1560</v>
      </c>
      <c r="P528" s="12" t="str">
        <f t="shared" ca="1" si="17"/>
        <v>Defer / consume inventory</v>
      </c>
    </row>
    <row r="529" spans="1:16" ht="13" customHeight="1" x14ac:dyDescent="0.35">
      <c r="A529" s="97">
        <v>51136</v>
      </c>
      <c r="B529" s="53" t="s">
        <v>36</v>
      </c>
      <c r="C529" s="12" t="str">
        <f>'Planning Engine'!C529</f>
        <v>Drug Product</v>
      </c>
      <c r="D529" s="12" t="str">
        <f>'Planning Engine'!D529</f>
        <v>units</v>
      </c>
      <c r="E529" s="95">
        <f>'Planning Engine'!E529</f>
        <v>87828</v>
      </c>
      <c r="F529" s="95">
        <f>'Planning Engine'!F529</f>
        <v>0</v>
      </c>
      <c r="G529" s="95">
        <f>'Planning Engine'!G529</f>
        <v>0</v>
      </c>
      <c r="H529" s="99">
        <f t="shared" si="16"/>
        <v>0</v>
      </c>
      <c r="I529" s="95">
        <f>'Planning Engine'!H529</f>
        <v>87828</v>
      </c>
      <c r="J529" s="96">
        <f ca="1">'Planning Engine'!J529</f>
        <v>999</v>
      </c>
      <c r="K529" s="95">
        <f ca="1">'Planning Engine'!K529</f>
        <v>0</v>
      </c>
      <c r="L529" s="12" t="str">
        <f ca="1">'Planning Engine'!L529</f>
        <v>Overstock</v>
      </c>
      <c r="M529" s="93">
        <f>'Planning Engine'!S529</f>
        <v>50983</v>
      </c>
      <c r="N529" s="95">
        <f>'Planning Engine'!T529</f>
        <v>0</v>
      </c>
      <c r="O529" s="98" t="s">
        <v>1561</v>
      </c>
      <c r="P529" s="4" t="str">
        <f t="shared" ca="1" si="17"/>
        <v>Defer / consume inventory</v>
      </c>
    </row>
    <row r="530" spans="1:16" ht="13" customHeight="1" x14ac:dyDescent="0.35">
      <c r="A530" s="93">
        <v>51167</v>
      </c>
      <c r="B530" s="61" t="s">
        <v>36</v>
      </c>
      <c r="C530" s="12" t="str">
        <f>'Planning Engine'!C530</f>
        <v>Drug Product</v>
      </c>
      <c r="D530" s="12" t="str">
        <f>'Planning Engine'!D530</f>
        <v>units</v>
      </c>
      <c r="E530" s="95">
        <f>'Planning Engine'!E530</f>
        <v>87828</v>
      </c>
      <c r="F530" s="95">
        <f>'Planning Engine'!F530</f>
        <v>0</v>
      </c>
      <c r="G530" s="95">
        <f>'Planning Engine'!G530</f>
        <v>0</v>
      </c>
      <c r="H530" s="95">
        <f t="shared" si="16"/>
        <v>0</v>
      </c>
      <c r="I530" s="95">
        <f>'Planning Engine'!H530</f>
        <v>87828</v>
      </c>
      <c r="J530" s="96">
        <f ca="1">'Planning Engine'!J530</f>
        <v>999</v>
      </c>
      <c r="K530" s="95">
        <f ca="1">'Planning Engine'!K530</f>
        <v>0</v>
      </c>
      <c r="L530" s="12" t="str">
        <f ca="1">'Planning Engine'!L530</f>
        <v>Overstock</v>
      </c>
      <c r="M530" s="93">
        <f>'Planning Engine'!S530</f>
        <v>51014</v>
      </c>
      <c r="N530" s="95">
        <f>'Planning Engine'!T530</f>
        <v>0</v>
      </c>
      <c r="O530" s="94" t="s">
        <v>1562</v>
      </c>
      <c r="P530" s="12" t="str">
        <f t="shared" ca="1" si="17"/>
        <v>Defer / consume inventory</v>
      </c>
    </row>
    <row r="531" spans="1:16" ht="13" customHeight="1" x14ac:dyDescent="0.35">
      <c r="A531" s="97">
        <v>51196</v>
      </c>
      <c r="B531" s="53" t="s">
        <v>36</v>
      </c>
      <c r="C531" s="12" t="str">
        <f>'Planning Engine'!C531</f>
        <v>Drug Product</v>
      </c>
      <c r="D531" s="12" t="str">
        <f>'Planning Engine'!D531</f>
        <v>units</v>
      </c>
      <c r="E531" s="95">
        <f>'Planning Engine'!E531</f>
        <v>87828</v>
      </c>
      <c r="F531" s="95">
        <f>'Planning Engine'!F531</f>
        <v>0</v>
      </c>
      <c r="G531" s="95">
        <f>'Planning Engine'!G531</f>
        <v>0</v>
      </c>
      <c r="H531" s="99">
        <f t="shared" si="16"/>
        <v>0</v>
      </c>
      <c r="I531" s="95">
        <f>'Planning Engine'!H531</f>
        <v>87828</v>
      </c>
      <c r="J531" s="96">
        <f ca="1">'Planning Engine'!J531</f>
        <v>999</v>
      </c>
      <c r="K531" s="95">
        <f ca="1">'Planning Engine'!K531</f>
        <v>0</v>
      </c>
      <c r="L531" s="12" t="str">
        <f ca="1">'Planning Engine'!L531</f>
        <v>Overstock</v>
      </c>
      <c r="M531" s="93">
        <f>'Planning Engine'!S531</f>
        <v>51044</v>
      </c>
      <c r="N531" s="95">
        <f>'Planning Engine'!T531</f>
        <v>0</v>
      </c>
      <c r="O531" s="98" t="s">
        <v>1563</v>
      </c>
      <c r="P531" s="4" t="str">
        <f t="shared" ca="1" si="17"/>
        <v>Defer / consume inventory</v>
      </c>
    </row>
    <row r="532" spans="1:16" ht="13" customHeight="1" x14ac:dyDescent="0.35">
      <c r="A532" s="93">
        <v>51227</v>
      </c>
      <c r="B532" s="61" t="s">
        <v>36</v>
      </c>
      <c r="C532" s="12" t="str">
        <f>'Planning Engine'!C532</f>
        <v>Drug Product</v>
      </c>
      <c r="D532" s="12" t="str">
        <f>'Planning Engine'!D532</f>
        <v>units</v>
      </c>
      <c r="E532" s="95">
        <f>'Planning Engine'!E532</f>
        <v>87828</v>
      </c>
      <c r="F532" s="95">
        <f>'Planning Engine'!F532</f>
        <v>0</v>
      </c>
      <c r="G532" s="95">
        <f>'Planning Engine'!G532</f>
        <v>0</v>
      </c>
      <c r="H532" s="95">
        <f t="shared" si="16"/>
        <v>0</v>
      </c>
      <c r="I532" s="95">
        <f>'Planning Engine'!H532</f>
        <v>87828</v>
      </c>
      <c r="J532" s="96">
        <f ca="1">'Planning Engine'!J532</f>
        <v>999</v>
      </c>
      <c r="K532" s="95">
        <f ca="1">'Planning Engine'!K532</f>
        <v>0</v>
      </c>
      <c r="L532" s="12" t="str">
        <f ca="1">'Planning Engine'!L532</f>
        <v>Overstock</v>
      </c>
      <c r="M532" s="93">
        <f>'Planning Engine'!S532</f>
        <v>51075</v>
      </c>
      <c r="N532" s="95">
        <f>'Planning Engine'!T532</f>
        <v>0</v>
      </c>
      <c r="O532" s="94" t="s">
        <v>1564</v>
      </c>
      <c r="P532" s="12" t="str">
        <f t="shared" ca="1" si="17"/>
        <v>Defer / consume inventory</v>
      </c>
    </row>
    <row r="533" spans="1:16" ht="13" customHeight="1" x14ac:dyDescent="0.35">
      <c r="A533" s="97">
        <v>51257</v>
      </c>
      <c r="B533" s="53" t="s">
        <v>36</v>
      </c>
      <c r="C533" s="12" t="str">
        <f>'Planning Engine'!C533</f>
        <v>Drug Product</v>
      </c>
      <c r="D533" s="12" t="str">
        <f>'Planning Engine'!D533</f>
        <v>units</v>
      </c>
      <c r="E533" s="95">
        <f>'Planning Engine'!E533</f>
        <v>87828</v>
      </c>
      <c r="F533" s="95">
        <f>'Planning Engine'!F533</f>
        <v>0</v>
      </c>
      <c r="G533" s="95">
        <f>'Planning Engine'!G533</f>
        <v>0</v>
      </c>
      <c r="H533" s="99">
        <f t="shared" si="16"/>
        <v>0</v>
      </c>
      <c r="I533" s="95">
        <f>'Planning Engine'!H533</f>
        <v>87828</v>
      </c>
      <c r="J533" s="96">
        <f ca="1">'Planning Engine'!J533</f>
        <v>999</v>
      </c>
      <c r="K533" s="95">
        <f ca="1">'Planning Engine'!K533</f>
        <v>0</v>
      </c>
      <c r="L533" s="12" t="str">
        <f ca="1">'Planning Engine'!L533</f>
        <v>Overstock</v>
      </c>
      <c r="M533" s="93">
        <f>'Planning Engine'!S533</f>
        <v>51105</v>
      </c>
      <c r="N533" s="95">
        <f>'Planning Engine'!T533</f>
        <v>0</v>
      </c>
      <c r="O533" s="98" t="s">
        <v>1565</v>
      </c>
      <c r="P533" s="4" t="str">
        <f t="shared" ca="1" si="17"/>
        <v>Defer / consume inventory</v>
      </c>
    </row>
    <row r="534" spans="1:16" ht="13" customHeight="1" x14ac:dyDescent="0.35">
      <c r="A534" s="93">
        <v>51288</v>
      </c>
      <c r="B534" s="61" t="s">
        <v>36</v>
      </c>
      <c r="C534" s="12" t="str">
        <f>'Planning Engine'!C534</f>
        <v>Drug Product</v>
      </c>
      <c r="D534" s="12" t="str">
        <f>'Planning Engine'!D534</f>
        <v>units</v>
      </c>
      <c r="E534" s="95">
        <f>'Planning Engine'!E534</f>
        <v>87828</v>
      </c>
      <c r="F534" s="95">
        <f>'Planning Engine'!F534</f>
        <v>0</v>
      </c>
      <c r="G534" s="95">
        <f>'Planning Engine'!G534</f>
        <v>0</v>
      </c>
      <c r="H534" s="95">
        <f t="shared" si="16"/>
        <v>0</v>
      </c>
      <c r="I534" s="95">
        <f>'Planning Engine'!H534</f>
        <v>87828</v>
      </c>
      <c r="J534" s="96">
        <f ca="1">'Planning Engine'!J534</f>
        <v>999</v>
      </c>
      <c r="K534" s="95">
        <f ca="1">'Planning Engine'!K534</f>
        <v>0</v>
      </c>
      <c r="L534" s="12" t="str">
        <f ca="1">'Planning Engine'!L534</f>
        <v>Overstock</v>
      </c>
      <c r="M534" s="93">
        <f>'Planning Engine'!S534</f>
        <v>51136</v>
      </c>
      <c r="N534" s="95">
        <f>'Planning Engine'!T534</f>
        <v>0</v>
      </c>
      <c r="O534" s="94" t="s">
        <v>1566</v>
      </c>
      <c r="P534" s="12" t="str">
        <f t="shared" ca="1" si="17"/>
        <v>Defer / consume inventory</v>
      </c>
    </row>
    <row r="535" spans="1:16" ht="13" customHeight="1" x14ac:dyDescent="0.35">
      <c r="A535" s="97">
        <v>51318</v>
      </c>
      <c r="B535" s="53" t="s">
        <v>36</v>
      </c>
      <c r="C535" s="12" t="str">
        <f>'Planning Engine'!C535</f>
        <v>Drug Product</v>
      </c>
      <c r="D535" s="12" t="str">
        <f>'Planning Engine'!D535</f>
        <v>units</v>
      </c>
      <c r="E535" s="95">
        <f>'Planning Engine'!E535</f>
        <v>87828</v>
      </c>
      <c r="F535" s="95">
        <f>'Planning Engine'!F535</f>
        <v>0</v>
      </c>
      <c r="G535" s="95">
        <f>'Planning Engine'!G535</f>
        <v>0</v>
      </c>
      <c r="H535" s="99">
        <f t="shared" si="16"/>
        <v>0</v>
      </c>
      <c r="I535" s="95">
        <f>'Planning Engine'!H535</f>
        <v>87828</v>
      </c>
      <c r="J535" s="96">
        <f ca="1">'Planning Engine'!J535</f>
        <v>999</v>
      </c>
      <c r="K535" s="95">
        <f ca="1">'Planning Engine'!K535</f>
        <v>0</v>
      </c>
      <c r="L535" s="12" t="str">
        <f ca="1">'Planning Engine'!L535</f>
        <v>Overstock</v>
      </c>
      <c r="M535" s="93">
        <f>'Planning Engine'!S535</f>
        <v>51167</v>
      </c>
      <c r="N535" s="95">
        <f>'Planning Engine'!T535</f>
        <v>0</v>
      </c>
      <c r="O535" s="98" t="s">
        <v>1567</v>
      </c>
      <c r="P535" s="4" t="str">
        <f t="shared" ca="1" si="17"/>
        <v>Defer / consume inventory</v>
      </c>
    </row>
    <row r="536" spans="1:16" ht="13" customHeight="1" x14ac:dyDescent="0.35">
      <c r="A536" s="93">
        <v>51349</v>
      </c>
      <c r="B536" s="61" t="s">
        <v>36</v>
      </c>
      <c r="C536" s="12" t="str">
        <f>'Planning Engine'!C536</f>
        <v>Drug Product</v>
      </c>
      <c r="D536" s="12" t="str">
        <f>'Planning Engine'!D536</f>
        <v>units</v>
      </c>
      <c r="E536" s="95">
        <f>'Planning Engine'!E536</f>
        <v>87828</v>
      </c>
      <c r="F536" s="95">
        <f>'Planning Engine'!F536</f>
        <v>0</v>
      </c>
      <c r="G536" s="95">
        <f>'Planning Engine'!G536</f>
        <v>0</v>
      </c>
      <c r="H536" s="95">
        <f t="shared" si="16"/>
        <v>0</v>
      </c>
      <c r="I536" s="95">
        <f>'Planning Engine'!H536</f>
        <v>87828</v>
      </c>
      <c r="J536" s="96">
        <f ca="1">'Planning Engine'!J536</f>
        <v>999</v>
      </c>
      <c r="K536" s="95">
        <f ca="1">'Planning Engine'!K536</f>
        <v>0</v>
      </c>
      <c r="L536" s="12" t="str">
        <f ca="1">'Planning Engine'!L536</f>
        <v>Overstock</v>
      </c>
      <c r="M536" s="93">
        <f>'Planning Engine'!S536</f>
        <v>51196</v>
      </c>
      <c r="N536" s="95">
        <f>'Planning Engine'!T536</f>
        <v>0</v>
      </c>
      <c r="O536" s="94" t="s">
        <v>1568</v>
      </c>
      <c r="P536" s="12" t="str">
        <f t="shared" ca="1" si="17"/>
        <v>Defer / consume inventory</v>
      </c>
    </row>
    <row r="537" spans="1:16" ht="13" customHeight="1" x14ac:dyDescent="0.35">
      <c r="A537" s="97">
        <v>51380</v>
      </c>
      <c r="B537" s="53" t="s">
        <v>36</v>
      </c>
      <c r="C537" s="12" t="str">
        <f>'Planning Engine'!C537</f>
        <v>Drug Product</v>
      </c>
      <c r="D537" s="12" t="str">
        <f>'Planning Engine'!D537</f>
        <v>units</v>
      </c>
      <c r="E537" s="95">
        <f>'Planning Engine'!E537</f>
        <v>87828</v>
      </c>
      <c r="F537" s="95">
        <f>'Planning Engine'!F537</f>
        <v>0</v>
      </c>
      <c r="G537" s="95">
        <f>'Planning Engine'!G537</f>
        <v>0</v>
      </c>
      <c r="H537" s="99">
        <f t="shared" si="16"/>
        <v>0</v>
      </c>
      <c r="I537" s="95">
        <f>'Planning Engine'!H537</f>
        <v>87828</v>
      </c>
      <c r="J537" s="96">
        <f ca="1">'Planning Engine'!J537</f>
        <v>999</v>
      </c>
      <c r="K537" s="95">
        <f ca="1">'Planning Engine'!K537</f>
        <v>0</v>
      </c>
      <c r="L537" s="12" t="str">
        <f ca="1">'Planning Engine'!L537</f>
        <v>Overstock</v>
      </c>
      <c r="M537" s="93">
        <f>'Planning Engine'!S537</f>
        <v>51227</v>
      </c>
      <c r="N537" s="95">
        <f>'Planning Engine'!T537</f>
        <v>0</v>
      </c>
      <c r="O537" s="98" t="s">
        <v>1569</v>
      </c>
      <c r="P537" s="4" t="str">
        <f t="shared" ca="1" si="17"/>
        <v>Defer / consume inventory</v>
      </c>
    </row>
    <row r="538" spans="1:16" ht="13" customHeight="1" x14ac:dyDescent="0.35">
      <c r="A538" s="93">
        <v>51410</v>
      </c>
      <c r="B538" s="61" t="s">
        <v>36</v>
      </c>
      <c r="C538" s="12" t="str">
        <f>'Planning Engine'!C538</f>
        <v>Drug Product</v>
      </c>
      <c r="D538" s="12" t="str">
        <f>'Planning Engine'!D538</f>
        <v>units</v>
      </c>
      <c r="E538" s="95">
        <f>'Planning Engine'!E538</f>
        <v>87828</v>
      </c>
      <c r="F538" s="95">
        <f>'Planning Engine'!F538</f>
        <v>0</v>
      </c>
      <c r="G538" s="95">
        <f>'Planning Engine'!G538</f>
        <v>0</v>
      </c>
      <c r="H538" s="95">
        <f t="shared" si="16"/>
        <v>0</v>
      </c>
      <c r="I538" s="95">
        <f>'Planning Engine'!H538</f>
        <v>87828</v>
      </c>
      <c r="J538" s="96">
        <f ca="1">'Planning Engine'!J538</f>
        <v>999</v>
      </c>
      <c r="K538" s="95">
        <f ca="1">'Planning Engine'!K538</f>
        <v>0</v>
      </c>
      <c r="L538" s="12" t="str">
        <f ca="1">'Planning Engine'!L538</f>
        <v>Overstock</v>
      </c>
      <c r="M538" s="93">
        <f>'Planning Engine'!S538</f>
        <v>51257</v>
      </c>
      <c r="N538" s="95">
        <f>'Planning Engine'!T538</f>
        <v>0</v>
      </c>
      <c r="O538" s="94" t="s">
        <v>1570</v>
      </c>
      <c r="P538" s="12" t="str">
        <f t="shared" ca="1" si="17"/>
        <v>Defer / consume inventory</v>
      </c>
    </row>
    <row r="539" spans="1:16" ht="13" customHeight="1" x14ac:dyDescent="0.35">
      <c r="A539" s="97">
        <v>51441</v>
      </c>
      <c r="B539" s="53" t="s">
        <v>36</v>
      </c>
      <c r="C539" s="12" t="str">
        <f>'Planning Engine'!C539</f>
        <v>Drug Product</v>
      </c>
      <c r="D539" s="12" t="str">
        <f>'Planning Engine'!D539</f>
        <v>units</v>
      </c>
      <c r="E539" s="95">
        <f>'Planning Engine'!E539</f>
        <v>87828</v>
      </c>
      <c r="F539" s="95">
        <f>'Planning Engine'!F539</f>
        <v>0</v>
      </c>
      <c r="G539" s="95">
        <f>'Planning Engine'!G539</f>
        <v>0</v>
      </c>
      <c r="H539" s="99">
        <f t="shared" si="16"/>
        <v>0</v>
      </c>
      <c r="I539" s="95">
        <f>'Planning Engine'!H539</f>
        <v>87828</v>
      </c>
      <c r="J539" s="96">
        <f ca="1">'Planning Engine'!J539</f>
        <v>999</v>
      </c>
      <c r="K539" s="95">
        <f ca="1">'Planning Engine'!K539</f>
        <v>0</v>
      </c>
      <c r="L539" s="12" t="str">
        <f ca="1">'Planning Engine'!L539</f>
        <v>Overstock</v>
      </c>
      <c r="M539" s="93">
        <f>'Planning Engine'!S539</f>
        <v>51288</v>
      </c>
      <c r="N539" s="95">
        <f>'Planning Engine'!T539</f>
        <v>0</v>
      </c>
      <c r="O539" s="98" t="s">
        <v>1571</v>
      </c>
      <c r="P539" s="4" t="str">
        <f t="shared" ca="1" si="17"/>
        <v>Defer / consume inventory</v>
      </c>
    </row>
    <row r="540" spans="1:16" ht="13" customHeight="1" x14ac:dyDescent="0.35">
      <c r="A540" s="93">
        <v>51471</v>
      </c>
      <c r="B540" s="61" t="s">
        <v>36</v>
      </c>
      <c r="C540" s="12" t="str">
        <f>'Planning Engine'!C540</f>
        <v>Drug Product</v>
      </c>
      <c r="D540" s="12" t="str">
        <f>'Planning Engine'!D540</f>
        <v>units</v>
      </c>
      <c r="E540" s="95">
        <f>'Planning Engine'!E540</f>
        <v>87828</v>
      </c>
      <c r="F540" s="95">
        <f>'Planning Engine'!F540</f>
        <v>0</v>
      </c>
      <c r="G540" s="95">
        <f>'Planning Engine'!G540</f>
        <v>0</v>
      </c>
      <c r="H540" s="95">
        <f t="shared" si="16"/>
        <v>0</v>
      </c>
      <c r="I540" s="95">
        <f>'Planning Engine'!H540</f>
        <v>87828</v>
      </c>
      <c r="J540" s="96">
        <f ca="1">'Planning Engine'!J540</f>
        <v>999</v>
      </c>
      <c r="K540" s="95">
        <f ca="1">'Planning Engine'!K540</f>
        <v>0</v>
      </c>
      <c r="L540" s="12" t="str">
        <f ca="1">'Planning Engine'!L540</f>
        <v>Overstock</v>
      </c>
      <c r="M540" s="93">
        <f>'Planning Engine'!S540</f>
        <v>51318</v>
      </c>
      <c r="N540" s="95">
        <f>'Planning Engine'!T540</f>
        <v>0</v>
      </c>
      <c r="O540" s="94" t="s">
        <v>1572</v>
      </c>
      <c r="P540" s="12" t="str">
        <f t="shared" ca="1" si="17"/>
        <v>Defer / consume inventory</v>
      </c>
    </row>
    <row r="541" spans="1:16" ht="13" customHeight="1" x14ac:dyDescent="0.35">
      <c r="A541" s="97">
        <v>46054</v>
      </c>
      <c r="B541" s="53" t="s">
        <v>43</v>
      </c>
      <c r="C541" s="12" t="str">
        <f>'Planning Engine'!C541</f>
        <v>Drug Product</v>
      </c>
      <c r="D541" s="12" t="str">
        <f>'Planning Engine'!D541</f>
        <v>units</v>
      </c>
      <c r="E541" s="95">
        <f>'Planning Engine'!E541</f>
        <v>98019</v>
      </c>
      <c r="F541" s="95">
        <f>'Planning Engine'!F541</f>
        <v>0</v>
      </c>
      <c r="G541" s="95">
        <f>'Planning Engine'!G541</f>
        <v>0</v>
      </c>
      <c r="H541" s="99">
        <f t="shared" si="16"/>
        <v>0</v>
      </c>
      <c r="I541" s="95">
        <f>'Planning Engine'!H541</f>
        <v>98019</v>
      </c>
      <c r="J541" s="96">
        <f ca="1">'Planning Engine'!J541</f>
        <v>39207.599999999999</v>
      </c>
      <c r="K541" s="95">
        <f ca="1">'Planning Engine'!K541</f>
        <v>0</v>
      </c>
      <c r="L541" s="12" t="str">
        <f ca="1">'Planning Engine'!L541</f>
        <v>Overstock</v>
      </c>
      <c r="M541" s="93">
        <f>'Planning Engine'!S541</f>
        <v>45901</v>
      </c>
      <c r="N541" s="95">
        <f>'Planning Engine'!T541</f>
        <v>0</v>
      </c>
      <c r="O541" s="98" t="s">
        <v>1573</v>
      </c>
      <c r="P541" s="4" t="str">
        <f t="shared" ca="1" si="17"/>
        <v>Defer / consume inventory</v>
      </c>
    </row>
    <row r="542" spans="1:16" ht="13" customHeight="1" x14ac:dyDescent="0.35">
      <c r="A542" s="93">
        <v>46082</v>
      </c>
      <c r="B542" s="61" t="s">
        <v>43</v>
      </c>
      <c r="C542" s="12" t="str">
        <f>'Planning Engine'!C542</f>
        <v>Drug Product</v>
      </c>
      <c r="D542" s="12" t="str">
        <f>'Planning Engine'!D542</f>
        <v>units</v>
      </c>
      <c r="E542" s="95">
        <f>'Planning Engine'!E542</f>
        <v>98019</v>
      </c>
      <c r="F542" s="95">
        <f>'Planning Engine'!F542</f>
        <v>0</v>
      </c>
      <c r="G542" s="95">
        <f>'Planning Engine'!G542</f>
        <v>0</v>
      </c>
      <c r="H542" s="95">
        <f t="shared" si="16"/>
        <v>0</v>
      </c>
      <c r="I542" s="95">
        <f>'Planning Engine'!H542</f>
        <v>58251</v>
      </c>
      <c r="J542" s="96">
        <f ca="1">'Planning Engine'!J542</f>
        <v>23300.400000000001</v>
      </c>
      <c r="K542" s="95">
        <f ca="1">'Planning Engine'!K542</f>
        <v>0</v>
      </c>
      <c r="L542" s="12" t="str">
        <f ca="1">'Planning Engine'!L542</f>
        <v>Overstock</v>
      </c>
      <c r="M542" s="93">
        <f>'Planning Engine'!S542</f>
        <v>45931</v>
      </c>
      <c r="N542" s="95">
        <f>'Planning Engine'!T542</f>
        <v>0</v>
      </c>
      <c r="O542" s="94" t="s">
        <v>1574</v>
      </c>
      <c r="P542" s="12" t="str">
        <f t="shared" ca="1" si="17"/>
        <v>Defer / consume inventory</v>
      </c>
    </row>
    <row r="543" spans="1:16" ht="13" customHeight="1" x14ac:dyDescent="0.35">
      <c r="A543" s="97">
        <v>46113</v>
      </c>
      <c r="B543" s="53" t="s">
        <v>43</v>
      </c>
      <c r="C543" s="12" t="str">
        <f>'Planning Engine'!C543</f>
        <v>Drug Product</v>
      </c>
      <c r="D543" s="12" t="str">
        <f>'Planning Engine'!D543</f>
        <v>units</v>
      </c>
      <c r="E543" s="95">
        <f>'Planning Engine'!E543</f>
        <v>58251</v>
      </c>
      <c r="F543" s="95">
        <f>'Planning Engine'!F543</f>
        <v>3</v>
      </c>
      <c r="G543" s="95">
        <f>'Planning Engine'!G543</f>
        <v>20000</v>
      </c>
      <c r="H543" s="99">
        <f t="shared" si="16"/>
        <v>19997</v>
      </c>
      <c r="I543" s="95">
        <f>'Planning Engine'!H543</f>
        <v>98109</v>
      </c>
      <c r="J543" s="96">
        <f ca="1">'Planning Engine'!J543</f>
        <v>39243.599999999999</v>
      </c>
      <c r="K543" s="95">
        <f ca="1">'Planning Engine'!K543</f>
        <v>0</v>
      </c>
      <c r="L543" s="12" t="str">
        <f ca="1">'Planning Engine'!L543</f>
        <v>Overstock</v>
      </c>
      <c r="M543" s="93">
        <f>'Planning Engine'!S543</f>
        <v>45962</v>
      </c>
      <c r="N543" s="95">
        <f>'Planning Engine'!T543</f>
        <v>20000</v>
      </c>
      <c r="O543" s="98" t="s">
        <v>1575</v>
      </c>
      <c r="P543" s="4" t="str">
        <f t="shared" ca="1" si="17"/>
        <v>Defer / consume inventory</v>
      </c>
    </row>
    <row r="544" spans="1:16" ht="13" customHeight="1" x14ac:dyDescent="0.35">
      <c r="A544" s="93">
        <v>46143</v>
      </c>
      <c r="B544" s="61" t="s">
        <v>43</v>
      </c>
      <c r="C544" s="12" t="str">
        <f>'Planning Engine'!C544</f>
        <v>Drug Product</v>
      </c>
      <c r="D544" s="12" t="str">
        <f>'Planning Engine'!D544</f>
        <v>units</v>
      </c>
      <c r="E544" s="95">
        <f>'Planning Engine'!E544</f>
        <v>98109</v>
      </c>
      <c r="F544" s="95">
        <f>'Planning Engine'!F544</f>
        <v>2</v>
      </c>
      <c r="G544" s="95">
        <f>'Planning Engine'!G544</f>
        <v>20000</v>
      </c>
      <c r="H544" s="95">
        <f t="shared" si="16"/>
        <v>19998</v>
      </c>
      <c r="I544" s="95">
        <f>'Planning Engine'!H544</f>
        <v>118107</v>
      </c>
      <c r="J544" s="96">
        <f ca="1">'Planning Engine'!J544</f>
        <v>59053.5</v>
      </c>
      <c r="K544" s="95">
        <f ca="1">'Planning Engine'!K544</f>
        <v>0</v>
      </c>
      <c r="L544" s="12" t="str">
        <f ca="1">'Planning Engine'!L544</f>
        <v>Overstock</v>
      </c>
      <c r="M544" s="93">
        <f>'Planning Engine'!S544</f>
        <v>45992</v>
      </c>
      <c r="N544" s="95">
        <f>'Planning Engine'!T544</f>
        <v>20000</v>
      </c>
      <c r="O544" s="94" t="s">
        <v>1576</v>
      </c>
      <c r="P544" s="12" t="str">
        <f t="shared" ca="1" si="17"/>
        <v>Defer / consume inventory</v>
      </c>
    </row>
    <row r="545" spans="1:16" ht="13" customHeight="1" x14ac:dyDescent="0.35">
      <c r="A545" s="97">
        <v>46174</v>
      </c>
      <c r="B545" s="53" t="s">
        <v>43</v>
      </c>
      <c r="C545" s="12" t="str">
        <f>'Planning Engine'!C545</f>
        <v>Drug Product</v>
      </c>
      <c r="D545" s="12" t="str">
        <f>'Planning Engine'!D545</f>
        <v>units</v>
      </c>
      <c r="E545" s="95">
        <f>'Planning Engine'!E545</f>
        <v>118107</v>
      </c>
      <c r="F545" s="95">
        <f>'Planning Engine'!F545</f>
        <v>0</v>
      </c>
      <c r="G545" s="95">
        <f>'Planning Engine'!G545</f>
        <v>30000</v>
      </c>
      <c r="H545" s="99">
        <f t="shared" si="16"/>
        <v>30000</v>
      </c>
      <c r="I545" s="95">
        <f>'Planning Engine'!H545</f>
        <v>148107</v>
      </c>
      <c r="J545" s="96">
        <f ca="1">'Planning Engine'!J545</f>
        <v>999</v>
      </c>
      <c r="K545" s="95">
        <f ca="1">'Planning Engine'!K545</f>
        <v>0</v>
      </c>
      <c r="L545" s="12" t="str">
        <f ca="1">'Planning Engine'!L545</f>
        <v>Overstock</v>
      </c>
      <c r="M545" s="93">
        <f>'Planning Engine'!S545</f>
        <v>46023</v>
      </c>
      <c r="N545" s="95">
        <f>'Planning Engine'!T545</f>
        <v>30000</v>
      </c>
      <c r="O545" s="98" t="s">
        <v>1577</v>
      </c>
      <c r="P545" s="4" t="str">
        <f t="shared" ca="1" si="17"/>
        <v>Defer / consume inventory</v>
      </c>
    </row>
    <row r="546" spans="1:16" ht="13" customHeight="1" x14ac:dyDescent="0.35">
      <c r="A546" s="93">
        <v>46204</v>
      </c>
      <c r="B546" s="61" t="s">
        <v>43</v>
      </c>
      <c r="C546" s="12" t="str">
        <f>'Planning Engine'!C546</f>
        <v>Drug Product</v>
      </c>
      <c r="D546" s="12" t="str">
        <f>'Planning Engine'!D546</f>
        <v>units</v>
      </c>
      <c r="E546" s="95">
        <f>'Planning Engine'!E546</f>
        <v>148107</v>
      </c>
      <c r="F546" s="95">
        <f>'Planning Engine'!F546</f>
        <v>0</v>
      </c>
      <c r="G546" s="95">
        <f>'Planning Engine'!G546</f>
        <v>10000</v>
      </c>
      <c r="H546" s="95">
        <f t="shared" si="16"/>
        <v>10000</v>
      </c>
      <c r="I546" s="95">
        <f>'Planning Engine'!H546</f>
        <v>158107</v>
      </c>
      <c r="J546" s="96">
        <f ca="1">'Planning Engine'!J546</f>
        <v>999</v>
      </c>
      <c r="K546" s="95">
        <f ca="1">'Planning Engine'!K546</f>
        <v>0</v>
      </c>
      <c r="L546" s="12" t="str">
        <f ca="1">'Planning Engine'!L546</f>
        <v>Overstock</v>
      </c>
      <c r="M546" s="93">
        <f>'Planning Engine'!S546</f>
        <v>46054</v>
      </c>
      <c r="N546" s="95">
        <f>'Planning Engine'!T546</f>
        <v>10000</v>
      </c>
      <c r="O546" s="94" t="s">
        <v>1578</v>
      </c>
      <c r="P546" s="12" t="str">
        <f t="shared" ca="1" si="17"/>
        <v>Defer / consume inventory</v>
      </c>
    </row>
    <row r="547" spans="1:16" ht="13" customHeight="1" x14ac:dyDescent="0.35">
      <c r="A547" s="97">
        <v>46235</v>
      </c>
      <c r="B547" s="53" t="s">
        <v>43</v>
      </c>
      <c r="C547" s="12" t="str">
        <f>'Planning Engine'!C547</f>
        <v>Drug Product</v>
      </c>
      <c r="D547" s="12" t="str">
        <f>'Planning Engine'!D547</f>
        <v>units</v>
      </c>
      <c r="E547" s="95">
        <f>'Planning Engine'!E547</f>
        <v>158107</v>
      </c>
      <c r="F547" s="95">
        <f>'Planning Engine'!F547</f>
        <v>0</v>
      </c>
      <c r="G547" s="95">
        <f>'Planning Engine'!G547</f>
        <v>0</v>
      </c>
      <c r="H547" s="99">
        <f t="shared" si="16"/>
        <v>0</v>
      </c>
      <c r="I547" s="95">
        <f>'Planning Engine'!H547</f>
        <v>158107</v>
      </c>
      <c r="J547" s="96">
        <f ca="1">'Planning Engine'!J547</f>
        <v>999</v>
      </c>
      <c r="K547" s="95">
        <f ca="1">'Planning Engine'!K547</f>
        <v>0</v>
      </c>
      <c r="L547" s="12" t="str">
        <f ca="1">'Planning Engine'!L547</f>
        <v>Overstock</v>
      </c>
      <c r="M547" s="93">
        <f>'Planning Engine'!S547</f>
        <v>46082</v>
      </c>
      <c r="N547" s="95">
        <f>'Planning Engine'!T547</f>
        <v>0</v>
      </c>
      <c r="O547" s="98" t="s">
        <v>1579</v>
      </c>
      <c r="P547" s="4" t="str">
        <f t="shared" ca="1" si="17"/>
        <v>Defer / consume inventory</v>
      </c>
    </row>
    <row r="548" spans="1:16" ht="13" customHeight="1" x14ac:dyDescent="0.35">
      <c r="A548" s="93">
        <v>46266</v>
      </c>
      <c r="B548" s="61" t="s">
        <v>43</v>
      </c>
      <c r="C548" s="12" t="str">
        <f>'Planning Engine'!C548</f>
        <v>Drug Product</v>
      </c>
      <c r="D548" s="12" t="str">
        <f>'Planning Engine'!D548</f>
        <v>units</v>
      </c>
      <c r="E548" s="95">
        <f>'Planning Engine'!E548</f>
        <v>158107</v>
      </c>
      <c r="F548" s="95">
        <f>'Planning Engine'!F548</f>
        <v>0</v>
      </c>
      <c r="G548" s="95">
        <f>'Planning Engine'!G548</f>
        <v>0</v>
      </c>
      <c r="H548" s="95">
        <f t="shared" si="16"/>
        <v>0</v>
      </c>
      <c r="I548" s="95">
        <f>'Planning Engine'!H548</f>
        <v>158107</v>
      </c>
      <c r="J548" s="96">
        <f ca="1">'Planning Engine'!J548</f>
        <v>999</v>
      </c>
      <c r="K548" s="95">
        <f ca="1">'Planning Engine'!K548</f>
        <v>0</v>
      </c>
      <c r="L548" s="12" t="str">
        <f ca="1">'Planning Engine'!L548</f>
        <v>Overstock</v>
      </c>
      <c r="M548" s="93">
        <f>'Planning Engine'!S548</f>
        <v>46113</v>
      </c>
      <c r="N548" s="95">
        <f>'Planning Engine'!T548</f>
        <v>0</v>
      </c>
      <c r="O548" s="94" t="s">
        <v>1580</v>
      </c>
      <c r="P548" s="12" t="str">
        <f t="shared" ca="1" si="17"/>
        <v>Defer / consume inventory</v>
      </c>
    </row>
    <row r="549" spans="1:16" ht="13" customHeight="1" x14ac:dyDescent="0.35">
      <c r="A549" s="97">
        <v>46296</v>
      </c>
      <c r="B549" s="53" t="s">
        <v>43</v>
      </c>
      <c r="C549" s="12" t="str">
        <f>'Planning Engine'!C549</f>
        <v>Drug Product</v>
      </c>
      <c r="D549" s="12" t="str">
        <f>'Planning Engine'!D549</f>
        <v>units</v>
      </c>
      <c r="E549" s="95">
        <f>'Planning Engine'!E549</f>
        <v>158107</v>
      </c>
      <c r="F549" s="95">
        <f>'Planning Engine'!F549</f>
        <v>0</v>
      </c>
      <c r="G549" s="95">
        <f>'Planning Engine'!G549</f>
        <v>0</v>
      </c>
      <c r="H549" s="99">
        <f t="shared" si="16"/>
        <v>0</v>
      </c>
      <c r="I549" s="95">
        <f>'Planning Engine'!H549</f>
        <v>158107</v>
      </c>
      <c r="J549" s="96">
        <f ca="1">'Planning Engine'!J549</f>
        <v>999</v>
      </c>
      <c r="K549" s="95">
        <f ca="1">'Planning Engine'!K549</f>
        <v>0</v>
      </c>
      <c r="L549" s="12" t="str">
        <f ca="1">'Planning Engine'!L549</f>
        <v>Overstock</v>
      </c>
      <c r="M549" s="93">
        <f>'Planning Engine'!S549</f>
        <v>46143</v>
      </c>
      <c r="N549" s="95">
        <f>'Planning Engine'!T549</f>
        <v>0</v>
      </c>
      <c r="O549" s="98" t="s">
        <v>1581</v>
      </c>
      <c r="P549" s="4" t="str">
        <f t="shared" ca="1" si="17"/>
        <v>Defer / consume inventory</v>
      </c>
    </row>
    <row r="550" spans="1:16" ht="13" customHeight="1" x14ac:dyDescent="0.35">
      <c r="A550" s="93">
        <v>46327</v>
      </c>
      <c r="B550" s="61" t="s">
        <v>43</v>
      </c>
      <c r="C550" s="12" t="str">
        <f>'Planning Engine'!C550</f>
        <v>Drug Product</v>
      </c>
      <c r="D550" s="12" t="str">
        <f>'Planning Engine'!D550</f>
        <v>units</v>
      </c>
      <c r="E550" s="95">
        <f>'Planning Engine'!E550</f>
        <v>158107</v>
      </c>
      <c r="F550" s="95">
        <f>'Planning Engine'!F550</f>
        <v>0</v>
      </c>
      <c r="G550" s="95">
        <f>'Planning Engine'!G550</f>
        <v>0</v>
      </c>
      <c r="H550" s="95">
        <f t="shared" si="16"/>
        <v>0</v>
      </c>
      <c r="I550" s="95">
        <f>'Planning Engine'!H550</f>
        <v>158107</v>
      </c>
      <c r="J550" s="96">
        <f ca="1">'Planning Engine'!J550</f>
        <v>999</v>
      </c>
      <c r="K550" s="95">
        <f ca="1">'Planning Engine'!K550</f>
        <v>0</v>
      </c>
      <c r="L550" s="12" t="str">
        <f ca="1">'Planning Engine'!L550</f>
        <v>Overstock</v>
      </c>
      <c r="M550" s="93">
        <f>'Planning Engine'!S550</f>
        <v>46174</v>
      </c>
      <c r="N550" s="95">
        <f>'Planning Engine'!T550</f>
        <v>0</v>
      </c>
      <c r="O550" s="94" t="s">
        <v>1582</v>
      </c>
      <c r="P550" s="12" t="str">
        <f t="shared" ca="1" si="17"/>
        <v>Defer / consume inventory</v>
      </c>
    </row>
    <row r="551" spans="1:16" ht="13" customHeight="1" x14ac:dyDescent="0.35">
      <c r="A551" s="97">
        <v>46357</v>
      </c>
      <c r="B551" s="53" t="s">
        <v>43</v>
      </c>
      <c r="C551" s="12" t="str">
        <f>'Planning Engine'!C551</f>
        <v>Drug Product</v>
      </c>
      <c r="D551" s="12" t="str">
        <f>'Planning Engine'!D551</f>
        <v>units</v>
      </c>
      <c r="E551" s="95">
        <f>'Planning Engine'!E551</f>
        <v>158107</v>
      </c>
      <c r="F551" s="95">
        <f>'Planning Engine'!F551</f>
        <v>0</v>
      </c>
      <c r="G551" s="95">
        <f>'Planning Engine'!G551</f>
        <v>0</v>
      </c>
      <c r="H551" s="99">
        <f t="shared" si="16"/>
        <v>0</v>
      </c>
      <c r="I551" s="95">
        <f>'Planning Engine'!H551</f>
        <v>158107</v>
      </c>
      <c r="J551" s="96">
        <f ca="1">'Planning Engine'!J551</f>
        <v>999</v>
      </c>
      <c r="K551" s="95">
        <f ca="1">'Planning Engine'!K551</f>
        <v>0</v>
      </c>
      <c r="L551" s="12" t="str">
        <f ca="1">'Planning Engine'!L551</f>
        <v>Overstock</v>
      </c>
      <c r="M551" s="93">
        <f>'Planning Engine'!S551</f>
        <v>46204</v>
      </c>
      <c r="N551" s="95">
        <f>'Planning Engine'!T551</f>
        <v>0</v>
      </c>
      <c r="O551" s="98" t="s">
        <v>1583</v>
      </c>
      <c r="P551" s="4" t="str">
        <f t="shared" ca="1" si="17"/>
        <v>Defer / consume inventory</v>
      </c>
    </row>
    <row r="552" spans="1:16" ht="13" customHeight="1" x14ac:dyDescent="0.35">
      <c r="A552" s="93">
        <v>46388</v>
      </c>
      <c r="B552" s="61" t="s">
        <v>43</v>
      </c>
      <c r="C552" s="12" t="str">
        <f>'Planning Engine'!C552</f>
        <v>Drug Product</v>
      </c>
      <c r="D552" s="12" t="str">
        <f>'Planning Engine'!D552</f>
        <v>units</v>
      </c>
      <c r="E552" s="95">
        <f>'Planning Engine'!E552</f>
        <v>158107</v>
      </c>
      <c r="F552" s="95">
        <f>'Planning Engine'!F552</f>
        <v>0</v>
      </c>
      <c r="G552" s="95">
        <f>'Planning Engine'!G552</f>
        <v>0</v>
      </c>
      <c r="H552" s="95">
        <f t="shared" si="16"/>
        <v>0</v>
      </c>
      <c r="I552" s="95">
        <f>'Planning Engine'!H552</f>
        <v>158107</v>
      </c>
      <c r="J552" s="96">
        <f ca="1">'Planning Engine'!J552</f>
        <v>999</v>
      </c>
      <c r="K552" s="95">
        <f ca="1">'Planning Engine'!K552</f>
        <v>0</v>
      </c>
      <c r="L552" s="12" t="str">
        <f ca="1">'Planning Engine'!L552</f>
        <v>Overstock</v>
      </c>
      <c r="M552" s="93">
        <f>'Planning Engine'!S552</f>
        <v>46235</v>
      </c>
      <c r="N552" s="95">
        <f>'Planning Engine'!T552</f>
        <v>0</v>
      </c>
      <c r="O552" s="94" t="s">
        <v>1584</v>
      </c>
      <c r="P552" s="12" t="str">
        <f t="shared" ca="1" si="17"/>
        <v>Defer / consume inventory</v>
      </c>
    </row>
    <row r="553" spans="1:16" ht="13" customHeight="1" x14ac:dyDescent="0.35">
      <c r="A553" s="97">
        <v>46419</v>
      </c>
      <c r="B553" s="53" t="s">
        <v>43</v>
      </c>
      <c r="C553" s="12" t="str">
        <f>'Planning Engine'!C553</f>
        <v>Drug Product</v>
      </c>
      <c r="D553" s="12" t="str">
        <f>'Planning Engine'!D553</f>
        <v>units</v>
      </c>
      <c r="E553" s="95">
        <f>'Planning Engine'!E553</f>
        <v>158107</v>
      </c>
      <c r="F553" s="95">
        <f>'Planning Engine'!F553</f>
        <v>0</v>
      </c>
      <c r="G553" s="95">
        <f>'Planning Engine'!G553</f>
        <v>0</v>
      </c>
      <c r="H553" s="99">
        <f t="shared" si="16"/>
        <v>0</v>
      </c>
      <c r="I553" s="95">
        <f>'Planning Engine'!H553</f>
        <v>158107</v>
      </c>
      <c r="J553" s="96">
        <f ca="1">'Planning Engine'!J553</f>
        <v>999</v>
      </c>
      <c r="K553" s="95">
        <f ca="1">'Planning Engine'!K553</f>
        <v>0</v>
      </c>
      <c r="L553" s="12" t="str">
        <f ca="1">'Planning Engine'!L553</f>
        <v>Overstock</v>
      </c>
      <c r="M553" s="93">
        <f>'Planning Engine'!S553</f>
        <v>46266</v>
      </c>
      <c r="N553" s="95">
        <f>'Planning Engine'!T553</f>
        <v>0</v>
      </c>
      <c r="O553" s="98" t="s">
        <v>1585</v>
      </c>
      <c r="P553" s="4" t="str">
        <f t="shared" ca="1" si="17"/>
        <v>Defer / consume inventory</v>
      </c>
    </row>
    <row r="554" spans="1:16" ht="13" customHeight="1" x14ac:dyDescent="0.35">
      <c r="A554" s="93">
        <v>46447</v>
      </c>
      <c r="B554" s="61" t="s">
        <v>43</v>
      </c>
      <c r="C554" s="12" t="str">
        <f>'Planning Engine'!C554</f>
        <v>Drug Product</v>
      </c>
      <c r="D554" s="12" t="str">
        <f>'Planning Engine'!D554</f>
        <v>units</v>
      </c>
      <c r="E554" s="95">
        <f>'Planning Engine'!E554</f>
        <v>158107</v>
      </c>
      <c r="F554" s="95">
        <f>'Planning Engine'!F554</f>
        <v>0</v>
      </c>
      <c r="G554" s="95">
        <f>'Planning Engine'!G554</f>
        <v>0</v>
      </c>
      <c r="H554" s="95">
        <f t="shared" si="16"/>
        <v>0</v>
      </c>
      <c r="I554" s="95">
        <f>'Planning Engine'!H554</f>
        <v>158107</v>
      </c>
      <c r="J554" s="96">
        <f ca="1">'Planning Engine'!J554</f>
        <v>999</v>
      </c>
      <c r="K554" s="95">
        <f ca="1">'Planning Engine'!K554</f>
        <v>0</v>
      </c>
      <c r="L554" s="12" t="str">
        <f ca="1">'Planning Engine'!L554</f>
        <v>Overstock</v>
      </c>
      <c r="M554" s="93">
        <f>'Planning Engine'!S554</f>
        <v>46296</v>
      </c>
      <c r="N554" s="95">
        <f>'Planning Engine'!T554</f>
        <v>0</v>
      </c>
      <c r="O554" s="94" t="s">
        <v>1586</v>
      </c>
      <c r="P554" s="12" t="str">
        <f t="shared" ca="1" si="17"/>
        <v>Defer / consume inventory</v>
      </c>
    </row>
    <row r="555" spans="1:16" ht="13" customHeight="1" x14ac:dyDescent="0.35">
      <c r="A555" s="97">
        <v>46478</v>
      </c>
      <c r="B555" s="53" t="s">
        <v>43</v>
      </c>
      <c r="C555" s="12" t="str">
        <f>'Planning Engine'!C555</f>
        <v>Drug Product</v>
      </c>
      <c r="D555" s="12" t="str">
        <f>'Planning Engine'!D555</f>
        <v>units</v>
      </c>
      <c r="E555" s="95">
        <f>'Planning Engine'!E555</f>
        <v>158107</v>
      </c>
      <c r="F555" s="95">
        <f>'Planning Engine'!F555</f>
        <v>0</v>
      </c>
      <c r="G555" s="95">
        <f>'Planning Engine'!G555</f>
        <v>0</v>
      </c>
      <c r="H555" s="99">
        <f t="shared" si="16"/>
        <v>0</v>
      </c>
      <c r="I555" s="95">
        <f>'Planning Engine'!H555</f>
        <v>158107</v>
      </c>
      <c r="J555" s="96">
        <f ca="1">'Planning Engine'!J555</f>
        <v>999</v>
      </c>
      <c r="K555" s="95">
        <f ca="1">'Planning Engine'!K555</f>
        <v>0</v>
      </c>
      <c r="L555" s="12" t="str">
        <f ca="1">'Planning Engine'!L555</f>
        <v>Overstock</v>
      </c>
      <c r="M555" s="93">
        <f>'Planning Engine'!S555</f>
        <v>46327</v>
      </c>
      <c r="N555" s="95">
        <f>'Planning Engine'!T555</f>
        <v>0</v>
      </c>
      <c r="O555" s="98" t="s">
        <v>1587</v>
      </c>
      <c r="P555" s="4" t="str">
        <f t="shared" ca="1" si="17"/>
        <v>Defer / consume inventory</v>
      </c>
    </row>
    <row r="556" spans="1:16" ht="13" customHeight="1" x14ac:dyDescent="0.35">
      <c r="A556" s="93">
        <v>46508</v>
      </c>
      <c r="B556" s="61" t="s">
        <v>43</v>
      </c>
      <c r="C556" s="12" t="str">
        <f>'Planning Engine'!C556</f>
        <v>Drug Product</v>
      </c>
      <c r="D556" s="12" t="str">
        <f>'Planning Engine'!D556</f>
        <v>units</v>
      </c>
      <c r="E556" s="95">
        <f>'Planning Engine'!E556</f>
        <v>158107</v>
      </c>
      <c r="F556" s="95">
        <f>'Planning Engine'!F556</f>
        <v>0</v>
      </c>
      <c r="G556" s="95">
        <f>'Planning Engine'!G556</f>
        <v>0</v>
      </c>
      <c r="H556" s="95">
        <f t="shared" si="16"/>
        <v>0</v>
      </c>
      <c r="I556" s="95">
        <f>'Planning Engine'!H556</f>
        <v>158107</v>
      </c>
      <c r="J556" s="96">
        <f ca="1">'Planning Engine'!J556</f>
        <v>999</v>
      </c>
      <c r="K556" s="95">
        <f ca="1">'Planning Engine'!K556</f>
        <v>0</v>
      </c>
      <c r="L556" s="12" t="str">
        <f ca="1">'Planning Engine'!L556</f>
        <v>Overstock</v>
      </c>
      <c r="M556" s="93">
        <f>'Planning Engine'!S556</f>
        <v>46357</v>
      </c>
      <c r="N556" s="95">
        <f>'Planning Engine'!T556</f>
        <v>0</v>
      </c>
      <c r="O556" s="94" t="s">
        <v>1588</v>
      </c>
      <c r="P556" s="12" t="str">
        <f t="shared" ca="1" si="17"/>
        <v>Defer / consume inventory</v>
      </c>
    </row>
    <row r="557" spans="1:16" ht="13" customHeight="1" x14ac:dyDescent="0.35">
      <c r="A557" s="97">
        <v>46539</v>
      </c>
      <c r="B557" s="53" t="s">
        <v>43</v>
      </c>
      <c r="C557" s="12" t="str">
        <f>'Planning Engine'!C557</f>
        <v>Drug Product</v>
      </c>
      <c r="D557" s="12" t="str">
        <f>'Planning Engine'!D557</f>
        <v>units</v>
      </c>
      <c r="E557" s="95">
        <f>'Planning Engine'!E557</f>
        <v>158107</v>
      </c>
      <c r="F557" s="95">
        <f>'Planning Engine'!F557</f>
        <v>0</v>
      </c>
      <c r="G557" s="95">
        <f>'Planning Engine'!G557</f>
        <v>0</v>
      </c>
      <c r="H557" s="99">
        <f t="shared" si="16"/>
        <v>0</v>
      </c>
      <c r="I557" s="95">
        <f>'Planning Engine'!H557</f>
        <v>158107</v>
      </c>
      <c r="J557" s="96">
        <f ca="1">'Planning Engine'!J557</f>
        <v>999</v>
      </c>
      <c r="K557" s="95">
        <f ca="1">'Planning Engine'!K557</f>
        <v>0</v>
      </c>
      <c r="L557" s="12" t="str">
        <f ca="1">'Planning Engine'!L557</f>
        <v>Overstock</v>
      </c>
      <c r="M557" s="93">
        <f>'Planning Engine'!S557</f>
        <v>46388</v>
      </c>
      <c r="N557" s="95">
        <f>'Planning Engine'!T557</f>
        <v>0</v>
      </c>
      <c r="O557" s="98" t="s">
        <v>1589</v>
      </c>
      <c r="P557" s="4" t="str">
        <f t="shared" ca="1" si="17"/>
        <v>Defer / consume inventory</v>
      </c>
    </row>
    <row r="558" spans="1:16" ht="13" customHeight="1" x14ac:dyDescent="0.35">
      <c r="A558" s="93">
        <v>46569</v>
      </c>
      <c r="B558" s="61" t="s">
        <v>43</v>
      </c>
      <c r="C558" s="12" t="str">
        <f>'Planning Engine'!C558</f>
        <v>Drug Product</v>
      </c>
      <c r="D558" s="12" t="str">
        <f>'Planning Engine'!D558</f>
        <v>units</v>
      </c>
      <c r="E558" s="95">
        <f>'Planning Engine'!E558</f>
        <v>158107</v>
      </c>
      <c r="F558" s="95">
        <f>'Planning Engine'!F558</f>
        <v>0</v>
      </c>
      <c r="G558" s="95">
        <f>'Planning Engine'!G558</f>
        <v>0</v>
      </c>
      <c r="H558" s="95">
        <f t="shared" si="16"/>
        <v>0</v>
      </c>
      <c r="I558" s="95">
        <f>'Planning Engine'!H558</f>
        <v>158107</v>
      </c>
      <c r="J558" s="96">
        <f ca="1">'Planning Engine'!J558</f>
        <v>999</v>
      </c>
      <c r="K558" s="95">
        <f ca="1">'Planning Engine'!K558</f>
        <v>0</v>
      </c>
      <c r="L558" s="12" t="str">
        <f ca="1">'Planning Engine'!L558</f>
        <v>Overstock</v>
      </c>
      <c r="M558" s="93">
        <f>'Planning Engine'!S558</f>
        <v>46419</v>
      </c>
      <c r="N558" s="95">
        <f>'Planning Engine'!T558</f>
        <v>0</v>
      </c>
      <c r="O558" s="94" t="s">
        <v>1590</v>
      </c>
      <c r="P558" s="12" t="str">
        <f t="shared" ca="1" si="17"/>
        <v>Defer / consume inventory</v>
      </c>
    </row>
    <row r="559" spans="1:16" ht="13" customHeight="1" x14ac:dyDescent="0.35">
      <c r="A559" s="97">
        <v>46600</v>
      </c>
      <c r="B559" s="53" t="s">
        <v>43</v>
      </c>
      <c r="C559" s="12" t="str">
        <f>'Planning Engine'!C559</f>
        <v>Drug Product</v>
      </c>
      <c r="D559" s="12" t="str">
        <f>'Planning Engine'!D559</f>
        <v>units</v>
      </c>
      <c r="E559" s="95">
        <f>'Planning Engine'!E559</f>
        <v>158107</v>
      </c>
      <c r="F559" s="95">
        <f>'Planning Engine'!F559</f>
        <v>0</v>
      </c>
      <c r="G559" s="95">
        <f>'Planning Engine'!G559</f>
        <v>0</v>
      </c>
      <c r="H559" s="99">
        <f t="shared" si="16"/>
        <v>0</v>
      </c>
      <c r="I559" s="95">
        <f>'Planning Engine'!H559</f>
        <v>158107</v>
      </c>
      <c r="J559" s="96">
        <f ca="1">'Planning Engine'!J559</f>
        <v>999</v>
      </c>
      <c r="K559" s="95">
        <f ca="1">'Planning Engine'!K559</f>
        <v>0</v>
      </c>
      <c r="L559" s="12" t="str">
        <f ca="1">'Planning Engine'!L559</f>
        <v>Overstock</v>
      </c>
      <c r="M559" s="93">
        <f>'Planning Engine'!S559</f>
        <v>46447</v>
      </c>
      <c r="N559" s="95">
        <f>'Planning Engine'!T559</f>
        <v>0</v>
      </c>
      <c r="O559" s="98" t="s">
        <v>1591</v>
      </c>
      <c r="P559" s="4" t="str">
        <f t="shared" ca="1" si="17"/>
        <v>Defer / consume inventory</v>
      </c>
    </row>
    <row r="560" spans="1:16" ht="13" customHeight="1" x14ac:dyDescent="0.35">
      <c r="A560" s="93">
        <v>46631</v>
      </c>
      <c r="B560" s="61" t="s">
        <v>43</v>
      </c>
      <c r="C560" s="12" t="str">
        <f>'Planning Engine'!C560</f>
        <v>Drug Product</v>
      </c>
      <c r="D560" s="12" t="str">
        <f>'Planning Engine'!D560</f>
        <v>units</v>
      </c>
      <c r="E560" s="95">
        <f>'Planning Engine'!E560</f>
        <v>158107</v>
      </c>
      <c r="F560" s="95">
        <f>'Planning Engine'!F560</f>
        <v>0</v>
      </c>
      <c r="G560" s="95">
        <f>'Planning Engine'!G560</f>
        <v>0</v>
      </c>
      <c r="H560" s="95">
        <f t="shared" si="16"/>
        <v>0</v>
      </c>
      <c r="I560" s="95">
        <f>'Planning Engine'!H560</f>
        <v>158107</v>
      </c>
      <c r="J560" s="96">
        <f ca="1">'Planning Engine'!J560</f>
        <v>999</v>
      </c>
      <c r="K560" s="95">
        <f ca="1">'Planning Engine'!K560</f>
        <v>0</v>
      </c>
      <c r="L560" s="12" t="str">
        <f ca="1">'Planning Engine'!L560</f>
        <v>Overstock</v>
      </c>
      <c r="M560" s="93">
        <f>'Planning Engine'!S560</f>
        <v>46478</v>
      </c>
      <c r="N560" s="95">
        <f>'Planning Engine'!T560</f>
        <v>0</v>
      </c>
      <c r="O560" s="94" t="s">
        <v>1592</v>
      </c>
      <c r="P560" s="12" t="str">
        <f t="shared" ca="1" si="17"/>
        <v>Defer / consume inventory</v>
      </c>
    </row>
    <row r="561" spans="1:16" ht="13" customHeight="1" x14ac:dyDescent="0.35">
      <c r="A561" s="97">
        <v>46661</v>
      </c>
      <c r="B561" s="53" t="s">
        <v>43</v>
      </c>
      <c r="C561" s="12" t="str">
        <f>'Planning Engine'!C561</f>
        <v>Drug Product</v>
      </c>
      <c r="D561" s="12" t="str">
        <f>'Planning Engine'!D561</f>
        <v>units</v>
      </c>
      <c r="E561" s="95">
        <f>'Planning Engine'!E561</f>
        <v>158107</v>
      </c>
      <c r="F561" s="95">
        <f>'Planning Engine'!F561</f>
        <v>0</v>
      </c>
      <c r="G561" s="95">
        <f>'Planning Engine'!G561</f>
        <v>0</v>
      </c>
      <c r="H561" s="99">
        <f t="shared" si="16"/>
        <v>0</v>
      </c>
      <c r="I561" s="95">
        <f>'Planning Engine'!H561</f>
        <v>158107</v>
      </c>
      <c r="J561" s="96">
        <f ca="1">'Planning Engine'!J561</f>
        <v>999</v>
      </c>
      <c r="K561" s="95">
        <f ca="1">'Planning Engine'!K561</f>
        <v>0</v>
      </c>
      <c r="L561" s="12" t="str">
        <f ca="1">'Planning Engine'!L561</f>
        <v>Overstock</v>
      </c>
      <c r="M561" s="93">
        <f>'Planning Engine'!S561</f>
        <v>46508</v>
      </c>
      <c r="N561" s="95">
        <f>'Planning Engine'!T561</f>
        <v>0</v>
      </c>
      <c r="O561" s="98" t="s">
        <v>1593</v>
      </c>
      <c r="P561" s="4" t="str">
        <f t="shared" ca="1" si="17"/>
        <v>Defer / consume inventory</v>
      </c>
    </row>
    <row r="562" spans="1:16" ht="13" customHeight="1" x14ac:dyDescent="0.35">
      <c r="A562" s="93">
        <v>46692</v>
      </c>
      <c r="B562" s="61" t="s">
        <v>43</v>
      </c>
      <c r="C562" s="12" t="str">
        <f>'Planning Engine'!C562</f>
        <v>Drug Product</v>
      </c>
      <c r="D562" s="12" t="str">
        <f>'Planning Engine'!D562</f>
        <v>units</v>
      </c>
      <c r="E562" s="95">
        <f>'Planning Engine'!E562</f>
        <v>158107</v>
      </c>
      <c r="F562" s="95">
        <f>'Planning Engine'!F562</f>
        <v>0</v>
      </c>
      <c r="G562" s="95">
        <f>'Planning Engine'!G562</f>
        <v>0</v>
      </c>
      <c r="H562" s="95">
        <f t="shared" si="16"/>
        <v>0</v>
      </c>
      <c r="I562" s="95">
        <f>'Planning Engine'!H562</f>
        <v>158107</v>
      </c>
      <c r="J562" s="96">
        <f ca="1">'Planning Engine'!J562</f>
        <v>999</v>
      </c>
      <c r="K562" s="95">
        <f ca="1">'Planning Engine'!K562</f>
        <v>0</v>
      </c>
      <c r="L562" s="12" t="str">
        <f ca="1">'Planning Engine'!L562</f>
        <v>Overstock</v>
      </c>
      <c r="M562" s="93">
        <f>'Planning Engine'!S562</f>
        <v>46539</v>
      </c>
      <c r="N562" s="95">
        <f>'Planning Engine'!T562</f>
        <v>0</v>
      </c>
      <c r="O562" s="94" t="s">
        <v>1594</v>
      </c>
      <c r="P562" s="12" t="str">
        <f t="shared" ca="1" si="17"/>
        <v>Defer / consume inventory</v>
      </c>
    </row>
    <row r="563" spans="1:16" ht="13" customHeight="1" x14ac:dyDescent="0.35">
      <c r="A563" s="97">
        <v>46722</v>
      </c>
      <c r="B563" s="53" t="s">
        <v>43</v>
      </c>
      <c r="C563" s="12" t="str">
        <f>'Planning Engine'!C563</f>
        <v>Drug Product</v>
      </c>
      <c r="D563" s="12" t="str">
        <f>'Planning Engine'!D563</f>
        <v>units</v>
      </c>
      <c r="E563" s="95">
        <f>'Planning Engine'!E563</f>
        <v>158107</v>
      </c>
      <c r="F563" s="95">
        <f>'Planning Engine'!F563</f>
        <v>0</v>
      </c>
      <c r="G563" s="95">
        <f>'Planning Engine'!G563</f>
        <v>0</v>
      </c>
      <c r="H563" s="99">
        <f t="shared" si="16"/>
        <v>0</v>
      </c>
      <c r="I563" s="95">
        <f>'Planning Engine'!H563</f>
        <v>158107</v>
      </c>
      <c r="J563" s="96">
        <f ca="1">'Planning Engine'!J563</f>
        <v>999</v>
      </c>
      <c r="K563" s="95">
        <f ca="1">'Planning Engine'!K563</f>
        <v>0</v>
      </c>
      <c r="L563" s="12" t="str">
        <f ca="1">'Planning Engine'!L563</f>
        <v>Overstock</v>
      </c>
      <c r="M563" s="93">
        <f>'Planning Engine'!S563</f>
        <v>46569</v>
      </c>
      <c r="N563" s="95">
        <f>'Planning Engine'!T563</f>
        <v>0</v>
      </c>
      <c r="O563" s="98" t="s">
        <v>1595</v>
      </c>
      <c r="P563" s="4" t="str">
        <f t="shared" ca="1" si="17"/>
        <v>Defer / consume inventory</v>
      </c>
    </row>
    <row r="564" spans="1:16" ht="13" customHeight="1" x14ac:dyDescent="0.35">
      <c r="A564" s="93">
        <v>46753</v>
      </c>
      <c r="B564" s="61" t="s">
        <v>43</v>
      </c>
      <c r="C564" s="12" t="str">
        <f>'Planning Engine'!C564</f>
        <v>Drug Product</v>
      </c>
      <c r="D564" s="12" t="str">
        <f>'Planning Engine'!D564</f>
        <v>units</v>
      </c>
      <c r="E564" s="95">
        <f>'Planning Engine'!E564</f>
        <v>158107</v>
      </c>
      <c r="F564" s="95">
        <f>'Planning Engine'!F564</f>
        <v>0</v>
      </c>
      <c r="G564" s="95">
        <f>'Planning Engine'!G564</f>
        <v>0</v>
      </c>
      <c r="H564" s="95">
        <f t="shared" si="16"/>
        <v>0</v>
      </c>
      <c r="I564" s="95">
        <f>'Planning Engine'!H564</f>
        <v>158107</v>
      </c>
      <c r="J564" s="96">
        <f ca="1">'Planning Engine'!J564</f>
        <v>999</v>
      </c>
      <c r="K564" s="95">
        <f ca="1">'Planning Engine'!K564</f>
        <v>0</v>
      </c>
      <c r="L564" s="12" t="str">
        <f ca="1">'Planning Engine'!L564</f>
        <v>Overstock</v>
      </c>
      <c r="M564" s="93">
        <f>'Planning Engine'!S564</f>
        <v>46600</v>
      </c>
      <c r="N564" s="95">
        <f>'Planning Engine'!T564</f>
        <v>0</v>
      </c>
      <c r="O564" s="94" t="s">
        <v>1596</v>
      </c>
      <c r="P564" s="12" t="str">
        <f t="shared" ca="1" si="17"/>
        <v>Defer / consume inventory</v>
      </c>
    </row>
    <row r="565" spans="1:16" ht="13" customHeight="1" x14ac:dyDescent="0.35">
      <c r="A565" s="97">
        <v>46784</v>
      </c>
      <c r="B565" s="53" t="s">
        <v>43</v>
      </c>
      <c r="C565" s="12" t="str">
        <f>'Planning Engine'!C565</f>
        <v>Drug Product</v>
      </c>
      <c r="D565" s="12" t="str">
        <f>'Planning Engine'!D565</f>
        <v>units</v>
      </c>
      <c r="E565" s="95">
        <f>'Planning Engine'!E565</f>
        <v>158107</v>
      </c>
      <c r="F565" s="95">
        <f>'Planning Engine'!F565</f>
        <v>0</v>
      </c>
      <c r="G565" s="95">
        <f>'Planning Engine'!G565</f>
        <v>0</v>
      </c>
      <c r="H565" s="99">
        <f t="shared" si="16"/>
        <v>0</v>
      </c>
      <c r="I565" s="95">
        <f>'Planning Engine'!H565</f>
        <v>158107</v>
      </c>
      <c r="J565" s="96">
        <f ca="1">'Planning Engine'!J565</f>
        <v>999</v>
      </c>
      <c r="K565" s="95">
        <f ca="1">'Planning Engine'!K565</f>
        <v>0</v>
      </c>
      <c r="L565" s="12" t="str">
        <f ca="1">'Planning Engine'!L565</f>
        <v>Overstock</v>
      </c>
      <c r="M565" s="93">
        <f>'Planning Engine'!S565</f>
        <v>46631</v>
      </c>
      <c r="N565" s="95">
        <f>'Planning Engine'!T565</f>
        <v>0</v>
      </c>
      <c r="O565" s="98" t="s">
        <v>1597</v>
      </c>
      <c r="P565" s="4" t="str">
        <f t="shared" ca="1" si="17"/>
        <v>Defer / consume inventory</v>
      </c>
    </row>
    <row r="566" spans="1:16" ht="13" customHeight="1" x14ac:dyDescent="0.35">
      <c r="A566" s="93">
        <v>46813</v>
      </c>
      <c r="B566" s="61" t="s">
        <v>43</v>
      </c>
      <c r="C566" s="12" t="str">
        <f>'Planning Engine'!C566</f>
        <v>Drug Product</v>
      </c>
      <c r="D566" s="12" t="str">
        <f>'Planning Engine'!D566</f>
        <v>units</v>
      </c>
      <c r="E566" s="95">
        <f>'Planning Engine'!E566</f>
        <v>158107</v>
      </c>
      <c r="F566" s="95">
        <f>'Planning Engine'!F566</f>
        <v>0</v>
      </c>
      <c r="G566" s="95">
        <f>'Planning Engine'!G566</f>
        <v>0</v>
      </c>
      <c r="H566" s="95">
        <f t="shared" si="16"/>
        <v>0</v>
      </c>
      <c r="I566" s="95">
        <f>'Planning Engine'!H566</f>
        <v>158107</v>
      </c>
      <c r="J566" s="96">
        <f ca="1">'Planning Engine'!J566</f>
        <v>999</v>
      </c>
      <c r="K566" s="95">
        <f ca="1">'Planning Engine'!K566</f>
        <v>0</v>
      </c>
      <c r="L566" s="12" t="str">
        <f ca="1">'Planning Engine'!L566</f>
        <v>Overstock</v>
      </c>
      <c r="M566" s="93">
        <f>'Planning Engine'!S566</f>
        <v>46661</v>
      </c>
      <c r="N566" s="95">
        <f>'Planning Engine'!T566</f>
        <v>0</v>
      </c>
      <c r="O566" s="94" t="s">
        <v>1598</v>
      </c>
      <c r="P566" s="12" t="str">
        <f t="shared" ca="1" si="17"/>
        <v>Defer / consume inventory</v>
      </c>
    </row>
    <row r="567" spans="1:16" ht="13" customHeight="1" x14ac:dyDescent="0.35">
      <c r="A567" s="97">
        <v>46844</v>
      </c>
      <c r="B567" s="53" t="s">
        <v>43</v>
      </c>
      <c r="C567" s="12" t="str">
        <f>'Planning Engine'!C567</f>
        <v>Drug Product</v>
      </c>
      <c r="D567" s="12" t="str">
        <f>'Planning Engine'!D567</f>
        <v>units</v>
      </c>
      <c r="E567" s="95">
        <f>'Planning Engine'!E567</f>
        <v>158107</v>
      </c>
      <c r="F567" s="95">
        <f>'Planning Engine'!F567</f>
        <v>0</v>
      </c>
      <c r="G567" s="95">
        <f>'Planning Engine'!G567</f>
        <v>0</v>
      </c>
      <c r="H567" s="99">
        <f t="shared" si="16"/>
        <v>0</v>
      </c>
      <c r="I567" s="95">
        <f>'Planning Engine'!H567</f>
        <v>158107</v>
      </c>
      <c r="J567" s="96">
        <f ca="1">'Planning Engine'!J567</f>
        <v>999</v>
      </c>
      <c r="K567" s="95">
        <f ca="1">'Planning Engine'!K567</f>
        <v>0</v>
      </c>
      <c r="L567" s="12" t="str">
        <f ca="1">'Planning Engine'!L567</f>
        <v>Overstock</v>
      </c>
      <c r="M567" s="93">
        <f>'Planning Engine'!S567</f>
        <v>46692</v>
      </c>
      <c r="N567" s="95">
        <f>'Planning Engine'!T567</f>
        <v>0</v>
      </c>
      <c r="O567" s="98" t="s">
        <v>1599</v>
      </c>
      <c r="P567" s="4" t="str">
        <f t="shared" ca="1" si="17"/>
        <v>Defer / consume inventory</v>
      </c>
    </row>
    <row r="568" spans="1:16" ht="13" customHeight="1" x14ac:dyDescent="0.35">
      <c r="A568" s="93">
        <v>46874</v>
      </c>
      <c r="B568" s="61" t="s">
        <v>43</v>
      </c>
      <c r="C568" s="12" t="str">
        <f>'Planning Engine'!C568</f>
        <v>Drug Product</v>
      </c>
      <c r="D568" s="12" t="str">
        <f>'Planning Engine'!D568</f>
        <v>units</v>
      </c>
      <c r="E568" s="95">
        <f>'Planning Engine'!E568</f>
        <v>158107</v>
      </c>
      <c r="F568" s="95">
        <f>'Planning Engine'!F568</f>
        <v>0</v>
      </c>
      <c r="G568" s="95">
        <f>'Planning Engine'!G568</f>
        <v>0</v>
      </c>
      <c r="H568" s="95">
        <f t="shared" si="16"/>
        <v>0</v>
      </c>
      <c r="I568" s="95">
        <f>'Planning Engine'!H568</f>
        <v>158107</v>
      </c>
      <c r="J568" s="96">
        <f ca="1">'Planning Engine'!J568</f>
        <v>999</v>
      </c>
      <c r="K568" s="95">
        <f ca="1">'Planning Engine'!K568</f>
        <v>0</v>
      </c>
      <c r="L568" s="12" t="str">
        <f ca="1">'Planning Engine'!L568</f>
        <v>Overstock</v>
      </c>
      <c r="M568" s="93">
        <f>'Planning Engine'!S568</f>
        <v>46722</v>
      </c>
      <c r="N568" s="95">
        <f>'Planning Engine'!T568</f>
        <v>0</v>
      </c>
      <c r="O568" s="94" t="s">
        <v>1600</v>
      </c>
      <c r="P568" s="12" t="str">
        <f t="shared" ca="1" si="17"/>
        <v>Defer / consume inventory</v>
      </c>
    </row>
    <row r="569" spans="1:16" ht="13" customHeight="1" x14ac:dyDescent="0.35">
      <c r="A569" s="97">
        <v>46905</v>
      </c>
      <c r="B569" s="53" t="s">
        <v>43</v>
      </c>
      <c r="C569" s="12" t="str">
        <f>'Planning Engine'!C569</f>
        <v>Drug Product</v>
      </c>
      <c r="D569" s="12" t="str">
        <f>'Planning Engine'!D569</f>
        <v>units</v>
      </c>
      <c r="E569" s="95">
        <f>'Planning Engine'!E569</f>
        <v>158107</v>
      </c>
      <c r="F569" s="95">
        <f>'Planning Engine'!F569</f>
        <v>0</v>
      </c>
      <c r="G569" s="95">
        <f>'Planning Engine'!G569</f>
        <v>0</v>
      </c>
      <c r="H569" s="99">
        <f t="shared" si="16"/>
        <v>0</v>
      </c>
      <c r="I569" s="95">
        <f>'Planning Engine'!H569</f>
        <v>158107</v>
      </c>
      <c r="J569" s="96">
        <f ca="1">'Planning Engine'!J569</f>
        <v>999</v>
      </c>
      <c r="K569" s="95">
        <f ca="1">'Planning Engine'!K569</f>
        <v>0</v>
      </c>
      <c r="L569" s="12" t="str">
        <f ca="1">'Planning Engine'!L569</f>
        <v>Overstock</v>
      </c>
      <c r="M569" s="93">
        <f>'Planning Engine'!S569</f>
        <v>46753</v>
      </c>
      <c r="N569" s="95">
        <f>'Planning Engine'!T569</f>
        <v>0</v>
      </c>
      <c r="O569" s="98" t="s">
        <v>1601</v>
      </c>
      <c r="P569" s="4" t="str">
        <f t="shared" ca="1" si="17"/>
        <v>Defer / consume inventory</v>
      </c>
    </row>
    <row r="570" spans="1:16" ht="13" customHeight="1" x14ac:dyDescent="0.35">
      <c r="A570" s="93">
        <v>46935</v>
      </c>
      <c r="B570" s="61" t="s">
        <v>43</v>
      </c>
      <c r="C570" s="12" t="str">
        <f>'Planning Engine'!C570</f>
        <v>Drug Product</v>
      </c>
      <c r="D570" s="12" t="str">
        <f>'Planning Engine'!D570</f>
        <v>units</v>
      </c>
      <c r="E570" s="95">
        <f>'Planning Engine'!E570</f>
        <v>158107</v>
      </c>
      <c r="F570" s="95">
        <f>'Planning Engine'!F570</f>
        <v>0</v>
      </c>
      <c r="G570" s="95">
        <f>'Planning Engine'!G570</f>
        <v>0</v>
      </c>
      <c r="H570" s="95">
        <f t="shared" si="16"/>
        <v>0</v>
      </c>
      <c r="I570" s="95">
        <f>'Planning Engine'!H570</f>
        <v>158107</v>
      </c>
      <c r="J570" s="96">
        <f ca="1">'Planning Engine'!J570</f>
        <v>999</v>
      </c>
      <c r="K570" s="95">
        <f ca="1">'Planning Engine'!K570</f>
        <v>0</v>
      </c>
      <c r="L570" s="12" t="str">
        <f ca="1">'Planning Engine'!L570</f>
        <v>Overstock</v>
      </c>
      <c r="M570" s="93">
        <f>'Planning Engine'!S570</f>
        <v>46784</v>
      </c>
      <c r="N570" s="95">
        <f>'Planning Engine'!T570</f>
        <v>0</v>
      </c>
      <c r="O570" s="94" t="s">
        <v>1602</v>
      </c>
      <c r="P570" s="12" t="str">
        <f t="shared" ca="1" si="17"/>
        <v>Defer / consume inventory</v>
      </c>
    </row>
    <row r="571" spans="1:16" ht="13" customHeight="1" x14ac:dyDescent="0.35">
      <c r="A571" s="97">
        <v>46966</v>
      </c>
      <c r="B571" s="53" t="s">
        <v>43</v>
      </c>
      <c r="C571" s="12" t="str">
        <f>'Planning Engine'!C571</f>
        <v>Drug Product</v>
      </c>
      <c r="D571" s="12" t="str">
        <f>'Planning Engine'!D571</f>
        <v>units</v>
      </c>
      <c r="E571" s="95">
        <f>'Planning Engine'!E571</f>
        <v>158107</v>
      </c>
      <c r="F571" s="95">
        <f>'Planning Engine'!F571</f>
        <v>0</v>
      </c>
      <c r="G571" s="95">
        <f>'Planning Engine'!G571</f>
        <v>109500</v>
      </c>
      <c r="H571" s="99">
        <f t="shared" si="16"/>
        <v>109500</v>
      </c>
      <c r="I571" s="95">
        <f>'Planning Engine'!H571</f>
        <v>267607</v>
      </c>
      <c r="J571" s="96">
        <f ca="1">'Planning Engine'!J571</f>
        <v>999</v>
      </c>
      <c r="K571" s="95">
        <f ca="1">'Planning Engine'!K571</f>
        <v>0</v>
      </c>
      <c r="L571" s="12" t="str">
        <f ca="1">'Planning Engine'!L571</f>
        <v>Overstock</v>
      </c>
      <c r="M571" s="93">
        <f>'Planning Engine'!S571</f>
        <v>46813</v>
      </c>
      <c r="N571" s="95">
        <f>'Planning Engine'!T571</f>
        <v>109500</v>
      </c>
      <c r="O571" s="98" t="s">
        <v>1603</v>
      </c>
      <c r="P571" s="4" t="str">
        <f t="shared" ca="1" si="17"/>
        <v>Defer / consume inventory</v>
      </c>
    </row>
    <row r="572" spans="1:16" ht="13" customHeight="1" x14ac:dyDescent="0.35">
      <c r="A572" s="93">
        <v>46997</v>
      </c>
      <c r="B572" s="61" t="s">
        <v>43</v>
      </c>
      <c r="C572" s="12" t="str">
        <f>'Planning Engine'!C572</f>
        <v>Drug Product</v>
      </c>
      <c r="D572" s="12" t="str">
        <f>'Planning Engine'!D572</f>
        <v>units</v>
      </c>
      <c r="E572" s="95">
        <f>'Planning Engine'!E572</f>
        <v>267607</v>
      </c>
      <c r="F572" s="95">
        <f>'Planning Engine'!F572</f>
        <v>0</v>
      </c>
      <c r="G572" s="95">
        <f>'Planning Engine'!G572</f>
        <v>0</v>
      </c>
      <c r="H572" s="95">
        <f t="shared" si="16"/>
        <v>0</v>
      </c>
      <c r="I572" s="95">
        <f>'Planning Engine'!H572</f>
        <v>267607</v>
      </c>
      <c r="J572" s="96">
        <f ca="1">'Planning Engine'!J572</f>
        <v>999</v>
      </c>
      <c r="K572" s="95">
        <f ca="1">'Planning Engine'!K572</f>
        <v>0</v>
      </c>
      <c r="L572" s="12" t="str">
        <f ca="1">'Planning Engine'!L572</f>
        <v>Overstock</v>
      </c>
      <c r="M572" s="93">
        <f>'Planning Engine'!S572</f>
        <v>46844</v>
      </c>
      <c r="N572" s="95">
        <f>'Planning Engine'!T572</f>
        <v>0</v>
      </c>
      <c r="O572" s="94" t="s">
        <v>1604</v>
      </c>
      <c r="P572" s="12" t="str">
        <f t="shared" ca="1" si="17"/>
        <v>Defer / consume inventory</v>
      </c>
    </row>
    <row r="573" spans="1:16" ht="13" customHeight="1" x14ac:dyDescent="0.35">
      <c r="A573" s="97">
        <v>47027</v>
      </c>
      <c r="B573" s="53" t="s">
        <v>43</v>
      </c>
      <c r="C573" s="12" t="str">
        <f>'Planning Engine'!C573</f>
        <v>Drug Product</v>
      </c>
      <c r="D573" s="12" t="str">
        <f>'Planning Engine'!D573</f>
        <v>units</v>
      </c>
      <c r="E573" s="95">
        <f>'Planning Engine'!E573</f>
        <v>267607</v>
      </c>
      <c r="F573" s="95">
        <f>'Planning Engine'!F573</f>
        <v>0</v>
      </c>
      <c r="G573" s="95">
        <f>'Planning Engine'!G573</f>
        <v>0</v>
      </c>
      <c r="H573" s="99">
        <f t="shared" si="16"/>
        <v>0</v>
      </c>
      <c r="I573" s="95">
        <f>'Planning Engine'!H573</f>
        <v>267607</v>
      </c>
      <c r="J573" s="96">
        <f ca="1">'Planning Engine'!J573</f>
        <v>999</v>
      </c>
      <c r="K573" s="95">
        <f ca="1">'Planning Engine'!K573</f>
        <v>0</v>
      </c>
      <c r="L573" s="12" t="str">
        <f ca="1">'Planning Engine'!L573</f>
        <v>Overstock</v>
      </c>
      <c r="M573" s="93">
        <f>'Planning Engine'!S573</f>
        <v>46874</v>
      </c>
      <c r="N573" s="95">
        <f>'Planning Engine'!T573</f>
        <v>0</v>
      </c>
      <c r="O573" s="98" t="s">
        <v>1605</v>
      </c>
      <c r="P573" s="4" t="str">
        <f t="shared" ca="1" si="17"/>
        <v>Defer / consume inventory</v>
      </c>
    </row>
    <row r="574" spans="1:16" ht="13" customHeight="1" x14ac:dyDescent="0.35">
      <c r="A574" s="93">
        <v>47058</v>
      </c>
      <c r="B574" s="61" t="s">
        <v>43</v>
      </c>
      <c r="C574" s="12" t="str">
        <f>'Planning Engine'!C574</f>
        <v>Drug Product</v>
      </c>
      <c r="D574" s="12" t="str">
        <f>'Planning Engine'!D574</f>
        <v>units</v>
      </c>
      <c r="E574" s="95">
        <f>'Planning Engine'!E574</f>
        <v>267607</v>
      </c>
      <c r="F574" s="95">
        <f>'Planning Engine'!F574</f>
        <v>0</v>
      </c>
      <c r="G574" s="95">
        <f>'Planning Engine'!G574</f>
        <v>0</v>
      </c>
      <c r="H574" s="95">
        <f t="shared" si="16"/>
        <v>0</v>
      </c>
      <c r="I574" s="95">
        <f>'Planning Engine'!H574</f>
        <v>267607</v>
      </c>
      <c r="J574" s="96">
        <f ca="1">'Planning Engine'!J574</f>
        <v>999</v>
      </c>
      <c r="K574" s="95">
        <f ca="1">'Planning Engine'!K574</f>
        <v>0</v>
      </c>
      <c r="L574" s="12" t="str">
        <f ca="1">'Planning Engine'!L574</f>
        <v>Overstock</v>
      </c>
      <c r="M574" s="93">
        <f>'Planning Engine'!S574</f>
        <v>46905</v>
      </c>
      <c r="N574" s="95">
        <f>'Planning Engine'!T574</f>
        <v>0</v>
      </c>
      <c r="O574" s="94" t="s">
        <v>1606</v>
      </c>
      <c r="P574" s="12" t="str">
        <f t="shared" ca="1" si="17"/>
        <v>Defer / consume inventory</v>
      </c>
    </row>
    <row r="575" spans="1:16" ht="13" customHeight="1" x14ac:dyDescent="0.35">
      <c r="A575" s="97">
        <v>47088</v>
      </c>
      <c r="B575" s="53" t="s">
        <v>43</v>
      </c>
      <c r="C575" s="12" t="str">
        <f>'Planning Engine'!C575</f>
        <v>Drug Product</v>
      </c>
      <c r="D575" s="12" t="str">
        <f>'Planning Engine'!D575</f>
        <v>units</v>
      </c>
      <c r="E575" s="95">
        <f>'Planning Engine'!E575</f>
        <v>267607</v>
      </c>
      <c r="F575" s="95">
        <f>'Planning Engine'!F575</f>
        <v>0</v>
      </c>
      <c r="G575" s="95">
        <f>'Planning Engine'!G575</f>
        <v>0</v>
      </c>
      <c r="H575" s="99">
        <f t="shared" si="16"/>
        <v>0</v>
      </c>
      <c r="I575" s="95">
        <f>'Planning Engine'!H575</f>
        <v>267607</v>
      </c>
      <c r="J575" s="96">
        <f ca="1">'Planning Engine'!J575</f>
        <v>999</v>
      </c>
      <c r="K575" s="95">
        <f ca="1">'Planning Engine'!K575</f>
        <v>0</v>
      </c>
      <c r="L575" s="12" t="str">
        <f ca="1">'Planning Engine'!L575</f>
        <v>Overstock</v>
      </c>
      <c r="M575" s="93">
        <f>'Planning Engine'!S575</f>
        <v>46935</v>
      </c>
      <c r="N575" s="95">
        <f>'Planning Engine'!T575</f>
        <v>0</v>
      </c>
      <c r="O575" s="98" t="s">
        <v>1607</v>
      </c>
      <c r="P575" s="4" t="str">
        <f t="shared" ca="1" si="17"/>
        <v>Defer / consume inventory</v>
      </c>
    </row>
    <row r="576" spans="1:16" ht="13" customHeight="1" x14ac:dyDescent="0.35">
      <c r="A576" s="93">
        <v>47119</v>
      </c>
      <c r="B576" s="61" t="s">
        <v>43</v>
      </c>
      <c r="C576" s="12" t="str">
        <f>'Planning Engine'!C576</f>
        <v>Drug Product</v>
      </c>
      <c r="D576" s="12" t="str">
        <f>'Planning Engine'!D576</f>
        <v>units</v>
      </c>
      <c r="E576" s="95">
        <f>'Planning Engine'!E576</f>
        <v>267607</v>
      </c>
      <c r="F576" s="95">
        <f>'Planning Engine'!F576</f>
        <v>0</v>
      </c>
      <c r="G576" s="95">
        <f>'Planning Engine'!G576</f>
        <v>0</v>
      </c>
      <c r="H576" s="95">
        <f t="shared" si="16"/>
        <v>0</v>
      </c>
      <c r="I576" s="95">
        <f>'Planning Engine'!H576</f>
        <v>267607</v>
      </c>
      <c r="J576" s="96">
        <f ca="1">'Planning Engine'!J576</f>
        <v>999</v>
      </c>
      <c r="K576" s="95">
        <f ca="1">'Planning Engine'!K576</f>
        <v>0</v>
      </c>
      <c r="L576" s="12" t="str">
        <f ca="1">'Planning Engine'!L576</f>
        <v>Overstock</v>
      </c>
      <c r="M576" s="93">
        <f>'Planning Engine'!S576</f>
        <v>46966</v>
      </c>
      <c r="N576" s="95">
        <f>'Planning Engine'!T576</f>
        <v>0</v>
      </c>
      <c r="O576" s="94" t="s">
        <v>1608</v>
      </c>
      <c r="P576" s="12" t="str">
        <f t="shared" ca="1" si="17"/>
        <v>Defer / consume inventory</v>
      </c>
    </row>
    <row r="577" spans="1:16" ht="13" customHeight="1" x14ac:dyDescent="0.35">
      <c r="A577" s="97">
        <v>47150</v>
      </c>
      <c r="B577" s="53" t="s">
        <v>43</v>
      </c>
      <c r="C577" s="12" t="str">
        <f>'Planning Engine'!C577</f>
        <v>Drug Product</v>
      </c>
      <c r="D577" s="12" t="str">
        <f>'Planning Engine'!D577</f>
        <v>units</v>
      </c>
      <c r="E577" s="95">
        <f>'Planning Engine'!E577</f>
        <v>267607</v>
      </c>
      <c r="F577" s="95">
        <f>'Planning Engine'!F577</f>
        <v>0</v>
      </c>
      <c r="G577" s="95">
        <f>'Planning Engine'!G577</f>
        <v>0</v>
      </c>
      <c r="H577" s="99">
        <f t="shared" si="16"/>
        <v>0</v>
      </c>
      <c r="I577" s="95">
        <f>'Planning Engine'!H577</f>
        <v>267607</v>
      </c>
      <c r="J577" s="96">
        <f ca="1">'Planning Engine'!J577</f>
        <v>999</v>
      </c>
      <c r="K577" s="95">
        <f ca="1">'Planning Engine'!K577</f>
        <v>0</v>
      </c>
      <c r="L577" s="12" t="str">
        <f ca="1">'Planning Engine'!L577</f>
        <v>Overstock</v>
      </c>
      <c r="M577" s="93">
        <f>'Planning Engine'!S577</f>
        <v>46997</v>
      </c>
      <c r="N577" s="95">
        <f>'Planning Engine'!T577</f>
        <v>0</v>
      </c>
      <c r="O577" s="98" t="s">
        <v>1609</v>
      </c>
      <c r="P577" s="4" t="str">
        <f t="shared" ca="1" si="17"/>
        <v>Defer / consume inventory</v>
      </c>
    </row>
    <row r="578" spans="1:16" ht="13" customHeight="1" x14ac:dyDescent="0.35">
      <c r="A578" s="93">
        <v>47178</v>
      </c>
      <c r="B578" s="61" t="s">
        <v>43</v>
      </c>
      <c r="C578" s="12" t="str">
        <f>'Planning Engine'!C578</f>
        <v>Drug Product</v>
      </c>
      <c r="D578" s="12" t="str">
        <f>'Planning Engine'!D578</f>
        <v>units</v>
      </c>
      <c r="E578" s="95">
        <f>'Planning Engine'!E578</f>
        <v>267607</v>
      </c>
      <c r="F578" s="95">
        <f>'Planning Engine'!F578</f>
        <v>0</v>
      </c>
      <c r="G578" s="95">
        <f>'Planning Engine'!G578</f>
        <v>0</v>
      </c>
      <c r="H578" s="95">
        <f t="shared" si="16"/>
        <v>0</v>
      </c>
      <c r="I578" s="95">
        <f>'Planning Engine'!H578</f>
        <v>267607</v>
      </c>
      <c r="J578" s="96">
        <f ca="1">'Planning Engine'!J578</f>
        <v>999</v>
      </c>
      <c r="K578" s="95">
        <f ca="1">'Planning Engine'!K578</f>
        <v>0</v>
      </c>
      <c r="L578" s="12" t="str">
        <f ca="1">'Planning Engine'!L578</f>
        <v>Overstock</v>
      </c>
      <c r="M578" s="93">
        <f>'Planning Engine'!S578</f>
        <v>47027</v>
      </c>
      <c r="N578" s="95">
        <f>'Planning Engine'!T578</f>
        <v>0</v>
      </c>
      <c r="O578" s="94" t="s">
        <v>1610</v>
      </c>
      <c r="P578" s="12" t="str">
        <f t="shared" ca="1" si="17"/>
        <v>Defer / consume inventory</v>
      </c>
    </row>
    <row r="579" spans="1:16" ht="13" customHeight="1" x14ac:dyDescent="0.35">
      <c r="A579" s="97">
        <v>47209</v>
      </c>
      <c r="B579" s="53" t="s">
        <v>43</v>
      </c>
      <c r="C579" s="12" t="str">
        <f>'Planning Engine'!C579</f>
        <v>Drug Product</v>
      </c>
      <c r="D579" s="12" t="str">
        <f>'Planning Engine'!D579</f>
        <v>units</v>
      </c>
      <c r="E579" s="95">
        <f>'Planning Engine'!E579</f>
        <v>267607</v>
      </c>
      <c r="F579" s="95">
        <f>'Planning Engine'!F579</f>
        <v>0</v>
      </c>
      <c r="G579" s="95">
        <f>'Planning Engine'!G579</f>
        <v>0</v>
      </c>
      <c r="H579" s="99">
        <f t="shared" si="16"/>
        <v>0</v>
      </c>
      <c r="I579" s="95">
        <f>'Planning Engine'!H579</f>
        <v>267607</v>
      </c>
      <c r="J579" s="96">
        <f ca="1">'Planning Engine'!J579</f>
        <v>999</v>
      </c>
      <c r="K579" s="95">
        <f ca="1">'Planning Engine'!K579</f>
        <v>0</v>
      </c>
      <c r="L579" s="12" t="str">
        <f ca="1">'Planning Engine'!L579</f>
        <v>Overstock</v>
      </c>
      <c r="M579" s="93">
        <f>'Planning Engine'!S579</f>
        <v>47058</v>
      </c>
      <c r="N579" s="95">
        <f>'Planning Engine'!T579</f>
        <v>0</v>
      </c>
      <c r="O579" s="98" t="s">
        <v>1611</v>
      </c>
      <c r="P579" s="4" t="str">
        <f t="shared" ca="1" si="17"/>
        <v>Defer / consume inventory</v>
      </c>
    </row>
    <row r="580" spans="1:16" ht="13" customHeight="1" x14ac:dyDescent="0.35">
      <c r="A580" s="93">
        <v>47239</v>
      </c>
      <c r="B580" s="61" t="s">
        <v>43</v>
      </c>
      <c r="C580" s="12" t="str">
        <f>'Planning Engine'!C580</f>
        <v>Drug Product</v>
      </c>
      <c r="D580" s="12" t="str">
        <f>'Planning Engine'!D580</f>
        <v>units</v>
      </c>
      <c r="E580" s="95">
        <f>'Planning Engine'!E580</f>
        <v>267607</v>
      </c>
      <c r="F580" s="95">
        <f>'Planning Engine'!F580</f>
        <v>0</v>
      </c>
      <c r="G580" s="95">
        <f>'Planning Engine'!G580</f>
        <v>0</v>
      </c>
      <c r="H580" s="95">
        <f t="shared" ref="H580:H643" si="18">G580-F580</f>
        <v>0</v>
      </c>
      <c r="I580" s="95">
        <f>'Planning Engine'!H580</f>
        <v>267607</v>
      </c>
      <c r="J580" s="96">
        <f ca="1">'Planning Engine'!J580</f>
        <v>999</v>
      </c>
      <c r="K580" s="95">
        <f ca="1">'Planning Engine'!K580</f>
        <v>0</v>
      </c>
      <c r="L580" s="12" t="str">
        <f ca="1">'Planning Engine'!L580</f>
        <v>Overstock</v>
      </c>
      <c r="M580" s="93">
        <f>'Planning Engine'!S580</f>
        <v>47088</v>
      </c>
      <c r="N580" s="95">
        <f>'Planning Engine'!T580</f>
        <v>0</v>
      </c>
      <c r="O580" s="94" t="s">
        <v>1612</v>
      </c>
      <c r="P580" s="12" t="str">
        <f t="shared" ref="P580:P643" ca="1" si="19">IFERROR(IF(L580="High","⚠ Expedite production / source alternate",IF(L580="Medium","Plan additional batches",IF(L580="Overstock","Defer / consume inventory","Plan acceptable"))),"--")</f>
        <v>Defer / consume inventory</v>
      </c>
    </row>
    <row r="581" spans="1:16" ht="13" customHeight="1" x14ac:dyDescent="0.35">
      <c r="A581" s="97">
        <v>47270</v>
      </c>
      <c r="B581" s="53" t="s">
        <v>43</v>
      </c>
      <c r="C581" s="12" t="str">
        <f>'Planning Engine'!C581</f>
        <v>Drug Product</v>
      </c>
      <c r="D581" s="12" t="str">
        <f>'Planning Engine'!D581</f>
        <v>units</v>
      </c>
      <c r="E581" s="95">
        <f>'Planning Engine'!E581</f>
        <v>267607</v>
      </c>
      <c r="F581" s="95">
        <f>'Planning Engine'!F581</f>
        <v>0</v>
      </c>
      <c r="G581" s="95">
        <f>'Planning Engine'!G581</f>
        <v>0</v>
      </c>
      <c r="H581" s="99">
        <f t="shared" si="18"/>
        <v>0</v>
      </c>
      <c r="I581" s="95">
        <f>'Planning Engine'!H581</f>
        <v>267607</v>
      </c>
      <c r="J581" s="96">
        <f ca="1">'Planning Engine'!J581</f>
        <v>999</v>
      </c>
      <c r="K581" s="95">
        <f ca="1">'Planning Engine'!K581</f>
        <v>0</v>
      </c>
      <c r="L581" s="12" t="str">
        <f ca="1">'Planning Engine'!L581</f>
        <v>Overstock</v>
      </c>
      <c r="M581" s="93">
        <f>'Planning Engine'!S581</f>
        <v>47119</v>
      </c>
      <c r="N581" s="95">
        <f>'Planning Engine'!T581</f>
        <v>0</v>
      </c>
      <c r="O581" s="98" t="s">
        <v>1613</v>
      </c>
      <c r="P581" s="4" t="str">
        <f t="shared" ca="1" si="19"/>
        <v>Defer / consume inventory</v>
      </c>
    </row>
    <row r="582" spans="1:16" ht="13" customHeight="1" x14ac:dyDescent="0.35">
      <c r="A582" s="93">
        <v>47300</v>
      </c>
      <c r="B582" s="61" t="s">
        <v>43</v>
      </c>
      <c r="C582" s="12" t="str">
        <f>'Planning Engine'!C582</f>
        <v>Drug Product</v>
      </c>
      <c r="D582" s="12" t="str">
        <f>'Planning Engine'!D582</f>
        <v>units</v>
      </c>
      <c r="E582" s="95">
        <f>'Planning Engine'!E582</f>
        <v>267607</v>
      </c>
      <c r="F582" s="95">
        <f>'Planning Engine'!F582</f>
        <v>0</v>
      </c>
      <c r="G582" s="95">
        <f>'Planning Engine'!G582</f>
        <v>0</v>
      </c>
      <c r="H582" s="95">
        <f t="shared" si="18"/>
        <v>0</v>
      </c>
      <c r="I582" s="95">
        <f>'Planning Engine'!H582</f>
        <v>267607</v>
      </c>
      <c r="J582" s="96">
        <f ca="1">'Planning Engine'!J582</f>
        <v>999</v>
      </c>
      <c r="K582" s="95">
        <f ca="1">'Planning Engine'!K582</f>
        <v>0</v>
      </c>
      <c r="L582" s="12" t="str">
        <f ca="1">'Planning Engine'!L582</f>
        <v>Overstock</v>
      </c>
      <c r="M582" s="93">
        <f>'Planning Engine'!S582</f>
        <v>47150</v>
      </c>
      <c r="N582" s="95">
        <f>'Planning Engine'!T582</f>
        <v>0</v>
      </c>
      <c r="O582" s="94" t="s">
        <v>1614</v>
      </c>
      <c r="P582" s="12" t="str">
        <f t="shared" ca="1" si="19"/>
        <v>Defer / consume inventory</v>
      </c>
    </row>
    <row r="583" spans="1:16" ht="13" customHeight="1" x14ac:dyDescent="0.35">
      <c r="A583" s="97">
        <v>47331</v>
      </c>
      <c r="B583" s="53" t="s">
        <v>43</v>
      </c>
      <c r="C583" s="12" t="str">
        <f>'Planning Engine'!C583</f>
        <v>Drug Product</v>
      </c>
      <c r="D583" s="12" t="str">
        <f>'Planning Engine'!D583</f>
        <v>units</v>
      </c>
      <c r="E583" s="95">
        <f>'Planning Engine'!E583</f>
        <v>267607</v>
      </c>
      <c r="F583" s="95">
        <f>'Planning Engine'!F583</f>
        <v>0</v>
      </c>
      <c r="G583" s="95">
        <f>'Planning Engine'!G583</f>
        <v>0</v>
      </c>
      <c r="H583" s="99">
        <f t="shared" si="18"/>
        <v>0</v>
      </c>
      <c r="I583" s="95">
        <f>'Planning Engine'!H583</f>
        <v>267607</v>
      </c>
      <c r="J583" s="96">
        <f ca="1">'Planning Engine'!J583</f>
        <v>999</v>
      </c>
      <c r="K583" s="95">
        <f ca="1">'Planning Engine'!K583</f>
        <v>0</v>
      </c>
      <c r="L583" s="12" t="str">
        <f ca="1">'Planning Engine'!L583</f>
        <v>Overstock</v>
      </c>
      <c r="M583" s="93">
        <f>'Planning Engine'!S583</f>
        <v>47178</v>
      </c>
      <c r="N583" s="95">
        <f>'Planning Engine'!T583</f>
        <v>0</v>
      </c>
      <c r="O583" s="98" t="s">
        <v>1615</v>
      </c>
      <c r="P583" s="4" t="str">
        <f t="shared" ca="1" si="19"/>
        <v>Defer / consume inventory</v>
      </c>
    </row>
    <row r="584" spans="1:16" ht="13" customHeight="1" x14ac:dyDescent="0.35">
      <c r="A584" s="93">
        <v>47362</v>
      </c>
      <c r="B584" s="61" t="s">
        <v>43</v>
      </c>
      <c r="C584" s="12" t="str">
        <f>'Planning Engine'!C584</f>
        <v>Drug Product</v>
      </c>
      <c r="D584" s="12" t="str">
        <f>'Planning Engine'!D584</f>
        <v>units</v>
      </c>
      <c r="E584" s="95">
        <f>'Planning Engine'!E584</f>
        <v>267607</v>
      </c>
      <c r="F584" s="95">
        <f>'Planning Engine'!F584</f>
        <v>0</v>
      </c>
      <c r="G584" s="95">
        <f>'Planning Engine'!G584</f>
        <v>0</v>
      </c>
      <c r="H584" s="95">
        <f t="shared" si="18"/>
        <v>0</v>
      </c>
      <c r="I584" s="95">
        <f>'Planning Engine'!H584</f>
        <v>267607</v>
      </c>
      <c r="J584" s="96">
        <f ca="1">'Planning Engine'!J584</f>
        <v>999</v>
      </c>
      <c r="K584" s="95">
        <f ca="1">'Planning Engine'!K584</f>
        <v>0</v>
      </c>
      <c r="L584" s="12" t="str">
        <f ca="1">'Planning Engine'!L584</f>
        <v>Overstock</v>
      </c>
      <c r="M584" s="93">
        <f>'Planning Engine'!S584</f>
        <v>47209</v>
      </c>
      <c r="N584" s="95">
        <f>'Planning Engine'!T584</f>
        <v>0</v>
      </c>
      <c r="O584" s="94" t="s">
        <v>1616</v>
      </c>
      <c r="P584" s="12" t="str">
        <f t="shared" ca="1" si="19"/>
        <v>Defer / consume inventory</v>
      </c>
    </row>
    <row r="585" spans="1:16" ht="13" customHeight="1" x14ac:dyDescent="0.35">
      <c r="A585" s="97">
        <v>47392</v>
      </c>
      <c r="B585" s="53" t="s">
        <v>43</v>
      </c>
      <c r="C585" s="12" t="str">
        <f>'Planning Engine'!C585</f>
        <v>Drug Product</v>
      </c>
      <c r="D585" s="12" t="str">
        <f>'Planning Engine'!D585</f>
        <v>units</v>
      </c>
      <c r="E585" s="95">
        <f>'Planning Engine'!E585</f>
        <v>267607</v>
      </c>
      <c r="F585" s="95">
        <f>'Planning Engine'!F585</f>
        <v>0</v>
      </c>
      <c r="G585" s="95">
        <f>'Planning Engine'!G585</f>
        <v>0</v>
      </c>
      <c r="H585" s="99">
        <f t="shared" si="18"/>
        <v>0</v>
      </c>
      <c r="I585" s="95">
        <f>'Planning Engine'!H585</f>
        <v>267607</v>
      </c>
      <c r="J585" s="96">
        <f ca="1">'Planning Engine'!J585</f>
        <v>999</v>
      </c>
      <c r="K585" s="95">
        <f ca="1">'Planning Engine'!K585</f>
        <v>0</v>
      </c>
      <c r="L585" s="12" t="str">
        <f ca="1">'Planning Engine'!L585</f>
        <v>Overstock</v>
      </c>
      <c r="M585" s="93">
        <f>'Planning Engine'!S585</f>
        <v>47239</v>
      </c>
      <c r="N585" s="95">
        <f>'Planning Engine'!T585</f>
        <v>0</v>
      </c>
      <c r="O585" s="98" t="s">
        <v>1617</v>
      </c>
      <c r="P585" s="4" t="str">
        <f t="shared" ca="1" si="19"/>
        <v>Defer / consume inventory</v>
      </c>
    </row>
    <row r="586" spans="1:16" ht="13" customHeight="1" x14ac:dyDescent="0.35">
      <c r="A586" s="93">
        <v>47423</v>
      </c>
      <c r="B586" s="61" t="s">
        <v>43</v>
      </c>
      <c r="C586" s="12" t="str">
        <f>'Planning Engine'!C586</f>
        <v>Drug Product</v>
      </c>
      <c r="D586" s="12" t="str">
        <f>'Planning Engine'!D586</f>
        <v>units</v>
      </c>
      <c r="E586" s="95">
        <f>'Planning Engine'!E586</f>
        <v>267607</v>
      </c>
      <c r="F586" s="95">
        <f>'Planning Engine'!F586</f>
        <v>0</v>
      </c>
      <c r="G586" s="95">
        <f>'Planning Engine'!G586</f>
        <v>0</v>
      </c>
      <c r="H586" s="95">
        <f t="shared" si="18"/>
        <v>0</v>
      </c>
      <c r="I586" s="95">
        <f>'Planning Engine'!H586</f>
        <v>267607</v>
      </c>
      <c r="J586" s="96">
        <f ca="1">'Planning Engine'!J586</f>
        <v>999</v>
      </c>
      <c r="K586" s="95">
        <f ca="1">'Planning Engine'!K586</f>
        <v>0</v>
      </c>
      <c r="L586" s="12" t="str">
        <f ca="1">'Planning Engine'!L586</f>
        <v>Overstock</v>
      </c>
      <c r="M586" s="93">
        <f>'Planning Engine'!S586</f>
        <v>47270</v>
      </c>
      <c r="N586" s="95">
        <f>'Planning Engine'!T586</f>
        <v>0</v>
      </c>
      <c r="O586" s="94" t="s">
        <v>1618</v>
      </c>
      <c r="P586" s="12" t="str">
        <f t="shared" ca="1" si="19"/>
        <v>Defer / consume inventory</v>
      </c>
    </row>
    <row r="587" spans="1:16" ht="13" customHeight="1" x14ac:dyDescent="0.35">
      <c r="A587" s="97">
        <v>47453</v>
      </c>
      <c r="B587" s="53" t="s">
        <v>43</v>
      </c>
      <c r="C587" s="12" t="str">
        <f>'Planning Engine'!C587</f>
        <v>Drug Product</v>
      </c>
      <c r="D587" s="12" t="str">
        <f>'Planning Engine'!D587</f>
        <v>units</v>
      </c>
      <c r="E587" s="95">
        <f>'Planning Engine'!E587</f>
        <v>267607</v>
      </c>
      <c r="F587" s="95">
        <f>'Planning Engine'!F587</f>
        <v>0</v>
      </c>
      <c r="G587" s="95">
        <f>'Planning Engine'!G587</f>
        <v>0</v>
      </c>
      <c r="H587" s="99">
        <f t="shared" si="18"/>
        <v>0</v>
      </c>
      <c r="I587" s="95">
        <f>'Planning Engine'!H587</f>
        <v>267607</v>
      </c>
      <c r="J587" s="96">
        <f ca="1">'Planning Engine'!J587</f>
        <v>999</v>
      </c>
      <c r="K587" s="95">
        <f ca="1">'Planning Engine'!K587</f>
        <v>0</v>
      </c>
      <c r="L587" s="12" t="str">
        <f ca="1">'Planning Engine'!L587</f>
        <v>Overstock</v>
      </c>
      <c r="M587" s="93">
        <f>'Planning Engine'!S587</f>
        <v>47300</v>
      </c>
      <c r="N587" s="95">
        <f>'Planning Engine'!T587</f>
        <v>0</v>
      </c>
      <c r="O587" s="98" t="s">
        <v>1619</v>
      </c>
      <c r="P587" s="4" t="str">
        <f t="shared" ca="1" si="19"/>
        <v>Defer / consume inventory</v>
      </c>
    </row>
    <row r="588" spans="1:16" ht="13" customHeight="1" x14ac:dyDescent="0.35">
      <c r="A588" s="93">
        <v>47484</v>
      </c>
      <c r="B588" s="61" t="s">
        <v>43</v>
      </c>
      <c r="C588" s="12" t="str">
        <f>'Planning Engine'!C588</f>
        <v>Drug Product</v>
      </c>
      <c r="D588" s="12" t="str">
        <f>'Planning Engine'!D588</f>
        <v>units</v>
      </c>
      <c r="E588" s="95">
        <f>'Planning Engine'!E588</f>
        <v>267607</v>
      </c>
      <c r="F588" s="95">
        <f>'Planning Engine'!F588</f>
        <v>0</v>
      </c>
      <c r="G588" s="95">
        <f>'Planning Engine'!G588</f>
        <v>0</v>
      </c>
      <c r="H588" s="95">
        <f t="shared" si="18"/>
        <v>0</v>
      </c>
      <c r="I588" s="95">
        <f>'Planning Engine'!H588</f>
        <v>267607</v>
      </c>
      <c r="J588" s="96">
        <f ca="1">'Planning Engine'!J588</f>
        <v>999</v>
      </c>
      <c r="K588" s="95">
        <f ca="1">'Planning Engine'!K588</f>
        <v>0</v>
      </c>
      <c r="L588" s="12" t="str">
        <f ca="1">'Planning Engine'!L588</f>
        <v>Overstock</v>
      </c>
      <c r="M588" s="93">
        <f>'Planning Engine'!S588</f>
        <v>47331</v>
      </c>
      <c r="N588" s="95">
        <f>'Planning Engine'!T588</f>
        <v>0</v>
      </c>
      <c r="O588" s="94" t="s">
        <v>1620</v>
      </c>
      <c r="P588" s="12" t="str">
        <f t="shared" ca="1" si="19"/>
        <v>Defer / consume inventory</v>
      </c>
    </row>
    <row r="589" spans="1:16" ht="13" customHeight="1" x14ac:dyDescent="0.35">
      <c r="A589" s="97">
        <v>47515</v>
      </c>
      <c r="B589" s="53" t="s">
        <v>43</v>
      </c>
      <c r="C589" s="12" t="str">
        <f>'Planning Engine'!C589</f>
        <v>Drug Product</v>
      </c>
      <c r="D589" s="12" t="str">
        <f>'Planning Engine'!D589</f>
        <v>units</v>
      </c>
      <c r="E589" s="95">
        <f>'Planning Engine'!E589</f>
        <v>267607</v>
      </c>
      <c r="F589" s="95">
        <f>'Planning Engine'!F589</f>
        <v>0</v>
      </c>
      <c r="G589" s="95">
        <f>'Planning Engine'!G589</f>
        <v>0</v>
      </c>
      <c r="H589" s="99">
        <f t="shared" si="18"/>
        <v>0</v>
      </c>
      <c r="I589" s="95">
        <f>'Planning Engine'!H589</f>
        <v>267607</v>
      </c>
      <c r="J589" s="96">
        <f ca="1">'Planning Engine'!J589</f>
        <v>999</v>
      </c>
      <c r="K589" s="95">
        <f ca="1">'Planning Engine'!K589</f>
        <v>0</v>
      </c>
      <c r="L589" s="12" t="str">
        <f ca="1">'Planning Engine'!L589</f>
        <v>Overstock</v>
      </c>
      <c r="M589" s="93">
        <f>'Planning Engine'!S589</f>
        <v>47362</v>
      </c>
      <c r="N589" s="95">
        <f>'Planning Engine'!T589</f>
        <v>0</v>
      </c>
      <c r="O589" s="98" t="s">
        <v>1621</v>
      </c>
      <c r="P589" s="4" t="str">
        <f t="shared" ca="1" si="19"/>
        <v>Defer / consume inventory</v>
      </c>
    </row>
    <row r="590" spans="1:16" ht="13" customHeight="1" x14ac:dyDescent="0.35">
      <c r="A590" s="93">
        <v>47543</v>
      </c>
      <c r="B590" s="61" t="s">
        <v>43</v>
      </c>
      <c r="C590" s="12" t="str">
        <f>'Planning Engine'!C590</f>
        <v>Drug Product</v>
      </c>
      <c r="D590" s="12" t="str">
        <f>'Planning Engine'!D590</f>
        <v>units</v>
      </c>
      <c r="E590" s="95">
        <f>'Planning Engine'!E590</f>
        <v>267607</v>
      </c>
      <c r="F590" s="95">
        <f>'Planning Engine'!F590</f>
        <v>0</v>
      </c>
      <c r="G590" s="95">
        <f>'Planning Engine'!G590</f>
        <v>0</v>
      </c>
      <c r="H590" s="95">
        <f t="shared" si="18"/>
        <v>0</v>
      </c>
      <c r="I590" s="95">
        <f>'Planning Engine'!H590</f>
        <v>267607</v>
      </c>
      <c r="J590" s="96">
        <f ca="1">'Planning Engine'!J590</f>
        <v>999</v>
      </c>
      <c r="K590" s="95">
        <f ca="1">'Planning Engine'!K590</f>
        <v>0</v>
      </c>
      <c r="L590" s="12" t="str">
        <f ca="1">'Planning Engine'!L590</f>
        <v>Overstock</v>
      </c>
      <c r="M590" s="93">
        <f>'Planning Engine'!S590</f>
        <v>47392</v>
      </c>
      <c r="N590" s="95">
        <f>'Planning Engine'!T590</f>
        <v>0</v>
      </c>
      <c r="O590" s="94" t="s">
        <v>1622</v>
      </c>
      <c r="P590" s="12" t="str">
        <f t="shared" ca="1" si="19"/>
        <v>Defer / consume inventory</v>
      </c>
    </row>
    <row r="591" spans="1:16" ht="13" customHeight="1" x14ac:dyDescent="0.35">
      <c r="A591" s="97">
        <v>47574</v>
      </c>
      <c r="B591" s="53" t="s">
        <v>43</v>
      </c>
      <c r="C591" s="12" t="str">
        <f>'Planning Engine'!C591</f>
        <v>Drug Product</v>
      </c>
      <c r="D591" s="12" t="str">
        <f>'Planning Engine'!D591</f>
        <v>units</v>
      </c>
      <c r="E591" s="95">
        <f>'Planning Engine'!E591</f>
        <v>267607</v>
      </c>
      <c r="F591" s="95">
        <f>'Planning Engine'!F591</f>
        <v>0</v>
      </c>
      <c r="G591" s="95">
        <f>'Planning Engine'!G591</f>
        <v>0</v>
      </c>
      <c r="H591" s="99">
        <f t="shared" si="18"/>
        <v>0</v>
      </c>
      <c r="I591" s="95">
        <f>'Planning Engine'!H591</f>
        <v>267607</v>
      </c>
      <c r="J591" s="96">
        <f ca="1">'Planning Engine'!J591</f>
        <v>999</v>
      </c>
      <c r="K591" s="95">
        <f ca="1">'Planning Engine'!K591</f>
        <v>0</v>
      </c>
      <c r="L591" s="12" t="str">
        <f ca="1">'Planning Engine'!L591</f>
        <v>Overstock</v>
      </c>
      <c r="M591" s="93">
        <f>'Planning Engine'!S591</f>
        <v>47423</v>
      </c>
      <c r="N591" s="95">
        <f>'Planning Engine'!T591</f>
        <v>0</v>
      </c>
      <c r="O591" s="98" t="s">
        <v>1623</v>
      </c>
      <c r="P591" s="4" t="str">
        <f t="shared" ca="1" si="19"/>
        <v>Defer / consume inventory</v>
      </c>
    </row>
    <row r="592" spans="1:16" ht="13" customHeight="1" x14ac:dyDescent="0.35">
      <c r="A592" s="93">
        <v>47604</v>
      </c>
      <c r="B592" s="61" t="s">
        <v>43</v>
      </c>
      <c r="C592" s="12" t="str">
        <f>'Planning Engine'!C592</f>
        <v>Drug Product</v>
      </c>
      <c r="D592" s="12" t="str">
        <f>'Planning Engine'!D592</f>
        <v>units</v>
      </c>
      <c r="E592" s="95">
        <f>'Planning Engine'!E592</f>
        <v>267607</v>
      </c>
      <c r="F592" s="95">
        <f>'Planning Engine'!F592</f>
        <v>0</v>
      </c>
      <c r="G592" s="95">
        <f>'Planning Engine'!G592</f>
        <v>0</v>
      </c>
      <c r="H592" s="95">
        <f t="shared" si="18"/>
        <v>0</v>
      </c>
      <c r="I592" s="95">
        <f>'Planning Engine'!H592</f>
        <v>267607</v>
      </c>
      <c r="J592" s="96">
        <f ca="1">'Planning Engine'!J592</f>
        <v>999</v>
      </c>
      <c r="K592" s="95">
        <f ca="1">'Planning Engine'!K592</f>
        <v>0</v>
      </c>
      <c r="L592" s="12" t="str">
        <f ca="1">'Planning Engine'!L592</f>
        <v>Overstock</v>
      </c>
      <c r="M592" s="93">
        <f>'Planning Engine'!S592</f>
        <v>47453</v>
      </c>
      <c r="N592" s="95">
        <f>'Planning Engine'!T592</f>
        <v>0</v>
      </c>
      <c r="O592" s="94" t="s">
        <v>1624</v>
      </c>
      <c r="P592" s="12" t="str">
        <f t="shared" ca="1" si="19"/>
        <v>Defer / consume inventory</v>
      </c>
    </row>
    <row r="593" spans="1:16" ht="13" customHeight="1" x14ac:dyDescent="0.35">
      <c r="A593" s="97">
        <v>47635</v>
      </c>
      <c r="B593" s="53" t="s">
        <v>43</v>
      </c>
      <c r="C593" s="12" t="str">
        <f>'Planning Engine'!C593</f>
        <v>Drug Product</v>
      </c>
      <c r="D593" s="12" t="str">
        <f>'Planning Engine'!D593</f>
        <v>units</v>
      </c>
      <c r="E593" s="95">
        <f>'Planning Engine'!E593</f>
        <v>267607</v>
      </c>
      <c r="F593" s="95">
        <f>'Planning Engine'!F593</f>
        <v>0</v>
      </c>
      <c r="G593" s="95">
        <f>'Planning Engine'!G593</f>
        <v>0</v>
      </c>
      <c r="H593" s="99">
        <f t="shared" si="18"/>
        <v>0</v>
      </c>
      <c r="I593" s="95">
        <f>'Planning Engine'!H593</f>
        <v>267607</v>
      </c>
      <c r="J593" s="96">
        <f ca="1">'Planning Engine'!J593</f>
        <v>999</v>
      </c>
      <c r="K593" s="95">
        <f ca="1">'Planning Engine'!K593</f>
        <v>0</v>
      </c>
      <c r="L593" s="12" t="str">
        <f ca="1">'Planning Engine'!L593</f>
        <v>Overstock</v>
      </c>
      <c r="M593" s="93">
        <f>'Planning Engine'!S593</f>
        <v>47484</v>
      </c>
      <c r="N593" s="95">
        <f>'Planning Engine'!T593</f>
        <v>0</v>
      </c>
      <c r="O593" s="98" t="s">
        <v>1625</v>
      </c>
      <c r="P593" s="4" t="str">
        <f t="shared" ca="1" si="19"/>
        <v>Defer / consume inventory</v>
      </c>
    </row>
    <row r="594" spans="1:16" ht="13" customHeight="1" x14ac:dyDescent="0.35">
      <c r="A594" s="93">
        <v>47665</v>
      </c>
      <c r="B594" s="61" t="s">
        <v>43</v>
      </c>
      <c r="C594" s="12" t="str">
        <f>'Planning Engine'!C594</f>
        <v>Drug Product</v>
      </c>
      <c r="D594" s="12" t="str">
        <f>'Planning Engine'!D594</f>
        <v>units</v>
      </c>
      <c r="E594" s="95">
        <f>'Planning Engine'!E594</f>
        <v>267607</v>
      </c>
      <c r="F594" s="95">
        <f>'Planning Engine'!F594</f>
        <v>0</v>
      </c>
      <c r="G594" s="95">
        <f>'Planning Engine'!G594</f>
        <v>0</v>
      </c>
      <c r="H594" s="95">
        <f t="shared" si="18"/>
        <v>0</v>
      </c>
      <c r="I594" s="95">
        <f>'Planning Engine'!H594</f>
        <v>267607</v>
      </c>
      <c r="J594" s="96">
        <f ca="1">'Planning Engine'!J594</f>
        <v>999</v>
      </c>
      <c r="K594" s="95">
        <f ca="1">'Planning Engine'!K594</f>
        <v>0</v>
      </c>
      <c r="L594" s="12" t="str">
        <f ca="1">'Planning Engine'!L594</f>
        <v>Overstock</v>
      </c>
      <c r="M594" s="93">
        <f>'Planning Engine'!S594</f>
        <v>47515</v>
      </c>
      <c r="N594" s="95">
        <f>'Planning Engine'!T594</f>
        <v>0</v>
      </c>
      <c r="O594" s="94" t="s">
        <v>1626</v>
      </c>
      <c r="P594" s="12" t="str">
        <f t="shared" ca="1" si="19"/>
        <v>Defer / consume inventory</v>
      </c>
    </row>
    <row r="595" spans="1:16" ht="13" customHeight="1" x14ac:dyDescent="0.35">
      <c r="A595" s="97">
        <v>47696</v>
      </c>
      <c r="B595" s="53" t="s">
        <v>43</v>
      </c>
      <c r="C595" s="12" t="str">
        <f>'Planning Engine'!C595</f>
        <v>Drug Product</v>
      </c>
      <c r="D595" s="12" t="str">
        <f>'Planning Engine'!D595</f>
        <v>units</v>
      </c>
      <c r="E595" s="95">
        <f>'Planning Engine'!E595</f>
        <v>267607</v>
      </c>
      <c r="F595" s="95">
        <f>'Planning Engine'!F595</f>
        <v>0</v>
      </c>
      <c r="G595" s="95">
        <f>'Planning Engine'!G595</f>
        <v>0</v>
      </c>
      <c r="H595" s="99">
        <f t="shared" si="18"/>
        <v>0</v>
      </c>
      <c r="I595" s="95">
        <f>'Planning Engine'!H595</f>
        <v>267607</v>
      </c>
      <c r="J595" s="96">
        <f ca="1">'Planning Engine'!J595</f>
        <v>999</v>
      </c>
      <c r="K595" s="95">
        <f ca="1">'Planning Engine'!K595</f>
        <v>0</v>
      </c>
      <c r="L595" s="12" t="str">
        <f ca="1">'Planning Engine'!L595</f>
        <v>Overstock</v>
      </c>
      <c r="M595" s="93">
        <f>'Planning Engine'!S595</f>
        <v>47543</v>
      </c>
      <c r="N595" s="95">
        <f>'Planning Engine'!T595</f>
        <v>0</v>
      </c>
      <c r="O595" s="98" t="s">
        <v>1627</v>
      </c>
      <c r="P595" s="4" t="str">
        <f t="shared" ca="1" si="19"/>
        <v>Defer / consume inventory</v>
      </c>
    </row>
    <row r="596" spans="1:16" ht="13" customHeight="1" x14ac:dyDescent="0.35">
      <c r="A596" s="93">
        <v>47727</v>
      </c>
      <c r="B596" s="61" t="s">
        <v>43</v>
      </c>
      <c r="C596" s="12" t="str">
        <f>'Planning Engine'!C596</f>
        <v>Drug Product</v>
      </c>
      <c r="D596" s="12" t="str">
        <f>'Planning Engine'!D596</f>
        <v>units</v>
      </c>
      <c r="E596" s="95">
        <f>'Planning Engine'!E596</f>
        <v>267607</v>
      </c>
      <c r="F596" s="95">
        <f>'Planning Engine'!F596</f>
        <v>0</v>
      </c>
      <c r="G596" s="95">
        <f>'Planning Engine'!G596</f>
        <v>0</v>
      </c>
      <c r="H596" s="95">
        <f t="shared" si="18"/>
        <v>0</v>
      </c>
      <c r="I596" s="95">
        <f>'Planning Engine'!H596</f>
        <v>267607</v>
      </c>
      <c r="J596" s="96">
        <f ca="1">'Planning Engine'!J596</f>
        <v>999</v>
      </c>
      <c r="K596" s="95">
        <f ca="1">'Planning Engine'!K596</f>
        <v>0</v>
      </c>
      <c r="L596" s="12" t="str">
        <f ca="1">'Planning Engine'!L596</f>
        <v>Overstock</v>
      </c>
      <c r="M596" s="93">
        <f>'Planning Engine'!S596</f>
        <v>47574</v>
      </c>
      <c r="N596" s="95">
        <f>'Planning Engine'!T596</f>
        <v>0</v>
      </c>
      <c r="O596" s="94" t="s">
        <v>1628</v>
      </c>
      <c r="P596" s="12" t="str">
        <f t="shared" ca="1" si="19"/>
        <v>Defer / consume inventory</v>
      </c>
    </row>
    <row r="597" spans="1:16" ht="13" customHeight="1" x14ac:dyDescent="0.35">
      <c r="A597" s="97">
        <v>47757</v>
      </c>
      <c r="B597" s="53" t="s">
        <v>43</v>
      </c>
      <c r="C597" s="12" t="str">
        <f>'Planning Engine'!C597</f>
        <v>Drug Product</v>
      </c>
      <c r="D597" s="12" t="str">
        <f>'Planning Engine'!D597</f>
        <v>units</v>
      </c>
      <c r="E597" s="95">
        <f>'Planning Engine'!E597</f>
        <v>267607</v>
      </c>
      <c r="F597" s="95">
        <f>'Planning Engine'!F597</f>
        <v>0</v>
      </c>
      <c r="G597" s="95">
        <f>'Planning Engine'!G597</f>
        <v>0</v>
      </c>
      <c r="H597" s="99">
        <f t="shared" si="18"/>
        <v>0</v>
      </c>
      <c r="I597" s="95">
        <f>'Planning Engine'!H597</f>
        <v>267607</v>
      </c>
      <c r="J597" s="96">
        <f ca="1">'Planning Engine'!J597</f>
        <v>999</v>
      </c>
      <c r="K597" s="95">
        <f ca="1">'Planning Engine'!K597</f>
        <v>0</v>
      </c>
      <c r="L597" s="12" t="str">
        <f ca="1">'Planning Engine'!L597</f>
        <v>Overstock</v>
      </c>
      <c r="M597" s="93">
        <f>'Planning Engine'!S597</f>
        <v>47604</v>
      </c>
      <c r="N597" s="95">
        <f>'Planning Engine'!T597</f>
        <v>0</v>
      </c>
      <c r="O597" s="98" t="s">
        <v>1629</v>
      </c>
      <c r="P597" s="4" t="str">
        <f t="shared" ca="1" si="19"/>
        <v>Defer / consume inventory</v>
      </c>
    </row>
    <row r="598" spans="1:16" ht="13" customHeight="1" x14ac:dyDescent="0.35">
      <c r="A598" s="93">
        <v>47788</v>
      </c>
      <c r="B598" s="61" t="s">
        <v>43</v>
      </c>
      <c r="C598" s="12" t="str">
        <f>'Planning Engine'!C598</f>
        <v>Drug Product</v>
      </c>
      <c r="D598" s="12" t="str">
        <f>'Planning Engine'!D598</f>
        <v>units</v>
      </c>
      <c r="E598" s="95">
        <f>'Planning Engine'!E598</f>
        <v>267607</v>
      </c>
      <c r="F598" s="95">
        <f>'Planning Engine'!F598</f>
        <v>0</v>
      </c>
      <c r="G598" s="95">
        <f>'Planning Engine'!G598</f>
        <v>0</v>
      </c>
      <c r="H598" s="95">
        <f t="shared" si="18"/>
        <v>0</v>
      </c>
      <c r="I598" s="95">
        <f>'Planning Engine'!H598</f>
        <v>267607</v>
      </c>
      <c r="J598" s="96">
        <f ca="1">'Planning Engine'!J598</f>
        <v>999</v>
      </c>
      <c r="K598" s="95">
        <f ca="1">'Planning Engine'!K598</f>
        <v>0</v>
      </c>
      <c r="L598" s="12" t="str">
        <f ca="1">'Planning Engine'!L598</f>
        <v>Overstock</v>
      </c>
      <c r="M598" s="93">
        <f>'Planning Engine'!S598</f>
        <v>47635</v>
      </c>
      <c r="N598" s="95">
        <f>'Planning Engine'!T598</f>
        <v>0</v>
      </c>
      <c r="O598" s="94" t="s">
        <v>1630</v>
      </c>
      <c r="P598" s="12" t="str">
        <f t="shared" ca="1" si="19"/>
        <v>Defer / consume inventory</v>
      </c>
    </row>
    <row r="599" spans="1:16" ht="13" customHeight="1" x14ac:dyDescent="0.35">
      <c r="A599" s="97">
        <v>47818</v>
      </c>
      <c r="B599" s="53" t="s">
        <v>43</v>
      </c>
      <c r="C599" s="12" t="str">
        <f>'Planning Engine'!C599</f>
        <v>Drug Product</v>
      </c>
      <c r="D599" s="12" t="str">
        <f>'Planning Engine'!D599</f>
        <v>units</v>
      </c>
      <c r="E599" s="95">
        <f>'Planning Engine'!E599</f>
        <v>267607</v>
      </c>
      <c r="F599" s="95">
        <f>'Planning Engine'!F599</f>
        <v>0</v>
      </c>
      <c r="G599" s="95">
        <f>'Planning Engine'!G599</f>
        <v>0</v>
      </c>
      <c r="H599" s="99">
        <f t="shared" si="18"/>
        <v>0</v>
      </c>
      <c r="I599" s="95">
        <f>'Planning Engine'!H599</f>
        <v>267607</v>
      </c>
      <c r="J599" s="96">
        <f ca="1">'Planning Engine'!J599</f>
        <v>999</v>
      </c>
      <c r="K599" s="95">
        <f ca="1">'Planning Engine'!K599</f>
        <v>0</v>
      </c>
      <c r="L599" s="12" t="str">
        <f ca="1">'Planning Engine'!L599</f>
        <v>Overstock</v>
      </c>
      <c r="M599" s="93">
        <f>'Planning Engine'!S599</f>
        <v>47665</v>
      </c>
      <c r="N599" s="95">
        <f>'Planning Engine'!T599</f>
        <v>0</v>
      </c>
      <c r="O599" s="98" t="s">
        <v>1631</v>
      </c>
      <c r="P599" s="4" t="str">
        <f t="shared" ca="1" si="19"/>
        <v>Defer / consume inventory</v>
      </c>
    </row>
    <row r="600" spans="1:16" ht="13" customHeight="1" x14ac:dyDescent="0.35">
      <c r="A600" s="93">
        <v>47849</v>
      </c>
      <c r="B600" s="61" t="s">
        <v>43</v>
      </c>
      <c r="C600" s="12" t="str">
        <f>'Planning Engine'!C600</f>
        <v>Drug Product</v>
      </c>
      <c r="D600" s="12" t="str">
        <f>'Planning Engine'!D600</f>
        <v>units</v>
      </c>
      <c r="E600" s="95">
        <f>'Planning Engine'!E600</f>
        <v>267607</v>
      </c>
      <c r="F600" s="95">
        <f>'Planning Engine'!F600</f>
        <v>0</v>
      </c>
      <c r="G600" s="95">
        <f>'Planning Engine'!G600</f>
        <v>0</v>
      </c>
      <c r="H600" s="95">
        <f t="shared" si="18"/>
        <v>0</v>
      </c>
      <c r="I600" s="95">
        <f>'Planning Engine'!H600</f>
        <v>267607</v>
      </c>
      <c r="J600" s="96">
        <f ca="1">'Planning Engine'!J600</f>
        <v>999</v>
      </c>
      <c r="K600" s="95">
        <f ca="1">'Planning Engine'!K600</f>
        <v>0</v>
      </c>
      <c r="L600" s="12" t="str">
        <f ca="1">'Planning Engine'!L600</f>
        <v>Overstock</v>
      </c>
      <c r="M600" s="93">
        <f>'Planning Engine'!S600</f>
        <v>47696</v>
      </c>
      <c r="N600" s="95">
        <f>'Planning Engine'!T600</f>
        <v>0</v>
      </c>
      <c r="O600" s="94" t="s">
        <v>1632</v>
      </c>
      <c r="P600" s="12" t="str">
        <f t="shared" ca="1" si="19"/>
        <v>Defer / consume inventory</v>
      </c>
    </row>
    <row r="601" spans="1:16" ht="13" customHeight="1" x14ac:dyDescent="0.35">
      <c r="A601" s="97">
        <v>47880</v>
      </c>
      <c r="B601" s="53" t="s">
        <v>43</v>
      </c>
      <c r="C601" s="12" t="str">
        <f>'Planning Engine'!C601</f>
        <v>Drug Product</v>
      </c>
      <c r="D601" s="12" t="str">
        <f>'Planning Engine'!D601</f>
        <v>units</v>
      </c>
      <c r="E601" s="95">
        <f>'Planning Engine'!E601</f>
        <v>267607</v>
      </c>
      <c r="F601" s="95">
        <f>'Planning Engine'!F601</f>
        <v>0</v>
      </c>
      <c r="G601" s="95">
        <f>'Planning Engine'!G601</f>
        <v>0</v>
      </c>
      <c r="H601" s="99">
        <f t="shared" si="18"/>
        <v>0</v>
      </c>
      <c r="I601" s="95">
        <f>'Planning Engine'!H601</f>
        <v>267607</v>
      </c>
      <c r="J601" s="96">
        <f ca="1">'Planning Engine'!J601</f>
        <v>999</v>
      </c>
      <c r="K601" s="95">
        <f ca="1">'Planning Engine'!K601</f>
        <v>0</v>
      </c>
      <c r="L601" s="12" t="str">
        <f ca="1">'Planning Engine'!L601</f>
        <v>Overstock</v>
      </c>
      <c r="M601" s="93">
        <f>'Planning Engine'!S601</f>
        <v>47727</v>
      </c>
      <c r="N601" s="95">
        <f>'Planning Engine'!T601</f>
        <v>0</v>
      </c>
      <c r="O601" s="98" t="s">
        <v>1633</v>
      </c>
      <c r="P601" s="4" t="str">
        <f t="shared" ca="1" si="19"/>
        <v>Defer / consume inventory</v>
      </c>
    </row>
    <row r="602" spans="1:16" ht="13" customHeight="1" x14ac:dyDescent="0.35">
      <c r="A602" s="93">
        <v>47908</v>
      </c>
      <c r="B602" s="61" t="s">
        <v>43</v>
      </c>
      <c r="C602" s="12" t="str">
        <f>'Planning Engine'!C602</f>
        <v>Drug Product</v>
      </c>
      <c r="D602" s="12" t="str">
        <f>'Planning Engine'!D602</f>
        <v>units</v>
      </c>
      <c r="E602" s="95">
        <f>'Planning Engine'!E602</f>
        <v>267607</v>
      </c>
      <c r="F602" s="95">
        <f>'Planning Engine'!F602</f>
        <v>0</v>
      </c>
      <c r="G602" s="95">
        <f>'Planning Engine'!G602</f>
        <v>0</v>
      </c>
      <c r="H602" s="95">
        <f t="shared" si="18"/>
        <v>0</v>
      </c>
      <c r="I602" s="95">
        <f>'Planning Engine'!H602</f>
        <v>267607</v>
      </c>
      <c r="J602" s="96">
        <f ca="1">'Planning Engine'!J602</f>
        <v>999</v>
      </c>
      <c r="K602" s="95">
        <f ca="1">'Planning Engine'!K602</f>
        <v>0</v>
      </c>
      <c r="L602" s="12" t="str">
        <f ca="1">'Planning Engine'!L602</f>
        <v>Overstock</v>
      </c>
      <c r="M602" s="93">
        <f>'Planning Engine'!S602</f>
        <v>47757</v>
      </c>
      <c r="N602" s="95">
        <f>'Planning Engine'!T602</f>
        <v>0</v>
      </c>
      <c r="O602" s="94" t="s">
        <v>1634</v>
      </c>
      <c r="P602" s="12" t="str">
        <f t="shared" ca="1" si="19"/>
        <v>Defer / consume inventory</v>
      </c>
    </row>
    <row r="603" spans="1:16" ht="13" customHeight="1" x14ac:dyDescent="0.35">
      <c r="A603" s="97">
        <v>47939</v>
      </c>
      <c r="B603" s="53" t="s">
        <v>43</v>
      </c>
      <c r="C603" s="12" t="str">
        <f>'Planning Engine'!C603</f>
        <v>Drug Product</v>
      </c>
      <c r="D603" s="12" t="str">
        <f>'Planning Engine'!D603</f>
        <v>units</v>
      </c>
      <c r="E603" s="95">
        <f>'Planning Engine'!E603</f>
        <v>267607</v>
      </c>
      <c r="F603" s="95">
        <f>'Planning Engine'!F603</f>
        <v>0</v>
      </c>
      <c r="G603" s="95">
        <f>'Planning Engine'!G603</f>
        <v>0</v>
      </c>
      <c r="H603" s="99">
        <f t="shared" si="18"/>
        <v>0</v>
      </c>
      <c r="I603" s="95">
        <f>'Planning Engine'!H603</f>
        <v>267607</v>
      </c>
      <c r="J603" s="96">
        <f ca="1">'Planning Engine'!J603</f>
        <v>999</v>
      </c>
      <c r="K603" s="95">
        <f ca="1">'Planning Engine'!K603</f>
        <v>0</v>
      </c>
      <c r="L603" s="12" t="str">
        <f ca="1">'Planning Engine'!L603</f>
        <v>Overstock</v>
      </c>
      <c r="M603" s="93">
        <f>'Planning Engine'!S603</f>
        <v>47788</v>
      </c>
      <c r="N603" s="95">
        <f>'Planning Engine'!T603</f>
        <v>0</v>
      </c>
      <c r="O603" s="98" t="s">
        <v>1635</v>
      </c>
      <c r="P603" s="4" t="str">
        <f t="shared" ca="1" si="19"/>
        <v>Defer / consume inventory</v>
      </c>
    </row>
    <row r="604" spans="1:16" ht="13" customHeight="1" x14ac:dyDescent="0.35">
      <c r="A604" s="93">
        <v>47969</v>
      </c>
      <c r="B604" s="61" t="s">
        <v>43</v>
      </c>
      <c r="C604" s="12" t="str">
        <f>'Planning Engine'!C604</f>
        <v>Drug Product</v>
      </c>
      <c r="D604" s="12" t="str">
        <f>'Planning Engine'!D604</f>
        <v>units</v>
      </c>
      <c r="E604" s="95">
        <f>'Planning Engine'!E604</f>
        <v>267607</v>
      </c>
      <c r="F604" s="95">
        <f>'Planning Engine'!F604</f>
        <v>0</v>
      </c>
      <c r="G604" s="95">
        <f>'Planning Engine'!G604</f>
        <v>0</v>
      </c>
      <c r="H604" s="95">
        <f t="shared" si="18"/>
        <v>0</v>
      </c>
      <c r="I604" s="95">
        <f>'Planning Engine'!H604</f>
        <v>267607</v>
      </c>
      <c r="J604" s="96">
        <f ca="1">'Planning Engine'!J604</f>
        <v>999</v>
      </c>
      <c r="K604" s="95">
        <f ca="1">'Planning Engine'!K604</f>
        <v>0</v>
      </c>
      <c r="L604" s="12" t="str">
        <f ca="1">'Planning Engine'!L604</f>
        <v>Overstock</v>
      </c>
      <c r="M604" s="93">
        <f>'Planning Engine'!S604</f>
        <v>47818</v>
      </c>
      <c r="N604" s="95">
        <f>'Planning Engine'!T604</f>
        <v>0</v>
      </c>
      <c r="O604" s="94" t="s">
        <v>1636</v>
      </c>
      <c r="P604" s="12" t="str">
        <f t="shared" ca="1" si="19"/>
        <v>Defer / consume inventory</v>
      </c>
    </row>
    <row r="605" spans="1:16" ht="13" customHeight="1" x14ac:dyDescent="0.35">
      <c r="A605" s="97">
        <v>48000</v>
      </c>
      <c r="B605" s="53" t="s">
        <v>43</v>
      </c>
      <c r="C605" s="12" t="str">
        <f>'Planning Engine'!C605</f>
        <v>Drug Product</v>
      </c>
      <c r="D605" s="12" t="str">
        <f>'Planning Engine'!D605</f>
        <v>units</v>
      </c>
      <c r="E605" s="95">
        <f>'Planning Engine'!E605</f>
        <v>267607</v>
      </c>
      <c r="F605" s="95">
        <f>'Planning Engine'!F605</f>
        <v>0</v>
      </c>
      <c r="G605" s="95">
        <f>'Planning Engine'!G605</f>
        <v>0</v>
      </c>
      <c r="H605" s="99">
        <f t="shared" si="18"/>
        <v>0</v>
      </c>
      <c r="I605" s="95">
        <f>'Planning Engine'!H605</f>
        <v>267607</v>
      </c>
      <c r="J605" s="96">
        <f ca="1">'Planning Engine'!J605</f>
        <v>999</v>
      </c>
      <c r="K605" s="95">
        <f ca="1">'Planning Engine'!K605</f>
        <v>0</v>
      </c>
      <c r="L605" s="12" t="str">
        <f ca="1">'Planning Engine'!L605</f>
        <v>Overstock</v>
      </c>
      <c r="M605" s="93">
        <f>'Planning Engine'!S605</f>
        <v>47849</v>
      </c>
      <c r="N605" s="95">
        <f>'Planning Engine'!T605</f>
        <v>0</v>
      </c>
      <c r="O605" s="98" t="s">
        <v>1637</v>
      </c>
      <c r="P605" s="4" t="str">
        <f t="shared" ca="1" si="19"/>
        <v>Defer / consume inventory</v>
      </c>
    </row>
    <row r="606" spans="1:16" ht="13" customHeight="1" x14ac:dyDescent="0.35">
      <c r="A606" s="93">
        <v>48030</v>
      </c>
      <c r="B606" s="61" t="s">
        <v>43</v>
      </c>
      <c r="C606" s="12" t="str">
        <f>'Planning Engine'!C606</f>
        <v>Drug Product</v>
      </c>
      <c r="D606" s="12" t="str">
        <f>'Planning Engine'!D606</f>
        <v>units</v>
      </c>
      <c r="E606" s="95">
        <f>'Planning Engine'!E606</f>
        <v>267607</v>
      </c>
      <c r="F606" s="95">
        <f>'Planning Engine'!F606</f>
        <v>0</v>
      </c>
      <c r="G606" s="95">
        <f>'Planning Engine'!G606</f>
        <v>0</v>
      </c>
      <c r="H606" s="95">
        <f t="shared" si="18"/>
        <v>0</v>
      </c>
      <c r="I606" s="95">
        <f>'Planning Engine'!H606</f>
        <v>267607</v>
      </c>
      <c r="J606" s="96">
        <f ca="1">'Planning Engine'!J606</f>
        <v>999</v>
      </c>
      <c r="K606" s="95">
        <f ca="1">'Planning Engine'!K606</f>
        <v>0</v>
      </c>
      <c r="L606" s="12" t="str">
        <f ca="1">'Planning Engine'!L606</f>
        <v>Overstock</v>
      </c>
      <c r="M606" s="93">
        <f>'Planning Engine'!S606</f>
        <v>47880</v>
      </c>
      <c r="N606" s="95">
        <f>'Planning Engine'!T606</f>
        <v>0</v>
      </c>
      <c r="O606" s="94" t="s">
        <v>1638</v>
      </c>
      <c r="P606" s="12" t="str">
        <f t="shared" ca="1" si="19"/>
        <v>Defer / consume inventory</v>
      </c>
    </row>
    <row r="607" spans="1:16" ht="13" customHeight="1" x14ac:dyDescent="0.35">
      <c r="A607" s="97">
        <v>48061</v>
      </c>
      <c r="B607" s="53" t="s">
        <v>43</v>
      </c>
      <c r="C607" s="12" t="str">
        <f>'Planning Engine'!C607</f>
        <v>Drug Product</v>
      </c>
      <c r="D607" s="12" t="str">
        <f>'Planning Engine'!D607</f>
        <v>units</v>
      </c>
      <c r="E607" s="95">
        <f>'Planning Engine'!E607</f>
        <v>267607</v>
      </c>
      <c r="F607" s="95">
        <f>'Planning Engine'!F607</f>
        <v>0</v>
      </c>
      <c r="G607" s="95">
        <f>'Planning Engine'!G607</f>
        <v>0</v>
      </c>
      <c r="H607" s="99">
        <f t="shared" si="18"/>
        <v>0</v>
      </c>
      <c r="I607" s="95">
        <f>'Planning Engine'!H607</f>
        <v>267607</v>
      </c>
      <c r="J607" s="96">
        <f ca="1">'Planning Engine'!J607</f>
        <v>999</v>
      </c>
      <c r="K607" s="95">
        <f ca="1">'Planning Engine'!K607</f>
        <v>0</v>
      </c>
      <c r="L607" s="12" t="str">
        <f ca="1">'Planning Engine'!L607</f>
        <v>Overstock</v>
      </c>
      <c r="M607" s="93">
        <f>'Planning Engine'!S607</f>
        <v>47908</v>
      </c>
      <c r="N607" s="95">
        <f>'Planning Engine'!T607</f>
        <v>0</v>
      </c>
      <c r="O607" s="98" t="s">
        <v>1639</v>
      </c>
      <c r="P607" s="4" t="str">
        <f t="shared" ca="1" si="19"/>
        <v>Defer / consume inventory</v>
      </c>
    </row>
    <row r="608" spans="1:16" ht="13" customHeight="1" x14ac:dyDescent="0.35">
      <c r="A608" s="93">
        <v>48092</v>
      </c>
      <c r="B608" s="61" t="s">
        <v>43</v>
      </c>
      <c r="C608" s="12" t="str">
        <f>'Planning Engine'!C608</f>
        <v>Drug Product</v>
      </c>
      <c r="D608" s="12" t="str">
        <f>'Planning Engine'!D608</f>
        <v>units</v>
      </c>
      <c r="E608" s="95">
        <f>'Planning Engine'!E608</f>
        <v>267607</v>
      </c>
      <c r="F608" s="95">
        <f>'Planning Engine'!F608</f>
        <v>0</v>
      </c>
      <c r="G608" s="95">
        <f>'Planning Engine'!G608</f>
        <v>0</v>
      </c>
      <c r="H608" s="95">
        <f t="shared" si="18"/>
        <v>0</v>
      </c>
      <c r="I608" s="95">
        <f>'Planning Engine'!H608</f>
        <v>267607</v>
      </c>
      <c r="J608" s="96">
        <f ca="1">'Planning Engine'!J608</f>
        <v>999</v>
      </c>
      <c r="K608" s="95">
        <f ca="1">'Planning Engine'!K608</f>
        <v>0</v>
      </c>
      <c r="L608" s="12" t="str">
        <f ca="1">'Planning Engine'!L608</f>
        <v>Overstock</v>
      </c>
      <c r="M608" s="93">
        <f>'Planning Engine'!S608</f>
        <v>47939</v>
      </c>
      <c r="N608" s="95">
        <f>'Planning Engine'!T608</f>
        <v>0</v>
      </c>
      <c r="O608" s="94" t="s">
        <v>1640</v>
      </c>
      <c r="P608" s="12" t="str">
        <f t="shared" ca="1" si="19"/>
        <v>Defer / consume inventory</v>
      </c>
    </row>
    <row r="609" spans="1:16" ht="13" customHeight="1" x14ac:dyDescent="0.35">
      <c r="A609" s="97">
        <v>48122</v>
      </c>
      <c r="B609" s="53" t="s">
        <v>43</v>
      </c>
      <c r="C609" s="12" t="str">
        <f>'Planning Engine'!C609</f>
        <v>Drug Product</v>
      </c>
      <c r="D609" s="12" t="str">
        <f>'Planning Engine'!D609</f>
        <v>units</v>
      </c>
      <c r="E609" s="95">
        <f>'Planning Engine'!E609</f>
        <v>267607</v>
      </c>
      <c r="F609" s="95">
        <f>'Planning Engine'!F609</f>
        <v>0</v>
      </c>
      <c r="G609" s="95">
        <f>'Planning Engine'!G609</f>
        <v>0</v>
      </c>
      <c r="H609" s="99">
        <f t="shared" si="18"/>
        <v>0</v>
      </c>
      <c r="I609" s="95">
        <f>'Planning Engine'!H609</f>
        <v>267607</v>
      </c>
      <c r="J609" s="96">
        <f ca="1">'Planning Engine'!J609</f>
        <v>999</v>
      </c>
      <c r="K609" s="95">
        <f ca="1">'Planning Engine'!K609</f>
        <v>0</v>
      </c>
      <c r="L609" s="12" t="str">
        <f ca="1">'Planning Engine'!L609</f>
        <v>Overstock</v>
      </c>
      <c r="M609" s="93">
        <f>'Planning Engine'!S609</f>
        <v>47969</v>
      </c>
      <c r="N609" s="95">
        <f>'Planning Engine'!T609</f>
        <v>0</v>
      </c>
      <c r="O609" s="98" t="s">
        <v>1641</v>
      </c>
      <c r="P609" s="4" t="str">
        <f t="shared" ca="1" si="19"/>
        <v>Defer / consume inventory</v>
      </c>
    </row>
    <row r="610" spans="1:16" ht="13" customHeight="1" x14ac:dyDescent="0.35">
      <c r="A610" s="93">
        <v>48153</v>
      </c>
      <c r="B610" s="61" t="s">
        <v>43</v>
      </c>
      <c r="C610" s="12" t="str">
        <f>'Planning Engine'!C610</f>
        <v>Drug Product</v>
      </c>
      <c r="D610" s="12" t="str">
        <f>'Planning Engine'!D610</f>
        <v>units</v>
      </c>
      <c r="E610" s="95">
        <f>'Planning Engine'!E610</f>
        <v>267607</v>
      </c>
      <c r="F610" s="95">
        <f>'Planning Engine'!F610</f>
        <v>0</v>
      </c>
      <c r="G610" s="95">
        <f>'Planning Engine'!G610</f>
        <v>0</v>
      </c>
      <c r="H610" s="95">
        <f t="shared" si="18"/>
        <v>0</v>
      </c>
      <c r="I610" s="95">
        <f>'Planning Engine'!H610</f>
        <v>267607</v>
      </c>
      <c r="J610" s="96">
        <f ca="1">'Planning Engine'!J610</f>
        <v>999</v>
      </c>
      <c r="K610" s="95">
        <f ca="1">'Planning Engine'!K610</f>
        <v>0</v>
      </c>
      <c r="L610" s="12" t="str">
        <f ca="1">'Planning Engine'!L610</f>
        <v>Overstock</v>
      </c>
      <c r="M610" s="93">
        <f>'Planning Engine'!S610</f>
        <v>48000</v>
      </c>
      <c r="N610" s="95">
        <f>'Planning Engine'!T610</f>
        <v>0</v>
      </c>
      <c r="O610" s="94" t="s">
        <v>1642</v>
      </c>
      <c r="P610" s="12" t="str">
        <f t="shared" ca="1" si="19"/>
        <v>Defer / consume inventory</v>
      </c>
    </row>
    <row r="611" spans="1:16" ht="13" customHeight="1" x14ac:dyDescent="0.35">
      <c r="A611" s="97">
        <v>48183</v>
      </c>
      <c r="B611" s="53" t="s">
        <v>43</v>
      </c>
      <c r="C611" s="12" t="str">
        <f>'Planning Engine'!C611</f>
        <v>Drug Product</v>
      </c>
      <c r="D611" s="12" t="str">
        <f>'Planning Engine'!D611</f>
        <v>units</v>
      </c>
      <c r="E611" s="95">
        <f>'Planning Engine'!E611</f>
        <v>267607</v>
      </c>
      <c r="F611" s="95">
        <f>'Planning Engine'!F611</f>
        <v>0</v>
      </c>
      <c r="G611" s="95">
        <f>'Planning Engine'!G611</f>
        <v>0</v>
      </c>
      <c r="H611" s="99">
        <f t="shared" si="18"/>
        <v>0</v>
      </c>
      <c r="I611" s="95">
        <f>'Planning Engine'!H611</f>
        <v>267607</v>
      </c>
      <c r="J611" s="96">
        <f ca="1">'Planning Engine'!J611</f>
        <v>999</v>
      </c>
      <c r="K611" s="95">
        <f ca="1">'Planning Engine'!K611</f>
        <v>0</v>
      </c>
      <c r="L611" s="12" t="str">
        <f ca="1">'Planning Engine'!L611</f>
        <v>Overstock</v>
      </c>
      <c r="M611" s="93">
        <f>'Planning Engine'!S611</f>
        <v>48030</v>
      </c>
      <c r="N611" s="95">
        <f>'Planning Engine'!T611</f>
        <v>0</v>
      </c>
      <c r="O611" s="98" t="s">
        <v>1643</v>
      </c>
      <c r="P611" s="4" t="str">
        <f t="shared" ca="1" si="19"/>
        <v>Defer / consume inventory</v>
      </c>
    </row>
    <row r="612" spans="1:16" ht="13" customHeight="1" x14ac:dyDescent="0.35">
      <c r="A612" s="93">
        <v>48214</v>
      </c>
      <c r="B612" s="61" t="s">
        <v>43</v>
      </c>
      <c r="C612" s="12" t="str">
        <f>'Planning Engine'!C612</f>
        <v>Drug Product</v>
      </c>
      <c r="D612" s="12" t="str">
        <f>'Planning Engine'!D612</f>
        <v>units</v>
      </c>
      <c r="E612" s="95">
        <f>'Planning Engine'!E612</f>
        <v>267607</v>
      </c>
      <c r="F612" s="95">
        <f>'Planning Engine'!F612</f>
        <v>0</v>
      </c>
      <c r="G612" s="95">
        <f>'Planning Engine'!G612</f>
        <v>0</v>
      </c>
      <c r="H612" s="95">
        <f t="shared" si="18"/>
        <v>0</v>
      </c>
      <c r="I612" s="95">
        <f>'Planning Engine'!H612</f>
        <v>267607</v>
      </c>
      <c r="J612" s="96">
        <f ca="1">'Planning Engine'!J612</f>
        <v>999</v>
      </c>
      <c r="K612" s="95">
        <f ca="1">'Planning Engine'!K612</f>
        <v>0</v>
      </c>
      <c r="L612" s="12" t="str">
        <f ca="1">'Planning Engine'!L612</f>
        <v>Overstock</v>
      </c>
      <c r="M612" s="93">
        <f>'Planning Engine'!S612</f>
        <v>48061</v>
      </c>
      <c r="N612" s="95">
        <f>'Planning Engine'!T612</f>
        <v>0</v>
      </c>
      <c r="O612" s="94" t="s">
        <v>1644</v>
      </c>
      <c r="P612" s="12" t="str">
        <f t="shared" ca="1" si="19"/>
        <v>Defer / consume inventory</v>
      </c>
    </row>
    <row r="613" spans="1:16" ht="13" customHeight="1" x14ac:dyDescent="0.35">
      <c r="A613" s="97">
        <v>48245</v>
      </c>
      <c r="B613" s="53" t="s">
        <v>43</v>
      </c>
      <c r="C613" s="12" t="str">
        <f>'Planning Engine'!C613</f>
        <v>Drug Product</v>
      </c>
      <c r="D613" s="12" t="str">
        <f>'Planning Engine'!D613</f>
        <v>units</v>
      </c>
      <c r="E613" s="95">
        <f>'Planning Engine'!E613</f>
        <v>267607</v>
      </c>
      <c r="F613" s="95">
        <f>'Planning Engine'!F613</f>
        <v>0</v>
      </c>
      <c r="G613" s="95">
        <f>'Planning Engine'!G613</f>
        <v>0</v>
      </c>
      <c r="H613" s="99">
        <f t="shared" si="18"/>
        <v>0</v>
      </c>
      <c r="I613" s="95">
        <f>'Planning Engine'!H613</f>
        <v>267607</v>
      </c>
      <c r="J613" s="96">
        <f ca="1">'Planning Engine'!J613</f>
        <v>999</v>
      </c>
      <c r="K613" s="95">
        <f ca="1">'Planning Engine'!K613</f>
        <v>0</v>
      </c>
      <c r="L613" s="12" t="str">
        <f ca="1">'Planning Engine'!L613</f>
        <v>Overstock</v>
      </c>
      <c r="M613" s="93">
        <f>'Planning Engine'!S613</f>
        <v>48092</v>
      </c>
      <c r="N613" s="95">
        <f>'Planning Engine'!T613</f>
        <v>0</v>
      </c>
      <c r="O613" s="98" t="s">
        <v>1645</v>
      </c>
      <c r="P613" s="4" t="str">
        <f t="shared" ca="1" si="19"/>
        <v>Defer / consume inventory</v>
      </c>
    </row>
    <row r="614" spans="1:16" ht="13" customHeight="1" x14ac:dyDescent="0.35">
      <c r="A614" s="93">
        <v>48274</v>
      </c>
      <c r="B614" s="61" t="s">
        <v>43</v>
      </c>
      <c r="C614" s="12" t="str">
        <f>'Planning Engine'!C614</f>
        <v>Drug Product</v>
      </c>
      <c r="D614" s="12" t="str">
        <f>'Planning Engine'!D614</f>
        <v>units</v>
      </c>
      <c r="E614" s="95">
        <f>'Planning Engine'!E614</f>
        <v>267607</v>
      </c>
      <c r="F614" s="95">
        <f>'Planning Engine'!F614</f>
        <v>0</v>
      </c>
      <c r="G614" s="95">
        <f>'Planning Engine'!G614</f>
        <v>0</v>
      </c>
      <c r="H614" s="95">
        <f t="shared" si="18"/>
        <v>0</v>
      </c>
      <c r="I614" s="95">
        <f>'Planning Engine'!H614</f>
        <v>267607</v>
      </c>
      <c r="J614" s="96">
        <f ca="1">'Planning Engine'!J614</f>
        <v>999</v>
      </c>
      <c r="K614" s="95">
        <f ca="1">'Planning Engine'!K614</f>
        <v>0</v>
      </c>
      <c r="L614" s="12" t="str">
        <f ca="1">'Planning Engine'!L614</f>
        <v>Overstock</v>
      </c>
      <c r="M614" s="93">
        <f>'Planning Engine'!S614</f>
        <v>48122</v>
      </c>
      <c r="N614" s="95">
        <f>'Planning Engine'!T614</f>
        <v>0</v>
      </c>
      <c r="O614" s="94" t="s">
        <v>1646</v>
      </c>
      <c r="P614" s="12" t="str">
        <f t="shared" ca="1" si="19"/>
        <v>Defer / consume inventory</v>
      </c>
    </row>
    <row r="615" spans="1:16" ht="13" customHeight="1" x14ac:dyDescent="0.35">
      <c r="A615" s="97">
        <v>48305</v>
      </c>
      <c r="B615" s="53" t="s">
        <v>43</v>
      </c>
      <c r="C615" s="12" t="str">
        <f>'Planning Engine'!C615</f>
        <v>Drug Product</v>
      </c>
      <c r="D615" s="12" t="str">
        <f>'Planning Engine'!D615</f>
        <v>units</v>
      </c>
      <c r="E615" s="95">
        <f>'Planning Engine'!E615</f>
        <v>267607</v>
      </c>
      <c r="F615" s="95">
        <f>'Planning Engine'!F615</f>
        <v>0</v>
      </c>
      <c r="G615" s="95">
        <f>'Planning Engine'!G615</f>
        <v>0</v>
      </c>
      <c r="H615" s="99">
        <f t="shared" si="18"/>
        <v>0</v>
      </c>
      <c r="I615" s="95">
        <f>'Planning Engine'!H615</f>
        <v>267607</v>
      </c>
      <c r="J615" s="96">
        <f ca="1">'Planning Engine'!J615</f>
        <v>999</v>
      </c>
      <c r="K615" s="95">
        <f ca="1">'Planning Engine'!K615</f>
        <v>0</v>
      </c>
      <c r="L615" s="12" t="str">
        <f ca="1">'Planning Engine'!L615</f>
        <v>Overstock</v>
      </c>
      <c r="M615" s="93">
        <f>'Planning Engine'!S615</f>
        <v>48153</v>
      </c>
      <c r="N615" s="95">
        <f>'Planning Engine'!T615</f>
        <v>0</v>
      </c>
      <c r="O615" s="98" t="s">
        <v>1647</v>
      </c>
      <c r="P615" s="4" t="str">
        <f t="shared" ca="1" si="19"/>
        <v>Defer / consume inventory</v>
      </c>
    </row>
    <row r="616" spans="1:16" ht="13" customHeight="1" x14ac:dyDescent="0.35">
      <c r="A616" s="93">
        <v>48335</v>
      </c>
      <c r="B616" s="61" t="s">
        <v>43</v>
      </c>
      <c r="C616" s="12" t="str">
        <f>'Planning Engine'!C616</f>
        <v>Drug Product</v>
      </c>
      <c r="D616" s="12" t="str">
        <f>'Planning Engine'!D616</f>
        <v>units</v>
      </c>
      <c r="E616" s="95">
        <f>'Planning Engine'!E616</f>
        <v>267607</v>
      </c>
      <c r="F616" s="95">
        <f>'Planning Engine'!F616</f>
        <v>0</v>
      </c>
      <c r="G616" s="95">
        <f>'Planning Engine'!G616</f>
        <v>0</v>
      </c>
      <c r="H616" s="95">
        <f t="shared" si="18"/>
        <v>0</v>
      </c>
      <c r="I616" s="95">
        <f>'Planning Engine'!H616</f>
        <v>267607</v>
      </c>
      <c r="J616" s="96">
        <f ca="1">'Planning Engine'!J616</f>
        <v>999</v>
      </c>
      <c r="K616" s="95">
        <f ca="1">'Planning Engine'!K616</f>
        <v>0</v>
      </c>
      <c r="L616" s="12" t="str">
        <f ca="1">'Planning Engine'!L616</f>
        <v>Overstock</v>
      </c>
      <c r="M616" s="93">
        <f>'Planning Engine'!S616</f>
        <v>48183</v>
      </c>
      <c r="N616" s="95">
        <f>'Planning Engine'!T616</f>
        <v>0</v>
      </c>
      <c r="O616" s="94" t="s">
        <v>1648</v>
      </c>
      <c r="P616" s="12" t="str">
        <f t="shared" ca="1" si="19"/>
        <v>Defer / consume inventory</v>
      </c>
    </row>
    <row r="617" spans="1:16" ht="13" customHeight="1" x14ac:dyDescent="0.35">
      <c r="A617" s="97">
        <v>48366</v>
      </c>
      <c r="B617" s="53" t="s">
        <v>43</v>
      </c>
      <c r="C617" s="12" t="str">
        <f>'Planning Engine'!C617</f>
        <v>Drug Product</v>
      </c>
      <c r="D617" s="12" t="str">
        <f>'Planning Engine'!D617</f>
        <v>units</v>
      </c>
      <c r="E617" s="95">
        <f>'Planning Engine'!E617</f>
        <v>267607</v>
      </c>
      <c r="F617" s="95">
        <f>'Planning Engine'!F617</f>
        <v>0</v>
      </c>
      <c r="G617" s="95">
        <f>'Planning Engine'!G617</f>
        <v>0</v>
      </c>
      <c r="H617" s="99">
        <f t="shared" si="18"/>
        <v>0</v>
      </c>
      <c r="I617" s="95">
        <f>'Planning Engine'!H617</f>
        <v>267607</v>
      </c>
      <c r="J617" s="96">
        <f ca="1">'Planning Engine'!J617</f>
        <v>999</v>
      </c>
      <c r="K617" s="95">
        <f ca="1">'Planning Engine'!K617</f>
        <v>0</v>
      </c>
      <c r="L617" s="12" t="str">
        <f ca="1">'Planning Engine'!L617</f>
        <v>Overstock</v>
      </c>
      <c r="M617" s="93">
        <f>'Planning Engine'!S617</f>
        <v>48214</v>
      </c>
      <c r="N617" s="95">
        <f>'Planning Engine'!T617</f>
        <v>0</v>
      </c>
      <c r="O617" s="98" t="s">
        <v>1649</v>
      </c>
      <c r="P617" s="4" t="str">
        <f t="shared" ca="1" si="19"/>
        <v>Defer / consume inventory</v>
      </c>
    </row>
    <row r="618" spans="1:16" ht="13" customHeight="1" x14ac:dyDescent="0.35">
      <c r="A618" s="93">
        <v>48396</v>
      </c>
      <c r="B618" s="61" t="s">
        <v>43</v>
      </c>
      <c r="C618" s="12" t="str">
        <f>'Planning Engine'!C618</f>
        <v>Drug Product</v>
      </c>
      <c r="D618" s="12" t="str">
        <f>'Planning Engine'!D618</f>
        <v>units</v>
      </c>
      <c r="E618" s="95">
        <f>'Planning Engine'!E618</f>
        <v>267607</v>
      </c>
      <c r="F618" s="95">
        <f>'Planning Engine'!F618</f>
        <v>0</v>
      </c>
      <c r="G618" s="95">
        <f>'Planning Engine'!G618</f>
        <v>0</v>
      </c>
      <c r="H618" s="95">
        <f t="shared" si="18"/>
        <v>0</v>
      </c>
      <c r="I618" s="95">
        <f>'Planning Engine'!H618</f>
        <v>267607</v>
      </c>
      <c r="J618" s="96">
        <f ca="1">'Planning Engine'!J618</f>
        <v>999</v>
      </c>
      <c r="K618" s="95">
        <f ca="1">'Planning Engine'!K618</f>
        <v>0</v>
      </c>
      <c r="L618" s="12" t="str">
        <f ca="1">'Planning Engine'!L618</f>
        <v>Overstock</v>
      </c>
      <c r="M618" s="93">
        <f>'Planning Engine'!S618</f>
        <v>48245</v>
      </c>
      <c r="N618" s="95">
        <f>'Planning Engine'!T618</f>
        <v>0</v>
      </c>
      <c r="O618" s="94" t="s">
        <v>1650</v>
      </c>
      <c r="P618" s="12" t="str">
        <f t="shared" ca="1" si="19"/>
        <v>Defer / consume inventory</v>
      </c>
    </row>
    <row r="619" spans="1:16" ht="13" customHeight="1" x14ac:dyDescent="0.35">
      <c r="A619" s="97">
        <v>48427</v>
      </c>
      <c r="B619" s="53" t="s">
        <v>43</v>
      </c>
      <c r="C619" s="12" t="str">
        <f>'Planning Engine'!C619</f>
        <v>Drug Product</v>
      </c>
      <c r="D619" s="12" t="str">
        <f>'Planning Engine'!D619</f>
        <v>units</v>
      </c>
      <c r="E619" s="95">
        <f>'Planning Engine'!E619</f>
        <v>267607</v>
      </c>
      <c r="F619" s="95">
        <f>'Planning Engine'!F619</f>
        <v>0</v>
      </c>
      <c r="G619" s="95">
        <f>'Planning Engine'!G619</f>
        <v>0</v>
      </c>
      <c r="H619" s="99">
        <f t="shared" si="18"/>
        <v>0</v>
      </c>
      <c r="I619" s="95">
        <f>'Planning Engine'!H619</f>
        <v>267607</v>
      </c>
      <c r="J619" s="96">
        <f ca="1">'Planning Engine'!J619</f>
        <v>999</v>
      </c>
      <c r="K619" s="95">
        <f ca="1">'Planning Engine'!K619</f>
        <v>0</v>
      </c>
      <c r="L619" s="12" t="str">
        <f ca="1">'Planning Engine'!L619</f>
        <v>Overstock</v>
      </c>
      <c r="M619" s="93">
        <f>'Planning Engine'!S619</f>
        <v>48274</v>
      </c>
      <c r="N619" s="95">
        <f>'Planning Engine'!T619</f>
        <v>0</v>
      </c>
      <c r="O619" s="98" t="s">
        <v>1651</v>
      </c>
      <c r="P619" s="4" t="str">
        <f t="shared" ca="1" si="19"/>
        <v>Defer / consume inventory</v>
      </c>
    </row>
    <row r="620" spans="1:16" ht="13" customHeight="1" x14ac:dyDescent="0.35">
      <c r="A620" s="93">
        <v>48458</v>
      </c>
      <c r="B620" s="61" t="s">
        <v>43</v>
      </c>
      <c r="C620" s="12" t="str">
        <f>'Planning Engine'!C620</f>
        <v>Drug Product</v>
      </c>
      <c r="D620" s="12" t="str">
        <f>'Planning Engine'!D620</f>
        <v>units</v>
      </c>
      <c r="E620" s="95">
        <f>'Planning Engine'!E620</f>
        <v>267607</v>
      </c>
      <c r="F620" s="95">
        <f>'Planning Engine'!F620</f>
        <v>0</v>
      </c>
      <c r="G620" s="95">
        <f>'Planning Engine'!G620</f>
        <v>0</v>
      </c>
      <c r="H620" s="95">
        <f t="shared" si="18"/>
        <v>0</v>
      </c>
      <c r="I620" s="95">
        <f>'Planning Engine'!H620</f>
        <v>267607</v>
      </c>
      <c r="J620" s="96">
        <f ca="1">'Planning Engine'!J620</f>
        <v>999</v>
      </c>
      <c r="K620" s="95">
        <f ca="1">'Planning Engine'!K620</f>
        <v>0</v>
      </c>
      <c r="L620" s="12" t="str">
        <f ca="1">'Planning Engine'!L620</f>
        <v>Overstock</v>
      </c>
      <c r="M620" s="93">
        <f>'Planning Engine'!S620</f>
        <v>48305</v>
      </c>
      <c r="N620" s="95">
        <f>'Planning Engine'!T620</f>
        <v>0</v>
      </c>
      <c r="O620" s="94" t="s">
        <v>1652</v>
      </c>
      <c r="P620" s="12" t="str">
        <f t="shared" ca="1" si="19"/>
        <v>Defer / consume inventory</v>
      </c>
    </row>
    <row r="621" spans="1:16" ht="13" customHeight="1" x14ac:dyDescent="0.35">
      <c r="A621" s="97">
        <v>48488</v>
      </c>
      <c r="B621" s="53" t="s">
        <v>43</v>
      </c>
      <c r="C621" s="12" t="str">
        <f>'Planning Engine'!C621</f>
        <v>Drug Product</v>
      </c>
      <c r="D621" s="12" t="str">
        <f>'Planning Engine'!D621</f>
        <v>units</v>
      </c>
      <c r="E621" s="95">
        <f>'Planning Engine'!E621</f>
        <v>267607</v>
      </c>
      <c r="F621" s="95">
        <f>'Planning Engine'!F621</f>
        <v>0</v>
      </c>
      <c r="G621" s="95">
        <f>'Planning Engine'!G621</f>
        <v>0</v>
      </c>
      <c r="H621" s="99">
        <f t="shared" si="18"/>
        <v>0</v>
      </c>
      <c r="I621" s="95">
        <f>'Planning Engine'!H621</f>
        <v>267607</v>
      </c>
      <c r="J621" s="96">
        <f ca="1">'Planning Engine'!J621</f>
        <v>999</v>
      </c>
      <c r="K621" s="95">
        <f ca="1">'Planning Engine'!K621</f>
        <v>0</v>
      </c>
      <c r="L621" s="12" t="str">
        <f ca="1">'Planning Engine'!L621</f>
        <v>Overstock</v>
      </c>
      <c r="M621" s="93">
        <f>'Planning Engine'!S621</f>
        <v>48335</v>
      </c>
      <c r="N621" s="95">
        <f>'Planning Engine'!T621</f>
        <v>0</v>
      </c>
      <c r="O621" s="98" t="s">
        <v>1653</v>
      </c>
      <c r="P621" s="4" t="str">
        <f t="shared" ca="1" si="19"/>
        <v>Defer / consume inventory</v>
      </c>
    </row>
    <row r="622" spans="1:16" ht="13" customHeight="1" x14ac:dyDescent="0.35">
      <c r="A622" s="93">
        <v>48519</v>
      </c>
      <c r="B622" s="61" t="s">
        <v>43</v>
      </c>
      <c r="C622" s="12" t="str">
        <f>'Planning Engine'!C622</f>
        <v>Drug Product</v>
      </c>
      <c r="D622" s="12" t="str">
        <f>'Planning Engine'!D622</f>
        <v>units</v>
      </c>
      <c r="E622" s="95">
        <f>'Planning Engine'!E622</f>
        <v>267607</v>
      </c>
      <c r="F622" s="95">
        <f>'Planning Engine'!F622</f>
        <v>0</v>
      </c>
      <c r="G622" s="95">
        <f>'Planning Engine'!G622</f>
        <v>0</v>
      </c>
      <c r="H622" s="95">
        <f t="shared" si="18"/>
        <v>0</v>
      </c>
      <c r="I622" s="95">
        <f>'Planning Engine'!H622</f>
        <v>267607</v>
      </c>
      <c r="J622" s="96">
        <f ca="1">'Planning Engine'!J622</f>
        <v>999</v>
      </c>
      <c r="K622" s="95">
        <f ca="1">'Planning Engine'!K622</f>
        <v>0</v>
      </c>
      <c r="L622" s="12" t="str">
        <f ca="1">'Planning Engine'!L622</f>
        <v>Overstock</v>
      </c>
      <c r="M622" s="93">
        <f>'Planning Engine'!S622</f>
        <v>48366</v>
      </c>
      <c r="N622" s="95">
        <f>'Planning Engine'!T622</f>
        <v>0</v>
      </c>
      <c r="O622" s="94" t="s">
        <v>1654</v>
      </c>
      <c r="P622" s="12" t="str">
        <f t="shared" ca="1" si="19"/>
        <v>Defer / consume inventory</v>
      </c>
    </row>
    <row r="623" spans="1:16" ht="13" customHeight="1" x14ac:dyDescent="0.35">
      <c r="A623" s="97">
        <v>48549</v>
      </c>
      <c r="B623" s="53" t="s">
        <v>43</v>
      </c>
      <c r="C623" s="12" t="str">
        <f>'Planning Engine'!C623</f>
        <v>Drug Product</v>
      </c>
      <c r="D623" s="12" t="str">
        <f>'Planning Engine'!D623</f>
        <v>units</v>
      </c>
      <c r="E623" s="95">
        <f>'Planning Engine'!E623</f>
        <v>267607</v>
      </c>
      <c r="F623" s="95">
        <f>'Planning Engine'!F623</f>
        <v>0</v>
      </c>
      <c r="G623" s="95">
        <f>'Planning Engine'!G623</f>
        <v>0</v>
      </c>
      <c r="H623" s="99">
        <f t="shared" si="18"/>
        <v>0</v>
      </c>
      <c r="I623" s="95">
        <f>'Planning Engine'!H623</f>
        <v>267607</v>
      </c>
      <c r="J623" s="96">
        <f ca="1">'Planning Engine'!J623</f>
        <v>999</v>
      </c>
      <c r="K623" s="95">
        <f ca="1">'Planning Engine'!K623</f>
        <v>0</v>
      </c>
      <c r="L623" s="12" t="str">
        <f ca="1">'Planning Engine'!L623</f>
        <v>Overstock</v>
      </c>
      <c r="M623" s="93">
        <f>'Planning Engine'!S623</f>
        <v>48396</v>
      </c>
      <c r="N623" s="95">
        <f>'Planning Engine'!T623</f>
        <v>0</v>
      </c>
      <c r="O623" s="98" t="s">
        <v>1655</v>
      </c>
      <c r="P623" s="4" t="str">
        <f t="shared" ca="1" si="19"/>
        <v>Defer / consume inventory</v>
      </c>
    </row>
    <row r="624" spans="1:16" ht="13" customHeight="1" x14ac:dyDescent="0.35">
      <c r="A624" s="93">
        <v>48580</v>
      </c>
      <c r="B624" s="61" t="s">
        <v>43</v>
      </c>
      <c r="C624" s="12" t="str">
        <f>'Planning Engine'!C624</f>
        <v>Drug Product</v>
      </c>
      <c r="D624" s="12" t="str">
        <f>'Planning Engine'!D624</f>
        <v>units</v>
      </c>
      <c r="E624" s="95">
        <f>'Planning Engine'!E624</f>
        <v>267607</v>
      </c>
      <c r="F624" s="95">
        <f>'Planning Engine'!F624</f>
        <v>0</v>
      </c>
      <c r="G624" s="95">
        <f>'Planning Engine'!G624</f>
        <v>0</v>
      </c>
      <c r="H624" s="95">
        <f t="shared" si="18"/>
        <v>0</v>
      </c>
      <c r="I624" s="95">
        <f>'Planning Engine'!H624</f>
        <v>267607</v>
      </c>
      <c r="J624" s="96">
        <f ca="1">'Planning Engine'!J624</f>
        <v>999</v>
      </c>
      <c r="K624" s="95">
        <f ca="1">'Planning Engine'!K624</f>
        <v>0</v>
      </c>
      <c r="L624" s="12" t="str">
        <f ca="1">'Planning Engine'!L624</f>
        <v>Overstock</v>
      </c>
      <c r="M624" s="93">
        <f>'Planning Engine'!S624</f>
        <v>48427</v>
      </c>
      <c r="N624" s="95">
        <f>'Planning Engine'!T624</f>
        <v>0</v>
      </c>
      <c r="O624" s="94" t="s">
        <v>1656</v>
      </c>
      <c r="P624" s="12" t="str">
        <f t="shared" ca="1" si="19"/>
        <v>Defer / consume inventory</v>
      </c>
    </row>
    <row r="625" spans="1:16" ht="13" customHeight="1" x14ac:dyDescent="0.35">
      <c r="A625" s="97">
        <v>48611</v>
      </c>
      <c r="B625" s="53" t="s">
        <v>43</v>
      </c>
      <c r="C625" s="12" t="str">
        <f>'Planning Engine'!C625</f>
        <v>Drug Product</v>
      </c>
      <c r="D625" s="12" t="str">
        <f>'Planning Engine'!D625</f>
        <v>units</v>
      </c>
      <c r="E625" s="95">
        <f>'Planning Engine'!E625</f>
        <v>267607</v>
      </c>
      <c r="F625" s="95">
        <f>'Planning Engine'!F625</f>
        <v>0</v>
      </c>
      <c r="G625" s="95">
        <f>'Planning Engine'!G625</f>
        <v>0</v>
      </c>
      <c r="H625" s="99">
        <f t="shared" si="18"/>
        <v>0</v>
      </c>
      <c r="I625" s="95">
        <f>'Planning Engine'!H625</f>
        <v>267607</v>
      </c>
      <c r="J625" s="96">
        <f ca="1">'Planning Engine'!J625</f>
        <v>999</v>
      </c>
      <c r="K625" s="95">
        <f ca="1">'Planning Engine'!K625</f>
        <v>0</v>
      </c>
      <c r="L625" s="12" t="str">
        <f ca="1">'Planning Engine'!L625</f>
        <v>Overstock</v>
      </c>
      <c r="M625" s="93">
        <f>'Planning Engine'!S625</f>
        <v>48458</v>
      </c>
      <c r="N625" s="95">
        <f>'Planning Engine'!T625</f>
        <v>0</v>
      </c>
      <c r="O625" s="98" t="s">
        <v>1657</v>
      </c>
      <c r="P625" s="4" t="str">
        <f t="shared" ca="1" si="19"/>
        <v>Defer / consume inventory</v>
      </c>
    </row>
    <row r="626" spans="1:16" ht="13" customHeight="1" x14ac:dyDescent="0.35">
      <c r="A626" s="93">
        <v>48639</v>
      </c>
      <c r="B626" s="61" t="s">
        <v>43</v>
      </c>
      <c r="C626" s="12" t="str">
        <f>'Planning Engine'!C626</f>
        <v>Drug Product</v>
      </c>
      <c r="D626" s="12" t="str">
        <f>'Planning Engine'!D626</f>
        <v>units</v>
      </c>
      <c r="E626" s="95">
        <f>'Planning Engine'!E626</f>
        <v>267607</v>
      </c>
      <c r="F626" s="95">
        <f>'Planning Engine'!F626</f>
        <v>0</v>
      </c>
      <c r="G626" s="95">
        <f>'Planning Engine'!G626</f>
        <v>0</v>
      </c>
      <c r="H626" s="95">
        <f t="shared" si="18"/>
        <v>0</v>
      </c>
      <c r="I626" s="95">
        <f>'Planning Engine'!H626</f>
        <v>267607</v>
      </c>
      <c r="J626" s="96">
        <f ca="1">'Planning Engine'!J626</f>
        <v>999</v>
      </c>
      <c r="K626" s="95">
        <f ca="1">'Planning Engine'!K626</f>
        <v>0</v>
      </c>
      <c r="L626" s="12" t="str">
        <f ca="1">'Planning Engine'!L626</f>
        <v>Overstock</v>
      </c>
      <c r="M626" s="93">
        <f>'Planning Engine'!S626</f>
        <v>48488</v>
      </c>
      <c r="N626" s="95">
        <f>'Planning Engine'!T626</f>
        <v>0</v>
      </c>
      <c r="O626" s="94" t="s">
        <v>1658</v>
      </c>
      <c r="P626" s="12" t="str">
        <f t="shared" ca="1" si="19"/>
        <v>Defer / consume inventory</v>
      </c>
    </row>
    <row r="627" spans="1:16" ht="13" customHeight="1" x14ac:dyDescent="0.35">
      <c r="A627" s="97">
        <v>48670</v>
      </c>
      <c r="B627" s="53" t="s">
        <v>43</v>
      </c>
      <c r="C627" s="12" t="str">
        <f>'Planning Engine'!C627</f>
        <v>Drug Product</v>
      </c>
      <c r="D627" s="12" t="str">
        <f>'Planning Engine'!D627</f>
        <v>units</v>
      </c>
      <c r="E627" s="95">
        <f>'Planning Engine'!E627</f>
        <v>267607</v>
      </c>
      <c r="F627" s="95">
        <f>'Planning Engine'!F627</f>
        <v>0</v>
      </c>
      <c r="G627" s="95">
        <f>'Planning Engine'!G627</f>
        <v>0</v>
      </c>
      <c r="H627" s="99">
        <f t="shared" si="18"/>
        <v>0</v>
      </c>
      <c r="I627" s="95">
        <f>'Planning Engine'!H627</f>
        <v>267607</v>
      </c>
      <c r="J627" s="96">
        <f ca="1">'Planning Engine'!J627</f>
        <v>999</v>
      </c>
      <c r="K627" s="95">
        <f ca="1">'Planning Engine'!K627</f>
        <v>0</v>
      </c>
      <c r="L627" s="12" t="str">
        <f ca="1">'Planning Engine'!L627</f>
        <v>Overstock</v>
      </c>
      <c r="M627" s="93">
        <f>'Planning Engine'!S627</f>
        <v>48519</v>
      </c>
      <c r="N627" s="95">
        <f>'Planning Engine'!T627</f>
        <v>0</v>
      </c>
      <c r="O627" s="98" t="s">
        <v>1659</v>
      </c>
      <c r="P627" s="4" t="str">
        <f t="shared" ca="1" si="19"/>
        <v>Defer / consume inventory</v>
      </c>
    </row>
    <row r="628" spans="1:16" ht="13" customHeight="1" x14ac:dyDescent="0.35">
      <c r="A628" s="93">
        <v>48700</v>
      </c>
      <c r="B628" s="61" t="s">
        <v>43</v>
      </c>
      <c r="C628" s="12" t="str">
        <f>'Planning Engine'!C628</f>
        <v>Drug Product</v>
      </c>
      <c r="D628" s="12" t="str">
        <f>'Planning Engine'!D628</f>
        <v>units</v>
      </c>
      <c r="E628" s="95">
        <f>'Planning Engine'!E628</f>
        <v>267607</v>
      </c>
      <c r="F628" s="95">
        <f>'Planning Engine'!F628</f>
        <v>0</v>
      </c>
      <c r="G628" s="95">
        <f>'Planning Engine'!G628</f>
        <v>0</v>
      </c>
      <c r="H628" s="95">
        <f t="shared" si="18"/>
        <v>0</v>
      </c>
      <c r="I628" s="95">
        <f>'Planning Engine'!H628</f>
        <v>267607</v>
      </c>
      <c r="J628" s="96">
        <f ca="1">'Planning Engine'!J628</f>
        <v>999</v>
      </c>
      <c r="K628" s="95">
        <f ca="1">'Planning Engine'!K628</f>
        <v>0</v>
      </c>
      <c r="L628" s="12" t="str">
        <f ca="1">'Planning Engine'!L628</f>
        <v>Overstock</v>
      </c>
      <c r="M628" s="93">
        <f>'Planning Engine'!S628</f>
        <v>48549</v>
      </c>
      <c r="N628" s="95">
        <f>'Planning Engine'!T628</f>
        <v>0</v>
      </c>
      <c r="O628" s="94" t="s">
        <v>1660</v>
      </c>
      <c r="P628" s="12" t="str">
        <f t="shared" ca="1" si="19"/>
        <v>Defer / consume inventory</v>
      </c>
    </row>
    <row r="629" spans="1:16" ht="13" customHeight="1" x14ac:dyDescent="0.35">
      <c r="A629" s="97">
        <v>48731</v>
      </c>
      <c r="B629" s="53" t="s">
        <v>43</v>
      </c>
      <c r="C629" s="12" t="str">
        <f>'Planning Engine'!C629</f>
        <v>Drug Product</v>
      </c>
      <c r="D629" s="12" t="str">
        <f>'Planning Engine'!D629</f>
        <v>units</v>
      </c>
      <c r="E629" s="95">
        <f>'Planning Engine'!E629</f>
        <v>267607</v>
      </c>
      <c r="F629" s="95">
        <f>'Planning Engine'!F629</f>
        <v>0</v>
      </c>
      <c r="G629" s="95">
        <f>'Planning Engine'!G629</f>
        <v>0</v>
      </c>
      <c r="H629" s="99">
        <f t="shared" si="18"/>
        <v>0</v>
      </c>
      <c r="I629" s="95">
        <f>'Planning Engine'!H629</f>
        <v>267607</v>
      </c>
      <c r="J629" s="96">
        <f ca="1">'Planning Engine'!J629</f>
        <v>999</v>
      </c>
      <c r="K629" s="95">
        <f ca="1">'Planning Engine'!K629</f>
        <v>0</v>
      </c>
      <c r="L629" s="12" t="str">
        <f ca="1">'Planning Engine'!L629</f>
        <v>Overstock</v>
      </c>
      <c r="M629" s="93">
        <f>'Planning Engine'!S629</f>
        <v>48580</v>
      </c>
      <c r="N629" s="95">
        <f>'Planning Engine'!T629</f>
        <v>0</v>
      </c>
      <c r="O629" s="98" t="s">
        <v>1661</v>
      </c>
      <c r="P629" s="4" t="str">
        <f t="shared" ca="1" si="19"/>
        <v>Defer / consume inventory</v>
      </c>
    </row>
    <row r="630" spans="1:16" ht="13" customHeight="1" x14ac:dyDescent="0.35">
      <c r="A630" s="93">
        <v>48761</v>
      </c>
      <c r="B630" s="61" t="s">
        <v>43</v>
      </c>
      <c r="C630" s="12" t="str">
        <f>'Planning Engine'!C630</f>
        <v>Drug Product</v>
      </c>
      <c r="D630" s="12" t="str">
        <f>'Planning Engine'!D630</f>
        <v>units</v>
      </c>
      <c r="E630" s="95">
        <f>'Planning Engine'!E630</f>
        <v>267607</v>
      </c>
      <c r="F630" s="95">
        <f>'Planning Engine'!F630</f>
        <v>0</v>
      </c>
      <c r="G630" s="95">
        <f>'Planning Engine'!G630</f>
        <v>0</v>
      </c>
      <c r="H630" s="95">
        <f t="shared" si="18"/>
        <v>0</v>
      </c>
      <c r="I630" s="95">
        <f>'Planning Engine'!H630</f>
        <v>267607</v>
      </c>
      <c r="J630" s="96">
        <f ca="1">'Planning Engine'!J630</f>
        <v>999</v>
      </c>
      <c r="K630" s="95">
        <f ca="1">'Planning Engine'!K630</f>
        <v>0</v>
      </c>
      <c r="L630" s="12" t="str">
        <f ca="1">'Planning Engine'!L630</f>
        <v>Overstock</v>
      </c>
      <c r="M630" s="93">
        <f>'Planning Engine'!S630</f>
        <v>48611</v>
      </c>
      <c r="N630" s="95">
        <f>'Planning Engine'!T630</f>
        <v>0</v>
      </c>
      <c r="O630" s="94" t="s">
        <v>1662</v>
      </c>
      <c r="P630" s="12" t="str">
        <f t="shared" ca="1" si="19"/>
        <v>Defer / consume inventory</v>
      </c>
    </row>
    <row r="631" spans="1:16" ht="13" customHeight="1" x14ac:dyDescent="0.35">
      <c r="A631" s="97">
        <v>48792</v>
      </c>
      <c r="B631" s="53" t="s">
        <v>43</v>
      </c>
      <c r="C631" s="12" t="str">
        <f>'Planning Engine'!C631</f>
        <v>Drug Product</v>
      </c>
      <c r="D631" s="12" t="str">
        <f>'Planning Engine'!D631</f>
        <v>units</v>
      </c>
      <c r="E631" s="95">
        <f>'Planning Engine'!E631</f>
        <v>267607</v>
      </c>
      <c r="F631" s="95">
        <f>'Planning Engine'!F631</f>
        <v>0</v>
      </c>
      <c r="G631" s="95">
        <f>'Planning Engine'!G631</f>
        <v>0</v>
      </c>
      <c r="H631" s="99">
        <f t="shared" si="18"/>
        <v>0</v>
      </c>
      <c r="I631" s="95">
        <f>'Planning Engine'!H631</f>
        <v>267607</v>
      </c>
      <c r="J631" s="96">
        <f ca="1">'Planning Engine'!J631</f>
        <v>999</v>
      </c>
      <c r="K631" s="95">
        <f ca="1">'Planning Engine'!K631</f>
        <v>0</v>
      </c>
      <c r="L631" s="12" t="str">
        <f ca="1">'Planning Engine'!L631</f>
        <v>Overstock</v>
      </c>
      <c r="M631" s="93">
        <f>'Planning Engine'!S631</f>
        <v>48639</v>
      </c>
      <c r="N631" s="95">
        <f>'Planning Engine'!T631</f>
        <v>0</v>
      </c>
      <c r="O631" s="98" t="s">
        <v>1663</v>
      </c>
      <c r="P631" s="4" t="str">
        <f t="shared" ca="1" si="19"/>
        <v>Defer / consume inventory</v>
      </c>
    </row>
    <row r="632" spans="1:16" ht="13" customHeight="1" x14ac:dyDescent="0.35">
      <c r="A632" s="93">
        <v>48823</v>
      </c>
      <c r="B632" s="61" t="s">
        <v>43</v>
      </c>
      <c r="C632" s="12" t="str">
        <f>'Planning Engine'!C632</f>
        <v>Drug Product</v>
      </c>
      <c r="D632" s="12" t="str">
        <f>'Planning Engine'!D632</f>
        <v>units</v>
      </c>
      <c r="E632" s="95">
        <f>'Planning Engine'!E632</f>
        <v>267607</v>
      </c>
      <c r="F632" s="95">
        <f>'Planning Engine'!F632</f>
        <v>0</v>
      </c>
      <c r="G632" s="95">
        <f>'Planning Engine'!G632</f>
        <v>0</v>
      </c>
      <c r="H632" s="95">
        <f t="shared" si="18"/>
        <v>0</v>
      </c>
      <c r="I632" s="95">
        <f>'Planning Engine'!H632</f>
        <v>267607</v>
      </c>
      <c r="J632" s="96">
        <f ca="1">'Planning Engine'!J632</f>
        <v>999</v>
      </c>
      <c r="K632" s="95">
        <f ca="1">'Planning Engine'!K632</f>
        <v>0</v>
      </c>
      <c r="L632" s="12" t="str">
        <f ca="1">'Planning Engine'!L632</f>
        <v>Overstock</v>
      </c>
      <c r="M632" s="93">
        <f>'Planning Engine'!S632</f>
        <v>48670</v>
      </c>
      <c r="N632" s="95">
        <f>'Planning Engine'!T632</f>
        <v>0</v>
      </c>
      <c r="O632" s="94" t="s">
        <v>1664</v>
      </c>
      <c r="P632" s="12" t="str">
        <f t="shared" ca="1" si="19"/>
        <v>Defer / consume inventory</v>
      </c>
    </row>
    <row r="633" spans="1:16" ht="13" customHeight="1" x14ac:dyDescent="0.35">
      <c r="A633" s="97">
        <v>48853</v>
      </c>
      <c r="B633" s="53" t="s">
        <v>43</v>
      </c>
      <c r="C633" s="12" t="str">
        <f>'Planning Engine'!C633</f>
        <v>Drug Product</v>
      </c>
      <c r="D633" s="12" t="str">
        <f>'Planning Engine'!D633</f>
        <v>units</v>
      </c>
      <c r="E633" s="95">
        <f>'Planning Engine'!E633</f>
        <v>267607</v>
      </c>
      <c r="F633" s="95">
        <f>'Planning Engine'!F633</f>
        <v>0</v>
      </c>
      <c r="G633" s="95">
        <f>'Planning Engine'!G633</f>
        <v>0</v>
      </c>
      <c r="H633" s="99">
        <f t="shared" si="18"/>
        <v>0</v>
      </c>
      <c r="I633" s="95">
        <f>'Planning Engine'!H633</f>
        <v>267607</v>
      </c>
      <c r="J633" s="96">
        <f ca="1">'Planning Engine'!J633</f>
        <v>999</v>
      </c>
      <c r="K633" s="95">
        <f ca="1">'Planning Engine'!K633</f>
        <v>0</v>
      </c>
      <c r="L633" s="12" t="str">
        <f ca="1">'Planning Engine'!L633</f>
        <v>Overstock</v>
      </c>
      <c r="M633" s="93">
        <f>'Planning Engine'!S633</f>
        <v>48700</v>
      </c>
      <c r="N633" s="95">
        <f>'Planning Engine'!T633</f>
        <v>0</v>
      </c>
      <c r="O633" s="98" t="s">
        <v>1665</v>
      </c>
      <c r="P633" s="4" t="str">
        <f t="shared" ca="1" si="19"/>
        <v>Defer / consume inventory</v>
      </c>
    </row>
    <row r="634" spans="1:16" ht="13" customHeight="1" x14ac:dyDescent="0.35">
      <c r="A634" s="93">
        <v>48884</v>
      </c>
      <c r="B634" s="61" t="s">
        <v>43</v>
      </c>
      <c r="C634" s="12" t="str">
        <f>'Planning Engine'!C634</f>
        <v>Drug Product</v>
      </c>
      <c r="D634" s="12" t="str">
        <f>'Planning Engine'!D634</f>
        <v>units</v>
      </c>
      <c r="E634" s="95">
        <f>'Planning Engine'!E634</f>
        <v>267607</v>
      </c>
      <c r="F634" s="95">
        <f>'Planning Engine'!F634</f>
        <v>0</v>
      </c>
      <c r="G634" s="95">
        <f>'Planning Engine'!G634</f>
        <v>0</v>
      </c>
      <c r="H634" s="95">
        <f t="shared" si="18"/>
        <v>0</v>
      </c>
      <c r="I634" s="95">
        <f>'Planning Engine'!H634</f>
        <v>267607</v>
      </c>
      <c r="J634" s="96">
        <f ca="1">'Planning Engine'!J634</f>
        <v>999</v>
      </c>
      <c r="K634" s="95">
        <f ca="1">'Planning Engine'!K634</f>
        <v>0</v>
      </c>
      <c r="L634" s="12" t="str">
        <f ca="1">'Planning Engine'!L634</f>
        <v>Overstock</v>
      </c>
      <c r="M634" s="93">
        <f>'Planning Engine'!S634</f>
        <v>48731</v>
      </c>
      <c r="N634" s="95">
        <f>'Planning Engine'!T634</f>
        <v>0</v>
      </c>
      <c r="O634" s="94" t="s">
        <v>1666</v>
      </c>
      <c r="P634" s="12" t="str">
        <f t="shared" ca="1" si="19"/>
        <v>Defer / consume inventory</v>
      </c>
    </row>
    <row r="635" spans="1:16" ht="13" customHeight="1" x14ac:dyDescent="0.35">
      <c r="A635" s="97">
        <v>48914</v>
      </c>
      <c r="B635" s="53" t="s">
        <v>43</v>
      </c>
      <c r="C635" s="12" t="str">
        <f>'Planning Engine'!C635</f>
        <v>Drug Product</v>
      </c>
      <c r="D635" s="12" t="str">
        <f>'Planning Engine'!D635</f>
        <v>units</v>
      </c>
      <c r="E635" s="95">
        <f>'Planning Engine'!E635</f>
        <v>267607</v>
      </c>
      <c r="F635" s="95">
        <f>'Planning Engine'!F635</f>
        <v>0</v>
      </c>
      <c r="G635" s="95">
        <f>'Planning Engine'!G635</f>
        <v>0</v>
      </c>
      <c r="H635" s="99">
        <f t="shared" si="18"/>
        <v>0</v>
      </c>
      <c r="I635" s="95">
        <f>'Planning Engine'!H635</f>
        <v>267607</v>
      </c>
      <c r="J635" s="96">
        <f ca="1">'Planning Engine'!J635</f>
        <v>999</v>
      </c>
      <c r="K635" s="95">
        <f ca="1">'Planning Engine'!K635</f>
        <v>0</v>
      </c>
      <c r="L635" s="12" t="str">
        <f ca="1">'Planning Engine'!L635</f>
        <v>Overstock</v>
      </c>
      <c r="M635" s="93">
        <f>'Planning Engine'!S635</f>
        <v>48761</v>
      </c>
      <c r="N635" s="95">
        <f>'Planning Engine'!T635</f>
        <v>0</v>
      </c>
      <c r="O635" s="98" t="s">
        <v>1667</v>
      </c>
      <c r="P635" s="4" t="str">
        <f t="shared" ca="1" si="19"/>
        <v>Defer / consume inventory</v>
      </c>
    </row>
    <row r="636" spans="1:16" ht="13" customHeight="1" x14ac:dyDescent="0.35">
      <c r="A636" s="93">
        <v>48945</v>
      </c>
      <c r="B636" s="61" t="s">
        <v>43</v>
      </c>
      <c r="C636" s="12" t="str">
        <f>'Planning Engine'!C636</f>
        <v>Drug Product</v>
      </c>
      <c r="D636" s="12" t="str">
        <f>'Planning Engine'!D636</f>
        <v>units</v>
      </c>
      <c r="E636" s="95">
        <f>'Planning Engine'!E636</f>
        <v>267607</v>
      </c>
      <c r="F636" s="95">
        <f>'Planning Engine'!F636</f>
        <v>0</v>
      </c>
      <c r="G636" s="95">
        <f>'Planning Engine'!G636</f>
        <v>0</v>
      </c>
      <c r="H636" s="95">
        <f t="shared" si="18"/>
        <v>0</v>
      </c>
      <c r="I636" s="95">
        <f>'Planning Engine'!H636</f>
        <v>267607</v>
      </c>
      <c r="J636" s="96">
        <f ca="1">'Planning Engine'!J636</f>
        <v>999</v>
      </c>
      <c r="K636" s="95">
        <f ca="1">'Planning Engine'!K636</f>
        <v>0</v>
      </c>
      <c r="L636" s="12" t="str">
        <f ca="1">'Planning Engine'!L636</f>
        <v>Overstock</v>
      </c>
      <c r="M636" s="93">
        <f>'Planning Engine'!S636</f>
        <v>48792</v>
      </c>
      <c r="N636" s="95">
        <f>'Planning Engine'!T636</f>
        <v>0</v>
      </c>
      <c r="O636" s="94" t="s">
        <v>1668</v>
      </c>
      <c r="P636" s="12" t="str">
        <f t="shared" ca="1" si="19"/>
        <v>Defer / consume inventory</v>
      </c>
    </row>
    <row r="637" spans="1:16" ht="13" customHeight="1" x14ac:dyDescent="0.35">
      <c r="A637" s="97">
        <v>48976</v>
      </c>
      <c r="B637" s="53" t="s">
        <v>43</v>
      </c>
      <c r="C637" s="12" t="str">
        <f>'Planning Engine'!C637</f>
        <v>Drug Product</v>
      </c>
      <c r="D637" s="12" t="str">
        <f>'Planning Engine'!D637</f>
        <v>units</v>
      </c>
      <c r="E637" s="95">
        <f>'Planning Engine'!E637</f>
        <v>267607</v>
      </c>
      <c r="F637" s="95">
        <f>'Planning Engine'!F637</f>
        <v>0</v>
      </c>
      <c r="G637" s="95">
        <f>'Planning Engine'!G637</f>
        <v>0</v>
      </c>
      <c r="H637" s="99">
        <f t="shared" si="18"/>
        <v>0</v>
      </c>
      <c r="I637" s="95">
        <f>'Planning Engine'!H637</f>
        <v>267607</v>
      </c>
      <c r="J637" s="96">
        <f ca="1">'Planning Engine'!J637</f>
        <v>999</v>
      </c>
      <c r="K637" s="95">
        <f ca="1">'Planning Engine'!K637</f>
        <v>0</v>
      </c>
      <c r="L637" s="12" t="str">
        <f ca="1">'Planning Engine'!L637</f>
        <v>Overstock</v>
      </c>
      <c r="M637" s="93">
        <f>'Planning Engine'!S637</f>
        <v>48823</v>
      </c>
      <c r="N637" s="95">
        <f>'Planning Engine'!T637</f>
        <v>0</v>
      </c>
      <c r="O637" s="98" t="s">
        <v>1669</v>
      </c>
      <c r="P637" s="4" t="str">
        <f t="shared" ca="1" si="19"/>
        <v>Defer / consume inventory</v>
      </c>
    </row>
    <row r="638" spans="1:16" ht="13" customHeight="1" x14ac:dyDescent="0.35">
      <c r="A638" s="93">
        <v>49004</v>
      </c>
      <c r="B638" s="61" t="s">
        <v>43</v>
      </c>
      <c r="C638" s="12" t="str">
        <f>'Planning Engine'!C638</f>
        <v>Drug Product</v>
      </c>
      <c r="D638" s="12" t="str">
        <f>'Planning Engine'!D638</f>
        <v>units</v>
      </c>
      <c r="E638" s="95">
        <f>'Planning Engine'!E638</f>
        <v>267607</v>
      </c>
      <c r="F638" s="95">
        <f>'Planning Engine'!F638</f>
        <v>0</v>
      </c>
      <c r="G638" s="95">
        <f>'Planning Engine'!G638</f>
        <v>0</v>
      </c>
      <c r="H638" s="95">
        <f t="shared" si="18"/>
        <v>0</v>
      </c>
      <c r="I638" s="95">
        <f>'Planning Engine'!H638</f>
        <v>267607</v>
      </c>
      <c r="J638" s="96">
        <f ca="1">'Planning Engine'!J638</f>
        <v>999</v>
      </c>
      <c r="K638" s="95">
        <f ca="1">'Planning Engine'!K638</f>
        <v>0</v>
      </c>
      <c r="L638" s="12" t="str">
        <f ca="1">'Planning Engine'!L638</f>
        <v>Overstock</v>
      </c>
      <c r="M638" s="93">
        <f>'Planning Engine'!S638</f>
        <v>48853</v>
      </c>
      <c r="N638" s="95">
        <f>'Planning Engine'!T638</f>
        <v>0</v>
      </c>
      <c r="O638" s="94" t="s">
        <v>1670</v>
      </c>
      <c r="P638" s="12" t="str">
        <f t="shared" ca="1" si="19"/>
        <v>Defer / consume inventory</v>
      </c>
    </row>
    <row r="639" spans="1:16" ht="13" customHeight="1" x14ac:dyDescent="0.35">
      <c r="A639" s="97">
        <v>49035</v>
      </c>
      <c r="B639" s="53" t="s">
        <v>43</v>
      </c>
      <c r="C639" s="12" t="str">
        <f>'Planning Engine'!C639</f>
        <v>Drug Product</v>
      </c>
      <c r="D639" s="12" t="str">
        <f>'Planning Engine'!D639</f>
        <v>units</v>
      </c>
      <c r="E639" s="95">
        <f>'Planning Engine'!E639</f>
        <v>267607</v>
      </c>
      <c r="F639" s="95">
        <f>'Planning Engine'!F639</f>
        <v>0</v>
      </c>
      <c r="G639" s="95">
        <f>'Planning Engine'!G639</f>
        <v>0</v>
      </c>
      <c r="H639" s="99">
        <f t="shared" si="18"/>
        <v>0</v>
      </c>
      <c r="I639" s="95">
        <f>'Planning Engine'!H639</f>
        <v>267607</v>
      </c>
      <c r="J639" s="96">
        <f ca="1">'Planning Engine'!J639</f>
        <v>999</v>
      </c>
      <c r="K639" s="95">
        <f ca="1">'Planning Engine'!K639</f>
        <v>0</v>
      </c>
      <c r="L639" s="12" t="str">
        <f ca="1">'Planning Engine'!L639</f>
        <v>Overstock</v>
      </c>
      <c r="M639" s="93">
        <f>'Planning Engine'!S639</f>
        <v>48884</v>
      </c>
      <c r="N639" s="95">
        <f>'Planning Engine'!T639</f>
        <v>0</v>
      </c>
      <c r="O639" s="98" t="s">
        <v>1671</v>
      </c>
      <c r="P639" s="4" t="str">
        <f t="shared" ca="1" si="19"/>
        <v>Defer / consume inventory</v>
      </c>
    </row>
    <row r="640" spans="1:16" ht="13" customHeight="1" x14ac:dyDescent="0.35">
      <c r="A640" s="93">
        <v>49065</v>
      </c>
      <c r="B640" s="61" t="s">
        <v>43</v>
      </c>
      <c r="C640" s="12" t="str">
        <f>'Planning Engine'!C640</f>
        <v>Drug Product</v>
      </c>
      <c r="D640" s="12" t="str">
        <f>'Planning Engine'!D640</f>
        <v>units</v>
      </c>
      <c r="E640" s="95">
        <f>'Planning Engine'!E640</f>
        <v>267607</v>
      </c>
      <c r="F640" s="95">
        <f>'Planning Engine'!F640</f>
        <v>0</v>
      </c>
      <c r="G640" s="95">
        <f>'Planning Engine'!G640</f>
        <v>0</v>
      </c>
      <c r="H640" s="95">
        <f t="shared" si="18"/>
        <v>0</v>
      </c>
      <c r="I640" s="95">
        <f>'Planning Engine'!H640</f>
        <v>267607</v>
      </c>
      <c r="J640" s="96">
        <f ca="1">'Planning Engine'!J640</f>
        <v>999</v>
      </c>
      <c r="K640" s="95">
        <f ca="1">'Planning Engine'!K640</f>
        <v>0</v>
      </c>
      <c r="L640" s="12" t="str">
        <f ca="1">'Planning Engine'!L640</f>
        <v>Overstock</v>
      </c>
      <c r="M640" s="93">
        <f>'Planning Engine'!S640</f>
        <v>48914</v>
      </c>
      <c r="N640" s="95">
        <f>'Planning Engine'!T640</f>
        <v>0</v>
      </c>
      <c r="O640" s="94" t="s">
        <v>1672</v>
      </c>
      <c r="P640" s="12" t="str">
        <f t="shared" ca="1" si="19"/>
        <v>Defer / consume inventory</v>
      </c>
    </row>
    <row r="641" spans="1:16" ht="13" customHeight="1" x14ac:dyDescent="0.35">
      <c r="A641" s="97">
        <v>49096</v>
      </c>
      <c r="B641" s="53" t="s">
        <v>43</v>
      </c>
      <c r="C641" s="12" t="str">
        <f>'Planning Engine'!C641</f>
        <v>Drug Product</v>
      </c>
      <c r="D641" s="12" t="str">
        <f>'Planning Engine'!D641</f>
        <v>units</v>
      </c>
      <c r="E641" s="95">
        <f>'Planning Engine'!E641</f>
        <v>267607</v>
      </c>
      <c r="F641" s="95">
        <f>'Planning Engine'!F641</f>
        <v>0</v>
      </c>
      <c r="G641" s="95">
        <f>'Planning Engine'!G641</f>
        <v>0</v>
      </c>
      <c r="H641" s="99">
        <f t="shared" si="18"/>
        <v>0</v>
      </c>
      <c r="I641" s="95">
        <f>'Planning Engine'!H641</f>
        <v>267607</v>
      </c>
      <c r="J641" s="96">
        <f ca="1">'Planning Engine'!J641</f>
        <v>999</v>
      </c>
      <c r="K641" s="95">
        <f ca="1">'Planning Engine'!K641</f>
        <v>0</v>
      </c>
      <c r="L641" s="12" t="str">
        <f ca="1">'Planning Engine'!L641</f>
        <v>Overstock</v>
      </c>
      <c r="M641" s="93">
        <f>'Planning Engine'!S641</f>
        <v>48945</v>
      </c>
      <c r="N641" s="95">
        <f>'Planning Engine'!T641</f>
        <v>0</v>
      </c>
      <c r="O641" s="98" t="s">
        <v>1673</v>
      </c>
      <c r="P641" s="4" t="str">
        <f t="shared" ca="1" si="19"/>
        <v>Defer / consume inventory</v>
      </c>
    </row>
    <row r="642" spans="1:16" ht="13" customHeight="1" x14ac:dyDescent="0.35">
      <c r="A642" s="93">
        <v>49126</v>
      </c>
      <c r="B642" s="61" t="s">
        <v>43</v>
      </c>
      <c r="C642" s="12" t="str">
        <f>'Planning Engine'!C642</f>
        <v>Drug Product</v>
      </c>
      <c r="D642" s="12" t="str">
        <f>'Planning Engine'!D642</f>
        <v>units</v>
      </c>
      <c r="E642" s="95">
        <f>'Planning Engine'!E642</f>
        <v>267607</v>
      </c>
      <c r="F642" s="95">
        <f>'Planning Engine'!F642</f>
        <v>0</v>
      </c>
      <c r="G642" s="95">
        <f>'Planning Engine'!G642</f>
        <v>0</v>
      </c>
      <c r="H642" s="95">
        <f t="shared" si="18"/>
        <v>0</v>
      </c>
      <c r="I642" s="95">
        <f>'Planning Engine'!H642</f>
        <v>267607</v>
      </c>
      <c r="J642" s="96">
        <f ca="1">'Planning Engine'!J642</f>
        <v>999</v>
      </c>
      <c r="K642" s="95">
        <f ca="1">'Planning Engine'!K642</f>
        <v>0</v>
      </c>
      <c r="L642" s="12" t="str">
        <f ca="1">'Planning Engine'!L642</f>
        <v>Overstock</v>
      </c>
      <c r="M642" s="93">
        <f>'Planning Engine'!S642</f>
        <v>48976</v>
      </c>
      <c r="N642" s="95">
        <f>'Planning Engine'!T642</f>
        <v>0</v>
      </c>
      <c r="O642" s="94" t="s">
        <v>1674</v>
      </c>
      <c r="P642" s="12" t="str">
        <f t="shared" ca="1" si="19"/>
        <v>Defer / consume inventory</v>
      </c>
    </row>
    <row r="643" spans="1:16" ht="13" customHeight="1" x14ac:dyDescent="0.35">
      <c r="A643" s="97">
        <v>49157</v>
      </c>
      <c r="B643" s="53" t="s">
        <v>43</v>
      </c>
      <c r="C643" s="12" t="str">
        <f>'Planning Engine'!C643</f>
        <v>Drug Product</v>
      </c>
      <c r="D643" s="12" t="str">
        <f>'Planning Engine'!D643</f>
        <v>units</v>
      </c>
      <c r="E643" s="95">
        <f>'Planning Engine'!E643</f>
        <v>267607</v>
      </c>
      <c r="F643" s="95">
        <f>'Planning Engine'!F643</f>
        <v>0</v>
      </c>
      <c r="G643" s="95">
        <f>'Planning Engine'!G643</f>
        <v>0</v>
      </c>
      <c r="H643" s="99">
        <f t="shared" si="18"/>
        <v>0</v>
      </c>
      <c r="I643" s="95">
        <f>'Planning Engine'!H643</f>
        <v>267607</v>
      </c>
      <c r="J643" s="96">
        <f ca="1">'Planning Engine'!J643</f>
        <v>999</v>
      </c>
      <c r="K643" s="95">
        <f ca="1">'Planning Engine'!K643</f>
        <v>0</v>
      </c>
      <c r="L643" s="12" t="str">
        <f ca="1">'Planning Engine'!L643</f>
        <v>Overstock</v>
      </c>
      <c r="M643" s="93">
        <f>'Planning Engine'!S643</f>
        <v>49004</v>
      </c>
      <c r="N643" s="95">
        <f>'Planning Engine'!T643</f>
        <v>0</v>
      </c>
      <c r="O643" s="98" t="s">
        <v>1675</v>
      </c>
      <c r="P643" s="4" t="str">
        <f t="shared" ca="1" si="19"/>
        <v>Defer / consume inventory</v>
      </c>
    </row>
    <row r="644" spans="1:16" ht="13" customHeight="1" x14ac:dyDescent="0.35">
      <c r="A644" s="93">
        <v>49188</v>
      </c>
      <c r="B644" s="61" t="s">
        <v>43</v>
      </c>
      <c r="C644" s="12" t="str">
        <f>'Planning Engine'!C644</f>
        <v>Drug Product</v>
      </c>
      <c r="D644" s="12" t="str">
        <f>'Planning Engine'!D644</f>
        <v>units</v>
      </c>
      <c r="E644" s="95">
        <f>'Planning Engine'!E644</f>
        <v>267607</v>
      </c>
      <c r="F644" s="95">
        <f>'Planning Engine'!F644</f>
        <v>0</v>
      </c>
      <c r="G644" s="95">
        <f>'Planning Engine'!G644</f>
        <v>0</v>
      </c>
      <c r="H644" s="95">
        <f t="shared" ref="H644:H707" si="20">G644-F644</f>
        <v>0</v>
      </c>
      <c r="I644" s="95">
        <f>'Planning Engine'!H644</f>
        <v>267607</v>
      </c>
      <c r="J644" s="96">
        <f ca="1">'Planning Engine'!J644</f>
        <v>999</v>
      </c>
      <c r="K644" s="95">
        <f ca="1">'Planning Engine'!K644</f>
        <v>0</v>
      </c>
      <c r="L644" s="12" t="str">
        <f ca="1">'Planning Engine'!L644</f>
        <v>Overstock</v>
      </c>
      <c r="M644" s="93">
        <f>'Planning Engine'!S644</f>
        <v>49035</v>
      </c>
      <c r="N644" s="95">
        <f>'Planning Engine'!T644</f>
        <v>0</v>
      </c>
      <c r="O644" s="94" t="s">
        <v>1676</v>
      </c>
      <c r="P644" s="12" t="str">
        <f t="shared" ref="P644:P707" ca="1" si="21">IFERROR(IF(L644="High","⚠ Expedite production / source alternate",IF(L644="Medium","Plan additional batches",IF(L644="Overstock","Defer / consume inventory","Plan acceptable"))),"--")</f>
        <v>Defer / consume inventory</v>
      </c>
    </row>
    <row r="645" spans="1:16" ht="13" customHeight="1" x14ac:dyDescent="0.35">
      <c r="A645" s="97">
        <v>49218</v>
      </c>
      <c r="B645" s="53" t="s">
        <v>43</v>
      </c>
      <c r="C645" s="12" t="str">
        <f>'Planning Engine'!C645</f>
        <v>Drug Product</v>
      </c>
      <c r="D645" s="12" t="str">
        <f>'Planning Engine'!D645</f>
        <v>units</v>
      </c>
      <c r="E645" s="95">
        <f>'Planning Engine'!E645</f>
        <v>267607</v>
      </c>
      <c r="F645" s="95">
        <f>'Planning Engine'!F645</f>
        <v>0</v>
      </c>
      <c r="G645" s="95">
        <f>'Planning Engine'!G645</f>
        <v>0</v>
      </c>
      <c r="H645" s="99">
        <f t="shared" si="20"/>
        <v>0</v>
      </c>
      <c r="I645" s="95">
        <f>'Planning Engine'!H645</f>
        <v>267607</v>
      </c>
      <c r="J645" s="96">
        <f ca="1">'Planning Engine'!J645</f>
        <v>999</v>
      </c>
      <c r="K645" s="95">
        <f ca="1">'Planning Engine'!K645</f>
        <v>0</v>
      </c>
      <c r="L645" s="12" t="str">
        <f ca="1">'Planning Engine'!L645</f>
        <v>Overstock</v>
      </c>
      <c r="M645" s="93">
        <f>'Planning Engine'!S645</f>
        <v>49065</v>
      </c>
      <c r="N645" s="95">
        <f>'Planning Engine'!T645</f>
        <v>0</v>
      </c>
      <c r="O645" s="98" t="s">
        <v>1677</v>
      </c>
      <c r="P645" s="4" t="str">
        <f t="shared" ca="1" si="21"/>
        <v>Defer / consume inventory</v>
      </c>
    </row>
    <row r="646" spans="1:16" ht="13" customHeight="1" x14ac:dyDescent="0.35">
      <c r="A646" s="93">
        <v>49249</v>
      </c>
      <c r="B646" s="61" t="s">
        <v>43</v>
      </c>
      <c r="C646" s="12" t="str">
        <f>'Planning Engine'!C646</f>
        <v>Drug Product</v>
      </c>
      <c r="D646" s="12" t="str">
        <f>'Planning Engine'!D646</f>
        <v>units</v>
      </c>
      <c r="E646" s="95">
        <f>'Planning Engine'!E646</f>
        <v>267607</v>
      </c>
      <c r="F646" s="95">
        <f>'Planning Engine'!F646</f>
        <v>0</v>
      </c>
      <c r="G646" s="95">
        <f>'Planning Engine'!G646</f>
        <v>0</v>
      </c>
      <c r="H646" s="95">
        <f t="shared" si="20"/>
        <v>0</v>
      </c>
      <c r="I646" s="95">
        <f>'Planning Engine'!H646</f>
        <v>267607</v>
      </c>
      <c r="J646" s="96">
        <f ca="1">'Planning Engine'!J646</f>
        <v>999</v>
      </c>
      <c r="K646" s="95">
        <f ca="1">'Planning Engine'!K646</f>
        <v>0</v>
      </c>
      <c r="L646" s="12" t="str">
        <f ca="1">'Planning Engine'!L646</f>
        <v>Overstock</v>
      </c>
      <c r="M646" s="93">
        <f>'Planning Engine'!S646</f>
        <v>49096</v>
      </c>
      <c r="N646" s="95">
        <f>'Planning Engine'!T646</f>
        <v>0</v>
      </c>
      <c r="O646" s="94" t="s">
        <v>1678</v>
      </c>
      <c r="P646" s="12" t="str">
        <f t="shared" ca="1" si="21"/>
        <v>Defer / consume inventory</v>
      </c>
    </row>
    <row r="647" spans="1:16" ht="13" customHeight="1" x14ac:dyDescent="0.35">
      <c r="A647" s="97">
        <v>49279</v>
      </c>
      <c r="B647" s="53" t="s">
        <v>43</v>
      </c>
      <c r="C647" s="12" t="str">
        <f>'Planning Engine'!C647</f>
        <v>Drug Product</v>
      </c>
      <c r="D647" s="12" t="str">
        <f>'Planning Engine'!D647</f>
        <v>units</v>
      </c>
      <c r="E647" s="95">
        <f>'Planning Engine'!E647</f>
        <v>267607</v>
      </c>
      <c r="F647" s="95">
        <f>'Planning Engine'!F647</f>
        <v>0</v>
      </c>
      <c r="G647" s="95">
        <f>'Planning Engine'!G647</f>
        <v>0</v>
      </c>
      <c r="H647" s="99">
        <f t="shared" si="20"/>
        <v>0</v>
      </c>
      <c r="I647" s="95">
        <f>'Planning Engine'!H647</f>
        <v>267607</v>
      </c>
      <c r="J647" s="96">
        <f ca="1">'Planning Engine'!J647</f>
        <v>999</v>
      </c>
      <c r="K647" s="95">
        <f ca="1">'Planning Engine'!K647</f>
        <v>0</v>
      </c>
      <c r="L647" s="12" t="str">
        <f ca="1">'Planning Engine'!L647</f>
        <v>Overstock</v>
      </c>
      <c r="M647" s="93">
        <f>'Planning Engine'!S647</f>
        <v>49126</v>
      </c>
      <c r="N647" s="95">
        <f>'Planning Engine'!T647</f>
        <v>0</v>
      </c>
      <c r="O647" s="98" t="s">
        <v>1679</v>
      </c>
      <c r="P647" s="4" t="str">
        <f t="shared" ca="1" si="21"/>
        <v>Defer / consume inventory</v>
      </c>
    </row>
    <row r="648" spans="1:16" ht="13" customHeight="1" x14ac:dyDescent="0.35">
      <c r="A648" s="93">
        <v>49310</v>
      </c>
      <c r="B648" s="61" t="s">
        <v>43</v>
      </c>
      <c r="C648" s="12" t="str">
        <f>'Planning Engine'!C648</f>
        <v>Drug Product</v>
      </c>
      <c r="D648" s="12" t="str">
        <f>'Planning Engine'!D648</f>
        <v>units</v>
      </c>
      <c r="E648" s="95">
        <f>'Planning Engine'!E648</f>
        <v>267607</v>
      </c>
      <c r="F648" s="95">
        <f>'Planning Engine'!F648</f>
        <v>0</v>
      </c>
      <c r="G648" s="95">
        <f>'Planning Engine'!G648</f>
        <v>0</v>
      </c>
      <c r="H648" s="95">
        <f t="shared" si="20"/>
        <v>0</v>
      </c>
      <c r="I648" s="95">
        <f>'Planning Engine'!H648</f>
        <v>267607</v>
      </c>
      <c r="J648" s="96">
        <f ca="1">'Planning Engine'!J648</f>
        <v>999</v>
      </c>
      <c r="K648" s="95">
        <f ca="1">'Planning Engine'!K648</f>
        <v>0</v>
      </c>
      <c r="L648" s="12" t="str">
        <f ca="1">'Planning Engine'!L648</f>
        <v>Overstock</v>
      </c>
      <c r="M648" s="93">
        <f>'Planning Engine'!S648</f>
        <v>49157</v>
      </c>
      <c r="N648" s="95">
        <f>'Planning Engine'!T648</f>
        <v>0</v>
      </c>
      <c r="O648" s="94" t="s">
        <v>1680</v>
      </c>
      <c r="P648" s="12" t="str">
        <f t="shared" ca="1" si="21"/>
        <v>Defer / consume inventory</v>
      </c>
    </row>
    <row r="649" spans="1:16" ht="13" customHeight="1" x14ac:dyDescent="0.35">
      <c r="A649" s="97">
        <v>49341</v>
      </c>
      <c r="B649" s="53" t="s">
        <v>43</v>
      </c>
      <c r="C649" s="12" t="str">
        <f>'Planning Engine'!C649</f>
        <v>Drug Product</v>
      </c>
      <c r="D649" s="12" t="str">
        <f>'Planning Engine'!D649</f>
        <v>units</v>
      </c>
      <c r="E649" s="95">
        <f>'Planning Engine'!E649</f>
        <v>267607</v>
      </c>
      <c r="F649" s="95">
        <f>'Planning Engine'!F649</f>
        <v>0</v>
      </c>
      <c r="G649" s="95">
        <f>'Planning Engine'!G649</f>
        <v>0</v>
      </c>
      <c r="H649" s="99">
        <f t="shared" si="20"/>
        <v>0</v>
      </c>
      <c r="I649" s="95">
        <f>'Planning Engine'!H649</f>
        <v>267607</v>
      </c>
      <c r="J649" s="96">
        <f ca="1">'Planning Engine'!J649</f>
        <v>999</v>
      </c>
      <c r="K649" s="95">
        <f ca="1">'Planning Engine'!K649</f>
        <v>0</v>
      </c>
      <c r="L649" s="12" t="str">
        <f ca="1">'Planning Engine'!L649</f>
        <v>Overstock</v>
      </c>
      <c r="M649" s="93">
        <f>'Planning Engine'!S649</f>
        <v>49188</v>
      </c>
      <c r="N649" s="95">
        <f>'Planning Engine'!T649</f>
        <v>0</v>
      </c>
      <c r="O649" s="98" t="s">
        <v>1681</v>
      </c>
      <c r="P649" s="4" t="str">
        <f t="shared" ca="1" si="21"/>
        <v>Defer / consume inventory</v>
      </c>
    </row>
    <row r="650" spans="1:16" ht="13" customHeight="1" x14ac:dyDescent="0.35">
      <c r="A650" s="93">
        <v>49369</v>
      </c>
      <c r="B650" s="61" t="s">
        <v>43</v>
      </c>
      <c r="C650" s="12" t="str">
        <f>'Planning Engine'!C650</f>
        <v>Drug Product</v>
      </c>
      <c r="D650" s="12" t="str">
        <f>'Planning Engine'!D650</f>
        <v>units</v>
      </c>
      <c r="E650" s="95">
        <f>'Planning Engine'!E650</f>
        <v>267607</v>
      </c>
      <c r="F650" s="95">
        <f>'Planning Engine'!F650</f>
        <v>0</v>
      </c>
      <c r="G650" s="95">
        <f>'Planning Engine'!G650</f>
        <v>0</v>
      </c>
      <c r="H650" s="95">
        <f t="shared" si="20"/>
        <v>0</v>
      </c>
      <c r="I650" s="95">
        <f>'Planning Engine'!H650</f>
        <v>267607</v>
      </c>
      <c r="J650" s="96">
        <f ca="1">'Planning Engine'!J650</f>
        <v>999</v>
      </c>
      <c r="K650" s="95">
        <f ca="1">'Planning Engine'!K650</f>
        <v>0</v>
      </c>
      <c r="L650" s="12" t="str">
        <f ca="1">'Planning Engine'!L650</f>
        <v>Overstock</v>
      </c>
      <c r="M650" s="93">
        <f>'Planning Engine'!S650</f>
        <v>49218</v>
      </c>
      <c r="N650" s="95">
        <f>'Planning Engine'!T650</f>
        <v>0</v>
      </c>
      <c r="O650" s="94" t="s">
        <v>1682</v>
      </c>
      <c r="P650" s="12" t="str">
        <f t="shared" ca="1" si="21"/>
        <v>Defer / consume inventory</v>
      </c>
    </row>
    <row r="651" spans="1:16" ht="13" customHeight="1" x14ac:dyDescent="0.35">
      <c r="A651" s="97">
        <v>49400</v>
      </c>
      <c r="B651" s="53" t="s">
        <v>43</v>
      </c>
      <c r="C651" s="12" t="str">
        <f>'Planning Engine'!C651</f>
        <v>Drug Product</v>
      </c>
      <c r="D651" s="12" t="str">
        <f>'Planning Engine'!D651</f>
        <v>units</v>
      </c>
      <c r="E651" s="95">
        <f>'Planning Engine'!E651</f>
        <v>267607</v>
      </c>
      <c r="F651" s="95">
        <f>'Planning Engine'!F651</f>
        <v>0</v>
      </c>
      <c r="G651" s="95">
        <f>'Planning Engine'!G651</f>
        <v>0</v>
      </c>
      <c r="H651" s="99">
        <f t="shared" si="20"/>
        <v>0</v>
      </c>
      <c r="I651" s="95">
        <f>'Planning Engine'!H651</f>
        <v>267607</v>
      </c>
      <c r="J651" s="96">
        <f ca="1">'Planning Engine'!J651</f>
        <v>999</v>
      </c>
      <c r="K651" s="95">
        <f ca="1">'Planning Engine'!K651</f>
        <v>0</v>
      </c>
      <c r="L651" s="12" t="str">
        <f ca="1">'Planning Engine'!L651</f>
        <v>Overstock</v>
      </c>
      <c r="M651" s="93">
        <f>'Planning Engine'!S651</f>
        <v>49249</v>
      </c>
      <c r="N651" s="95">
        <f>'Planning Engine'!T651</f>
        <v>0</v>
      </c>
      <c r="O651" s="98" t="s">
        <v>1683</v>
      </c>
      <c r="P651" s="4" t="str">
        <f t="shared" ca="1" si="21"/>
        <v>Defer / consume inventory</v>
      </c>
    </row>
    <row r="652" spans="1:16" ht="13" customHeight="1" x14ac:dyDescent="0.35">
      <c r="A652" s="93">
        <v>49430</v>
      </c>
      <c r="B652" s="61" t="s">
        <v>43</v>
      </c>
      <c r="C652" s="12" t="str">
        <f>'Planning Engine'!C652</f>
        <v>Drug Product</v>
      </c>
      <c r="D652" s="12" t="str">
        <f>'Planning Engine'!D652</f>
        <v>units</v>
      </c>
      <c r="E652" s="95">
        <f>'Planning Engine'!E652</f>
        <v>267607</v>
      </c>
      <c r="F652" s="95">
        <f>'Planning Engine'!F652</f>
        <v>0</v>
      </c>
      <c r="G652" s="95">
        <f>'Planning Engine'!G652</f>
        <v>0</v>
      </c>
      <c r="H652" s="95">
        <f t="shared" si="20"/>
        <v>0</v>
      </c>
      <c r="I652" s="95">
        <f>'Planning Engine'!H652</f>
        <v>267607</v>
      </c>
      <c r="J652" s="96">
        <f ca="1">'Planning Engine'!J652</f>
        <v>999</v>
      </c>
      <c r="K652" s="95">
        <f ca="1">'Planning Engine'!K652</f>
        <v>0</v>
      </c>
      <c r="L652" s="12" t="str">
        <f ca="1">'Planning Engine'!L652</f>
        <v>Overstock</v>
      </c>
      <c r="M652" s="93">
        <f>'Planning Engine'!S652</f>
        <v>49279</v>
      </c>
      <c r="N652" s="95">
        <f>'Planning Engine'!T652</f>
        <v>0</v>
      </c>
      <c r="O652" s="94" t="s">
        <v>1684</v>
      </c>
      <c r="P652" s="12" t="str">
        <f t="shared" ca="1" si="21"/>
        <v>Defer / consume inventory</v>
      </c>
    </row>
    <row r="653" spans="1:16" ht="13" customHeight="1" x14ac:dyDescent="0.35">
      <c r="A653" s="97">
        <v>49461</v>
      </c>
      <c r="B653" s="53" t="s">
        <v>43</v>
      </c>
      <c r="C653" s="12" t="str">
        <f>'Planning Engine'!C653</f>
        <v>Drug Product</v>
      </c>
      <c r="D653" s="12" t="str">
        <f>'Planning Engine'!D653</f>
        <v>units</v>
      </c>
      <c r="E653" s="95">
        <f>'Planning Engine'!E653</f>
        <v>267607</v>
      </c>
      <c r="F653" s="95">
        <f>'Planning Engine'!F653</f>
        <v>0</v>
      </c>
      <c r="G653" s="95">
        <f>'Planning Engine'!G653</f>
        <v>0</v>
      </c>
      <c r="H653" s="99">
        <f t="shared" si="20"/>
        <v>0</v>
      </c>
      <c r="I653" s="95">
        <f>'Planning Engine'!H653</f>
        <v>267607</v>
      </c>
      <c r="J653" s="96">
        <f ca="1">'Planning Engine'!J653</f>
        <v>999</v>
      </c>
      <c r="K653" s="95">
        <f ca="1">'Planning Engine'!K653</f>
        <v>0</v>
      </c>
      <c r="L653" s="12" t="str">
        <f ca="1">'Planning Engine'!L653</f>
        <v>Overstock</v>
      </c>
      <c r="M653" s="93">
        <f>'Planning Engine'!S653</f>
        <v>49310</v>
      </c>
      <c r="N653" s="95">
        <f>'Planning Engine'!T653</f>
        <v>0</v>
      </c>
      <c r="O653" s="98" t="s">
        <v>1685</v>
      </c>
      <c r="P653" s="4" t="str">
        <f t="shared" ca="1" si="21"/>
        <v>Defer / consume inventory</v>
      </c>
    </row>
    <row r="654" spans="1:16" ht="13" customHeight="1" x14ac:dyDescent="0.35">
      <c r="A654" s="93">
        <v>49491</v>
      </c>
      <c r="B654" s="61" t="s">
        <v>43</v>
      </c>
      <c r="C654" s="12" t="str">
        <f>'Planning Engine'!C654</f>
        <v>Drug Product</v>
      </c>
      <c r="D654" s="12" t="str">
        <f>'Planning Engine'!D654</f>
        <v>units</v>
      </c>
      <c r="E654" s="95">
        <f>'Planning Engine'!E654</f>
        <v>267607</v>
      </c>
      <c r="F654" s="95">
        <f>'Planning Engine'!F654</f>
        <v>0</v>
      </c>
      <c r="G654" s="95">
        <f>'Planning Engine'!G654</f>
        <v>0</v>
      </c>
      <c r="H654" s="95">
        <f t="shared" si="20"/>
        <v>0</v>
      </c>
      <c r="I654" s="95">
        <f>'Planning Engine'!H654</f>
        <v>267607</v>
      </c>
      <c r="J654" s="96">
        <f ca="1">'Planning Engine'!J654</f>
        <v>999</v>
      </c>
      <c r="K654" s="95">
        <f ca="1">'Planning Engine'!K654</f>
        <v>0</v>
      </c>
      <c r="L654" s="12" t="str">
        <f ca="1">'Planning Engine'!L654</f>
        <v>Overstock</v>
      </c>
      <c r="M654" s="93">
        <f>'Planning Engine'!S654</f>
        <v>49341</v>
      </c>
      <c r="N654" s="95">
        <f>'Planning Engine'!T654</f>
        <v>0</v>
      </c>
      <c r="O654" s="94" t="s">
        <v>1686</v>
      </c>
      <c r="P654" s="12" t="str">
        <f t="shared" ca="1" si="21"/>
        <v>Defer / consume inventory</v>
      </c>
    </row>
    <row r="655" spans="1:16" ht="13" customHeight="1" x14ac:dyDescent="0.35">
      <c r="A655" s="97">
        <v>49522</v>
      </c>
      <c r="B655" s="53" t="s">
        <v>43</v>
      </c>
      <c r="C655" s="12" t="str">
        <f>'Planning Engine'!C655</f>
        <v>Drug Product</v>
      </c>
      <c r="D655" s="12" t="str">
        <f>'Planning Engine'!D655</f>
        <v>units</v>
      </c>
      <c r="E655" s="95">
        <f>'Planning Engine'!E655</f>
        <v>267607</v>
      </c>
      <c r="F655" s="95">
        <f>'Planning Engine'!F655</f>
        <v>0</v>
      </c>
      <c r="G655" s="95">
        <f>'Planning Engine'!G655</f>
        <v>0</v>
      </c>
      <c r="H655" s="99">
        <f t="shared" si="20"/>
        <v>0</v>
      </c>
      <c r="I655" s="95">
        <f>'Planning Engine'!H655</f>
        <v>267607</v>
      </c>
      <c r="J655" s="96">
        <f ca="1">'Planning Engine'!J655</f>
        <v>999</v>
      </c>
      <c r="K655" s="95">
        <f ca="1">'Planning Engine'!K655</f>
        <v>0</v>
      </c>
      <c r="L655" s="12" t="str">
        <f ca="1">'Planning Engine'!L655</f>
        <v>Overstock</v>
      </c>
      <c r="M655" s="93">
        <f>'Planning Engine'!S655</f>
        <v>49369</v>
      </c>
      <c r="N655" s="95">
        <f>'Planning Engine'!T655</f>
        <v>0</v>
      </c>
      <c r="O655" s="98" t="s">
        <v>1687</v>
      </c>
      <c r="P655" s="4" t="str">
        <f t="shared" ca="1" si="21"/>
        <v>Defer / consume inventory</v>
      </c>
    </row>
    <row r="656" spans="1:16" ht="13" customHeight="1" x14ac:dyDescent="0.35">
      <c r="A656" s="93">
        <v>49553</v>
      </c>
      <c r="B656" s="61" t="s">
        <v>43</v>
      </c>
      <c r="C656" s="12" t="str">
        <f>'Planning Engine'!C656</f>
        <v>Drug Product</v>
      </c>
      <c r="D656" s="12" t="str">
        <f>'Planning Engine'!D656</f>
        <v>units</v>
      </c>
      <c r="E656" s="95">
        <f>'Planning Engine'!E656</f>
        <v>267607</v>
      </c>
      <c r="F656" s="95">
        <f>'Planning Engine'!F656</f>
        <v>0</v>
      </c>
      <c r="G656" s="95">
        <f>'Planning Engine'!G656</f>
        <v>0</v>
      </c>
      <c r="H656" s="95">
        <f t="shared" si="20"/>
        <v>0</v>
      </c>
      <c r="I656" s="95">
        <f>'Planning Engine'!H656</f>
        <v>267607</v>
      </c>
      <c r="J656" s="96">
        <f ca="1">'Planning Engine'!J656</f>
        <v>999</v>
      </c>
      <c r="K656" s="95">
        <f ca="1">'Planning Engine'!K656</f>
        <v>0</v>
      </c>
      <c r="L656" s="12" t="str">
        <f ca="1">'Planning Engine'!L656</f>
        <v>Overstock</v>
      </c>
      <c r="M656" s="93">
        <f>'Planning Engine'!S656</f>
        <v>49400</v>
      </c>
      <c r="N656" s="95">
        <f>'Planning Engine'!T656</f>
        <v>0</v>
      </c>
      <c r="O656" s="94" t="s">
        <v>1688</v>
      </c>
      <c r="P656" s="12" t="str">
        <f t="shared" ca="1" si="21"/>
        <v>Defer / consume inventory</v>
      </c>
    </row>
    <row r="657" spans="1:16" ht="13" customHeight="1" x14ac:dyDescent="0.35">
      <c r="A657" s="97">
        <v>49583</v>
      </c>
      <c r="B657" s="53" t="s">
        <v>43</v>
      </c>
      <c r="C657" s="12" t="str">
        <f>'Planning Engine'!C657</f>
        <v>Drug Product</v>
      </c>
      <c r="D657" s="12" t="str">
        <f>'Planning Engine'!D657</f>
        <v>units</v>
      </c>
      <c r="E657" s="95">
        <f>'Planning Engine'!E657</f>
        <v>267607</v>
      </c>
      <c r="F657" s="95">
        <f>'Planning Engine'!F657</f>
        <v>0</v>
      </c>
      <c r="G657" s="95">
        <f>'Planning Engine'!G657</f>
        <v>0</v>
      </c>
      <c r="H657" s="99">
        <f t="shared" si="20"/>
        <v>0</v>
      </c>
      <c r="I657" s="95">
        <f>'Planning Engine'!H657</f>
        <v>267607</v>
      </c>
      <c r="J657" s="96">
        <f ca="1">'Planning Engine'!J657</f>
        <v>999</v>
      </c>
      <c r="K657" s="95">
        <f ca="1">'Planning Engine'!K657</f>
        <v>0</v>
      </c>
      <c r="L657" s="12" t="str">
        <f ca="1">'Planning Engine'!L657</f>
        <v>Overstock</v>
      </c>
      <c r="M657" s="93">
        <f>'Planning Engine'!S657</f>
        <v>49430</v>
      </c>
      <c r="N657" s="95">
        <f>'Planning Engine'!T657</f>
        <v>0</v>
      </c>
      <c r="O657" s="98" t="s">
        <v>1689</v>
      </c>
      <c r="P657" s="4" t="str">
        <f t="shared" ca="1" si="21"/>
        <v>Defer / consume inventory</v>
      </c>
    </row>
    <row r="658" spans="1:16" ht="13" customHeight="1" x14ac:dyDescent="0.35">
      <c r="A658" s="93">
        <v>49614</v>
      </c>
      <c r="B658" s="61" t="s">
        <v>43</v>
      </c>
      <c r="C658" s="12" t="str">
        <f>'Planning Engine'!C658</f>
        <v>Drug Product</v>
      </c>
      <c r="D658" s="12" t="str">
        <f>'Planning Engine'!D658</f>
        <v>units</v>
      </c>
      <c r="E658" s="95">
        <f>'Planning Engine'!E658</f>
        <v>267607</v>
      </c>
      <c r="F658" s="95">
        <f>'Planning Engine'!F658</f>
        <v>0</v>
      </c>
      <c r="G658" s="95">
        <f>'Planning Engine'!G658</f>
        <v>0</v>
      </c>
      <c r="H658" s="95">
        <f t="shared" si="20"/>
        <v>0</v>
      </c>
      <c r="I658" s="95">
        <f>'Planning Engine'!H658</f>
        <v>267607</v>
      </c>
      <c r="J658" s="96">
        <f ca="1">'Planning Engine'!J658</f>
        <v>999</v>
      </c>
      <c r="K658" s="95">
        <f ca="1">'Planning Engine'!K658</f>
        <v>0</v>
      </c>
      <c r="L658" s="12" t="str">
        <f ca="1">'Planning Engine'!L658</f>
        <v>Overstock</v>
      </c>
      <c r="M658" s="93">
        <f>'Planning Engine'!S658</f>
        <v>49461</v>
      </c>
      <c r="N658" s="95">
        <f>'Planning Engine'!T658</f>
        <v>0</v>
      </c>
      <c r="O658" s="94" t="s">
        <v>1690</v>
      </c>
      <c r="P658" s="12" t="str">
        <f t="shared" ca="1" si="21"/>
        <v>Defer / consume inventory</v>
      </c>
    </row>
    <row r="659" spans="1:16" ht="13" customHeight="1" x14ac:dyDescent="0.35">
      <c r="A659" s="97">
        <v>49644</v>
      </c>
      <c r="B659" s="53" t="s">
        <v>43</v>
      </c>
      <c r="C659" s="12" t="str">
        <f>'Planning Engine'!C659</f>
        <v>Drug Product</v>
      </c>
      <c r="D659" s="12" t="str">
        <f>'Planning Engine'!D659</f>
        <v>units</v>
      </c>
      <c r="E659" s="95">
        <f>'Planning Engine'!E659</f>
        <v>267607</v>
      </c>
      <c r="F659" s="95">
        <f>'Planning Engine'!F659</f>
        <v>0</v>
      </c>
      <c r="G659" s="95">
        <f>'Planning Engine'!G659</f>
        <v>0</v>
      </c>
      <c r="H659" s="99">
        <f t="shared" si="20"/>
        <v>0</v>
      </c>
      <c r="I659" s="95">
        <f>'Planning Engine'!H659</f>
        <v>267607</v>
      </c>
      <c r="J659" s="96">
        <f ca="1">'Planning Engine'!J659</f>
        <v>999</v>
      </c>
      <c r="K659" s="95">
        <f ca="1">'Planning Engine'!K659</f>
        <v>0</v>
      </c>
      <c r="L659" s="12" t="str">
        <f ca="1">'Planning Engine'!L659</f>
        <v>Overstock</v>
      </c>
      <c r="M659" s="93">
        <f>'Planning Engine'!S659</f>
        <v>49491</v>
      </c>
      <c r="N659" s="95">
        <f>'Planning Engine'!T659</f>
        <v>0</v>
      </c>
      <c r="O659" s="98" t="s">
        <v>1691</v>
      </c>
      <c r="P659" s="4" t="str">
        <f t="shared" ca="1" si="21"/>
        <v>Defer / consume inventory</v>
      </c>
    </row>
    <row r="660" spans="1:16" ht="13" customHeight="1" x14ac:dyDescent="0.35">
      <c r="A660" s="93">
        <v>49675</v>
      </c>
      <c r="B660" s="61" t="s">
        <v>43</v>
      </c>
      <c r="C660" s="12" t="str">
        <f>'Planning Engine'!C660</f>
        <v>Drug Product</v>
      </c>
      <c r="D660" s="12" t="str">
        <f>'Planning Engine'!D660</f>
        <v>units</v>
      </c>
      <c r="E660" s="95">
        <f>'Planning Engine'!E660</f>
        <v>267607</v>
      </c>
      <c r="F660" s="95">
        <f>'Planning Engine'!F660</f>
        <v>0</v>
      </c>
      <c r="G660" s="95">
        <f>'Planning Engine'!G660</f>
        <v>0</v>
      </c>
      <c r="H660" s="95">
        <f t="shared" si="20"/>
        <v>0</v>
      </c>
      <c r="I660" s="95">
        <f>'Planning Engine'!H660</f>
        <v>267607</v>
      </c>
      <c r="J660" s="96">
        <f ca="1">'Planning Engine'!J660</f>
        <v>999</v>
      </c>
      <c r="K660" s="95">
        <f ca="1">'Planning Engine'!K660</f>
        <v>0</v>
      </c>
      <c r="L660" s="12" t="str">
        <f ca="1">'Planning Engine'!L660</f>
        <v>Overstock</v>
      </c>
      <c r="M660" s="93">
        <f>'Planning Engine'!S660</f>
        <v>49522</v>
      </c>
      <c r="N660" s="95">
        <f>'Planning Engine'!T660</f>
        <v>0</v>
      </c>
      <c r="O660" s="94" t="s">
        <v>1692</v>
      </c>
      <c r="P660" s="12" t="str">
        <f t="shared" ca="1" si="21"/>
        <v>Defer / consume inventory</v>
      </c>
    </row>
    <row r="661" spans="1:16" ht="13" customHeight="1" x14ac:dyDescent="0.35">
      <c r="A661" s="97">
        <v>49706</v>
      </c>
      <c r="B661" s="53" t="s">
        <v>43</v>
      </c>
      <c r="C661" s="12" t="str">
        <f>'Planning Engine'!C661</f>
        <v>Drug Product</v>
      </c>
      <c r="D661" s="12" t="str">
        <f>'Planning Engine'!D661</f>
        <v>units</v>
      </c>
      <c r="E661" s="95">
        <f>'Planning Engine'!E661</f>
        <v>267607</v>
      </c>
      <c r="F661" s="95">
        <f>'Planning Engine'!F661</f>
        <v>0</v>
      </c>
      <c r="G661" s="95">
        <f>'Planning Engine'!G661</f>
        <v>0</v>
      </c>
      <c r="H661" s="99">
        <f t="shared" si="20"/>
        <v>0</v>
      </c>
      <c r="I661" s="95">
        <f>'Planning Engine'!H661</f>
        <v>267607</v>
      </c>
      <c r="J661" s="96">
        <f ca="1">'Planning Engine'!J661</f>
        <v>999</v>
      </c>
      <c r="K661" s="95">
        <f ca="1">'Planning Engine'!K661</f>
        <v>0</v>
      </c>
      <c r="L661" s="12" t="str">
        <f ca="1">'Planning Engine'!L661</f>
        <v>Overstock</v>
      </c>
      <c r="M661" s="93">
        <f>'Planning Engine'!S661</f>
        <v>49553</v>
      </c>
      <c r="N661" s="95">
        <f>'Planning Engine'!T661</f>
        <v>0</v>
      </c>
      <c r="O661" s="98" t="s">
        <v>1693</v>
      </c>
      <c r="P661" s="4" t="str">
        <f t="shared" ca="1" si="21"/>
        <v>Defer / consume inventory</v>
      </c>
    </row>
    <row r="662" spans="1:16" ht="13" customHeight="1" x14ac:dyDescent="0.35">
      <c r="A662" s="93">
        <v>49735</v>
      </c>
      <c r="B662" s="61" t="s">
        <v>43</v>
      </c>
      <c r="C662" s="12" t="str">
        <f>'Planning Engine'!C662</f>
        <v>Drug Product</v>
      </c>
      <c r="D662" s="12" t="str">
        <f>'Planning Engine'!D662</f>
        <v>units</v>
      </c>
      <c r="E662" s="95">
        <f>'Planning Engine'!E662</f>
        <v>267607</v>
      </c>
      <c r="F662" s="95">
        <f>'Planning Engine'!F662</f>
        <v>0</v>
      </c>
      <c r="G662" s="95">
        <f>'Planning Engine'!G662</f>
        <v>0</v>
      </c>
      <c r="H662" s="95">
        <f t="shared" si="20"/>
        <v>0</v>
      </c>
      <c r="I662" s="95">
        <f>'Planning Engine'!H662</f>
        <v>267607</v>
      </c>
      <c r="J662" s="96">
        <f ca="1">'Planning Engine'!J662</f>
        <v>999</v>
      </c>
      <c r="K662" s="95">
        <f ca="1">'Planning Engine'!K662</f>
        <v>0</v>
      </c>
      <c r="L662" s="12" t="str">
        <f ca="1">'Planning Engine'!L662</f>
        <v>Overstock</v>
      </c>
      <c r="M662" s="93">
        <f>'Planning Engine'!S662</f>
        <v>49583</v>
      </c>
      <c r="N662" s="95">
        <f>'Planning Engine'!T662</f>
        <v>0</v>
      </c>
      <c r="O662" s="94" t="s">
        <v>1694</v>
      </c>
      <c r="P662" s="12" t="str">
        <f t="shared" ca="1" si="21"/>
        <v>Defer / consume inventory</v>
      </c>
    </row>
    <row r="663" spans="1:16" ht="13" customHeight="1" x14ac:dyDescent="0.35">
      <c r="A663" s="97">
        <v>49766</v>
      </c>
      <c r="B663" s="53" t="s">
        <v>43</v>
      </c>
      <c r="C663" s="12" t="str">
        <f>'Planning Engine'!C663</f>
        <v>Drug Product</v>
      </c>
      <c r="D663" s="12" t="str">
        <f>'Planning Engine'!D663</f>
        <v>units</v>
      </c>
      <c r="E663" s="95">
        <f>'Planning Engine'!E663</f>
        <v>267607</v>
      </c>
      <c r="F663" s="95">
        <f>'Planning Engine'!F663</f>
        <v>0</v>
      </c>
      <c r="G663" s="95">
        <f>'Planning Engine'!G663</f>
        <v>0</v>
      </c>
      <c r="H663" s="99">
        <f t="shared" si="20"/>
        <v>0</v>
      </c>
      <c r="I663" s="95">
        <f>'Planning Engine'!H663</f>
        <v>267607</v>
      </c>
      <c r="J663" s="96">
        <f ca="1">'Planning Engine'!J663</f>
        <v>999</v>
      </c>
      <c r="K663" s="95">
        <f ca="1">'Planning Engine'!K663</f>
        <v>0</v>
      </c>
      <c r="L663" s="12" t="str">
        <f ca="1">'Planning Engine'!L663</f>
        <v>Overstock</v>
      </c>
      <c r="M663" s="93">
        <f>'Planning Engine'!S663</f>
        <v>49614</v>
      </c>
      <c r="N663" s="95">
        <f>'Planning Engine'!T663</f>
        <v>0</v>
      </c>
      <c r="O663" s="98" t="s">
        <v>1695</v>
      </c>
      <c r="P663" s="4" t="str">
        <f t="shared" ca="1" si="21"/>
        <v>Defer / consume inventory</v>
      </c>
    </row>
    <row r="664" spans="1:16" ht="13" customHeight="1" x14ac:dyDescent="0.35">
      <c r="A664" s="93">
        <v>49796</v>
      </c>
      <c r="B664" s="61" t="s">
        <v>43</v>
      </c>
      <c r="C664" s="12" t="str">
        <f>'Planning Engine'!C664</f>
        <v>Drug Product</v>
      </c>
      <c r="D664" s="12" t="str">
        <f>'Planning Engine'!D664</f>
        <v>units</v>
      </c>
      <c r="E664" s="95">
        <f>'Planning Engine'!E664</f>
        <v>267607</v>
      </c>
      <c r="F664" s="95">
        <f>'Planning Engine'!F664</f>
        <v>0</v>
      </c>
      <c r="G664" s="95">
        <f>'Planning Engine'!G664</f>
        <v>0</v>
      </c>
      <c r="H664" s="95">
        <f t="shared" si="20"/>
        <v>0</v>
      </c>
      <c r="I664" s="95">
        <f>'Planning Engine'!H664</f>
        <v>267607</v>
      </c>
      <c r="J664" s="96">
        <f ca="1">'Planning Engine'!J664</f>
        <v>999</v>
      </c>
      <c r="K664" s="95">
        <f ca="1">'Planning Engine'!K664</f>
        <v>0</v>
      </c>
      <c r="L664" s="12" t="str">
        <f ca="1">'Planning Engine'!L664</f>
        <v>Overstock</v>
      </c>
      <c r="M664" s="93">
        <f>'Planning Engine'!S664</f>
        <v>49644</v>
      </c>
      <c r="N664" s="95">
        <f>'Planning Engine'!T664</f>
        <v>0</v>
      </c>
      <c r="O664" s="94" t="s">
        <v>1696</v>
      </c>
      <c r="P664" s="12" t="str">
        <f t="shared" ca="1" si="21"/>
        <v>Defer / consume inventory</v>
      </c>
    </row>
    <row r="665" spans="1:16" ht="13" customHeight="1" x14ac:dyDescent="0.35">
      <c r="A665" s="97">
        <v>49827</v>
      </c>
      <c r="B665" s="53" t="s">
        <v>43</v>
      </c>
      <c r="C665" s="12" t="str">
        <f>'Planning Engine'!C665</f>
        <v>Drug Product</v>
      </c>
      <c r="D665" s="12" t="str">
        <f>'Planning Engine'!D665</f>
        <v>units</v>
      </c>
      <c r="E665" s="95">
        <f>'Planning Engine'!E665</f>
        <v>267607</v>
      </c>
      <c r="F665" s="95">
        <f>'Planning Engine'!F665</f>
        <v>0</v>
      </c>
      <c r="G665" s="95">
        <f>'Planning Engine'!G665</f>
        <v>0</v>
      </c>
      <c r="H665" s="99">
        <f t="shared" si="20"/>
        <v>0</v>
      </c>
      <c r="I665" s="95">
        <f>'Planning Engine'!H665</f>
        <v>267607</v>
      </c>
      <c r="J665" s="96">
        <f ca="1">'Planning Engine'!J665</f>
        <v>999</v>
      </c>
      <c r="K665" s="95">
        <f ca="1">'Planning Engine'!K665</f>
        <v>0</v>
      </c>
      <c r="L665" s="12" t="str">
        <f ca="1">'Planning Engine'!L665</f>
        <v>Overstock</v>
      </c>
      <c r="M665" s="93">
        <f>'Planning Engine'!S665</f>
        <v>49675</v>
      </c>
      <c r="N665" s="95">
        <f>'Planning Engine'!T665</f>
        <v>0</v>
      </c>
      <c r="O665" s="98" t="s">
        <v>1697</v>
      </c>
      <c r="P665" s="4" t="str">
        <f t="shared" ca="1" si="21"/>
        <v>Defer / consume inventory</v>
      </c>
    </row>
    <row r="666" spans="1:16" ht="13" customHeight="1" x14ac:dyDescent="0.35">
      <c r="A666" s="93">
        <v>49857</v>
      </c>
      <c r="B666" s="61" t="s">
        <v>43</v>
      </c>
      <c r="C666" s="12" t="str">
        <f>'Planning Engine'!C666</f>
        <v>Drug Product</v>
      </c>
      <c r="D666" s="12" t="str">
        <f>'Planning Engine'!D666</f>
        <v>units</v>
      </c>
      <c r="E666" s="95">
        <f>'Planning Engine'!E666</f>
        <v>267607</v>
      </c>
      <c r="F666" s="95">
        <f>'Planning Engine'!F666</f>
        <v>0</v>
      </c>
      <c r="G666" s="95">
        <f>'Planning Engine'!G666</f>
        <v>0</v>
      </c>
      <c r="H666" s="95">
        <f t="shared" si="20"/>
        <v>0</v>
      </c>
      <c r="I666" s="95">
        <f>'Planning Engine'!H666</f>
        <v>267607</v>
      </c>
      <c r="J666" s="96">
        <f ca="1">'Planning Engine'!J666</f>
        <v>999</v>
      </c>
      <c r="K666" s="95">
        <f ca="1">'Planning Engine'!K666</f>
        <v>0</v>
      </c>
      <c r="L666" s="12" t="str">
        <f ca="1">'Planning Engine'!L666</f>
        <v>Overstock</v>
      </c>
      <c r="M666" s="93">
        <f>'Planning Engine'!S666</f>
        <v>49706</v>
      </c>
      <c r="N666" s="95">
        <f>'Planning Engine'!T666</f>
        <v>0</v>
      </c>
      <c r="O666" s="94" t="s">
        <v>1698</v>
      </c>
      <c r="P666" s="12" t="str">
        <f t="shared" ca="1" si="21"/>
        <v>Defer / consume inventory</v>
      </c>
    </row>
    <row r="667" spans="1:16" ht="13" customHeight="1" x14ac:dyDescent="0.35">
      <c r="A667" s="97">
        <v>49888</v>
      </c>
      <c r="B667" s="53" t="s">
        <v>43</v>
      </c>
      <c r="C667" s="12" t="str">
        <f>'Planning Engine'!C667</f>
        <v>Drug Product</v>
      </c>
      <c r="D667" s="12" t="str">
        <f>'Planning Engine'!D667</f>
        <v>units</v>
      </c>
      <c r="E667" s="95">
        <f>'Planning Engine'!E667</f>
        <v>267607</v>
      </c>
      <c r="F667" s="95">
        <f>'Planning Engine'!F667</f>
        <v>0</v>
      </c>
      <c r="G667" s="95">
        <f>'Planning Engine'!G667</f>
        <v>0</v>
      </c>
      <c r="H667" s="99">
        <f t="shared" si="20"/>
        <v>0</v>
      </c>
      <c r="I667" s="95">
        <f>'Planning Engine'!H667</f>
        <v>267607</v>
      </c>
      <c r="J667" s="96">
        <f ca="1">'Planning Engine'!J667</f>
        <v>999</v>
      </c>
      <c r="K667" s="95">
        <f ca="1">'Planning Engine'!K667</f>
        <v>0</v>
      </c>
      <c r="L667" s="12" t="str">
        <f ca="1">'Planning Engine'!L667</f>
        <v>Overstock</v>
      </c>
      <c r="M667" s="93">
        <f>'Planning Engine'!S667</f>
        <v>49735</v>
      </c>
      <c r="N667" s="95">
        <f>'Planning Engine'!T667</f>
        <v>0</v>
      </c>
      <c r="O667" s="98" t="s">
        <v>1699</v>
      </c>
      <c r="P667" s="4" t="str">
        <f t="shared" ca="1" si="21"/>
        <v>Defer / consume inventory</v>
      </c>
    </row>
    <row r="668" spans="1:16" ht="13" customHeight="1" x14ac:dyDescent="0.35">
      <c r="A668" s="93">
        <v>49919</v>
      </c>
      <c r="B668" s="61" t="s">
        <v>43</v>
      </c>
      <c r="C668" s="12" t="str">
        <f>'Planning Engine'!C668</f>
        <v>Drug Product</v>
      </c>
      <c r="D668" s="12" t="str">
        <f>'Planning Engine'!D668</f>
        <v>units</v>
      </c>
      <c r="E668" s="95">
        <f>'Planning Engine'!E668</f>
        <v>267607</v>
      </c>
      <c r="F668" s="95">
        <f>'Planning Engine'!F668</f>
        <v>0</v>
      </c>
      <c r="G668" s="95">
        <f>'Planning Engine'!G668</f>
        <v>0</v>
      </c>
      <c r="H668" s="95">
        <f t="shared" si="20"/>
        <v>0</v>
      </c>
      <c r="I668" s="95">
        <f>'Planning Engine'!H668</f>
        <v>267607</v>
      </c>
      <c r="J668" s="96">
        <f ca="1">'Planning Engine'!J668</f>
        <v>999</v>
      </c>
      <c r="K668" s="95">
        <f ca="1">'Planning Engine'!K668</f>
        <v>0</v>
      </c>
      <c r="L668" s="12" t="str">
        <f ca="1">'Planning Engine'!L668</f>
        <v>Overstock</v>
      </c>
      <c r="M668" s="93">
        <f>'Planning Engine'!S668</f>
        <v>49766</v>
      </c>
      <c r="N668" s="95">
        <f>'Planning Engine'!T668</f>
        <v>0</v>
      </c>
      <c r="O668" s="94" t="s">
        <v>1700</v>
      </c>
      <c r="P668" s="12" t="str">
        <f t="shared" ca="1" si="21"/>
        <v>Defer / consume inventory</v>
      </c>
    </row>
    <row r="669" spans="1:16" ht="13" customHeight="1" x14ac:dyDescent="0.35">
      <c r="A669" s="97">
        <v>49949</v>
      </c>
      <c r="B669" s="53" t="s">
        <v>43</v>
      </c>
      <c r="C669" s="12" t="str">
        <f>'Planning Engine'!C669</f>
        <v>Drug Product</v>
      </c>
      <c r="D669" s="12" t="str">
        <f>'Planning Engine'!D669</f>
        <v>units</v>
      </c>
      <c r="E669" s="95">
        <f>'Planning Engine'!E669</f>
        <v>267607</v>
      </c>
      <c r="F669" s="95">
        <f>'Planning Engine'!F669</f>
        <v>0</v>
      </c>
      <c r="G669" s="95">
        <f>'Planning Engine'!G669</f>
        <v>0</v>
      </c>
      <c r="H669" s="99">
        <f t="shared" si="20"/>
        <v>0</v>
      </c>
      <c r="I669" s="95">
        <f>'Planning Engine'!H669</f>
        <v>267607</v>
      </c>
      <c r="J669" s="96">
        <f ca="1">'Planning Engine'!J669</f>
        <v>999</v>
      </c>
      <c r="K669" s="95">
        <f ca="1">'Planning Engine'!K669</f>
        <v>0</v>
      </c>
      <c r="L669" s="12" t="str">
        <f ca="1">'Planning Engine'!L669</f>
        <v>Overstock</v>
      </c>
      <c r="M669" s="93">
        <f>'Planning Engine'!S669</f>
        <v>49796</v>
      </c>
      <c r="N669" s="95">
        <f>'Planning Engine'!T669</f>
        <v>0</v>
      </c>
      <c r="O669" s="98" t="s">
        <v>1701</v>
      </c>
      <c r="P669" s="4" t="str">
        <f t="shared" ca="1" si="21"/>
        <v>Defer / consume inventory</v>
      </c>
    </row>
    <row r="670" spans="1:16" ht="13" customHeight="1" x14ac:dyDescent="0.35">
      <c r="A670" s="93">
        <v>49980</v>
      </c>
      <c r="B670" s="61" t="s">
        <v>43</v>
      </c>
      <c r="C670" s="12" t="str">
        <f>'Planning Engine'!C670</f>
        <v>Drug Product</v>
      </c>
      <c r="D670" s="12" t="str">
        <f>'Planning Engine'!D670</f>
        <v>units</v>
      </c>
      <c r="E670" s="95">
        <f>'Planning Engine'!E670</f>
        <v>267607</v>
      </c>
      <c r="F670" s="95">
        <f>'Planning Engine'!F670</f>
        <v>0</v>
      </c>
      <c r="G670" s="95">
        <f>'Planning Engine'!G670</f>
        <v>0</v>
      </c>
      <c r="H670" s="95">
        <f t="shared" si="20"/>
        <v>0</v>
      </c>
      <c r="I670" s="95">
        <f>'Planning Engine'!H670</f>
        <v>267607</v>
      </c>
      <c r="J670" s="96">
        <f ca="1">'Planning Engine'!J670</f>
        <v>999</v>
      </c>
      <c r="K670" s="95">
        <f ca="1">'Planning Engine'!K670</f>
        <v>0</v>
      </c>
      <c r="L670" s="12" t="str">
        <f ca="1">'Planning Engine'!L670</f>
        <v>Overstock</v>
      </c>
      <c r="M670" s="93">
        <f>'Planning Engine'!S670</f>
        <v>49827</v>
      </c>
      <c r="N670" s="95">
        <f>'Planning Engine'!T670</f>
        <v>0</v>
      </c>
      <c r="O670" s="94" t="s">
        <v>1702</v>
      </c>
      <c r="P670" s="12" t="str">
        <f t="shared" ca="1" si="21"/>
        <v>Defer / consume inventory</v>
      </c>
    </row>
    <row r="671" spans="1:16" ht="13" customHeight="1" x14ac:dyDescent="0.35">
      <c r="A671" s="97">
        <v>50010</v>
      </c>
      <c r="B671" s="53" t="s">
        <v>43</v>
      </c>
      <c r="C671" s="12" t="str">
        <f>'Planning Engine'!C671</f>
        <v>Drug Product</v>
      </c>
      <c r="D671" s="12" t="str">
        <f>'Planning Engine'!D671</f>
        <v>units</v>
      </c>
      <c r="E671" s="95">
        <f>'Planning Engine'!E671</f>
        <v>267607</v>
      </c>
      <c r="F671" s="95">
        <f>'Planning Engine'!F671</f>
        <v>0</v>
      </c>
      <c r="G671" s="95">
        <f>'Planning Engine'!G671</f>
        <v>0</v>
      </c>
      <c r="H671" s="99">
        <f t="shared" si="20"/>
        <v>0</v>
      </c>
      <c r="I671" s="95">
        <f>'Planning Engine'!H671</f>
        <v>267607</v>
      </c>
      <c r="J671" s="96">
        <f ca="1">'Planning Engine'!J671</f>
        <v>999</v>
      </c>
      <c r="K671" s="95">
        <f ca="1">'Planning Engine'!K671</f>
        <v>0</v>
      </c>
      <c r="L671" s="12" t="str">
        <f ca="1">'Planning Engine'!L671</f>
        <v>Overstock</v>
      </c>
      <c r="M671" s="93">
        <f>'Planning Engine'!S671</f>
        <v>49857</v>
      </c>
      <c r="N671" s="95">
        <f>'Planning Engine'!T671</f>
        <v>0</v>
      </c>
      <c r="O671" s="98" t="s">
        <v>1703</v>
      </c>
      <c r="P671" s="4" t="str">
        <f t="shared" ca="1" si="21"/>
        <v>Defer / consume inventory</v>
      </c>
    </row>
    <row r="672" spans="1:16" ht="13" customHeight="1" x14ac:dyDescent="0.35">
      <c r="A672" s="93">
        <v>50041</v>
      </c>
      <c r="B672" s="61" t="s">
        <v>43</v>
      </c>
      <c r="C672" s="12" t="str">
        <f>'Planning Engine'!C672</f>
        <v>Drug Product</v>
      </c>
      <c r="D672" s="12" t="str">
        <f>'Planning Engine'!D672</f>
        <v>units</v>
      </c>
      <c r="E672" s="95">
        <f>'Planning Engine'!E672</f>
        <v>267607</v>
      </c>
      <c r="F672" s="95">
        <f>'Planning Engine'!F672</f>
        <v>0</v>
      </c>
      <c r="G672" s="95">
        <f>'Planning Engine'!G672</f>
        <v>0</v>
      </c>
      <c r="H672" s="95">
        <f t="shared" si="20"/>
        <v>0</v>
      </c>
      <c r="I672" s="95">
        <f>'Planning Engine'!H672</f>
        <v>267607</v>
      </c>
      <c r="J672" s="96">
        <f ca="1">'Planning Engine'!J672</f>
        <v>999</v>
      </c>
      <c r="K672" s="95">
        <f ca="1">'Planning Engine'!K672</f>
        <v>0</v>
      </c>
      <c r="L672" s="12" t="str">
        <f ca="1">'Planning Engine'!L672</f>
        <v>Overstock</v>
      </c>
      <c r="M672" s="93">
        <f>'Planning Engine'!S672</f>
        <v>49888</v>
      </c>
      <c r="N672" s="95">
        <f>'Planning Engine'!T672</f>
        <v>0</v>
      </c>
      <c r="O672" s="94" t="s">
        <v>1704</v>
      </c>
      <c r="P672" s="12" t="str">
        <f t="shared" ca="1" si="21"/>
        <v>Defer / consume inventory</v>
      </c>
    </row>
    <row r="673" spans="1:16" ht="13" customHeight="1" x14ac:dyDescent="0.35">
      <c r="A673" s="97">
        <v>50072</v>
      </c>
      <c r="B673" s="53" t="s">
        <v>43</v>
      </c>
      <c r="C673" s="12" t="str">
        <f>'Planning Engine'!C673</f>
        <v>Drug Product</v>
      </c>
      <c r="D673" s="12" t="str">
        <f>'Planning Engine'!D673</f>
        <v>units</v>
      </c>
      <c r="E673" s="95">
        <f>'Planning Engine'!E673</f>
        <v>267607</v>
      </c>
      <c r="F673" s="95">
        <f>'Planning Engine'!F673</f>
        <v>0</v>
      </c>
      <c r="G673" s="95">
        <f>'Planning Engine'!G673</f>
        <v>0</v>
      </c>
      <c r="H673" s="99">
        <f t="shared" si="20"/>
        <v>0</v>
      </c>
      <c r="I673" s="95">
        <f>'Planning Engine'!H673</f>
        <v>267607</v>
      </c>
      <c r="J673" s="96">
        <f ca="1">'Planning Engine'!J673</f>
        <v>999</v>
      </c>
      <c r="K673" s="95">
        <f ca="1">'Planning Engine'!K673</f>
        <v>0</v>
      </c>
      <c r="L673" s="12" t="str">
        <f ca="1">'Planning Engine'!L673</f>
        <v>Overstock</v>
      </c>
      <c r="M673" s="93">
        <f>'Planning Engine'!S673</f>
        <v>49919</v>
      </c>
      <c r="N673" s="95">
        <f>'Planning Engine'!T673</f>
        <v>0</v>
      </c>
      <c r="O673" s="98" t="s">
        <v>1705</v>
      </c>
      <c r="P673" s="4" t="str">
        <f t="shared" ca="1" si="21"/>
        <v>Defer / consume inventory</v>
      </c>
    </row>
    <row r="674" spans="1:16" ht="13" customHeight="1" x14ac:dyDescent="0.35">
      <c r="A674" s="93">
        <v>50100</v>
      </c>
      <c r="B674" s="61" t="s">
        <v>43</v>
      </c>
      <c r="C674" s="12" t="str">
        <f>'Planning Engine'!C674</f>
        <v>Drug Product</v>
      </c>
      <c r="D674" s="12" t="str">
        <f>'Planning Engine'!D674</f>
        <v>units</v>
      </c>
      <c r="E674" s="95">
        <f>'Planning Engine'!E674</f>
        <v>267607</v>
      </c>
      <c r="F674" s="95">
        <f>'Planning Engine'!F674</f>
        <v>0</v>
      </c>
      <c r="G674" s="95">
        <f>'Planning Engine'!G674</f>
        <v>0</v>
      </c>
      <c r="H674" s="95">
        <f t="shared" si="20"/>
        <v>0</v>
      </c>
      <c r="I674" s="95">
        <f>'Planning Engine'!H674</f>
        <v>267607</v>
      </c>
      <c r="J674" s="96">
        <f ca="1">'Planning Engine'!J674</f>
        <v>999</v>
      </c>
      <c r="K674" s="95">
        <f ca="1">'Planning Engine'!K674</f>
        <v>0</v>
      </c>
      <c r="L674" s="12" t="str">
        <f ca="1">'Planning Engine'!L674</f>
        <v>Overstock</v>
      </c>
      <c r="M674" s="93">
        <f>'Planning Engine'!S674</f>
        <v>49949</v>
      </c>
      <c r="N674" s="95">
        <f>'Planning Engine'!T674</f>
        <v>0</v>
      </c>
      <c r="O674" s="94" t="s">
        <v>1706</v>
      </c>
      <c r="P674" s="12" t="str">
        <f t="shared" ca="1" si="21"/>
        <v>Defer / consume inventory</v>
      </c>
    </row>
    <row r="675" spans="1:16" ht="13" customHeight="1" x14ac:dyDescent="0.35">
      <c r="A675" s="97">
        <v>50131</v>
      </c>
      <c r="B675" s="53" t="s">
        <v>43</v>
      </c>
      <c r="C675" s="12" t="str">
        <f>'Planning Engine'!C675</f>
        <v>Drug Product</v>
      </c>
      <c r="D675" s="12" t="str">
        <f>'Planning Engine'!D675</f>
        <v>units</v>
      </c>
      <c r="E675" s="95">
        <f>'Planning Engine'!E675</f>
        <v>267607</v>
      </c>
      <c r="F675" s="95">
        <f>'Planning Engine'!F675</f>
        <v>0</v>
      </c>
      <c r="G675" s="95">
        <f>'Planning Engine'!G675</f>
        <v>0</v>
      </c>
      <c r="H675" s="99">
        <f t="shared" si="20"/>
        <v>0</v>
      </c>
      <c r="I675" s="95">
        <f>'Planning Engine'!H675</f>
        <v>267607</v>
      </c>
      <c r="J675" s="96">
        <f ca="1">'Planning Engine'!J675</f>
        <v>999</v>
      </c>
      <c r="K675" s="95">
        <f ca="1">'Planning Engine'!K675</f>
        <v>0</v>
      </c>
      <c r="L675" s="12" t="str">
        <f ca="1">'Planning Engine'!L675</f>
        <v>Overstock</v>
      </c>
      <c r="M675" s="93">
        <f>'Planning Engine'!S675</f>
        <v>49980</v>
      </c>
      <c r="N675" s="95">
        <f>'Planning Engine'!T675</f>
        <v>0</v>
      </c>
      <c r="O675" s="98" t="s">
        <v>1707</v>
      </c>
      <c r="P675" s="4" t="str">
        <f t="shared" ca="1" si="21"/>
        <v>Defer / consume inventory</v>
      </c>
    </row>
    <row r="676" spans="1:16" ht="13" customHeight="1" x14ac:dyDescent="0.35">
      <c r="A676" s="93">
        <v>50161</v>
      </c>
      <c r="B676" s="61" t="s">
        <v>43</v>
      </c>
      <c r="C676" s="12" t="str">
        <f>'Planning Engine'!C676</f>
        <v>Drug Product</v>
      </c>
      <c r="D676" s="12" t="str">
        <f>'Planning Engine'!D676</f>
        <v>units</v>
      </c>
      <c r="E676" s="95">
        <f>'Planning Engine'!E676</f>
        <v>267607</v>
      </c>
      <c r="F676" s="95">
        <f>'Planning Engine'!F676</f>
        <v>0</v>
      </c>
      <c r="G676" s="95">
        <f>'Planning Engine'!G676</f>
        <v>0</v>
      </c>
      <c r="H676" s="95">
        <f t="shared" si="20"/>
        <v>0</v>
      </c>
      <c r="I676" s="95">
        <f>'Planning Engine'!H676</f>
        <v>267607</v>
      </c>
      <c r="J676" s="96">
        <f ca="1">'Planning Engine'!J676</f>
        <v>999</v>
      </c>
      <c r="K676" s="95">
        <f ca="1">'Planning Engine'!K676</f>
        <v>0</v>
      </c>
      <c r="L676" s="12" t="str">
        <f ca="1">'Planning Engine'!L676</f>
        <v>Overstock</v>
      </c>
      <c r="M676" s="93">
        <f>'Planning Engine'!S676</f>
        <v>50010</v>
      </c>
      <c r="N676" s="95">
        <f>'Planning Engine'!T676</f>
        <v>0</v>
      </c>
      <c r="O676" s="94" t="s">
        <v>1708</v>
      </c>
      <c r="P676" s="12" t="str">
        <f t="shared" ca="1" si="21"/>
        <v>Defer / consume inventory</v>
      </c>
    </row>
    <row r="677" spans="1:16" ht="13" customHeight="1" x14ac:dyDescent="0.35">
      <c r="A677" s="97">
        <v>50192</v>
      </c>
      <c r="B677" s="53" t="s">
        <v>43</v>
      </c>
      <c r="C677" s="12" t="str">
        <f>'Planning Engine'!C677</f>
        <v>Drug Product</v>
      </c>
      <c r="D677" s="12" t="str">
        <f>'Planning Engine'!D677</f>
        <v>units</v>
      </c>
      <c r="E677" s="95">
        <f>'Planning Engine'!E677</f>
        <v>267607</v>
      </c>
      <c r="F677" s="95">
        <f>'Planning Engine'!F677</f>
        <v>0</v>
      </c>
      <c r="G677" s="95">
        <f>'Planning Engine'!G677</f>
        <v>0</v>
      </c>
      <c r="H677" s="99">
        <f t="shared" si="20"/>
        <v>0</v>
      </c>
      <c r="I677" s="95">
        <f>'Planning Engine'!H677</f>
        <v>267607</v>
      </c>
      <c r="J677" s="96">
        <f ca="1">'Planning Engine'!J677</f>
        <v>999</v>
      </c>
      <c r="K677" s="95">
        <f ca="1">'Planning Engine'!K677</f>
        <v>0</v>
      </c>
      <c r="L677" s="12" t="str">
        <f ca="1">'Planning Engine'!L677</f>
        <v>Overstock</v>
      </c>
      <c r="M677" s="93">
        <f>'Planning Engine'!S677</f>
        <v>50041</v>
      </c>
      <c r="N677" s="95">
        <f>'Planning Engine'!T677</f>
        <v>0</v>
      </c>
      <c r="O677" s="98" t="s">
        <v>1709</v>
      </c>
      <c r="P677" s="4" t="str">
        <f t="shared" ca="1" si="21"/>
        <v>Defer / consume inventory</v>
      </c>
    </row>
    <row r="678" spans="1:16" ht="13" customHeight="1" x14ac:dyDescent="0.35">
      <c r="A678" s="93">
        <v>50222</v>
      </c>
      <c r="B678" s="61" t="s">
        <v>43</v>
      </c>
      <c r="C678" s="12" t="str">
        <f>'Planning Engine'!C678</f>
        <v>Drug Product</v>
      </c>
      <c r="D678" s="12" t="str">
        <f>'Planning Engine'!D678</f>
        <v>units</v>
      </c>
      <c r="E678" s="95">
        <f>'Planning Engine'!E678</f>
        <v>267607</v>
      </c>
      <c r="F678" s="95">
        <f>'Planning Engine'!F678</f>
        <v>0</v>
      </c>
      <c r="G678" s="95">
        <f>'Planning Engine'!G678</f>
        <v>0</v>
      </c>
      <c r="H678" s="95">
        <f t="shared" si="20"/>
        <v>0</v>
      </c>
      <c r="I678" s="95">
        <f>'Planning Engine'!H678</f>
        <v>267607</v>
      </c>
      <c r="J678" s="96">
        <f ca="1">'Planning Engine'!J678</f>
        <v>999</v>
      </c>
      <c r="K678" s="95">
        <f ca="1">'Planning Engine'!K678</f>
        <v>0</v>
      </c>
      <c r="L678" s="12" t="str">
        <f ca="1">'Planning Engine'!L678</f>
        <v>Overstock</v>
      </c>
      <c r="M678" s="93">
        <f>'Planning Engine'!S678</f>
        <v>50072</v>
      </c>
      <c r="N678" s="95">
        <f>'Planning Engine'!T678</f>
        <v>0</v>
      </c>
      <c r="O678" s="94" t="s">
        <v>1710</v>
      </c>
      <c r="P678" s="12" t="str">
        <f t="shared" ca="1" si="21"/>
        <v>Defer / consume inventory</v>
      </c>
    </row>
    <row r="679" spans="1:16" ht="13" customHeight="1" x14ac:dyDescent="0.35">
      <c r="A679" s="97">
        <v>50253</v>
      </c>
      <c r="B679" s="53" t="s">
        <v>43</v>
      </c>
      <c r="C679" s="12" t="str">
        <f>'Planning Engine'!C679</f>
        <v>Drug Product</v>
      </c>
      <c r="D679" s="12" t="str">
        <f>'Planning Engine'!D679</f>
        <v>units</v>
      </c>
      <c r="E679" s="95">
        <f>'Planning Engine'!E679</f>
        <v>267607</v>
      </c>
      <c r="F679" s="95">
        <f>'Planning Engine'!F679</f>
        <v>0</v>
      </c>
      <c r="G679" s="95">
        <f>'Planning Engine'!G679</f>
        <v>0</v>
      </c>
      <c r="H679" s="99">
        <f t="shared" si="20"/>
        <v>0</v>
      </c>
      <c r="I679" s="95">
        <f>'Planning Engine'!H679</f>
        <v>267607</v>
      </c>
      <c r="J679" s="96">
        <f ca="1">'Planning Engine'!J679</f>
        <v>999</v>
      </c>
      <c r="K679" s="95">
        <f ca="1">'Planning Engine'!K679</f>
        <v>0</v>
      </c>
      <c r="L679" s="12" t="str">
        <f ca="1">'Planning Engine'!L679</f>
        <v>Overstock</v>
      </c>
      <c r="M679" s="93">
        <f>'Planning Engine'!S679</f>
        <v>50100</v>
      </c>
      <c r="N679" s="95">
        <f>'Planning Engine'!T679</f>
        <v>0</v>
      </c>
      <c r="O679" s="98" t="s">
        <v>1711</v>
      </c>
      <c r="P679" s="4" t="str">
        <f t="shared" ca="1" si="21"/>
        <v>Defer / consume inventory</v>
      </c>
    </row>
    <row r="680" spans="1:16" ht="13" customHeight="1" x14ac:dyDescent="0.35">
      <c r="A680" s="93">
        <v>50284</v>
      </c>
      <c r="B680" s="61" t="s">
        <v>43</v>
      </c>
      <c r="C680" s="12" t="str">
        <f>'Planning Engine'!C680</f>
        <v>Drug Product</v>
      </c>
      <c r="D680" s="12" t="str">
        <f>'Planning Engine'!D680</f>
        <v>units</v>
      </c>
      <c r="E680" s="95">
        <f>'Planning Engine'!E680</f>
        <v>267607</v>
      </c>
      <c r="F680" s="95">
        <f>'Planning Engine'!F680</f>
        <v>0</v>
      </c>
      <c r="G680" s="95">
        <f>'Planning Engine'!G680</f>
        <v>0</v>
      </c>
      <c r="H680" s="95">
        <f t="shared" si="20"/>
        <v>0</v>
      </c>
      <c r="I680" s="95">
        <f>'Planning Engine'!H680</f>
        <v>267607</v>
      </c>
      <c r="J680" s="96">
        <f ca="1">'Planning Engine'!J680</f>
        <v>999</v>
      </c>
      <c r="K680" s="95">
        <f ca="1">'Planning Engine'!K680</f>
        <v>0</v>
      </c>
      <c r="L680" s="12" t="str">
        <f ca="1">'Planning Engine'!L680</f>
        <v>Overstock</v>
      </c>
      <c r="M680" s="93">
        <f>'Planning Engine'!S680</f>
        <v>50131</v>
      </c>
      <c r="N680" s="95">
        <f>'Planning Engine'!T680</f>
        <v>0</v>
      </c>
      <c r="O680" s="94" t="s">
        <v>1712</v>
      </c>
      <c r="P680" s="12" t="str">
        <f t="shared" ca="1" si="21"/>
        <v>Defer / consume inventory</v>
      </c>
    </row>
    <row r="681" spans="1:16" ht="13" customHeight="1" x14ac:dyDescent="0.35">
      <c r="A681" s="97">
        <v>50314</v>
      </c>
      <c r="B681" s="53" t="s">
        <v>43</v>
      </c>
      <c r="C681" s="12" t="str">
        <f>'Planning Engine'!C681</f>
        <v>Drug Product</v>
      </c>
      <c r="D681" s="12" t="str">
        <f>'Planning Engine'!D681</f>
        <v>units</v>
      </c>
      <c r="E681" s="95">
        <f>'Planning Engine'!E681</f>
        <v>267607</v>
      </c>
      <c r="F681" s="95">
        <f>'Planning Engine'!F681</f>
        <v>0</v>
      </c>
      <c r="G681" s="95">
        <f>'Planning Engine'!G681</f>
        <v>0</v>
      </c>
      <c r="H681" s="99">
        <f t="shared" si="20"/>
        <v>0</v>
      </c>
      <c r="I681" s="95">
        <f>'Planning Engine'!H681</f>
        <v>267607</v>
      </c>
      <c r="J681" s="96">
        <f ca="1">'Planning Engine'!J681</f>
        <v>999</v>
      </c>
      <c r="K681" s="95">
        <f ca="1">'Planning Engine'!K681</f>
        <v>0</v>
      </c>
      <c r="L681" s="12" t="str">
        <f ca="1">'Planning Engine'!L681</f>
        <v>Overstock</v>
      </c>
      <c r="M681" s="93">
        <f>'Planning Engine'!S681</f>
        <v>50161</v>
      </c>
      <c r="N681" s="95">
        <f>'Planning Engine'!T681</f>
        <v>0</v>
      </c>
      <c r="O681" s="98" t="s">
        <v>1713</v>
      </c>
      <c r="P681" s="4" t="str">
        <f t="shared" ca="1" si="21"/>
        <v>Defer / consume inventory</v>
      </c>
    </row>
    <row r="682" spans="1:16" ht="13" customHeight="1" x14ac:dyDescent="0.35">
      <c r="A682" s="93">
        <v>50345</v>
      </c>
      <c r="B682" s="61" t="s">
        <v>43</v>
      </c>
      <c r="C682" s="12" t="str">
        <f>'Planning Engine'!C682</f>
        <v>Drug Product</v>
      </c>
      <c r="D682" s="12" t="str">
        <f>'Planning Engine'!D682</f>
        <v>units</v>
      </c>
      <c r="E682" s="95">
        <f>'Planning Engine'!E682</f>
        <v>267607</v>
      </c>
      <c r="F682" s="95">
        <f>'Planning Engine'!F682</f>
        <v>0</v>
      </c>
      <c r="G682" s="95">
        <f>'Planning Engine'!G682</f>
        <v>0</v>
      </c>
      <c r="H682" s="95">
        <f t="shared" si="20"/>
        <v>0</v>
      </c>
      <c r="I682" s="95">
        <f>'Planning Engine'!H682</f>
        <v>267607</v>
      </c>
      <c r="J682" s="96">
        <f ca="1">'Planning Engine'!J682</f>
        <v>999</v>
      </c>
      <c r="K682" s="95">
        <f ca="1">'Planning Engine'!K682</f>
        <v>0</v>
      </c>
      <c r="L682" s="12" t="str">
        <f ca="1">'Planning Engine'!L682</f>
        <v>Overstock</v>
      </c>
      <c r="M682" s="93">
        <f>'Planning Engine'!S682</f>
        <v>50192</v>
      </c>
      <c r="N682" s="95">
        <f>'Planning Engine'!T682</f>
        <v>0</v>
      </c>
      <c r="O682" s="94" t="s">
        <v>1714</v>
      </c>
      <c r="P682" s="12" t="str">
        <f t="shared" ca="1" si="21"/>
        <v>Defer / consume inventory</v>
      </c>
    </row>
    <row r="683" spans="1:16" ht="13" customHeight="1" x14ac:dyDescent="0.35">
      <c r="A683" s="97">
        <v>50375</v>
      </c>
      <c r="B683" s="53" t="s">
        <v>43</v>
      </c>
      <c r="C683" s="12" t="str">
        <f>'Planning Engine'!C683</f>
        <v>Drug Product</v>
      </c>
      <c r="D683" s="12" t="str">
        <f>'Planning Engine'!D683</f>
        <v>units</v>
      </c>
      <c r="E683" s="95">
        <f>'Planning Engine'!E683</f>
        <v>267607</v>
      </c>
      <c r="F683" s="95">
        <f>'Planning Engine'!F683</f>
        <v>0</v>
      </c>
      <c r="G683" s="95">
        <f>'Planning Engine'!G683</f>
        <v>0</v>
      </c>
      <c r="H683" s="99">
        <f t="shared" si="20"/>
        <v>0</v>
      </c>
      <c r="I683" s="95">
        <f>'Planning Engine'!H683</f>
        <v>267607</v>
      </c>
      <c r="J683" s="96">
        <f ca="1">'Planning Engine'!J683</f>
        <v>999</v>
      </c>
      <c r="K683" s="95">
        <f ca="1">'Planning Engine'!K683</f>
        <v>0</v>
      </c>
      <c r="L683" s="12" t="str">
        <f ca="1">'Planning Engine'!L683</f>
        <v>Overstock</v>
      </c>
      <c r="M683" s="93">
        <f>'Planning Engine'!S683</f>
        <v>50222</v>
      </c>
      <c r="N683" s="95">
        <f>'Planning Engine'!T683</f>
        <v>0</v>
      </c>
      <c r="O683" s="98" t="s">
        <v>1715</v>
      </c>
      <c r="P683" s="4" t="str">
        <f t="shared" ca="1" si="21"/>
        <v>Defer / consume inventory</v>
      </c>
    </row>
    <row r="684" spans="1:16" ht="13" customHeight="1" x14ac:dyDescent="0.35">
      <c r="A684" s="93">
        <v>50406</v>
      </c>
      <c r="B684" s="61" t="s">
        <v>43</v>
      </c>
      <c r="C684" s="12" t="str">
        <f>'Planning Engine'!C684</f>
        <v>Drug Product</v>
      </c>
      <c r="D684" s="12" t="str">
        <f>'Planning Engine'!D684</f>
        <v>units</v>
      </c>
      <c r="E684" s="95">
        <f>'Planning Engine'!E684</f>
        <v>267607</v>
      </c>
      <c r="F684" s="95">
        <f>'Planning Engine'!F684</f>
        <v>0</v>
      </c>
      <c r="G684" s="95">
        <f>'Planning Engine'!G684</f>
        <v>0</v>
      </c>
      <c r="H684" s="95">
        <f t="shared" si="20"/>
        <v>0</v>
      </c>
      <c r="I684" s="95">
        <f>'Planning Engine'!H684</f>
        <v>267607</v>
      </c>
      <c r="J684" s="96">
        <f ca="1">'Planning Engine'!J684</f>
        <v>999</v>
      </c>
      <c r="K684" s="95">
        <f ca="1">'Planning Engine'!K684</f>
        <v>0</v>
      </c>
      <c r="L684" s="12" t="str">
        <f ca="1">'Planning Engine'!L684</f>
        <v>Overstock</v>
      </c>
      <c r="M684" s="93">
        <f>'Planning Engine'!S684</f>
        <v>50253</v>
      </c>
      <c r="N684" s="95">
        <f>'Planning Engine'!T684</f>
        <v>0</v>
      </c>
      <c r="O684" s="94" t="s">
        <v>1716</v>
      </c>
      <c r="P684" s="12" t="str">
        <f t="shared" ca="1" si="21"/>
        <v>Defer / consume inventory</v>
      </c>
    </row>
    <row r="685" spans="1:16" ht="13" customHeight="1" x14ac:dyDescent="0.35">
      <c r="A685" s="97">
        <v>50437</v>
      </c>
      <c r="B685" s="53" t="s">
        <v>43</v>
      </c>
      <c r="C685" s="12" t="str">
        <f>'Planning Engine'!C685</f>
        <v>Drug Product</v>
      </c>
      <c r="D685" s="12" t="str">
        <f>'Planning Engine'!D685</f>
        <v>units</v>
      </c>
      <c r="E685" s="95">
        <f>'Planning Engine'!E685</f>
        <v>267607</v>
      </c>
      <c r="F685" s="95">
        <f>'Planning Engine'!F685</f>
        <v>0</v>
      </c>
      <c r="G685" s="95">
        <f>'Planning Engine'!G685</f>
        <v>0</v>
      </c>
      <c r="H685" s="99">
        <f t="shared" si="20"/>
        <v>0</v>
      </c>
      <c r="I685" s="95">
        <f>'Planning Engine'!H685</f>
        <v>267607</v>
      </c>
      <c r="J685" s="96">
        <f ca="1">'Planning Engine'!J685</f>
        <v>999</v>
      </c>
      <c r="K685" s="95">
        <f ca="1">'Planning Engine'!K685</f>
        <v>0</v>
      </c>
      <c r="L685" s="12" t="str">
        <f ca="1">'Planning Engine'!L685</f>
        <v>Overstock</v>
      </c>
      <c r="M685" s="93">
        <f>'Planning Engine'!S685</f>
        <v>50284</v>
      </c>
      <c r="N685" s="95">
        <f>'Planning Engine'!T685</f>
        <v>0</v>
      </c>
      <c r="O685" s="98" t="s">
        <v>1717</v>
      </c>
      <c r="P685" s="4" t="str">
        <f t="shared" ca="1" si="21"/>
        <v>Defer / consume inventory</v>
      </c>
    </row>
    <row r="686" spans="1:16" ht="13" customHeight="1" x14ac:dyDescent="0.35">
      <c r="A686" s="93">
        <v>50465</v>
      </c>
      <c r="B686" s="61" t="s">
        <v>43</v>
      </c>
      <c r="C686" s="12" t="str">
        <f>'Planning Engine'!C686</f>
        <v>Drug Product</v>
      </c>
      <c r="D686" s="12" t="str">
        <f>'Planning Engine'!D686</f>
        <v>units</v>
      </c>
      <c r="E686" s="95">
        <f>'Planning Engine'!E686</f>
        <v>267607</v>
      </c>
      <c r="F686" s="95">
        <f>'Planning Engine'!F686</f>
        <v>0</v>
      </c>
      <c r="G686" s="95">
        <f>'Planning Engine'!G686</f>
        <v>0</v>
      </c>
      <c r="H686" s="95">
        <f t="shared" si="20"/>
        <v>0</v>
      </c>
      <c r="I686" s="95">
        <f>'Planning Engine'!H686</f>
        <v>267607</v>
      </c>
      <c r="J686" s="96">
        <f ca="1">'Planning Engine'!J686</f>
        <v>999</v>
      </c>
      <c r="K686" s="95">
        <f ca="1">'Planning Engine'!K686</f>
        <v>0</v>
      </c>
      <c r="L686" s="12" t="str">
        <f ca="1">'Planning Engine'!L686</f>
        <v>Overstock</v>
      </c>
      <c r="M686" s="93">
        <f>'Planning Engine'!S686</f>
        <v>50314</v>
      </c>
      <c r="N686" s="95">
        <f>'Planning Engine'!T686</f>
        <v>0</v>
      </c>
      <c r="O686" s="94" t="s">
        <v>1718</v>
      </c>
      <c r="P686" s="12" t="str">
        <f t="shared" ca="1" si="21"/>
        <v>Defer / consume inventory</v>
      </c>
    </row>
    <row r="687" spans="1:16" ht="13" customHeight="1" x14ac:dyDescent="0.35">
      <c r="A687" s="97">
        <v>50496</v>
      </c>
      <c r="B687" s="53" t="s">
        <v>43</v>
      </c>
      <c r="C687" s="12" t="str">
        <f>'Planning Engine'!C687</f>
        <v>Drug Product</v>
      </c>
      <c r="D687" s="12" t="str">
        <f>'Planning Engine'!D687</f>
        <v>units</v>
      </c>
      <c r="E687" s="95">
        <f>'Planning Engine'!E687</f>
        <v>267607</v>
      </c>
      <c r="F687" s="95">
        <f>'Planning Engine'!F687</f>
        <v>0</v>
      </c>
      <c r="G687" s="95">
        <f>'Planning Engine'!G687</f>
        <v>0</v>
      </c>
      <c r="H687" s="99">
        <f t="shared" si="20"/>
        <v>0</v>
      </c>
      <c r="I687" s="95">
        <f>'Planning Engine'!H687</f>
        <v>267607</v>
      </c>
      <c r="J687" s="96">
        <f ca="1">'Planning Engine'!J687</f>
        <v>999</v>
      </c>
      <c r="K687" s="95">
        <f ca="1">'Planning Engine'!K687</f>
        <v>0</v>
      </c>
      <c r="L687" s="12" t="str">
        <f ca="1">'Planning Engine'!L687</f>
        <v>Overstock</v>
      </c>
      <c r="M687" s="93">
        <f>'Planning Engine'!S687</f>
        <v>50345</v>
      </c>
      <c r="N687" s="95">
        <f>'Planning Engine'!T687</f>
        <v>0</v>
      </c>
      <c r="O687" s="98" t="s">
        <v>1719</v>
      </c>
      <c r="P687" s="4" t="str">
        <f t="shared" ca="1" si="21"/>
        <v>Defer / consume inventory</v>
      </c>
    </row>
    <row r="688" spans="1:16" ht="13" customHeight="1" x14ac:dyDescent="0.35">
      <c r="A688" s="93">
        <v>50526</v>
      </c>
      <c r="B688" s="61" t="s">
        <v>43</v>
      </c>
      <c r="C688" s="12" t="str">
        <f>'Planning Engine'!C688</f>
        <v>Drug Product</v>
      </c>
      <c r="D688" s="12" t="str">
        <f>'Planning Engine'!D688</f>
        <v>units</v>
      </c>
      <c r="E688" s="95">
        <f>'Planning Engine'!E688</f>
        <v>267607</v>
      </c>
      <c r="F688" s="95">
        <f>'Planning Engine'!F688</f>
        <v>0</v>
      </c>
      <c r="G688" s="95">
        <f>'Planning Engine'!G688</f>
        <v>0</v>
      </c>
      <c r="H688" s="95">
        <f t="shared" si="20"/>
        <v>0</v>
      </c>
      <c r="I688" s="95">
        <f>'Planning Engine'!H688</f>
        <v>267607</v>
      </c>
      <c r="J688" s="96">
        <f ca="1">'Planning Engine'!J688</f>
        <v>999</v>
      </c>
      <c r="K688" s="95">
        <f ca="1">'Planning Engine'!K688</f>
        <v>0</v>
      </c>
      <c r="L688" s="12" t="str">
        <f ca="1">'Planning Engine'!L688</f>
        <v>Overstock</v>
      </c>
      <c r="M688" s="93">
        <f>'Planning Engine'!S688</f>
        <v>50375</v>
      </c>
      <c r="N688" s="95">
        <f>'Planning Engine'!T688</f>
        <v>0</v>
      </c>
      <c r="O688" s="94" t="s">
        <v>1720</v>
      </c>
      <c r="P688" s="12" t="str">
        <f t="shared" ca="1" si="21"/>
        <v>Defer / consume inventory</v>
      </c>
    </row>
    <row r="689" spans="1:16" ht="13" customHeight="1" x14ac:dyDescent="0.35">
      <c r="A689" s="97">
        <v>50557</v>
      </c>
      <c r="B689" s="53" t="s">
        <v>43</v>
      </c>
      <c r="C689" s="12" t="str">
        <f>'Planning Engine'!C689</f>
        <v>Drug Product</v>
      </c>
      <c r="D689" s="12" t="str">
        <f>'Planning Engine'!D689</f>
        <v>units</v>
      </c>
      <c r="E689" s="95">
        <f>'Planning Engine'!E689</f>
        <v>267607</v>
      </c>
      <c r="F689" s="95">
        <f>'Planning Engine'!F689</f>
        <v>0</v>
      </c>
      <c r="G689" s="95">
        <f>'Planning Engine'!G689</f>
        <v>0</v>
      </c>
      <c r="H689" s="99">
        <f t="shared" si="20"/>
        <v>0</v>
      </c>
      <c r="I689" s="95">
        <f>'Planning Engine'!H689</f>
        <v>267607</v>
      </c>
      <c r="J689" s="96">
        <f ca="1">'Planning Engine'!J689</f>
        <v>999</v>
      </c>
      <c r="K689" s="95">
        <f ca="1">'Planning Engine'!K689</f>
        <v>0</v>
      </c>
      <c r="L689" s="12" t="str">
        <f ca="1">'Planning Engine'!L689</f>
        <v>Overstock</v>
      </c>
      <c r="M689" s="93">
        <f>'Planning Engine'!S689</f>
        <v>50406</v>
      </c>
      <c r="N689" s="95">
        <f>'Planning Engine'!T689</f>
        <v>0</v>
      </c>
      <c r="O689" s="98" t="s">
        <v>1721</v>
      </c>
      <c r="P689" s="4" t="str">
        <f t="shared" ca="1" si="21"/>
        <v>Defer / consume inventory</v>
      </c>
    </row>
    <row r="690" spans="1:16" ht="13" customHeight="1" x14ac:dyDescent="0.35">
      <c r="A690" s="93">
        <v>50587</v>
      </c>
      <c r="B690" s="61" t="s">
        <v>43</v>
      </c>
      <c r="C690" s="12" t="str">
        <f>'Planning Engine'!C690</f>
        <v>Drug Product</v>
      </c>
      <c r="D690" s="12" t="str">
        <f>'Planning Engine'!D690</f>
        <v>units</v>
      </c>
      <c r="E690" s="95">
        <f>'Planning Engine'!E690</f>
        <v>267607</v>
      </c>
      <c r="F690" s="95">
        <f>'Planning Engine'!F690</f>
        <v>0</v>
      </c>
      <c r="G690" s="95">
        <f>'Planning Engine'!G690</f>
        <v>0</v>
      </c>
      <c r="H690" s="95">
        <f t="shared" si="20"/>
        <v>0</v>
      </c>
      <c r="I690" s="95">
        <f>'Planning Engine'!H690</f>
        <v>267607</v>
      </c>
      <c r="J690" s="96">
        <f ca="1">'Planning Engine'!J690</f>
        <v>999</v>
      </c>
      <c r="K690" s="95">
        <f ca="1">'Planning Engine'!K690</f>
        <v>0</v>
      </c>
      <c r="L690" s="12" t="str">
        <f ca="1">'Planning Engine'!L690</f>
        <v>Overstock</v>
      </c>
      <c r="M690" s="93">
        <f>'Planning Engine'!S690</f>
        <v>50437</v>
      </c>
      <c r="N690" s="95">
        <f>'Planning Engine'!T690</f>
        <v>0</v>
      </c>
      <c r="O690" s="94" t="s">
        <v>1722</v>
      </c>
      <c r="P690" s="12" t="str">
        <f t="shared" ca="1" si="21"/>
        <v>Defer / consume inventory</v>
      </c>
    </row>
    <row r="691" spans="1:16" ht="13" customHeight="1" x14ac:dyDescent="0.35">
      <c r="A691" s="97">
        <v>50618</v>
      </c>
      <c r="B691" s="53" t="s">
        <v>43</v>
      </c>
      <c r="C691" s="12" t="str">
        <f>'Planning Engine'!C691</f>
        <v>Drug Product</v>
      </c>
      <c r="D691" s="12" t="str">
        <f>'Planning Engine'!D691</f>
        <v>units</v>
      </c>
      <c r="E691" s="95">
        <f>'Planning Engine'!E691</f>
        <v>267607</v>
      </c>
      <c r="F691" s="95">
        <f>'Planning Engine'!F691</f>
        <v>0</v>
      </c>
      <c r="G691" s="95">
        <f>'Planning Engine'!G691</f>
        <v>0</v>
      </c>
      <c r="H691" s="99">
        <f t="shared" si="20"/>
        <v>0</v>
      </c>
      <c r="I691" s="95">
        <f>'Planning Engine'!H691</f>
        <v>267607</v>
      </c>
      <c r="J691" s="96">
        <f ca="1">'Planning Engine'!J691</f>
        <v>999</v>
      </c>
      <c r="K691" s="95">
        <f ca="1">'Planning Engine'!K691</f>
        <v>0</v>
      </c>
      <c r="L691" s="12" t="str">
        <f ca="1">'Planning Engine'!L691</f>
        <v>Overstock</v>
      </c>
      <c r="M691" s="93">
        <f>'Planning Engine'!S691</f>
        <v>50465</v>
      </c>
      <c r="N691" s="95">
        <f>'Planning Engine'!T691</f>
        <v>0</v>
      </c>
      <c r="O691" s="98" t="s">
        <v>1723</v>
      </c>
      <c r="P691" s="4" t="str">
        <f t="shared" ca="1" si="21"/>
        <v>Defer / consume inventory</v>
      </c>
    </row>
    <row r="692" spans="1:16" ht="13" customHeight="1" x14ac:dyDescent="0.35">
      <c r="A692" s="93">
        <v>50649</v>
      </c>
      <c r="B692" s="61" t="s">
        <v>43</v>
      </c>
      <c r="C692" s="12" t="str">
        <f>'Planning Engine'!C692</f>
        <v>Drug Product</v>
      </c>
      <c r="D692" s="12" t="str">
        <f>'Planning Engine'!D692</f>
        <v>units</v>
      </c>
      <c r="E692" s="95">
        <f>'Planning Engine'!E692</f>
        <v>267607</v>
      </c>
      <c r="F692" s="95">
        <f>'Planning Engine'!F692</f>
        <v>0</v>
      </c>
      <c r="G692" s="95">
        <f>'Planning Engine'!G692</f>
        <v>0</v>
      </c>
      <c r="H692" s="95">
        <f t="shared" si="20"/>
        <v>0</v>
      </c>
      <c r="I692" s="95">
        <f>'Planning Engine'!H692</f>
        <v>267607</v>
      </c>
      <c r="J692" s="96">
        <f ca="1">'Planning Engine'!J692</f>
        <v>999</v>
      </c>
      <c r="K692" s="95">
        <f ca="1">'Planning Engine'!K692</f>
        <v>0</v>
      </c>
      <c r="L692" s="12" t="str">
        <f ca="1">'Planning Engine'!L692</f>
        <v>Overstock</v>
      </c>
      <c r="M692" s="93">
        <f>'Planning Engine'!S692</f>
        <v>50496</v>
      </c>
      <c r="N692" s="95">
        <f>'Planning Engine'!T692</f>
        <v>0</v>
      </c>
      <c r="O692" s="94" t="s">
        <v>1724</v>
      </c>
      <c r="P692" s="12" t="str">
        <f t="shared" ca="1" si="21"/>
        <v>Defer / consume inventory</v>
      </c>
    </row>
    <row r="693" spans="1:16" ht="13" customHeight="1" x14ac:dyDescent="0.35">
      <c r="A693" s="97">
        <v>50679</v>
      </c>
      <c r="B693" s="53" t="s">
        <v>43</v>
      </c>
      <c r="C693" s="12" t="str">
        <f>'Planning Engine'!C693</f>
        <v>Drug Product</v>
      </c>
      <c r="D693" s="12" t="str">
        <f>'Planning Engine'!D693</f>
        <v>units</v>
      </c>
      <c r="E693" s="95">
        <f>'Planning Engine'!E693</f>
        <v>267607</v>
      </c>
      <c r="F693" s="95">
        <f>'Planning Engine'!F693</f>
        <v>0</v>
      </c>
      <c r="G693" s="95">
        <f>'Planning Engine'!G693</f>
        <v>0</v>
      </c>
      <c r="H693" s="99">
        <f t="shared" si="20"/>
        <v>0</v>
      </c>
      <c r="I693" s="95">
        <f>'Planning Engine'!H693</f>
        <v>267607</v>
      </c>
      <c r="J693" s="96">
        <f ca="1">'Planning Engine'!J693</f>
        <v>999</v>
      </c>
      <c r="K693" s="95">
        <f ca="1">'Planning Engine'!K693</f>
        <v>0</v>
      </c>
      <c r="L693" s="12" t="str">
        <f ca="1">'Planning Engine'!L693</f>
        <v>Overstock</v>
      </c>
      <c r="M693" s="93">
        <f>'Planning Engine'!S693</f>
        <v>50526</v>
      </c>
      <c r="N693" s="95">
        <f>'Planning Engine'!T693</f>
        <v>0</v>
      </c>
      <c r="O693" s="98" t="s">
        <v>1725</v>
      </c>
      <c r="P693" s="4" t="str">
        <f t="shared" ca="1" si="21"/>
        <v>Defer / consume inventory</v>
      </c>
    </row>
    <row r="694" spans="1:16" ht="13" customHeight="1" x14ac:dyDescent="0.35">
      <c r="A694" s="93">
        <v>50710</v>
      </c>
      <c r="B694" s="61" t="s">
        <v>43</v>
      </c>
      <c r="C694" s="12" t="str">
        <f>'Planning Engine'!C694</f>
        <v>Drug Product</v>
      </c>
      <c r="D694" s="12" t="str">
        <f>'Planning Engine'!D694</f>
        <v>units</v>
      </c>
      <c r="E694" s="95">
        <f>'Planning Engine'!E694</f>
        <v>267607</v>
      </c>
      <c r="F694" s="95">
        <f>'Planning Engine'!F694</f>
        <v>0</v>
      </c>
      <c r="G694" s="95">
        <f>'Planning Engine'!G694</f>
        <v>0</v>
      </c>
      <c r="H694" s="95">
        <f t="shared" si="20"/>
        <v>0</v>
      </c>
      <c r="I694" s="95">
        <f>'Planning Engine'!H694</f>
        <v>267607</v>
      </c>
      <c r="J694" s="96">
        <f ca="1">'Planning Engine'!J694</f>
        <v>999</v>
      </c>
      <c r="K694" s="95">
        <f ca="1">'Planning Engine'!K694</f>
        <v>0</v>
      </c>
      <c r="L694" s="12" t="str">
        <f ca="1">'Planning Engine'!L694</f>
        <v>Overstock</v>
      </c>
      <c r="M694" s="93">
        <f>'Planning Engine'!S694</f>
        <v>50557</v>
      </c>
      <c r="N694" s="95">
        <f>'Planning Engine'!T694</f>
        <v>0</v>
      </c>
      <c r="O694" s="94" t="s">
        <v>1726</v>
      </c>
      <c r="P694" s="12" t="str">
        <f t="shared" ca="1" si="21"/>
        <v>Defer / consume inventory</v>
      </c>
    </row>
    <row r="695" spans="1:16" ht="13" customHeight="1" x14ac:dyDescent="0.35">
      <c r="A695" s="97">
        <v>50740</v>
      </c>
      <c r="B695" s="53" t="s">
        <v>43</v>
      </c>
      <c r="C695" s="12" t="str">
        <f>'Planning Engine'!C695</f>
        <v>Drug Product</v>
      </c>
      <c r="D695" s="12" t="str">
        <f>'Planning Engine'!D695</f>
        <v>units</v>
      </c>
      <c r="E695" s="95">
        <f>'Planning Engine'!E695</f>
        <v>267607</v>
      </c>
      <c r="F695" s="95">
        <f>'Planning Engine'!F695</f>
        <v>0</v>
      </c>
      <c r="G695" s="95">
        <f>'Planning Engine'!G695</f>
        <v>0</v>
      </c>
      <c r="H695" s="99">
        <f t="shared" si="20"/>
        <v>0</v>
      </c>
      <c r="I695" s="95">
        <f>'Planning Engine'!H695</f>
        <v>267607</v>
      </c>
      <c r="J695" s="96">
        <f ca="1">'Planning Engine'!J695</f>
        <v>999</v>
      </c>
      <c r="K695" s="95">
        <f ca="1">'Planning Engine'!K695</f>
        <v>0</v>
      </c>
      <c r="L695" s="12" t="str">
        <f ca="1">'Planning Engine'!L695</f>
        <v>Overstock</v>
      </c>
      <c r="M695" s="93">
        <f>'Planning Engine'!S695</f>
        <v>50587</v>
      </c>
      <c r="N695" s="95">
        <f>'Planning Engine'!T695</f>
        <v>0</v>
      </c>
      <c r="O695" s="98" t="s">
        <v>1727</v>
      </c>
      <c r="P695" s="4" t="str">
        <f t="shared" ca="1" si="21"/>
        <v>Defer / consume inventory</v>
      </c>
    </row>
    <row r="696" spans="1:16" ht="13" customHeight="1" x14ac:dyDescent="0.35">
      <c r="A696" s="93">
        <v>50771</v>
      </c>
      <c r="B696" s="61" t="s">
        <v>43</v>
      </c>
      <c r="C696" s="12" t="str">
        <f>'Planning Engine'!C696</f>
        <v>Drug Product</v>
      </c>
      <c r="D696" s="12" t="str">
        <f>'Planning Engine'!D696</f>
        <v>units</v>
      </c>
      <c r="E696" s="95">
        <f>'Planning Engine'!E696</f>
        <v>267607</v>
      </c>
      <c r="F696" s="95">
        <f>'Planning Engine'!F696</f>
        <v>0</v>
      </c>
      <c r="G696" s="95">
        <f>'Planning Engine'!G696</f>
        <v>0</v>
      </c>
      <c r="H696" s="95">
        <f t="shared" si="20"/>
        <v>0</v>
      </c>
      <c r="I696" s="95">
        <f>'Planning Engine'!H696</f>
        <v>267607</v>
      </c>
      <c r="J696" s="96">
        <f ca="1">'Planning Engine'!J696</f>
        <v>999</v>
      </c>
      <c r="K696" s="95">
        <f ca="1">'Planning Engine'!K696</f>
        <v>0</v>
      </c>
      <c r="L696" s="12" t="str">
        <f ca="1">'Planning Engine'!L696</f>
        <v>Overstock</v>
      </c>
      <c r="M696" s="93">
        <f>'Planning Engine'!S696</f>
        <v>50618</v>
      </c>
      <c r="N696" s="95">
        <f>'Planning Engine'!T696</f>
        <v>0</v>
      </c>
      <c r="O696" s="94" t="s">
        <v>1728</v>
      </c>
      <c r="P696" s="12" t="str">
        <f t="shared" ca="1" si="21"/>
        <v>Defer / consume inventory</v>
      </c>
    </row>
    <row r="697" spans="1:16" ht="13" customHeight="1" x14ac:dyDescent="0.35">
      <c r="A697" s="97">
        <v>50802</v>
      </c>
      <c r="B697" s="53" t="s">
        <v>43</v>
      </c>
      <c r="C697" s="12" t="str">
        <f>'Planning Engine'!C697</f>
        <v>Drug Product</v>
      </c>
      <c r="D697" s="12" t="str">
        <f>'Planning Engine'!D697</f>
        <v>units</v>
      </c>
      <c r="E697" s="95">
        <f>'Planning Engine'!E697</f>
        <v>267607</v>
      </c>
      <c r="F697" s="95">
        <f>'Planning Engine'!F697</f>
        <v>0</v>
      </c>
      <c r="G697" s="95">
        <f>'Planning Engine'!G697</f>
        <v>0</v>
      </c>
      <c r="H697" s="99">
        <f t="shared" si="20"/>
        <v>0</v>
      </c>
      <c r="I697" s="95">
        <f>'Planning Engine'!H697</f>
        <v>267607</v>
      </c>
      <c r="J697" s="96">
        <f ca="1">'Planning Engine'!J697</f>
        <v>999</v>
      </c>
      <c r="K697" s="95">
        <f ca="1">'Planning Engine'!K697</f>
        <v>0</v>
      </c>
      <c r="L697" s="12" t="str">
        <f ca="1">'Planning Engine'!L697</f>
        <v>Overstock</v>
      </c>
      <c r="M697" s="93">
        <f>'Planning Engine'!S697</f>
        <v>50649</v>
      </c>
      <c r="N697" s="95">
        <f>'Planning Engine'!T697</f>
        <v>0</v>
      </c>
      <c r="O697" s="98" t="s">
        <v>1729</v>
      </c>
      <c r="P697" s="4" t="str">
        <f t="shared" ca="1" si="21"/>
        <v>Defer / consume inventory</v>
      </c>
    </row>
    <row r="698" spans="1:16" ht="13" customHeight="1" x14ac:dyDescent="0.35">
      <c r="A698" s="93">
        <v>50830</v>
      </c>
      <c r="B698" s="61" t="s">
        <v>43</v>
      </c>
      <c r="C698" s="12" t="str">
        <f>'Planning Engine'!C698</f>
        <v>Drug Product</v>
      </c>
      <c r="D698" s="12" t="str">
        <f>'Planning Engine'!D698</f>
        <v>units</v>
      </c>
      <c r="E698" s="95">
        <f>'Planning Engine'!E698</f>
        <v>267607</v>
      </c>
      <c r="F698" s="95">
        <f>'Planning Engine'!F698</f>
        <v>0</v>
      </c>
      <c r="G698" s="95">
        <f>'Planning Engine'!G698</f>
        <v>0</v>
      </c>
      <c r="H698" s="95">
        <f t="shared" si="20"/>
        <v>0</v>
      </c>
      <c r="I698" s="95">
        <f>'Planning Engine'!H698</f>
        <v>267607</v>
      </c>
      <c r="J698" s="96">
        <f ca="1">'Planning Engine'!J698</f>
        <v>999</v>
      </c>
      <c r="K698" s="95">
        <f ca="1">'Planning Engine'!K698</f>
        <v>0</v>
      </c>
      <c r="L698" s="12" t="str">
        <f ca="1">'Planning Engine'!L698</f>
        <v>Overstock</v>
      </c>
      <c r="M698" s="93">
        <f>'Planning Engine'!S698</f>
        <v>50679</v>
      </c>
      <c r="N698" s="95">
        <f>'Planning Engine'!T698</f>
        <v>0</v>
      </c>
      <c r="O698" s="94" t="s">
        <v>1730</v>
      </c>
      <c r="P698" s="12" t="str">
        <f t="shared" ca="1" si="21"/>
        <v>Defer / consume inventory</v>
      </c>
    </row>
    <row r="699" spans="1:16" ht="13" customHeight="1" x14ac:dyDescent="0.35">
      <c r="A699" s="97">
        <v>50861</v>
      </c>
      <c r="B699" s="53" t="s">
        <v>43</v>
      </c>
      <c r="C699" s="12" t="str">
        <f>'Planning Engine'!C699</f>
        <v>Drug Product</v>
      </c>
      <c r="D699" s="12" t="str">
        <f>'Planning Engine'!D699</f>
        <v>units</v>
      </c>
      <c r="E699" s="95">
        <f>'Planning Engine'!E699</f>
        <v>267607</v>
      </c>
      <c r="F699" s="95">
        <f>'Planning Engine'!F699</f>
        <v>0</v>
      </c>
      <c r="G699" s="95">
        <f>'Planning Engine'!G699</f>
        <v>0</v>
      </c>
      <c r="H699" s="99">
        <f t="shared" si="20"/>
        <v>0</v>
      </c>
      <c r="I699" s="95">
        <f>'Planning Engine'!H699</f>
        <v>267607</v>
      </c>
      <c r="J699" s="96">
        <f ca="1">'Planning Engine'!J699</f>
        <v>999</v>
      </c>
      <c r="K699" s="95">
        <f ca="1">'Planning Engine'!K699</f>
        <v>0</v>
      </c>
      <c r="L699" s="12" t="str">
        <f ca="1">'Planning Engine'!L699</f>
        <v>Overstock</v>
      </c>
      <c r="M699" s="93">
        <f>'Planning Engine'!S699</f>
        <v>50710</v>
      </c>
      <c r="N699" s="95">
        <f>'Planning Engine'!T699</f>
        <v>0</v>
      </c>
      <c r="O699" s="98" t="s">
        <v>1731</v>
      </c>
      <c r="P699" s="4" t="str">
        <f t="shared" ca="1" si="21"/>
        <v>Defer / consume inventory</v>
      </c>
    </row>
    <row r="700" spans="1:16" ht="13" customHeight="1" x14ac:dyDescent="0.35">
      <c r="A700" s="93">
        <v>50891</v>
      </c>
      <c r="B700" s="61" t="s">
        <v>43</v>
      </c>
      <c r="C700" s="12" t="str">
        <f>'Planning Engine'!C700</f>
        <v>Drug Product</v>
      </c>
      <c r="D700" s="12" t="str">
        <f>'Planning Engine'!D700</f>
        <v>units</v>
      </c>
      <c r="E700" s="95">
        <f>'Planning Engine'!E700</f>
        <v>267607</v>
      </c>
      <c r="F700" s="95">
        <f>'Planning Engine'!F700</f>
        <v>0</v>
      </c>
      <c r="G700" s="95">
        <f>'Planning Engine'!G700</f>
        <v>0</v>
      </c>
      <c r="H700" s="95">
        <f t="shared" si="20"/>
        <v>0</v>
      </c>
      <c r="I700" s="95">
        <f>'Planning Engine'!H700</f>
        <v>267607</v>
      </c>
      <c r="J700" s="96">
        <f ca="1">'Planning Engine'!J700</f>
        <v>999</v>
      </c>
      <c r="K700" s="95">
        <f ca="1">'Planning Engine'!K700</f>
        <v>0</v>
      </c>
      <c r="L700" s="12" t="str">
        <f ca="1">'Planning Engine'!L700</f>
        <v>Overstock</v>
      </c>
      <c r="M700" s="93">
        <f>'Planning Engine'!S700</f>
        <v>50740</v>
      </c>
      <c r="N700" s="95">
        <f>'Planning Engine'!T700</f>
        <v>0</v>
      </c>
      <c r="O700" s="94" t="s">
        <v>1732</v>
      </c>
      <c r="P700" s="12" t="str">
        <f t="shared" ca="1" si="21"/>
        <v>Defer / consume inventory</v>
      </c>
    </row>
    <row r="701" spans="1:16" ht="13" customHeight="1" x14ac:dyDescent="0.35">
      <c r="A701" s="97">
        <v>50922</v>
      </c>
      <c r="B701" s="53" t="s">
        <v>43</v>
      </c>
      <c r="C701" s="12" t="str">
        <f>'Planning Engine'!C701</f>
        <v>Drug Product</v>
      </c>
      <c r="D701" s="12" t="str">
        <f>'Planning Engine'!D701</f>
        <v>units</v>
      </c>
      <c r="E701" s="95">
        <f>'Planning Engine'!E701</f>
        <v>267607</v>
      </c>
      <c r="F701" s="95">
        <f>'Planning Engine'!F701</f>
        <v>0</v>
      </c>
      <c r="G701" s="95">
        <f>'Planning Engine'!G701</f>
        <v>0</v>
      </c>
      <c r="H701" s="99">
        <f t="shared" si="20"/>
        <v>0</v>
      </c>
      <c r="I701" s="95">
        <f>'Planning Engine'!H701</f>
        <v>267607</v>
      </c>
      <c r="J701" s="96">
        <f ca="1">'Planning Engine'!J701</f>
        <v>999</v>
      </c>
      <c r="K701" s="95">
        <f ca="1">'Planning Engine'!K701</f>
        <v>0</v>
      </c>
      <c r="L701" s="12" t="str">
        <f ca="1">'Planning Engine'!L701</f>
        <v>Overstock</v>
      </c>
      <c r="M701" s="93">
        <f>'Planning Engine'!S701</f>
        <v>50771</v>
      </c>
      <c r="N701" s="95">
        <f>'Planning Engine'!T701</f>
        <v>0</v>
      </c>
      <c r="O701" s="98" t="s">
        <v>1733</v>
      </c>
      <c r="P701" s="4" t="str">
        <f t="shared" ca="1" si="21"/>
        <v>Defer / consume inventory</v>
      </c>
    </row>
    <row r="702" spans="1:16" ht="13" customHeight="1" x14ac:dyDescent="0.35">
      <c r="A702" s="93">
        <v>50952</v>
      </c>
      <c r="B702" s="61" t="s">
        <v>43</v>
      </c>
      <c r="C702" s="12" t="str">
        <f>'Planning Engine'!C702</f>
        <v>Drug Product</v>
      </c>
      <c r="D702" s="12" t="str">
        <f>'Planning Engine'!D702</f>
        <v>units</v>
      </c>
      <c r="E702" s="95">
        <f>'Planning Engine'!E702</f>
        <v>267607</v>
      </c>
      <c r="F702" s="95">
        <f>'Planning Engine'!F702</f>
        <v>0</v>
      </c>
      <c r="G702" s="95">
        <f>'Planning Engine'!G702</f>
        <v>0</v>
      </c>
      <c r="H702" s="95">
        <f t="shared" si="20"/>
        <v>0</v>
      </c>
      <c r="I702" s="95">
        <f>'Planning Engine'!H702</f>
        <v>267607</v>
      </c>
      <c r="J702" s="96">
        <f ca="1">'Planning Engine'!J702</f>
        <v>999</v>
      </c>
      <c r="K702" s="95">
        <f ca="1">'Planning Engine'!K702</f>
        <v>0</v>
      </c>
      <c r="L702" s="12" t="str">
        <f ca="1">'Planning Engine'!L702</f>
        <v>Overstock</v>
      </c>
      <c r="M702" s="93">
        <f>'Planning Engine'!S702</f>
        <v>50802</v>
      </c>
      <c r="N702" s="95">
        <f>'Planning Engine'!T702</f>
        <v>0</v>
      </c>
      <c r="O702" s="94" t="s">
        <v>1734</v>
      </c>
      <c r="P702" s="12" t="str">
        <f t="shared" ca="1" si="21"/>
        <v>Defer / consume inventory</v>
      </c>
    </row>
    <row r="703" spans="1:16" ht="13" customHeight="1" x14ac:dyDescent="0.35">
      <c r="A703" s="97">
        <v>50983</v>
      </c>
      <c r="B703" s="53" t="s">
        <v>43</v>
      </c>
      <c r="C703" s="12" t="str">
        <f>'Planning Engine'!C703</f>
        <v>Drug Product</v>
      </c>
      <c r="D703" s="12" t="str">
        <f>'Planning Engine'!D703</f>
        <v>units</v>
      </c>
      <c r="E703" s="95">
        <f>'Planning Engine'!E703</f>
        <v>267607</v>
      </c>
      <c r="F703" s="95">
        <f>'Planning Engine'!F703</f>
        <v>0</v>
      </c>
      <c r="G703" s="95">
        <f>'Planning Engine'!G703</f>
        <v>0</v>
      </c>
      <c r="H703" s="99">
        <f t="shared" si="20"/>
        <v>0</v>
      </c>
      <c r="I703" s="95">
        <f>'Planning Engine'!H703</f>
        <v>267607</v>
      </c>
      <c r="J703" s="96">
        <f ca="1">'Planning Engine'!J703</f>
        <v>999</v>
      </c>
      <c r="K703" s="95">
        <f ca="1">'Planning Engine'!K703</f>
        <v>0</v>
      </c>
      <c r="L703" s="12" t="str">
        <f ca="1">'Planning Engine'!L703</f>
        <v>Overstock</v>
      </c>
      <c r="M703" s="93">
        <f>'Planning Engine'!S703</f>
        <v>50830</v>
      </c>
      <c r="N703" s="95">
        <f>'Planning Engine'!T703</f>
        <v>0</v>
      </c>
      <c r="O703" s="98" t="s">
        <v>1735</v>
      </c>
      <c r="P703" s="4" t="str">
        <f t="shared" ca="1" si="21"/>
        <v>Defer / consume inventory</v>
      </c>
    </row>
    <row r="704" spans="1:16" ht="13" customHeight="1" x14ac:dyDescent="0.35">
      <c r="A704" s="93">
        <v>51014</v>
      </c>
      <c r="B704" s="61" t="s">
        <v>43</v>
      </c>
      <c r="C704" s="12" t="str">
        <f>'Planning Engine'!C704</f>
        <v>Drug Product</v>
      </c>
      <c r="D704" s="12" t="str">
        <f>'Planning Engine'!D704</f>
        <v>units</v>
      </c>
      <c r="E704" s="95">
        <f>'Planning Engine'!E704</f>
        <v>267607</v>
      </c>
      <c r="F704" s="95">
        <f>'Planning Engine'!F704</f>
        <v>0</v>
      </c>
      <c r="G704" s="95">
        <f>'Planning Engine'!G704</f>
        <v>0</v>
      </c>
      <c r="H704" s="95">
        <f t="shared" si="20"/>
        <v>0</v>
      </c>
      <c r="I704" s="95">
        <f>'Planning Engine'!H704</f>
        <v>267607</v>
      </c>
      <c r="J704" s="96">
        <f ca="1">'Planning Engine'!J704</f>
        <v>999</v>
      </c>
      <c r="K704" s="95">
        <f ca="1">'Planning Engine'!K704</f>
        <v>0</v>
      </c>
      <c r="L704" s="12" t="str">
        <f ca="1">'Planning Engine'!L704</f>
        <v>Overstock</v>
      </c>
      <c r="M704" s="93">
        <f>'Planning Engine'!S704</f>
        <v>50861</v>
      </c>
      <c r="N704" s="95">
        <f>'Planning Engine'!T704</f>
        <v>0</v>
      </c>
      <c r="O704" s="94" t="s">
        <v>1736</v>
      </c>
      <c r="P704" s="12" t="str">
        <f t="shared" ca="1" si="21"/>
        <v>Defer / consume inventory</v>
      </c>
    </row>
    <row r="705" spans="1:16" ht="13" customHeight="1" x14ac:dyDescent="0.35">
      <c r="A705" s="97">
        <v>51044</v>
      </c>
      <c r="B705" s="53" t="s">
        <v>43</v>
      </c>
      <c r="C705" s="12" t="str">
        <f>'Planning Engine'!C705</f>
        <v>Drug Product</v>
      </c>
      <c r="D705" s="12" t="str">
        <f>'Planning Engine'!D705</f>
        <v>units</v>
      </c>
      <c r="E705" s="95">
        <f>'Planning Engine'!E705</f>
        <v>267607</v>
      </c>
      <c r="F705" s="95">
        <f>'Planning Engine'!F705</f>
        <v>0</v>
      </c>
      <c r="G705" s="95">
        <f>'Planning Engine'!G705</f>
        <v>0</v>
      </c>
      <c r="H705" s="99">
        <f t="shared" si="20"/>
        <v>0</v>
      </c>
      <c r="I705" s="95">
        <f>'Planning Engine'!H705</f>
        <v>267607</v>
      </c>
      <c r="J705" s="96">
        <f ca="1">'Planning Engine'!J705</f>
        <v>999</v>
      </c>
      <c r="K705" s="95">
        <f ca="1">'Planning Engine'!K705</f>
        <v>0</v>
      </c>
      <c r="L705" s="12" t="str">
        <f ca="1">'Planning Engine'!L705</f>
        <v>Overstock</v>
      </c>
      <c r="M705" s="93">
        <f>'Planning Engine'!S705</f>
        <v>50891</v>
      </c>
      <c r="N705" s="95">
        <f>'Planning Engine'!T705</f>
        <v>0</v>
      </c>
      <c r="O705" s="98" t="s">
        <v>1737</v>
      </c>
      <c r="P705" s="4" t="str">
        <f t="shared" ca="1" si="21"/>
        <v>Defer / consume inventory</v>
      </c>
    </row>
    <row r="706" spans="1:16" ht="13" customHeight="1" x14ac:dyDescent="0.35">
      <c r="A706" s="93">
        <v>51075</v>
      </c>
      <c r="B706" s="61" t="s">
        <v>43</v>
      </c>
      <c r="C706" s="12" t="str">
        <f>'Planning Engine'!C706</f>
        <v>Drug Product</v>
      </c>
      <c r="D706" s="12" t="str">
        <f>'Planning Engine'!D706</f>
        <v>units</v>
      </c>
      <c r="E706" s="95">
        <f>'Planning Engine'!E706</f>
        <v>267607</v>
      </c>
      <c r="F706" s="95">
        <f>'Planning Engine'!F706</f>
        <v>0</v>
      </c>
      <c r="G706" s="95">
        <f>'Planning Engine'!G706</f>
        <v>0</v>
      </c>
      <c r="H706" s="95">
        <f t="shared" si="20"/>
        <v>0</v>
      </c>
      <c r="I706" s="95">
        <f>'Planning Engine'!H706</f>
        <v>267607</v>
      </c>
      <c r="J706" s="96">
        <f ca="1">'Planning Engine'!J706</f>
        <v>999</v>
      </c>
      <c r="K706" s="95">
        <f ca="1">'Planning Engine'!K706</f>
        <v>0</v>
      </c>
      <c r="L706" s="12" t="str">
        <f ca="1">'Planning Engine'!L706</f>
        <v>Overstock</v>
      </c>
      <c r="M706" s="93">
        <f>'Planning Engine'!S706</f>
        <v>50922</v>
      </c>
      <c r="N706" s="95">
        <f>'Planning Engine'!T706</f>
        <v>0</v>
      </c>
      <c r="O706" s="94" t="s">
        <v>1738</v>
      </c>
      <c r="P706" s="12" t="str">
        <f t="shared" ca="1" si="21"/>
        <v>Defer / consume inventory</v>
      </c>
    </row>
    <row r="707" spans="1:16" ht="13" customHeight="1" x14ac:dyDescent="0.35">
      <c r="A707" s="97">
        <v>51105</v>
      </c>
      <c r="B707" s="53" t="s">
        <v>43</v>
      </c>
      <c r="C707" s="12" t="str">
        <f>'Planning Engine'!C707</f>
        <v>Drug Product</v>
      </c>
      <c r="D707" s="12" t="str">
        <f>'Planning Engine'!D707</f>
        <v>units</v>
      </c>
      <c r="E707" s="95">
        <f>'Planning Engine'!E707</f>
        <v>267607</v>
      </c>
      <c r="F707" s="95">
        <f>'Planning Engine'!F707</f>
        <v>0</v>
      </c>
      <c r="G707" s="95">
        <f>'Planning Engine'!G707</f>
        <v>0</v>
      </c>
      <c r="H707" s="99">
        <f t="shared" si="20"/>
        <v>0</v>
      </c>
      <c r="I707" s="95">
        <f>'Planning Engine'!H707</f>
        <v>267607</v>
      </c>
      <c r="J707" s="96">
        <f ca="1">'Planning Engine'!J707</f>
        <v>999</v>
      </c>
      <c r="K707" s="95">
        <f ca="1">'Planning Engine'!K707</f>
        <v>0</v>
      </c>
      <c r="L707" s="12" t="str">
        <f ca="1">'Planning Engine'!L707</f>
        <v>Overstock</v>
      </c>
      <c r="M707" s="93">
        <f>'Planning Engine'!S707</f>
        <v>50952</v>
      </c>
      <c r="N707" s="95">
        <f>'Planning Engine'!T707</f>
        <v>0</v>
      </c>
      <c r="O707" s="98" t="s">
        <v>1739</v>
      </c>
      <c r="P707" s="4" t="str">
        <f t="shared" ca="1" si="21"/>
        <v>Defer / consume inventory</v>
      </c>
    </row>
    <row r="708" spans="1:16" ht="13" customHeight="1" x14ac:dyDescent="0.35">
      <c r="A708" s="93">
        <v>51136</v>
      </c>
      <c r="B708" s="61" t="s">
        <v>43</v>
      </c>
      <c r="C708" s="12" t="str">
        <f>'Planning Engine'!C708</f>
        <v>Drug Product</v>
      </c>
      <c r="D708" s="12" t="str">
        <f>'Planning Engine'!D708</f>
        <v>units</v>
      </c>
      <c r="E708" s="95">
        <f>'Planning Engine'!E708</f>
        <v>267607</v>
      </c>
      <c r="F708" s="95">
        <f>'Planning Engine'!F708</f>
        <v>0</v>
      </c>
      <c r="G708" s="95">
        <f>'Planning Engine'!G708</f>
        <v>0</v>
      </c>
      <c r="H708" s="95">
        <f t="shared" ref="H708:H719" si="22">G708-F708</f>
        <v>0</v>
      </c>
      <c r="I708" s="95">
        <f>'Planning Engine'!H708</f>
        <v>267607</v>
      </c>
      <c r="J708" s="96">
        <f ca="1">'Planning Engine'!J708</f>
        <v>999</v>
      </c>
      <c r="K708" s="95">
        <f ca="1">'Planning Engine'!K708</f>
        <v>0</v>
      </c>
      <c r="L708" s="12" t="str">
        <f ca="1">'Planning Engine'!L708</f>
        <v>Overstock</v>
      </c>
      <c r="M708" s="93">
        <f>'Planning Engine'!S708</f>
        <v>50983</v>
      </c>
      <c r="N708" s="95">
        <f>'Planning Engine'!T708</f>
        <v>0</v>
      </c>
      <c r="O708" s="94" t="s">
        <v>1740</v>
      </c>
      <c r="P708" s="12" t="str">
        <f t="shared" ref="P708:P719" ca="1" si="23">IFERROR(IF(L708="High","⚠ Expedite production / source alternate",IF(L708="Medium","Plan additional batches",IF(L708="Overstock","Defer / consume inventory","Plan acceptable"))),"--")</f>
        <v>Defer / consume inventory</v>
      </c>
    </row>
    <row r="709" spans="1:16" ht="13" customHeight="1" x14ac:dyDescent="0.35">
      <c r="A709" s="97">
        <v>51167</v>
      </c>
      <c r="B709" s="53" t="s">
        <v>43</v>
      </c>
      <c r="C709" s="12" t="str">
        <f>'Planning Engine'!C709</f>
        <v>Drug Product</v>
      </c>
      <c r="D709" s="12" t="str">
        <f>'Planning Engine'!D709</f>
        <v>units</v>
      </c>
      <c r="E709" s="95">
        <f>'Planning Engine'!E709</f>
        <v>267607</v>
      </c>
      <c r="F709" s="95">
        <f>'Planning Engine'!F709</f>
        <v>0</v>
      </c>
      <c r="G709" s="95">
        <f>'Planning Engine'!G709</f>
        <v>0</v>
      </c>
      <c r="H709" s="99">
        <f t="shared" si="22"/>
        <v>0</v>
      </c>
      <c r="I709" s="95">
        <f>'Planning Engine'!H709</f>
        <v>267607</v>
      </c>
      <c r="J709" s="96">
        <f ca="1">'Planning Engine'!J709</f>
        <v>999</v>
      </c>
      <c r="K709" s="95">
        <f ca="1">'Planning Engine'!K709</f>
        <v>0</v>
      </c>
      <c r="L709" s="12" t="str">
        <f ca="1">'Planning Engine'!L709</f>
        <v>Overstock</v>
      </c>
      <c r="M709" s="93">
        <f>'Planning Engine'!S709</f>
        <v>51014</v>
      </c>
      <c r="N709" s="95">
        <f>'Planning Engine'!T709</f>
        <v>0</v>
      </c>
      <c r="O709" s="98" t="s">
        <v>1741</v>
      </c>
      <c r="P709" s="4" t="str">
        <f t="shared" ca="1" si="23"/>
        <v>Defer / consume inventory</v>
      </c>
    </row>
    <row r="710" spans="1:16" ht="13" customHeight="1" x14ac:dyDescent="0.35">
      <c r="A710" s="93">
        <v>51196</v>
      </c>
      <c r="B710" s="61" t="s">
        <v>43</v>
      </c>
      <c r="C710" s="12" t="str">
        <f>'Planning Engine'!C710</f>
        <v>Drug Product</v>
      </c>
      <c r="D710" s="12" t="str">
        <f>'Planning Engine'!D710</f>
        <v>units</v>
      </c>
      <c r="E710" s="95">
        <f>'Planning Engine'!E710</f>
        <v>267607</v>
      </c>
      <c r="F710" s="95">
        <f>'Planning Engine'!F710</f>
        <v>0</v>
      </c>
      <c r="G710" s="95">
        <f>'Planning Engine'!G710</f>
        <v>0</v>
      </c>
      <c r="H710" s="95">
        <f t="shared" si="22"/>
        <v>0</v>
      </c>
      <c r="I710" s="95">
        <f>'Planning Engine'!H710</f>
        <v>267607</v>
      </c>
      <c r="J710" s="96">
        <f ca="1">'Planning Engine'!J710</f>
        <v>999</v>
      </c>
      <c r="K710" s="95">
        <f ca="1">'Planning Engine'!K710</f>
        <v>0</v>
      </c>
      <c r="L710" s="12" t="str">
        <f ca="1">'Planning Engine'!L710</f>
        <v>Overstock</v>
      </c>
      <c r="M710" s="93">
        <f>'Planning Engine'!S710</f>
        <v>51044</v>
      </c>
      <c r="N710" s="95">
        <f>'Planning Engine'!T710</f>
        <v>0</v>
      </c>
      <c r="O710" s="94" t="s">
        <v>1742</v>
      </c>
      <c r="P710" s="12" t="str">
        <f t="shared" ca="1" si="23"/>
        <v>Defer / consume inventory</v>
      </c>
    </row>
    <row r="711" spans="1:16" ht="13" customHeight="1" x14ac:dyDescent="0.35">
      <c r="A711" s="97">
        <v>51227</v>
      </c>
      <c r="B711" s="53" t="s">
        <v>43</v>
      </c>
      <c r="C711" s="12" t="str">
        <f>'Planning Engine'!C711</f>
        <v>Drug Product</v>
      </c>
      <c r="D711" s="12" t="str">
        <f>'Planning Engine'!D711</f>
        <v>units</v>
      </c>
      <c r="E711" s="95">
        <f>'Planning Engine'!E711</f>
        <v>267607</v>
      </c>
      <c r="F711" s="95">
        <f>'Planning Engine'!F711</f>
        <v>0</v>
      </c>
      <c r="G711" s="95">
        <f>'Planning Engine'!G711</f>
        <v>0</v>
      </c>
      <c r="H711" s="99">
        <f t="shared" si="22"/>
        <v>0</v>
      </c>
      <c r="I711" s="95">
        <f>'Planning Engine'!H711</f>
        <v>267607</v>
      </c>
      <c r="J711" s="96">
        <f ca="1">'Planning Engine'!J711</f>
        <v>999</v>
      </c>
      <c r="K711" s="95">
        <f ca="1">'Planning Engine'!K711</f>
        <v>0</v>
      </c>
      <c r="L711" s="12" t="str">
        <f ca="1">'Planning Engine'!L711</f>
        <v>Overstock</v>
      </c>
      <c r="M711" s="93">
        <f>'Planning Engine'!S711</f>
        <v>51075</v>
      </c>
      <c r="N711" s="95">
        <f>'Planning Engine'!T711</f>
        <v>0</v>
      </c>
      <c r="O711" s="98" t="s">
        <v>1743</v>
      </c>
      <c r="P711" s="4" t="str">
        <f t="shared" ca="1" si="23"/>
        <v>Defer / consume inventory</v>
      </c>
    </row>
    <row r="712" spans="1:16" ht="13" customHeight="1" x14ac:dyDescent="0.35">
      <c r="A712" s="93">
        <v>51257</v>
      </c>
      <c r="B712" s="61" t="s">
        <v>43</v>
      </c>
      <c r="C712" s="12" t="str">
        <f>'Planning Engine'!C712</f>
        <v>Drug Product</v>
      </c>
      <c r="D712" s="12" t="str">
        <f>'Planning Engine'!D712</f>
        <v>units</v>
      </c>
      <c r="E712" s="95">
        <f>'Planning Engine'!E712</f>
        <v>267607</v>
      </c>
      <c r="F712" s="95">
        <f>'Planning Engine'!F712</f>
        <v>0</v>
      </c>
      <c r="G712" s="95">
        <f>'Planning Engine'!G712</f>
        <v>0</v>
      </c>
      <c r="H712" s="95">
        <f t="shared" si="22"/>
        <v>0</v>
      </c>
      <c r="I712" s="95">
        <f>'Planning Engine'!H712</f>
        <v>267607</v>
      </c>
      <c r="J712" s="96">
        <f ca="1">'Planning Engine'!J712</f>
        <v>999</v>
      </c>
      <c r="K712" s="95">
        <f ca="1">'Planning Engine'!K712</f>
        <v>0</v>
      </c>
      <c r="L712" s="12" t="str">
        <f ca="1">'Planning Engine'!L712</f>
        <v>Overstock</v>
      </c>
      <c r="M712" s="93">
        <f>'Planning Engine'!S712</f>
        <v>51105</v>
      </c>
      <c r="N712" s="95">
        <f>'Planning Engine'!T712</f>
        <v>0</v>
      </c>
      <c r="O712" s="94" t="s">
        <v>1744</v>
      </c>
      <c r="P712" s="12" t="str">
        <f t="shared" ca="1" si="23"/>
        <v>Defer / consume inventory</v>
      </c>
    </row>
    <row r="713" spans="1:16" ht="13" customHeight="1" x14ac:dyDescent="0.35">
      <c r="A713" s="97">
        <v>51288</v>
      </c>
      <c r="B713" s="53" t="s">
        <v>43</v>
      </c>
      <c r="C713" s="12" t="str">
        <f>'Planning Engine'!C713</f>
        <v>Drug Product</v>
      </c>
      <c r="D713" s="12" t="str">
        <f>'Planning Engine'!D713</f>
        <v>units</v>
      </c>
      <c r="E713" s="95">
        <f>'Planning Engine'!E713</f>
        <v>267607</v>
      </c>
      <c r="F713" s="95">
        <f>'Planning Engine'!F713</f>
        <v>0</v>
      </c>
      <c r="G713" s="95">
        <f>'Planning Engine'!G713</f>
        <v>0</v>
      </c>
      <c r="H713" s="99">
        <f t="shared" si="22"/>
        <v>0</v>
      </c>
      <c r="I713" s="95">
        <f>'Planning Engine'!H713</f>
        <v>267607</v>
      </c>
      <c r="J713" s="96">
        <f ca="1">'Planning Engine'!J713</f>
        <v>999</v>
      </c>
      <c r="K713" s="95">
        <f ca="1">'Planning Engine'!K713</f>
        <v>0</v>
      </c>
      <c r="L713" s="12" t="str">
        <f ca="1">'Planning Engine'!L713</f>
        <v>Overstock</v>
      </c>
      <c r="M713" s="93">
        <f>'Planning Engine'!S713</f>
        <v>51136</v>
      </c>
      <c r="N713" s="95">
        <f>'Planning Engine'!T713</f>
        <v>0</v>
      </c>
      <c r="O713" s="98" t="s">
        <v>1745</v>
      </c>
      <c r="P713" s="4" t="str">
        <f t="shared" ca="1" si="23"/>
        <v>Defer / consume inventory</v>
      </c>
    </row>
    <row r="714" spans="1:16" ht="13" customHeight="1" x14ac:dyDescent="0.35">
      <c r="A714" s="93">
        <v>51318</v>
      </c>
      <c r="B714" s="61" t="s">
        <v>43</v>
      </c>
      <c r="C714" s="12" t="str">
        <f>'Planning Engine'!C714</f>
        <v>Drug Product</v>
      </c>
      <c r="D714" s="12" t="str">
        <f>'Planning Engine'!D714</f>
        <v>units</v>
      </c>
      <c r="E714" s="95">
        <f>'Planning Engine'!E714</f>
        <v>267607</v>
      </c>
      <c r="F714" s="95">
        <f>'Planning Engine'!F714</f>
        <v>0</v>
      </c>
      <c r="G714" s="95">
        <f>'Planning Engine'!G714</f>
        <v>0</v>
      </c>
      <c r="H714" s="95">
        <f t="shared" si="22"/>
        <v>0</v>
      </c>
      <c r="I714" s="95">
        <f>'Planning Engine'!H714</f>
        <v>267607</v>
      </c>
      <c r="J714" s="96">
        <f ca="1">'Planning Engine'!J714</f>
        <v>999</v>
      </c>
      <c r="K714" s="95">
        <f ca="1">'Planning Engine'!K714</f>
        <v>0</v>
      </c>
      <c r="L714" s="12" t="str">
        <f ca="1">'Planning Engine'!L714</f>
        <v>Overstock</v>
      </c>
      <c r="M714" s="93">
        <f>'Planning Engine'!S714</f>
        <v>51167</v>
      </c>
      <c r="N714" s="95">
        <f>'Planning Engine'!T714</f>
        <v>0</v>
      </c>
      <c r="O714" s="94" t="s">
        <v>1746</v>
      </c>
      <c r="P714" s="12" t="str">
        <f t="shared" ca="1" si="23"/>
        <v>Defer / consume inventory</v>
      </c>
    </row>
    <row r="715" spans="1:16" ht="13" customHeight="1" x14ac:dyDescent="0.35">
      <c r="A715" s="97">
        <v>51349</v>
      </c>
      <c r="B715" s="53" t="s">
        <v>43</v>
      </c>
      <c r="C715" s="12" t="str">
        <f>'Planning Engine'!C715</f>
        <v>Drug Product</v>
      </c>
      <c r="D715" s="12" t="str">
        <f>'Planning Engine'!D715</f>
        <v>units</v>
      </c>
      <c r="E715" s="95">
        <f>'Planning Engine'!E715</f>
        <v>267607</v>
      </c>
      <c r="F715" s="95">
        <f>'Planning Engine'!F715</f>
        <v>0</v>
      </c>
      <c r="G715" s="95">
        <f>'Planning Engine'!G715</f>
        <v>0</v>
      </c>
      <c r="H715" s="99">
        <f t="shared" si="22"/>
        <v>0</v>
      </c>
      <c r="I715" s="95">
        <f>'Planning Engine'!H715</f>
        <v>267607</v>
      </c>
      <c r="J715" s="96">
        <f ca="1">'Planning Engine'!J715</f>
        <v>999</v>
      </c>
      <c r="K715" s="95">
        <f ca="1">'Planning Engine'!K715</f>
        <v>0</v>
      </c>
      <c r="L715" s="12" t="str">
        <f ca="1">'Planning Engine'!L715</f>
        <v>Overstock</v>
      </c>
      <c r="M715" s="93">
        <f>'Planning Engine'!S715</f>
        <v>51196</v>
      </c>
      <c r="N715" s="95">
        <f>'Planning Engine'!T715</f>
        <v>0</v>
      </c>
      <c r="O715" s="98" t="s">
        <v>1747</v>
      </c>
      <c r="P715" s="4" t="str">
        <f t="shared" ca="1" si="23"/>
        <v>Defer / consume inventory</v>
      </c>
    </row>
    <row r="716" spans="1:16" ht="13" customHeight="1" x14ac:dyDescent="0.35">
      <c r="A716" s="93">
        <v>51380</v>
      </c>
      <c r="B716" s="61" t="s">
        <v>43</v>
      </c>
      <c r="C716" s="12" t="str">
        <f>'Planning Engine'!C716</f>
        <v>Drug Product</v>
      </c>
      <c r="D716" s="12" t="str">
        <f>'Planning Engine'!D716</f>
        <v>units</v>
      </c>
      <c r="E716" s="95">
        <f>'Planning Engine'!E716</f>
        <v>267607</v>
      </c>
      <c r="F716" s="95">
        <f>'Planning Engine'!F716</f>
        <v>0</v>
      </c>
      <c r="G716" s="95">
        <f>'Planning Engine'!G716</f>
        <v>0</v>
      </c>
      <c r="H716" s="95">
        <f t="shared" si="22"/>
        <v>0</v>
      </c>
      <c r="I716" s="95">
        <f>'Planning Engine'!H716</f>
        <v>267607</v>
      </c>
      <c r="J716" s="96">
        <f ca="1">'Planning Engine'!J716</f>
        <v>999</v>
      </c>
      <c r="K716" s="95">
        <f ca="1">'Planning Engine'!K716</f>
        <v>0</v>
      </c>
      <c r="L716" s="12" t="str">
        <f ca="1">'Planning Engine'!L716</f>
        <v>Overstock</v>
      </c>
      <c r="M716" s="93">
        <f>'Planning Engine'!S716</f>
        <v>51227</v>
      </c>
      <c r="N716" s="95">
        <f>'Planning Engine'!T716</f>
        <v>0</v>
      </c>
      <c r="O716" s="94" t="s">
        <v>1748</v>
      </c>
      <c r="P716" s="12" t="str">
        <f t="shared" ca="1" si="23"/>
        <v>Defer / consume inventory</v>
      </c>
    </row>
    <row r="717" spans="1:16" ht="13" customHeight="1" x14ac:dyDescent="0.35">
      <c r="A717" s="97">
        <v>51410</v>
      </c>
      <c r="B717" s="53" t="s">
        <v>43</v>
      </c>
      <c r="C717" s="12" t="str">
        <f>'Planning Engine'!C717</f>
        <v>Drug Product</v>
      </c>
      <c r="D717" s="12" t="str">
        <f>'Planning Engine'!D717</f>
        <v>units</v>
      </c>
      <c r="E717" s="95">
        <f>'Planning Engine'!E717</f>
        <v>267607</v>
      </c>
      <c r="F717" s="95">
        <f>'Planning Engine'!F717</f>
        <v>0</v>
      </c>
      <c r="G717" s="95">
        <f>'Planning Engine'!G717</f>
        <v>0</v>
      </c>
      <c r="H717" s="99">
        <f t="shared" si="22"/>
        <v>0</v>
      </c>
      <c r="I717" s="95">
        <f>'Planning Engine'!H717</f>
        <v>267607</v>
      </c>
      <c r="J717" s="96">
        <f ca="1">'Planning Engine'!J717</f>
        <v>999</v>
      </c>
      <c r="K717" s="95">
        <f ca="1">'Planning Engine'!K717</f>
        <v>0</v>
      </c>
      <c r="L717" s="12" t="str">
        <f ca="1">'Planning Engine'!L717</f>
        <v>Overstock</v>
      </c>
      <c r="M717" s="93">
        <f>'Planning Engine'!S717</f>
        <v>51257</v>
      </c>
      <c r="N717" s="95">
        <f>'Planning Engine'!T717</f>
        <v>0</v>
      </c>
      <c r="O717" s="98" t="s">
        <v>1749</v>
      </c>
      <c r="P717" s="4" t="str">
        <f t="shared" ca="1" si="23"/>
        <v>Defer / consume inventory</v>
      </c>
    </row>
    <row r="718" spans="1:16" ht="13" customHeight="1" x14ac:dyDescent="0.35">
      <c r="A718" s="93">
        <v>51441</v>
      </c>
      <c r="B718" s="61" t="s">
        <v>43</v>
      </c>
      <c r="C718" s="12" t="str">
        <f>'Planning Engine'!C718</f>
        <v>Drug Product</v>
      </c>
      <c r="D718" s="12" t="str">
        <f>'Planning Engine'!D718</f>
        <v>units</v>
      </c>
      <c r="E718" s="95">
        <f>'Planning Engine'!E718</f>
        <v>267607</v>
      </c>
      <c r="F718" s="95">
        <f>'Planning Engine'!F718</f>
        <v>0</v>
      </c>
      <c r="G718" s="95">
        <f>'Planning Engine'!G718</f>
        <v>0</v>
      </c>
      <c r="H718" s="95">
        <f t="shared" si="22"/>
        <v>0</v>
      </c>
      <c r="I718" s="95">
        <f>'Planning Engine'!H718</f>
        <v>267607</v>
      </c>
      <c r="J718" s="96">
        <f ca="1">'Planning Engine'!J718</f>
        <v>999</v>
      </c>
      <c r="K718" s="95">
        <f ca="1">'Planning Engine'!K718</f>
        <v>0</v>
      </c>
      <c r="L718" s="12" t="str">
        <f ca="1">'Planning Engine'!L718</f>
        <v>Overstock</v>
      </c>
      <c r="M718" s="93">
        <f>'Planning Engine'!S718</f>
        <v>51288</v>
      </c>
      <c r="N718" s="95">
        <f>'Planning Engine'!T718</f>
        <v>0</v>
      </c>
      <c r="O718" s="94" t="s">
        <v>1750</v>
      </c>
      <c r="P718" s="12" t="str">
        <f t="shared" ca="1" si="23"/>
        <v>Defer / consume inventory</v>
      </c>
    </row>
    <row r="719" spans="1:16" ht="13" customHeight="1" x14ac:dyDescent="0.35">
      <c r="A719" s="362">
        <v>51471</v>
      </c>
      <c r="B719" s="230" t="s">
        <v>43</v>
      </c>
      <c r="C719" s="283" t="str">
        <f>'Planning Engine'!C719</f>
        <v>Drug Product</v>
      </c>
      <c r="D719" s="283" t="str">
        <f>'Planning Engine'!D719</f>
        <v>units</v>
      </c>
      <c r="E719" s="281">
        <f>'Planning Engine'!E719</f>
        <v>267607</v>
      </c>
      <c r="F719" s="281">
        <f>'Planning Engine'!F719</f>
        <v>0</v>
      </c>
      <c r="G719" s="281">
        <f>'Planning Engine'!G719</f>
        <v>0</v>
      </c>
      <c r="H719" s="340">
        <f t="shared" si="22"/>
        <v>0</v>
      </c>
      <c r="I719" s="281">
        <f>'Planning Engine'!H719</f>
        <v>267607</v>
      </c>
      <c r="J719" s="282">
        <f ca="1">'Planning Engine'!J719</f>
        <v>999</v>
      </c>
      <c r="K719" s="281">
        <f ca="1">'Planning Engine'!K719</f>
        <v>0</v>
      </c>
      <c r="L719" s="283" t="str">
        <f ca="1">'Planning Engine'!L719</f>
        <v>Overstock</v>
      </c>
      <c r="M719" s="363">
        <f>'Planning Engine'!S719</f>
        <v>51318</v>
      </c>
      <c r="N719" s="281">
        <f>'Planning Engine'!T719</f>
        <v>0</v>
      </c>
      <c r="O719" s="364" t="s">
        <v>1751</v>
      </c>
      <c r="P719" s="339" t="str">
        <f t="shared" ca="1" si="23"/>
        <v>Defer / consume inventory</v>
      </c>
    </row>
    <row r="720" spans="1:16" x14ac:dyDescent="0.35">
      <c r="A720" s="358">
        <f>'Planning Engine'!A1974</f>
        <v>46054</v>
      </c>
      <c r="B720" s="274" t="s">
        <v>959</v>
      </c>
      <c r="C720" s="278" t="str">
        <f>'Planning Engine'!C1974</f>
        <v>Label/Pack</v>
      </c>
      <c r="D720" s="278" t="str">
        <f>'Planning Engine'!D1974</f>
        <v>units</v>
      </c>
      <c r="E720" s="276">
        <f>'Planning Engine'!E1974</f>
        <v>0</v>
      </c>
      <c r="F720" s="276">
        <f>'Planning Engine'!F1974</f>
        <v>0</v>
      </c>
      <c r="G720" s="276">
        <f>'Planning Engine'!G1974</f>
        <v>0</v>
      </c>
      <c r="H720" s="276">
        <f>G720-F720</f>
        <v>0</v>
      </c>
      <c r="I720" s="276">
        <f>'Planning Engine'!H1974</f>
        <v>0</v>
      </c>
      <c r="J720" s="277">
        <f ca="1">'Planning Engine'!J1974</f>
        <v>0</v>
      </c>
      <c r="K720" s="276">
        <f ca="1">'Planning Engine'!K1974</f>
        <v>0</v>
      </c>
      <c r="L720" s="278" t="str">
        <f>'Planning Engine'!L1974</f>
        <v>High</v>
      </c>
      <c r="M720" s="358">
        <f>'Planning Engine'!S1974</f>
        <v>45962</v>
      </c>
      <c r="N720" s="276">
        <f>'Planning Engine'!T1974</f>
        <v>0</v>
      </c>
      <c r="O720" s="359" cm="1">
        <f t="array" ref="O720">IFERROR(SUMPRODUCT(('Planning Engine'!$B$4:$B$2500="188mg LP - EU Stock")*('Planning Engine'!$A$4:$A$2500='Planning Engine'!A1974)*'Planning Engine'!$U$4:$U$2500),"--")</f>
        <v>0</v>
      </c>
      <c r="P720" s="278" t="str">
        <f>IFERROR(IF(L720="High","⚠ Expedite production / source alternate",IF(L720="Medium","Plan additional batches",IF(L720="Overstock","Defer / consume inventory","Plan acceptable"))),"--")</f>
        <v>⚠ Expedite production / source alternate</v>
      </c>
    </row>
    <row r="721" spans="1:16" x14ac:dyDescent="0.35">
      <c r="A721" s="360">
        <f>'Planning Engine'!A1975</f>
        <v>46082</v>
      </c>
      <c r="B721" s="269" t="s">
        <v>959</v>
      </c>
      <c r="C721" s="273" t="str">
        <f>'Planning Engine'!C1975</f>
        <v>Label/Pack</v>
      </c>
      <c r="D721" s="273" t="str">
        <f>'Planning Engine'!D1975</f>
        <v>units</v>
      </c>
      <c r="E721" s="271">
        <f>'Planning Engine'!E1975</f>
        <v>0</v>
      </c>
      <c r="F721" s="271">
        <f>'Planning Engine'!F1975</f>
        <v>0</v>
      </c>
      <c r="G721" s="271">
        <f>'Planning Engine'!G1975</f>
        <v>0</v>
      </c>
      <c r="H721" s="271">
        <f t="shared" ref="H721:H784" si="24">G721-F721</f>
        <v>0</v>
      </c>
      <c r="I721" s="271">
        <f>'Planning Engine'!H1975</f>
        <v>0</v>
      </c>
      <c r="J721" s="272">
        <f ca="1">'Planning Engine'!J1975</f>
        <v>0</v>
      </c>
      <c r="K721" s="271">
        <f ca="1">'Planning Engine'!K1975</f>
        <v>0</v>
      </c>
      <c r="L721" s="273" t="str">
        <f>'Planning Engine'!L1975</f>
        <v>High</v>
      </c>
      <c r="M721" s="360">
        <f>'Planning Engine'!S1975</f>
        <v>45992</v>
      </c>
      <c r="N721" s="271">
        <f>'Planning Engine'!T1975</f>
        <v>0</v>
      </c>
      <c r="O721" s="361" cm="1">
        <f t="array" ref="O721">IFERROR(SUMPRODUCT(('Planning Engine'!$B$4:$B$2500="188mg LP - EU Stock")*('Planning Engine'!$A$4:$A$2500='Planning Engine'!A1975)*'Planning Engine'!$U$4:$U$2500),"--")</f>
        <v>0</v>
      </c>
      <c r="P721" s="273" t="str">
        <f t="shared" ref="P721:P784" si="25">IFERROR(IF(L721="High","⚠ Expedite production / source alternate",IF(L721="Medium","Plan additional batches",IF(L721="Overstock","Defer / consume inventory","Plan acceptable"))),"--")</f>
        <v>⚠ Expedite production / source alternate</v>
      </c>
    </row>
    <row r="722" spans="1:16" x14ac:dyDescent="0.35">
      <c r="A722" s="358">
        <f>'Planning Engine'!A1976</f>
        <v>46113</v>
      </c>
      <c r="B722" s="274" t="s">
        <v>959</v>
      </c>
      <c r="C722" s="278" t="str">
        <f>'Planning Engine'!C1976</f>
        <v>Label/Pack</v>
      </c>
      <c r="D722" s="278" t="str">
        <f>'Planning Engine'!D1976</f>
        <v>units</v>
      </c>
      <c r="E722" s="276">
        <f>'Planning Engine'!E1976</f>
        <v>0</v>
      </c>
      <c r="F722" s="276">
        <f>'Planning Engine'!F1976</f>
        <v>0</v>
      </c>
      <c r="G722" s="276">
        <f>'Planning Engine'!G1976</f>
        <v>0</v>
      </c>
      <c r="H722" s="276">
        <f t="shared" si="24"/>
        <v>0</v>
      </c>
      <c r="I722" s="276">
        <f>'Planning Engine'!H1976</f>
        <v>0</v>
      </c>
      <c r="J722" s="277">
        <f ca="1">'Planning Engine'!J1976</f>
        <v>0</v>
      </c>
      <c r="K722" s="276">
        <f ca="1">'Planning Engine'!K1976</f>
        <v>0</v>
      </c>
      <c r="L722" s="278" t="str">
        <f>'Planning Engine'!L1976</f>
        <v>High</v>
      </c>
      <c r="M722" s="358">
        <f>'Planning Engine'!S1976</f>
        <v>46023</v>
      </c>
      <c r="N722" s="276">
        <f>'Planning Engine'!T1976</f>
        <v>0</v>
      </c>
      <c r="O722" s="359" cm="1">
        <f t="array" ref="O722">IFERROR(SUMPRODUCT(('Planning Engine'!$B$4:$B$2500="188mg LP - EU Stock")*('Planning Engine'!$A$4:$A$2500='Planning Engine'!A1976)*'Planning Engine'!$U$4:$U$2500),"--")</f>
        <v>0</v>
      </c>
      <c r="P722" s="278" t="str">
        <f t="shared" si="25"/>
        <v>⚠ Expedite production / source alternate</v>
      </c>
    </row>
    <row r="723" spans="1:16" x14ac:dyDescent="0.35">
      <c r="A723" s="360">
        <f>'Planning Engine'!A1977</f>
        <v>46143</v>
      </c>
      <c r="B723" s="269" t="s">
        <v>959</v>
      </c>
      <c r="C723" s="273" t="str">
        <f>'Planning Engine'!C1977</f>
        <v>Label/Pack</v>
      </c>
      <c r="D723" s="273" t="str">
        <f>'Planning Engine'!D1977</f>
        <v>units</v>
      </c>
      <c r="E723" s="271">
        <f>'Planning Engine'!E1977</f>
        <v>0</v>
      </c>
      <c r="F723" s="271">
        <f>'Planning Engine'!F1977</f>
        <v>0</v>
      </c>
      <c r="G723" s="271">
        <f>'Planning Engine'!G1977</f>
        <v>0</v>
      </c>
      <c r="H723" s="271">
        <f t="shared" si="24"/>
        <v>0</v>
      </c>
      <c r="I723" s="271">
        <f>'Planning Engine'!H1977</f>
        <v>0</v>
      </c>
      <c r="J723" s="272">
        <f ca="1">'Planning Engine'!J1977</f>
        <v>0</v>
      </c>
      <c r="K723" s="271">
        <f ca="1">'Planning Engine'!K1977</f>
        <v>0</v>
      </c>
      <c r="L723" s="273" t="str">
        <f>'Planning Engine'!L1977</f>
        <v>High</v>
      </c>
      <c r="M723" s="360">
        <f>'Planning Engine'!S1977</f>
        <v>46054</v>
      </c>
      <c r="N723" s="271">
        <f>'Planning Engine'!T1977</f>
        <v>0</v>
      </c>
      <c r="O723" s="361" cm="1">
        <f t="array" ref="O723">IFERROR(SUMPRODUCT(('Planning Engine'!$B$4:$B$2500="188mg LP - EU Stock")*('Planning Engine'!$A$4:$A$2500='Planning Engine'!A1977)*'Planning Engine'!$U$4:$U$2500),"--")</f>
        <v>0</v>
      </c>
      <c r="P723" s="273" t="str">
        <f t="shared" si="25"/>
        <v>⚠ Expedite production / source alternate</v>
      </c>
    </row>
    <row r="724" spans="1:16" x14ac:dyDescent="0.35">
      <c r="A724" s="358">
        <f>'Planning Engine'!A1978</f>
        <v>46174</v>
      </c>
      <c r="B724" s="274" t="s">
        <v>959</v>
      </c>
      <c r="C724" s="278" t="str">
        <f>'Planning Engine'!C1978</f>
        <v>Label/Pack</v>
      </c>
      <c r="D724" s="278" t="str">
        <f>'Planning Engine'!D1978</f>
        <v>units</v>
      </c>
      <c r="E724" s="276">
        <f>'Planning Engine'!E1978</f>
        <v>0</v>
      </c>
      <c r="F724" s="276">
        <f>'Planning Engine'!F1978</f>
        <v>0</v>
      </c>
      <c r="G724" s="276">
        <f>'Planning Engine'!G1978</f>
        <v>0</v>
      </c>
      <c r="H724" s="276">
        <f t="shared" si="24"/>
        <v>0</v>
      </c>
      <c r="I724" s="276">
        <f>'Planning Engine'!H1978</f>
        <v>0</v>
      </c>
      <c r="J724" s="277">
        <f ca="1">'Planning Engine'!J1978</f>
        <v>0</v>
      </c>
      <c r="K724" s="276">
        <f ca="1">'Planning Engine'!K1978</f>
        <v>0</v>
      </c>
      <c r="L724" s="278" t="str">
        <f>'Planning Engine'!L1978</f>
        <v>High</v>
      </c>
      <c r="M724" s="358">
        <f>'Planning Engine'!S1978</f>
        <v>46082</v>
      </c>
      <c r="N724" s="276">
        <f>'Planning Engine'!T1978</f>
        <v>0</v>
      </c>
      <c r="O724" s="359" cm="1">
        <f t="array" ref="O724">IFERROR(SUMPRODUCT(('Planning Engine'!$B$4:$B$2500="188mg LP - EU Stock")*('Planning Engine'!$A$4:$A$2500='Planning Engine'!A1978)*'Planning Engine'!$U$4:$U$2500),"--")</f>
        <v>0</v>
      </c>
      <c r="P724" s="278" t="str">
        <f t="shared" si="25"/>
        <v>⚠ Expedite production / source alternate</v>
      </c>
    </row>
    <row r="725" spans="1:16" x14ac:dyDescent="0.35">
      <c r="A725" s="360">
        <f>'Planning Engine'!A1979</f>
        <v>46204</v>
      </c>
      <c r="B725" s="269" t="s">
        <v>959</v>
      </c>
      <c r="C725" s="273" t="str">
        <f>'Planning Engine'!C1979</f>
        <v>Label/Pack</v>
      </c>
      <c r="D725" s="273" t="str">
        <f>'Planning Engine'!D1979</f>
        <v>units</v>
      </c>
      <c r="E725" s="271">
        <f>'Planning Engine'!E1979</f>
        <v>0</v>
      </c>
      <c r="F725" s="271">
        <f>'Planning Engine'!F1979</f>
        <v>0</v>
      </c>
      <c r="G725" s="271">
        <f>'Planning Engine'!G1979</f>
        <v>0</v>
      </c>
      <c r="H725" s="271">
        <f t="shared" si="24"/>
        <v>0</v>
      </c>
      <c r="I725" s="271">
        <f>'Planning Engine'!H1979</f>
        <v>0</v>
      </c>
      <c r="J725" s="272">
        <f ca="1">'Planning Engine'!J1979</f>
        <v>0</v>
      </c>
      <c r="K725" s="271">
        <f ca="1">'Planning Engine'!K1979</f>
        <v>0</v>
      </c>
      <c r="L725" s="273" t="str">
        <f>'Planning Engine'!L1979</f>
        <v>High</v>
      </c>
      <c r="M725" s="360">
        <f>'Planning Engine'!S1979</f>
        <v>46113</v>
      </c>
      <c r="N725" s="271">
        <f>'Planning Engine'!T1979</f>
        <v>0</v>
      </c>
      <c r="O725" s="361" cm="1">
        <f t="array" ref="O725">IFERROR(SUMPRODUCT(('Planning Engine'!$B$4:$B$2500="188mg LP - EU Stock")*('Planning Engine'!$A$4:$A$2500='Planning Engine'!A1979)*'Planning Engine'!$U$4:$U$2500),"--")</f>
        <v>0</v>
      </c>
      <c r="P725" s="273" t="str">
        <f t="shared" si="25"/>
        <v>⚠ Expedite production / source alternate</v>
      </c>
    </row>
    <row r="726" spans="1:16" x14ac:dyDescent="0.35">
      <c r="A726" s="358">
        <f>'Planning Engine'!A1980</f>
        <v>46235</v>
      </c>
      <c r="B726" s="274" t="s">
        <v>959</v>
      </c>
      <c r="C726" s="278" t="str">
        <f>'Planning Engine'!C1980</f>
        <v>Label/Pack</v>
      </c>
      <c r="D726" s="278" t="str">
        <f>'Planning Engine'!D1980</f>
        <v>units</v>
      </c>
      <c r="E726" s="276">
        <f>'Planning Engine'!E1980</f>
        <v>0</v>
      </c>
      <c r="F726" s="276">
        <f>'Planning Engine'!F1980</f>
        <v>0</v>
      </c>
      <c r="G726" s="276">
        <f>'Planning Engine'!G1980</f>
        <v>0</v>
      </c>
      <c r="H726" s="276">
        <f t="shared" si="24"/>
        <v>0</v>
      </c>
      <c r="I726" s="276">
        <f>'Planning Engine'!H1980</f>
        <v>0</v>
      </c>
      <c r="J726" s="277">
        <f ca="1">'Planning Engine'!J1980</f>
        <v>0</v>
      </c>
      <c r="K726" s="276">
        <f ca="1">'Planning Engine'!K1980</f>
        <v>0</v>
      </c>
      <c r="L726" s="278" t="str">
        <f>'Planning Engine'!L1980</f>
        <v>High</v>
      </c>
      <c r="M726" s="358">
        <f>'Planning Engine'!S1980</f>
        <v>46143</v>
      </c>
      <c r="N726" s="276">
        <f>'Planning Engine'!T1980</f>
        <v>0</v>
      </c>
      <c r="O726" s="359" cm="1">
        <f t="array" ref="O726">IFERROR(SUMPRODUCT(('Planning Engine'!$B$4:$B$2500="188mg LP - EU Stock")*('Planning Engine'!$A$4:$A$2500='Planning Engine'!A1980)*'Planning Engine'!$U$4:$U$2500),"--")</f>
        <v>0</v>
      </c>
      <c r="P726" s="278" t="str">
        <f t="shared" si="25"/>
        <v>⚠ Expedite production / source alternate</v>
      </c>
    </row>
    <row r="727" spans="1:16" x14ac:dyDescent="0.35">
      <c r="A727" s="360">
        <f>'Planning Engine'!A1981</f>
        <v>46266</v>
      </c>
      <c r="B727" s="269" t="s">
        <v>959</v>
      </c>
      <c r="C727" s="273" t="str">
        <f>'Planning Engine'!C1981</f>
        <v>Label/Pack</v>
      </c>
      <c r="D727" s="273" t="str">
        <f>'Planning Engine'!D1981</f>
        <v>units</v>
      </c>
      <c r="E727" s="271">
        <f>'Planning Engine'!E1981</f>
        <v>0</v>
      </c>
      <c r="F727" s="271">
        <f>'Planning Engine'!F1981</f>
        <v>0</v>
      </c>
      <c r="G727" s="271">
        <f>'Planning Engine'!G1981</f>
        <v>0</v>
      </c>
      <c r="H727" s="271">
        <f t="shared" si="24"/>
        <v>0</v>
      </c>
      <c r="I727" s="271">
        <f>'Planning Engine'!H1981</f>
        <v>0</v>
      </c>
      <c r="J727" s="272">
        <f ca="1">'Planning Engine'!J1981</f>
        <v>0</v>
      </c>
      <c r="K727" s="271">
        <f ca="1">'Planning Engine'!K1981</f>
        <v>0</v>
      </c>
      <c r="L727" s="273" t="str">
        <f>'Planning Engine'!L1981</f>
        <v>High</v>
      </c>
      <c r="M727" s="360">
        <f>'Planning Engine'!S1981</f>
        <v>46174</v>
      </c>
      <c r="N727" s="271">
        <f>'Planning Engine'!T1981</f>
        <v>0</v>
      </c>
      <c r="O727" s="361" cm="1">
        <f t="array" ref="O727">IFERROR(SUMPRODUCT(('Planning Engine'!$B$4:$B$2500="188mg LP - EU Stock")*('Planning Engine'!$A$4:$A$2500='Planning Engine'!A1981)*'Planning Engine'!$U$4:$U$2500),"--")</f>
        <v>0</v>
      </c>
      <c r="P727" s="273" t="str">
        <f t="shared" si="25"/>
        <v>⚠ Expedite production / source alternate</v>
      </c>
    </row>
    <row r="728" spans="1:16" x14ac:dyDescent="0.35">
      <c r="A728" s="358">
        <f>'Planning Engine'!A1982</f>
        <v>46296</v>
      </c>
      <c r="B728" s="274" t="s">
        <v>959</v>
      </c>
      <c r="C728" s="278" t="str">
        <f>'Planning Engine'!C1982</f>
        <v>Label/Pack</v>
      </c>
      <c r="D728" s="278" t="str">
        <f>'Planning Engine'!D1982</f>
        <v>units</v>
      </c>
      <c r="E728" s="276">
        <f>'Planning Engine'!E1982</f>
        <v>0</v>
      </c>
      <c r="F728" s="276">
        <f>'Planning Engine'!F1982</f>
        <v>0</v>
      </c>
      <c r="G728" s="276">
        <f>'Planning Engine'!G1982</f>
        <v>0</v>
      </c>
      <c r="H728" s="276">
        <f t="shared" si="24"/>
        <v>0</v>
      </c>
      <c r="I728" s="276">
        <f>'Planning Engine'!H1982</f>
        <v>0</v>
      </c>
      <c r="J728" s="277">
        <f ca="1">'Planning Engine'!J1982</f>
        <v>0</v>
      </c>
      <c r="K728" s="276">
        <f ca="1">'Planning Engine'!K1982</f>
        <v>0</v>
      </c>
      <c r="L728" s="278" t="str">
        <f>'Planning Engine'!L1982</f>
        <v>High</v>
      </c>
      <c r="M728" s="358">
        <f>'Planning Engine'!S1982</f>
        <v>46204</v>
      </c>
      <c r="N728" s="276">
        <f>'Planning Engine'!T1982</f>
        <v>0</v>
      </c>
      <c r="O728" s="359" cm="1">
        <f t="array" ref="O728">IFERROR(SUMPRODUCT(('Planning Engine'!$B$4:$B$2500="188mg LP - EU Stock")*('Planning Engine'!$A$4:$A$2500='Planning Engine'!A1982)*'Planning Engine'!$U$4:$U$2500),"--")</f>
        <v>0</v>
      </c>
      <c r="P728" s="278" t="str">
        <f t="shared" si="25"/>
        <v>⚠ Expedite production / source alternate</v>
      </c>
    </row>
    <row r="729" spans="1:16" x14ac:dyDescent="0.35">
      <c r="A729" s="360">
        <f>'Planning Engine'!A1983</f>
        <v>46327</v>
      </c>
      <c r="B729" s="269" t="s">
        <v>959</v>
      </c>
      <c r="C729" s="273" t="str">
        <f>'Planning Engine'!C1983</f>
        <v>Label/Pack</v>
      </c>
      <c r="D729" s="273" t="str">
        <f>'Planning Engine'!D1983</f>
        <v>units</v>
      </c>
      <c r="E729" s="271">
        <f>'Planning Engine'!E1983</f>
        <v>0</v>
      </c>
      <c r="F729" s="271">
        <f>'Planning Engine'!F1983</f>
        <v>0</v>
      </c>
      <c r="G729" s="271">
        <f>'Planning Engine'!G1983</f>
        <v>0</v>
      </c>
      <c r="H729" s="271">
        <f t="shared" si="24"/>
        <v>0</v>
      </c>
      <c r="I729" s="271">
        <f>'Planning Engine'!H1983</f>
        <v>0</v>
      </c>
      <c r="J729" s="272">
        <f ca="1">'Planning Engine'!J1983</f>
        <v>0</v>
      </c>
      <c r="K729" s="271">
        <f ca="1">'Planning Engine'!K1983</f>
        <v>0</v>
      </c>
      <c r="L729" s="273" t="str">
        <f>'Planning Engine'!L1983</f>
        <v>High</v>
      </c>
      <c r="M729" s="360">
        <f>'Planning Engine'!S1983</f>
        <v>46235</v>
      </c>
      <c r="N729" s="271">
        <f>'Planning Engine'!T1983</f>
        <v>0</v>
      </c>
      <c r="O729" s="361" cm="1">
        <f t="array" ref="O729">IFERROR(SUMPRODUCT(('Planning Engine'!$B$4:$B$2500="188mg LP - EU Stock")*('Planning Engine'!$A$4:$A$2500='Planning Engine'!A1983)*'Planning Engine'!$U$4:$U$2500),"--")</f>
        <v>0</v>
      </c>
      <c r="P729" s="273" t="str">
        <f t="shared" si="25"/>
        <v>⚠ Expedite production / source alternate</v>
      </c>
    </row>
    <row r="730" spans="1:16" x14ac:dyDescent="0.35">
      <c r="A730" s="358">
        <f>'Planning Engine'!A1984</f>
        <v>46357</v>
      </c>
      <c r="B730" s="274" t="s">
        <v>959</v>
      </c>
      <c r="C730" s="278" t="str">
        <f>'Planning Engine'!C1984</f>
        <v>Label/Pack</v>
      </c>
      <c r="D730" s="278" t="str">
        <f>'Planning Engine'!D1984</f>
        <v>units</v>
      </c>
      <c r="E730" s="276">
        <f>'Planning Engine'!E1984</f>
        <v>0</v>
      </c>
      <c r="F730" s="276">
        <f>'Planning Engine'!F1984</f>
        <v>0</v>
      </c>
      <c r="G730" s="276">
        <f>'Planning Engine'!G1984</f>
        <v>0</v>
      </c>
      <c r="H730" s="276">
        <f t="shared" si="24"/>
        <v>0</v>
      </c>
      <c r="I730" s="276">
        <f>'Planning Engine'!H1984</f>
        <v>0</v>
      </c>
      <c r="J730" s="277">
        <f ca="1">'Planning Engine'!J1984</f>
        <v>0</v>
      </c>
      <c r="K730" s="276">
        <f ca="1">'Planning Engine'!K1984</f>
        <v>0</v>
      </c>
      <c r="L730" s="278" t="str">
        <f>'Planning Engine'!L1984</f>
        <v>High</v>
      </c>
      <c r="M730" s="358">
        <f>'Planning Engine'!S1984</f>
        <v>46266</v>
      </c>
      <c r="N730" s="276">
        <f>'Planning Engine'!T1984</f>
        <v>0</v>
      </c>
      <c r="O730" s="359" cm="1">
        <f t="array" ref="O730">IFERROR(SUMPRODUCT(('Planning Engine'!$B$4:$B$2500="188mg LP - EU Stock")*('Planning Engine'!$A$4:$A$2500='Planning Engine'!A1984)*'Planning Engine'!$U$4:$U$2500),"--")</f>
        <v>0</v>
      </c>
      <c r="P730" s="278" t="str">
        <f t="shared" si="25"/>
        <v>⚠ Expedite production / source alternate</v>
      </c>
    </row>
    <row r="731" spans="1:16" x14ac:dyDescent="0.35">
      <c r="A731" s="360">
        <f>'Planning Engine'!A1985</f>
        <v>46388</v>
      </c>
      <c r="B731" s="269" t="s">
        <v>959</v>
      </c>
      <c r="C731" s="273" t="str">
        <f>'Planning Engine'!C1985</f>
        <v>Label/Pack</v>
      </c>
      <c r="D731" s="273" t="str">
        <f>'Planning Engine'!D1985</f>
        <v>units</v>
      </c>
      <c r="E731" s="271">
        <f>'Planning Engine'!E1985</f>
        <v>0</v>
      </c>
      <c r="F731" s="271">
        <f>'Planning Engine'!F1985</f>
        <v>0</v>
      </c>
      <c r="G731" s="271">
        <f>'Planning Engine'!G1985</f>
        <v>0</v>
      </c>
      <c r="H731" s="271">
        <f t="shared" si="24"/>
        <v>0</v>
      </c>
      <c r="I731" s="271">
        <f>'Planning Engine'!H1985</f>
        <v>0</v>
      </c>
      <c r="J731" s="272">
        <f ca="1">'Planning Engine'!J1985</f>
        <v>0</v>
      </c>
      <c r="K731" s="271">
        <f ca="1">'Planning Engine'!K1985</f>
        <v>0</v>
      </c>
      <c r="L731" s="273" t="str">
        <f>'Planning Engine'!L1985</f>
        <v>High</v>
      </c>
      <c r="M731" s="360">
        <f>'Planning Engine'!S1985</f>
        <v>46296</v>
      </c>
      <c r="N731" s="271">
        <f>'Planning Engine'!T1985</f>
        <v>0</v>
      </c>
      <c r="O731" s="361" cm="1">
        <f t="array" ref="O731">IFERROR(SUMPRODUCT(('Planning Engine'!$B$4:$B$2500="188mg LP - EU Stock")*('Planning Engine'!$A$4:$A$2500='Planning Engine'!A1985)*'Planning Engine'!$U$4:$U$2500),"--")</f>
        <v>0</v>
      </c>
      <c r="P731" s="273" t="str">
        <f t="shared" si="25"/>
        <v>⚠ Expedite production / source alternate</v>
      </c>
    </row>
    <row r="732" spans="1:16" x14ac:dyDescent="0.35">
      <c r="A732" s="358">
        <f>'Planning Engine'!A1986</f>
        <v>46419</v>
      </c>
      <c r="B732" s="274" t="s">
        <v>959</v>
      </c>
      <c r="C732" s="278" t="str">
        <f>'Planning Engine'!C1986</f>
        <v>Label/Pack</v>
      </c>
      <c r="D732" s="278" t="str">
        <f>'Planning Engine'!D1986</f>
        <v>units</v>
      </c>
      <c r="E732" s="276">
        <f>'Planning Engine'!E1986</f>
        <v>0</v>
      </c>
      <c r="F732" s="276">
        <f>'Planning Engine'!F1986</f>
        <v>0</v>
      </c>
      <c r="G732" s="276">
        <f>'Planning Engine'!G1986</f>
        <v>0</v>
      </c>
      <c r="H732" s="276">
        <f t="shared" si="24"/>
        <v>0</v>
      </c>
      <c r="I732" s="276">
        <f>'Planning Engine'!H1986</f>
        <v>0</v>
      </c>
      <c r="J732" s="277">
        <f ca="1">'Planning Engine'!J1986</f>
        <v>0</v>
      </c>
      <c r="K732" s="276">
        <f ca="1">'Planning Engine'!K1986</f>
        <v>0</v>
      </c>
      <c r="L732" s="278" t="str">
        <f>'Planning Engine'!L1986</f>
        <v>High</v>
      </c>
      <c r="M732" s="358">
        <f>'Planning Engine'!S1986</f>
        <v>46327</v>
      </c>
      <c r="N732" s="276">
        <f>'Planning Engine'!T1986</f>
        <v>0</v>
      </c>
      <c r="O732" s="359" cm="1">
        <f t="array" ref="O732">IFERROR(SUMPRODUCT(('Planning Engine'!$B$4:$B$2500="188mg LP - EU Stock")*('Planning Engine'!$A$4:$A$2500='Planning Engine'!A1986)*'Planning Engine'!$U$4:$U$2500),"--")</f>
        <v>0</v>
      </c>
      <c r="P732" s="278" t="str">
        <f t="shared" si="25"/>
        <v>⚠ Expedite production / source alternate</v>
      </c>
    </row>
    <row r="733" spans="1:16" x14ac:dyDescent="0.35">
      <c r="A733" s="360">
        <f>'Planning Engine'!A1987</f>
        <v>46447</v>
      </c>
      <c r="B733" s="269" t="s">
        <v>959</v>
      </c>
      <c r="C733" s="273" t="str">
        <f>'Planning Engine'!C1987</f>
        <v>Label/Pack</v>
      </c>
      <c r="D733" s="273" t="str">
        <f>'Planning Engine'!D1987</f>
        <v>units</v>
      </c>
      <c r="E733" s="271">
        <f>'Planning Engine'!E1987</f>
        <v>0</v>
      </c>
      <c r="F733" s="271">
        <f>'Planning Engine'!F1987</f>
        <v>0</v>
      </c>
      <c r="G733" s="271">
        <f>'Planning Engine'!G1987</f>
        <v>0</v>
      </c>
      <c r="H733" s="271">
        <f t="shared" si="24"/>
        <v>0</v>
      </c>
      <c r="I733" s="271">
        <f>'Planning Engine'!H1987</f>
        <v>0</v>
      </c>
      <c r="J733" s="272">
        <f ca="1">'Planning Engine'!J1987</f>
        <v>0</v>
      </c>
      <c r="K733" s="271">
        <f ca="1">'Planning Engine'!K1987</f>
        <v>0</v>
      </c>
      <c r="L733" s="273" t="str">
        <f>'Planning Engine'!L1987</f>
        <v>High</v>
      </c>
      <c r="M733" s="360">
        <f>'Planning Engine'!S1987</f>
        <v>46357</v>
      </c>
      <c r="N733" s="271">
        <f>'Planning Engine'!T1987</f>
        <v>0</v>
      </c>
      <c r="O733" s="361" cm="1">
        <f t="array" ref="O733">IFERROR(SUMPRODUCT(('Planning Engine'!$B$4:$B$2500="188mg LP - EU Stock")*('Planning Engine'!$A$4:$A$2500='Planning Engine'!A1987)*'Planning Engine'!$U$4:$U$2500),"--")</f>
        <v>0</v>
      </c>
      <c r="P733" s="273" t="str">
        <f t="shared" si="25"/>
        <v>⚠ Expedite production / source alternate</v>
      </c>
    </row>
    <row r="734" spans="1:16" x14ac:dyDescent="0.35">
      <c r="A734" s="358">
        <f>'Planning Engine'!A1988</f>
        <v>46478</v>
      </c>
      <c r="B734" s="274" t="s">
        <v>959</v>
      </c>
      <c r="C734" s="278" t="str">
        <f>'Planning Engine'!C1988</f>
        <v>Label/Pack</v>
      </c>
      <c r="D734" s="278" t="str">
        <f>'Planning Engine'!D1988</f>
        <v>units</v>
      </c>
      <c r="E734" s="276">
        <f>'Planning Engine'!E1988</f>
        <v>0</v>
      </c>
      <c r="F734" s="276">
        <f>'Planning Engine'!F1988</f>
        <v>0</v>
      </c>
      <c r="G734" s="276">
        <f>'Planning Engine'!G1988</f>
        <v>0</v>
      </c>
      <c r="H734" s="276">
        <f t="shared" si="24"/>
        <v>0</v>
      </c>
      <c r="I734" s="276">
        <f>'Planning Engine'!H1988</f>
        <v>0</v>
      </c>
      <c r="J734" s="277">
        <f ca="1">'Planning Engine'!J1988</f>
        <v>0</v>
      </c>
      <c r="K734" s="276">
        <f ca="1">'Planning Engine'!K1988</f>
        <v>0</v>
      </c>
      <c r="L734" s="278" t="str">
        <f>'Planning Engine'!L1988</f>
        <v>High</v>
      </c>
      <c r="M734" s="358">
        <f>'Planning Engine'!S1988</f>
        <v>46388</v>
      </c>
      <c r="N734" s="276">
        <f>'Planning Engine'!T1988</f>
        <v>0</v>
      </c>
      <c r="O734" s="359" cm="1">
        <f t="array" ref="O734">IFERROR(SUMPRODUCT(('Planning Engine'!$B$4:$B$2500="188mg LP - EU Stock")*('Planning Engine'!$A$4:$A$2500='Planning Engine'!A1988)*'Planning Engine'!$U$4:$U$2500),"--")</f>
        <v>0</v>
      </c>
      <c r="P734" s="278" t="str">
        <f t="shared" si="25"/>
        <v>⚠ Expedite production / source alternate</v>
      </c>
    </row>
    <row r="735" spans="1:16" x14ac:dyDescent="0.35">
      <c r="A735" s="360">
        <f>'Planning Engine'!A1989</f>
        <v>46508</v>
      </c>
      <c r="B735" s="269" t="s">
        <v>959</v>
      </c>
      <c r="C735" s="273" t="str">
        <f>'Planning Engine'!C1989</f>
        <v>Label/Pack</v>
      </c>
      <c r="D735" s="273" t="str">
        <f>'Planning Engine'!D1989</f>
        <v>units</v>
      </c>
      <c r="E735" s="271">
        <f>'Planning Engine'!E1989</f>
        <v>0</v>
      </c>
      <c r="F735" s="271">
        <f>'Planning Engine'!F1989</f>
        <v>0</v>
      </c>
      <c r="G735" s="271">
        <f>'Planning Engine'!G1989</f>
        <v>0</v>
      </c>
      <c r="H735" s="271">
        <f t="shared" si="24"/>
        <v>0</v>
      </c>
      <c r="I735" s="271">
        <f>'Planning Engine'!H1989</f>
        <v>0</v>
      </c>
      <c r="J735" s="272">
        <f ca="1">'Planning Engine'!J1989</f>
        <v>0</v>
      </c>
      <c r="K735" s="271">
        <f ca="1">'Planning Engine'!K1989</f>
        <v>0</v>
      </c>
      <c r="L735" s="273" t="str">
        <f>'Planning Engine'!L1989</f>
        <v>High</v>
      </c>
      <c r="M735" s="360">
        <f>'Planning Engine'!S1989</f>
        <v>46419</v>
      </c>
      <c r="N735" s="271">
        <f>'Planning Engine'!T1989</f>
        <v>0</v>
      </c>
      <c r="O735" s="361" cm="1">
        <f t="array" ref="O735">IFERROR(SUMPRODUCT(('Planning Engine'!$B$4:$B$2500="188mg LP - EU Stock")*('Planning Engine'!$A$4:$A$2500='Planning Engine'!A1989)*'Planning Engine'!$U$4:$U$2500),"--")</f>
        <v>0</v>
      </c>
      <c r="P735" s="273" t="str">
        <f t="shared" si="25"/>
        <v>⚠ Expedite production / source alternate</v>
      </c>
    </row>
    <row r="736" spans="1:16" x14ac:dyDescent="0.35">
      <c r="A736" s="358">
        <f>'Planning Engine'!A1990</f>
        <v>46539</v>
      </c>
      <c r="B736" s="274" t="s">
        <v>959</v>
      </c>
      <c r="C736" s="278" t="str">
        <f>'Planning Engine'!C1990</f>
        <v>Label/Pack</v>
      </c>
      <c r="D736" s="278" t="str">
        <f>'Planning Engine'!D1990</f>
        <v>units</v>
      </c>
      <c r="E736" s="276">
        <f>'Planning Engine'!E1990</f>
        <v>0</v>
      </c>
      <c r="F736" s="276">
        <f>'Planning Engine'!F1990</f>
        <v>0</v>
      </c>
      <c r="G736" s="276">
        <f>'Planning Engine'!G1990</f>
        <v>0</v>
      </c>
      <c r="H736" s="276">
        <f t="shared" si="24"/>
        <v>0</v>
      </c>
      <c r="I736" s="276">
        <f>'Planning Engine'!H1990</f>
        <v>0</v>
      </c>
      <c r="J736" s="277">
        <f ca="1">'Planning Engine'!J1990</f>
        <v>0</v>
      </c>
      <c r="K736" s="276">
        <f ca="1">'Planning Engine'!K1990</f>
        <v>0</v>
      </c>
      <c r="L736" s="278" t="str">
        <f>'Planning Engine'!L1990</f>
        <v>High</v>
      </c>
      <c r="M736" s="358">
        <f>'Planning Engine'!S1990</f>
        <v>46447</v>
      </c>
      <c r="N736" s="276">
        <f>'Planning Engine'!T1990</f>
        <v>0</v>
      </c>
      <c r="O736" s="359" cm="1">
        <f t="array" ref="O736">IFERROR(SUMPRODUCT(('Planning Engine'!$B$4:$B$2500="188mg LP - EU Stock")*('Planning Engine'!$A$4:$A$2500='Planning Engine'!A1990)*'Planning Engine'!$U$4:$U$2500),"--")</f>
        <v>0</v>
      </c>
      <c r="P736" s="278" t="str">
        <f t="shared" si="25"/>
        <v>⚠ Expedite production / source alternate</v>
      </c>
    </row>
    <row r="737" spans="1:16" x14ac:dyDescent="0.35">
      <c r="A737" s="360">
        <f>'Planning Engine'!A1991</f>
        <v>46569</v>
      </c>
      <c r="B737" s="269" t="s">
        <v>959</v>
      </c>
      <c r="C737" s="273" t="str">
        <f>'Planning Engine'!C1991</f>
        <v>Label/Pack</v>
      </c>
      <c r="D737" s="273" t="str">
        <f>'Planning Engine'!D1991</f>
        <v>units</v>
      </c>
      <c r="E737" s="271">
        <f>'Planning Engine'!E1991</f>
        <v>0</v>
      </c>
      <c r="F737" s="271">
        <f>'Planning Engine'!F1991</f>
        <v>0</v>
      </c>
      <c r="G737" s="271">
        <f>'Planning Engine'!G1991</f>
        <v>0</v>
      </c>
      <c r="H737" s="271">
        <f t="shared" si="24"/>
        <v>0</v>
      </c>
      <c r="I737" s="271">
        <f>'Planning Engine'!H1991</f>
        <v>0</v>
      </c>
      <c r="J737" s="272">
        <f ca="1">'Planning Engine'!J1991</f>
        <v>0</v>
      </c>
      <c r="K737" s="271">
        <f ca="1">'Planning Engine'!K1991</f>
        <v>0</v>
      </c>
      <c r="L737" s="273" t="str">
        <f>'Planning Engine'!L1991</f>
        <v>High</v>
      </c>
      <c r="M737" s="360">
        <f>'Planning Engine'!S1991</f>
        <v>46478</v>
      </c>
      <c r="N737" s="271">
        <f>'Planning Engine'!T1991</f>
        <v>0</v>
      </c>
      <c r="O737" s="361" cm="1">
        <f t="array" ref="O737">IFERROR(SUMPRODUCT(('Planning Engine'!$B$4:$B$2500="188mg LP - EU Stock")*('Planning Engine'!$A$4:$A$2500='Planning Engine'!A1991)*'Planning Engine'!$U$4:$U$2500),"--")</f>
        <v>0</v>
      </c>
      <c r="P737" s="273" t="str">
        <f t="shared" si="25"/>
        <v>⚠ Expedite production / source alternate</v>
      </c>
    </row>
    <row r="738" spans="1:16" x14ac:dyDescent="0.35">
      <c r="A738" s="358">
        <f>'Planning Engine'!A1992</f>
        <v>46600</v>
      </c>
      <c r="B738" s="274" t="s">
        <v>959</v>
      </c>
      <c r="C738" s="278" t="str">
        <f>'Planning Engine'!C1992</f>
        <v>Label/Pack</v>
      </c>
      <c r="D738" s="278" t="str">
        <f>'Planning Engine'!D1992</f>
        <v>units</v>
      </c>
      <c r="E738" s="276">
        <f>'Planning Engine'!E1992</f>
        <v>0</v>
      </c>
      <c r="F738" s="276">
        <f>'Planning Engine'!F1992</f>
        <v>0</v>
      </c>
      <c r="G738" s="276">
        <f>'Planning Engine'!G1992</f>
        <v>0</v>
      </c>
      <c r="H738" s="276">
        <f t="shared" si="24"/>
        <v>0</v>
      </c>
      <c r="I738" s="276">
        <f>'Planning Engine'!H1992</f>
        <v>0</v>
      </c>
      <c r="J738" s="277">
        <f ca="1">'Planning Engine'!J1992</f>
        <v>0</v>
      </c>
      <c r="K738" s="276">
        <f ca="1">'Planning Engine'!K1992</f>
        <v>0</v>
      </c>
      <c r="L738" s="278" t="str">
        <f>'Planning Engine'!L1992</f>
        <v>High</v>
      </c>
      <c r="M738" s="358">
        <f>'Planning Engine'!S1992</f>
        <v>46508</v>
      </c>
      <c r="N738" s="276">
        <f>'Planning Engine'!T1992</f>
        <v>0</v>
      </c>
      <c r="O738" s="359" cm="1">
        <f t="array" ref="O738">IFERROR(SUMPRODUCT(('Planning Engine'!$B$4:$B$2500="188mg LP - EU Stock")*('Planning Engine'!$A$4:$A$2500='Planning Engine'!A1992)*'Planning Engine'!$U$4:$U$2500),"--")</f>
        <v>0</v>
      </c>
      <c r="P738" s="278" t="str">
        <f t="shared" si="25"/>
        <v>⚠ Expedite production / source alternate</v>
      </c>
    </row>
    <row r="739" spans="1:16" x14ac:dyDescent="0.35">
      <c r="A739" s="360">
        <f>'Planning Engine'!A1993</f>
        <v>46631</v>
      </c>
      <c r="B739" s="269" t="s">
        <v>959</v>
      </c>
      <c r="C739" s="273" t="str">
        <f>'Planning Engine'!C1993</f>
        <v>Label/Pack</v>
      </c>
      <c r="D739" s="273" t="str">
        <f>'Planning Engine'!D1993</f>
        <v>units</v>
      </c>
      <c r="E739" s="271">
        <f>'Planning Engine'!E1993</f>
        <v>0</v>
      </c>
      <c r="F739" s="271">
        <f>'Planning Engine'!F1993</f>
        <v>0</v>
      </c>
      <c r="G739" s="271">
        <f>'Planning Engine'!G1993</f>
        <v>0</v>
      </c>
      <c r="H739" s="271">
        <f t="shared" si="24"/>
        <v>0</v>
      </c>
      <c r="I739" s="271">
        <f>'Planning Engine'!H1993</f>
        <v>0</v>
      </c>
      <c r="J739" s="272">
        <f ca="1">'Planning Engine'!J1993</f>
        <v>0</v>
      </c>
      <c r="K739" s="271">
        <f ca="1">'Planning Engine'!K1993</f>
        <v>0</v>
      </c>
      <c r="L739" s="273" t="str">
        <f>'Planning Engine'!L1993</f>
        <v>High</v>
      </c>
      <c r="M739" s="360">
        <f>'Planning Engine'!S1993</f>
        <v>46539</v>
      </c>
      <c r="N739" s="271">
        <f>'Planning Engine'!T1993</f>
        <v>0</v>
      </c>
      <c r="O739" s="361" cm="1">
        <f t="array" ref="O739">IFERROR(SUMPRODUCT(('Planning Engine'!$B$4:$B$2500="188mg LP - EU Stock")*('Planning Engine'!$A$4:$A$2500='Planning Engine'!A1993)*'Planning Engine'!$U$4:$U$2500),"--")</f>
        <v>0</v>
      </c>
      <c r="P739" s="273" t="str">
        <f t="shared" si="25"/>
        <v>⚠ Expedite production / source alternate</v>
      </c>
    </row>
    <row r="740" spans="1:16" x14ac:dyDescent="0.35">
      <c r="A740" s="358">
        <f>'Planning Engine'!A1994</f>
        <v>46661</v>
      </c>
      <c r="B740" s="274" t="s">
        <v>959</v>
      </c>
      <c r="C740" s="278" t="str">
        <f>'Planning Engine'!C1994</f>
        <v>Label/Pack</v>
      </c>
      <c r="D740" s="278" t="str">
        <f>'Planning Engine'!D1994</f>
        <v>units</v>
      </c>
      <c r="E740" s="276">
        <f>'Planning Engine'!E1994</f>
        <v>0</v>
      </c>
      <c r="F740" s="276">
        <f>'Planning Engine'!F1994</f>
        <v>0</v>
      </c>
      <c r="G740" s="276">
        <f>'Planning Engine'!G1994</f>
        <v>0</v>
      </c>
      <c r="H740" s="276">
        <f t="shared" si="24"/>
        <v>0</v>
      </c>
      <c r="I740" s="276">
        <f>'Planning Engine'!H1994</f>
        <v>0</v>
      </c>
      <c r="J740" s="277">
        <f ca="1">'Planning Engine'!J1994</f>
        <v>0</v>
      </c>
      <c r="K740" s="276">
        <f ca="1">'Planning Engine'!K1994</f>
        <v>0</v>
      </c>
      <c r="L740" s="278" t="str">
        <f>'Planning Engine'!L1994</f>
        <v>High</v>
      </c>
      <c r="M740" s="358">
        <f>'Planning Engine'!S1994</f>
        <v>46569</v>
      </c>
      <c r="N740" s="276">
        <f>'Planning Engine'!T1994</f>
        <v>0</v>
      </c>
      <c r="O740" s="359" cm="1">
        <f t="array" ref="O740">IFERROR(SUMPRODUCT(('Planning Engine'!$B$4:$B$2500="188mg LP - EU Stock")*('Planning Engine'!$A$4:$A$2500='Planning Engine'!A1994)*'Planning Engine'!$U$4:$U$2500),"--")</f>
        <v>0</v>
      </c>
      <c r="P740" s="278" t="str">
        <f t="shared" si="25"/>
        <v>⚠ Expedite production / source alternate</v>
      </c>
    </row>
    <row r="741" spans="1:16" x14ac:dyDescent="0.35">
      <c r="A741" s="360">
        <f>'Planning Engine'!A1995</f>
        <v>46692</v>
      </c>
      <c r="B741" s="269" t="s">
        <v>959</v>
      </c>
      <c r="C741" s="273" t="str">
        <f>'Planning Engine'!C1995</f>
        <v>Label/Pack</v>
      </c>
      <c r="D741" s="273" t="str">
        <f>'Planning Engine'!D1995</f>
        <v>units</v>
      </c>
      <c r="E741" s="271">
        <f>'Planning Engine'!E1995</f>
        <v>0</v>
      </c>
      <c r="F741" s="271">
        <f>'Planning Engine'!F1995</f>
        <v>0</v>
      </c>
      <c r="G741" s="271">
        <f>'Planning Engine'!G1995</f>
        <v>0</v>
      </c>
      <c r="H741" s="271">
        <f t="shared" si="24"/>
        <v>0</v>
      </c>
      <c r="I741" s="271">
        <f>'Planning Engine'!H1995</f>
        <v>0</v>
      </c>
      <c r="J741" s="272">
        <f ca="1">'Planning Engine'!J1995</f>
        <v>0</v>
      </c>
      <c r="K741" s="271">
        <f ca="1">'Planning Engine'!K1995</f>
        <v>0</v>
      </c>
      <c r="L741" s="273" t="str">
        <f>'Planning Engine'!L1995</f>
        <v>High</v>
      </c>
      <c r="M741" s="360">
        <f>'Planning Engine'!S1995</f>
        <v>46600</v>
      </c>
      <c r="N741" s="271">
        <f>'Planning Engine'!T1995</f>
        <v>0</v>
      </c>
      <c r="O741" s="361" cm="1">
        <f t="array" ref="O741">IFERROR(SUMPRODUCT(('Planning Engine'!$B$4:$B$2500="188mg LP - EU Stock")*('Planning Engine'!$A$4:$A$2500='Planning Engine'!A1995)*'Planning Engine'!$U$4:$U$2500),"--")</f>
        <v>0</v>
      </c>
      <c r="P741" s="273" t="str">
        <f t="shared" si="25"/>
        <v>⚠ Expedite production / source alternate</v>
      </c>
    </row>
    <row r="742" spans="1:16" x14ac:dyDescent="0.35">
      <c r="A742" s="358">
        <f>'Planning Engine'!A1996</f>
        <v>46722</v>
      </c>
      <c r="B742" s="274" t="s">
        <v>959</v>
      </c>
      <c r="C742" s="278" t="str">
        <f>'Planning Engine'!C1996</f>
        <v>Label/Pack</v>
      </c>
      <c r="D742" s="278" t="str">
        <f>'Planning Engine'!D1996</f>
        <v>units</v>
      </c>
      <c r="E742" s="276">
        <f>'Planning Engine'!E1996</f>
        <v>0</v>
      </c>
      <c r="F742" s="276">
        <f>'Planning Engine'!F1996</f>
        <v>0</v>
      </c>
      <c r="G742" s="276">
        <f>'Planning Engine'!G1996</f>
        <v>0</v>
      </c>
      <c r="H742" s="276">
        <f t="shared" si="24"/>
        <v>0</v>
      </c>
      <c r="I742" s="276">
        <f>'Planning Engine'!H1996</f>
        <v>0</v>
      </c>
      <c r="J742" s="277">
        <f ca="1">'Planning Engine'!J1996</f>
        <v>0</v>
      </c>
      <c r="K742" s="276">
        <f ca="1">'Planning Engine'!K1996</f>
        <v>0</v>
      </c>
      <c r="L742" s="278" t="str">
        <f>'Planning Engine'!L1996</f>
        <v>High</v>
      </c>
      <c r="M742" s="358">
        <f>'Planning Engine'!S1996</f>
        <v>46631</v>
      </c>
      <c r="N742" s="276">
        <f>'Planning Engine'!T1996</f>
        <v>0</v>
      </c>
      <c r="O742" s="359" cm="1">
        <f t="array" ref="O742">IFERROR(SUMPRODUCT(('Planning Engine'!$B$4:$B$2500="188mg LP - EU Stock")*('Planning Engine'!$A$4:$A$2500='Planning Engine'!A1996)*'Planning Engine'!$U$4:$U$2500),"--")</f>
        <v>0</v>
      </c>
      <c r="P742" s="278" t="str">
        <f t="shared" si="25"/>
        <v>⚠ Expedite production / source alternate</v>
      </c>
    </row>
    <row r="743" spans="1:16" x14ac:dyDescent="0.35">
      <c r="A743" s="360">
        <f>'Planning Engine'!A1997</f>
        <v>46753</v>
      </c>
      <c r="B743" s="269" t="s">
        <v>959</v>
      </c>
      <c r="C743" s="273" t="str">
        <f>'Planning Engine'!C1997</f>
        <v>Label/Pack</v>
      </c>
      <c r="D743" s="273" t="str">
        <f>'Planning Engine'!D1997</f>
        <v>units</v>
      </c>
      <c r="E743" s="271">
        <f>'Planning Engine'!E1997</f>
        <v>0</v>
      </c>
      <c r="F743" s="271">
        <f>'Planning Engine'!F1997</f>
        <v>0</v>
      </c>
      <c r="G743" s="271">
        <f>'Planning Engine'!G1997</f>
        <v>0</v>
      </c>
      <c r="H743" s="271">
        <f t="shared" si="24"/>
        <v>0</v>
      </c>
      <c r="I743" s="271">
        <f>'Planning Engine'!H1997</f>
        <v>0</v>
      </c>
      <c r="J743" s="272">
        <f ca="1">'Planning Engine'!J1997</f>
        <v>0</v>
      </c>
      <c r="K743" s="271">
        <f ca="1">'Planning Engine'!K1997</f>
        <v>0</v>
      </c>
      <c r="L743" s="273" t="str">
        <f>'Planning Engine'!L1997</f>
        <v>High</v>
      </c>
      <c r="M743" s="360">
        <f>'Planning Engine'!S1997</f>
        <v>46661</v>
      </c>
      <c r="N743" s="271">
        <f>'Planning Engine'!T1997</f>
        <v>0</v>
      </c>
      <c r="O743" s="361" cm="1">
        <f t="array" ref="O743">IFERROR(SUMPRODUCT(('Planning Engine'!$B$4:$B$2500="188mg LP - EU Stock")*('Planning Engine'!$A$4:$A$2500='Planning Engine'!A1997)*'Planning Engine'!$U$4:$U$2500),"--")</f>
        <v>0</v>
      </c>
      <c r="P743" s="273" t="str">
        <f t="shared" si="25"/>
        <v>⚠ Expedite production / source alternate</v>
      </c>
    </row>
    <row r="744" spans="1:16" x14ac:dyDescent="0.35">
      <c r="A744" s="358">
        <f>'Planning Engine'!A1998</f>
        <v>46784</v>
      </c>
      <c r="B744" s="274" t="s">
        <v>959</v>
      </c>
      <c r="C744" s="278" t="str">
        <f>'Planning Engine'!C1998</f>
        <v>Label/Pack</v>
      </c>
      <c r="D744" s="278" t="str">
        <f>'Planning Engine'!D1998</f>
        <v>units</v>
      </c>
      <c r="E744" s="276">
        <f>'Planning Engine'!E1998</f>
        <v>0</v>
      </c>
      <c r="F744" s="276">
        <f>'Planning Engine'!F1998</f>
        <v>0</v>
      </c>
      <c r="G744" s="276">
        <f>'Planning Engine'!G1998</f>
        <v>0</v>
      </c>
      <c r="H744" s="276">
        <f t="shared" si="24"/>
        <v>0</v>
      </c>
      <c r="I744" s="276">
        <f>'Planning Engine'!H1998</f>
        <v>0</v>
      </c>
      <c r="J744" s="277">
        <f ca="1">'Planning Engine'!J1998</f>
        <v>0</v>
      </c>
      <c r="K744" s="276">
        <f ca="1">'Planning Engine'!K1998</f>
        <v>0</v>
      </c>
      <c r="L744" s="278" t="str">
        <f>'Planning Engine'!L1998</f>
        <v>High</v>
      </c>
      <c r="M744" s="358">
        <f>'Planning Engine'!S1998</f>
        <v>46692</v>
      </c>
      <c r="N744" s="276">
        <f>'Planning Engine'!T1998</f>
        <v>0</v>
      </c>
      <c r="O744" s="359" cm="1">
        <f t="array" ref="O744">IFERROR(SUMPRODUCT(('Planning Engine'!$B$4:$B$2500="188mg LP - EU Stock")*('Planning Engine'!$A$4:$A$2500='Planning Engine'!A1998)*'Planning Engine'!$U$4:$U$2500),"--")</f>
        <v>0</v>
      </c>
      <c r="P744" s="278" t="str">
        <f t="shared" si="25"/>
        <v>⚠ Expedite production / source alternate</v>
      </c>
    </row>
    <row r="745" spans="1:16" x14ac:dyDescent="0.35">
      <c r="A745" s="360">
        <f>'Planning Engine'!A1999</f>
        <v>46813</v>
      </c>
      <c r="B745" s="269" t="s">
        <v>959</v>
      </c>
      <c r="C745" s="273" t="str">
        <f>'Planning Engine'!C1999</f>
        <v>Label/Pack</v>
      </c>
      <c r="D745" s="273" t="str">
        <f>'Planning Engine'!D1999</f>
        <v>units</v>
      </c>
      <c r="E745" s="271">
        <f>'Planning Engine'!E1999</f>
        <v>0</v>
      </c>
      <c r="F745" s="271">
        <f>'Planning Engine'!F1999</f>
        <v>0</v>
      </c>
      <c r="G745" s="271">
        <f>'Planning Engine'!G1999</f>
        <v>0</v>
      </c>
      <c r="H745" s="271">
        <f t="shared" si="24"/>
        <v>0</v>
      </c>
      <c r="I745" s="271">
        <f>'Planning Engine'!H1999</f>
        <v>0</v>
      </c>
      <c r="J745" s="272">
        <f ca="1">'Planning Engine'!J1999</f>
        <v>0</v>
      </c>
      <c r="K745" s="271">
        <f ca="1">'Planning Engine'!K1999</f>
        <v>0</v>
      </c>
      <c r="L745" s="273" t="str">
        <f>'Planning Engine'!L1999</f>
        <v>High</v>
      </c>
      <c r="M745" s="360">
        <f>'Planning Engine'!S1999</f>
        <v>46722</v>
      </c>
      <c r="N745" s="271">
        <f>'Planning Engine'!T1999</f>
        <v>0</v>
      </c>
      <c r="O745" s="361" cm="1">
        <f t="array" ref="O745">IFERROR(SUMPRODUCT(('Planning Engine'!$B$4:$B$2500="188mg LP - EU Stock")*('Planning Engine'!$A$4:$A$2500='Planning Engine'!A1999)*'Planning Engine'!$U$4:$U$2500),"--")</f>
        <v>0</v>
      </c>
      <c r="P745" s="273" t="str">
        <f t="shared" si="25"/>
        <v>⚠ Expedite production / source alternate</v>
      </c>
    </row>
    <row r="746" spans="1:16" x14ac:dyDescent="0.35">
      <c r="A746" s="358">
        <f>'Planning Engine'!A2000</f>
        <v>46844</v>
      </c>
      <c r="B746" s="274" t="s">
        <v>959</v>
      </c>
      <c r="C746" s="278" t="str">
        <f>'Planning Engine'!C2000</f>
        <v>Label/Pack</v>
      </c>
      <c r="D746" s="278" t="str">
        <f>'Planning Engine'!D2000</f>
        <v>units</v>
      </c>
      <c r="E746" s="276">
        <f>'Planning Engine'!E2000</f>
        <v>0</v>
      </c>
      <c r="F746" s="276">
        <f>'Planning Engine'!F2000</f>
        <v>0</v>
      </c>
      <c r="G746" s="276">
        <f>'Planning Engine'!G2000</f>
        <v>0</v>
      </c>
      <c r="H746" s="276">
        <f t="shared" si="24"/>
        <v>0</v>
      </c>
      <c r="I746" s="276">
        <f>'Planning Engine'!H2000</f>
        <v>0</v>
      </c>
      <c r="J746" s="277">
        <f ca="1">'Planning Engine'!J2000</f>
        <v>0</v>
      </c>
      <c r="K746" s="276">
        <f ca="1">'Planning Engine'!K2000</f>
        <v>0</v>
      </c>
      <c r="L746" s="278" t="str">
        <f>'Planning Engine'!L2000</f>
        <v>High</v>
      </c>
      <c r="M746" s="358">
        <f>'Planning Engine'!S2000</f>
        <v>46753</v>
      </c>
      <c r="N746" s="276">
        <f>'Planning Engine'!T2000</f>
        <v>0</v>
      </c>
      <c r="O746" s="359" cm="1">
        <f t="array" ref="O746">IFERROR(SUMPRODUCT(('Planning Engine'!$B$4:$B$2500="188mg LP - EU Stock")*('Planning Engine'!$A$4:$A$2500='Planning Engine'!A2000)*'Planning Engine'!$U$4:$U$2500),"--")</f>
        <v>0</v>
      </c>
      <c r="P746" s="278" t="str">
        <f t="shared" si="25"/>
        <v>⚠ Expedite production / source alternate</v>
      </c>
    </row>
    <row r="747" spans="1:16" x14ac:dyDescent="0.35">
      <c r="A747" s="360">
        <f>'Planning Engine'!A2001</f>
        <v>46874</v>
      </c>
      <c r="B747" s="269" t="s">
        <v>959</v>
      </c>
      <c r="C747" s="273" t="str">
        <f>'Planning Engine'!C2001</f>
        <v>Label/Pack</v>
      </c>
      <c r="D747" s="273" t="str">
        <f>'Planning Engine'!D2001</f>
        <v>units</v>
      </c>
      <c r="E747" s="271">
        <f>'Planning Engine'!E2001</f>
        <v>0</v>
      </c>
      <c r="F747" s="271">
        <f>'Planning Engine'!F2001</f>
        <v>0</v>
      </c>
      <c r="G747" s="271">
        <f>'Planning Engine'!G2001</f>
        <v>0</v>
      </c>
      <c r="H747" s="271">
        <f t="shared" si="24"/>
        <v>0</v>
      </c>
      <c r="I747" s="271">
        <f>'Planning Engine'!H2001</f>
        <v>0</v>
      </c>
      <c r="J747" s="272">
        <f ca="1">'Planning Engine'!J2001</f>
        <v>0</v>
      </c>
      <c r="K747" s="271">
        <f ca="1">'Planning Engine'!K2001</f>
        <v>0</v>
      </c>
      <c r="L747" s="273" t="str">
        <f>'Planning Engine'!L2001</f>
        <v>High</v>
      </c>
      <c r="M747" s="360">
        <f>'Planning Engine'!S2001</f>
        <v>46784</v>
      </c>
      <c r="N747" s="271">
        <f>'Planning Engine'!T2001</f>
        <v>0</v>
      </c>
      <c r="O747" s="361" cm="1">
        <f t="array" ref="O747">IFERROR(SUMPRODUCT(('Planning Engine'!$B$4:$B$2500="188mg LP - EU Stock")*('Planning Engine'!$A$4:$A$2500='Planning Engine'!A2001)*'Planning Engine'!$U$4:$U$2500),"--")</f>
        <v>0</v>
      </c>
      <c r="P747" s="273" t="str">
        <f t="shared" si="25"/>
        <v>⚠ Expedite production / source alternate</v>
      </c>
    </row>
    <row r="748" spans="1:16" x14ac:dyDescent="0.35">
      <c r="A748" s="358">
        <f>'Planning Engine'!A2002</f>
        <v>46905</v>
      </c>
      <c r="B748" s="274" t="s">
        <v>959</v>
      </c>
      <c r="C748" s="278" t="str">
        <f>'Planning Engine'!C2002</f>
        <v>Label/Pack</v>
      </c>
      <c r="D748" s="278" t="str">
        <f>'Planning Engine'!D2002</f>
        <v>units</v>
      </c>
      <c r="E748" s="276">
        <f>'Planning Engine'!E2002</f>
        <v>0</v>
      </c>
      <c r="F748" s="276">
        <f>'Planning Engine'!F2002</f>
        <v>0</v>
      </c>
      <c r="G748" s="276">
        <f>'Planning Engine'!G2002</f>
        <v>0</v>
      </c>
      <c r="H748" s="276">
        <f t="shared" si="24"/>
        <v>0</v>
      </c>
      <c r="I748" s="276">
        <f>'Planning Engine'!H2002</f>
        <v>0</v>
      </c>
      <c r="J748" s="277">
        <f ca="1">'Planning Engine'!J2002</f>
        <v>0</v>
      </c>
      <c r="K748" s="276">
        <f ca="1">'Planning Engine'!K2002</f>
        <v>0</v>
      </c>
      <c r="L748" s="278" t="str">
        <f>'Planning Engine'!L2002</f>
        <v>High</v>
      </c>
      <c r="M748" s="358">
        <f>'Planning Engine'!S2002</f>
        <v>46813</v>
      </c>
      <c r="N748" s="276">
        <f>'Planning Engine'!T2002</f>
        <v>0</v>
      </c>
      <c r="O748" s="359" cm="1">
        <f t="array" ref="O748">IFERROR(SUMPRODUCT(('Planning Engine'!$B$4:$B$2500="188mg LP - EU Stock")*('Planning Engine'!$A$4:$A$2500='Planning Engine'!A2002)*'Planning Engine'!$U$4:$U$2500),"--")</f>
        <v>0</v>
      </c>
      <c r="P748" s="278" t="str">
        <f t="shared" si="25"/>
        <v>⚠ Expedite production / source alternate</v>
      </c>
    </row>
    <row r="749" spans="1:16" x14ac:dyDescent="0.35">
      <c r="A749" s="360">
        <f>'Planning Engine'!A2003</f>
        <v>46935</v>
      </c>
      <c r="B749" s="269" t="s">
        <v>959</v>
      </c>
      <c r="C749" s="273" t="str">
        <f>'Planning Engine'!C2003</f>
        <v>Label/Pack</v>
      </c>
      <c r="D749" s="273" t="str">
        <f>'Planning Engine'!D2003</f>
        <v>units</v>
      </c>
      <c r="E749" s="271">
        <f>'Planning Engine'!E2003</f>
        <v>0</v>
      </c>
      <c r="F749" s="271">
        <f>'Planning Engine'!F2003</f>
        <v>0</v>
      </c>
      <c r="G749" s="271">
        <f>'Planning Engine'!G2003</f>
        <v>0</v>
      </c>
      <c r="H749" s="271">
        <f t="shared" si="24"/>
        <v>0</v>
      </c>
      <c r="I749" s="271">
        <f>'Planning Engine'!H2003</f>
        <v>0</v>
      </c>
      <c r="J749" s="272">
        <f ca="1">'Planning Engine'!J2003</f>
        <v>0</v>
      </c>
      <c r="K749" s="271">
        <f ca="1">'Planning Engine'!K2003</f>
        <v>0</v>
      </c>
      <c r="L749" s="273" t="str">
        <f>'Planning Engine'!L2003</f>
        <v>High</v>
      </c>
      <c r="M749" s="360">
        <f>'Planning Engine'!S2003</f>
        <v>46844</v>
      </c>
      <c r="N749" s="271">
        <f>'Planning Engine'!T2003</f>
        <v>0</v>
      </c>
      <c r="O749" s="361" cm="1">
        <f t="array" ref="O749">IFERROR(SUMPRODUCT(('Planning Engine'!$B$4:$B$2500="188mg LP - EU Stock")*('Planning Engine'!$A$4:$A$2500='Planning Engine'!A2003)*'Planning Engine'!$U$4:$U$2500),"--")</f>
        <v>0</v>
      </c>
      <c r="P749" s="273" t="str">
        <f t="shared" si="25"/>
        <v>⚠ Expedite production / source alternate</v>
      </c>
    </row>
    <row r="750" spans="1:16" x14ac:dyDescent="0.35">
      <c r="A750" s="358">
        <f>'Planning Engine'!A2004</f>
        <v>46966</v>
      </c>
      <c r="B750" s="274" t="s">
        <v>959</v>
      </c>
      <c r="C750" s="278" t="str">
        <f>'Planning Engine'!C2004</f>
        <v>Label/Pack</v>
      </c>
      <c r="D750" s="278" t="str">
        <f>'Planning Engine'!D2004</f>
        <v>units</v>
      </c>
      <c r="E750" s="276">
        <f>'Planning Engine'!E2004</f>
        <v>0</v>
      </c>
      <c r="F750" s="276">
        <f>'Planning Engine'!F2004</f>
        <v>0</v>
      </c>
      <c r="G750" s="276">
        <f>'Planning Engine'!G2004</f>
        <v>0</v>
      </c>
      <c r="H750" s="276">
        <f t="shared" si="24"/>
        <v>0</v>
      </c>
      <c r="I750" s="276">
        <f>'Planning Engine'!H2004</f>
        <v>0</v>
      </c>
      <c r="J750" s="277">
        <f ca="1">'Planning Engine'!J2004</f>
        <v>0</v>
      </c>
      <c r="K750" s="276">
        <f ca="1">'Planning Engine'!K2004</f>
        <v>0</v>
      </c>
      <c r="L750" s="278" t="str">
        <f>'Planning Engine'!L2004</f>
        <v>High</v>
      </c>
      <c r="M750" s="358">
        <f>'Planning Engine'!S2004</f>
        <v>46874</v>
      </c>
      <c r="N750" s="276">
        <f>'Planning Engine'!T2004</f>
        <v>0</v>
      </c>
      <c r="O750" s="359" cm="1">
        <f t="array" ref="O750">IFERROR(SUMPRODUCT(('Planning Engine'!$B$4:$B$2500="188mg LP - EU Stock")*('Planning Engine'!$A$4:$A$2500='Planning Engine'!A2004)*'Planning Engine'!$U$4:$U$2500),"--")</f>
        <v>0</v>
      </c>
      <c r="P750" s="278" t="str">
        <f t="shared" si="25"/>
        <v>⚠ Expedite production / source alternate</v>
      </c>
    </row>
    <row r="751" spans="1:16" x14ac:dyDescent="0.35">
      <c r="A751" s="360">
        <f>'Planning Engine'!A2005</f>
        <v>46997</v>
      </c>
      <c r="B751" s="269" t="s">
        <v>959</v>
      </c>
      <c r="C751" s="273" t="str">
        <f>'Planning Engine'!C2005</f>
        <v>Label/Pack</v>
      </c>
      <c r="D751" s="273" t="str">
        <f>'Planning Engine'!D2005</f>
        <v>units</v>
      </c>
      <c r="E751" s="271">
        <f>'Planning Engine'!E2005</f>
        <v>0</v>
      </c>
      <c r="F751" s="271">
        <f>'Planning Engine'!F2005</f>
        <v>0</v>
      </c>
      <c r="G751" s="271">
        <f>'Planning Engine'!G2005</f>
        <v>0</v>
      </c>
      <c r="H751" s="271">
        <f t="shared" si="24"/>
        <v>0</v>
      </c>
      <c r="I751" s="271">
        <f>'Planning Engine'!H2005</f>
        <v>0</v>
      </c>
      <c r="J751" s="272">
        <f ca="1">'Planning Engine'!J2005</f>
        <v>0</v>
      </c>
      <c r="K751" s="271">
        <f ca="1">'Planning Engine'!K2005</f>
        <v>0</v>
      </c>
      <c r="L751" s="273" t="str">
        <f>'Planning Engine'!L2005</f>
        <v>High</v>
      </c>
      <c r="M751" s="360">
        <f>'Planning Engine'!S2005</f>
        <v>46905</v>
      </c>
      <c r="N751" s="271">
        <f>'Planning Engine'!T2005</f>
        <v>0</v>
      </c>
      <c r="O751" s="361" cm="1">
        <f t="array" ref="O751">IFERROR(SUMPRODUCT(('Planning Engine'!$B$4:$B$2500="188mg LP - EU Stock")*('Planning Engine'!$A$4:$A$2500='Planning Engine'!A2005)*'Planning Engine'!$U$4:$U$2500),"--")</f>
        <v>0</v>
      </c>
      <c r="P751" s="273" t="str">
        <f t="shared" si="25"/>
        <v>⚠ Expedite production / source alternate</v>
      </c>
    </row>
    <row r="752" spans="1:16" x14ac:dyDescent="0.35">
      <c r="A752" s="358">
        <f>'Planning Engine'!A2006</f>
        <v>47027</v>
      </c>
      <c r="B752" s="274" t="s">
        <v>959</v>
      </c>
      <c r="C752" s="278" t="str">
        <f>'Planning Engine'!C2006</f>
        <v>Label/Pack</v>
      </c>
      <c r="D752" s="278" t="str">
        <f>'Planning Engine'!D2006</f>
        <v>units</v>
      </c>
      <c r="E752" s="276">
        <f>'Planning Engine'!E2006</f>
        <v>0</v>
      </c>
      <c r="F752" s="276">
        <f>'Planning Engine'!F2006</f>
        <v>0</v>
      </c>
      <c r="G752" s="276">
        <f>'Planning Engine'!G2006</f>
        <v>0</v>
      </c>
      <c r="H752" s="276">
        <f t="shared" si="24"/>
        <v>0</v>
      </c>
      <c r="I752" s="276">
        <f>'Planning Engine'!H2006</f>
        <v>0</v>
      </c>
      <c r="J752" s="277">
        <f ca="1">'Planning Engine'!J2006</f>
        <v>0</v>
      </c>
      <c r="K752" s="276">
        <f ca="1">'Planning Engine'!K2006</f>
        <v>0</v>
      </c>
      <c r="L752" s="278" t="str">
        <f>'Planning Engine'!L2006</f>
        <v>High</v>
      </c>
      <c r="M752" s="358">
        <f>'Planning Engine'!S2006</f>
        <v>46935</v>
      </c>
      <c r="N752" s="276">
        <f>'Planning Engine'!T2006</f>
        <v>0</v>
      </c>
      <c r="O752" s="359" cm="1">
        <f t="array" ref="O752">IFERROR(SUMPRODUCT(('Planning Engine'!$B$4:$B$2500="188mg LP - EU Stock")*('Planning Engine'!$A$4:$A$2500='Planning Engine'!A2006)*'Planning Engine'!$U$4:$U$2500),"--")</f>
        <v>0</v>
      </c>
      <c r="P752" s="278" t="str">
        <f t="shared" si="25"/>
        <v>⚠ Expedite production / source alternate</v>
      </c>
    </row>
    <row r="753" spans="1:16" x14ac:dyDescent="0.35">
      <c r="A753" s="360">
        <f>'Planning Engine'!A2007</f>
        <v>47058</v>
      </c>
      <c r="B753" s="269" t="s">
        <v>959</v>
      </c>
      <c r="C753" s="273" t="str">
        <f>'Planning Engine'!C2007</f>
        <v>Label/Pack</v>
      </c>
      <c r="D753" s="273" t="str">
        <f>'Planning Engine'!D2007</f>
        <v>units</v>
      </c>
      <c r="E753" s="271">
        <f>'Planning Engine'!E2007</f>
        <v>0</v>
      </c>
      <c r="F753" s="271">
        <f>'Planning Engine'!F2007</f>
        <v>0</v>
      </c>
      <c r="G753" s="271">
        <f>'Planning Engine'!G2007</f>
        <v>0</v>
      </c>
      <c r="H753" s="271">
        <f t="shared" si="24"/>
        <v>0</v>
      </c>
      <c r="I753" s="271">
        <f>'Planning Engine'!H2007</f>
        <v>0</v>
      </c>
      <c r="J753" s="272">
        <f ca="1">'Planning Engine'!J2007</f>
        <v>0</v>
      </c>
      <c r="K753" s="271">
        <f ca="1">'Planning Engine'!K2007</f>
        <v>0</v>
      </c>
      <c r="L753" s="273" t="str">
        <f>'Planning Engine'!L2007</f>
        <v>High</v>
      </c>
      <c r="M753" s="360">
        <f>'Planning Engine'!S2007</f>
        <v>46966</v>
      </c>
      <c r="N753" s="271">
        <f>'Planning Engine'!T2007</f>
        <v>0</v>
      </c>
      <c r="O753" s="361" cm="1">
        <f t="array" ref="O753">IFERROR(SUMPRODUCT(('Planning Engine'!$B$4:$B$2500="188mg LP - EU Stock")*('Planning Engine'!$A$4:$A$2500='Planning Engine'!A2007)*'Planning Engine'!$U$4:$U$2500),"--")</f>
        <v>0</v>
      </c>
      <c r="P753" s="273" t="str">
        <f t="shared" si="25"/>
        <v>⚠ Expedite production / source alternate</v>
      </c>
    </row>
    <row r="754" spans="1:16" x14ac:dyDescent="0.35">
      <c r="A754" s="358">
        <f>'Planning Engine'!A2008</f>
        <v>47088</v>
      </c>
      <c r="B754" s="274" t="s">
        <v>959</v>
      </c>
      <c r="C754" s="278" t="str">
        <f>'Planning Engine'!C2008</f>
        <v>Label/Pack</v>
      </c>
      <c r="D754" s="278" t="str">
        <f>'Planning Engine'!D2008</f>
        <v>units</v>
      </c>
      <c r="E754" s="276">
        <f>'Planning Engine'!E2008</f>
        <v>0</v>
      </c>
      <c r="F754" s="276">
        <f>'Planning Engine'!F2008</f>
        <v>0</v>
      </c>
      <c r="G754" s="276">
        <f>'Planning Engine'!G2008</f>
        <v>0</v>
      </c>
      <c r="H754" s="276">
        <f t="shared" si="24"/>
        <v>0</v>
      </c>
      <c r="I754" s="276">
        <f>'Planning Engine'!H2008</f>
        <v>0</v>
      </c>
      <c r="J754" s="277">
        <f ca="1">'Planning Engine'!J2008</f>
        <v>0</v>
      </c>
      <c r="K754" s="276">
        <f ca="1">'Planning Engine'!K2008</f>
        <v>0</v>
      </c>
      <c r="L754" s="278" t="str">
        <f>'Planning Engine'!L2008</f>
        <v>High</v>
      </c>
      <c r="M754" s="358">
        <f>'Planning Engine'!S2008</f>
        <v>46997</v>
      </c>
      <c r="N754" s="276">
        <f>'Planning Engine'!T2008</f>
        <v>0</v>
      </c>
      <c r="O754" s="359" cm="1">
        <f t="array" ref="O754">IFERROR(SUMPRODUCT(('Planning Engine'!$B$4:$B$2500="188mg LP - EU Stock")*('Planning Engine'!$A$4:$A$2500='Planning Engine'!A2008)*'Planning Engine'!$U$4:$U$2500),"--")</f>
        <v>0</v>
      </c>
      <c r="P754" s="278" t="str">
        <f t="shared" si="25"/>
        <v>⚠ Expedite production / source alternate</v>
      </c>
    </row>
    <row r="755" spans="1:16" x14ac:dyDescent="0.35">
      <c r="A755" s="360">
        <f>'Planning Engine'!A2009</f>
        <v>47119</v>
      </c>
      <c r="B755" s="269" t="s">
        <v>959</v>
      </c>
      <c r="C755" s="273" t="str">
        <f>'Planning Engine'!C2009</f>
        <v>Label/Pack</v>
      </c>
      <c r="D755" s="273" t="str">
        <f>'Planning Engine'!D2009</f>
        <v>units</v>
      </c>
      <c r="E755" s="271">
        <f>'Planning Engine'!E2009</f>
        <v>0</v>
      </c>
      <c r="F755" s="271">
        <f>'Planning Engine'!F2009</f>
        <v>0</v>
      </c>
      <c r="G755" s="271">
        <f>'Planning Engine'!G2009</f>
        <v>0</v>
      </c>
      <c r="H755" s="271">
        <f t="shared" si="24"/>
        <v>0</v>
      </c>
      <c r="I755" s="271">
        <f>'Planning Engine'!H2009</f>
        <v>0</v>
      </c>
      <c r="J755" s="272">
        <f ca="1">'Planning Engine'!J2009</f>
        <v>0</v>
      </c>
      <c r="K755" s="271">
        <f ca="1">'Planning Engine'!K2009</f>
        <v>0</v>
      </c>
      <c r="L755" s="273" t="str">
        <f>'Planning Engine'!L2009</f>
        <v>High</v>
      </c>
      <c r="M755" s="360">
        <f>'Planning Engine'!S2009</f>
        <v>47027</v>
      </c>
      <c r="N755" s="271">
        <f>'Planning Engine'!T2009</f>
        <v>0</v>
      </c>
      <c r="O755" s="361" cm="1">
        <f t="array" ref="O755">IFERROR(SUMPRODUCT(('Planning Engine'!$B$4:$B$2500="188mg LP - EU Stock")*('Planning Engine'!$A$4:$A$2500='Planning Engine'!A2009)*'Planning Engine'!$U$4:$U$2500),"--")</f>
        <v>0</v>
      </c>
      <c r="P755" s="273" t="str">
        <f t="shared" si="25"/>
        <v>⚠ Expedite production / source alternate</v>
      </c>
    </row>
    <row r="756" spans="1:16" x14ac:dyDescent="0.35">
      <c r="A756" s="358">
        <f>'Planning Engine'!A2010</f>
        <v>47150</v>
      </c>
      <c r="B756" s="274" t="s">
        <v>959</v>
      </c>
      <c r="C756" s="278" t="str">
        <f>'Planning Engine'!C2010</f>
        <v>Label/Pack</v>
      </c>
      <c r="D756" s="278" t="str">
        <f>'Planning Engine'!D2010</f>
        <v>units</v>
      </c>
      <c r="E756" s="276">
        <f>'Planning Engine'!E2010</f>
        <v>0</v>
      </c>
      <c r="F756" s="276">
        <f>'Planning Engine'!F2010</f>
        <v>0</v>
      </c>
      <c r="G756" s="276">
        <f>'Planning Engine'!G2010</f>
        <v>0</v>
      </c>
      <c r="H756" s="276">
        <f t="shared" si="24"/>
        <v>0</v>
      </c>
      <c r="I756" s="276">
        <f>'Planning Engine'!H2010</f>
        <v>0</v>
      </c>
      <c r="J756" s="277">
        <f ca="1">'Planning Engine'!J2010</f>
        <v>0</v>
      </c>
      <c r="K756" s="276">
        <f ca="1">'Planning Engine'!K2010</f>
        <v>0</v>
      </c>
      <c r="L756" s="278" t="str">
        <f>'Planning Engine'!L2010</f>
        <v>High</v>
      </c>
      <c r="M756" s="358">
        <f>'Planning Engine'!S2010</f>
        <v>47058</v>
      </c>
      <c r="N756" s="276">
        <f>'Planning Engine'!T2010</f>
        <v>0</v>
      </c>
      <c r="O756" s="359" cm="1">
        <f t="array" ref="O756">IFERROR(SUMPRODUCT(('Planning Engine'!$B$4:$B$2500="188mg LP - EU Stock")*('Planning Engine'!$A$4:$A$2500='Planning Engine'!A2010)*'Planning Engine'!$U$4:$U$2500),"--")</f>
        <v>0</v>
      </c>
      <c r="P756" s="278" t="str">
        <f t="shared" si="25"/>
        <v>⚠ Expedite production / source alternate</v>
      </c>
    </row>
    <row r="757" spans="1:16" x14ac:dyDescent="0.35">
      <c r="A757" s="360">
        <f>'Planning Engine'!A2011</f>
        <v>47178</v>
      </c>
      <c r="B757" s="269" t="s">
        <v>959</v>
      </c>
      <c r="C757" s="273" t="str">
        <f>'Planning Engine'!C2011</f>
        <v>Label/Pack</v>
      </c>
      <c r="D757" s="273" t="str">
        <f>'Planning Engine'!D2011</f>
        <v>units</v>
      </c>
      <c r="E757" s="271">
        <f>'Planning Engine'!E2011</f>
        <v>0</v>
      </c>
      <c r="F757" s="271">
        <f>'Planning Engine'!F2011</f>
        <v>0</v>
      </c>
      <c r="G757" s="271">
        <f>'Planning Engine'!G2011</f>
        <v>0</v>
      </c>
      <c r="H757" s="271">
        <f t="shared" si="24"/>
        <v>0</v>
      </c>
      <c r="I757" s="271">
        <f>'Planning Engine'!H2011</f>
        <v>0</v>
      </c>
      <c r="J757" s="272">
        <f ca="1">'Planning Engine'!J2011</f>
        <v>0</v>
      </c>
      <c r="K757" s="271">
        <f ca="1">'Planning Engine'!K2011</f>
        <v>0</v>
      </c>
      <c r="L757" s="273" t="str">
        <f>'Planning Engine'!L2011</f>
        <v>High</v>
      </c>
      <c r="M757" s="360">
        <f>'Planning Engine'!S2011</f>
        <v>47088</v>
      </c>
      <c r="N757" s="271">
        <f>'Planning Engine'!T2011</f>
        <v>0</v>
      </c>
      <c r="O757" s="361" cm="1">
        <f t="array" ref="O757">IFERROR(SUMPRODUCT(('Planning Engine'!$B$4:$B$2500="188mg LP - EU Stock")*('Planning Engine'!$A$4:$A$2500='Planning Engine'!A2011)*'Planning Engine'!$U$4:$U$2500),"--")</f>
        <v>0</v>
      </c>
      <c r="P757" s="273" t="str">
        <f t="shared" si="25"/>
        <v>⚠ Expedite production / source alternate</v>
      </c>
    </row>
    <row r="758" spans="1:16" x14ac:dyDescent="0.35">
      <c r="A758" s="358">
        <f>'Planning Engine'!A2012</f>
        <v>47209</v>
      </c>
      <c r="B758" s="274" t="s">
        <v>959</v>
      </c>
      <c r="C758" s="278" t="str">
        <f>'Planning Engine'!C2012</f>
        <v>Label/Pack</v>
      </c>
      <c r="D758" s="278" t="str">
        <f>'Planning Engine'!D2012</f>
        <v>units</v>
      </c>
      <c r="E758" s="276">
        <f>'Planning Engine'!E2012</f>
        <v>0</v>
      </c>
      <c r="F758" s="276">
        <f>'Planning Engine'!F2012</f>
        <v>0</v>
      </c>
      <c r="G758" s="276">
        <f>'Planning Engine'!G2012</f>
        <v>0</v>
      </c>
      <c r="H758" s="276">
        <f t="shared" si="24"/>
        <v>0</v>
      </c>
      <c r="I758" s="276">
        <f>'Planning Engine'!H2012</f>
        <v>0</v>
      </c>
      <c r="J758" s="277">
        <f ca="1">'Planning Engine'!J2012</f>
        <v>0</v>
      </c>
      <c r="K758" s="276">
        <f ca="1">'Planning Engine'!K2012</f>
        <v>0</v>
      </c>
      <c r="L758" s="278" t="str">
        <f>'Planning Engine'!L2012</f>
        <v>High</v>
      </c>
      <c r="M758" s="358">
        <f>'Planning Engine'!S2012</f>
        <v>47119</v>
      </c>
      <c r="N758" s="276">
        <f>'Planning Engine'!T2012</f>
        <v>0</v>
      </c>
      <c r="O758" s="359" cm="1">
        <f t="array" ref="O758">IFERROR(SUMPRODUCT(('Planning Engine'!$B$4:$B$2500="188mg LP - EU Stock")*('Planning Engine'!$A$4:$A$2500='Planning Engine'!A2012)*'Planning Engine'!$U$4:$U$2500),"--")</f>
        <v>0</v>
      </c>
      <c r="P758" s="278" t="str">
        <f t="shared" si="25"/>
        <v>⚠ Expedite production / source alternate</v>
      </c>
    </row>
    <row r="759" spans="1:16" x14ac:dyDescent="0.35">
      <c r="A759" s="360">
        <f>'Planning Engine'!A2013</f>
        <v>47239</v>
      </c>
      <c r="B759" s="269" t="s">
        <v>959</v>
      </c>
      <c r="C759" s="273" t="str">
        <f>'Planning Engine'!C2013</f>
        <v>Label/Pack</v>
      </c>
      <c r="D759" s="273" t="str">
        <f>'Planning Engine'!D2013</f>
        <v>units</v>
      </c>
      <c r="E759" s="271">
        <f>'Planning Engine'!E2013</f>
        <v>0</v>
      </c>
      <c r="F759" s="271">
        <f>'Planning Engine'!F2013</f>
        <v>0</v>
      </c>
      <c r="G759" s="271">
        <f>'Planning Engine'!G2013</f>
        <v>0</v>
      </c>
      <c r="H759" s="271">
        <f t="shared" si="24"/>
        <v>0</v>
      </c>
      <c r="I759" s="271">
        <f>'Planning Engine'!H2013</f>
        <v>0</v>
      </c>
      <c r="J759" s="272">
        <f ca="1">'Planning Engine'!J2013</f>
        <v>0</v>
      </c>
      <c r="K759" s="271">
        <f ca="1">'Planning Engine'!K2013</f>
        <v>0</v>
      </c>
      <c r="L759" s="273" t="str">
        <f>'Planning Engine'!L2013</f>
        <v>High</v>
      </c>
      <c r="M759" s="360">
        <f>'Planning Engine'!S2013</f>
        <v>47150</v>
      </c>
      <c r="N759" s="271">
        <f>'Planning Engine'!T2013</f>
        <v>0</v>
      </c>
      <c r="O759" s="361" cm="1">
        <f t="array" ref="O759">IFERROR(SUMPRODUCT(('Planning Engine'!$B$4:$B$2500="188mg LP - EU Stock")*('Planning Engine'!$A$4:$A$2500='Planning Engine'!A2013)*'Planning Engine'!$U$4:$U$2500),"--")</f>
        <v>0</v>
      </c>
      <c r="P759" s="273" t="str">
        <f t="shared" si="25"/>
        <v>⚠ Expedite production / source alternate</v>
      </c>
    </row>
    <row r="760" spans="1:16" x14ac:dyDescent="0.35">
      <c r="A760" s="358">
        <f>'Planning Engine'!A2014</f>
        <v>47270</v>
      </c>
      <c r="B760" s="274" t="s">
        <v>959</v>
      </c>
      <c r="C760" s="278" t="str">
        <f>'Planning Engine'!C2014</f>
        <v>Label/Pack</v>
      </c>
      <c r="D760" s="278" t="str">
        <f>'Planning Engine'!D2014</f>
        <v>units</v>
      </c>
      <c r="E760" s="276">
        <f>'Planning Engine'!E2014</f>
        <v>0</v>
      </c>
      <c r="F760" s="276">
        <f>'Planning Engine'!F2014</f>
        <v>0</v>
      </c>
      <c r="G760" s="276">
        <f>'Planning Engine'!G2014</f>
        <v>0</v>
      </c>
      <c r="H760" s="276">
        <f t="shared" si="24"/>
        <v>0</v>
      </c>
      <c r="I760" s="276">
        <f>'Planning Engine'!H2014</f>
        <v>0</v>
      </c>
      <c r="J760" s="277">
        <f ca="1">'Planning Engine'!J2014</f>
        <v>0</v>
      </c>
      <c r="K760" s="276">
        <f ca="1">'Planning Engine'!K2014</f>
        <v>0</v>
      </c>
      <c r="L760" s="278" t="str">
        <f>'Planning Engine'!L2014</f>
        <v>High</v>
      </c>
      <c r="M760" s="358">
        <f>'Planning Engine'!S2014</f>
        <v>47178</v>
      </c>
      <c r="N760" s="276">
        <f>'Planning Engine'!T2014</f>
        <v>0</v>
      </c>
      <c r="O760" s="359" cm="1">
        <f t="array" ref="O760">IFERROR(SUMPRODUCT(('Planning Engine'!$B$4:$B$2500="188mg LP - EU Stock")*('Planning Engine'!$A$4:$A$2500='Planning Engine'!A2014)*'Planning Engine'!$U$4:$U$2500),"--")</f>
        <v>0</v>
      </c>
      <c r="P760" s="278" t="str">
        <f t="shared" si="25"/>
        <v>⚠ Expedite production / source alternate</v>
      </c>
    </row>
    <row r="761" spans="1:16" x14ac:dyDescent="0.35">
      <c r="A761" s="360">
        <f>'Planning Engine'!A2015</f>
        <v>47300</v>
      </c>
      <c r="B761" s="269" t="s">
        <v>959</v>
      </c>
      <c r="C761" s="273" t="str">
        <f>'Planning Engine'!C2015</f>
        <v>Label/Pack</v>
      </c>
      <c r="D761" s="273" t="str">
        <f>'Planning Engine'!D2015</f>
        <v>units</v>
      </c>
      <c r="E761" s="271">
        <f>'Planning Engine'!E2015</f>
        <v>0</v>
      </c>
      <c r="F761" s="271">
        <f>'Planning Engine'!F2015</f>
        <v>0</v>
      </c>
      <c r="G761" s="271">
        <f>'Planning Engine'!G2015</f>
        <v>0</v>
      </c>
      <c r="H761" s="271">
        <f t="shared" si="24"/>
        <v>0</v>
      </c>
      <c r="I761" s="271">
        <f>'Planning Engine'!H2015</f>
        <v>0</v>
      </c>
      <c r="J761" s="272">
        <f ca="1">'Planning Engine'!J2015</f>
        <v>0</v>
      </c>
      <c r="K761" s="271">
        <f ca="1">'Planning Engine'!K2015</f>
        <v>0</v>
      </c>
      <c r="L761" s="273" t="str">
        <f>'Planning Engine'!L2015</f>
        <v>High</v>
      </c>
      <c r="M761" s="360">
        <f>'Planning Engine'!S2015</f>
        <v>47209</v>
      </c>
      <c r="N761" s="271">
        <f>'Planning Engine'!T2015</f>
        <v>0</v>
      </c>
      <c r="O761" s="361" cm="1">
        <f t="array" ref="O761">IFERROR(SUMPRODUCT(('Planning Engine'!$B$4:$B$2500="188mg LP - EU Stock")*('Planning Engine'!$A$4:$A$2500='Planning Engine'!A2015)*'Planning Engine'!$U$4:$U$2500),"--")</f>
        <v>0</v>
      </c>
      <c r="P761" s="273" t="str">
        <f t="shared" si="25"/>
        <v>⚠ Expedite production / source alternate</v>
      </c>
    </row>
    <row r="762" spans="1:16" x14ac:dyDescent="0.35">
      <c r="A762" s="358">
        <f>'Planning Engine'!A2016</f>
        <v>47331</v>
      </c>
      <c r="B762" s="274" t="s">
        <v>959</v>
      </c>
      <c r="C762" s="278" t="str">
        <f>'Planning Engine'!C2016</f>
        <v>Label/Pack</v>
      </c>
      <c r="D762" s="278" t="str">
        <f>'Planning Engine'!D2016</f>
        <v>units</v>
      </c>
      <c r="E762" s="276">
        <f>'Planning Engine'!E2016</f>
        <v>0</v>
      </c>
      <c r="F762" s="276">
        <f>'Planning Engine'!F2016</f>
        <v>0</v>
      </c>
      <c r="G762" s="276">
        <f>'Planning Engine'!G2016</f>
        <v>0</v>
      </c>
      <c r="H762" s="276">
        <f t="shared" si="24"/>
        <v>0</v>
      </c>
      <c r="I762" s="276">
        <f>'Planning Engine'!H2016</f>
        <v>0</v>
      </c>
      <c r="J762" s="277">
        <f ca="1">'Planning Engine'!J2016</f>
        <v>0</v>
      </c>
      <c r="K762" s="276">
        <f ca="1">'Planning Engine'!K2016</f>
        <v>0</v>
      </c>
      <c r="L762" s="278" t="str">
        <f>'Planning Engine'!L2016</f>
        <v>High</v>
      </c>
      <c r="M762" s="358">
        <f>'Planning Engine'!S2016</f>
        <v>47239</v>
      </c>
      <c r="N762" s="276">
        <f>'Planning Engine'!T2016</f>
        <v>0</v>
      </c>
      <c r="O762" s="359" cm="1">
        <f t="array" ref="O762">IFERROR(SUMPRODUCT(('Planning Engine'!$B$4:$B$2500="188mg LP - EU Stock")*('Planning Engine'!$A$4:$A$2500='Planning Engine'!A2016)*'Planning Engine'!$U$4:$U$2500),"--")</f>
        <v>0</v>
      </c>
      <c r="P762" s="278" t="str">
        <f t="shared" si="25"/>
        <v>⚠ Expedite production / source alternate</v>
      </c>
    </row>
    <row r="763" spans="1:16" x14ac:dyDescent="0.35">
      <c r="A763" s="360">
        <f>'Planning Engine'!A2017</f>
        <v>47362</v>
      </c>
      <c r="B763" s="269" t="s">
        <v>959</v>
      </c>
      <c r="C763" s="273" t="str">
        <f>'Planning Engine'!C2017</f>
        <v>Label/Pack</v>
      </c>
      <c r="D763" s="273" t="str">
        <f>'Planning Engine'!D2017</f>
        <v>units</v>
      </c>
      <c r="E763" s="271">
        <f>'Planning Engine'!E2017</f>
        <v>0</v>
      </c>
      <c r="F763" s="271">
        <f>'Planning Engine'!F2017</f>
        <v>0</v>
      </c>
      <c r="G763" s="271">
        <f>'Planning Engine'!G2017</f>
        <v>0</v>
      </c>
      <c r="H763" s="271">
        <f t="shared" si="24"/>
        <v>0</v>
      </c>
      <c r="I763" s="271">
        <f>'Planning Engine'!H2017</f>
        <v>0</v>
      </c>
      <c r="J763" s="272">
        <f ca="1">'Planning Engine'!J2017</f>
        <v>0</v>
      </c>
      <c r="K763" s="271">
        <f ca="1">'Planning Engine'!K2017</f>
        <v>0</v>
      </c>
      <c r="L763" s="273" t="str">
        <f>'Planning Engine'!L2017</f>
        <v>High</v>
      </c>
      <c r="M763" s="360">
        <f>'Planning Engine'!S2017</f>
        <v>47270</v>
      </c>
      <c r="N763" s="271">
        <f>'Planning Engine'!T2017</f>
        <v>0</v>
      </c>
      <c r="O763" s="361" cm="1">
        <f t="array" ref="O763">IFERROR(SUMPRODUCT(('Planning Engine'!$B$4:$B$2500="188mg LP - EU Stock")*('Planning Engine'!$A$4:$A$2500='Planning Engine'!A2017)*'Planning Engine'!$U$4:$U$2500),"--")</f>
        <v>0</v>
      </c>
      <c r="P763" s="273" t="str">
        <f t="shared" si="25"/>
        <v>⚠ Expedite production / source alternate</v>
      </c>
    </row>
    <row r="764" spans="1:16" x14ac:dyDescent="0.35">
      <c r="A764" s="358">
        <f>'Planning Engine'!A2018</f>
        <v>47392</v>
      </c>
      <c r="B764" s="274" t="s">
        <v>959</v>
      </c>
      <c r="C764" s="278" t="str">
        <f>'Planning Engine'!C2018</f>
        <v>Label/Pack</v>
      </c>
      <c r="D764" s="278" t="str">
        <f>'Planning Engine'!D2018</f>
        <v>units</v>
      </c>
      <c r="E764" s="276">
        <f>'Planning Engine'!E2018</f>
        <v>0</v>
      </c>
      <c r="F764" s="276">
        <f>'Planning Engine'!F2018</f>
        <v>0</v>
      </c>
      <c r="G764" s="276">
        <f>'Planning Engine'!G2018</f>
        <v>0</v>
      </c>
      <c r="H764" s="276">
        <f t="shared" si="24"/>
        <v>0</v>
      </c>
      <c r="I764" s="276">
        <f>'Planning Engine'!H2018</f>
        <v>0</v>
      </c>
      <c r="J764" s="277">
        <f ca="1">'Planning Engine'!J2018</f>
        <v>0</v>
      </c>
      <c r="K764" s="276">
        <f ca="1">'Planning Engine'!K2018</f>
        <v>0</v>
      </c>
      <c r="L764" s="278" t="str">
        <f>'Planning Engine'!L2018</f>
        <v>High</v>
      </c>
      <c r="M764" s="358">
        <f>'Planning Engine'!S2018</f>
        <v>47300</v>
      </c>
      <c r="N764" s="276">
        <f>'Planning Engine'!T2018</f>
        <v>0</v>
      </c>
      <c r="O764" s="359" cm="1">
        <f t="array" ref="O764">IFERROR(SUMPRODUCT(('Planning Engine'!$B$4:$B$2500="188mg LP - EU Stock")*('Planning Engine'!$A$4:$A$2500='Planning Engine'!A2018)*'Planning Engine'!$U$4:$U$2500),"--")</f>
        <v>0</v>
      </c>
      <c r="P764" s="278" t="str">
        <f t="shared" si="25"/>
        <v>⚠ Expedite production / source alternate</v>
      </c>
    </row>
    <row r="765" spans="1:16" x14ac:dyDescent="0.35">
      <c r="A765" s="360">
        <f>'Planning Engine'!A2019</f>
        <v>47423</v>
      </c>
      <c r="B765" s="269" t="s">
        <v>959</v>
      </c>
      <c r="C765" s="273" t="str">
        <f>'Planning Engine'!C2019</f>
        <v>Label/Pack</v>
      </c>
      <c r="D765" s="273" t="str">
        <f>'Planning Engine'!D2019</f>
        <v>units</v>
      </c>
      <c r="E765" s="271">
        <f>'Planning Engine'!E2019</f>
        <v>0</v>
      </c>
      <c r="F765" s="271">
        <f>'Planning Engine'!F2019</f>
        <v>0</v>
      </c>
      <c r="G765" s="271">
        <f>'Planning Engine'!G2019</f>
        <v>0</v>
      </c>
      <c r="H765" s="271">
        <f t="shared" si="24"/>
        <v>0</v>
      </c>
      <c r="I765" s="271">
        <f>'Planning Engine'!H2019</f>
        <v>0</v>
      </c>
      <c r="J765" s="272">
        <f ca="1">'Planning Engine'!J2019</f>
        <v>0</v>
      </c>
      <c r="K765" s="271">
        <f ca="1">'Planning Engine'!K2019</f>
        <v>0</v>
      </c>
      <c r="L765" s="273" t="str">
        <f>'Planning Engine'!L2019</f>
        <v>High</v>
      </c>
      <c r="M765" s="360">
        <f>'Planning Engine'!S2019</f>
        <v>47331</v>
      </c>
      <c r="N765" s="271">
        <f>'Planning Engine'!T2019</f>
        <v>0</v>
      </c>
      <c r="O765" s="361" cm="1">
        <f t="array" ref="O765">IFERROR(SUMPRODUCT(('Planning Engine'!$B$4:$B$2500="188mg LP - EU Stock")*('Planning Engine'!$A$4:$A$2500='Planning Engine'!A2019)*'Planning Engine'!$U$4:$U$2500),"--")</f>
        <v>0</v>
      </c>
      <c r="P765" s="273" t="str">
        <f t="shared" si="25"/>
        <v>⚠ Expedite production / source alternate</v>
      </c>
    </row>
    <row r="766" spans="1:16" x14ac:dyDescent="0.35">
      <c r="A766" s="358">
        <f>'Planning Engine'!A2020</f>
        <v>47453</v>
      </c>
      <c r="B766" s="274" t="s">
        <v>959</v>
      </c>
      <c r="C766" s="278" t="str">
        <f>'Planning Engine'!C2020</f>
        <v>Label/Pack</v>
      </c>
      <c r="D766" s="278" t="str">
        <f>'Planning Engine'!D2020</f>
        <v>units</v>
      </c>
      <c r="E766" s="276">
        <f>'Planning Engine'!E2020</f>
        <v>0</v>
      </c>
      <c r="F766" s="276">
        <f>'Planning Engine'!F2020</f>
        <v>0</v>
      </c>
      <c r="G766" s="276">
        <f>'Planning Engine'!G2020</f>
        <v>0</v>
      </c>
      <c r="H766" s="276">
        <f t="shared" si="24"/>
        <v>0</v>
      </c>
      <c r="I766" s="276">
        <f>'Planning Engine'!H2020</f>
        <v>0</v>
      </c>
      <c r="J766" s="277">
        <f ca="1">'Planning Engine'!J2020</f>
        <v>0</v>
      </c>
      <c r="K766" s="276">
        <f ca="1">'Planning Engine'!K2020</f>
        <v>0</v>
      </c>
      <c r="L766" s="278" t="str">
        <f>'Planning Engine'!L2020</f>
        <v>High</v>
      </c>
      <c r="M766" s="358">
        <f>'Planning Engine'!S2020</f>
        <v>47362</v>
      </c>
      <c r="N766" s="276">
        <f>'Planning Engine'!T2020</f>
        <v>0</v>
      </c>
      <c r="O766" s="359" cm="1">
        <f t="array" ref="O766">IFERROR(SUMPRODUCT(('Planning Engine'!$B$4:$B$2500="188mg LP - EU Stock")*('Planning Engine'!$A$4:$A$2500='Planning Engine'!A2020)*'Planning Engine'!$U$4:$U$2500),"--")</f>
        <v>0</v>
      </c>
      <c r="P766" s="278" t="str">
        <f t="shared" si="25"/>
        <v>⚠ Expedite production / source alternate</v>
      </c>
    </row>
    <row r="767" spans="1:16" x14ac:dyDescent="0.35">
      <c r="A767" s="360">
        <f>'Planning Engine'!A2021</f>
        <v>47484</v>
      </c>
      <c r="B767" s="269" t="s">
        <v>959</v>
      </c>
      <c r="C767" s="273" t="str">
        <f>'Planning Engine'!C2021</f>
        <v>Label/Pack</v>
      </c>
      <c r="D767" s="273" t="str">
        <f>'Planning Engine'!D2021</f>
        <v>units</v>
      </c>
      <c r="E767" s="271">
        <f>'Planning Engine'!E2021</f>
        <v>0</v>
      </c>
      <c r="F767" s="271">
        <f>'Planning Engine'!F2021</f>
        <v>0</v>
      </c>
      <c r="G767" s="271">
        <f>'Planning Engine'!G2021</f>
        <v>0</v>
      </c>
      <c r="H767" s="271">
        <f t="shared" si="24"/>
        <v>0</v>
      </c>
      <c r="I767" s="271">
        <f>'Planning Engine'!H2021</f>
        <v>0</v>
      </c>
      <c r="J767" s="272">
        <f ca="1">'Planning Engine'!J2021</f>
        <v>0</v>
      </c>
      <c r="K767" s="271">
        <f ca="1">'Planning Engine'!K2021</f>
        <v>0</v>
      </c>
      <c r="L767" s="273" t="str">
        <f>'Planning Engine'!L2021</f>
        <v>High</v>
      </c>
      <c r="M767" s="360">
        <f>'Planning Engine'!S2021</f>
        <v>47392</v>
      </c>
      <c r="N767" s="271">
        <f>'Planning Engine'!T2021</f>
        <v>0</v>
      </c>
      <c r="O767" s="361" cm="1">
        <f t="array" ref="O767">IFERROR(SUMPRODUCT(('Planning Engine'!$B$4:$B$2500="188mg LP - EU Stock")*('Planning Engine'!$A$4:$A$2500='Planning Engine'!A2021)*'Planning Engine'!$U$4:$U$2500),"--")</f>
        <v>0</v>
      </c>
      <c r="P767" s="273" t="str">
        <f t="shared" si="25"/>
        <v>⚠ Expedite production / source alternate</v>
      </c>
    </row>
    <row r="768" spans="1:16" x14ac:dyDescent="0.35">
      <c r="A768" s="358">
        <f>'Planning Engine'!A2022</f>
        <v>47515</v>
      </c>
      <c r="B768" s="274" t="s">
        <v>959</v>
      </c>
      <c r="C768" s="278" t="str">
        <f>'Planning Engine'!C2022</f>
        <v>Label/Pack</v>
      </c>
      <c r="D768" s="278" t="str">
        <f>'Planning Engine'!D2022</f>
        <v>units</v>
      </c>
      <c r="E768" s="276">
        <f>'Planning Engine'!E2022</f>
        <v>0</v>
      </c>
      <c r="F768" s="276">
        <f>'Planning Engine'!F2022</f>
        <v>0</v>
      </c>
      <c r="G768" s="276">
        <f>'Planning Engine'!G2022</f>
        <v>0</v>
      </c>
      <c r="H768" s="276">
        <f t="shared" si="24"/>
        <v>0</v>
      </c>
      <c r="I768" s="276">
        <f>'Planning Engine'!H2022</f>
        <v>0</v>
      </c>
      <c r="J768" s="277">
        <f ca="1">'Planning Engine'!J2022</f>
        <v>0</v>
      </c>
      <c r="K768" s="276">
        <f ca="1">'Planning Engine'!K2022</f>
        <v>0</v>
      </c>
      <c r="L768" s="278" t="str">
        <f>'Planning Engine'!L2022</f>
        <v>High</v>
      </c>
      <c r="M768" s="358">
        <f>'Planning Engine'!S2022</f>
        <v>47423</v>
      </c>
      <c r="N768" s="276">
        <f>'Planning Engine'!T2022</f>
        <v>0</v>
      </c>
      <c r="O768" s="359" cm="1">
        <f t="array" ref="O768">IFERROR(SUMPRODUCT(('Planning Engine'!$B$4:$B$2500="188mg LP - EU Stock")*('Planning Engine'!$A$4:$A$2500='Planning Engine'!A2022)*'Planning Engine'!$U$4:$U$2500),"--")</f>
        <v>0</v>
      </c>
      <c r="P768" s="278" t="str">
        <f t="shared" si="25"/>
        <v>⚠ Expedite production / source alternate</v>
      </c>
    </row>
    <row r="769" spans="1:16" x14ac:dyDescent="0.35">
      <c r="A769" s="360">
        <f>'Planning Engine'!A2023</f>
        <v>47543</v>
      </c>
      <c r="B769" s="269" t="s">
        <v>959</v>
      </c>
      <c r="C769" s="273" t="str">
        <f>'Planning Engine'!C2023</f>
        <v>Label/Pack</v>
      </c>
      <c r="D769" s="273" t="str">
        <f>'Planning Engine'!D2023</f>
        <v>units</v>
      </c>
      <c r="E769" s="271">
        <f>'Planning Engine'!E2023</f>
        <v>0</v>
      </c>
      <c r="F769" s="271">
        <f>'Planning Engine'!F2023</f>
        <v>0</v>
      </c>
      <c r="G769" s="271">
        <f>'Planning Engine'!G2023</f>
        <v>0</v>
      </c>
      <c r="H769" s="271">
        <f t="shared" si="24"/>
        <v>0</v>
      </c>
      <c r="I769" s="271">
        <f>'Planning Engine'!H2023</f>
        <v>0</v>
      </c>
      <c r="J769" s="272">
        <f ca="1">'Planning Engine'!J2023</f>
        <v>0</v>
      </c>
      <c r="K769" s="271">
        <f ca="1">'Planning Engine'!K2023</f>
        <v>0</v>
      </c>
      <c r="L769" s="273" t="str">
        <f>'Planning Engine'!L2023</f>
        <v>High</v>
      </c>
      <c r="M769" s="360">
        <f>'Planning Engine'!S2023</f>
        <v>47453</v>
      </c>
      <c r="N769" s="271">
        <f>'Planning Engine'!T2023</f>
        <v>0</v>
      </c>
      <c r="O769" s="361" cm="1">
        <f t="array" ref="O769">IFERROR(SUMPRODUCT(('Planning Engine'!$B$4:$B$2500="188mg LP - EU Stock")*('Planning Engine'!$A$4:$A$2500='Planning Engine'!A2023)*'Planning Engine'!$U$4:$U$2500),"--")</f>
        <v>0</v>
      </c>
      <c r="P769" s="273" t="str">
        <f t="shared" si="25"/>
        <v>⚠ Expedite production / source alternate</v>
      </c>
    </row>
    <row r="770" spans="1:16" x14ac:dyDescent="0.35">
      <c r="A770" s="358">
        <f>'Planning Engine'!A2024</f>
        <v>47574</v>
      </c>
      <c r="B770" s="274" t="s">
        <v>959</v>
      </c>
      <c r="C770" s="278" t="str">
        <f>'Planning Engine'!C2024</f>
        <v>Label/Pack</v>
      </c>
      <c r="D770" s="278" t="str">
        <f>'Planning Engine'!D2024</f>
        <v>units</v>
      </c>
      <c r="E770" s="276">
        <f>'Planning Engine'!E2024</f>
        <v>0</v>
      </c>
      <c r="F770" s="276">
        <f>'Planning Engine'!F2024</f>
        <v>0</v>
      </c>
      <c r="G770" s="276">
        <f>'Planning Engine'!G2024</f>
        <v>0</v>
      </c>
      <c r="H770" s="276">
        <f t="shared" si="24"/>
        <v>0</v>
      </c>
      <c r="I770" s="276">
        <f>'Planning Engine'!H2024</f>
        <v>0</v>
      </c>
      <c r="J770" s="277">
        <f ca="1">'Planning Engine'!J2024</f>
        <v>0</v>
      </c>
      <c r="K770" s="276">
        <f ca="1">'Planning Engine'!K2024</f>
        <v>0</v>
      </c>
      <c r="L770" s="278" t="str">
        <f>'Planning Engine'!L2024</f>
        <v>High</v>
      </c>
      <c r="M770" s="358">
        <f>'Planning Engine'!S2024</f>
        <v>47484</v>
      </c>
      <c r="N770" s="276">
        <f>'Planning Engine'!T2024</f>
        <v>0</v>
      </c>
      <c r="O770" s="359" cm="1">
        <f t="array" ref="O770">IFERROR(SUMPRODUCT(('Planning Engine'!$B$4:$B$2500="188mg LP - EU Stock")*('Planning Engine'!$A$4:$A$2500='Planning Engine'!A2024)*'Planning Engine'!$U$4:$U$2500),"--")</f>
        <v>0</v>
      </c>
      <c r="P770" s="278" t="str">
        <f t="shared" si="25"/>
        <v>⚠ Expedite production / source alternate</v>
      </c>
    </row>
    <row r="771" spans="1:16" x14ac:dyDescent="0.35">
      <c r="A771" s="360">
        <f>'Planning Engine'!A2025</f>
        <v>47604</v>
      </c>
      <c r="B771" s="269" t="s">
        <v>959</v>
      </c>
      <c r="C771" s="273" t="str">
        <f>'Planning Engine'!C2025</f>
        <v>Label/Pack</v>
      </c>
      <c r="D771" s="273" t="str">
        <f>'Planning Engine'!D2025</f>
        <v>units</v>
      </c>
      <c r="E771" s="271">
        <f>'Planning Engine'!E2025</f>
        <v>0</v>
      </c>
      <c r="F771" s="271">
        <f>'Planning Engine'!F2025</f>
        <v>0</v>
      </c>
      <c r="G771" s="271">
        <f>'Planning Engine'!G2025</f>
        <v>0</v>
      </c>
      <c r="H771" s="271">
        <f t="shared" si="24"/>
        <v>0</v>
      </c>
      <c r="I771" s="271">
        <f>'Planning Engine'!H2025</f>
        <v>0</v>
      </c>
      <c r="J771" s="272">
        <f ca="1">'Planning Engine'!J2025</f>
        <v>0</v>
      </c>
      <c r="K771" s="271">
        <f ca="1">'Planning Engine'!K2025</f>
        <v>0</v>
      </c>
      <c r="L771" s="273" t="str">
        <f>'Planning Engine'!L2025</f>
        <v>High</v>
      </c>
      <c r="M771" s="360">
        <f>'Planning Engine'!S2025</f>
        <v>47515</v>
      </c>
      <c r="N771" s="271">
        <f>'Planning Engine'!T2025</f>
        <v>0</v>
      </c>
      <c r="O771" s="361" cm="1">
        <f t="array" ref="O771">IFERROR(SUMPRODUCT(('Planning Engine'!$B$4:$B$2500="188mg LP - EU Stock")*('Planning Engine'!$A$4:$A$2500='Planning Engine'!A2025)*'Planning Engine'!$U$4:$U$2500),"--")</f>
        <v>0</v>
      </c>
      <c r="P771" s="273" t="str">
        <f t="shared" si="25"/>
        <v>⚠ Expedite production / source alternate</v>
      </c>
    </row>
    <row r="772" spans="1:16" x14ac:dyDescent="0.35">
      <c r="A772" s="358">
        <f>'Planning Engine'!A2026</f>
        <v>47635</v>
      </c>
      <c r="B772" s="274" t="s">
        <v>959</v>
      </c>
      <c r="C772" s="278" t="str">
        <f>'Planning Engine'!C2026</f>
        <v>Label/Pack</v>
      </c>
      <c r="D772" s="278" t="str">
        <f>'Planning Engine'!D2026</f>
        <v>units</v>
      </c>
      <c r="E772" s="276">
        <f>'Planning Engine'!E2026</f>
        <v>0</v>
      </c>
      <c r="F772" s="276">
        <f>'Planning Engine'!F2026</f>
        <v>0</v>
      </c>
      <c r="G772" s="276">
        <f>'Planning Engine'!G2026</f>
        <v>0</v>
      </c>
      <c r="H772" s="276">
        <f t="shared" si="24"/>
        <v>0</v>
      </c>
      <c r="I772" s="276">
        <f>'Planning Engine'!H2026</f>
        <v>0</v>
      </c>
      <c r="J772" s="277">
        <f ca="1">'Planning Engine'!J2026</f>
        <v>0</v>
      </c>
      <c r="K772" s="276">
        <f ca="1">'Planning Engine'!K2026</f>
        <v>0</v>
      </c>
      <c r="L772" s="278" t="str">
        <f>'Planning Engine'!L2026</f>
        <v>High</v>
      </c>
      <c r="M772" s="358">
        <f>'Planning Engine'!S2026</f>
        <v>47543</v>
      </c>
      <c r="N772" s="276">
        <f>'Planning Engine'!T2026</f>
        <v>0</v>
      </c>
      <c r="O772" s="359" cm="1">
        <f t="array" ref="O772">IFERROR(SUMPRODUCT(('Planning Engine'!$B$4:$B$2500="188mg LP - EU Stock")*('Planning Engine'!$A$4:$A$2500='Planning Engine'!A2026)*'Planning Engine'!$U$4:$U$2500),"--")</f>
        <v>0</v>
      </c>
      <c r="P772" s="278" t="str">
        <f t="shared" si="25"/>
        <v>⚠ Expedite production / source alternate</v>
      </c>
    </row>
    <row r="773" spans="1:16" x14ac:dyDescent="0.35">
      <c r="A773" s="360">
        <f>'Planning Engine'!A2027</f>
        <v>47665</v>
      </c>
      <c r="B773" s="269" t="s">
        <v>959</v>
      </c>
      <c r="C773" s="273" t="str">
        <f>'Planning Engine'!C2027</f>
        <v>Label/Pack</v>
      </c>
      <c r="D773" s="273" t="str">
        <f>'Planning Engine'!D2027</f>
        <v>units</v>
      </c>
      <c r="E773" s="271">
        <f>'Planning Engine'!E2027</f>
        <v>0</v>
      </c>
      <c r="F773" s="271">
        <f>'Planning Engine'!F2027</f>
        <v>0</v>
      </c>
      <c r="G773" s="271">
        <f>'Planning Engine'!G2027</f>
        <v>0</v>
      </c>
      <c r="H773" s="271">
        <f t="shared" si="24"/>
        <v>0</v>
      </c>
      <c r="I773" s="271">
        <f>'Planning Engine'!H2027</f>
        <v>0</v>
      </c>
      <c r="J773" s="272">
        <f ca="1">'Planning Engine'!J2027</f>
        <v>0</v>
      </c>
      <c r="K773" s="271">
        <f ca="1">'Planning Engine'!K2027</f>
        <v>0</v>
      </c>
      <c r="L773" s="273" t="str">
        <f>'Planning Engine'!L2027</f>
        <v>High</v>
      </c>
      <c r="M773" s="360">
        <f>'Planning Engine'!S2027</f>
        <v>47574</v>
      </c>
      <c r="N773" s="271">
        <f>'Planning Engine'!T2027</f>
        <v>0</v>
      </c>
      <c r="O773" s="361" cm="1">
        <f t="array" ref="O773">IFERROR(SUMPRODUCT(('Planning Engine'!$B$4:$B$2500="188mg LP - EU Stock")*('Planning Engine'!$A$4:$A$2500='Planning Engine'!A2027)*'Planning Engine'!$U$4:$U$2500),"--")</f>
        <v>0</v>
      </c>
      <c r="P773" s="273" t="str">
        <f t="shared" si="25"/>
        <v>⚠ Expedite production / source alternate</v>
      </c>
    </row>
    <row r="774" spans="1:16" x14ac:dyDescent="0.35">
      <c r="A774" s="358">
        <f>'Planning Engine'!A2028</f>
        <v>47696</v>
      </c>
      <c r="B774" s="274" t="s">
        <v>959</v>
      </c>
      <c r="C774" s="278" t="str">
        <f>'Planning Engine'!C2028</f>
        <v>Label/Pack</v>
      </c>
      <c r="D774" s="278" t="str">
        <f>'Planning Engine'!D2028</f>
        <v>units</v>
      </c>
      <c r="E774" s="276">
        <f>'Planning Engine'!E2028</f>
        <v>0</v>
      </c>
      <c r="F774" s="276">
        <f>'Planning Engine'!F2028</f>
        <v>0</v>
      </c>
      <c r="G774" s="276">
        <f>'Planning Engine'!G2028</f>
        <v>0</v>
      </c>
      <c r="H774" s="276">
        <f t="shared" si="24"/>
        <v>0</v>
      </c>
      <c r="I774" s="276">
        <f>'Planning Engine'!H2028</f>
        <v>0</v>
      </c>
      <c r="J774" s="277">
        <f ca="1">'Planning Engine'!J2028</f>
        <v>0</v>
      </c>
      <c r="K774" s="276">
        <f ca="1">'Planning Engine'!K2028</f>
        <v>0</v>
      </c>
      <c r="L774" s="278" t="str">
        <f>'Planning Engine'!L2028</f>
        <v>High</v>
      </c>
      <c r="M774" s="358">
        <f>'Planning Engine'!S2028</f>
        <v>47604</v>
      </c>
      <c r="N774" s="276">
        <f>'Planning Engine'!T2028</f>
        <v>0</v>
      </c>
      <c r="O774" s="359" cm="1">
        <f t="array" ref="O774">IFERROR(SUMPRODUCT(('Planning Engine'!$B$4:$B$2500="188mg LP - EU Stock")*('Planning Engine'!$A$4:$A$2500='Planning Engine'!A2028)*'Planning Engine'!$U$4:$U$2500),"--")</f>
        <v>0</v>
      </c>
      <c r="P774" s="278" t="str">
        <f t="shared" si="25"/>
        <v>⚠ Expedite production / source alternate</v>
      </c>
    </row>
    <row r="775" spans="1:16" x14ac:dyDescent="0.35">
      <c r="A775" s="360">
        <f>'Planning Engine'!A2029</f>
        <v>47727</v>
      </c>
      <c r="B775" s="269" t="s">
        <v>959</v>
      </c>
      <c r="C775" s="273" t="str">
        <f>'Planning Engine'!C2029</f>
        <v>Label/Pack</v>
      </c>
      <c r="D775" s="273" t="str">
        <f>'Planning Engine'!D2029</f>
        <v>units</v>
      </c>
      <c r="E775" s="271">
        <f>'Planning Engine'!E2029</f>
        <v>0</v>
      </c>
      <c r="F775" s="271">
        <f>'Planning Engine'!F2029</f>
        <v>0</v>
      </c>
      <c r="G775" s="271">
        <f>'Planning Engine'!G2029</f>
        <v>0</v>
      </c>
      <c r="H775" s="271">
        <f t="shared" si="24"/>
        <v>0</v>
      </c>
      <c r="I775" s="271">
        <f>'Planning Engine'!H2029</f>
        <v>0</v>
      </c>
      <c r="J775" s="272">
        <f ca="1">'Planning Engine'!J2029</f>
        <v>0</v>
      </c>
      <c r="K775" s="271">
        <f ca="1">'Planning Engine'!K2029</f>
        <v>0</v>
      </c>
      <c r="L775" s="273" t="str">
        <f>'Planning Engine'!L2029</f>
        <v>High</v>
      </c>
      <c r="M775" s="360">
        <f>'Planning Engine'!S2029</f>
        <v>47635</v>
      </c>
      <c r="N775" s="271">
        <f>'Planning Engine'!T2029</f>
        <v>0</v>
      </c>
      <c r="O775" s="361" cm="1">
        <f t="array" ref="O775">IFERROR(SUMPRODUCT(('Planning Engine'!$B$4:$B$2500="188mg LP - EU Stock")*('Planning Engine'!$A$4:$A$2500='Planning Engine'!A2029)*'Planning Engine'!$U$4:$U$2500),"--")</f>
        <v>0</v>
      </c>
      <c r="P775" s="273" t="str">
        <f t="shared" si="25"/>
        <v>⚠ Expedite production / source alternate</v>
      </c>
    </row>
    <row r="776" spans="1:16" x14ac:dyDescent="0.35">
      <c r="A776" s="358">
        <f>'Planning Engine'!A2030</f>
        <v>47757</v>
      </c>
      <c r="B776" s="274" t="s">
        <v>959</v>
      </c>
      <c r="C776" s="278" t="str">
        <f>'Planning Engine'!C2030</f>
        <v>Label/Pack</v>
      </c>
      <c r="D776" s="278" t="str">
        <f>'Planning Engine'!D2030</f>
        <v>units</v>
      </c>
      <c r="E776" s="276">
        <f>'Planning Engine'!E2030</f>
        <v>0</v>
      </c>
      <c r="F776" s="276">
        <f>'Planning Engine'!F2030</f>
        <v>0</v>
      </c>
      <c r="G776" s="276">
        <f>'Planning Engine'!G2030</f>
        <v>0</v>
      </c>
      <c r="H776" s="276">
        <f t="shared" si="24"/>
        <v>0</v>
      </c>
      <c r="I776" s="276">
        <f>'Planning Engine'!H2030</f>
        <v>0</v>
      </c>
      <c r="J776" s="277">
        <f ca="1">'Planning Engine'!J2030</f>
        <v>0</v>
      </c>
      <c r="K776" s="276">
        <f ca="1">'Planning Engine'!K2030</f>
        <v>0</v>
      </c>
      <c r="L776" s="278" t="str">
        <f>'Planning Engine'!L2030</f>
        <v>High</v>
      </c>
      <c r="M776" s="358">
        <f>'Planning Engine'!S2030</f>
        <v>47665</v>
      </c>
      <c r="N776" s="276">
        <f>'Planning Engine'!T2030</f>
        <v>0</v>
      </c>
      <c r="O776" s="359" cm="1">
        <f t="array" ref="O776">IFERROR(SUMPRODUCT(('Planning Engine'!$B$4:$B$2500="188mg LP - EU Stock")*('Planning Engine'!$A$4:$A$2500='Planning Engine'!A2030)*'Planning Engine'!$U$4:$U$2500),"--")</f>
        <v>0</v>
      </c>
      <c r="P776" s="278" t="str">
        <f t="shared" si="25"/>
        <v>⚠ Expedite production / source alternate</v>
      </c>
    </row>
    <row r="777" spans="1:16" x14ac:dyDescent="0.35">
      <c r="A777" s="360">
        <f>'Planning Engine'!A2031</f>
        <v>47788</v>
      </c>
      <c r="B777" s="269" t="s">
        <v>959</v>
      </c>
      <c r="C777" s="273" t="str">
        <f>'Planning Engine'!C2031</f>
        <v>Label/Pack</v>
      </c>
      <c r="D777" s="273" t="str">
        <f>'Planning Engine'!D2031</f>
        <v>units</v>
      </c>
      <c r="E777" s="271">
        <f>'Planning Engine'!E2031</f>
        <v>0</v>
      </c>
      <c r="F777" s="271">
        <f>'Planning Engine'!F2031</f>
        <v>0</v>
      </c>
      <c r="G777" s="271">
        <f>'Planning Engine'!G2031</f>
        <v>0</v>
      </c>
      <c r="H777" s="271">
        <f t="shared" si="24"/>
        <v>0</v>
      </c>
      <c r="I777" s="271">
        <f>'Planning Engine'!H2031</f>
        <v>0</v>
      </c>
      <c r="J777" s="272">
        <f ca="1">'Planning Engine'!J2031</f>
        <v>0</v>
      </c>
      <c r="K777" s="271">
        <f ca="1">'Planning Engine'!K2031</f>
        <v>0</v>
      </c>
      <c r="L777" s="273" t="str">
        <f>'Planning Engine'!L2031</f>
        <v>High</v>
      </c>
      <c r="M777" s="360">
        <f>'Planning Engine'!S2031</f>
        <v>47696</v>
      </c>
      <c r="N777" s="271">
        <f>'Planning Engine'!T2031</f>
        <v>0</v>
      </c>
      <c r="O777" s="361" cm="1">
        <f t="array" ref="O777">IFERROR(SUMPRODUCT(('Planning Engine'!$B$4:$B$2500="188mg LP - EU Stock")*('Planning Engine'!$A$4:$A$2500='Planning Engine'!A2031)*'Planning Engine'!$U$4:$U$2500),"--")</f>
        <v>0</v>
      </c>
      <c r="P777" s="273" t="str">
        <f t="shared" si="25"/>
        <v>⚠ Expedite production / source alternate</v>
      </c>
    </row>
    <row r="778" spans="1:16" x14ac:dyDescent="0.35">
      <c r="A778" s="358">
        <f>'Planning Engine'!A2032</f>
        <v>47818</v>
      </c>
      <c r="B778" s="274" t="s">
        <v>959</v>
      </c>
      <c r="C778" s="278" t="str">
        <f>'Planning Engine'!C2032</f>
        <v>Label/Pack</v>
      </c>
      <c r="D778" s="278" t="str">
        <f>'Planning Engine'!D2032</f>
        <v>units</v>
      </c>
      <c r="E778" s="276">
        <f>'Planning Engine'!E2032</f>
        <v>0</v>
      </c>
      <c r="F778" s="276">
        <f>'Planning Engine'!F2032</f>
        <v>0</v>
      </c>
      <c r="G778" s="276">
        <f>'Planning Engine'!G2032</f>
        <v>0</v>
      </c>
      <c r="H778" s="276">
        <f t="shared" si="24"/>
        <v>0</v>
      </c>
      <c r="I778" s="276">
        <f>'Planning Engine'!H2032</f>
        <v>0</v>
      </c>
      <c r="J778" s="277">
        <f ca="1">'Planning Engine'!J2032</f>
        <v>0</v>
      </c>
      <c r="K778" s="276">
        <f ca="1">'Planning Engine'!K2032</f>
        <v>0</v>
      </c>
      <c r="L778" s="278" t="str">
        <f>'Planning Engine'!L2032</f>
        <v>High</v>
      </c>
      <c r="M778" s="358">
        <f>'Planning Engine'!S2032</f>
        <v>47727</v>
      </c>
      <c r="N778" s="276">
        <f>'Planning Engine'!T2032</f>
        <v>0</v>
      </c>
      <c r="O778" s="359" cm="1">
        <f t="array" ref="O778">IFERROR(SUMPRODUCT(('Planning Engine'!$B$4:$B$2500="188mg LP - EU Stock")*('Planning Engine'!$A$4:$A$2500='Planning Engine'!A2032)*'Planning Engine'!$U$4:$U$2500),"--")</f>
        <v>0</v>
      </c>
      <c r="P778" s="278" t="str">
        <f t="shared" si="25"/>
        <v>⚠ Expedite production / source alternate</v>
      </c>
    </row>
    <row r="779" spans="1:16" x14ac:dyDescent="0.35">
      <c r="A779" s="360">
        <f>'Planning Engine'!A2033</f>
        <v>47849</v>
      </c>
      <c r="B779" s="269" t="s">
        <v>959</v>
      </c>
      <c r="C779" s="273" t="str">
        <f>'Planning Engine'!C2033</f>
        <v>Label/Pack</v>
      </c>
      <c r="D779" s="273" t="str">
        <f>'Planning Engine'!D2033</f>
        <v>units</v>
      </c>
      <c r="E779" s="271">
        <f>'Planning Engine'!E2033</f>
        <v>0</v>
      </c>
      <c r="F779" s="271">
        <f>'Planning Engine'!F2033</f>
        <v>0</v>
      </c>
      <c r="G779" s="271">
        <f>'Planning Engine'!G2033</f>
        <v>0</v>
      </c>
      <c r="H779" s="271">
        <f t="shared" si="24"/>
        <v>0</v>
      </c>
      <c r="I779" s="271">
        <f>'Planning Engine'!H2033</f>
        <v>0</v>
      </c>
      <c r="J779" s="272">
        <f ca="1">'Planning Engine'!J2033</f>
        <v>0</v>
      </c>
      <c r="K779" s="271">
        <f ca="1">'Planning Engine'!K2033</f>
        <v>0</v>
      </c>
      <c r="L779" s="273" t="str">
        <f>'Planning Engine'!L2033</f>
        <v>High</v>
      </c>
      <c r="M779" s="360">
        <f>'Planning Engine'!S2033</f>
        <v>47757</v>
      </c>
      <c r="N779" s="271">
        <f>'Planning Engine'!T2033</f>
        <v>0</v>
      </c>
      <c r="O779" s="361" cm="1">
        <f t="array" ref="O779">IFERROR(SUMPRODUCT(('Planning Engine'!$B$4:$B$2500="188mg LP - EU Stock")*('Planning Engine'!$A$4:$A$2500='Planning Engine'!A2033)*'Planning Engine'!$U$4:$U$2500),"--")</f>
        <v>0</v>
      </c>
      <c r="P779" s="273" t="str">
        <f t="shared" si="25"/>
        <v>⚠ Expedite production / source alternate</v>
      </c>
    </row>
    <row r="780" spans="1:16" x14ac:dyDescent="0.35">
      <c r="A780" s="358">
        <f>'Planning Engine'!A2034</f>
        <v>47880</v>
      </c>
      <c r="B780" s="274" t="s">
        <v>959</v>
      </c>
      <c r="C780" s="278" t="str">
        <f>'Planning Engine'!C2034</f>
        <v>Label/Pack</v>
      </c>
      <c r="D780" s="278" t="str">
        <f>'Planning Engine'!D2034</f>
        <v>units</v>
      </c>
      <c r="E780" s="276">
        <f>'Planning Engine'!E2034</f>
        <v>0</v>
      </c>
      <c r="F780" s="276">
        <f>'Planning Engine'!F2034</f>
        <v>0</v>
      </c>
      <c r="G780" s="276">
        <f>'Planning Engine'!G2034</f>
        <v>0</v>
      </c>
      <c r="H780" s="276">
        <f t="shared" si="24"/>
        <v>0</v>
      </c>
      <c r="I780" s="276">
        <f>'Planning Engine'!H2034</f>
        <v>0</v>
      </c>
      <c r="J780" s="277">
        <f ca="1">'Planning Engine'!J2034</f>
        <v>0</v>
      </c>
      <c r="K780" s="276">
        <f ca="1">'Planning Engine'!K2034</f>
        <v>0</v>
      </c>
      <c r="L780" s="278" t="str">
        <f>'Planning Engine'!L2034</f>
        <v>High</v>
      </c>
      <c r="M780" s="358">
        <f>'Planning Engine'!S2034</f>
        <v>47788</v>
      </c>
      <c r="N780" s="276">
        <f>'Planning Engine'!T2034</f>
        <v>0</v>
      </c>
      <c r="O780" s="359" cm="1">
        <f t="array" ref="O780">IFERROR(SUMPRODUCT(('Planning Engine'!$B$4:$B$2500="188mg LP - EU Stock")*('Planning Engine'!$A$4:$A$2500='Planning Engine'!A2034)*'Planning Engine'!$U$4:$U$2500),"--")</f>
        <v>0</v>
      </c>
      <c r="P780" s="278" t="str">
        <f t="shared" si="25"/>
        <v>⚠ Expedite production / source alternate</v>
      </c>
    </row>
    <row r="781" spans="1:16" x14ac:dyDescent="0.35">
      <c r="A781" s="360">
        <f>'Planning Engine'!A2035</f>
        <v>47908</v>
      </c>
      <c r="B781" s="269" t="s">
        <v>959</v>
      </c>
      <c r="C781" s="273" t="str">
        <f>'Planning Engine'!C2035</f>
        <v>Label/Pack</v>
      </c>
      <c r="D781" s="273" t="str">
        <f>'Planning Engine'!D2035</f>
        <v>units</v>
      </c>
      <c r="E781" s="271">
        <f>'Planning Engine'!E2035</f>
        <v>0</v>
      </c>
      <c r="F781" s="271">
        <f>'Planning Engine'!F2035</f>
        <v>0</v>
      </c>
      <c r="G781" s="271">
        <f>'Planning Engine'!G2035</f>
        <v>0</v>
      </c>
      <c r="H781" s="271">
        <f t="shared" si="24"/>
        <v>0</v>
      </c>
      <c r="I781" s="271">
        <f>'Planning Engine'!H2035</f>
        <v>0</v>
      </c>
      <c r="J781" s="272">
        <f ca="1">'Planning Engine'!J2035</f>
        <v>0</v>
      </c>
      <c r="K781" s="271">
        <f ca="1">'Planning Engine'!K2035</f>
        <v>0</v>
      </c>
      <c r="L781" s="273" t="str">
        <f>'Planning Engine'!L2035</f>
        <v>High</v>
      </c>
      <c r="M781" s="360">
        <f>'Planning Engine'!S2035</f>
        <v>47818</v>
      </c>
      <c r="N781" s="271">
        <f>'Planning Engine'!T2035</f>
        <v>0</v>
      </c>
      <c r="O781" s="361" cm="1">
        <f t="array" ref="O781">IFERROR(SUMPRODUCT(('Planning Engine'!$B$4:$B$2500="188mg LP - EU Stock")*('Planning Engine'!$A$4:$A$2500='Planning Engine'!A2035)*'Planning Engine'!$U$4:$U$2500),"--")</f>
        <v>0</v>
      </c>
      <c r="P781" s="273" t="str">
        <f t="shared" si="25"/>
        <v>⚠ Expedite production / source alternate</v>
      </c>
    </row>
    <row r="782" spans="1:16" x14ac:dyDescent="0.35">
      <c r="A782" s="358">
        <f>'Planning Engine'!A2036</f>
        <v>47939</v>
      </c>
      <c r="B782" s="274" t="s">
        <v>959</v>
      </c>
      <c r="C782" s="278" t="str">
        <f>'Planning Engine'!C2036</f>
        <v>Label/Pack</v>
      </c>
      <c r="D782" s="278" t="str">
        <f>'Planning Engine'!D2036</f>
        <v>units</v>
      </c>
      <c r="E782" s="276">
        <f>'Planning Engine'!E2036</f>
        <v>0</v>
      </c>
      <c r="F782" s="276">
        <f>'Planning Engine'!F2036</f>
        <v>0</v>
      </c>
      <c r="G782" s="276">
        <f>'Planning Engine'!G2036</f>
        <v>0</v>
      </c>
      <c r="H782" s="276">
        <f t="shared" si="24"/>
        <v>0</v>
      </c>
      <c r="I782" s="276">
        <f>'Planning Engine'!H2036</f>
        <v>0</v>
      </c>
      <c r="J782" s="277">
        <f ca="1">'Planning Engine'!J2036</f>
        <v>0</v>
      </c>
      <c r="K782" s="276">
        <f ca="1">'Planning Engine'!K2036</f>
        <v>0</v>
      </c>
      <c r="L782" s="278" t="str">
        <f>'Planning Engine'!L2036</f>
        <v>High</v>
      </c>
      <c r="M782" s="358">
        <f>'Planning Engine'!S2036</f>
        <v>47849</v>
      </c>
      <c r="N782" s="276">
        <f>'Planning Engine'!T2036</f>
        <v>0</v>
      </c>
      <c r="O782" s="359" cm="1">
        <f t="array" ref="O782">IFERROR(SUMPRODUCT(('Planning Engine'!$B$4:$B$2500="188mg LP - EU Stock")*('Planning Engine'!$A$4:$A$2500='Planning Engine'!A2036)*'Planning Engine'!$U$4:$U$2500),"--")</f>
        <v>0</v>
      </c>
      <c r="P782" s="278" t="str">
        <f t="shared" si="25"/>
        <v>⚠ Expedite production / source alternate</v>
      </c>
    </row>
    <row r="783" spans="1:16" x14ac:dyDescent="0.35">
      <c r="A783" s="360">
        <f>'Planning Engine'!A2037</f>
        <v>47969</v>
      </c>
      <c r="B783" s="269" t="s">
        <v>959</v>
      </c>
      <c r="C783" s="273" t="str">
        <f>'Planning Engine'!C2037</f>
        <v>Label/Pack</v>
      </c>
      <c r="D783" s="273" t="str">
        <f>'Planning Engine'!D2037</f>
        <v>units</v>
      </c>
      <c r="E783" s="271">
        <f>'Planning Engine'!E2037</f>
        <v>0</v>
      </c>
      <c r="F783" s="271">
        <f>'Planning Engine'!F2037</f>
        <v>0</v>
      </c>
      <c r="G783" s="271">
        <f>'Planning Engine'!G2037</f>
        <v>0</v>
      </c>
      <c r="H783" s="271">
        <f t="shared" si="24"/>
        <v>0</v>
      </c>
      <c r="I783" s="271">
        <f>'Planning Engine'!H2037</f>
        <v>0</v>
      </c>
      <c r="J783" s="272">
        <f ca="1">'Planning Engine'!J2037</f>
        <v>0</v>
      </c>
      <c r="K783" s="271">
        <f ca="1">'Planning Engine'!K2037</f>
        <v>0</v>
      </c>
      <c r="L783" s="273" t="str">
        <f>'Planning Engine'!L2037</f>
        <v>High</v>
      </c>
      <c r="M783" s="360">
        <f>'Planning Engine'!S2037</f>
        <v>47880</v>
      </c>
      <c r="N783" s="271">
        <f>'Planning Engine'!T2037</f>
        <v>0</v>
      </c>
      <c r="O783" s="361" cm="1">
        <f t="array" ref="O783">IFERROR(SUMPRODUCT(('Planning Engine'!$B$4:$B$2500="188mg LP - EU Stock")*('Planning Engine'!$A$4:$A$2500='Planning Engine'!A2037)*'Planning Engine'!$U$4:$U$2500),"--")</f>
        <v>0</v>
      </c>
      <c r="P783" s="273" t="str">
        <f t="shared" si="25"/>
        <v>⚠ Expedite production / source alternate</v>
      </c>
    </row>
    <row r="784" spans="1:16" x14ac:dyDescent="0.35">
      <c r="A784" s="358">
        <f>'Planning Engine'!A2038</f>
        <v>48000</v>
      </c>
      <c r="B784" s="274" t="s">
        <v>959</v>
      </c>
      <c r="C784" s="278" t="str">
        <f>'Planning Engine'!C2038</f>
        <v>Label/Pack</v>
      </c>
      <c r="D784" s="278" t="str">
        <f>'Planning Engine'!D2038</f>
        <v>units</v>
      </c>
      <c r="E784" s="276">
        <f>'Planning Engine'!E2038</f>
        <v>0</v>
      </c>
      <c r="F784" s="276">
        <f>'Planning Engine'!F2038</f>
        <v>0</v>
      </c>
      <c r="G784" s="276">
        <f>'Planning Engine'!G2038</f>
        <v>0</v>
      </c>
      <c r="H784" s="276">
        <f t="shared" si="24"/>
        <v>0</v>
      </c>
      <c r="I784" s="276">
        <f>'Planning Engine'!H2038</f>
        <v>0</v>
      </c>
      <c r="J784" s="277">
        <f ca="1">'Planning Engine'!J2038</f>
        <v>0</v>
      </c>
      <c r="K784" s="276">
        <f ca="1">'Planning Engine'!K2038</f>
        <v>0</v>
      </c>
      <c r="L784" s="278" t="str">
        <f>'Planning Engine'!L2038</f>
        <v>High</v>
      </c>
      <c r="M784" s="358">
        <f>'Planning Engine'!S2038</f>
        <v>47908</v>
      </c>
      <c r="N784" s="276">
        <f>'Planning Engine'!T2038</f>
        <v>0</v>
      </c>
      <c r="O784" s="359" cm="1">
        <f t="array" ref="O784">IFERROR(SUMPRODUCT(('Planning Engine'!$B$4:$B$2500="188mg LP - EU Stock")*('Planning Engine'!$A$4:$A$2500='Planning Engine'!A2038)*'Planning Engine'!$U$4:$U$2500),"--")</f>
        <v>0</v>
      </c>
      <c r="P784" s="278" t="str">
        <f t="shared" si="25"/>
        <v>⚠ Expedite production / source alternate</v>
      </c>
    </row>
    <row r="785" spans="1:16" x14ac:dyDescent="0.35">
      <c r="A785" s="360">
        <f>'Planning Engine'!A2039</f>
        <v>48030</v>
      </c>
      <c r="B785" s="269" t="s">
        <v>959</v>
      </c>
      <c r="C785" s="273" t="str">
        <f>'Planning Engine'!C2039</f>
        <v>Label/Pack</v>
      </c>
      <c r="D785" s="273" t="str">
        <f>'Planning Engine'!D2039</f>
        <v>units</v>
      </c>
      <c r="E785" s="271">
        <f>'Planning Engine'!E2039</f>
        <v>0</v>
      </c>
      <c r="F785" s="271">
        <f>'Planning Engine'!F2039</f>
        <v>0</v>
      </c>
      <c r="G785" s="271">
        <f>'Planning Engine'!G2039</f>
        <v>0</v>
      </c>
      <c r="H785" s="271">
        <f t="shared" ref="H785:H848" si="26">G785-F785</f>
        <v>0</v>
      </c>
      <c r="I785" s="271">
        <f>'Planning Engine'!H2039</f>
        <v>0</v>
      </c>
      <c r="J785" s="272">
        <f ca="1">'Planning Engine'!J2039</f>
        <v>0</v>
      </c>
      <c r="K785" s="271">
        <f ca="1">'Planning Engine'!K2039</f>
        <v>0</v>
      </c>
      <c r="L785" s="273" t="str">
        <f>'Planning Engine'!L2039</f>
        <v>High</v>
      </c>
      <c r="M785" s="360">
        <f>'Planning Engine'!S2039</f>
        <v>47939</v>
      </c>
      <c r="N785" s="271">
        <f>'Planning Engine'!T2039</f>
        <v>0</v>
      </c>
      <c r="O785" s="361" cm="1">
        <f t="array" ref="O785">IFERROR(SUMPRODUCT(('Planning Engine'!$B$4:$B$2500="188mg LP - EU Stock")*('Planning Engine'!$A$4:$A$2500='Planning Engine'!A2039)*'Planning Engine'!$U$4:$U$2500),"--")</f>
        <v>0</v>
      </c>
      <c r="P785" s="273" t="str">
        <f t="shared" ref="P785:P848" si="27">IFERROR(IF(L785="High","⚠ Expedite production / source alternate",IF(L785="Medium","Plan additional batches",IF(L785="Overstock","Defer / consume inventory","Plan acceptable"))),"--")</f>
        <v>⚠ Expedite production / source alternate</v>
      </c>
    </row>
    <row r="786" spans="1:16" x14ac:dyDescent="0.35">
      <c r="A786" s="358">
        <f>'Planning Engine'!A2040</f>
        <v>48061</v>
      </c>
      <c r="B786" s="274" t="s">
        <v>959</v>
      </c>
      <c r="C786" s="278" t="str">
        <f>'Planning Engine'!C2040</f>
        <v>Label/Pack</v>
      </c>
      <c r="D786" s="278" t="str">
        <f>'Planning Engine'!D2040</f>
        <v>units</v>
      </c>
      <c r="E786" s="276">
        <f>'Planning Engine'!E2040</f>
        <v>0</v>
      </c>
      <c r="F786" s="276">
        <f>'Planning Engine'!F2040</f>
        <v>0</v>
      </c>
      <c r="G786" s="276">
        <f>'Planning Engine'!G2040</f>
        <v>0</v>
      </c>
      <c r="H786" s="276">
        <f t="shared" si="26"/>
        <v>0</v>
      </c>
      <c r="I786" s="276">
        <f>'Planning Engine'!H2040</f>
        <v>0</v>
      </c>
      <c r="J786" s="277">
        <f ca="1">'Planning Engine'!J2040</f>
        <v>0</v>
      </c>
      <c r="K786" s="276">
        <f ca="1">'Planning Engine'!K2040</f>
        <v>0</v>
      </c>
      <c r="L786" s="278" t="str">
        <f>'Planning Engine'!L2040</f>
        <v>High</v>
      </c>
      <c r="M786" s="358">
        <f>'Planning Engine'!S2040</f>
        <v>47969</v>
      </c>
      <c r="N786" s="276">
        <f>'Planning Engine'!T2040</f>
        <v>0</v>
      </c>
      <c r="O786" s="359" cm="1">
        <f t="array" ref="O786">IFERROR(SUMPRODUCT(('Planning Engine'!$B$4:$B$2500="188mg LP - EU Stock")*('Planning Engine'!$A$4:$A$2500='Planning Engine'!A2040)*'Planning Engine'!$U$4:$U$2500),"--")</f>
        <v>0</v>
      </c>
      <c r="P786" s="278" t="str">
        <f t="shared" si="27"/>
        <v>⚠ Expedite production / source alternate</v>
      </c>
    </row>
    <row r="787" spans="1:16" x14ac:dyDescent="0.35">
      <c r="A787" s="360">
        <f>'Planning Engine'!A2041</f>
        <v>48092</v>
      </c>
      <c r="B787" s="269" t="s">
        <v>959</v>
      </c>
      <c r="C787" s="273" t="str">
        <f>'Planning Engine'!C2041</f>
        <v>Label/Pack</v>
      </c>
      <c r="D787" s="273" t="str">
        <f>'Planning Engine'!D2041</f>
        <v>units</v>
      </c>
      <c r="E787" s="271">
        <f>'Planning Engine'!E2041</f>
        <v>0</v>
      </c>
      <c r="F787" s="271">
        <f>'Planning Engine'!F2041</f>
        <v>0</v>
      </c>
      <c r="G787" s="271">
        <f>'Planning Engine'!G2041</f>
        <v>0</v>
      </c>
      <c r="H787" s="271">
        <f t="shared" si="26"/>
        <v>0</v>
      </c>
      <c r="I787" s="271">
        <f>'Planning Engine'!H2041</f>
        <v>0</v>
      </c>
      <c r="J787" s="272">
        <f ca="1">'Planning Engine'!J2041</f>
        <v>0</v>
      </c>
      <c r="K787" s="271">
        <f ca="1">'Planning Engine'!K2041</f>
        <v>0</v>
      </c>
      <c r="L787" s="273" t="str">
        <f>'Planning Engine'!L2041</f>
        <v>High</v>
      </c>
      <c r="M787" s="360">
        <f>'Planning Engine'!S2041</f>
        <v>48000</v>
      </c>
      <c r="N787" s="271">
        <f>'Planning Engine'!T2041</f>
        <v>0</v>
      </c>
      <c r="O787" s="361" cm="1">
        <f t="array" ref="O787">IFERROR(SUMPRODUCT(('Planning Engine'!$B$4:$B$2500="188mg LP - EU Stock")*('Planning Engine'!$A$4:$A$2500='Planning Engine'!A2041)*'Planning Engine'!$U$4:$U$2500),"--")</f>
        <v>0</v>
      </c>
      <c r="P787" s="273" t="str">
        <f t="shared" si="27"/>
        <v>⚠ Expedite production / source alternate</v>
      </c>
    </row>
    <row r="788" spans="1:16" x14ac:dyDescent="0.35">
      <c r="A788" s="358">
        <f>'Planning Engine'!A2042</f>
        <v>48122</v>
      </c>
      <c r="B788" s="274" t="s">
        <v>959</v>
      </c>
      <c r="C788" s="278" t="str">
        <f>'Planning Engine'!C2042</f>
        <v>Label/Pack</v>
      </c>
      <c r="D788" s="278" t="str">
        <f>'Planning Engine'!D2042</f>
        <v>units</v>
      </c>
      <c r="E788" s="276">
        <f>'Planning Engine'!E2042</f>
        <v>0</v>
      </c>
      <c r="F788" s="276">
        <f>'Planning Engine'!F2042</f>
        <v>0</v>
      </c>
      <c r="G788" s="276">
        <f>'Planning Engine'!G2042</f>
        <v>0</v>
      </c>
      <c r="H788" s="276">
        <f t="shared" si="26"/>
        <v>0</v>
      </c>
      <c r="I788" s="276">
        <f>'Planning Engine'!H2042</f>
        <v>0</v>
      </c>
      <c r="J788" s="277">
        <f ca="1">'Planning Engine'!J2042</f>
        <v>0</v>
      </c>
      <c r="K788" s="276">
        <f ca="1">'Planning Engine'!K2042</f>
        <v>0</v>
      </c>
      <c r="L788" s="278" t="str">
        <f>'Planning Engine'!L2042</f>
        <v>High</v>
      </c>
      <c r="M788" s="358">
        <f>'Planning Engine'!S2042</f>
        <v>48030</v>
      </c>
      <c r="N788" s="276">
        <f>'Planning Engine'!T2042</f>
        <v>0</v>
      </c>
      <c r="O788" s="359" cm="1">
        <f t="array" ref="O788">IFERROR(SUMPRODUCT(('Planning Engine'!$B$4:$B$2500="188mg LP - EU Stock")*('Planning Engine'!$A$4:$A$2500='Planning Engine'!A2042)*'Planning Engine'!$U$4:$U$2500),"--")</f>
        <v>0</v>
      </c>
      <c r="P788" s="278" t="str">
        <f t="shared" si="27"/>
        <v>⚠ Expedite production / source alternate</v>
      </c>
    </row>
    <row r="789" spans="1:16" x14ac:dyDescent="0.35">
      <c r="A789" s="360">
        <f>'Planning Engine'!A2043</f>
        <v>48153</v>
      </c>
      <c r="B789" s="269" t="s">
        <v>959</v>
      </c>
      <c r="C789" s="273" t="str">
        <f>'Planning Engine'!C2043</f>
        <v>Label/Pack</v>
      </c>
      <c r="D789" s="273" t="str">
        <f>'Planning Engine'!D2043</f>
        <v>units</v>
      </c>
      <c r="E789" s="271">
        <f>'Planning Engine'!E2043</f>
        <v>0</v>
      </c>
      <c r="F789" s="271">
        <f>'Planning Engine'!F2043</f>
        <v>0</v>
      </c>
      <c r="G789" s="271">
        <f>'Planning Engine'!G2043</f>
        <v>0</v>
      </c>
      <c r="H789" s="271">
        <f t="shared" si="26"/>
        <v>0</v>
      </c>
      <c r="I789" s="271">
        <f>'Planning Engine'!H2043</f>
        <v>0</v>
      </c>
      <c r="J789" s="272">
        <f ca="1">'Planning Engine'!J2043</f>
        <v>0</v>
      </c>
      <c r="K789" s="271">
        <f ca="1">'Planning Engine'!K2043</f>
        <v>0</v>
      </c>
      <c r="L789" s="273" t="str">
        <f>'Planning Engine'!L2043</f>
        <v>High</v>
      </c>
      <c r="M789" s="360">
        <f>'Planning Engine'!S2043</f>
        <v>48061</v>
      </c>
      <c r="N789" s="271">
        <f>'Planning Engine'!T2043</f>
        <v>0</v>
      </c>
      <c r="O789" s="361" cm="1">
        <f t="array" ref="O789">IFERROR(SUMPRODUCT(('Planning Engine'!$B$4:$B$2500="188mg LP - EU Stock")*('Planning Engine'!$A$4:$A$2500='Planning Engine'!A2043)*'Planning Engine'!$U$4:$U$2500),"--")</f>
        <v>0</v>
      </c>
      <c r="P789" s="273" t="str">
        <f t="shared" si="27"/>
        <v>⚠ Expedite production / source alternate</v>
      </c>
    </row>
    <row r="790" spans="1:16" x14ac:dyDescent="0.35">
      <c r="A790" s="358">
        <f>'Planning Engine'!A2044</f>
        <v>48183</v>
      </c>
      <c r="B790" s="274" t="s">
        <v>959</v>
      </c>
      <c r="C790" s="278" t="str">
        <f>'Planning Engine'!C2044</f>
        <v>Label/Pack</v>
      </c>
      <c r="D790" s="278" t="str">
        <f>'Planning Engine'!D2044</f>
        <v>units</v>
      </c>
      <c r="E790" s="276">
        <f>'Planning Engine'!E2044</f>
        <v>0</v>
      </c>
      <c r="F790" s="276">
        <f>'Planning Engine'!F2044</f>
        <v>0</v>
      </c>
      <c r="G790" s="276">
        <f>'Planning Engine'!G2044</f>
        <v>0</v>
      </c>
      <c r="H790" s="276">
        <f t="shared" si="26"/>
        <v>0</v>
      </c>
      <c r="I790" s="276">
        <f>'Planning Engine'!H2044</f>
        <v>0</v>
      </c>
      <c r="J790" s="277">
        <f ca="1">'Planning Engine'!J2044</f>
        <v>0</v>
      </c>
      <c r="K790" s="276">
        <f ca="1">'Planning Engine'!K2044</f>
        <v>0</v>
      </c>
      <c r="L790" s="278" t="str">
        <f>'Planning Engine'!L2044</f>
        <v>High</v>
      </c>
      <c r="M790" s="358">
        <f>'Planning Engine'!S2044</f>
        <v>48092</v>
      </c>
      <c r="N790" s="276">
        <f>'Planning Engine'!T2044</f>
        <v>0</v>
      </c>
      <c r="O790" s="359" cm="1">
        <f t="array" ref="O790">IFERROR(SUMPRODUCT(('Planning Engine'!$B$4:$B$2500="188mg LP - EU Stock")*('Planning Engine'!$A$4:$A$2500='Planning Engine'!A2044)*'Planning Engine'!$U$4:$U$2500),"--")</f>
        <v>0</v>
      </c>
      <c r="P790" s="278" t="str">
        <f t="shared" si="27"/>
        <v>⚠ Expedite production / source alternate</v>
      </c>
    </row>
    <row r="791" spans="1:16" x14ac:dyDescent="0.35">
      <c r="A791" s="360">
        <f>'Planning Engine'!A2045</f>
        <v>48214</v>
      </c>
      <c r="B791" s="269" t="s">
        <v>959</v>
      </c>
      <c r="C791" s="273" t="str">
        <f>'Planning Engine'!C2045</f>
        <v>Label/Pack</v>
      </c>
      <c r="D791" s="273" t="str">
        <f>'Planning Engine'!D2045</f>
        <v>units</v>
      </c>
      <c r="E791" s="271">
        <f>'Planning Engine'!E2045</f>
        <v>0</v>
      </c>
      <c r="F791" s="271">
        <f>'Planning Engine'!F2045</f>
        <v>0</v>
      </c>
      <c r="G791" s="271">
        <f>'Planning Engine'!G2045</f>
        <v>0</v>
      </c>
      <c r="H791" s="271">
        <f t="shared" si="26"/>
        <v>0</v>
      </c>
      <c r="I791" s="271">
        <f>'Planning Engine'!H2045</f>
        <v>0</v>
      </c>
      <c r="J791" s="272">
        <f ca="1">'Planning Engine'!J2045</f>
        <v>0</v>
      </c>
      <c r="K791" s="271">
        <f ca="1">'Planning Engine'!K2045</f>
        <v>0</v>
      </c>
      <c r="L791" s="273" t="str">
        <f>'Planning Engine'!L2045</f>
        <v>High</v>
      </c>
      <c r="M791" s="360">
        <f>'Planning Engine'!S2045</f>
        <v>48122</v>
      </c>
      <c r="N791" s="271">
        <f>'Planning Engine'!T2045</f>
        <v>0</v>
      </c>
      <c r="O791" s="361" cm="1">
        <f t="array" ref="O791">IFERROR(SUMPRODUCT(('Planning Engine'!$B$4:$B$2500="188mg LP - EU Stock")*('Planning Engine'!$A$4:$A$2500='Planning Engine'!A2045)*'Planning Engine'!$U$4:$U$2500),"--")</f>
        <v>0</v>
      </c>
      <c r="P791" s="273" t="str">
        <f t="shared" si="27"/>
        <v>⚠ Expedite production / source alternate</v>
      </c>
    </row>
    <row r="792" spans="1:16" x14ac:dyDescent="0.35">
      <c r="A792" s="358">
        <f>'Planning Engine'!A2046</f>
        <v>48245</v>
      </c>
      <c r="B792" s="274" t="s">
        <v>959</v>
      </c>
      <c r="C792" s="278" t="str">
        <f>'Planning Engine'!C2046</f>
        <v>Label/Pack</v>
      </c>
      <c r="D792" s="278" t="str">
        <f>'Planning Engine'!D2046</f>
        <v>units</v>
      </c>
      <c r="E792" s="276">
        <f>'Planning Engine'!E2046</f>
        <v>0</v>
      </c>
      <c r="F792" s="276">
        <f>'Planning Engine'!F2046</f>
        <v>0</v>
      </c>
      <c r="G792" s="276">
        <f>'Planning Engine'!G2046</f>
        <v>0</v>
      </c>
      <c r="H792" s="276">
        <f t="shared" si="26"/>
        <v>0</v>
      </c>
      <c r="I792" s="276">
        <f>'Planning Engine'!H2046</f>
        <v>0</v>
      </c>
      <c r="J792" s="277">
        <f ca="1">'Planning Engine'!J2046</f>
        <v>0</v>
      </c>
      <c r="K792" s="276">
        <f ca="1">'Planning Engine'!K2046</f>
        <v>0</v>
      </c>
      <c r="L792" s="278" t="str">
        <f>'Planning Engine'!L2046</f>
        <v>High</v>
      </c>
      <c r="M792" s="358">
        <f>'Planning Engine'!S2046</f>
        <v>48153</v>
      </c>
      <c r="N792" s="276">
        <f>'Planning Engine'!T2046</f>
        <v>0</v>
      </c>
      <c r="O792" s="359" cm="1">
        <f t="array" ref="O792">IFERROR(SUMPRODUCT(('Planning Engine'!$B$4:$B$2500="188mg LP - EU Stock")*('Planning Engine'!$A$4:$A$2500='Planning Engine'!A2046)*'Planning Engine'!$U$4:$U$2500),"--")</f>
        <v>0</v>
      </c>
      <c r="P792" s="278" t="str">
        <f t="shared" si="27"/>
        <v>⚠ Expedite production / source alternate</v>
      </c>
    </row>
    <row r="793" spans="1:16" x14ac:dyDescent="0.35">
      <c r="A793" s="360">
        <f>'Planning Engine'!A2047</f>
        <v>48274</v>
      </c>
      <c r="B793" s="269" t="s">
        <v>959</v>
      </c>
      <c r="C793" s="273" t="str">
        <f>'Planning Engine'!C2047</f>
        <v>Label/Pack</v>
      </c>
      <c r="D793" s="273" t="str">
        <f>'Planning Engine'!D2047</f>
        <v>units</v>
      </c>
      <c r="E793" s="271">
        <f>'Planning Engine'!E2047</f>
        <v>0</v>
      </c>
      <c r="F793" s="271">
        <f>'Planning Engine'!F2047</f>
        <v>0</v>
      </c>
      <c r="G793" s="271">
        <f>'Planning Engine'!G2047</f>
        <v>0</v>
      </c>
      <c r="H793" s="271">
        <f t="shared" si="26"/>
        <v>0</v>
      </c>
      <c r="I793" s="271">
        <f>'Planning Engine'!H2047</f>
        <v>0</v>
      </c>
      <c r="J793" s="272">
        <f ca="1">'Planning Engine'!J2047</f>
        <v>0</v>
      </c>
      <c r="K793" s="271">
        <f ca="1">'Planning Engine'!K2047</f>
        <v>0</v>
      </c>
      <c r="L793" s="273" t="str">
        <f>'Planning Engine'!L2047</f>
        <v>High</v>
      </c>
      <c r="M793" s="360">
        <f>'Planning Engine'!S2047</f>
        <v>48183</v>
      </c>
      <c r="N793" s="271">
        <f>'Planning Engine'!T2047</f>
        <v>0</v>
      </c>
      <c r="O793" s="361" cm="1">
        <f t="array" ref="O793">IFERROR(SUMPRODUCT(('Planning Engine'!$B$4:$B$2500="188mg LP - EU Stock")*('Planning Engine'!$A$4:$A$2500='Planning Engine'!A2047)*'Planning Engine'!$U$4:$U$2500),"--")</f>
        <v>0</v>
      </c>
      <c r="P793" s="273" t="str">
        <f t="shared" si="27"/>
        <v>⚠ Expedite production / source alternate</v>
      </c>
    </row>
    <row r="794" spans="1:16" x14ac:dyDescent="0.35">
      <c r="A794" s="358">
        <f>'Planning Engine'!A2048</f>
        <v>48305</v>
      </c>
      <c r="B794" s="274" t="s">
        <v>959</v>
      </c>
      <c r="C794" s="278" t="str">
        <f>'Planning Engine'!C2048</f>
        <v>Label/Pack</v>
      </c>
      <c r="D794" s="278" t="str">
        <f>'Planning Engine'!D2048</f>
        <v>units</v>
      </c>
      <c r="E794" s="276">
        <f>'Planning Engine'!E2048</f>
        <v>0</v>
      </c>
      <c r="F794" s="276">
        <f>'Planning Engine'!F2048</f>
        <v>0</v>
      </c>
      <c r="G794" s="276">
        <f>'Planning Engine'!G2048</f>
        <v>0</v>
      </c>
      <c r="H794" s="276">
        <f t="shared" si="26"/>
        <v>0</v>
      </c>
      <c r="I794" s="276">
        <f>'Planning Engine'!H2048</f>
        <v>0</v>
      </c>
      <c r="J794" s="277">
        <f ca="1">'Planning Engine'!J2048</f>
        <v>0</v>
      </c>
      <c r="K794" s="276">
        <f ca="1">'Planning Engine'!K2048</f>
        <v>0</v>
      </c>
      <c r="L794" s="278" t="str">
        <f>'Planning Engine'!L2048</f>
        <v>High</v>
      </c>
      <c r="M794" s="358">
        <f>'Planning Engine'!S2048</f>
        <v>48214</v>
      </c>
      <c r="N794" s="276">
        <f>'Planning Engine'!T2048</f>
        <v>0</v>
      </c>
      <c r="O794" s="359" cm="1">
        <f t="array" ref="O794">IFERROR(SUMPRODUCT(('Planning Engine'!$B$4:$B$2500="188mg LP - EU Stock")*('Planning Engine'!$A$4:$A$2500='Planning Engine'!A2048)*'Planning Engine'!$U$4:$U$2500),"--")</f>
        <v>0</v>
      </c>
      <c r="P794" s="278" t="str">
        <f t="shared" si="27"/>
        <v>⚠ Expedite production / source alternate</v>
      </c>
    </row>
    <row r="795" spans="1:16" x14ac:dyDescent="0.35">
      <c r="A795" s="360">
        <f>'Planning Engine'!A2049</f>
        <v>48335</v>
      </c>
      <c r="B795" s="269" t="s">
        <v>959</v>
      </c>
      <c r="C795" s="273" t="str">
        <f>'Planning Engine'!C2049</f>
        <v>Label/Pack</v>
      </c>
      <c r="D795" s="273" t="str">
        <f>'Planning Engine'!D2049</f>
        <v>units</v>
      </c>
      <c r="E795" s="271">
        <f>'Planning Engine'!E2049</f>
        <v>0</v>
      </c>
      <c r="F795" s="271">
        <f>'Planning Engine'!F2049</f>
        <v>0</v>
      </c>
      <c r="G795" s="271">
        <f>'Planning Engine'!G2049</f>
        <v>0</v>
      </c>
      <c r="H795" s="271">
        <f t="shared" si="26"/>
        <v>0</v>
      </c>
      <c r="I795" s="271">
        <f>'Planning Engine'!H2049</f>
        <v>0</v>
      </c>
      <c r="J795" s="272">
        <f ca="1">'Planning Engine'!J2049</f>
        <v>0</v>
      </c>
      <c r="K795" s="271">
        <f ca="1">'Planning Engine'!K2049</f>
        <v>0</v>
      </c>
      <c r="L795" s="273" t="str">
        <f>'Planning Engine'!L2049</f>
        <v>High</v>
      </c>
      <c r="M795" s="360">
        <f>'Planning Engine'!S2049</f>
        <v>48245</v>
      </c>
      <c r="N795" s="271">
        <f>'Planning Engine'!T2049</f>
        <v>0</v>
      </c>
      <c r="O795" s="361" cm="1">
        <f t="array" ref="O795">IFERROR(SUMPRODUCT(('Planning Engine'!$B$4:$B$2500="188mg LP - EU Stock")*('Planning Engine'!$A$4:$A$2500='Planning Engine'!A2049)*'Planning Engine'!$U$4:$U$2500),"--")</f>
        <v>0</v>
      </c>
      <c r="P795" s="273" t="str">
        <f t="shared" si="27"/>
        <v>⚠ Expedite production / source alternate</v>
      </c>
    </row>
    <row r="796" spans="1:16" x14ac:dyDescent="0.35">
      <c r="A796" s="358">
        <f>'Planning Engine'!A2050</f>
        <v>48366</v>
      </c>
      <c r="B796" s="274" t="s">
        <v>959</v>
      </c>
      <c r="C796" s="278" t="str">
        <f>'Planning Engine'!C2050</f>
        <v>Label/Pack</v>
      </c>
      <c r="D796" s="278" t="str">
        <f>'Planning Engine'!D2050</f>
        <v>units</v>
      </c>
      <c r="E796" s="276">
        <f>'Planning Engine'!E2050</f>
        <v>0</v>
      </c>
      <c r="F796" s="276">
        <f>'Planning Engine'!F2050</f>
        <v>0</v>
      </c>
      <c r="G796" s="276">
        <f>'Planning Engine'!G2050</f>
        <v>0</v>
      </c>
      <c r="H796" s="276">
        <f t="shared" si="26"/>
        <v>0</v>
      </c>
      <c r="I796" s="276">
        <f>'Planning Engine'!H2050</f>
        <v>0</v>
      </c>
      <c r="J796" s="277">
        <f ca="1">'Planning Engine'!J2050</f>
        <v>0</v>
      </c>
      <c r="K796" s="276">
        <f ca="1">'Planning Engine'!K2050</f>
        <v>0</v>
      </c>
      <c r="L796" s="278" t="str">
        <f>'Planning Engine'!L2050</f>
        <v>High</v>
      </c>
      <c r="M796" s="358">
        <f>'Planning Engine'!S2050</f>
        <v>48274</v>
      </c>
      <c r="N796" s="276">
        <f>'Planning Engine'!T2050</f>
        <v>0</v>
      </c>
      <c r="O796" s="359" cm="1">
        <f t="array" ref="O796">IFERROR(SUMPRODUCT(('Planning Engine'!$B$4:$B$2500="188mg LP - EU Stock")*('Planning Engine'!$A$4:$A$2500='Planning Engine'!A2050)*'Planning Engine'!$U$4:$U$2500),"--")</f>
        <v>0</v>
      </c>
      <c r="P796" s="278" t="str">
        <f t="shared" si="27"/>
        <v>⚠ Expedite production / source alternate</v>
      </c>
    </row>
    <row r="797" spans="1:16" x14ac:dyDescent="0.35">
      <c r="A797" s="360">
        <f>'Planning Engine'!A2051</f>
        <v>48396</v>
      </c>
      <c r="B797" s="269" t="s">
        <v>959</v>
      </c>
      <c r="C797" s="273" t="str">
        <f>'Planning Engine'!C2051</f>
        <v>Label/Pack</v>
      </c>
      <c r="D797" s="273" t="str">
        <f>'Planning Engine'!D2051</f>
        <v>units</v>
      </c>
      <c r="E797" s="271">
        <f>'Planning Engine'!E2051</f>
        <v>0</v>
      </c>
      <c r="F797" s="271">
        <f>'Planning Engine'!F2051</f>
        <v>0</v>
      </c>
      <c r="G797" s="271">
        <f>'Planning Engine'!G2051</f>
        <v>0</v>
      </c>
      <c r="H797" s="271">
        <f t="shared" si="26"/>
        <v>0</v>
      </c>
      <c r="I797" s="271">
        <f>'Planning Engine'!H2051</f>
        <v>0</v>
      </c>
      <c r="J797" s="272">
        <f ca="1">'Planning Engine'!J2051</f>
        <v>0</v>
      </c>
      <c r="K797" s="271">
        <f ca="1">'Planning Engine'!K2051</f>
        <v>0</v>
      </c>
      <c r="L797" s="273" t="str">
        <f>'Planning Engine'!L2051</f>
        <v>High</v>
      </c>
      <c r="M797" s="360">
        <f>'Planning Engine'!S2051</f>
        <v>48305</v>
      </c>
      <c r="N797" s="271">
        <f>'Planning Engine'!T2051</f>
        <v>0</v>
      </c>
      <c r="O797" s="361" cm="1">
        <f t="array" ref="O797">IFERROR(SUMPRODUCT(('Planning Engine'!$B$4:$B$2500="188mg LP - EU Stock")*('Planning Engine'!$A$4:$A$2500='Planning Engine'!A2051)*'Planning Engine'!$U$4:$U$2500),"--")</f>
        <v>0</v>
      </c>
      <c r="P797" s="273" t="str">
        <f t="shared" si="27"/>
        <v>⚠ Expedite production / source alternate</v>
      </c>
    </row>
    <row r="798" spans="1:16" x14ac:dyDescent="0.35">
      <c r="A798" s="358">
        <f>'Planning Engine'!A2052</f>
        <v>48427</v>
      </c>
      <c r="B798" s="274" t="s">
        <v>959</v>
      </c>
      <c r="C798" s="278" t="str">
        <f>'Planning Engine'!C2052</f>
        <v>Label/Pack</v>
      </c>
      <c r="D798" s="278" t="str">
        <f>'Planning Engine'!D2052</f>
        <v>units</v>
      </c>
      <c r="E798" s="276">
        <f>'Planning Engine'!E2052</f>
        <v>0</v>
      </c>
      <c r="F798" s="276">
        <f>'Planning Engine'!F2052</f>
        <v>0</v>
      </c>
      <c r="G798" s="276">
        <f>'Planning Engine'!G2052</f>
        <v>0</v>
      </c>
      <c r="H798" s="276">
        <f t="shared" si="26"/>
        <v>0</v>
      </c>
      <c r="I798" s="276">
        <f>'Planning Engine'!H2052</f>
        <v>0</v>
      </c>
      <c r="J798" s="277">
        <f ca="1">'Planning Engine'!J2052</f>
        <v>0</v>
      </c>
      <c r="K798" s="276">
        <f ca="1">'Planning Engine'!K2052</f>
        <v>0</v>
      </c>
      <c r="L798" s="278" t="str">
        <f>'Planning Engine'!L2052</f>
        <v>High</v>
      </c>
      <c r="M798" s="358">
        <f>'Planning Engine'!S2052</f>
        <v>48335</v>
      </c>
      <c r="N798" s="276">
        <f>'Planning Engine'!T2052</f>
        <v>0</v>
      </c>
      <c r="O798" s="359" cm="1">
        <f t="array" ref="O798">IFERROR(SUMPRODUCT(('Planning Engine'!$B$4:$B$2500="188mg LP - EU Stock")*('Planning Engine'!$A$4:$A$2500='Planning Engine'!A2052)*'Planning Engine'!$U$4:$U$2500),"--")</f>
        <v>0</v>
      </c>
      <c r="P798" s="278" t="str">
        <f t="shared" si="27"/>
        <v>⚠ Expedite production / source alternate</v>
      </c>
    </row>
    <row r="799" spans="1:16" x14ac:dyDescent="0.35">
      <c r="A799" s="360">
        <f>'Planning Engine'!A2053</f>
        <v>48458</v>
      </c>
      <c r="B799" s="269" t="s">
        <v>959</v>
      </c>
      <c r="C799" s="273" t="str">
        <f>'Planning Engine'!C2053</f>
        <v>Label/Pack</v>
      </c>
      <c r="D799" s="273" t="str">
        <f>'Planning Engine'!D2053</f>
        <v>units</v>
      </c>
      <c r="E799" s="271">
        <f>'Planning Engine'!E2053</f>
        <v>0</v>
      </c>
      <c r="F799" s="271">
        <f>'Planning Engine'!F2053</f>
        <v>0</v>
      </c>
      <c r="G799" s="271">
        <f>'Planning Engine'!G2053</f>
        <v>0</v>
      </c>
      <c r="H799" s="271">
        <f t="shared" si="26"/>
        <v>0</v>
      </c>
      <c r="I799" s="271">
        <f>'Planning Engine'!H2053</f>
        <v>0</v>
      </c>
      <c r="J799" s="272">
        <f ca="1">'Planning Engine'!J2053</f>
        <v>0</v>
      </c>
      <c r="K799" s="271">
        <f ca="1">'Planning Engine'!K2053</f>
        <v>0</v>
      </c>
      <c r="L799" s="273" t="str">
        <f>'Planning Engine'!L2053</f>
        <v>High</v>
      </c>
      <c r="M799" s="360">
        <f>'Planning Engine'!S2053</f>
        <v>48366</v>
      </c>
      <c r="N799" s="271">
        <f>'Planning Engine'!T2053</f>
        <v>0</v>
      </c>
      <c r="O799" s="361" cm="1">
        <f t="array" ref="O799">IFERROR(SUMPRODUCT(('Planning Engine'!$B$4:$B$2500="188mg LP - EU Stock")*('Planning Engine'!$A$4:$A$2500='Planning Engine'!A2053)*'Planning Engine'!$U$4:$U$2500),"--")</f>
        <v>0</v>
      </c>
      <c r="P799" s="273" t="str">
        <f t="shared" si="27"/>
        <v>⚠ Expedite production / source alternate</v>
      </c>
    </row>
    <row r="800" spans="1:16" x14ac:dyDescent="0.35">
      <c r="A800" s="358">
        <f>'Planning Engine'!A2054</f>
        <v>48488</v>
      </c>
      <c r="B800" s="274" t="s">
        <v>959</v>
      </c>
      <c r="C800" s="278" t="str">
        <f>'Planning Engine'!C2054</f>
        <v>Label/Pack</v>
      </c>
      <c r="D800" s="278" t="str">
        <f>'Planning Engine'!D2054</f>
        <v>units</v>
      </c>
      <c r="E800" s="276">
        <f>'Planning Engine'!E2054</f>
        <v>0</v>
      </c>
      <c r="F800" s="276">
        <f>'Planning Engine'!F2054</f>
        <v>0</v>
      </c>
      <c r="G800" s="276">
        <f>'Planning Engine'!G2054</f>
        <v>0</v>
      </c>
      <c r="H800" s="276">
        <f t="shared" si="26"/>
        <v>0</v>
      </c>
      <c r="I800" s="276">
        <f>'Planning Engine'!H2054</f>
        <v>0</v>
      </c>
      <c r="J800" s="277">
        <f ca="1">'Planning Engine'!J2054</f>
        <v>0</v>
      </c>
      <c r="K800" s="276">
        <f ca="1">'Planning Engine'!K2054</f>
        <v>0</v>
      </c>
      <c r="L800" s="278" t="str">
        <f>'Planning Engine'!L2054</f>
        <v>High</v>
      </c>
      <c r="M800" s="358">
        <f>'Planning Engine'!S2054</f>
        <v>48396</v>
      </c>
      <c r="N800" s="276">
        <f>'Planning Engine'!T2054</f>
        <v>0</v>
      </c>
      <c r="O800" s="359" cm="1">
        <f t="array" ref="O800">IFERROR(SUMPRODUCT(('Planning Engine'!$B$4:$B$2500="188mg LP - EU Stock")*('Planning Engine'!$A$4:$A$2500='Planning Engine'!A2054)*'Planning Engine'!$U$4:$U$2500),"--")</f>
        <v>0</v>
      </c>
      <c r="P800" s="278" t="str">
        <f t="shared" si="27"/>
        <v>⚠ Expedite production / source alternate</v>
      </c>
    </row>
    <row r="801" spans="1:16" x14ac:dyDescent="0.35">
      <c r="A801" s="360">
        <f>'Planning Engine'!A2055</f>
        <v>48519</v>
      </c>
      <c r="B801" s="269" t="s">
        <v>959</v>
      </c>
      <c r="C801" s="273" t="str">
        <f>'Planning Engine'!C2055</f>
        <v>Label/Pack</v>
      </c>
      <c r="D801" s="273" t="str">
        <f>'Planning Engine'!D2055</f>
        <v>units</v>
      </c>
      <c r="E801" s="271">
        <f>'Planning Engine'!E2055</f>
        <v>0</v>
      </c>
      <c r="F801" s="271">
        <f>'Planning Engine'!F2055</f>
        <v>0</v>
      </c>
      <c r="G801" s="271">
        <f>'Planning Engine'!G2055</f>
        <v>0</v>
      </c>
      <c r="H801" s="271">
        <f t="shared" si="26"/>
        <v>0</v>
      </c>
      <c r="I801" s="271">
        <f>'Planning Engine'!H2055</f>
        <v>0</v>
      </c>
      <c r="J801" s="272">
        <f ca="1">'Planning Engine'!J2055</f>
        <v>0</v>
      </c>
      <c r="K801" s="271">
        <f ca="1">'Planning Engine'!K2055</f>
        <v>0</v>
      </c>
      <c r="L801" s="273" t="str">
        <f>'Planning Engine'!L2055</f>
        <v>High</v>
      </c>
      <c r="M801" s="360">
        <f>'Planning Engine'!S2055</f>
        <v>48427</v>
      </c>
      <c r="N801" s="271">
        <f>'Planning Engine'!T2055</f>
        <v>0</v>
      </c>
      <c r="O801" s="361" cm="1">
        <f t="array" ref="O801">IFERROR(SUMPRODUCT(('Planning Engine'!$B$4:$B$2500="188mg LP - EU Stock")*('Planning Engine'!$A$4:$A$2500='Planning Engine'!A2055)*'Planning Engine'!$U$4:$U$2500),"--")</f>
        <v>0</v>
      </c>
      <c r="P801" s="273" t="str">
        <f t="shared" si="27"/>
        <v>⚠ Expedite production / source alternate</v>
      </c>
    </row>
    <row r="802" spans="1:16" x14ac:dyDescent="0.35">
      <c r="A802" s="358">
        <f>'Planning Engine'!A2056</f>
        <v>48549</v>
      </c>
      <c r="B802" s="274" t="s">
        <v>959</v>
      </c>
      <c r="C802" s="278" t="str">
        <f>'Planning Engine'!C2056</f>
        <v>Label/Pack</v>
      </c>
      <c r="D802" s="278" t="str">
        <f>'Planning Engine'!D2056</f>
        <v>units</v>
      </c>
      <c r="E802" s="276">
        <f>'Planning Engine'!E2056</f>
        <v>0</v>
      </c>
      <c r="F802" s="276">
        <f>'Planning Engine'!F2056</f>
        <v>0</v>
      </c>
      <c r="G802" s="276">
        <f>'Planning Engine'!G2056</f>
        <v>0</v>
      </c>
      <c r="H802" s="276">
        <f t="shared" si="26"/>
        <v>0</v>
      </c>
      <c r="I802" s="276">
        <f>'Planning Engine'!H2056</f>
        <v>0</v>
      </c>
      <c r="J802" s="277">
        <f ca="1">'Planning Engine'!J2056</f>
        <v>0</v>
      </c>
      <c r="K802" s="276">
        <f ca="1">'Planning Engine'!K2056</f>
        <v>0</v>
      </c>
      <c r="L802" s="278" t="str">
        <f>'Planning Engine'!L2056</f>
        <v>High</v>
      </c>
      <c r="M802" s="358">
        <f>'Planning Engine'!S2056</f>
        <v>48458</v>
      </c>
      <c r="N802" s="276">
        <f>'Planning Engine'!T2056</f>
        <v>0</v>
      </c>
      <c r="O802" s="359" cm="1">
        <f t="array" ref="O802">IFERROR(SUMPRODUCT(('Planning Engine'!$B$4:$B$2500="188mg LP - EU Stock")*('Planning Engine'!$A$4:$A$2500='Planning Engine'!A2056)*'Planning Engine'!$U$4:$U$2500),"--")</f>
        <v>0</v>
      </c>
      <c r="P802" s="278" t="str">
        <f t="shared" si="27"/>
        <v>⚠ Expedite production / source alternate</v>
      </c>
    </row>
    <row r="803" spans="1:16" x14ac:dyDescent="0.35">
      <c r="A803" s="360">
        <f>'Planning Engine'!A2057</f>
        <v>48580</v>
      </c>
      <c r="B803" s="269" t="s">
        <v>959</v>
      </c>
      <c r="C803" s="273" t="str">
        <f>'Planning Engine'!C2057</f>
        <v>Label/Pack</v>
      </c>
      <c r="D803" s="273" t="str">
        <f>'Planning Engine'!D2057</f>
        <v>units</v>
      </c>
      <c r="E803" s="271">
        <f>'Planning Engine'!E2057</f>
        <v>0</v>
      </c>
      <c r="F803" s="271">
        <f>'Planning Engine'!F2057</f>
        <v>0</v>
      </c>
      <c r="G803" s="271">
        <f>'Planning Engine'!G2057</f>
        <v>0</v>
      </c>
      <c r="H803" s="271">
        <f t="shared" si="26"/>
        <v>0</v>
      </c>
      <c r="I803" s="271">
        <f>'Planning Engine'!H2057</f>
        <v>0</v>
      </c>
      <c r="J803" s="272">
        <f ca="1">'Planning Engine'!J2057</f>
        <v>0</v>
      </c>
      <c r="K803" s="271">
        <f ca="1">'Planning Engine'!K2057</f>
        <v>0</v>
      </c>
      <c r="L803" s="273" t="str">
        <f>'Planning Engine'!L2057</f>
        <v>High</v>
      </c>
      <c r="M803" s="360">
        <f>'Planning Engine'!S2057</f>
        <v>48488</v>
      </c>
      <c r="N803" s="271">
        <f>'Planning Engine'!T2057</f>
        <v>0</v>
      </c>
      <c r="O803" s="361" cm="1">
        <f t="array" ref="O803">IFERROR(SUMPRODUCT(('Planning Engine'!$B$4:$B$2500="188mg LP - EU Stock")*('Planning Engine'!$A$4:$A$2500='Planning Engine'!A2057)*'Planning Engine'!$U$4:$U$2500),"--")</f>
        <v>0</v>
      </c>
      <c r="P803" s="273" t="str">
        <f t="shared" si="27"/>
        <v>⚠ Expedite production / source alternate</v>
      </c>
    </row>
    <row r="804" spans="1:16" x14ac:dyDescent="0.35">
      <c r="A804" s="358">
        <f>'Planning Engine'!A2058</f>
        <v>48611</v>
      </c>
      <c r="B804" s="274" t="s">
        <v>959</v>
      </c>
      <c r="C804" s="278" t="str">
        <f>'Planning Engine'!C2058</f>
        <v>Label/Pack</v>
      </c>
      <c r="D804" s="278" t="str">
        <f>'Planning Engine'!D2058</f>
        <v>units</v>
      </c>
      <c r="E804" s="276">
        <f>'Planning Engine'!E2058</f>
        <v>0</v>
      </c>
      <c r="F804" s="276">
        <f>'Planning Engine'!F2058</f>
        <v>0</v>
      </c>
      <c r="G804" s="276">
        <f>'Planning Engine'!G2058</f>
        <v>0</v>
      </c>
      <c r="H804" s="276">
        <f t="shared" si="26"/>
        <v>0</v>
      </c>
      <c r="I804" s="276">
        <f>'Planning Engine'!H2058</f>
        <v>0</v>
      </c>
      <c r="J804" s="277">
        <f ca="1">'Planning Engine'!J2058</f>
        <v>0</v>
      </c>
      <c r="K804" s="276">
        <f ca="1">'Planning Engine'!K2058</f>
        <v>0</v>
      </c>
      <c r="L804" s="278" t="str">
        <f>'Planning Engine'!L2058</f>
        <v>High</v>
      </c>
      <c r="M804" s="358">
        <f>'Planning Engine'!S2058</f>
        <v>48519</v>
      </c>
      <c r="N804" s="276">
        <f>'Planning Engine'!T2058</f>
        <v>0</v>
      </c>
      <c r="O804" s="359" cm="1">
        <f t="array" ref="O804">IFERROR(SUMPRODUCT(('Planning Engine'!$B$4:$B$2500="188mg LP - EU Stock")*('Planning Engine'!$A$4:$A$2500='Planning Engine'!A2058)*'Planning Engine'!$U$4:$U$2500),"--")</f>
        <v>0</v>
      </c>
      <c r="P804" s="278" t="str">
        <f t="shared" si="27"/>
        <v>⚠ Expedite production / source alternate</v>
      </c>
    </row>
    <row r="805" spans="1:16" x14ac:dyDescent="0.35">
      <c r="A805" s="360">
        <f>'Planning Engine'!A2059</f>
        <v>48639</v>
      </c>
      <c r="B805" s="269" t="s">
        <v>959</v>
      </c>
      <c r="C805" s="273" t="str">
        <f>'Planning Engine'!C2059</f>
        <v>Label/Pack</v>
      </c>
      <c r="D805" s="273" t="str">
        <f>'Planning Engine'!D2059</f>
        <v>units</v>
      </c>
      <c r="E805" s="271">
        <f>'Planning Engine'!E2059</f>
        <v>0</v>
      </c>
      <c r="F805" s="271">
        <f>'Planning Engine'!F2059</f>
        <v>0</v>
      </c>
      <c r="G805" s="271">
        <f>'Planning Engine'!G2059</f>
        <v>0</v>
      </c>
      <c r="H805" s="271">
        <f t="shared" si="26"/>
        <v>0</v>
      </c>
      <c r="I805" s="271">
        <f>'Planning Engine'!H2059</f>
        <v>0</v>
      </c>
      <c r="J805" s="272">
        <f ca="1">'Planning Engine'!J2059</f>
        <v>0</v>
      </c>
      <c r="K805" s="271">
        <f ca="1">'Planning Engine'!K2059</f>
        <v>0</v>
      </c>
      <c r="L805" s="273" t="str">
        <f>'Planning Engine'!L2059</f>
        <v>High</v>
      </c>
      <c r="M805" s="360">
        <f>'Planning Engine'!S2059</f>
        <v>48549</v>
      </c>
      <c r="N805" s="271">
        <f>'Planning Engine'!T2059</f>
        <v>0</v>
      </c>
      <c r="O805" s="361" cm="1">
        <f t="array" ref="O805">IFERROR(SUMPRODUCT(('Planning Engine'!$B$4:$B$2500="188mg LP - EU Stock")*('Planning Engine'!$A$4:$A$2500='Planning Engine'!A2059)*'Planning Engine'!$U$4:$U$2500),"--")</f>
        <v>0</v>
      </c>
      <c r="P805" s="273" t="str">
        <f t="shared" si="27"/>
        <v>⚠ Expedite production / source alternate</v>
      </c>
    </row>
    <row r="806" spans="1:16" x14ac:dyDescent="0.35">
      <c r="A806" s="358">
        <f>'Planning Engine'!A2060</f>
        <v>48670</v>
      </c>
      <c r="B806" s="274" t="s">
        <v>959</v>
      </c>
      <c r="C806" s="278" t="str">
        <f>'Planning Engine'!C2060</f>
        <v>Label/Pack</v>
      </c>
      <c r="D806" s="278" t="str">
        <f>'Planning Engine'!D2060</f>
        <v>units</v>
      </c>
      <c r="E806" s="276">
        <f>'Planning Engine'!E2060</f>
        <v>0</v>
      </c>
      <c r="F806" s="276">
        <f>'Planning Engine'!F2060</f>
        <v>0</v>
      </c>
      <c r="G806" s="276">
        <f>'Planning Engine'!G2060</f>
        <v>0</v>
      </c>
      <c r="H806" s="276">
        <f t="shared" si="26"/>
        <v>0</v>
      </c>
      <c r="I806" s="276">
        <f>'Planning Engine'!H2060</f>
        <v>0</v>
      </c>
      <c r="J806" s="277">
        <f ca="1">'Planning Engine'!J2060</f>
        <v>0</v>
      </c>
      <c r="K806" s="276">
        <f ca="1">'Planning Engine'!K2060</f>
        <v>0</v>
      </c>
      <c r="L806" s="278" t="str">
        <f>'Planning Engine'!L2060</f>
        <v>High</v>
      </c>
      <c r="M806" s="358">
        <f>'Planning Engine'!S2060</f>
        <v>48580</v>
      </c>
      <c r="N806" s="276">
        <f>'Planning Engine'!T2060</f>
        <v>0</v>
      </c>
      <c r="O806" s="359" cm="1">
        <f t="array" ref="O806">IFERROR(SUMPRODUCT(('Planning Engine'!$B$4:$B$2500="188mg LP - EU Stock")*('Planning Engine'!$A$4:$A$2500='Planning Engine'!A2060)*'Planning Engine'!$U$4:$U$2500),"--")</f>
        <v>0</v>
      </c>
      <c r="P806" s="278" t="str">
        <f t="shared" si="27"/>
        <v>⚠ Expedite production / source alternate</v>
      </c>
    </row>
    <row r="807" spans="1:16" x14ac:dyDescent="0.35">
      <c r="A807" s="360">
        <f>'Planning Engine'!A2061</f>
        <v>48700</v>
      </c>
      <c r="B807" s="269" t="s">
        <v>959</v>
      </c>
      <c r="C807" s="273" t="str">
        <f>'Planning Engine'!C2061</f>
        <v>Label/Pack</v>
      </c>
      <c r="D807" s="273" t="str">
        <f>'Planning Engine'!D2061</f>
        <v>units</v>
      </c>
      <c r="E807" s="271">
        <f>'Planning Engine'!E2061</f>
        <v>0</v>
      </c>
      <c r="F807" s="271">
        <f>'Planning Engine'!F2061</f>
        <v>0</v>
      </c>
      <c r="G807" s="271">
        <f>'Planning Engine'!G2061</f>
        <v>0</v>
      </c>
      <c r="H807" s="271">
        <f t="shared" si="26"/>
        <v>0</v>
      </c>
      <c r="I807" s="271">
        <f>'Planning Engine'!H2061</f>
        <v>0</v>
      </c>
      <c r="J807" s="272">
        <f ca="1">'Planning Engine'!J2061</f>
        <v>0</v>
      </c>
      <c r="K807" s="271">
        <f ca="1">'Planning Engine'!K2061</f>
        <v>0</v>
      </c>
      <c r="L807" s="273" t="str">
        <f>'Planning Engine'!L2061</f>
        <v>High</v>
      </c>
      <c r="M807" s="360">
        <f>'Planning Engine'!S2061</f>
        <v>48611</v>
      </c>
      <c r="N807" s="271">
        <f>'Planning Engine'!T2061</f>
        <v>0</v>
      </c>
      <c r="O807" s="361" cm="1">
        <f t="array" ref="O807">IFERROR(SUMPRODUCT(('Planning Engine'!$B$4:$B$2500="188mg LP - EU Stock")*('Planning Engine'!$A$4:$A$2500='Planning Engine'!A2061)*'Planning Engine'!$U$4:$U$2500),"--")</f>
        <v>0</v>
      </c>
      <c r="P807" s="273" t="str">
        <f t="shared" si="27"/>
        <v>⚠ Expedite production / source alternate</v>
      </c>
    </row>
    <row r="808" spans="1:16" x14ac:dyDescent="0.35">
      <c r="A808" s="358">
        <f>'Planning Engine'!A2062</f>
        <v>48731</v>
      </c>
      <c r="B808" s="274" t="s">
        <v>959</v>
      </c>
      <c r="C808" s="278" t="str">
        <f>'Planning Engine'!C2062</f>
        <v>Label/Pack</v>
      </c>
      <c r="D808" s="278" t="str">
        <f>'Planning Engine'!D2062</f>
        <v>units</v>
      </c>
      <c r="E808" s="276">
        <f>'Planning Engine'!E2062</f>
        <v>0</v>
      </c>
      <c r="F808" s="276">
        <f>'Planning Engine'!F2062</f>
        <v>0</v>
      </c>
      <c r="G808" s="276">
        <f>'Planning Engine'!G2062</f>
        <v>0</v>
      </c>
      <c r="H808" s="276">
        <f t="shared" si="26"/>
        <v>0</v>
      </c>
      <c r="I808" s="276">
        <f>'Planning Engine'!H2062</f>
        <v>0</v>
      </c>
      <c r="J808" s="277">
        <f ca="1">'Planning Engine'!J2062</f>
        <v>0</v>
      </c>
      <c r="K808" s="276">
        <f ca="1">'Planning Engine'!K2062</f>
        <v>0</v>
      </c>
      <c r="L808" s="278" t="str">
        <f>'Planning Engine'!L2062</f>
        <v>High</v>
      </c>
      <c r="M808" s="358">
        <f>'Planning Engine'!S2062</f>
        <v>48639</v>
      </c>
      <c r="N808" s="276">
        <f>'Planning Engine'!T2062</f>
        <v>0</v>
      </c>
      <c r="O808" s="359" cm="1">
        <f t="array" ref="O808">IFERROR(SUMPRODUCT(('Planning Engine'!$B$4:$B$2500="188mg LP - EU Stock")*('Planning Engine'!$A$4:$A$2500='Planning Engine'!A2062)*'Planning Engine'!$U$4:$U$2500),"--")</f>
        <v>0</v>
      </c>
      <c r="P808" s="278" t="str">
        <f t="shared" si="27"/>
        <v>⚠ Expedite production / source alternate</v>
      </c>
    </row>
    <row r="809" spans="1:16" x14ac:dyDescent="0.35">
      <c r="A809" s="360">
        <f>'Planning Engine'!A2063</f>
        <v>48761</v>
      </c>
      <c r="B809" s="269" t="s">
        <v>959</v>
      </c>
      <c r="C809" s="273" t="str">
        <f>'Planning Engine'!C2063</f>
        <v>Label/Pack</v>
      </c>
      <c r="D809" s="273" t="str">
        <f>'Planning Engine'!D2063</f>
        <v>units</v>
      </c>
      <c r="E809" s="271">
        <f>'Planning Engine'!E2063</f>
        <v>0</v>
      </c>
      <c r="F809" s="271">
        <f>'Planning Engine'!F2063</f>
        <v>0</v>
      </c>
      <c r="G809" s="271">
        <f>'Planning Engine'!G2063</f>
        <v>0</v>
      </c>
      <c r="H809" s="271">
        <f t="shared" si="26"/>
        <v>0</v>
      </c>
      <c r="I809" s="271">
        <f>'Planning Engine'!H2063</f>
        <v>0</v>
      </c>
      <c r="J809" s="272">
        <f ca="1">'Planning Engine'!J2063</f>
        <v>0</v>
      </c>
      <c r="K809" s="271">
        <f ca="1">'Planning Engine'!K2063</f>
        <v>0</v>
      </c>
      <c r="L809" s="273" t="str">
        <f>'Planning Engine'!L2063</f>
        <v>High</v>
      </c>
      <c r="M809" s="360">
        <f>'Planning Engine'!S2063</f>
        <v>48670</v>
      </c>
      <c r="N809" s="271">
        <f>'Planning Engine'!T2063</f>
        <v>0</v>
      </c>
      <c r="O809" s="361" cm="1">
        <f t="array" ref="O809">IFERROR(SUMPRODUCT(('Planning Engine'!$B$4:$B$2500="188mg LP - EU Stock")*('Planning Engine'!$A$4:$A$2500='Planning Engine'!A2063)*'Planning Engine'!$U$4:$U$2500),"--")</f>
        <v>0</v>
      </c>
      <c r="P809" s="273" t="str">
        <f t="shared" si="27"/>
        <v>⚠ Expedite production / source alternate</v>
      </c>
    </row>
    <row r="810" spans="1:16" x14ac:dyDescent="0.35">
      <c r="A810" s="358">
        <f>'Planning Engine'!A2064</f>
        <v>48792</v>
      </c>
      <c r="B810" s="274" t="s">
        <v>959</v>
      </c>
      <c r="C810" s="278" t="str">
        <f>'Planning Engine'!C2064</f>
        <v>Label/Pack</v>
      </c>
      <c r="D810" s="278" t="str">
        <f>'Planning Engine'!D2064</f>
        <v>units</v>
      </c>
      <c r="E810" s="276">
        <f>'Planning Engine'!E2064</f>
        <v>0</v>
      </c>
      <c r="F810" s="276">
        <f>'Planning Engine'!F2064</f>
        <v>0</v>
      </c>
      <c r="G810" s="276">
        <f>'Planning Engine'!G2064</f>
        <v>0</v>
      </c>
      <c r="H810" s="276">
        <f t="shared" si="26"/>
        <v>0</v>
      </c>
      <c r="I810" s="276">
        <f>'Planning Engine'!H2064</f>
        <v>0</v>
      </c>
      <c r="J810" s="277">
        <f ca="1">'Planning Engine'!J2064</f>
        <v>0</v>
      </c>
      <c r="K810" s="276">
        <f ca="1">'Planning Engine'!K2064</f>
        <v>0</v>
      </c>
      <c r="L810" s="278" t="str">
        <f>'Planning Engine'!L2064</f>
        <v>High</v>
      </c>
      <c r="M810" s="358">
        <f>'Planning Engine'!S2064</f>
        <v>48700</v>
      </c>
      <c r="N810" s="276">
        <f>'Planning Engine'!T2064</f>
        <v>0</v>
      </c>
      <c r="O810" s="359" cm="1">
        <f t="array" ref="O810">IFERROR(SUMPRODUCT(('Planning Engine'!$B$4:$B$2500="188mg LP - EU Stock")*('Planning Engine'!$A$4:$A$2500='Planning Engine'!A2064)*'Planning Engine'!$U$4:$U$2500),"--")</f>
        <v>0</v>
      </c>
      <c r="P810" s="278" t="str">
        <f t="shared" si="27"/>
        <v>⚠ Expedite production / source alternate</v>
      </c>
    </row>
    <row r="811" spans="1:16" x14ac:dyDescent="0.35">
      <c r="A811" s="360">
        <f>'Planning Engine'!A2065</f>
        <v>48823</v>
      </c>
      <c r="B811" s="269" t="s">
        <v>959</v>
      </c>
      <c r="C811" s="273" t="str">
        <f>'Planning Engine'!C2065</f>
        <v>Label/Pack</v>
      </c>
      <c r="D811" s="273" t="str">
        <f>'Planning Engine'!D2065</f>
        <v>units</v>
      </c>
      <c r="E811" s="271">
        <f>'Planning Engine'!E2065</f>
        <v>0</v>
      </c>
      <c r="F811" s="271">
        <f>'Planning Engine'!F2065</f>
        <v>0</v>
      </c>
      <c r="G811" s="271">
        <f>'Planning Engine'!G2065</f>
        <v>0</v>
      </c>
      <c r="H811" s="271">
        <f t="shared" si="26"/>
        <v>0</v>
      </c>
      <c r="I811" s="271">
        <f>'Planning Engine'!H2065</f>
        <v>0</v>
      </c>
      <c r="J811" s="272">
        <f ca="1">'Planning Engine'!J2065</f>
        <v>0</v>
      </c>
      <c r="K811" s="271">
        <f ca="1">'Planning Engine'!K2065</f>
        <v>0</v>
      </c>
      <c r="L811" s="273" t="str">
        <f>'Planning Engine'!L2065</f>
        <v>High</v>
      </c>
      <c r="M811" s="360">
        <f>'Planning Engine'!S2065</f>
        <v>48731</v>
      </c>
      <c r="N811" s="271">
        <f>'Planning Engine'!T2065</f>
        <v>0</v>
      </c>
      <c r="O811" s="361" cm="1">
        <f t="array" ref="O811">IFERROR(SUMPRODUCT(('Planning Engine'!$B$4:$B$2500="188mg LP - EU Stock")*('Planning Engine'!$A$4:$A$2500='Planning Engine'!A2065)*'Planning Engine'!$U$4:$U$2500),"--")</f>
        <v>0</v>
      </c>
      <c r="P811" s="273" t="str">
        <f t="shared" si="27"/>
        <v>⚠ Expedite production / source alternate</v>
      </c>
    </row>
    <row r="812" spans="1:16" x14ac:dyDescent="0.35">
      <c r="A812" s="358">
        <f>'Planning Engine'!A2066</f>
        <v>48853</v>
      </c>
      <c r="B812" s="274" t="s">
        <v>959</v>
      </c>
      <c r="C812" s="278" t="str">
        <f>'Planning Engine'!C2066</f>
        <v>Label/Pack</v>
      </c>
      <c r="D812" s="278" t="str">
        <f>'Planning Engine'!D2066</f>
        <v>units</v>
      </c>
      <c r="E812" s="276">
        <f>'Planning Engine'!E2066</f>
        <v>0</v>
      </c>
      <c r="F812" s="276">
        <f>'Planning Engine'!F2066</f>
        <v>0</v>
      </c>
      <c r="G812" s="276">
        <f>'Planning Engine'!G2066</f>
        <v>0</v>
      </c>
      <c r="H812" s="276">
        <f t="shared" si="26"/>
        <v>0</v>
      </c>
      <c r="I812" s="276">
        <f>'Planning Engine'!H2066</f>
        <v>0</v>
      </c>
      <c r="J812" s="277">
        <f ca="1">'Planning Engine'!J2066</f>
        <v>0</v>
      </c>
      <c r="K812" s="276">
        <f ca="1">'Planning Engine'!K2066</f>
        <v>0</v>
      </c>
      <c r="L812" s="278" t="str">
        <f>'Planning Engine'!L2066</f>
        <v>High</v>
      </c>
      <c r="M812" s="358">
        <f>'Planning Engine'!S2066</f>
        <v>48761</v>
      </c>
      <c r="N812" s="276">
        <f>'Planning Engine'!T2066</f>
        <v>0</v>
      </c>
      <c r="O812" s="359" cm="1">
        <f t="array" ref="O812">IFERROR(SUMPRODUCT(('Planning Engine'!$B$4:$B$2500="188mg LP - EU Stock")*('Planning Engine'!$A$4:$A$2500='Planning Engine'!A2066)*'Planning Engine'!$U$4:$U$2500),"--")</f>
        <v>0</v>
      </c>
      <c r="P812" s="278" t="str">
        <f t="shared" si="27"/>
        <v>⚠ Expedite production / source alternate</v>
      </c>
    </row>
    <row r="813" spans="1:16" x14ac:dyDescent="0.35">
      <c r="A813" s="360">
        <f>'Planning Engine'!A2067</f>
        <v>48884</v>
      </c>
      <c r="B813" s="269" t="s">
        <v>959</v>
      </c>
      <c r="C813" s="273" t="str">
        <f>'Planning Engine'!C2067</f>
        <v>Label/Pack</v>
      </c>
      <c r="D813" s="273" t="str">
        <f>'Planning Engine'!D2067</f>
        <v>units</v>
      </c>
      <c r="E813" s="271">
        <f>'Planning Engine'!E2067</f>
        <v>0</v>
      </c>
      <c r="F813" s="271">
        <f>'Planning Engine'!F2067</f>
        <v>0</v>
      </c>
      <c r="G813" s="271">
        <f>'Planning Engine'!G2067</f>
        <v>0</v>
      </c>
      <c r="H813" s="271">
        <f t="shared" si="26"/>
        <v>0</v>
      </c>
      <c r="I813" s="271">
        <f>'Planning Engine'!H2067</f>
        <v>0</v>
      </c>
      <c r="J813" s="272">
        <f ca="1">'Planning Engine'!J2067</f>
        <v>0</v>
      </c>
      <c r="K813" s="271">
        <f ca="1">'Planning Engine'!K2067</f>
        <v>0</v>
      </c>
      <c r="L813" s="273" t="str">
        <f>'Planning Engine'!L2067</f>
        <v>High</v>
      </c>
      <c r="M813" s="360">
        <f>'Planning Engine'!S2067</f>
        <v>48792</v>
      </c>
      <c r="N813" s="271">
        <f>'Planning Engine'!T2067</f>
        <v>0</v>
      </c>
      <c r="O813" s="361" cm="1">
        <f t="array" ref="O813">IFERROR(SUMPRODUCT(('Planning Engine'!$B$4:$B$2500="188mg LP - EU Stock")*('Planning Engine'!$A$4:$A$2500='Planning Engine'!A2067)*'Planning Engine'!$U$4:$U$2500),"--")</f>
        <v>0</v>
      </c>
      <c r="P813" s="273" t="str">
        <f t="shared" si="27"/>
        <v>⚠ Expedite production / source alternate</v>
      </c>
    </row>
    <row r="814" spans="1:16" x14ac:dyDescent="0.35">
      <c r="A814" s="358">
        <f>'Planning Engine'!A2068</f>
        <v>48914</v>
      </c>
      <c r="B814" s="274" t="s">
        <v>959</v>
      </c>
      <c r="C814" s="278" t="str">
        <f>'Planning Engine'!C2068</f>
        <v>Label/Pack</v>
      </c>
      <c r="D814" s="278" t="str">
        <f>'Planning Engine'!D2068</f>
        <v>units</v>
      </c>
      <c r="E814" s="276">
        <f>'Planning Engine'!E2068</f>
        <v>0</v>
      </c>
      <c r="F814" s="276">
        <f>'Planning Engine'!F2068</f>
        <v>0</v>
      </c>
      <c r="G814" s="276">
        <f>'Planning Engine'!G2068</f>
        <v>0</v>
      </c>
      <c r="H814" s="276">
        <f t="shared" si="26"/>
        <v>0</v>
      </c>
      <c r="I814" s="276">
        <f>'Planning Engine'!H2068</f>
        <v>0</v>
      </c>
      <c r="J814" s="277">
        <f ca="1">'Planning Engine'!J2068</f>
        <v>0</v>
      </c>
      <c r="K814" s="276">
        <f ca="1">'Planning Engine'!K2068</f>
        <v>0</v>
      </c>
      <c r="L814" s="278" t="str">
        <f>'Planning Engine'!L2068</f>
        <v>High</v>
      </c>
      <c r="M814" s="358">
        <f>'Planning Engine'!S2068</f>
        <v>48823</v>
      </c>
      <c r="N814" s="276">
        <f>'Planning Engine'!T2068</f>
        <v>0</v>
      </c>
      <c r="O814" s="359" cm="1">
        <f t="array" ref="O814">IFERROR(SUMPRODUCT(('Planning Engine'!$B$4:$B$2500="188mg LP - EU Stock")*('Planning Engine'!$A$4:$A$2500='Planning Engine'!A2068)*'Planning Engine'!$U$4:$U$2500),"--")</f>
        <v>0</v>
      </c>
      <c r="P814" s="278" t="str">
        <f t="shared" si="27"/>
        <v>⚠ Expedite production / source alternate</v>
      </c>
    </row>
    <row r="815" spans="1:16" x14ac:dyDescent="0.35">
      <c r="A815" s="360">
        <f>'Planning Engine'!A2069</f>
        <v>48945</v>
      </c>
      <c r="B815" s="269" t="s">
        <v>959</v>
      </c>
      <c r="C815" s="273" t="str">
        <f>'Planning Engine'!C2069</f>
        <v>Label/Pack</v>
      </c>
      <c r="D815" s="273" t="str">
        <f>'Planning Engine'!D2069</f>
        <v>units</v>
      </c>
      <c r="E815" s="271">
        <f>'Planning Engine'!E2069</f>
        <v>0</v>
      </c>
      <c r="F815" s="271">
        <f>'Planning Engine'!F2069</f>
        <v>0</v>
      </c>
      <c r="G815" s="271">
        <f>'Planning Engine'!G2069</f>
        <v>0</v>
      </c>
      <c r="H815" s="271">
        <f t="shared" si="26"/>
        <v>0</v>
      </c>
      <c r="I815" s="271">
        <f>'Planning Engine'!H2069</f>
        <v>0</v>
      </c>
      <c r="J815" s="272">
        <f ca="1">'Planning Engine'!J2069</f>
        <v>0</v>
      </c>
      <c r="K815" s="271">
        <f ca="1">'Planning Engine'!K2069</f>
        <v>0</v>
      </c>
      <c r="L815" s="273" t="str">
        <f>'Planning Engine'!L2069</f>
        <v>High</v>
      </c>
      <c r="M815" s="360">
        <f>'Planning Engine'!S2069</f>
        <v>48853</v>
      </c>
      <c r="N815" s="271">
        <f>'Planning Engine'!T2069</f>
        <v>0</v>
      </c>
      <c r="O815" s="361" cm="1">
        <f t="array" ref="O815">IFERROR(SUMPRODUCT(('Planning Engine'!$B$4:$B$2500="188mg LP - EU Stock")*('Planning Engine'!$A$4:$A$2500='Planning Engine'!A2069)*'Planning Engine'!$U$4:$U$2500),"--")</f>
        <v>0</v>
      </c>
      <c r="P815" s="273" t="str">
        <f t="shared" si="27"/>
        <v>⚠ Expedite production / source alternate</v>
      </c>
    </row>
    <row r="816" spans="1:16" x14ac:dyDescent="0.35">
      <c r="A816" s="358">
        <f>'Planning Engine'!A2070</f>
        <v>48976</v>
      </c>
      <c r="B816" s="274" t="s">
        <v>959</v>
      </c>
      <c r="C816" s="278" t="str">
        <f>'Planning Engine'!C2070</f>
        <v>Label/Pack</v>
      </c>
      <c r="D816" s="278" t="str">
        <f>'Planning Engine'!D2070</f>
        <v>units</v>
      </c>
      <c r="E816" s="276">
        <f>'Planning Engine'!E2070</f>
        <v>0</v>
      </c>
      <c r="F816" s="276">
        <f>'Planning Engine'!F2070</f>
        <v>0</v>
      </c>
      <c r="G816" s="276">
        <f>'Planning Engine'!G2070</f>
        <v>0</v>
      </c>
      <c r="H816" s="276">
        <f t="shared" si="26"/>
        <v>0</v>
      </c>
      <c r="I816" s="276">
        <f>'Planning Engine'!H2070</f>
        <v>0</v>
      </c>
      <c r="J816" s="277">
        <f ca="1">'Planning Engine'!J2070</f>
        <v>0</v>
      </c>
      <c r="K816" s="276">
        <f ca="1">'Planning Engine'!K2070</f>
        <v>0</v>
      </c>
      <c r="L816" s="278" t="str">
        <f>'Planning Engine'!L2070</f>
        <v>High</v>
      </c>
      <c r="M816" s="358">
        <f>'Planning Engine'!S2070</f>
        <v>48884</v>
      </c>
      <c r="N816" s="276">
        <f>'Planning Engine'!T2070</f>
        <v>0</v>
      </c>
      <c r="O816" s="359" cm="1">
        <f t="array" ref="O816">IFERROR(SUMPRODUCT(('Planning Engine'!$B$4:$B$2500="188mg LP - EU Stock")*('Planning Engine'!$A$4:$A$2500='Planning Engine'!A2070)*'Planning Engine'!$U$4:$U$2500),"--")</f>
        <v>0</v>
      </c>
      <c r="P816" s="278" t="str">
        <f t="shared" si="27"/>
        <v>⚠ Expedite production / source alternate</v>
      </c>
    </row>
    <row r="817" spans="1:16" x14ac:dyDescent="0.35">
      <c r="A817" s="360">
        <f>'Planning Engine'!A2071</f>
        <v>49004</v>
      </c>
      <c r="B817" s="269" t="s">
        <v>959</v>
      </c>
      <c r="C817" s="273" t="str">
        <f>'Planning Engine'!C2071</f>
        <v>Label/Pack</v>
      </c>
      <c r="D817" s="273" t="str">
        <f>'Planning Engine'!D2071</f>
        <v>units</v>
      </c>
      <c r="E817" s="271">
        <f>'Planning Engine'!E2071</f>
        <v>0</v>
      </c>
      <c r="F817" s="271">
        <f>'Planning Engine'!F2071</f>
        <v>0</v>
      </c>
      <c r="G817" s="271">
        <f>'Planning Engine'!G2071</f>
        <v>0</v>
      </c>
      <c r="H817" s="271">
        <f t="shared" si="26"/>
        <v>0</v>
      </c>
      <c r="I817" s="271">
        <f>'Planning Engine'!H2071</f>
        <v>0</v>
      </c>
      <c r="J817" s="272">
        <f ca="1">'Planning Engine'!J2071</f>
        <v>0</v>
      </c>
      <c r="K817" s="271">
        <f ca="1">'Planning Engine'!K2071</f>
        <v>0</v>
      </c>
      <c r="L817" s="273" t="str">
        <f>'Planning Engine'!L2071</f>
        <v>High</v>
      </c>
      <c r="M817" s="360">
        <f>'Planning Engine'!S2071</f>
        <v>48914</v>
      </c>
      <c r="N817" s="271">
        <f>'Planning Engine'!T2071</f>
        <v>0</v>
      </c>
      <c r="O817" s="361" cm="1">
        <f t="array" ref="O817">IFERROR(SUMPRODUCT(('Planning Engine'!$B$4:$B$2500="188mg LP - EU Stock")*('Planning Engine'!$A$4:$A$2500='Planning Engine'!A2071)*'Planning Engine'!$U$4:$U$2500),"--")</f>
        <v>0</v>
      </c>
      <c r="P817" s="273" t="str">
        <f t="shared" si="27"/>
        <v>⚠ Expedite production / source alternate</v>
      </c>
    </row>
    <row r="818" spans="1:16" x14ac:dyDescent="0.35">
      <c r="A818" s="358">
        <f>'Planning Engine'!A2072</f>
        <v>49035</v>
      </c>
      <c r="B818" s="274" t="s">
        <v>959</v>
      </c>
      <c r="C818" s="278" t="str">
        <f>'Planning Engine'!C2072</f>
        <v>Label/Pack</v>
      </c>
      <c r="D818" s="278" t="str">
        <f>'Planning Engine'!D2072</f>
        <v>units</v>
      </c>
      <c r="E818" s="276">
        <f>'Planning Engine'!E2072</f>
        <v>0</v>
      </c>
      <c r="F818" s="276">
        <f>'Planning Engine'!F2072</f>
        <v>0</v>
      </c>
      <c r="G818" s="276">
        <f>'Planning Engine'!G2072</f>
        <v>0</v>
      </c>
      <c r="H818" s="276">
        <f t="shared" si="26"/>
        <v>0</v>
      </c>
      <c r="I818" s="276">
        <f>'Planning Engine'!H2072</f>
        <v>0</v>
      </c>
      <c r="J818" s="277">
        <f ca="1">'Planning Engine'!J2072</f>
        <v>0</v>
      </c>
      <c r="K818" s="276">
        <f ca="1">'Planning Engine'!K2072</f>
        <v>0</v>
      </c>
      <c r="L818" s="278" t="str">
        <f>'Planning Engine'!L2072</f>
        <v>High</v>
      </c>
      <c r="M818" s="358">
        <f>'Planning Engine'!S2072</f>
        <v>48945</v>
      </c>
      <c r="N818" s="276">
        <f>'Planning Engine'!T2072</f>
        <v>0</v>
      </c>
      <c r="O818" s="359" cm="1">
        <f t="array" ref="O818">IFERROR(SUMPRODUCT(('Planning Engine'!$B$4:$B$2500="188mg LP - EU Stock")*('Planning Engine'!$A$4:$A$2500='Planning Engine'!A2072)*'Planning Engine'!$U$4:$U$2500),"--")</f>
        <v>0</v>
      </c>
      <c r="P818" s="278" t="str">
        <f t="shared" si="27"/>
        <v>⚠ Expedite production / source alternate</v>
      </c>
    </row>
    <row r="819" spans="1:16" x14ac:dyDescent="0.35">
      <c r="A819" s="360">
        <f>'Planning Engine'!A2073</f>
        <v>49065</v>
      </c>
      <c r="B819" s="269" t="s">
        <v>959</v>
      </c>
      <c r="C819" s="273" t="str">
        <f>'Planning Engine'!C2073</f>
        <v>Label/Pack</v>
      </c>
      <c r="D819" s="273" t="str">
        <f>'Planning Engine'!D2073</f>
        <v>units</v>
      </c>
      <c r="E819" s="271">
        <f>'Planning Engine'!E2073</f>
        <v>0</v>
      </c>
      <c r="F819" s="271">
        <f>'Planning Engine'!F2073</f>
        <v>0</v>
      </c>
      <c r="G819" s="271">
        <f>'Planning Engine'!G2073</f>
        <v>0</v>
      </c>
      <c r="H819" s="271">
        <f t="shared" si="26"/>
        <v>0</v>
      </c>
      <c r="I819" s="271">
        <f>'Planning Engine'!H2073</f>
        <v>0</v>
      </c>
      <c r="J819" s="272">
        <f ca="1">'Planning Engine'!J2073</f>
        <v>0</v>
      </c>
      <c r="K819" s="271">
        <f ca="1">'Planning Engine'!K2073</f>
        <v>0</v>
      </c>
      <c r="L819" s="273" t="str">
        <f>'Planning Engine'!L2073</f>
        <v>High</v>
      </c>
      <c r="M819" s="360">
        <f>'Planning Engine'!S2073</f>
        <v>48976</v>
      </c>
      <c r="N819" s="271">
        <f>'Planning Engine'!T2073</f>
        <v>0</v>
      </c>
      <c r="O819" s="361" cm="1">
        <f t="array" ref="O819">IFERROR(SUMPRODUCT(('Planning Engine'!$B$4:$B$2500="188mg LP - EU Stock")*('Planning Engine'!$A$4:$A$2500='Planning Engine'!A2073)*'Planning Engine'!$U$4:$U$2500),"--")</f>
        <v>0</v>
      </c>
      <c r="P819" s="273" t="str">
        <f t="shared" si="27"/>
        <v>⚠ Expedite production / source alternate</v>
      </c>
    </row>
    <row r="820" spans="1:16" x14ac:dyDescent="0.35">
      <c r="A820" s="358">
        <f>'Planning Engine'!A2074</f>
        <v>49096</v>
      </c>
      <c r="B820" s="274" t="s">
        <v>959</v>
      </c>
      <c r="C820" s="278" t="str">
        <f>'Planning Engine'!C2074</f>
        <v>Label/Pack</v>
      </c>
      <c r="D820" s="278" t="str">
        <f>'Planning Engine'!D2074</f>
        <v>units</v>
      </c>
      <c r="E820" s="276">
        <f>'Planning Engine'!E2074</f>
        <v>0</v>
      </c>
      <c r="F820" s="276">
        <f>'Planning Engine'!F2074</f>
        <v>0</v>
      </c>
      <c r="G820" s="276">
        <f>'Planning Engine'!G2074</f>
        <v>0</v>
      </c>
      <c r="H820" s="276">
        <f t="shared" si="26"/>
        <v>0</v>
      </c>
      <c r="I820" s="276">
        <f>'Planning Engine'!H2074</f>
        <v>0</v>
      </c>
      <c r="J820" s="277">
        <f ca="1">'Planning Engine'!J2074</f>
        <v>0</v>
      </c>
      <c r="K820" s="276">
        <f ca="1">'Planning Engine'!K2074</f>
        <v>0</v>
      </c>
      <c r="L820" s="278" t="str">
        <f>'Planning Engine'!L2074</f>
        <v>High</v>
      </c>
      <c r="M820" s="358">
        <f>'Planning Engine'!S2074</f>
        <v>49004</v>
      </c>
      <c r="N820" s="276">
        <f>'Planning Engine'!T2074</f>
        <v>0</v>
      </c>
      <c r="O820" s="359" cm="1">
        <f t="array" ref="O820">IFERROR(SUMPRODUCT(('Planning Engine'!$B$4:$B$2500="188mg LP - EU Stock")*('Planning Engine'!$A$4:$A$2500='Planning Engine'!A2074)*'Planning Engine'!$U$4:$U$2500),"--")</f>
        <v>0</v>
      </c>
      <c r="P820" s="278" t="str">
        <f t="shared" si="27"/>
        <v>⚠ Expedite production / source alternate</v>
      </c>
    </row>
    <row r="821" spans="1:16" x14ac:dyDescent="0.35">
      <c r="A821" s="360">
        <f>'Planning Engine'!A2075</f>
        <v>49126</v>
      </c>
      <c r="B821" s="269" t="s">
        <v>959</v>
      </c>
      <c r="C821" s="273" t="str">
        <f>'Planning Engine'!C2075</f>
        <v>Label/Pack</v>
      </c>
      <c r="D821" s="273" t="str">
        <f>'Planning Engine'!D2075</f>
        <v>units</v>
      </c>
      <c r="E821" s="271">
        <f>'Planning Engine'!E2075</f>
        <v>0</v>
      </c>
      <c r="F821" s="271">
        <f>'Planning Engine'!F2075</f>
        <v>0</v>
      </c>
      <c r="G821" s="271">
        <f>'Planning Engine'!G2075</f>
        <v>0</v>
      </c>
      <c r="H821" s="271">
        <f t="shared" si="26"/>
        <v>0</v>
      </c>
      <c r="I821" s="271">
        <f>'Planning Engine'!H2075</f>
        <v>0</v>
      </c>
      <c r="J821" s="272">
        <f ca="1">'Planning Engine'!J2075</f>
        <v>0</v>
      </c>
      <c r="K821" s="271">
        <f ca="1">'Planning Engine'!K2075</f>
        <v>0</v>
      </c>
      <c r="L821" s="273" t="str">
        <f>'Planning Engine'!L2075</f>
        <v>High</v>
      </c>
      <c r="M821" s="360">
        <f>'Planning Engine'!S2075</f>
        <v>49035</v>
      </c>
      <c r="N821" s="271">
        <f>'Planning Engine'!T2075</f>
        <v>0</v>
      </c>
      <c r="O821" s="361" cm="1">
        <f t="array" ref="O821">IFERROR(SUMPRODUCT(('Planning Engine'!$B$4:$B$2500="188mg LP - EU Stock")*('Planning Engine'!$A$4:$A$2500='Planning Engine'!A2075)*'Planning Engine'!$U$4:$U$2500),"--")</f>
        <v>0</v>
      </c>
      <c r="P821" s="273" t="str">
        <f t="shared" si="27"/>
        <v>⚠ Expedite production / source alternate</v>
      </c>
    </row>
    <row r="822" spans="1:16" x14ac:dyDescent="0.35">
      <c r="A822" s="358">
        <f>'Planning Engine'!A2076</f>
        <v>49157</v>
      </c>
      <c r="B822" s="274" t="s">
        <v>959</v>
      </c>
      <c r="C822" s="278" t="str">
        <f>'Planning Engine'!C2076</f>
        <v>Label/Pack</v>
      </c>
      <c r="D822" s="278" t="str">
        <f>'Planning Engine'!D2076</f>
        <v>units</v>
      </c>
      <c r="E822" s="276">
        <f>'Planning Engine'!E2076</f>
        <v>0</v>
      </c>
      <c r="F822" s="276">
        <f>'Planning Engine'!F2076</f>
        <v>0</v>
      </c>
      <c r="G822" s="276">
        <f>'Planning Engine'!G2076</f>
        <v>0</v>
      </c>
      <c r="H822" s="276">
        <f t="shared" si="26"/>
        <v>0</v>
      </c>
      <c r="I822" s="276">
        <f>'Planning Engine'!H2076</f>
        <v>0</v>
      </c>
      <c r="J822" s="277">
        <f ca="1">'Planning Engine'!J2076</f>
        <v>0</v>
      </c>
      <c r="K822" s="276">
        <f ca="1">'Planning Engine'!K2076</f>
        <v>0</v>
      </c>
      <c r="L822" s="278" t="str">
        <f>'Planning Engine'!L2076</f>
        <v>High</v>
      </c>
      <c r="M822" s="358">
        <f>'Planning Engine'!S2076</f>
        <v>49065</v>
      </c>
      <c r="N822" s="276">
        <f>'Planning Engine'!T2076</f>
        <v>0</v>
      </c>
      <c r="O822" s="359" cm="1">
        <f t="array" ref="O822">IFERROR(SUMPRODUCT(('Planning Engine'!$B$4:$B$2500="188mg LP - EU Stock")*('Planning Engine'!$A$4:$A$2500='Planning Engine'!A2076)*'Planning Engine'!$U$4:$U$2500),"--")</f>
        <v>0</v>
      </c>
      <c r="P822" s="278" t="str">
        <f t="shared" si="27"/>
        <v>⚠ Expedite production / source alternate</v>
      </c>
    </row>
    <row r="823" spans="1:16" x14ac:dyDescent="0.35">
      <c r="A823" s="360">
        <f>'Planning Engine'!A2077</f>
        <v>49188</v>
      </c>
      <c r="B823" s="269" t="s">
        <v>959</v>
      </c>
      <c r="C823" s="273" t="str">
        <f>'Planning Engine'!C2077</f>
        <v>Label/Pack</v>
      </c>
      <c r="D823" s="273" t="str">
        <f>'Planning Engine'!D2077</f>
        <v>units</v>
      </c>
      <c r="E823" s="271">
        <f>'Planning Engine'!E2077</f>
        <v>0</v>
      </c>
      <c r="F823" s="271">
        <f>'Planning Engine'!F2077</f>
        <v>0</v>
      </c>
      <c r="G823" s="271">
        <f>'Planning Engine'!G2077</f>
        <v>0</v>
      </c>
      <c r="H823" s="271">
        <f t="shared" si="26"/>
        <v>0</v>
      </c>
      <c r="I823" s="271">
        <f>'Planning Engine'!H2077</f>
        <v>0</v>
      </c>
      <c r="J823" s="272">
        <f ca="1">'Planning Engine'!J2077</f>
        <v>0</v>
      </c>
      <c r="K823" s="271">
        <f ca="1">'Planning Engine'!K2077</f>
        <v>0</v>
      </c>
      <c r="L823" s="273" t="str">
        <f>'Planning Engine'!L2077</f>
        <v>High</v>
      </c>
      <c r="M823" s="360">
        <f>'Planning Engine'!S2077</f>
        <v>49096</v>
      </c>
      <c r="N823" s="271">
        <f>'Planning Engine'!T2077</f>
        <v>0</v>
      </c>
      <c r="O823" s="361" cm="1">
        <f t="array" ref="O823">IFERROR(SUMPRODUCT(('Planning Engine'!$B$4:$B$2500="188mg LP - EU Stock")*('Planning Engine'!$A$4:$A$2500='Planning Engine'!A2077)*'Planning Engine'!$U$4:$U$2500),"--")</f>
        <v>0</v>
      </c>
      <c r="P823" s="273" t="str">
        <f t="shared" si="27"/>
        <v>⚠ Expedite production / source alternate</v>
      </c>
    </row>
    <row r="824" spans="1:16" x14ac:dyDescent="0.35">
      <c r="A824" s="358">
        <f>'Planning Engine'!A2078</f>
        <v>49218</v>
      </c>
      <c r="B824" s="274" t="s">
        <v>959</v>
      </c>
      <c r="C824" s="278" t="str">
        <f>'Planning Engine'!C2078</f>
        <v>Label/Pack</v>
      </c>
      <c r="D824" s="278" t="str">
        <f>'Planning Engine'!D2078</f>
        <v>units</v>
      </c>
      <c r="E824" s="276">
        <f>'Planning Engine'!E2078</f>
        <v>0</v>
      </c>
      <c r="F824" s="276">
        <f>'Planning Engine'!F2078</f>
        <v>0</v>
      </c>
      <c r="G824" s="276">
        <f>'Planning Engine'!G2078</f>
        <v>0</v>
      </c>
      <c r="H824" s="276">
        <f t="shared" si="26"/>
        <v>0</v>
      </c>
      <c r="I824" s="276">
        <f>'Planning Engine'!H2078</f>
        <v>0</v>
      </c>
      <c r="J824" s="277">
        <f ca="1">'Planning Engine'!J2078</f>
        <v>0</v>
      </c>
      <c r="K824" s="276">
        <f ca="1">'Planning Engine'!K2078</f>
        <v>0</v>
      </c>
      <c r="L824" s="278" t="str">
        <f>'Planning Engine'!L2078</f>
        <v>High</v>
      </c>
      <c r="M824" s="358">
        <f>'Planning Engine'!S2078</f>
        <v>49126</v>
      </c>
      <c r="N824" s="276">
        <f>'Planning Engine'!T2078</f>
        <v>0</v>
      </c>
      <c r="O824" s="359" cm="1">
        <f t="array" ref="O824">IFERROR(SUMPRODUCT(('Planning Engine'!$B$4:$B$2500="188mg LP - EU Stock")*('Planning Engine'!$A$4:$A$2500='Planning Engine'!A2078)*'Planning Engine'!$U$4:$U$2500),"--")</f>
        <v>0</v>
      </c>
      <c r="P824" s="278" t="str">
        <f t="shared" si="27"/>
        <v>⚠ Expedite production / source alternate</v>
      </c>
    </row>
    <row r="825" spans="1:16" x14ac:dyDescent="0.35">
      <c r="A825" s="360">
        <f>'Planning Engine'!A2079</f>
        <v>49249</v>
      </c>
      <c r="B825" s="269" t="s">
        <v>959</v>
      </c>
      <c r="C825" s="273" t="str">
        <f>'Planning Engine'!C2079</f>
        <v>Label/Pack</v>
      </c>
      <c r="D825" s="273" t="str">
        <f>'Planning Engine'!D2079</f>
        <v>units</v>
      </c>
      <c r="E825" s="271">
        <f>'Planning Engine'!E2079</f>
        <v>0</v>
      </c>
      <c r="F825" s="271">
        <f>'Planning Engine'!F2079</f>
        <v>0</v>
      </c>
      <c r="G825" s="271">
        <f>'Planning Engine'!G2079</f>
        <v>0</v>
      </c>
      <c r="H825" s="271">
        <f t="shared" si="26"/>
        <v>0</v>
      </c>
      <c r="I825" s="271">
        <f>'Planning Engine'!H2079</f>
        <v>0</v>
      </c>
      <c r="J825" s="272">
        <f ca="1">'Planning Engine'!J2079</f>
        <v>0</v>
      </c>
      <c r="K825" s="271">
        <f ca="1">'Planning Engine'!K2079</f>
        <v>0</v>
      </c>
      <c r="L825" s="273" t="str">
        <f>'Planning Engine'!L2079</f>
        <v>High</v>
      </c>
      <c r="M825" s="360">
        <f>'Planning Engine'!S2079</f>
        <v>49157</v>
      </c>
      <c r="N825" s="271">
        <f>'Planning Engine'!T2079</f>
        <v>0</v>
      </c>
      <c r="O825" s="361" cm="1">
        <f t="array" ref="O825">IFERROR(SUMPRODUCT(('Planning Engine'!$B$4:$B$2500="188mg LP - EU Stock")*('Planning Engine'!$A$4:$A$2500='Planning Engine'!A2079)*'Planning Engine'!$U$4:$U$2500),"--")</f>
        <v>0</v>
      </c>
      <c r="P825" s="273" t="str">
        <f t="shared" si="27"/>
        <v>⚠ Expedite production / source alternate</v>
      </c>
    </row>
    <row r="826" spans="1:16" x14ac:dyDescent="0.35">
      <c r="A826" s="358">
        <f>'Planning Engine'!A2080</f>
        <v>49279</v>
      </c>
      <c r="B826" s="274" t="s">
        <v>959</v>
      </c>
      <c r="C826" s="278" t="str">
        <f>'Planning Engine'!C2080</f>
        <v>Label/Pack</v>
      </c>
      <c r="D826" s="278" t="str">
        <f>'Planning Engine'!D2080</f>
        <v>units</v>
      </c>
      <c r="E826" s="276">
        <f>'Planning Engine'!E2080</f>
        <v>0</v>
      </c>
      <c r="F826" s="276">
        <f>'Planning Engine'!F2080</f>
        <v>0</v>
      </c>
      <c r="G826" s="276">
        <f>'Planning Engine'!G2080</f>
        <v>0</v>
      </c>
      <c r="H826" s="276">
        <f t="shared" si="26"/>
        <v>0</v>
      </c>
      <c r="I826" s="276">
        <f>'Planning Engine'!H2080</f>
        <v>0</v>
      </c>
      <c r="J826" s="277">
        <f ca="1">'Planning Engine'!J2080</f>
        <v>0</v>
      </c>
      <c r="K826" s="276">
        <f ca="1">'Planning Engine'!K2080</f>
        <v>0</v>
      </c>
      <c r="L826" s="278" t="str">
        <f>'Planning Engine'!L2080</f>
        <v>High</v>
      </c>
      <c r="M826" s="358">
        <f>'Planning Engine'!S2080</f>
        <v>49188</v>
      </c>
      <c r="N826" s="276">
        <f>'Planning Engine'!T2080</f>
        <v>0</v>
      </c>
      <c r="O826" s="359" cm="1">
        <f t="array" ref="O826">IFERROR(SUMPRODUCT(('Planning Engine'!$B$4:$B$2500="188mg LP - EU Stock")*('Planning Engine'!$A$4:$A$2500='Planning Engine'!A2080)*'Planning Engine'!$U$4:$U$2500),"--")</f>
        <v>0</v>
      </c>
      <c r="P826" s="278" t="str">
        <f t="shared" si="27"/>
        <v>⚠ Expedite production / source alternate</v>
      </c>
    </row>
    <row r="827" spans="1:16" x14ac:dyDescent="0.35">
      <c r="A827" s="360">
        <f>'Planning Engine'!A2081</f>
        <v>49310</v>
      </c>
      <c r="B827" s="269" t="s">
        <v>959</v>
      </c>
      <c r="C827" s="273" t="str">
        <f>'Planning Engine'!C2081</f>
        <v>Label/Pack</v>
      </c>
      <c r="D827" s="273" t="str">
        <f>'Planning Engine'!D2081</f>
        <v>units</v>
      </c>
      <c r="E827" s="271">
        <f>'Planning Engine'!E2081</f>
        <v>0</v>
      </c>
      <c r="F827" s="271">
        <f>'Planning Engine'!F2081</f>
        <v>0</v>
      </c>
      <c r="G827" s="271">
        <f>'Planning Engine'!G2081</f>
        <v>0</v>
      </c>
      <c r="H827" s="271">
        <f t="shared" si="26"/>
        <v>0</v>
      </c>
      <c r="I827" s="271">
        <f>'Planning Engine'!H2081</f>
        <v>0</v>
      </c>
      <c r="J827" s="272">
        <f ca="1">'Planning Engine'!J2081</f>
        <v>0</v>
      </c>
      <c r="K827" s="271">
        <f ca="1">'Planning Engine'!K2081</f>
        <v>0</v>
      </c>
      <c r="L827" s="273" t="str">
        <f>'Planning Engine'!L2081</f>
        <v>High</v>
      </c>
      <c r="M827" s="360">
        <f>'Planning Engine'!S2081</f>
        <v>49218</v>
      </c>
      <c r="N827" s="271">
        <f>'Planning Engine'!T2081</f>
        <v>0</v>
      </c>
      <c r="O827" s="361" cm="1">
        <f t="array" ref="O827">IFERROR(SUMPRODUCT(('Planning Engine'!$B$4:$B$2500="188mg LP - EU Stock")*('Planning Engine'!$A$4:$A$2500='Planning Engine'!A2081)*'Planning Engine'!$U$4:$U$2500),"--")</f>
        <v>0</v>
      </c>
      <c r="P827" s="273" t="str">
        <f t="shared" si="27"/>
        <v>⚠ Expedite production / source alternate</v>
      </c>
    </row>
    <row r="828" spans="1:16" x14ac:dyDescent="0.35">
      <c r="A828" s="358">
        <f>'Planning Engine'!A2082</f>
        <v>49341</v>
      </c>
      <c r="B828" s="274" t="s">
        <v>959</v>
      </c>
      <c r="C828" s="278" t="str">
        <f>'Planning Engine'!C2082</f>
        <v>Label/Pack</v>
      </c>
      <c r="D828" s="278" t="str">
        <f>'Planning Engine'!D2082</f>
        <v>units</v>
      </c>
      <c r="E828" s="276">
        <f>'Planning Engine'!E2082</f>
        <v>0</v>
      </c>
      <c r="F828" s="276">
        <f>'Planning Engine'!F2082</f>
        <v>0</v>
      </c>
      <c r="G828" s="276">
        <f>'Planning Engine'!G2082</f>
        <v>0</v>
      </c>
      <c r="H828" s="276">
        <f t="shared" si="26"/>
        <v>0</v>
      </c>
      <c r="I828" s="276">
        <f>'Planning Engine'!H2082</f>
        <v>0</v>
      </c>
      <c r="J828" s="277">
        <f ca="1">'Planning Engine'!J2082</f>
        <v>0</v>
      </c>
      <c r="K828" s="276">
        <f ca="1">'Planning Engine'!K2082</f>
        <v>0</v>
      </c>
      <c r="L828" s="278" t="str">
        <f>'Planning Engine'!L2082</f>
        <v>High</v>
      </c>
      <c r="M828" s="358">
        <f>'Planning Engine'!S2082</f>
        <v>49249</v>
      </c>
      <c r="N828" s="276">
        <f>'Planning Engine'!T2082</f>
        <v>0</v>
      </c>
      <c r="O828" s="359" cm="1">
        <f t="array" ref="O828">IFERROR(SUMPRODUCT(('Planning Engine'!$B$4:$B$2500="188mg LP - EU Stock")*('Planning Engine'!$A$4:$A$2500='Planning Engine'!A2082)*'Planning Engine'!$U$4:$U$2500),"--")</f>
        <v>0</v>
      </c>
      <c r="P828" s="278" t="str">
        <f t="shared" si="27"/>
        <v>⚠ Expedite production / source alternate</v>
      </c>
    </row>
    <row r="829" spans="1:16" x14ac:dyDescent="0.35">
      <c r="A829" s="360">
        <f>'Planning Engine'!A2083</f>
        <v>49369</v>
      </c>
      <c r="B829" s="269" t="s">
        <v>959</v>
      </c>
      <c r="C829" s="273" t="str">
        <f>'Planning Engine'!C2083</f>
        <v>Label/Pack</v>
      </c>
      <c r="D829" s="273" t="str">
        <f>'Planning Engine'!D2083</f>
        <v>units</v>
      </c>
      <c r="E829" s="271">
        <f>'Planning Engine'!E2083</f>
        <v>0</v>
      </c>
      <c r="F829" s="271">
        <f>'Planning Engine'!F2083</f>
        <v>0</v>
      </c>
      <c r="G829" s="271">
        <f>'Planning Engine'!G2083</f>
        <v>0</v>
      </c>
      <c r="H829" s="271">
        <f t="shared" si="26"/>
        <v>0</v>
      </c>
      <c r="I829" s="271">
        <f>'Planning Engine'!H2083</f>
        <v>0</v>
      </c>
      <c r="J829" s="272">
        <f ca="1">'Planning Engine'!J2083</f>
        <v>0</v>
      </c>
      <c r="K829" s="271">
        <f ca="1">'Planning Engine'!K2083</f>
        <v>0</v>
      </c>
      <c r="L829" s="273" t="str">
        <f>'Planning Engine'!L2083</f>
        <v>High</v>
      </c>
      <c r="M829" s="360">
        <f>'Planning Engine'!S2083</f>
        <v>49279</v>
      </c>
      <c r="N829" s="271">
        <f>'Planning Engine'!T2083</f>
        <v>0</v>
      </c>
      <c r="O829" s="361" cm="1">
        <f t="array" ref="O829">IFERROR(SUMPRODUCT(('Planning Engine'!$B$4:$B$2500="188mg LP - EU Stock")*('Planning Engine'!$A$4:$A$2500='Planning Engine'!A2083)*'Planning Engine'!$U$4:$U$2500),"--")</f>
        <v>0</v>
      </c>
      <c r="P829" s="273" t="str">
        <f t="shared" si="27"/>
        <v>⚠ Expedite production / source alternate</v>
      </c>
    </row>
    <row r="830" spans="1:16" x14ac:dyDescent="0.35">
      <c r="A830" s="358">
        <f>'Planning Engine'!A2084</f>
        <v>49400</v>
      </c>
      <c r="B830" s="274" t="s">
        <v>959</v>
      </c>
      <c r="C830" s="278" t="str">
        <f>'Planning Engine'!C2084</f>
        <v>Label/Pack</v>
      </c>
      <c r="D830" s="278" t="str">
        <f>'Planning Engine'!D2084</f>
        <v>units</v>
      </c>
      <c r="E830" s="276">
        <f>'Planning Engine'!E2084</f>
        <v>0</v>
      </c>
      <c r="F830" s="276">
        <f>'Planning Engine'!F2084</f>
        <v>0</v>
      </c>
      <c r="G830" s="276">
        <f>'Planning Engine'!G2084</f>
        <v>0</v>
      </c>
      <c r="H830" s="276">
        <f t="shared" si="26"/>
        <v>0</v>
      </c>
      <c r="I830" s="276">
        <f>'Planning Engine'!H2084</f>
        <v>0</v>
      </c>
      <c r="J830" s="277">
        <f ca="1">'Planning Engine'!J2084</f>
        <v>0</v>
      </c>
      <c r="K830" s="276">
        <f ca="1">'Planning Engine'!K2084</f>
        <v>0</v>
      </c>
      <c r="L830" s="278" t="str">
        <f>'Planning Engine'!L2084</f>
        <v>High</v>
      </c>
      <c r="M830" s="358">
        <f>'Planning Engine'!S2084</f>
        <v>49310</v>
      </c>
      <c r="N830" s="276">
        <f>'Planning Engine'!T2084</f>
        <v>0</v>
      </c>
      <c r="O830" s="359" cm="1">
        <f t="array" ref="O830">IFERROR(SUMPRODUCT(('Planning Engine'!$B$4:$B$2500="188mg LP - EU Stock")*('Planning Engine'!$A$4:$A$2500='Planning Engine'!A2084)*'Planning Engine'!$U$4:$U$2500),"--")</f>
        <v>0</v>
      </c>
      <c r="P830" s="278" t="str">
        <f t="shared" si="27"/>
        <v>⚠ Expedite production / source alternate</v>
      </c>
    </row>
    <row r="831" spans="1:16" x14ac:dyDescent="0.35">
      <c r="A831" s="360">
        <f>'Planning Engine'!A2085</f>
        <v>49430</v>
      </c>
      <c r="B831" s="269" t="s">
        <v>959</v>
      </c>
      <c r="C831" s="273" t="str">
        <f>'Planning Engine'!C2085</f>
        <v>Label/Pack</v>
      </c>
      <c r="D831" s="273" t="str">
        <f>'Planning Engine'!D2085</f>
        <v>units</v>
      </c>
      <c r="E831" s="271">
        <f>'Planning Engine'!E2085</f>
        <v>0</v>
      </c>
      <c r="F831" s="271">
        <f>'Planning Engine'!F2085</f>
        <v>0</v>
      </c>
      <c r="G831" s="271">
        <f>'Planning Engine'!G2085</f>
        <v>0</v>
      </c>
      <c r="H831" s="271">
        <f t="shared" si="26"/>
        <v>0</v>
      </c>
      <c r="I831" s="271">
        <f>'Planning Engine'!H2085</f>
        <v>0</v>
      </c>
      <c r="J831" s="272">
        <f ca="1">'Planning Engine'!J2085</f>
        <v>0</v>
      </c>
      <c r="K831" s="271">
        <f ca="1">'Planning Engine'!K2085</f>
        <v>0</v>
      </c>
      <c r="L831" s="273" t="str">
        <f>'Planning Engine'!L2085</f>
        <v>High</v>
      </c>
      <c r="M831" s="360">
        <f>'Planning Engine'!S2085</f>
        <v>49341</v>
      </c>
      <c r="N831" s="271">
        <f>'Planning Engine'!T2085</f>
        <v>0</v>
      </c>
      <c r="O831" s="361" cm="1">
        <f t="array" ref="O831">IFERROR(SUMPRODUCT(('Planning Engine'!$B$4:$B$2500="188mg LP - EU Stock")*('Planning Engine'!$A$4:$A$2500='Planning Engine'!A2085)*'Planning Engine'!$U$4:$U$2500),"--")</f>
        <v>0</v>
      </c>
      <c r="P831" s="273" t="str">
        <f t="shared" si="27"/>
        <v>⚠ Expedite production / source alternate</v>
      </c>
    </row>
    <row r="832" spans="1:16" x14ac:dyDescent="0.35">
      <c r="A832" s="358">
        <f>'Planning Engine'!A2086</f>
        <v>49461</v>
      </c>
      <c r="B832" s="274" t="s">
        <v>959</v>
      </c>
      <c r="C832" s="278" t="str">
        <f>'Planning Engine'!C2086</f>
        <v>Label/Pack</v>
      </c>
      <c r="D832" s="278" t="str">
        <f>'Planning Engine'!D2086</f>
        <v>units</v>
      </c>
      <c r="E832" s="276">
        <f>'Planning Engine'!E2086</f>
        <v>0</v>
      </c>
      <c r="F832" s="276">
        <f>'Planning Engine'!F2086</f>
        <v>0</v>
      </c>
      <c r="G832" s="276">
        <f>'Planning Engine'!G2086</f>
        <v>0</v>
      </c>
      <c r="H832" s="276">
        <f t="shared" si="26"/>
        <v>0</v>
      </c>
      <c r="I832" s="276">
        <f>'Planning Engine'!H2086</f>
        <v>0</v>
      </c>
      <c r="J832" s="277">
        <f ca="1">'Planning Engine'!J2086</f>
        <v>0</v>
      </c>
      <c r="K832" s="276">
        <f ca="1">'Planning Engine'!K2086</f>
        <v>0</v>
      </c>
      <c r="L832" s="278" t="str">
        <f>'Planning Engine'!L2086</f>
        <v>High</v>
      </c>
      <c r="M832" s="358">
        <f>'Planning Engine'!S2086</f>
        <v>49369</v>
      </c>
      <c r="N832" s="276">
        <f>'Planning Engine'!T2086</f>
        <v>0</v>
      </c>
      <c r="O832" s="359" cm="1">
        <f t="array" ref="O832">IFERROR(SUMPRODUCT(('Planning Engine'!$B$4:$B$2500="188mg LP - EU Stock")*('Planning Engine'!$A$4:$A$2500='Planning Engine'!A2086)*'Planning Engine'!$U$4:$U$2500),"--")</f>
        <v>0</v>
      </c>
      <c r="P832" s="278" t="str">
        <f t="shared" si="27"/>
        <v>⚠ Expedite production / source alternate</v>
      </c>
    </row>
    <row r="833" spans="1:16" x14ac:dyDescent="0.35">
      <c r="A833" s="360">
        <f>'Planning Engine'!A2087</f>
        <v>49491</v>
      </c>
      <c r="B833" s="269" t="s">
        <v>959</v>
      </c>
      <c r="C833" s="273" t="str">
        <f>'Planning Engine'!C2087</f>
        <v>Label/Pack</v>
      </c>
      <c r="D833" s="273" t="str">
        <f>'Planning Engine'!D2087</f>
        <v>units</v>
      </c>
      <c r="E833" s="271">
        <f>'Planning Engine'!E2087</f>
        <v>0</v>
      </c>
      <c r="F833" s="271">
        <f>'Planning Engine'!F2087</f>
        <v>0</v>
      </c>
      <c r="G833" s="271">
        <f>'Planning Engine'!G2087</f>
        <v>0</v>
      </c>
      <c r="H833" s="271">
        <f t="shared" si="26"/>
        <v>0</v>
      </c>
      <c r="I833" s="271">
        <f>'Planning Engine'!H2087</f>
        <v>0</v>
      </c>
      <c r="J833" s="272">
        <f ca="1">'Planning Engine'!J2087</f>
        <v>0</v>
      </c>
      <c r="K833" s="271">
        <f ca="1">'Planning Engine'!K2087</f>
        <v>0</v>
      </c>
      <c r="L833" s="273" t="str">
        <f>'Planning Engine'!L2087</f>
        <v>High</v>
      </c>
      <c r="M833" s="360">
        <f>'Planning Engine'!S2087</f>
        <v>49400</v>
      </c>
      <c r="N833" s="271">
        <f>'Planning Engine'!T2087</f>
        <v>0</v>
      </c>
      <c r="O833" s="361" cm="1">
        <f t="array" ref="O833">IFERROR(SUMPRODUCT(('Planning Engine'!$B$4:$B$2500="188mg LP - EU Stock")*('Planning Engine'!$A$4:$A$2500='Planning Engine'!A2087)*'Planning Engine'!$U$4:$U$2500),"--")</f>
        <v>0</v>
      </c>
      <c r="P833" s="273" t="str">
        <f t="shared" si="27"/>
        <v>⚠ Expedite production / source alternate</v>
      </c>
    </row>
    <row r="834" spans="1:16" x14ac:dyDescent="0.35">
      <c r="A834" s="358">
        <f>'Planning Engine'!A2088</f>
        <v>49522</v>
      </c>
      <c r="B834" s="274" t="s">
        <v>959</v>
      </c>
      <c r="C834" s="278" t="str">
        <f>'Planning Engine'!C2088</f>
        <v>Label/Pack</v>
      </c>
      <c r="D834" s="278" t="str">
        <f>'Planning Engine'!D2088</f>
        <v>units</v>
      </c>
      <c r="E834" s="276">
        <f>'Planning Engine'!E2088</f>
        <v>0</v>
      </c>
      <c r="F834" s="276">
        <f>'Planning Engine'!F2088</f>
        <v>0</v>
      </c>
      <c r="G834" s="276">
        <f>'Planning Engine'!G2088</f>
        <v>0</v>
      </c>
      <c r="H834" s="276">
        <f t="shared" si="26"/>
        <v>0</v>
      </c>
      <c r="I834" s="276">
        <f>'Planning Engine'!H2088</f>
        <v>0</v>
      </c>
      <c r="J834" s="277">
        <f ca="1">'Planning Engine'!J2088</f>
        <v>0</v>
      </c>
      <c r="K834" s="276">
        <f ca="1">'Planning Engine'!K2088</f>
        <v>0</v>
      </c>
      <c r="L834" s="278" t="str">
        <f>'Planning Engine'!L2088</f>
        <v>High</v>
      </c>
      <c r="M834" s="358">
        <f>'Planning Engine'!S2088</f>
        <v>49430</v>
      </c>
      <c r="N834" s="276">
        <f>'Planning Engine'!T2088</f>
        <v>0</v>
      </c>
      <c r="O834" s="359" cm="1">
        <f t="array" ref="O834">IFERROR(SUMPRODUCT(('Planning Engine'!$B$4:$B$2500="188mg LP - EU Stock")*('Planning Engine'!$A$4:$A$2500='Planning Engine'!A2088)*'Planning Engine'!$U$4:$U$2500),"--")</f>
        <v>0</v>
      </c>
      <c r="P834" s="278" t="str">
        <f t="shared" si="27"/>
        <v>⚠ Expedite production / source alternate</v>
      </c>
    </row>
    <row r="835" spans="1:16" x14ac:dyDescent="0.35">
      <c r="A835" s="360">
        <f>'Planning Engine'!A2089</f>
        <v>49553</v>
      </c>
      <c r="B835" s="269" t="s">
        <v>959</v>
      </c>
      <c r="C835" s="273" t="str">
        <f>'Planning Engine'!C2089</f>
        <v>Label/Pack</v>
      </c>
      <c r="D835" s="273" t="str">
        <f>'Planning Engine'!D2089</f>
        <v>units</v>
      </c>
      <c r="E835" s="271">
        <f>'Planning Engine'!E2089</f>
        <v>0</v>
      </c>
      <c r="F835" s="271">
        <f>'Planning Engine'!F2089</f>
        <v>0</v>
      </c>
      <c r="G835" s="271">
        <f>'Planning Engine'!G2089</f>
        <v>0</v>
      </c>
      <c r="H835" s="271">
        <f t="shared" si="26"/>
        <v>0</v>
      </c>
      <c r="I835" s="271">
        <f>'Planning Engine'!H2089</f>
        <v>0</v>
      </c>
      <c r="J835" s="272">
        <f ca="1">'Planning Engine'!J2089</f>
        <v>0</v>
      </c>
      <c r="K835" s="271">
        <f ca="1">'Planning Engine'!K2089</f>
        <v>0</v>
      </c>
      <c r="L835" s="273" t="str">
        <f>'Planning Engine'!L2089</f>
        <v>High</v>
      </c>
      <c r="M835" s="360">
        <f>'Planning Engine'!S2089</f>
        <v>49461</v>
      </c>
      <c r="N835" s="271">
        <f>'Planning Engine'!T2089</f>
        <v>0</v>
      </c>
      <c r="O835" s="361" cm="1">
        <f t="array" ref="O835">IFERROR(SUMPRODUCT(('Planning Engine'!$B$4:$B$2500="188mg LP - EU Stock")*('Planning Engine'!$A$4:$A$2500='Planning Engine'!A2089)*'Planning Engine'!$U$4:$U$2500),"--")</f>
        <v>0</v>
      </c>
      <c r="P835" s="273" t="str">
        <f t="shared" si="27"/>
        <v>⚠ Expedite production / source alternate</v>
      </c>
    </row>
    <row r="836" spans="1:16" x14ac:dyDescent="0.35">
      <c r="A836" s="358">
        <f>'Planning Engine'!A2090</f>
        <v>49583</v>
      </c>
      <c r="B836" s="274" t="s">
        <v>959</v>
      </c>
      <c r="C836" s="278" t="str">
        <f>'Planning Engine'!C2090</f>
        <v>Label/Pack</v>
      </c>
      <c r="D836" s="278" t="str">
        <f>'Planning Engine'!D2090</f>
        <v>units</v>
      </c>
      <c r="E836" s="276">
        <f>'Planning Engine'!E2090</f>
        <v>0</v>
      </c>
      <c r="F836" s="276">
        <f>'Planning Engine'!F2090</f>
        <v>0</v>
      </c>
      <c r="G836" s="276">
        <f>'Planning Engine'!G2090</f>
        <v>0</v>
      </c>
      <c r="H836" s="276">
        <f t="shared" si="26"/>
        <v>0</v>
      </c>
      <c r="I836" s="276">
        <f>'Planning Engine'!H2090</f>
        <v>0</v>
      </c>
      <c r="J836" s="277">
        <f ca="1">'Planning Engine'!J2090</f>
        <v>0</v>
      </c>
      <c r="K836" s="276">
        <f ca="1">'Planning Engine'!K2090</f>
        <v>0</v>
      </c>
      <c r="L836" s="278" t="str">
        <f>'Planning Engine'!L2090</f>
        <v>High</v>
      </c>
      <c r="M836" s="358">
        <f>'Planning Engine'!S2090</f>
        <v>49491</v>
      </c>
      <c r="N836" s="276">
        <f>'Planning Engine'!T2090</f>
        <v>0</v>
      </c>
      <c r="O836" s="359" cm="1">
        <f t="array" ref="O836">IFERROR(SUMPRODUCT(('Planning Engine'!$B$4:$B$2500="188mg LP - EU Stock")*('Planning Engine'!$A$4:$A$2500='Planning Engine'!A2090)*'Planning Engine'!$U$4:$U$2500),"--")</f>
        <v>0</v>
      </c>
      <c r="P836" s="278" t="str">
        <f t="shared" si="27"/>
        <v>⚠ Expedite production / source alternate</v>
      </c>
    </row>
    <row r="837" spans="1:16" x14ac:dyDescent="0.35">
      <c r="A837" s="360">
        <f>'Planning Engine'!A2091</f>
        <v>49614</v>
      </c>
      <c r="B837" s="269" t="s">
        <v>959</v>
      </c>
      <c r="C837" s="273" t="str">
        <f>'Planning Engine'!C2091</f>
        <v>Label/Pack</v>
      </c>
      <c r="D837" s="273" t="str">
        <f>'Planning Engine'!D2091</f>
        <v>units</v>
      </c>
      <c r="E837" s="271">
        <f>'Planning Engine'!E2091</f>
        <v>0</v>
      </c>
      <c r="F837" s="271">
        <f>'Planning Engine'!F2091</f>
        <v>0</v>
      </c>
      <c r="G837" s="271">
        <f>'Planning Engine'!G2091</f>
        <v>0</v>
      </c>
      <c r="H837" s="271">
        <f t="shared" si="26"/>
        <v>0</v>
      </c>
      <c r="I837" s="271">
        <f>'Planning Engine'!H2091</f>
        <v>0</v>
      </c>
      <c r="J837" s="272">
        <f ca="1">'Planning Engine'!J2091</f>
        <v>0</v>
      </c>
      <c r="K837" s="271">
        <f ca="1">'Planning Engine'!K2091</f>
        <v>0</v>
      </c>
      <c r="L837" s="273" t="str">
        <f>'Planning Engine'!L2091</f>
        <v>High</v>
      </c>
      <c r="M837" s="360">
        <f>'Planning Engine'!S2091</f>
        <v>49522</v>
      </c>
      <c r="N837" s="271">
        <f>'Planning Engine'!T2091</f>
        <v>0</v>
      </c>
      <c r="O837" s="361" cm="1">
        <f t="array" ref="O837">IFERROR(SUMPRODUCT(('Planning Engine'!$B$4:$B$2500="188mg LP - EU Stock")*('Planning Engine'!$A$4:$A$2500='Planning Engine'!A2091)*'Planning Engine'!$U$4:$U$2500),"--")</f>
        <v>0</v>
      </c>
      <c r="P837" s="273" t="str">
        <f t="shared" si="27"/>
        <v>⚠ Expedite production / source alternate</v>
      </c>
    </row>
    <row r="838" spans="1:16" x14ac:dyDescent="0.35">
      <c r="A838" s="358">
        <f>'Planning Engine'!A2092</f>
        <v>49644</v>
      </c>
      <c r="B838" s="274" t="s">
        <v>959</v>
      </c>
      <c r="C838" s="278" t="str">
        <f>'Planning Engine'!C2092</f>
        <v>Label/Pack</v>
      </c>
      <c r="D838" s="278" t="str">
        <f>'Planning Engine'!D2092</f>
        <v>units</v>
      </c>
      <c r="E838" s="276">
        <f>'Planning Engine'!E2092</f>
        <v>0</v>
      </c>
      <c r="F838" s="276">
        <f>'Planning Engine'!F2092</f>
        <v>0</v>
      </c>
      <c r="G838" s="276">
        <f>'Planning Engine'!G2092</f>
        <v>0</v>
      </c>
      <c r="H838" s="276">
        <f t="shared" si="26"/>
        <v>0</v>
      </c>
      <c r="I838" s="276">
        <f>'Planning Engine'!H2092</f>
        <v>0</v>
      </c>
      <c r="J838" s="277">
        <f ca="1">'Planning Engine'!J2092</f>
        <v>0</v>
      </c>
      <c r="K838" s="276">
        <f ca="1">'Planning Engine'!K2092</f>
        <v>0</v>
      </c>
      <c r="L838" s="278" t="str">
        <f>'Planning Engine'!L2092</f>
        <v>High</v>
      </c>
      <c r="M838" s="358">
        <f>'Planning Engine'!S2092</f>
        <v>49553</v>
      </c>
      <c r="N838" s="276">
        <f>'Planning Engine'!T2092</f>
        <v>0</v>
      </c>
      <c r="O838" s="359" cm="1">
        <f t="array" ref="O838">IFERROR(SUMPRODUCT(('Planning Engine'!$B$4:$B$2500="188mg LP - EU Stock")*('Planning Engine'!$A$4:$A$2500='Planning Engine'!A2092)*'Planning Engine'!$U$4:$U$2500),"--")</f>
        <v>0</v>
      </c>
      <c r="P838" s="278" t="str">
        <f t="shared" si="27"/>
        <v>⚠ Expedite production / source alternate</v>
      </c>
    </row>
    <row r="839" spans="1:16" x14ac:dyDescent="0.35">
      <c r="A839" s="360">
        <f>'Planning Engine'!A2093</f>
        <v>49675</v>
      </c>
      <c r="B839" s="269" t="s">
        <v>959</v>
      </c>
      <c r="C839" s="273" t="str">
        <f>'Planning Engine'!C2093</f>
        <v>Label/Pack</v>
      </c>
      <c r="D839" s="273" t="str">
        <f>'Planning Engine'!D2093</f>
        <v>units</v>
      </c>
      <c r="E839" s="271">
        <f>'Planning Engine'!E2093</f>
        <v>0</v>
      </c>
      <c r="F839" s="271">
        <f>'Planning Engine'!F2093</f>
        <v>0</v>
      </c>
      <c r="G839" s="271">
        <f>'Planning Engine'!G2093</f>
        <v>0</v>
      </c>
      <c r="H839" s="271">
        <f t="shared" si="26"/>
        <v>0</v>
      </c>
      <c r="I839" s="271">
        <f>'Planning Engine'!H2093</f>
        <v>0</v>
      </c>
      <c r="J839" s="272">
        <f ca="1">'Planning Engine'!J2093</f>
        <v>0</v>
      </c>
      <c r="K839" s="271">
        <f ca="1">'Planning Engine'!K2093</f>
        <v>0</v>
      </c>
      <c r="L839" s="273" t="str">
        <f>'Planning Engine'!L2093</f>
        <v>High</v>
      </c>
      <c r="M839" s="360">
        <f>'Planning Engine'!S2093</f>
        <v>49583</v>
      </c>
      <c r="N839" s="271">
        <f>'Planning Engine'!T2093</f>
        <v>0</v>
      </c>
      <c r="O839" s="361" cm="1">
        <f t="array" ref="O839">IFERROR(SUMPRODUCT(('Planning Engine'!$B$4:$B$2500="188mg LP - EU Stock")*('Planning Engine'!$A$4:$A$2500='Planning Engine'!A2093)*'Planning Engine'!$U$4:$U$2500),"--")</f>
        <v>0</v>
      </c>
      <c r="P839" s="273" t="str">
        <f t="shared" si="27"/>
        <v>⚠ Expedite production / source alternate</v>
      </c>
    </row>
    <row r="840" spans="1:16" x14ac:dyDescent="0.35">
      <c r="A840" s="358">
        <f>'Planning Engine'!A2094</f>
        <v>49706</v>
      </c>
      <c r="B840" s="274" t="s">
        <v>959</v>
      </c>
      <c r="C840" s="278" t="str">
        <f>'Planning Engine'!C2094</f>
        <v>Label/Pack</v>
      </c>
      <c r="D840" s="278" t="str">
        <f>'Planning Engine'!D2094</f>
        <v>units</v>
      </c>
      <c r="E840" s="276">
        <f>'Planning Engine'!E2094</f>
        <v>0</v>
      </c>
      <c r="F840" s="276">
        <f>'Planning Engine'!F2094</f>
        <v>0</v>
      </c>
      <c r="G840" s="276">
        <f>'Planning Engine'!G2094</f>
        <v>0</v>
      </c>
      <c r="H840" s="276">
        <f t="shared" si="26"/>
        <v>0</v>
      </c>
      <c r="I840" s="276">
        <f>'Planning Engine'!H2094</f>
        <v>0</v>
      </c>
      <c r="J840" s="277">
        <f ca="1">'Planning Engine'!J2094</f>
        <v>0</v>
      </c>
      <c r="K840" s="276">
        <f ca="1">'Planning Engine'!K2094</f>
        <v>0</v>
      </c>
      <c r="L840" s="278" t="str">
        <f>'Planning Engine'!L2094</f>
        <v>High</v>
      </c>
      <c r="M840" s="358">
        <f>'Planning Engine'!S2094</f>
        <v>49614</v>
      </c>
      <c r="N840" s="276">
        <f>'Planning Engine'!T2094</f>
        <v>0</v>
      </c>
      <c r="O840" s="359" cm="1">
        <f t="array" ref="O840">IFERROR(SUMPRODUCT(('Planning Engine'!$B$4:$B$2500="188mg LP - EU Stock")*('Planning Engine'!$A$4:$A$2500='Planning Engine'!A2094)*'Planning Engine'!$U$4:$U$2500),"--")</f>
        <v>0</v>
      </c>
      <c r="P840" s="278" t="str">
        <f t="shared" si="27"/>
        <v>⚠ Expedite production / source alternate</v>
      </c>
    </row>
    <row r="841" spans="1:16" x14ac:dyDescent="0.35">
      <c r="A841" s="360">
        <f>'Planning Engine'!A2095</f>
        <v>49735</v>
      </c>
      <c r="B841" s="269" t="s">
        <v>959</v>
      </c>
      <c r="C841" s="273" t="str">
        <f>'Planning Engine'!C2095</f>
        <v>Label/Pack</v>
      </c>
      <c r="D841" s="273" t="str">
        <f>'Planning Engine'!D2095</f>
        <v>units</v>
      </c>
      <c r="E841" s="271">
        <f>'Planning Engine'!E2095</f>
        <v>0</v>
      </c>
      <c r="F841" s="271">
        <f>'Planning Engine'!F2095</f>
        <v>0</v>
      </c>
      <c r="G841" s="271">
        <f>'Planning Engine'!G2095</f>
        <v>0</v>
      </c>
      <c r="H841" s="271">
        <f t="shared" si="26"/>
        <v>0</v>
      </c>
      <c r="I841" s="271">
        <f>'Planning Engine'!H2095</f>
        <v>0</v>
      </c>
      <c r="J841" s="272">
        <f ca="1">'Planning Engine'!J2095</f>
        <v>0</v>
      </c>
      <c r="K841" s="271">
        <f ca="1">'Planning Engine'!K2095</f>
        <v>0</v>
      </c>
      <c r="L841" s="273" t="str">
        <f>'Planning Engine'!L2095</f>
        <v>High</v>
      </c>
      <c r="M841" s="360">
        <f>'Planning Engine'!S2095</f>
        <v>49644</v>
      </c>
      <c r="N841" s="271">
        <f>'Planning Engine'!T2095</f>
        <v>0</v>
      </c>
      <c r="O841" s="361" cm="1">
        <f t="array" ref="O841">IFERROR(SUMPRODUCT(('Planning Engine'!$B$4:$B$2500="188mg LP - EU Stock")*('Planning Engine'!$A$4:$A$2500='Planning Engine'!A2095)*'Planning Engine'!$U$4:$U$2500),"--")</f>
        <v>0</v>
      </c>
      <c r="P841" s="273" t="str">
        <f t="shared" si="27"/>
        <v>⚠ Expedite production / source alternate</v>
      </c>
    </row>
    <row r="842" spans="1:16" x14ac:dyDescent="0.35">
      <c r="A842" s="358">
        <f>'Planning Engine'!A2096</f>
        <v>49766</v>
      </c>
      <c r="B842" s="274" t="s">
        <v>959</v>
      </c>
      <c r="C842" s="278" t="str">
        <f>'Planning Engine'!C2096</f>
        <v>Label/Pack</v>
      </c>
      <c r="D842" s="278" t="str">
        <f>'Planning Engine'!D2096</f>
        <v>units</v>
      </c>
      <c r="E842" s="276">
        <f>'Planning Engine'!E2096</f>
        <v>0</v>
      </c>
      <c r="F842" s="276">
        <f>'Planning Engine'!F2096</f>
        <v>0</v>
      </c>
      <c r="G842" s="276">
        <f>'Planning Engine'!G2096</f>
        <v>0</v>
      </c>
      <c r="H842" s="276">
        <f t="shared" si="26"/>
        <v>0</v>
      </c>
      <c r="I842" s="276">
        <f>'Planning Engine'!H2096</f>
        <v>0</v>
      </c>
      <c r="J842" s="277">
        <f ca="1">'Planning Engine'!J2096</f>
        <v>0</v>
      </c>
      <c r="K842" s="276">
        <f ca="1">'Planning Engine'!K2096</f>
        <v>0</v>
      </c>
      <c r="L842" s="278" t="str">
        <f>'Planning Engine'!L2096</f>
        <v>High</v>
      </c>
      <c r="M842" s="358">
        <f>'Planning Engine'!S2096</f>
        <v>49675</v>
      </c>
      <c r="N842" s="276">
        <f>'Planning Engine'!T2096</f>
        <v>0</v>
      </c>
      <c r="O842" s="359" cm="1">
        <f t="array" ref="O842">IFERROR(SUMPRODUCT(('Planning Engine'!$B$4:$B$2500="188mg LP - EU Stock")*('Planning Engine'!$A$4:$A$2500='Planning Engine'!A2096)*'Planning Engine'!$U$4:$U$2500),"--")</f>
        <v>0</v>
      </c>
      <c r="P842" s="278" t="str">
        <f t="shared" si="27"/>
        <v>⚠ Expedite production / source alternate</v>
      </c>
    </row>
    <row r="843" spans="1:16" x14ac:dyDescent="0.35">
      <c r="A843" s="360">
        <f>'Planning Engine'!A2097</f>
        <v>49796</v>
      </c>
      <c r="B843" s="269" t="s">
        <v>959</v>
      </c>
      <c r="C843" s="273" t="str">
        <f>'Planning Engine'!C2097</f>
        <v>Label/Pack</v>
      </c>
      <c r="D843" s="273" t="str">
        <f>'Planning Engine'!D2097</f>
        <v>units</v>
      </c>
      <c r="E843" s="271">
        <f>'Planning Engine'!E2097</f>
        <v>0</v>
      </c>
      <c r="F843" s="271">
        <f>'Planning Engine'!F2097</f>
        <v>0</v>
      </c>
      <c r="G843" s="271">
        <f>'Planning Engine'!G2097</f>
        <v>0</v>
      </c>
      <c r="H843" s="271">
        <f t="shared" si="26"/>
        <v>0</v>
      </c>
      <c r="I843" s="271">
        <f>'Planning Engine'!H2097</f>
        <v>0</v>
      </c>
      <c r="J843" s="272">
        <f ca="1">'Planning Engine'!J2097</f>
        <v>0</v>
      </c>
      <c r="K843" s="271">
        <f ca="1">'Planning Engine'!K2097</f>
        <v>0</v>
      </c>
      <c r="L843" s="273" t="str">
        <f>'Planning Engine'!L2097</f>
        <v>High</v>
      </c>
      <c r="M843" s="360">
        <f>'Planning Engine'!S2097</f>
        <v>49706</v>
      </c>
      <c r="N843" s="271">
        <f>'Planning Engine'!T2097</f>
        <v>0</v>
      </c>
      <c r="O843" s="361" cm="1">
        <f t="array" ref="O843">IFERROR(SUMPRODUCT(('Planning Engine'!$B$4:$B$2500="188mg LP - EU Stock")*('Planning Engine'!$A$4:$A$2500='Planning Engine'!A2097)*'Planning Engine'!$U$4:$U$2500),"--")</f>
        <v>0</v>
      </c>
      <c r="P843" s="273" t="str">
        <f t="shared" si="27"/>
        <v>⚠ Expedite production / source alternate</v>
      </c>
    </row>
    <row r="844" spans="1:16" x14ac:dyDescent="0.35">
      <c r="A844" s="358">
        <f>'Planning Engine'!A2098</f>
        <v>49827</v>
      </c>
      <c r="B844" s="274" t="s">
        <v>959</v>
      </c>
      <c r="C844" s="278" t="str">
        <f>'Planning Engine'!C2098</f>
        <v>Label/Pack</v>
      </c>
      <c r="D844" s="278" t="str">
        <f>'Planning Engine'!D2098</f>
        <v>units</v>
      </c>
      <c r="E844" s="276">
        <f>'Planning Engine'!E2098</f>
        <v>0</v>
      </c>
      <c r="F844" s="276">
        <f>'Planning Engine'!F2098</f>
        <v>0</v>
      </c>
      <c r="G844" s="276">
        <f>'Planning Engine'!G2098</f>
        <v>0</v>
      </c>
      <c r="H844" s="276">
        <f t="shared" si="26"/>
        <v>0</v>
      </c>
      <c r="I844" s="276">
        <f>'Planning Engine'!H2098</f>
        <v>0</v>
      </c>
      <c r="J844" s="277">
        <f ca="1">'Planning Engine'!J2098</f>
        <v>0</v>
      </c>
      <c r="K844" s="276">
        <f ca="1">'Planning Engine'!K2098</f>
        <v>0</v>
      </c>
      <c r="L844" s="278" t="str">
        <f>'Planning Engine'!L2098</f>
        <v>High</v>
      </c>
      <c r="M844" s="358">
        <f>'Planning Engine'!S2098</f>
        <v>49735</v>
      </c>
      <c r="N844" s="276">
        <f>'Planning Engine'!T2098</f>
        <v>0</v>
      </c>
      <c r="O844" s="359" cm="1">
        <f t="array" ref="O844">IFERROR(SUMPRODUCT(('Planning Engine'!$B$4:$B$2500="188mg LP - EU Stock")*('Planning Engine'!$A$4:$A$2500='Planning Engine'!A2098)*'Planning Engine'!$U$4:$U$2500),"--")</f>
        <v>0</v>
      </c>
      <c r="P844" s="278" t="str">
        <f t="shared" si="27"/>
        <v>⚠ Expedite production / source alternate</v>
      </c>
    </row>
    <row r="845" spans="1:16" x14ac:dyDescent="0.35">
      <c r="A845" s="360">
        <f>'Planning Engine'!A2099</f>
        <v>49857</v>
      </c>
      <c r="B845" s="269" t="s">
        <v>959</v>
      </c>
      <c r="C845" s="273" t="str">
        <f>'Planning Engine'!C2099</f>
        <v>Label/Pack</v>
      </c>
      <c r="D845" s="273" t="str">
        <f>'Planning Engine'!D2099</f>
        <v>units</v>
      </c>
      <c r="E845" s="271">
        <f>'Planning Engine'!E2099</f>
        <v>0</v>
      </c>
      <c r="F845" s="271">
        <f>'Planning Engine'!F2099</f>
        <v>0</v>
      </c>
      <c r="G845" s="271">
        <f>'Planning Engine'!G2099</f>
        <v>0</v>
      </c>
      <c r="H845" s="271">
        <f t="shared" si="26"/>
        <v>0</v>
      </c>
      <c r="I845" s="271">
        <f>'Planning Engine'!H2099</f>
        <v>0</v>
      </c>
      <c r="J845" s="272">
        <f ca="1">'Planning Engine'!J2099</f>
        <v>0</v>
      </c>
      <c r="K845" s="271">
        <f ca="1">'Planning Engine'!K2099</f>
        <v>0</v>
      </c>
      <c r="L845" s="273" t="str">
        <f>'Planning Engine'!L2099</f>
        <v>High</v>
      </c>
      <c r="M845" s="360">
        <f>'Planning Engine'!S2099</f>
        <v>49766</v>
      </c>
      <c r="N845" s="271">
        <f>'Planning Engine'!T2099</f>
        <v>0</v>
      </c>
      <c r="O845" s="361" cm="1">
        <f t="array" ref="O845">IFERROR(SUMPRODUCT(('Planning Engine'!$B$4:$B$2500="188mg LP - EU Stock")*('Planning Engine'!$A$4:$A$2500='Planning Engine'!A2099)*'Planning Engine'!$U$4:$U$2500),"--")</f>
        <v>0</v>
      </c>
      <c r="P845" s="273" t="str">
        <f t="shared" si="27"/>
        <v>⚠ Expedite production / source alternate</v>
      </c>
    </row>
    <row r="846" spans="1:16" x14ac:dyDescent="0.35">
      <c r="A846" s="358">
        <f>'Planning Engine'!A2100</f>
        <v>49888</v>
      </c>
      <c r="B846" s="274" t="s">
        <v>959</v>
      </c>
      <c r="C846" s="278" t="str">
        <f>'Planning Engine'!C2100</f>
        <v>Label/Pack</v>
      </c>
      <c r="D846" s="278" t="str">
        <f>'Planning Engine'!D2100</f>
        <v>units</v>
      </c>
      <c r="E846" s="276">
        <f>'Planning Engine'!E2100</f>
        <v>0</v>
      </c>
      <c r="F846" s="276">
        <f>'Planning Engine'!F2100</f>
        <v>0</v>
      </c>
      <c r="G846" s="276">
        <f>'Planning Engine'!G2100</f>
        <v>0</v>
      </c>
      <c r="H846" s="276">
        <f t="shared" si="26"/>
        <v>0</v>
      </c>
      <c r="I846" s="276">
        <f>'Planning Engine'!H2100</f>
        <v>0</v>
      </c>
      <c r="J846" s="277">
        <f ca="1">'Planning Engine'!J2100</f>
        <v>0</v>
      </c>
      <c r="K846" s="276">
        <f ca="1">'Planning Engine'!K2100</f>
        <v>0</v>
      </c>
      <c r="L846" s="278" t="str">
        <f>'Planning Engine'!L2100</f>
        <v>High</v>
      </c>
      <c r="M846" s="358">
        <f>'Planning Engine'!S2100</f>
        <v>49796</v>
      </c>
      <c r="N846" s="276">
        <f>'Planning Engine'!T2100</f>
        <v>0</v>
      </c>
      <c r="O846" s="359" cm="1">
        <f t="array" ref="O846">IFERROR(SUMPRODUCT(('Planning Engine'!$B$4:$B$2500="188mg LP - EU Stock")*('Planning Engine'!$A$4:$A$2500='Planning Engine'!A2100)*'Planning Engine'!$U$4:$U$2500),"--")</f>
        <v>0</v>
      </c>
      <c r="P846" s="278" t="str">
        <f t="shared" si="27"/>
        <v>⚠ Expedite production / source alternate</v>
      </c>
    </row>
    <row r="847" spans="1:16" x14ac:dyDescent="0.35">
      <c r="A847" s="360">
        <f>'Planning Engine'!A2101</f>
        <v>49919</v>
      </c>
      <c r="B847" s="269" t="s">
        <v>959</v>
      </c>
      <c r="C847" s="273" t="str">
        <f>'Planning Engine'!C2101</f>
        <v>Label/Pack</v>
      </c>
      <c r="D847" s="273" t="str">
        <f>'Planning Engine'!D2101</f>
        <v>units</v>
      </c>
      <c r="E847" s="271">
        <f>'Planning Engine'!E2101</f>
        <v>0</v>
      </c>
      <c r="F847" s="271">
        <f>'Planning Engine'!F2101</f>
        <v>0</v>
      </c>
      <c r="G847" s="271">
        <f>'Planning Engine'!G2101</f>
        <v>0</v>
      </c>
      <c r="H847" s="271">
        <f t="shared" si="26"/>
        <v>0</v>
      </c>
      <c r="I847" s="271">
        <f>'Planning Engine'!H2101</f>
        <v>0</v>
      </c>
      <c r="J847" s="272">
        <f ca="1">'Planning Engine'!J2101</f>
        <v>0</v>
      </c>
      <c r="K847" s="271">
        <f ca="1">'Planning Engine'!K2101</f>
        <v>0</v>
      </c>
      <c r="L847" s="273" t="str">
        <f>'Planning Engine'!L2101</f>
        <v>High</v>
      </c>
      <c r="M847" s="360">
        <f>'Planning Engine'!S2101</f>
        <v>49827</v>
      </c>
      <c r="N847" s="271">
        <f>'Planning Engine'!T2101</f>
        <v>0</v>
      </c>
      <c r="O847" s="361" cm="1">
        <f t="array" ref="O847">IFERROR(SUMPRODUCT(('Planning Engine'!$B$4:$B$2500="188mg LP - EU Stock")*('Planning Engine'!$A$4:$A$2500='Planning Engine'!A2101)*'Planning Engine'!$U$4:$U$2500),"--")</f>
        <v>0</v>
      </c>
      <c r="P847" s="273" t="str">
        <f t="shared" si="27"/>
        <v>⚠ Expedite production / source alternate</v>
      </c>
    </row>
    <row r="848" spans="1:16" x14ac:dyDescent="0.35">
      <c r="A848" s="358">
        <f>'Planning Engine'!A2102</f>
        <v>49949</v>
      </c>
      <c r="B848" s="274" t="s">
        <v>959</v>
      </c>
      <c r="C848" s="278" t="str">
        <f>'Planning Engine'!C2102</f>
        <v>Label/Pack</v>
      </c>
      <c r="D848" s="278" t="str">
        <f>'Planning Engine'!D2102</f>
        <v>units</v>
      </c>
      <c r="E848" s="276">
        <f>'Planning Engine'!E2102</f>
        <v>0</v>
      </c>
      <c r="F848" s="276">
        <f>'Planning Engine'!F2102</f>
        <v>0</v>
      </c>
      <c r="G848" s="276">
        <f>'Planning Engine'!G2102</f>
        <v>0</v>
      </c>
      <c r="H848" s="276">
        <f t="shared" si="26"/>
        <v>0</v>
      </c>
      <c r="I848" s="276">
        <f>'Planning Engine'!H2102</f>
        <v>0</v>
      </c>
      <c r="J848" s="277">
        <f ca="1">'Planning Engine'!J2102</f>
        <v>0</v>
      </c>
      <c r="K848" s="276">
        <f ca="1">'Planning Engine'!K2102</f>
        <v>0</v>
      </c>
      <c r="L848" s="278" t="str">
        <f>'Planning Engine'!L2102</f>
        <v>High</v>
      </c>
      <c r="M848" s="358">
        <f>'Planning Engine'!S2102</f>
        <v>49857</v>
      </c>
      <c r="N848" s="276">
        <f>'Planning Engine'!T2102</f>
        <v>0</v>
      </c>
      <c r="O848" s="359" cm="1">
        <f t="array" ref="O848">IFERROR(SUMPRODUCT(('Planning Engine'!$B$4:$B$2500="188mg LP - EU Stock")*('Planning Engine'!$A$4:$A$2500='Planning Engine'!A2102)*'Planning Engine'!$U$4:$U$2500),"--")</f>
        <v>0</v>
      </c>
      <c r="P848" s="278" t="str">
        <f t="shared" si="27"/>
        <v>⚠ Expedite production / source alternate</v>
      </c>
    </row>
    <row r="849" spans="1:16" x14ac:dyDescent="0.35">
      <c r="A849" s="360">
        <f>'Planning Engine'!A2103</f>
        <v>49980</v>
      </c>
      <c r="B849" s="269" t="s">
        <v>959</v>
      </c>
      <c r="C849" s="273" t="str">
        <f>'Planning Engine'!C2103</f>
        <v>Label/Pack</v>
      </c>
      <c r="D849" s="273" t="str">
        <f>'Planning Engine'!D2103</f>
        <v>units</v>
      </c>
      <c r="E849" s="271">
        <f>'Planning Engine'!E2103</f>
        <v>0</v>
      </c>
      <c r="F849" s="271">
        <f>'Planning Engine'!F2103</f>
        <v>0</v>
      </c>
      <c r="G849" s="271">
        <f>'Planning Engine'!G2103</f>
        <v>0</v>
      </c>
      <c r="H849" s="271">
        <f t="shared" ref="H849:H898" si="28">G849-F849</f>
        <v>0</v>
      </c>
      <c r="I849" s="271">
        <f>'Planning Engine'!H2103</f>
        <v>0</v>
      </c>
      <c r="J849" s="272">
        <f ca="1">'Planning Engine'!J2103</f>
        <v>0</v>
      </c>
      <c r="K849" s="271">
        <f ca="1">'Planning Engine'!K2103</f>
        <v>0</v>
      </c>
      <c r="L849" s="273" t="str">
        <f>'Planning Engine'!L2103</f>
        <v>High</v>
      </c>
      <c r="M849" s="360">
        <f>'Planning Engine'!S2103</f>
        <v>49888</v>
      </c>
      <c r="N849" s="271">
        <f>'Planning Engine'!T2103</f>
        <v>0</v>
      </c>
      <c r="O849" s="361" cm="1">
        <f t="array" ref="O849">IFERROR(SUMPRODUCT(('Planning Engine'!$B$4:$B$2500="188mg LP - EU Stock")*('Planning Engine'!$A$4:$A$2500='Planning Engine'!A2103)*'Planning Engine'!$U$4:$U$2500),"--")</f>
        <v>0</v>
      </c>
      <c r="P849" s="273" t="str">
        <f t="shared" ref="P849:P898" si="29">IFERROR(IF(L849="High","⚠ Expedite production / source alternate",IF(L849="Medium","Plan additional batches",IF(L849="Overstock","Defer / consume inventory","Plan acceptable"))),"--")</f>
        <v>⚠ Expedite production / source alternate</v>
      </c>
    </row>
    <row r="850" spans="1:16" x14ac:dyDescent="0.35">
      <c r="A850" s="358">
        <f>'Planning Engine'!A2104</f>
        <v>50010</v>
      </c>
      <c r="B850" s="274" t="s">
        <v>959</v>
      </c>
      <c r="C850" s="278" t="str">
        <f>'Planning Engine'!C2104</f>
        <v>Label/Pack</v>
      </c>
      <c r="D850" s="278" t="str">
        <f>'Planning Engine'!D2104</f>
        <v>units</v>
      </c>
      <c r="E850" s="276">
        <f>'Planning Engine'!E2104</f>
        <v>0</v>
      </c>
      <c r="F850" s="276">
        <f>'Planning Engine'!F2104</f>
        <v>0</v>
      </c>
      <c r="G850" s="276">
        <f>'Planning Engine'!G2104</f>
        <v>0</v>
      </c>
      <c r="H850" s="276">
        <f t="shared" si="28"/>
        <v>0</v>
      </c>
      <c r="I850" s="276">
        <f>'Planning Engine'!H2104</f>
        <v>0</v>
      </c>
      <c r="J850" s="277">
        <f ca="1">'Planning Engine'!J2104</f>
        <v>0</v>
      </c>
      <c r="K850" s="276">
        <f ca="1">'Planning Engine'!K2104</f>
        <v>0</v>
      </c>
      <c r="L850" s="278" t="str">
        <f>'Planning Engine'!L2104</f>
        <v>High</v>
      </c>
      <c r="M850" s="358">
        <f>'Planning Engine'!S2104</f>
        <v>49919</v>
      </c>
      <c r="N850" s="276">
        <f>'Planning Engine'!T2104</f>
        <v>0</v>
      </c>
      <c r="O850" s="359" cm="1">
        <f t="array" ref="O850">IFERROR(SUMPRODUCT(('Planning Engine'!$B$4:$B$2500="188mg LP - EU Stock")*('Planning Engine'!$A$4:$A$2500='Planning Engine'!A2104)*'Planning Engine'!$U$4:$U$2500),"--")</f>
        <v>0</v>
      </c>
      <c r="P850" s="278" t="str">
        <f t="shared" si="29"/>
        <v>⚠ Expedite production / source alternate</v>
      </c>
    </row>
    <row r="851" spans="1:16" x14ac:dyDescent="0.35">
      <c r="A851" s="360">
        <f>'Planning Engine'!A2105</f>
        <v>50041</v>
      </c>
      <c r="B851" s="269" t="s">
        <v>959</v>
      </c>
      <c r="C851" s="273" t="str">
        <f>'Planning Engine'!C2105</f>
        <v>Label/Pack</v>
      </c>
      <c r="D851" s="273" t="str">
        <f>'Planning Engine'!D2105</f>
        <v>units</v>
      </c>
      <c r="E851" s="271">
        <f>'Planning Engine'!E2105</f>
        <v>0</v>
      </c>
      <c r="F851" s="271">
        <f>'Planning Engine'!F2105</f>
        <v>0</v>
      </c>
      <c r="G851" s="271">
        <f>'Planning Engine'!G2105</f>
        <v>0</v>
      </c>
      <c r="H851" s="271">
        <f t="shared" si="28"/>
        <v>0</v>
      </c>
      <c r="I851" s="271">
        <f>'Planning Engine'!H2105</f>
        <v>0</v>
      </c>
      <c r="J851" s="272">
        <f ca="1">'Planning Engine'!J2105</f>
        <v>0</v>
      </c>
      <c r="K851" s="271">
        <f ca="1">'Planning Engine'!K2105</f>
        <v>0</v>
      </c>
      <c r="L851" s="273" t="str">
        <f>'Planning Engine'!L2105</f>
        <v>High</v>
      </c>
      <c r="M851" s="360">
        <f>'Planning Engine'!S2105</f>
        <v>49949</v>
      </c>
      <c r="N851" s="271">
        <f>'Planning Engine'!T2105</f>
        <v>0</v>
      </c>
      <c r="O851" s="361" cm="1">
        <f t="array" ref="O851">IFERROR(SUMPRODUCT(('Planning Engine'!$B$4:$B$2500="188mg LP - EU Stock")*('Planning Engine'!$A$4:$A$2500='Planning Engine'!A2105)*'Planning Engine'!$U$4:$U$2500),"--")</f>
        <v>0</v>
      </c>
      <c r="P851" s="273" t="str">
        <f t="shared" si="29"/>
        <v>⚠ Expedite production / source alternate</v>
      </c>
    </row>
    <row r="852" spans="1:16" x14ac:dyDescent="0.35">
      <c r="A852" s="358">
        <f>'Planning Engine'!A2106</f>
        <v>50072</v>
      </c>
      <c r="B852" s="274" t="s">
        <v>959</v>
      </c>
      <c r="C852" s="278" t="str">
        <f>'Planning Engine'!C2106</f>
        <v>Label/Pack</v>
      </c>
      <c r="D852" s="278" t="str">
        <f>'Planning Engine'!D2106</f>
        <v>units</v>
      </c>
      <c r="E852" s="276">
        <f>'Planning Engine'!E2106</f>
        <v>0</v>
      </c>
      <c r="F852" s="276">
        <f>'Planning Engine'!F2106</f>
        <v>0</v>
      </c>
      <c r="G852" s="276">
        <f>'Planning Engine'!G2106</f>
        <v>0</v>
      </c>
      <c r="H852" s="276">
        <f t="shared" si="28"/>
        <v>0</v>
      </c>
      <c r="I852" s="276">
        <f>'Planning Engine'!H2106</f>
        <v>0</v>
      </c>
      <c r="J852" s="277">
        <f ca="1">'Planning Engine'!J2106</f>
        <v>0</v>
      </c>
      <c r="K852" s="276">
        <f ca="1">'Planning Engine'!K2106</f>
        <v>0</v>
      </c>
      <c r="L852" s="278" t="str">
        <f>'Planning Engine'!L2106</f>
        <v>High</v>
      </c>
      <c r="M852" s="358">
        <f>'Planning Engine'!S2106</f>
        <v>49980</v>
      </c>
      <c r="N852" s="276">
        <f>'Planning Engine'!T2106</f>
        <v>0</v>
      </c>
      <c r="O852" s="359" cm="1">
        <f t="array" ref="O852">IFERROR(SUMPRODUCT(('Planning Engine'!$B$4:$B$2500="188mg LP - EU Stock")*('Planning Engine'!$A$4:$A$2500='Planning Engine'!A2106)*'Planning Engine'!$U$4:$U$2500),"--")</f>
        <v>0</v>
      </c>
      <c r="P852" s="278" t="str">
        <f t="shared" si="29"/>
        <v>⚠ Expedite production / source alternate</v>
      </c>
    </row>
    <row r="853" spans="1:16" x14ac:dyDescent="0.35">
      <c r="A853" s="360">
        <f>'Planning Engine'!A2107</f>
        <v>50100</v>
      </c>
      <c r="B853" s="269" t="s">
        <v>959</v>
      </c>
      <c r="C853" s="273" t="str">
        <f>'Planning Engine'!C2107</f>
        <v>Label/Pack</v>
      </c>
      <c r="D853" s="273" t="str">
        <f>'Planning Engine'!D2107</f>
        <v>units</v>
      </c>
      <c r="E853" s="271">
        <f>'Planning Engine'!E2107</f>
        <v>0</v>
      </c>
      <c r="F853" s="271">
        <f>'Planning Engine'!F2107</f>
        <v>0</v>
      </c>
      <c r="G853" s="271">
        <f>'Planning Engine'!G2107</f>
        <v>0</v>
      </c>
      <c r="H853" s="271">
        <f t="shared" si="28"/>
        <v>0</v>
      </c>
      <c r="I853" s="271">
        <f>'Planning Engine'!H2107</f>
        <v>0</v>
      </c>
      <c r="J853" s="272">
        <f ca="1">'Planning Engine'!J2107</f>
        <v>0</v>
      </c>
      <c r="K853" s="271">
        <f ca="1">'Planning Engine'!K2107</f>
        <v>0</v>
      </c>
      <c r="L853" s="273" t="str">
        <f>'Planning Engine'!L2107</f>
        <v>High</v>
      </c>
      <c r="M853" s="360">
        <f>'Planning Engine'!S2107</f>
        <v>50010</v>
      </c>
      <c r="N853" s="271">
        <f>'Planning Engine'!T2107</f>
        <v>0</v>
      </c>
      <c r="O853" s="361" cm="1">
        <f t="array" ref="O853">IFERROR(SUMPRODUCT(('Planning Engine'!$B$4:$B$2500="188mg LP - EU Stock")*('Planning Engine'!$A$4:$A$2500='Planning Engine'!A2107)*'Planning Engine'!$U$4:$U$2500),"--")</f>
        <v>0</v>
      </c>
      <c r="P853" s="273" t="str">
        <f t="shared" si="29"/>
        <v>⚠ Expedite production / source alternate</v>
      </c>
    </row>
    <row r="854" spans="1:16" x14ac:dyDescent="0.35">
      <c r="A854" s="358">
        <f>'Planning Engine'!A2108</f>
        <v>50131</v>
      </c>
      <c r="B854" s="274" t="s">
        <v>959</v>
      </c>
      <c r="C854" s="278" t="str">
        <f>'Planning Engine'!C2108</f>
        <v>Label/Pack</v>
      </c>
      <c r="D854" s="278" t="str">
        <f>'Planning Engine'!D2108</f>
        <v>units</v>
      </c>
      <c r="E854" s="276">
        <f>'Planning Engine'!E2108</f>
        <v>0</v>
      </c>
      <c r="F854" s="276">
        <f>'Planning Engine'!F2108</f>
        <v>0</v>
      </c>
      <c r="G854" s="276">
        <f>'Planning Engine'!G2108</f>
        <v>0</v>
      </c>
      <c r="H854" s="276">
        <f t="shared" si="28"/>
        <v>0</v>
      </c>
      <c r="I854" s="276">
        <f>'Planning Engine'!H2108</f>
        <v>0</v>
      </c>
      <c r="J854" s="277">
        <f ca="1">'Planning Engine'!J2108</f>
        <v>0</v>
      </c>
      <c r="K854" s="276">
        <f ca="1">'Planning Engine'!K2108</f>
        <v>0</v>
      </c>
      <c r="L854" s="278" t="str">
        <f>'Planning Engine'!L2108</f>
        <v>High</v>
      </c>
      <c r="M854" s="358">
        <f>'Planning Engine'!S2108</f>
        <v>50041</v>
      </c>
      <c r="N854" s="276">
        <f>'Planning Engine'!T2108</f>
        <v>0</v>
      </c>
      <c r="O854" s="359" cm="1">
        <f t="array" ref="O854">IFERROR(SUMPRODUCT(('Planning Engine'!$B$4:$B$2500="188mg LP - EU Stock")*('Planning Engine'!$A$4:$A$2500='Planning Engine'!A2108)*'Planning Engine'!$U$4:$U$2500),"--")</f>
        <v>0</v>
      </c>
      <c r="P854" s="278" t="str">
        <f t="shared" si="29"/>
        <v>⚠ Expedite production / source alternate</v>
      </c>
    </row>
    <row r="855" spans="1:16" x14ac:dyDescent="0.35">
      <c r="A855" s="360">
        <f>'Planning Engine'!A2109</f>
        <v>50161</v>
      </c>
      <c r="B855" s="269" t="s">
        <v>959</v>
      </c>
      <c r="C855" s="273" t="str">
        <f>'Planning Engine'!C2109</f>
        <v>Label/Pack</v>
      </c>
      <c r="D855" s="273" t="str">
        <f>'Planning Engine'!D2109</f>
        <v>units</v>
      </c>
      <c r="E855" s="271">
        <f>'Planning Engine'!E2109</f>
        <v>0</v>
      </c>
      <c r="F855" s="271">
        <f>'Planning Engine'!F2109</f>
        <v>0</v>
      </c>
      <c r="G855" s="271">
        <f>'Planning Engine'!G2109</f>
        <v>0</v>
      </c>
      <c r="H855" s="271">
        <f t="shared" si="28"/>
        <v>0</v>
      </c>
      <c r="I855" s="271">
        <f>'Planning Engine'!H2109</f>
        <v>0</v>
      </c>
      <c r="J855" s="272">
        <f ca="1">'Planning Engine'!J2109</f>
        <v>0</v>
      </c>
      <c r="K855" s="271">
        <f ca="1">'Planning Engine'!K2109</f>
        <v>0</v>
      </c>
      <c r="L855" s="273" t="str">
        <f>'Planning Engine'!L2109</f>
        <v>High</v>
      </c>
      <c r="M855" s="360">
        <f>'Planning Engine'!S2109</f>
        <v>50072</v>
      </c>
      <c r="N855" s="271">
        <f>'Planning Engine'!T2109</f>
        <v>0</v>
      </c>
      <c r="O855" s="361" cm="1">
        <f t="array" ref="O855">IFERROR(SUMPRODUCT(('Planning Engine'!$B$4:$B$2500="188mg LP - EU Stock")*('Planning Engine'!$A$4:$A$2500='Planning Engine'!A2109)*'Planning Engine'!$U$4:$U$2500),"--")</f>
        <v>0</v>
      </c>
      <c r="P855" s="273" t="str">
        <f t="shared" si="29"/>
        <v>⚠ Expedite production / source alternate</v>
      </c>
    </row>
    <row r="856" spans="1:16" x14ac:dyDescent="0.35">
      <c r="A856" s="358">
        <f>'Planning Engine'!A2110</f>
        <v>50192</v>
      </c>
      <c r="B856" s="274" t="s">
        <v>959</v>
      </c>
      <c r="C856" s="278" t="str">
        <f>'Planning Engine'!C2110</f>
        <v>Label/Pack</v>
      </c>
      <c r="D856" s="278" t="str">
        <f>'Planning Engine'!D2110</f>
        <v>units</v>
      </c>
      <c r="E856" s="276">
        <f>'Planning Engine'!E2110</f>
        <v>0</v>
      </c>
      <c r="F856" s="276">
        <f>'Planning Engine'!F2110</f>
        <v>0</v>
      </c>
      <c r="G856" s="276">
        <f>'Planning Engine'!G2110</f>
        <v>0</v>
      </c>
      <c r="H856" s="276">
        <f t="shared" si="28"/>
        <v>0</v>
      </c>
      <c r="I856" s="276">
        <f>'Planning Engine'!H2110</f>
        <v>0</v>
      </c>
      <c r="J856" s="277">
        <f ca="1">'Planning Engine'!J2110</f>
        <v>0</v>
      </c>
      <c r="K856" s="276">
        <f ca="1">'Planning Engine'!K2110</f>
        <v>0</v>
      </c>
      <c r="L856" s="278" t="str">
        <f>'Planning Engine'!L2110</f>
        <v>High</v>
      </c>
      <c r="M856" s="358">
        <f>'Planning Engine'!S2110</f>
        <v>50100</v>
      </c>
      <c r="N856" s="276">
        <f>'Planning Engine'!T2110</f>
        <v>0</v>
      </c>
      <c r="O856" s="359" cm="1">
        <f t="array" ref="O856">IFERROR(SUMPRODUCT(('Planning Engine'!$B$4:$B$2500="188mg LP - EU Stock")*('Planning Engine'!$A$4:$A$2500='Planning Engine'!A2110)*'Planning Engine'!$U$4:$U$2500),"--")</f>
        <v>0</v>
      </c>
      <c r="P856" s="278" t="str">
        <f t="shared" si="29"/>
        <v>⚠ Expedite production / source alternate</v>
      </c>
    </row>
    <row r="857" spans="1:16" x14ac:dyDescent="0.35">
      <c r="A857" s="360">
        <f>'Planning Engine'!A2111</f>
        <v>50222</v>
      </c>
      <c r="B857" s="269" t="s">
        <v>959</v>
      </c>
      <c r="C857" s="273" t="str">
        <f>'Planning Engine'!C2111</f>
        <v>Label/Pack</v>
      </c>
      <c r="D857" s="273" t="str">
        <f>'Planning Engine'!D2111</f>
        <v>units</v>
      </c>
      <c r="E857" s="271">
        <f>'Planning Engine'!E2111</f>
        <v>0</v>
      </c>
      <c r="F857" s="271">
        <f>'Planning Engine'!F2111</f>
        <v>0</v>
      </c>
      <c r="G857" s="271">
        <f>'Planning Engine'!G2111</f>
        <v>0</v>
      </c>
      <c r="H857" s="271">
        <f t="shared" si="28"/>
        <v>0</v>
      </c>
      <c r="I857" s="271">
        <f>'Planning Engine'!H2111</f>
        <v>0</v>
      </c>
      <c r="J857" s="272">
        <f ca="1">'Planning Engine'!J2111</f>
        <v>0</v>
      </c>
      <c r="K857" s="271">
        <f ca="1">'Planning Engine'!K2111</f>
        <v>0</v>
      </c>
      <c r="L857" s="273" t="str">
        <f>'Planning Engine'!L2111</f>
        <v>High</v>
      </c>
      <c r="M857" s="360">
        <f>'Planning Engine'!S2111</f>
        <v>50131</v>
      </c>
      <c r="N857" s="271">
        <f>'Planning Engine'!T2111</f>
        <v>0</v>
      </c>
      <c r="O857" s="361" cm="1">
        <f t="array" ref="O857">IFERROR(SUMPRODUCT(('Planning Engine'!$B$4:$B$2500="188mg LP - EU Stock")*('Planning Engine'!$A$4:$A$2500='Planning Engine'!A2111)*'Planning Engine'!$U$4:$U$2500),"--")</f>
        <v>0</v>
      </c>
      <c r="P857" s="273" t="str">
        <f t="shared" si="29"/>
        <v>⚠ Expedite production / source alternate</v>
      </c>
    </row>
    <row r="858" spans="1:16" x14ac:dyDescent="0.35">
      <c r="A858" s="358">
        <f>'Planning Engine'!A2112</f>
        <v>50253</v>
      </c>
      <c r="B858" s="274" t="s">
        <v>959</v>
      </c>
      <c r="C858" s="278" t="str">
        <f>'Planning Engine'!C2112</f>
        <v>Label/Pack</v>
      </c>
      <c r="D858" s="278" t="str">
        <f>'Planning Engine'!D2112</f>
        <v>units</v>
      </c>
      <c r="E858" s="276">
        <f>'Planning Engine'!E2112</f>
        <v>0</v>
      </c>
      <c r="F858" s="276">
        <f>'Planning Engine'!F2112</f>
        <v>0</v>
      </c>
      <c r="G858" s="276">
        <f>'Planning Engine'!G2112</f>
        <v>0</v>
      </c>
      <c r="H858" s="276">
        <f t="shared" si="28"/>
        <v>0</v>
      </c>
      <c r="I858" s="276">
        <f>'Planning Engine'!H2112</f>
        <v>0</v>
      </c>
      <c r="J858" s="277">
        <f ca="1">'Planning Engine'!J2112</f>
        <v>0</v>
      </c>
      <c r="K858" s="276">
        <f ca="1">'Planning Engine'!K2112</f>
        <v>0</v>
      </c>
      <c r="L858" s="278" t="str">
        <f>'Planning Engine'!L2112</f>
        <v>High</v>
      </c>
      <c r="M858" s="358">
        <f>'Planning Engine'!S2112</f>
        <v>50161</v>
      </c>
      <c r="N858" s="276">
        <f>'Planning Engine'!T2112</f>
        <v>0</v>
      </c>
      <c r="O858" s="359" cm="1">
        <f t="array" ref="O858">IFERROR(SUMPRODUCT(('Planning Engine'!$B$4:$B$2500="188mg LP - EU Stock")*('Planning Engine'!$A$4:$A$2500='Planning Engine'!A2112)*'Planning Engine'!$U$4:$U$2500),"--")</f>
        <v>0</v>
      </c>
      <c r="P858" s="278" t="str">
        <f t="shared" si="29"/>
        <v>⚠ Expedite production / source alternate</v>
      </c>
    </row>
    <row r="859" spans="1:16" x14ac:dyDescent="0.35">
      <c r="A859" s="360">
        <f>'Planning Engine'!A2113</f>
        <v>50284</v>
      </c>
      <c r="B859" s="269" t="s">
        <v>959</v>
      </c>
      <c r="C859" s="273" t="str">
        <f>'Planning Engine'!C2113</f>
        <v>Label/Pack</v>
      </c>
      <c r="D859" s="273" t="str">
        <f>'Planning Engine'!D2113</f>
        <v>units</v>
      </c>
      <c r="E859" s="271">
        <f>'Planning Engine'!E2113</f>
        <v>0</v>
      </c>
      <c r="F859" s="271">
        <f>'Planning Engine'!F2113</f>
        <v>0</v>
      </c>
      <c r="G859" s="271">
        <f>'Planning Engine'!G2113</f>
        <v>0</v>
      </c>
      <c r="H859" s="271">
        <f t="shared" si="28"/>
        <v>0</v>
      </c>
      <c r="I859" s="271">
        <f>'Planning Engine'!H2113</f>
        <v>0</v>
      </c>
      <c r="J859" s="272">
        <f ca="1">'Planning Engine'!J2113</f>
        <v>0</v>
      </c>
      <c r="K859" s="271">
        <f ca="1">'Planning Engine'!K2113</f>
        <v>0</v>
      </c>
      <c r="L859" s="273" t="str">
        <f>'Planning Engine'!L2113</f>
        <v>High</v>
      </c>
      <c r="M859" s="360">
        <f>'Planning Engine'!S2113</f>
        <v>50192</v>
      </c>
      <c r="N859" s="271">
        <f>'Planning Engine'!T2113</f>
        <v>0</v>
      </c>
      <c r="O859" s="361" cm="1">
        <f t="array" ref="O859">IFERROR(SUMPRODUCT(('Planning Engine'!$B$4:$B$2500="188mg LP - EU Stock")*('Planning Engine'!$A$4:$A$2500='Planning Engine'!A2113)*'Planning Engine'!$U$4:$U$2500),"--")</f>
        <v>0</v>
      </c>
      <c r="P859" s="273" t="str">
        <f t="shared" si="29"/>
        <v>⚠ Expedite production / source alternate</v>
      </c>
    </row>
    <row r="860" spans="1:16" x14ac:dyDescent="0.35">
      <c r="A860" s="358">
        <f>'Planning Engine'!A2114</f>
        <v>50314</v>
      </c>
      <c r="B860" s="274" t="s">
        <v>959</v>
      </c>
      <c r="C860" s="278" t="str">
        <f>'Planning Engine'!C2114</f>
        <v>Label/Pack</v>
      </c>
      <c r="D860" s="278" t="str">
        <f>'Planning Engine'!D2114</f>
        <v>units</v>
      </c>
      <c r="E860" s="276">
        <f>'Planning Engine'!E2114</f>
        <v>0</v>
      </c>
      <c r="F860" s="276">
        <f>'Planning Engine'!F2114</f>
        <v>0</v>
      </c>
      <c r="G860" s="276">
        <f>'Planning Engine'!G2114</f>
        <v>0</v>
      </c>
      <c r="H860" s="276">
        <f t="shared" si="28"/>
        <v>0</v>
      </c>
      <c r="I860" s="276">
        <f>'Planning Engine'!H2114</f>
        <v>0</v>
      </c>
      <c r="J860" s="277">
        <f ca="1">'Planning Engine'!J2114</f>
        <v>0</v>
      </c>
      <c r="K860" s="276">
        <f ca="1">'Planning Engine'!K2114</f>
        <v>0</v>
      </c>
      <c r="L860" s="278" t="str">
        <f>'Planning Engine'!L2114</f>
        <v>High</v>
      </c>
      <c r="M860" s="358">
        <f>'Planning Engine'!S2114</f>
        <v>50222</v>
      </c>
      <c r="N860" s="276">
        <f>'Planning Engine'!T2114</f>
        <v>0</v>
      </c>
      <c r="O860" s="359" cm="1">
        <f t="array" ref="O860">IFERROR(SUMPRODUCT(('Planning Engine'!$B$4:$B$2500="188mg LP - EU Stock")*('Planning Engine'!$A$4:$A$2500='Planning Engine'!A2114)*'Planning Engine'!$U$4:$U$2500),"--")</f>
        <v>0</v>
      </c>
      <c r="P860" s="278" t="str">
        <f t="shared" si="29"/>
        <v>⚠ Expedite production / source alternate</v>
      </c>
    </row>
    <row r="861" spans="1:16" x14ac:dyDescent="0.35">
      <c r="A861" s="360">
        <f>'Planning Engine'!A2115</f>
        <v>50345</v>
      </c>
      <c r="B861" s="269" t="s">
        <v>959</v>
      </c>
      <c r="C861" s="273" t="str">
        <f>'Planning Engine'!C2115</f>
        <v>Label/Pack</v>
      </c>
      <c r="D861" s="273" t="str">
        <f>'Planning Engine'!D2115</f>
        <v>units</v>
      </c>
      <c r="E861" s="271">
        <f>'Planning Engine'!E2115</f>
        <v>0</v>
      </c>
      <c r="F861" s="271">
        <f>'Planning Engine'!F2115</f>
        <v>0</v>
      </c>
      <c r="G861" s="271">
        <f>'Planning Engine'!G2115</f>
        <v>0</v>
      </c>
      <c r="H861" s="271">
        <f t="shared" si="28"/>
        <v>0</v>
      </c>
      <c r="I861" s="271">
        <f>'Planning Engine'!H2115</f>
        <v>0</v>
      </c>
      <c r="J861" s="272">
        <f ca="1">'Planning Engine'!J2115</f>
        <v>0</v>
      </c>
      <c r="K861" s="271">
        <f ca="1">'Planning Engine'!K2115</f>
        <v>0</v>
      </c>
      <c r="L861" s="273" t="str">
        <f>'Planning Engine'!L2115</f>
        <v>High</v>
      </c>
      <c r="M861" s="360">
        <f>'Planning Engine'!S2115</f>
        <v>50253</v>
      </c>
      <c r="N861" s="271">
        <f>'Planning Engine'!T2115</f>
        <v>0</v>
      </c>
      <c r="O861" s="361" cm="1">
        <f t="array" ref="O861">IFERROR(SUMPRODUCT(('Planning Engine'!$B$4:$B$2500="188mg LP - EU Stock")*('Planning Engine'!$A$4:$A$2500='Planning Engine'!A2115)*'Planning Engine'!$U$4:$U$2500),"--")</f>
        <v>0</v>
      </c>
      <c r="P861" s="273" t="str">
        <f t="shared" si="29"/>
        <v>⚠ Expedite production / source alternate</v>
      </c>
    </row>
    <row r="862" spans="1:16" x14ac:dyDescent="0.35">
      <c r="A862" s="358">
        <f>'Planning Engine'!A2116</f>
        <v>50375</v>
      </c>
      <c r="B862" s="274" t="s">
        <v>959</v>
      </c>
      <c r="C862" s="278" t="str">
        <f>'Planning Engine'!C2116</f>
        <v>Label/Pack</v>
      </c>
      <c r="D862" s="278" t="str">
        <f>'Planning Engine'!D2116</f>
        <v>units</v>
      </c>
      <c r="E862" s="276">
        <f>'Planning Engine'!E2116</f>
        <v>0</v>
      </c>
      <c r="F862" s="276">
        <f>'Planning Engine'!F2116</f>
        <v>0</v>
      </c>
      <c r="G862" s="276">
        <f>'Planning Engine'!G2116</f>
        <v>0</v>
      </c>
      <c r="H862" s="276">
        <f t="shared" si="28"/>
        <v>0</v>
      </c>
      <c r="I862" s="276">
        <f>'Planning Engine'!H2116</f>
        <v>0</v>
      </c>
      <c r="J862" s="277">
        <f ca="1">'Planning Engine'!J2116</f>
        <v>0</v>
      </c>
      <c r="K862" s="276">
        <f ca="1">'Planning Engine'!K2116</f>
        <v>0</v>
      </c>
      <c r="L862" s="278" t="str">
        <f>'Planning Engine'!L2116</f>
        <v>High</v>
      </c>
      <c r="M862" s="358">
        <f>'Planning Engine'!S2116</f>
        <v>50284</v>
      </c>
      <c r="N862" s="276">
        <f>'Planning Engine'!T2116</f>
        <v>0</v>
      </c>
      <c r="O862" s="359" cm="1">
        <f t="array" ref="O862">IFERROR(SUMPRODUCT(('Planning Engine'!$B$4:$B$2500="188mg LP - EU Stock")*('Planning Engine'!$A$4:$A$2500='Planning Engine'!A2116)*'Planning Engine'!$U$4:$U$2500),"--")</f>
        <v>0</v>
      </c>
      <c r="P862" s="278" t="str">
        <f t="shared" si="29"/>
        <v>⚠ Expedite production / source alternate</v>
      </c>
    </row>
    <row r="863" spans="1:16" x14ac:dyDescent="0.35">
      <c r="A863" s="360">
        <f>'Planning Engine'!A2117</f>
        <v>50406</v>
      </c>
      <c r="B863" s="269" t="s">
        <v>959</v>
      </c>
      <c r="C863" s="273" t="str">
        <f>'Planning Engine'!C2117</f>
        <v>Label/Pack</v>
      </c>
      <c r="D863" s="273" t="str">
        <f>'Planning Engine'!D2117</f>
        <v>units</v>
      </c>
      <c r="E863" s="271">
        <f>'Planning Engine'!E2117</f>
        <v>0</v>
      </c>
      <c r="F863" s="271">
        <f>'Planning Engine'!F2117</f>
        <v>0</v>
      </c>
      <c r="G863" s="271">
        <f>'Planning Engine'!G2117</f>
        <v>0</v>
      </c>
      <c r="H863" s="271">
        <f t="shared" si="28"/>
        <v>0</v>
      </c>
      <c r="I863" s="271">
        <f>'Planning Engine'!H2117</f>
        <v>0</v>
      </c>
      <c r="J863" s="272">
        <f ca="1">'Planning Engine'!J2117</f>
        <v>0</v>
      </c>
      <c r="K863" s="271">
        <f ca="1">'Planning Engine'!K2117</f>
        <v>0</v>
      </c>
      <c r="L863" s="273" t="str">
        <f>'Planning Engine'!L2117</f>
        <v>High</v>
      </c>
      <c r="M863" s="360">
        <f>'Planning Engine'!S2117</f>
        <v>50314</v>
      </c>
      <c r="N863" s="271">
        <f>'Planning Engine'!T2117</f>
        <v>0</v>
      </c>
      <c r="O863" s="361" cm="1">
        <f t="array" ref="O863">IFERROR(SUMPRODUCT(('Planning Engine'!$B$4:$B$2500="188mg LP - EU Stock")*('Planning Engine'!$A$4:$A$2500='Planning Engine'!A2117)*'Planning Engine'!$U$4:$U$2500),"--")</f>
        <v>0</v>
      </c>
      <c r="P863" s="273" t="str">
        <f t="shared" si="29"/>
        <v>⚠ Expedite production / source alternate</v>
      </c>
    </row>
    <row r="864" spans="1:16" x14ac:dyDescent="0.35">
      <c r="A864" s="358">
        <f>'Planning Engine'!A2118</f>
        <v>50437</v>
      </c>
      <c r="B864" s="274" t="s">
        <v>959</v>
      </c>
      <c r="C864" s="278" t="str">
        <f>'Planning Engine'!C2118</f>
        <v>Label/Pack</v>
      </c>
      <c r="D864" s="278" t="str">
        <f>'Planning Engine'!D2118</f>
        <v>units</v>
      </c>
      <c r="E864" s="276">
        <f>'Planning Engine'!E2118</f>
        <v>0</v>
      </c>
      <c r="F864" s="276">
        <f>'Planning Engine'!F2118</f>
        <v>0</v>
      </c>
      <c r="G864" s="276">
        <f>'Planning Engine'!G2118</f>
        <v>0</v>
      </c>
      <c r="H864" s="276">
        <f t="shared" si="28"/>
        <v>0</v>
      </c>
      <c r="I864" s="276">
        <f>'Planning Engine'!H2118</f>
        <v>0</v>
      </c>
      <c r="J864" s="277">
        <f ca="1">'Planning Engine'!J2118</f>
        <v>0</v>
      </c>
      <c r="K864" s="276">
        <f ca="1">'Planning Engine'!K2118</f>
        <v>0</v>
      </c>
      <c r="L864" s="278" t="str">
        <f>'Planning Engine'!L2118</f>
        <v>High</v>
      </c>
      <c r="M864" s="358">
        <f>'Planning Engine'!S2118</f>
        <v>50345</v>
      </c>
      <c r="N864" s="276">
        <f>'Planning Engine'!T2118</f>
        <v>0</v>
      </c>
      <c r="O864" s="359" cm="1">
        <f t="array" ref="O864">IFERROR(SUMPRODUCT(('Planning Engine'!$B$4:$B$2500="188mg LP - EU Stock")*('Planning Engine'!$A$4:$A$2500='Planning Engine'!A2118)*'Planning Engine'!$U$4:$U$2500),"--")</f>
        <v>0</v>
      </c>
      <c r="P864" s="278" t="str">
        <f t="shared" si="29"/>
        <v>⚠ Expedite production / source alternate</v>
      </c>
    </row>
    <row r="865" spans="1:16" x14ac:dyDescent="0.35">
      <c r="A865" s="360">
        <f>'Planning Engine'!A2119</f>
        <v>50465</v>
      </c>
      <c r="B865" s="269" t="s">
        <v>959</v>
      </c>
      <c r="C865" s="273" t="str">
        <f>'Planning Engine'!C2119</f>
        <v>Label/Pack</v>
      </c>
      <c r="D865" s="273" t="str">
        <f>'Planning Engine'!D2119</f>
        <v>units</v>
      </c>
      <c r="E865" s="271">
        <f>'Planning Engine'!E2119</f>
        <v>0</v>
      </c>
      <c r="F865" s="271">
        <f>'Planning Engine'!F2119</f>
        <v>0</v>
      </c>
      <c r="G865" s="271">
        <f>'Planning Engine'!G2119</f>
        <v>0</v>
      </c>
      <c r="H865" s="271">
        <f t="shared" si="28"/>
        <v>0</v>
      </c>
      <c r="I865" s="271">
        <f>'Planning Engine'!H2119</f>
        <v>0</v>
      </c>
      <c r="J865" s="272">
        <f ca="1">'Planning Engine'!J2119</f>
        <v>0</v>
      </c>
      <c r="K865" s="271">
        <f ca="1">'Planning Engine'!K2119</f>
        <v>0</v>
      </c>
      <c r="L865" s="273" t="str">
        <f>'Planning Engine'!L2119</f>
        <v>High</v>
      </c>
      <c r="M865" s="360">
        <f>'Planning Engine'!S2119</f>
        <v>50375</v>
      </c>
      <c r="N865" s="271">
        <f>'Planning Engine'!T2119</f>
        <v>0</v>
      </c>
      <c r="O865" s="361" cm="1">
        <f t="array" ref="O865">IFERROR(SUMPRODUCT(('Planning Engine'!$B$4:$B$2500="188mg LP - EU Stock")*('Planning Engine'!$A$4:$A$2500='Planning Engine'!A2119)*'Planning Engine'!$U$4:$U$2500),"--")</f>
        <v>0</v>
      </c>
      <c r="P865" s="273" t="str">
        <f t="shared" si="29"/>
        <v>⚠ Expedite production / source alternate</v>
      </c>
    </row>
    <row r="866" spans="1:16" x14ac:dyDescent="0.35">
      <c r="A866" s="358">
        <f>'Planning Engine'!A2120</f>
        <v>50496</v>
      </c>
      <c r="B866" s="274" t="s">
        <v>959</v>
      </c>
      <c r="C866" s="278" t="str">
        <f>'Planning Engine'!C2120</f>
        <v>Label/Pack</v>
      </c>
      <c r="D866" s="278" t="str">
        <f>'Planning Engine'!D2120</f>
        <v>units</v>
      </c>
      <c r="E866" s="276">
        <f>'Planning Engine'!E2120</f>
        <v>0</v>
      </c>
      <c r="F866" s="276">
        <f>'Planning Engine'!F2120</f>
        <v>0</v>
      </c>
      <c r="G866" s="276">
        <f>'Planning Engine'!G2120</f>
        <v>0</v>
      </c>
      <c r="H866" s="276">
        <f t="shared" si="28"/>
        <v>0</v>
      </c>
      <c r="I866" s="276">
        <f>'Planning Engine'!H2120</f>
        <v>0</v>
      </c>
      <c r="J866" s="277">
        <f ca="1">'Planning Engine'!J2120</f>
        <v>0</v>
      </c>
      <c r="K866" s="276">
        <f ca="1">'Planning Engine'!K2120</f>
        <v>0</v>
      </c>
      <c r="L866" s="278" t="str">
        <f>'Planning Engine'!L2120</f>
        <v>High</v>
      </c>
      <c r="M866" s="358">
        <f>'Planning Engine'!S2120</f>
        <v>50406</v>
      </c>
      <c r="N866" s="276">
        <f>'Planning Engine'!T2120</f>
        <v>0</v>
      </c>
      <c r="O866" s="359" cm="1">
        <f t="array" ref="O866">IFERROR(SUMPRODUCT(('Planning Engine'!$B$4:$B$2500="188mg LP - EU Stock")*('Planning Engine'!$A$4:$A$2500='Planning Engine'!A2120)*'Planning Engine'!$U$4:$U$2500),"--")</f>
        <v>0</v>
      </c>
      <c r="P866" s="278" t="str">
        <f t="shared" si="29"/>
        <v>⚠ Expedite production / source alternate</v>
      </c>
    </row>
    <row r="867" spans="1:16" x14ac:dyDescent="0.35">
      <c r="A867" s="360">
        <f>'Planning Engine'!A2121</f>
        <v>50526</v>
      </c>
      <c r="B867" s="269" t="s">
        <v>959</v>
      </c>
      <c r="C867" s="273" t="str">
        <f>'Planning Engine'!C2121</f>
        <v>Label/Pack</v>
      </c>
      <c r="D867" s="273" t="str">
        <f>'Planning Engine'!D2121</f>
        <v>units</v>
      </c>
      <c r="E867" s="271">
        <f>'Planning Engine'!E2121</f>
        <v>0</v>
      </c>
      <c r="F867" s="271">
        <f>'Planning Engine'!F2121</f>
        <v>0</v>
      </c>
      <c r="G867" s="271">
        <f>'Planning Engine'!G2121</f>
        <v>0</v>
      </c>
      <c r="H867" s="271">
        <f t="shared" si="28"/>
        <v>0</v>
      </c>
      <c r="I867" s="271">
        <f>'Planning Engine'!H2121</f>
        <v>0</v>
      </c>
      <c r="J867" s="272">
        <f ca="1">'Planning Engine'!J2121</f>
        <v>0</v>
      </c>
      <c r="K867" s="271">
        <f ca="1">'Planning Engine'!K2121</f>
        <v>0</v>
      </c>
      <c r="L867" s="273" t="str">
        <f>'Planning Engine'!L2121</f>
        <v>High</v>
      </c>
      <c r="M867" s="360">
        <f>'Planning Engine'!S2121</f>
        <v>50437</v>
      </c>
      <c r="N867" s="271">
        <f>'Planning Engine'!T2121</f>
        <v>0</v>
      </c>
      <c r="O867" s="361" cm="1">
        <f t="array" ref="O867">IFERROR(SUMPRODUCT(('Planning Engine'!$B$4:$B$2500="188mg LP - EU Stock")*('Planning Engine'!$A$4:$A$2500='Planning Engine'!A2121)*'Planning Engine'!$U$4:$U$2500),"--")</f>
        <v>0</v>
      </c>
      <c r="P867" s="273" t="str">
        <f t="shared" si="29"/>
        <v>⚠ Expedite production / source alternate</v>
      </c>
    </row>
    <row r="868" spans="1:16" x14ac:dyDescent="0.35">
      <c r="A868" s="358">
        <f>'Planning Engine'!A2122</f>
        <v>50557</v>
      </c>
      <c r="B868" s="274" t="s">
        <v>959</v>
      </c>
      <c r="C868" s="278" t="str">
        <f>'Planning Engine'!C2122</f>
        <v>Label/Pack</v>
      </c>
      <c r="D868" s="278" t="str">
        <f>'Planning Engine'!D2122</f>
        <v>units</v>
      </c>
      <c r="E868" s="276">
        <f>'Planning Engine'!E2122</f>
        <v>0</v>
      </c>
      <c r="F868" s="276">
        <f>'Planning Engine'!F2122</f>
        <v>0</v>
      </c>
      <c r="G868" s="276">
        <f>'Planning Engine'!G2122</f>
        <v>0</v>
      </c>
      <c r="H868" s="276">
        <f t="shared" si="28"/>
        <v>0</v>
      </c>
      <c r="I868" s="276">
        <f>'Planning Engine'!H2122</f>
        <v>0</v>
      </c>
      <c r="J868" s="277">
        <f ca="1">'Planning Engine'!J2122</f>
        <v>0</v>
      </c>
      <c r="K868" s="276">
        <f ca="1">'Planning Engine'!K2122</f>
        <v>0</v>
      </c>
      <c r="L868" s="278" t="str">
        <f>'Planning Engine'!L2122</f>
        <v>High</v>
      </c>
      <c r="M868" s="358">
        <f>'Planning Engine'!S2122</f>
        <v>50465</v>
      </c>
      <c r="N868" s="276">
        <f>'Planning Engine'!T2122</f>
        <v>0</v>
      </c>
      <c r="O868" s="359" cm="1">
        <f t="array" ref="O868">IFERROR(SUMPRODUCT(('Planning Engine'!$B$4:$B$2500="188mg LP - EU Stock")*('Planning Engine'!$A$4:$A$2500='Planning Engine'!A2122)*'Planning Engine'!$U$4:$U$2500),"--")</f>
        <v>0</v>
      </c>
      <c r="P868" s="278" t="str">
        <f t="shared" si="29"/>
        <v>⚠ Expedite production / source alternate</v>
      </c>
    </row>
    <row r="869" spans="1:16" x14ac:dyDescent="0.35">
      <c r="A869" s="360">
        <f>'Planning Engine'!A2123</f>
        <v>50587</v>
      </c>
      <c r="B869" s="269" t="s">
        <v>959</v>
      </c>
      <c r="C869" s="273" t="str">
        <f>'Planning Engine'!C2123</f>
        <v>Label/Pack</v>
      </c>
      <c r="D869" s="273" t="str">
        <f>'Planning Engine'!D2123</f>
        <v>units</v>
      </c>
      <c r="E869" s="271">
        <f>'Planning Engine'!E2123</f>
        <v>0</v>
      </c>
      <c r="F869" s="271">
        <f>'Planning Engine'!F2123</f>
        <v>0</v>
      </c>
      <c r="G869" s="271">
        <f>'Planning Engine'!G2123</f>
        <v>0</v>
      </c>
      <c r="H869" s="271">
        <f t="shared" si="28"/>
        <v>0</v>
      </c>
      <c r="I869" s="271">
        <f>'Planning Engine'!H2123</f>
        <v>0</v>
      </c>
      <c r="J869" s="272">
        <f ca="1">'Planning Engine'!J2123</f>
        <v>0</v>
      </c>
      <c r="K869" s="271">
        <f ca="1">'Planning Engine'!K2123</f>
        <v>0</v>
      </c>
      <c r="L869" s="273" t="str">
        <f>'Planning Engine'!L2123</f>
        <v>High</v>
      </c>
      <c r="M869" s="360">
        <f>'Planning Engine'!S2123</f>
        <v>50496</v>
      </c>
      <c r="N869" s="271">
        <f>'Planning Engine'!T2123</f>
        <v>0</v>
      </c>
      <c r="O869" s="361" cm="1">
        <f t="array" ref="O869">IFERROR(SUMPRODUCT(('Planning Engine'!$B$4:$B$2500="188mg LP - EU Stock")*('Planning Engine'!$A$4:$A$2500='Planning Engine'!A2123)*'Planning Engine'!$U$4:$U$2500),"--")</f>
        <v>0</v>
      </c>
      <c r="P869" s="273" t="str">
        <f t="shared" si="29"/>
        <v>⚠ Expedite production / source alternate</v>
      </c>
    </row>
    <row r="870" spans="1:16" x14ac:dyDescent="0.35">
      <c r="A870" s="358">
        <f>'Planning Engine'!A2124</f>
        <v>50618</v>
      </c>
      <c r="B870" s="274" t="s">
        <v>959</v>
      </c>
      <c r="C870" s="278" t="str">
        <f>'Planning Engine'!C2124</f>
        <v>Label/Pack</v>
      </c>
      <c r="D870" s="278" t="str">
        <f>'Planning Engine'!D2124</f>
        <v>units</v>
      </c>
      <c r="E870" s="276">
        <f>'Planning Engine'!E2124</f>
        <v>0</v>
      </c>
      <c r="F870" s="276">
        <f>'Planning Engine'!F2124</f>
        <v>0</v>
      </c>
      <c r="G870" s="276">
        <f>'Planning Engine'!G2124</f>
        <v>0</v>
      </c>
      <c r="H870" s="276">
        <f t="shared" si="28"/>
        <v>0</v>
      </c>
      <c r="I870" s="276">
        <f>'Planning Engine'!H2124</f>
        <v>0</v>
      </c>
      <c r="J870" s="277">
        <f ca="1">'Planning Engine'!J2124</f>
        <v>0</v>
      </c>
      <c r="K870" s="276">
        <f ca="1">'Planning Engine'!K2124</f>
        <v>0</v>
      </c>
      <c r="L870" s="278" t="str">
        <f>'Planning Engine'!L2124</f>
        <v>High</v>
      </c>
      <c r="M870" s="358">
        <f>'Planning Engine'!S2124</f>
        <v>50526</v>
      </c>
      <c r="N870" s="276">
        <f>'Planning Engine'!T2124</f>
        <v>0</v>
      </c>
      <c r="O870" s="359" cm="1">
        <f t="array" ref="O870">IFERROR(SUMPRODUCT(('Planning Engine'!$B$4:$B$2500="188mg LP - EU Stock")*('Planning Engine'!$A$4:$A$2500='Planning Engine'!A2124)*'Planning Engine'!$U$4:$U$2500),"--")</f>
        <v>0</v>
      </c>
      <c r="P870" s="278" t="str">
        <f t="shared" si="29"/>
        <v>⚠ Expedite production / source alternate</v>
      </c>
    </row>
    <row r="871" spans="1:16" x14ac:dyDescent="0.35">
      <c r="A871" s="360">
        <f>'Planning Engine'!A2125</f>
        <v>50649</v>
      </c>
      <c r="B871" s="269" t="s">
        <v>959</v>
      </c>
      <c r="C871" s="273" t="str">
        <f>'Planning Engine'!C2125</f>
        <v>Label/Pack</v>
      </c>
      <c r="D871" s="273" t="str">
        <f>'Planning Engine'!D2125</f>
        <v>units</v>
      </c>
      <c r="E871" s="271">
        <f>'Planning Engine'!E2125</f>
        <v>0</v>
      </c>
      <c r="F871" s="271">
        <f>'Planning Engine'!F2125</f>
        <v>0</v>
      </c>
      <c r="G871" s="271">
        <f>'Planning Engine'!G2125</f>
        <v>0</v>
      </c>
      <c r="H871" s="271">
        <f t="shared" si="28"/>
        <v>0</v>
      </c>
      <c r="I871" s="271">
        <f>'Planning Engine'!H2125</f>
        <v>0</v>
      </c>
      <c r="J871" s="272">
        <f ca="1">'Planning Engine'!J2125</f>
        <v>0</v>
      </c>
      <c r="K871" s="271">
        <f ca="1">'Planning Engine'!K2125</f>
        <v>0</v>
      </c>
      <c r="L871" s="273" t="str">
        <f>'Planning Engine'!L2125</f>
        <v>High</v>
      </c>
      <c r="M871" s="360">
        <f>'Planning Engine'!S2125</f>
        <v>50557</v>
      </c>
      <c r="N871" s="271">
        <f>'Planning Engine'!T2125</f>
        <v>0</v>
      </c>
      <c r="O871" s="361" cm="1">
        <f t="array" ref="O871">IFERROR(SUMPRODUCT(('Planning Engine'!$B$4:$B$2500="188mg LP - EU Stock")*('Planning Engine'!$A$4:$A$2500='Planning Engine'!A2125)*'Planning Engine'!$U$4:$U$2500),"--")</f>
        <v>0</v>
      </c>
      <c r="P871" s="273" t="str">
        <f t="shared" si="29"/>
        <v>⚠ Expedite production / source alternate</v>
      </c>
    </row>
    <row r="872" spans="1:16" x14ac:dyDescent="0.35">
      <c r="A872" s="358">
        <f>'Planning Engine'!A2126</f>
        <v>50679</v>
      </c>
      <c r="B872" s="274" t="s">
        <v>959</v>
      </c>
      <c r="C872" s="278" t="str">
        <f>'Planning Engine'!C2126</f>
        <v>Label/Pack</v>
      </c>
      <c r="D872" s="278" t="str">
        <f>'Planning Engine'!D2126</f>
        <v>units</v>
      </c>
      <c r="E872" s="276">
        <f>'Planning Engine'!E2126</f>
        <v>0</v>
      </c>
      <c r="F872" s="276">
        <f>'Planning Engine'!F2126</f>
        <v>0</v>
      </c>
      <c r="G872" s="276">
        <f>'Planning Engine'!G2126</f>
        <v>0</v>
      </c>
      <c r="H872" s="276">
        <f t="shared" si="28"/>
        <v>0</v>
      </c>
      <c r="I872" s="276">
        <f>'Planning Engine'!H2126</f>
        <v>0</v>
      </c>
      <c r="J872" s="277">
        <f ca="1">'Planning Engine'!J2126</f>
        <v>0</v>
      </c>
      <c r="K872" s="276">
        <f ca="1">'Planning Engine'!K2126</f>
        <v>0</v>
      </c>
      <c r="L872" s="278" t="str">
        <f>'Planning Engine'!L2126</f>
        <v>High</v>
      </c>
      <c r="M872" s="358">
        <f>'Planning Engine'!S2126</f>
        <v>50587</v>
      </c>
      <c r="N872" s="276">
        <f>'Planning Engine'!T2126</f>
        <v>0</v>
      </c>
      <c r="O872" s="359" cm="1">
        <f t="array" ref="O872">IFERROR(SUMPRODUCT(('Planning Engine'!$B$4:$B$2500="188mg LP - EU Stock")*('Planning Engine'!$A$4:$A$2500='Planning Engine'!A2126)*'Planning Engine'!$U$4:$U$2500),"--")</f>
        <v>0</v>
      </c>
      <c r="P872" s="278" t="str">
        <f t="shared" si="29"/>
        <v>⚠ Expedite production / source alternate</v>
      </c>
    </row>
    <row r="873" spans="1:16" x14ac:dyDescent="0.35">
      <c r="A873" s="360">
        <f>'Planning Engine'!A2127</f>
        <v>50710</v>
      </c>
      <c r="B873" s="269" t="s">
        <v>959</v>
      </c>
      <c r="C873" s="273" t="str">
        <f>'Planning Engine'!C2127</f>
        <v>Label/Pack</v>
      </c>
      <c r="D873" s="273" t="str">
        <f>'Planning Engine'!D2127</f>
        <v>units</v>
      </c>
      <c r="E873" s="271">
        <f>'Planning Engine'!E2127</f>
        <v>0</v>
      </c>
      <c r="F873" s="271">
        <f>'Planning Engine'!F2127</f>
        <v>0</v>
      </c>
      <c r="G873" s="271">
        <f>'Planning Engine'!G2127</f>
        <v>0</v>
      </c>
      <c r="H873" s="271">
        <f t="shared" si="28"/>
        <v>0</v>
      </c>
      <c r="I873" s="271">
        <f>'Planning Engine'!H2127</f>
        <v>0</v>
      </c>
      <c r="J873" s="272">
        <f ca="1">'Planning Engine'!J2127</f>
        <v>0</v>
      </c>
      <c r="K873" s="271">
        <f ca="1">'Planning Engine'!K2127</f>
        <v>0</v>
      </c>
      <c r="L873" s="273" t="str">
        <f>'Planning Engine'!L2127</f>
        <v>High</v>
      </c>
      <c r="M873" s="360">
        <f>'Planning Engine'!S2127</f>
        <v>50618</v>
      </c>
      <c r="N873" s="271">
        <f>'Planning Engine'!T2127</f>
        <v>0</v>
      </c>
      <c r="O873" s="361" cm="1">
        <f t="array" ref="O873">IFERROR(SUMPRODUCT(('Planning Engine'!$B$4:$B$2500="188mg LP - EU Stock")*('Planning Engine'!$A$4:$A$2500='Planning Engine'!A2127)*'Planning Engine'!$U$4:$U$2500),"--")</f>
        <v>0</v>
      </c>
      <c r="P873" s="273" t="str">
        <f t="shared" si="29"/>
        <v>⚠ Expedite production / source alternate</v>
      </c>
    </row>
    <row r="874" spans="1:16" x14ac:dyDescent="0.35">
      <c r="A874" s="358">
        <f>'Planning Engine'!A2128</f>
        <v>50740</v>
      </c>
      <c r="B874" s="274" t="s">
        <v>959</v>
      </c>
      <c r="C874" s="278" t="str">
        <f>'Planning Engine'!C2128</f>
        <v>Label/Pack</v>
      </c>
      <c r="D874" s="278" t="str">
        <f>'Planning Engine'!D2128</f>
        <v>units</v>
      </c>
      <c r="E874" s="276">
        <f>'Planning Engine'!E2128</f>
        <v>0</v>
      </c>
      <c r="F874" s="276">
        <f>'Planning Engine'!F2128</f>
        <v>0</v>
      </c>
      <c r="G874" s="276">
        <f>'Planning Engine'!G2128</f>
        <v>0</v>
      </c>
      <c r="H874" s="276">
        <f t="shared" si="28"/>
        <v>0</v>
      </c>
      <c r="I874" s="276">
        <f>'Planning Engine'!H2128</f>
        <v>0</v>
      </c>
      <c r="J874" s="277">
        <f ca="1">'Planning Engine'!J2128</f>
        <v>0</v>
      </c>
      <c r="K874" s="276">
        <f ca="1">'Planning Engine'!K2128</f>
        <v>0</v>
      </c>
      <c r="L874" s="278" t="str">
        <f>'Planning Engine'!L2128</f>
        <v>High</v>
      </c>
      <c r="M874" s="358">
        <f>'Planning Engine'!S2128</f>
        <v>50649</v>
      </c>
      <c r="N874" s="276">
        <f>'Planning Engine'!T2128</f>
        <v>0</v>
      </c>
      <c r="O874" s="359" cm="1">
        <f t="array" ref="O874">IFERROR(SUMPRODUCT(('Planning Engine'!$B$4:$B$2500="188mg LP - EU Stock")*('Planning Engine'!$A$4:$A$2500='Planning Engine'!A2128)*'Planning Engine'!$U$4:$U$2500),"--")</f>
        <v>0</v>
      </c>
      <c r="P874" s="278" t="str">
        <f t="shared" si="29"/>
        <v>⚠ Expedite production / source alternate</v>
      </c>
    </row>
    <row r="875" spans="1:16" x14ac:dyDescent="0.35">
      <c r="A875" s="360">
        <f>'Planning Engine'!A2129</f>
        <v>50771</v>
      </c>
      <c r="B875" s="269" t="s">
        <v>959</v>
      </c>
      <c r="C875" s="273" t="str">
        <f>'Planning Engine'!C2129</f>
        <v>Label/Pack</v>
      </c>
      <c r="D875" s="273" t="str">
        <f>'Planning Engine'!D2129</f>
        <v>units</v>
      </c>
      <c r="E875" s="271">
        <f>'Planning Engine'!E2129</f>
        <v>0</v>
      </c>
      <c r="F875" s="271">
        <f>'Planning Engine'!F2129</f>
        <v>0</v>
      </c>
      <c r="G875" s="271">
        <f>'Planning Engine'!G2129</f>
        <v>0</v>
      </c>
      <c r="H875" s="271">
        <f t="shared" si="28"/>
        <v>0</v>
      </c>
      <c r="I875" s="271">
        <f>'Planning Engine'!H2129</f>
        <v>0</v>
      </c>
      <c r="J875" s="272">
        <f ca="1">'Planning Engine'!J2129</f>
        <v>0</v>
      </c>
      <c r="K875" s="271">
        <f ca="1">'Planning Engine'!K2129</f>
        <v>0</v>
      </c>
      <c r="L875" s="273" t="str">
        <f>'Planning Engine'!L2129</f>
        <v>High</v>
      </c>
      <c r="M875" s="360">
        <f>'Planning Engine'!S2129</f>
        <v>50679</v>
      </c>
      <c r="N875" s="271">
        <f>'Planning Engine'!T2129</f>
        <v>0</v>
      </c>
      <c r="O875" s="361" cm="1">
        <f t="array" ref="O875">IFERROR(SUMPRODUCT(('Planning Engine'!$B$4:$B$2500="188mg LP - EU Stock")*('Planning Engine'!$A$4:$A$2500='Planning Engine'!A2129)*'Planning Engine'!$U$4:$U$2500),"--")</f>
        <v>0</v>
      </c>
      <c r="P875" s="273" t="str">
        <f t="shared" si="29"/>
        <v>⚠ Expedite production / source alternate</v>
      </c>
    </row>
    <row r="876" spans="1:16" x14ac:dyDescent="0.35">
      <c r="A876" s="358">
        <f>'Planning Engine'!A2130</f>
        <v>50802</v>
      </c>
      <c r="B876" s="274" t="s">
        <v>959</v>
      </c>
      <c r="C876" s="278" t="str">
        <f>'Planning Engine'!C2130</f>
        <v>Label/Pack</v>
      </c>
      <c r="D876" s="278" t="str">
        <f>'Planning Engine'!D2130</f>
        <v>units</v>
      </c>
      <c r="E876" s="276">
        <f>'Planning Engine'!E2130</f>
        <v>0</v>
      </c>
      <c r="F876" s="276">
        <f>'Planning Engine'!F2130</f>
        <v>0</v>
      </c>
      <c r="G876" s="276">
        <f>'Planning Engine'!G2130</f>
        <v>0</v>
      </c>
      <c r="H876" s="276">
        <f t="shared" si="28"/>
        <v>0</v>
      </c>
      <c r="I876" s="276">
        <f>'Planning Engine'!H2130</f>
        <v>0</v>
      </c>
      <c r="J876" s="277">
        <f ca="1">'Planning Engine'!J2130</f>
        <v>0</v>
      </c>
      <c r="K876" s="276">
        <f ca="1">'Planning Engine'!K2130</f>
        <v>0</v>
      </c>
      <c r="L876" s="278" t="str">
        <f>'Planning Engine'!L2130</f>
        <v>High</v>
      </c>
      <c r="M876" s="358">
        <f>'Planning Engine'!S2130</f>
        <v>50710</v>
      </c>
      <c r="N876" s="276">
        <f>'Planning Engine'!T2130</f>
        <v>0</v>
      </c>
      <c r="O876" s="359" cm="1">
        <f t="array" ref="O876">IFERROR(SUMPRODUCT(('Planning Engine'!$B$4:$B$2500="188mg LP - EU Stock")*('Planning Engine'!$A$4:$A$2500='Planning Engine'!A2130)*'Planning Engine'!$U$4:$U$2500),"--")</f>
        <v>0</v>
      </c>
      <c r="P876" s="278" t="str">
        <f t="shared" si="29"/>
        <v>⚠ Expedite production / source alternate</v>
      </c>
    </row>
    <row r="877" spans="1:16" x14ac:dyDescent="0.35">
      <c r="A877" s="360">
        <f>'Planning Engine'!A2131</f>
        <v>50830</v>
      </c>
      <c r="B877" s="269" t="s">
        <v>959</v>
      </c>
      <c r="C877" s="273" t="str">
        <f>'Planning Engine'!C2131</f>
        <v>Label/Pack</v>
      </c>
      <c r="D877" s="273" t="str">
        <f>'Planning Engine'!D2131</f>
        <v>units</v>
      </c>
      <c r="E877" s="271">
        <f>'Planning Engine'!E2131</f>
        <v>0</v>
      </c>
      <c r="F877" s="271">
        <f>'Planning Engine'!F2131</f>
        <v>0</v>
      </c>
      <c r="G877" s="271">
        <f>'Planning Engine'!G2131</f>
        <v>0</v>
      </c>
      <c r="H877" s="271">
        <f t="shared" si="28"/>
        <v>0</v>
      </c>
      <c r="I877" s="271">
        <f>'Planning Engine'!H2131</f>
        <v>0</v>
      </c>
      <c r="J877" s="272">
        <f ca="1">'Planning Engine'!J2131</f>
        <v>0</v>
      </c>
      <c r="K877" s="271">
        <f ca="1">'Planning Engine'!K2131</f>
        <v>0</v>
      </c>
      <c r="L877" s="273" t="str">
        <f>'Planning Engine'!L2131</f>
        <v>High</v>
      </c>
      <c r="M877" s="360">
        <f>'Planning Engine'!S2131</f>
        <v>50740</v>
      </c>
      <c r="N877" s="271">
        <f>'Planning Engine'!T2131</f>
        <v>0</v>
      </c>
      <c r="O877" s="361" cm="1">
        <f t="array" ref="O877">IFERROR(SUMPRODUCT(('Planning Engine'!$B$4:$B$2500="188mg LP - EU Stock")*('Planning Engine'!$A$4:$A$2500='Planning Engine'!A2131)*'Planning Engine'!$U$4:$U$2500),"--")</f>
        <v>0</v>
      </c>
      <c r="P877" s="273" t="str">
        <f t="shared" si="29"/>
        <v>⚠ Expedite production / source alternate</v>
      </c>
    </row>
    <row r="878" spans="1:16" x14ac:dyDescent="0.35">
      <c r="A878" s="358">
        <f>'Planning Engine'!A2132</f>
        <v>50861</v>
      </c>
      <c r="B878" s="274" t="s">
        <v>959</v>
      </c>
      <c r="C878" s="278" t="str">
        <f>'Planning Engine'!C2132</f>
        <v>Label/Pack</v>
      </c>
      <c r="D878" s="278" t="str">
        <f>'Planning Engine'!D2132</f>
        <v>units</v>
      </c>
      <c r="E878" s="276">
        <f>'Planning Engine'!E2132</f>
        <v>0</v>
      </c>
      <c r="F878" s="276">
        <f>'Planning Engine'!F2132</f>
        <v>0</v>
      </c>
      <c r="G878" s="276">
        <f>'Planning Engine'!G2132</f>
        <v>0</v>
      </c>
      <c r="H878" s="276">
        <f t="shared" si="28"/>
        <v>0</v>
      </c>
      <c r="I878" s="276">
        <f>'Planning Engine'!H2132</f>
        <v>0</v>
      </c>
      <c r="J878" s="277">
        <f ca="1">'Planning Engine'!J2132</f>
        <v>0</v>
      </c>
      <c r="K878" s="276">
        <f ca="1">'Planning Engine'!K2132</f>
        <v>0</v>
      </c>
      <c r="L878" s="278" t="str">
        <f>'Planning Engine'!L2132</f>
        <v>High</v>
      </c>
      <c r="M878" s="358">
        <f>'Planning Engine'!S2132</f>
        <v>50771</v>
      </c>
      <c r="N878" s="276">
        <f>'Planning Engine'!T2132</f>
        <v>0</v>
      </c>
      <c r="O878" s="359" cm="1">
        <f t="array" ref="O878">IFERROR(SUMPRODUCT(('Planning Engine'!$B$4:$B$2500="188mg LP - EU Stock")*('Planning Engine'!$A$4:$A$2500='Planning Engine'!A2132)*'Planning Engine'!$U$4:$U$2500),"--")</f>
        <v>0</v>
      </c>
      <c r="P878" s="278" t="str">
        <f t="shared" si="29"/>
        <v>⚠ Expedite production / source alternate</v>
      </c>
    </row>
    <row r="879" spans="1:16" x14ac:dyDescent="0.35">
      <c r="A879" s="360">
        <f>'Planning Engine'!A2133</f>
        <v>50891</v>
      </c>
      <c r="B879" s="269" t="s">
        <v>959</v>
      </c>
      <c r="C879" s="273" t="str">
        <f>'Planning Engine'!C2133</f>
        <v>Label/Pack</v>
      </c>
      <c r="D879" s="273" t="str">
        <f>'Planning Engine'!D2133</f>
        <v>units</v>
      </c>
      <c r="E879" s="271">
        <f>'Planning Engine'!E2133</f>
        <v>0</v>
      </c>
      <c r="F879" s="271">
        <f>'Planning Engine'!F2133</f>
        <v>0</v>
      </c>
      <c r="G879" s="271">
        <f>'Planning Engine'!G2133</f>
        <v>0</v>
      </c>
      <c r="H879" s="271">
        <f t="shared" si="28"/>
        <v>0</v>
      </c>
      <c r="I879" s="271">
        <f>'Planning Engine'!H2133</f>
        <v>0</v>
      </c>
      <c r="J879" s="272">
        <f ca="1">'Planning Engine'!J2133</f>
        <v>0</v>
      </c>
      <c r="K879" s="271">
        <f ca="1">'Planning Engine'!K2133</f>
        <v>0</v>
      </c>
      <c r="L879" s="273" t="str">
        <f>'Planning Engine'!L2133</f>
        <v>High</v>
      </c>
      <c r="M879" s="360">
        <f>'Planning Engine'!S2133</f>
        <v>50802</v>
      </c>
      <c r="N879" s="271">
        <f>'Planning Engine'!T2133</f>
        <v>0</v>
      </c>
      <c r="O879" s="361" cm="1">
        <f t="array" ref="O879">IFERROR(SUMPRODUCT(('Planning Engine'!$B$4:$B$2500="188mg LP - EU Stock")*('Planning Engine'!$A$4:$A$2500='Planning Engine'!A2133)*'Planning Engine'!$U$4:$U$2500),"--")</f>
        <v>0</v>
      </c>
      <c r="P879" s="273" t="str">
        <f t="shared" si="29"/>
        <v>⚠ Expedite production / source alternate</v>
      </c>
    </row>
    <row r="880" spans="1:16" x14ac:dyDescent="0.35">
      <c r="A880" s="358">
        <f>'Planning Engine'!A2134</f>
        <v>50922</v>
      </c>
      <c r="B880" s="274" t="s">
        <v>959</v>
      </c>
      <c r="C880" s="278" t="str">
        <f>'Planning Engine'!C2134</f>
        <v>Label/Pack</v>
      </c>
      <c r="D880" s="278" t="str">
        <f>'Planning Engine'!D2134</f>
        <v>units</v>
      </c>
      <c r="E880" s="276">
        <f>'Planning Engine'!E2134</f>
        <v>0</v>
      </c>
      <c r="F880" s="276">
        <f>'Planning Engine'!F2134</f>
        <v>0</v>
      </c>
      <c r="G880" s="276">
        <f>'Planning Engine'!G2134</f>
        <v>0</v>
      </c>
      <c r="H880" s="276">
        <f t="shared" si="28"/>
        <v>0</v>
      </c>
      <c r="I880" s="276">
        <f>'Planning Engine'!H2134</f>
        <v>0</v>
      </c>
      <c r="J880" s="277">
        <f ca="1">'Planning Engine'!J2134</f>
        <v>0</v>
      </c>
      <c r="K880" s="276">
        <f ca="1">'Planning Engine'!K2134</f>
        <v>0</v>
      </c>
      <c r="L880" s="278" t="str">
        <f>'Planning Engine'!L2134</f>
        <v>High</v>
      </c>
      <c r="M880" s="358">
        <f>'Planning Engine'!S2134</f>
        <v>50830</v>
      </c>
      <c r="N880" s="276">
        <f>'Planning Engine'!T2134</f>
        <v>0</v>
      </c>
      <c r="O880" s="359" cm="1">
        <f t="array" ref="O880">IFERROR(SUMPRODUCT(('Planning Engine'!$B$4:$B$2500="188mg LP - EU Stock")*('Planning Engine'!$A$4:$A$2500='Planning Engine'!A2134)*'Planning Engine'!$U$4:$U$2500),"--")</f>
        <v>0</v>
      </c>
      <c r="P880" s="278" t="str">
        <f t="shared" si="29"/>
        <v>⚠ Expedite production / source alternate</v>
      </c>
    </row>
    <row r="881" spans="1:16" x14ac:dyDescent="0.35">
      <c r="A881" s="360">
        <f>'Planning Engine'!A2135</f>
        <v>50952</v>
      </c>
      <c r="B881" s="269" t="s">
        <v>959</v>
      </c>
      <c r="C881" s="273" t="str">
        <f>'Planning Engine'!C2135</f>
        <v>Label/Pack</v>
      </c>
      <c r="D881" s="273" t="str">
        <f>'Planning Engine'!D2135</f>
        <v>units</v>
      </c>
      <c r="E881" s="271">
        <f>'Planning Engine'!E2135</f>
        <v>0</v>
      </c>
      <c r="F881" s="271">
        <f>'Planning Engine'!F2135</f>
        <v>0</v>
      </c>
      <c r="G881" s="271">
        <f>'Planning Engine'!G2135</f>
        <v>0</v>
      </c>
      <c r="H881" s="271">
        <f t="shared" si="28"/>
        <v>0</v>
      </c>
      <c r="I881" s="271">
        <f>'Planning Engine'!H2135</f>
        <v>0</v>
      </c>
      <c r="J881" s="272">
        <f ca="1">'Planning Engine'!J2135</f>
        <v>0</v>
      </c>
      <c r="K881" s="271">
        <f ca="1">'Planning Engine'!K2135</f>
        <v>0</v>
      </c>
      <c r="L881" s="273" t="str">
        <f>'Planning Engine'!L2135</f>
        <v>High</v>
      </c>
      <c r="M881" s="360">
        <f>'Planning Engine'!S2135</f>
        <v>50861</v>
      </c>
      <c r="N881" s="271">
        <f>'Planning Engine'!T2135</f>
        <v>0</v>
      </c>
      <c r="O881" s="361" cm="1">
        <f t="array" ref="O881">IFERROR(SUMPRODUCT(('Planning Engine'!$B$4:$B$2500="188mg LP - EU Stock")*('Planning Engine'!$A$4:$A$2500='Planning Engine'!A2135)*'Planning Engine'!$U$4:$U$2500),"--")</f>
        <v>0</v>
      </c>
      <c r="P881" s="273" t="str">
        <f t="shared" si="29"/>
        <v>⚠ Expedite production / source alternate</v>
      </c>
    </row>
    <row r="882" spans="1:16" x14ac:dyDescent="0.35">
      <c r="A882" s="358">
        <f>'Planning Engine'!A2136</f>
        <v>50983</v>
      </c>
      <c r="B882" s="274" t="s">
        <v>959</v>
      </c>
      <c r="C882" s="278" t="str">
        <f>'Planning Engine'!C2136</f>
        <v>Label/Pack</v>
      </c>
      <c r="D882" s="278" t="str">
        <f>'Planning Engine'!D2136</f>
        <v>units</v>
      </c>
      <c r="E882" s="276">
        <f>'Planning Engine'!E2136</f>
        <v>0</v>
      </c>
      <c r="F882" s="276">
        <f>'Planning Engine'!F2136</f>
        <v>0</v>
      </c>
      <c r="G882" s="276">
        <f>'Planning Engine'!G2136</f>
        <v>0</v>
      </c>
      <c r="H882" s="276">
        <f t="shared" si="28"/>
        <v>0</v>
      </c>
      <c r="I882" s="276">
        <f>'Planning Engine'!H2136</f>
        <v>0</v>
      </c>
      <c r="J882" s="277">
        <f ca="1">'Planning Engine'!J2136</f>
        <v>0</v>
      </c>
      <c r="K882" s="276">
        <f ca="1">'Planning Engine'!K2136</f>
        <v>0</v>
      </c>
      <c r="L882" s="278" t="str">
        <f>'Planning Engine'!L2136</f>
        <v>High</v>
      </c>
      <c r="M882" s="358">
        <f>'Planning Engine'!S2136</f>
        <v>50891</v>
      </c>
      <c r="N882" s="276">
        <f>'Planning Engine'!T2136</f>
        <v>0</v>
      </c>
      <c r="O882" s="359" cm="1">
        <f t="array" ref="O882">IFERROR(SUMPRODUCT(('Planning Engine'!$B$4:$B$2500="188mg LP - EU Stock")*('Planning Engine'!$A$4:$A$2500='Planning Engine'!A2136)*'Planning Engine'!$U$4:$U$2500),"--")</f>
        <v>0</v>
      </c>
      <c r="P882" s="278" t="str">
        <f t="shared" si="29"/>
        <v>⚠ Expedite production / source alternate</v>
      </c>
    </row>
    <row r="883" spans="1:16" x14ac:dyDescent="0.35">
      <c r="A883" s="360">
        <f>'Planning Engine'!A2137</f>
        <v>51014</v>
      </c>
      <c r="B883" s="269" t="s">
        <v>959</v>
      </c>
      <c r="C883" s="273" t="str">
        <f>'Planning Engine'!C2137</f>
        <v>Label/Pack</v>
      </c>
      <c r="D883" s="273" t="str">
        <f>'Planning Engine'!D2137</f>
        <v>units</v>
      </c>
      <c r="E883" s="271">
        <f>'Planning Engine'!E2137</f>
        <v>0</v>
      </c>
      <c r="F883" s="271">
        <f>'Planning Engine'!F2137</f>
        <v>0</v>
      </c>
      <c r="G883" s="271">
        <f>'Planning Engine'!G2137</f>
        <v>0</v>
      </c>
      <c r="H883" s="271">
        <f t="shared" si="28"/>
        <v>0</v>
      </c>
      <c r="I883" s="271">
        <f>'Planning Engine'!H2137</f>
        <v>0</v>
      </c>
      <c r="J883" s="272">
        <f ca="1">'Planning Engine'!J2137</f>
        <v>0</v>
      </c>
      <c r="K883" s="271">
        <f ca="1">'Planning Engine'!K2137</f>
        <v>0</v>
      </c>
      <c r="L883" s="273" t="str">
        <f>'Planning Engine'!L2137</f>
        <v>High</v>
      </c>
      <c r="M883" s="360">
        <f>'Planning Engine'!S2137</f>
        <v>50922</v>
      </c>
      <c r="N883" s="271">
        <f>'Planning Engine'!T2137</f>
        <v>0</v>
      </c>
      <c r="O883" s="361" cm="1">
        <f t="array" ref="O883">IFERROR(SUMPRODUCT(('Planning Engine'!$B$4:$B$2500="188mg LP - EU Stock")*('Planning Engine'!$A$4:$A$2500='Planning Engine'!A2137)*'Planning Engine'!$U$4:$U$2500),"--")</f>
        <v>0</v>
      </c>
      <c r="P883" s="273" t="str">
        <f t="shared" si="29"/>
        <v>⚠ Expedite production / source alternate</v>
      </c>
    </row>
    <row r="884" spans="1:16" x14ac:dyDescent="0.35">
      <c r="A884" s="358">
        <f>'Planning Engine'!A2138</f>
        <v>51044</v>
      </c>
      <c r="B884" s="274" t="s">
        <v>959</v>
      </c>
      <c r="C884" s="278" t="str">
        <f>'Planning Engine'!C2138</f>
        <v>Label/Pack</v>
      </c>
      <c r="D884" s="278" t="str">
        <f>'Planning Engine'!D2138</f>
        <v>units</v>
      </c>
      <c r="E884" s="276">
        <f>'Planning Engine'!E2138</f>
        <v>0</v>
      </c>
      <c r="F884" s="276">
        <f>'Planning Engine'!F2138</f>
        <v>0</v>
      </c>
      <c r="G884" s="276">
        <f>'Planning Engine'!G2138</f>
        <v>0</v>
      </c>
      <c r="H884" s="276">
        <f t="shared" si="28"/>
        <v>0</v>
      </c>
      <c r="I884" s="276">
        <f>'Planning Engine'!H2138</f>
        <v>0</v>
      </c>
      <c r="J884" s="277">
        <f ca="1">'Planning Engine'!J2138</f>
        <v>0</v>
      </c>
      <c r="K884" s="276">
        <f ca="1">'Planning Engine'!K2138</f>
        <v>0</v>
      </c>
      <c r="L884" s="278" t="str">
        <f>'Planning Engine'!L2138</f>
        <v>High</v>
      </c>
      <c r="M884" s="358">
        <f>'Planning Engine'!S2138</f>
        <v>50952</v>
      </c>
      <c r="N884" s="276">
        <f>'Planning Engine'!T2138</f>
        <v>0</v>
      </c>
      <c r="O884" s="359" cm="1">
        <f t="array" ref="O884">IFERROR(SUMPRODUCT(('Planning Engine'!$B$4:$B$2500="188mg LP - EU Stock")*('Planning Engine'!$A$4:$A$2500='Planning Engine'!A2138)*'Planning Engine'!$U$4:$U$2500),"--")</f>
        <v>0</v>
      </c>
      <c r="P884" s="278" t="str">
        <f t="shared" si="29"/>
        <v>⚠ Expedite production / source alternate</v>
      </c>
    </row>
    <row r="885" spans="1:16" x14ac:dyDescent="0.35">
      <c r="A885" s="360">
        <f>'Planning Engine'!A2139</f>
        <v>51075</v>
      </c>
      <c r="B885" s="269" t="s">
        <v>959</v>
      </c>
      <c r="C885" s="273" t="str">
        <f>'Planning Engine'!C2139</f>
        <v>Label/Pack</v>
      </c>
      <c r="D885" s="273" t="str">
        <f>'Planning Engine'!D2139</f>
        <v>units</v>
      </c>
      <c r="E885" s="271">
        <f>'Planning Engine'!E2139</f>
        <v>0</v>
      </c>
      <c r="F885" s="271">
        <f>'Planning Engine'!F2139</f>
        <v>0</v>
      </c>
      <c r="G885" s="271">
        <f>'Planning Engine'!G2139</f>
        <v>0</v>
      </c>
      <c r="H885" s="271">
        <f t="shared" si="28"/>
        <v>0</v>
      </c>
      <c r="I885" s="271">
        <f>'Planning Engine'!H2139</f>
        <v>0</v>
      </c>
      <c r="J885" s="272">
        <f ca="1">'Planning Engine'!J2139</f>
        <v>0</v>
      </c>
      <c r="K885" s="271">
        <f ca="1">'Planning Engine'!K2139</f>
        <v>0</v>
      </c>
      <c r="L885" s="273" t="str">
        <f>'Planning Engine'!L2139</f>
        <v>High</v>
      </c>
      <c r="M885" s="360">
        <f>'Planning Engine'!S2139</f>
        <v>50983</v>
      </c>
      <c r="N885" s="271">
        <f>'Planning Engine'!T2139</f>
        <v>0</v>
      </c>
      <c r="O885" s="361" cm="1">
        <f t="array" ref="O885">IFERROR(SUMPRODUCT(('Planning Engine'!$B$4:$B$2500="188mg LP - EU Stock")*('Planning Engine'!$A$4:$A$2500='Planning Engine'!A2139)*'Planning Engine'!$U$4:$U$2500),"--")</f>
        <v>0</v>
      </c>
      <c r="P885" s="273" t="str">
        <f t="shared" si="29"/>
        <v>⚠ Expedite production / source alternate</v>
      </c>
    </row>
    <row r="886" spans="1:16" x14ac:dyDescent="0.35">
      <c r="A886" s="358">
        <f>'Planning Engine'!A2140</f>
        <v>51105</v>
      </c>
      <c r="B886" s="274" t="s">
        <v>959</v>
      </c>
      <c r="C886" s="278" t="str">
        <f>'Planning Engine'!C2140</f>
        <v>Label/Pack</v>
      </c>
      <c r="D886" s="278" t="str">
        <f>'Planning Engine'!D2140</f>
        <v>units</v>
      </c>
      <c r="E886" s="276">
        <f>'Planning Engine'!E2140</f>
        <v>0</v>
      </c>
      <c r="F886" s="276">
        <f>'Planning Engine'!F2140</f>
        <v>0</v>
      </c>
      <c r="G886" s="276">
        <f>'Planning Engine'!G2140</f>
        <v>0</v>
      </c>
      <c r="H886" s="276">
        <f t="shared" si="28"/>
        <v>0</v>
      </c>
      <c r="I886" s="276">
        <f>'Planning Engine'!H2140</f>
        <v>0</v>
      </c>
      <c r="J886" s="277">
        <f ca="1">'Planning Engine'!J2140</f>
        <v>0</v>
      </c>
      <c r="K886" s="276">
        <f ca="1">'Planning Engine'!K2140</f>
        <v>0</v>
      </c>
      <c r="L886" s="278" t="str">
        <f>'Planning Engine'!L2140</f>
        <v>High</v>
      </c>
      <c r="M886" s="358">
        <f>'Planning Engine'!S2140</f>
        <v>51014</v>
      </c>
      <c r="N886" s="276">
        <f>'Planning Engine'!T2140</f>
        <v>0</v>
      </c>
      <c r="O886" s="359" cm="1">
        <f t="array" ref="O886">IFERROR(SUMPRODUCT(('Planning Engine'!$B$4:$B$2500="188mg LP - EU Stock")*('Planning Engine'!$A$4:$A$2500='Planning Engine'!A2140)*'Planning Engine'!$U$4:$U$2500),"--")</f>
        <v>0</v>
      </c>
      <c r="P886" s="278" t="str">
        <f t="shared" si="29"/>
        <v>⚠ Expedite production / source alternate</v>
      </c>
    </row>
    <row r="887" spans="1:16" x14ac:dyDescent="0.35">
      <c r="A887" s="360">
        <f>'Planning Engine'!A2141</f>
        <v>51136</v>
      </c>
      <c r="B887" s="269" t="s">
        <v>959</v>
      </c>
      <c r="C887" s="273" t="str">
        <f>'Planning Engine'!C2141</f>
        <v>Label/Pack</v>
      </c>
      <c r="D887" s="273" t="str">
        <f>'Planning Engine'!D2141</f>
        <v>units</v>
      </c>
      <c r="E887" s="271">
        <f>'Planning Engine'!E2141</f>
        <v>0</v>
      </c>
      <c r="F887" s="271">
        <f>'Planning Engine'!F2141</f>
        <v>0</v>
      </c>
      <c r="G887" s="271">
        <f>'Planning Engine'!G2141</f>
        <v>0</v>
      </c>
      <c r="H887" s="271">
        <f t="shared" si="28"/>
        <v>0</v>
      </c>
      <c r="I887" s="271">
        <f>'Planning Engine'!H2141</f>
        <v>0</v>
      </c>
      <c r="J887" s="272">
        <f ca="1">'Planning Engine'!J2141</f>
        <v>0</v>
      </c>
      <c r="K887" s="271">
        <f ca="1">'Planning Engine'!K2141</f>
        <v>0</v>
      </c>
      <c r="L887" s="273" t="str">
        <f>'Planning Engine'!L2141</f>
        <v>High</v>
      </c>
      <c r="M887" s="360">
        <f>'Planning Engine'!S2141</f>
        <v>51044</v>
      </c>
      <c r="N887" s="271">
        <f>'Planning Engine'!T2141</f>
        <v>0</v>
      </c>
      <c r="O887" s="361" cm="1">
        <f t="array" ref="O887">IFERROR(SUMPRODUCT(('Planning Engine'!$B$4:$B$2500="188mg LP - EU Stock")*('Planning Engine'!$A$4:$A$2500='Planning Engine'!A2141)*'Planning Engine'!$U$4:$U$2500),"--")</f>
        <v>0</v>
      </c>
      <c r="P887" s="273" t="str">
        <f t="shared" si="29"/>
        <v>⚠ Expedite production / source alternate</v>
      </c>
    </row>
    <row r="888" spans="1:16" x14ac:dyDescent="0.35">
      <c r="A888" s="358">
        <f>'Planning Engine'!A2142</f>
        <v>51167</v>
      </c>
      <c r="B888" s="274" t="s">
        <v>959</v>
      </c>
      <c r="C888" s="278" t="str">
        <f>'Planning Engine'!C2142</f>
        <v>Label/Pack</v>
      </c>
      <c r="D888" s="278" t="str">
        <f>'Planning Engine'!D2142</f>
        <v>units</v>
      </c>
      <c r="E888" s="276">
        <f>'Planning Engine'!E2142</f>
        <v>0</v>
      </c>
      <c r="F888" s="276">
        <f>'Planning Engine'!F2142</f>
        <v>0</v>
      </c>
      <c r="G888" s="276">
        <f>'Planning Engine'!G2142</f>
        <v>0</v>
      </c>
      <c r="H888" s="276">
        <f t="shared" si="28"/>
        <v>0</v>
      </c>
      <c r="I888" s="276">
        <f>'Planning Engine'!H2142</f>
        <v>0</v>
      </c>
      <c r="J888" s="277">
        <f ca="1">'Planning Engine'!J2142</f>
        <v>0</v>
      </c>
      <c r="K888" s="276">
        <f ca="1">'Planning Engine'!K2142</f>
        <v>0</v>
      </c>
      <c r="L888" s="278" t="str">
        <f>'Planning Engine'!L2142</f>
        <v>High</v>
      </c>
      <c r="M888" s="358">
        <f>'Planning Engine'!S2142</f>
        <v>51075</v>
      </c>
      <c r="N888" s="276">
        <f>'Planning Engine'!T2142</f>
        <v>0</v>
      </c>
      <c r="O888" s="359" cm="1">
        <f t="array" ref="O888">IFERROR(SUMPRODUCT(('Planning Engine'!$B$4:$B$2500="188mg LP - EU Stock")*('Planning Engine'!$A$4:$A$2500='Planning Engine'!A2142)*'Planning Engine'!$U$4:$U$2500),"--")</f>
        <v>0</v>
      </c>
      <c r="P888" s="278" t="str">
        <f t="shared" si="29"/>
        <v>⚠ Expedite production / source alternate</v>
      </c>
    </row>
    <row r="889" spans="1:16" x14ac:dyDescent="0.35">
      <c r="A889" s="360">
        <f>'Planning Engine'!A2143</f>
        <v>51196</v>
      </c>
      <c r="B889" s="269" t="s">
        <v>959</v>
      </c>
      <c r="C889" s="273" t="str">
        <f>'Planning Engine'!C2143</f>
        <v>Label/Pack</v>
      </c>
      <c r="D889" s="273" t="str">
        <f>'Planning Engine'!D2143</f>
        <v>units</v>
      </c>
      <c r="E889" s="271">
        <f>'Planning Engine'!E2143</f>
        <v>0</v>
      </c>
      <c r="F889" s="271">
        <f>'Planning Engine'!F2143</f>
        <v>0</v>
      </c>
      <c r="G889" s="271">
        <f>'Planning Engine'!G2143</f>
        <v>0</v>
      </c>
      <c r="H889" s="271">
        <f t="shared" si="28"/>
        <v>0</v>
      </c>
      <c r="I889" s="271">
        <f>'Planning Engine'!H2143</f>
        <v>0</v>
      </c>
      <c r="J889" s="272">
        <f ca="1">'Planning Engine'!J2143</f>
        <v>0</v>
      </c>
      <c r="K889" s="271">
        <f ca="1">'Planning Engine'!K2143</f>
        <v>0</v>
      </c>
      <c r="L889" s="273" t="str">
        <f>'Planning Engine'!L2143</f>
        <v>High</v>
      </c>
      <c r="M889" s="360">
        <f>'Planning Engine'!S2143</f>
        <v>51105</v>
      </c>
      <c r="N889" s="271">
        <f>'Planning Engine'!T2143</f>
        <v>0</v>
      </c>
      <c r="O889" s="361" cm="1">
        <f t="array" ref="O889">IFERROR(SUMPRODUCT(('Planning Engine'!$B$4:$B$2500="188mg LP - EU Stock")*('Planning Engine'!$A$4:$A$2500='Planning Engine'!A2143)*'Planning Engine'!$U$4:$U$2500),"--")</f>
        <v>0</v>
      </c>
      <c r="P889" s="273" t="str">
        <f t="shared" si="29"/>
        <v>⚠ Expedite production / source alternate</v>
      </c>
    </row>
    <row r="890" spans="1:16" x14ac:dyDescent="0.35">
      <c r="A890" s="358">
        <f>'Planning Engine'!A2144</f>
        <v>51227</v>
      </c>
      <c r="B890" s="274" t="s">
        <v>959</v>
      </c>
      <c r="C890" s="278" t="str">
        <f>'Planning Engine'!C2144</f>
        <v>Label/Pack</v>
      </c>
      <c r="D890" s="278" t="str">
        <f>'Planning Engine'!D2144</f>
        <v>units</v>
      </c>
      <c r="E890" s="276">
        <f>'Planning Engine'!E2144</f>
        <v>0</v>
      </c>
      <c r="F890" s="276">
        <f>'Planning Engine'!F2144</f>
        <v>0</v>
      </c>
      <c r="G890" s="276">
        <f>'Planning Engine'!G2144</f>
        <v>0</v>
      </c>
      <c r="H890" s="276">
        <f t="shared" si="28"/>
        <v>0</v>
      </c>
      <c r="I890" s="276">
        <f>'Planning Engine'!H2144</f>
        <v>0</v>
      </c>
      <c r="J890" s="277">
        <f ca="1">'Planning Engine'!J2144</f>
        <v>0</v>
      </c>
      <c r="K890" s="276">
        <f ca="1">'Planning Engine'!K2144</f>
        <v>0</v>
      </c>
      <c r="L890" s="278" t="str">
        <f>'Planning Engine'!L2144</f>
        <v>High</v>
      </c>
      <c r="M890" s="358">
        <f>'Planning Engine'!S2144</f>
        <v>51136</v>
      </c>
      <c r="N890" s="276">
        <f>'Planning Engine'!T2144</f>
        <v>0</v>
      </c>
      <c r="O890" s="359" cm="1">
        <f t="array" ref="O890">IFERROR(SUMPRODUCT(('Planning Engine'!$B$4:$B$2500="188mg LP - EU Stock")*('Planning Engine'!$A$4:$A$2500='Planning Engine'!A2144)*'Planning Engine'!$U$4:$U$2500),"--")</f>
        <v>0</v>
      </c>
      <c r="P890" s="278" t="str">
        <f t="shared" si="29"/>
        <v>⚠ Expedite production / source alternate</v>
      </c>
    </row>
    <row r="891" spans="1:16" x14ac:dyDescent="0.35">
      <c r="A891" s="360">
        <f>'Planning Engine'!A2145</f>
        <v>51257</v>
      </c>
      <c r="B891" s="269" t="s">
        <v>959</v>
      </c>
      <c r="C891" s="273" t="str">
        <f>'Planning Engine'!C2145</f>
        <v>Label/Pack</v>
      </c>
      <c r="D891" s="273" t="str">
        <f>'Planning Engine'!D2145</f>
        <v>units</v>
      </c>
      <c r="E891" s="271">
        <f>'Planning Engine'!E2145</f>
        <v>0</v>
      </c>
      <c r="F891" s="271">
        <f>'Planning Engine'!F2145</f>
        <v>0</v>
      </c>
      <c r="G891" s="271">
        <f>'Planning Engine'!G2145</f>
        <v>0</v>
      </c>
      <c r="H891" s="271">
        <f t="shared" si="28"/>
        <v>0</v>
      </c>
      <c r="I891" s="271">
        <f>'Planning Engine'!H2145</f>
        <v>0</v>
      </c>
      <c r="J891" s="272">
        <f ca="1">'Planning Engine'!J2145</f>
        <v>0</v>
      </c>
      <c r="K891" s="271">
        <f ca="1">'Planning Engine'!K2145</f>
        <v>0</v>
      </c>
      <c r="L891" s="273" t="str">
        <f>'Planning Engine'!L2145</f>
        <v>High</v>
      </c>
      <c r="M891" s="360">
        <f>'Planning Engine'!S2145</f>
        <v>51167</v>
      </c>
      <c r="N891" s="271">
        <f>'Planning Engine'!T2145</f>
        <v>0</v>
      </c>
      <c r="O891" s="361" cm="1">
        <f t="array" ref="O891">IFERROR(SUMPRODUCT(('Planning Engine'!$B$4:$B$2500="188mg LP - EU Stock")*('Planning Engine'!$A$4:$A$2500='Planning Engine'!A2145)*'Planning Engine'!$U$4:$U$2500),"--")</f>
        <v>0</v>
      </c>
      <c r="P891" s="273" t="str">
        <f t="shared" si="29"/>
        <v>⚠ Expedite production / source alternate</v>
      </c>
    </row>
    <row r="892" spans="1:16" x14ac:dyDescent="0.35">
      <c r="A892" s="358">
        <f>'Planning Engine'!A2146</f>
        <v>51288</v>
      </c>
      <c r="B892" s="274" t="s">
        <v>959</v>
      </c>
      <c r="C892" s="278" t="str">
        <f>'Planning Engine'!C2146</f>
        <v>Label/Pack</v>
      </c>
      <c r="D892" s="278" t="str">
        <f>'Planning Engine'!D2146</f>
        <v>units</v>
      </c>
      <c r="E892" s="276">
        <f>'Planning Engine'!E2146</f>
        <v>0</v>
      </c>
      <c r="F892" s="276">
        <f>'Planning Engine'!F2146</f>
        <v>0</v>
      </c>
      <c r="G892" s="276">
        <f>'Planning Engine'!G2146</f>
        <v>0</v>
      </c>
      <c r="H892" s="276">
        <f t="shared" si="28"/>
        <v>0</v>
      </c>
      <c r="I892" s="276">
        <f>'Planning Engine'!H2146</f>
        <v>0</v>
      </c>
      <c r="J892" s="277">
        <f ca="1">'Planning Engine'!J2146</f>
        <v>0</v>
      </c>
      <c r="K892" s="276">
        <f ca="1">'Planning Engine'!K2146</f>
        <v>0</v>
      </c>
      <c r="L892" s="278" t="str">
        <f>'Planning Engine'!L2146</f>
        <v>High</v>
      </c>
      <c r="M892" s="358">
        <f>'Planning Engine'!S2146</f>
        <v>51196</v>
      </c>
      <c r="N892" s="276">
        <f>'Planning Engine'!T2146</f>
        <v>0</v>
      </c>
      <c r="O892" s="359" cm="1">
        <f t="array" ref="O892">IFERROR(SUMPRODUCT(('Planning Engine'!$B$4:$B$2500="188mg LP - EU Stock")*('Planning Engine'!$A$4:$A$2500='Planning Engine'!A2146)*'Planning Engine'!$U$4:$U$2500),"--")</f>
        <v>0</v>
      </c>
      <c r="P892" s="278" t="str">
        <f t="shared" si="29"/>
        <v>⚠ Expedite production / source alternate</v>
      </c>
    </row>
    <row r="893" spans="1:16" x14ac:dyDescent="0.35">
      <c r="A893" s="360">
        <f>'Planning Engine'!A2147</f>
        <v>51318</v>
      </c>
      <c r="B893" s="269" t="s">
        <v>959</v>
      </c>
      <c r="C893" s="273" t="str">
        <f>'Planning Engine'!C2147</f>
        <v>Label/Pack</v>
      </c>
      <c r="D893" s="273" t="str">
        <f>'Planning Engine'!D2147</f>
        <v>units</v>
      </c>
      <c r="E893" s="271">
        <f>'Planning Engine'!E2147</f>
        <v>0</v>
      </c>
      <c r="F893" s="271">
        <f>'Planning Engine'!F2147</f>
        <v>0</v>
      </c>
      <c r="G893" s="271">
        <f>'Planning Engine'!G2147</f>
        <v>0</v>
      </c>
      <c r="H893" s="271">
        <f t="shared" si="28"/>
        <v>0</v>
      </c>
      <c r="I893" s="271">
        <f>'Planning Engine'!H2147</f>
        <v>0</v>
      </c>
      <c r="J893" s="272">
        <f ca="1">'Planning Engine'!J2147</f>
        <v>0</v>
      </c>
      <c r="K893" s="271">
        <f ca="1">'Planning Engine'!K2147</f>
        <v>0</v>
      </c>
      <c r="L893" s="273" t="str">
        <f>'Planning Engine'!L2147</f>
        <v>High</v>
      </c>
      <c r="M893" s="360">
        <f>'Planning Engine'!S2147</f>
        <v>51227</v>
      </c>
      <c r="N893" s="271">
        <f>'Planning Engine'!T2147</f>
        <v>0</v>
      </c>
      <c r="O893" s="361" cm="1">
        <f t="array" ref="O893">IFERROR(SUMPRODUCT(('Planning Engine'!$B$4:$B$2500="188mg LP - EU Stock")*('Planning Engine'!$A$4:$A$2500='Planning Engine'!A2147)*'Planning Engine'!$U$4:$U$2500),"--")</f>
        <v>0</v>
      </c>
      <c r="P893" s="273" t="str">
        <f t="shared" si="29"/>
        <v>⚠ Expedite production / source alternate</v>
      </c>
    </row>
    <row r="894" spans="1:16" x14ac:dyDescent="0.35">
      <c r="A894" s="358">
        <f>'Planning Engine'!A2148</f>
        <v>51349</v>
      </c>
      <c r="B894" s="274" t="s">
        <v>959</v>
      </c>
      <c r="C894" s="278" t="str">
        <f>'Planning Engine'!C2148</f>
        <v>Label/Pack</v>
      </c>
      <c r="D894" s="278" t="str">
        <f>'Planning Engine'!D2148</f>
        <v>units</v>
      </c>
      <c r="E894" s="276">
        <f>'Planning Engine'!E2148</f>
        <v>0</v>
      </c>
      <c r="F894" s="276">
        <f>'Planning Engine'!F2148</f>
        <v>0</v>
      </c>
      <c r="G894" s="276">
        <f>'Planning Engine'!G2148</f>
        <v>0</v>
      </c>
      <c r="H894" s="276">
        <f t="shared" si="28"/>
        <v>0</v>
      </c>
      <c r="I894" s="276">
        <f>'Planning Engine'!H2148</f>
        <v>0</v>
      </c>
      <c r="J894" s="277">
        <f ca="1">'Planning Engine'!J2148</f>
        <v>0</v>
      </c>
      <c r="K894" s="276">
        <f ca="1">'Planning Engine'!K2148</f>
        <v>0</v>
      </c>
      <c r="L894" s="278" t="str">
        <f>'Planning Engine'!L2148</f>
        <v>High</v>
      </c>
      <c r="M894" s="358">
        <f>'Planning Engine'!S2148</f>
        <v>51257</v>
      </c>
      <c r="N894" s="276">
        <f>'Planning Engine'!T2148</f>
        <v>0</v>
      </c>
      <c r="O894" s="359" cm="1">
        <f t="array" ref="O894">IFERROR(SUMPRODUCT(('Planning Engine'!$B$4:$B$2500="188mg LP - EU Stock")*('Planning Engine'!$A$4:$A$2500='Planning Engine'!A2148)*'Planning Engine'!$U$4:$U$2500),"--")</f>
        <v>0</v>
      </c>
      <c r="P894" s="278" t="str">
        <f t="shared" si="29"/>
        <v>⚠ Expedite production / source alternate</v>
      </c>
    </row>
    <row r="895" spans="1:16" x14ac:dyDescent="0.35">
      <c r="A895" s="360">
        <f>'Planning Engine'!A2149</f>
        <v>51380</v>
      </c>
      <c r="B895" s="269" t="s">
        <v>959</v>
      </c>
      <c r="C895" s="273" t="str">
        <f>'Planning Engine'!C2149</f>
        <v>Label/Pack</v>
      </c>
      <c r="D895" s="273" t="str">
        <f>'Planning Engine'!D2149</f>
        <v>units</v>
      </c>
      <c r="E895" s="271">
        <f>'Planning Engine'!E2149</f>
        <v>0</v>
      </c>
      <c r="F895" s="271">
        <f>'Planning Engine'!F2149</f>
        <v>0</v>
      </c>
      <c r="G895" s="271">
        <f>'Planning Engine'!G2149</f>
        <v>0</v>
      </c>
      <c r="H895" s="271">
        <f t="shared" si="28"/>
        <v>0</v>
      </c>
      <c r="I895" s="271">
        <f>'Planning Engine'!H2149</f>
        <v>0</v>
      </c>
      <c r="J895" s="272">
        <f ca="1">'Planning Engine'!J2149</f>
        <v>0</v>
      </c>
      <c r="K895" s="271">
        <f ca="1">'Planning Engine'!K2149</f>
        <v>0</v>
      </c>
      <c r="L895" s="273" t="str">
        <f>'Planning Engine'!L2149</f>
        <v>High</v>
      </c>
      <c r="M895" s="360">
        <f>'Planning Engine'!S2149</f>
        <v>51288</v>
      </c>
      <c r="N895" s="271">
        <f>'Planning Engine'!T2149</f>
        <v>0</v>
      </c>
      <c r="O895" s="361" cm="1">
        <f t="array" ref="O895">IFERROR(SUMPRODUCT(('Planning Engine'!$B$4:$B$2500="188mg LP - EU Stock")*('Planning Engine'!$A$4:$A$2500='Planning Engine'!A2149)*'Planning Engine'!$U$4:$U$2500),"--")</f>
        <v>0</v>
      </c>
      <c r="P895" s="273" t="str">
        <f t="shared" si="29"/>
        <v>⚠ Expedite production / source alternate</v>
      </c>
    </row>
    <row r="896" spans="1:16" x14ac:dyDescent="0.35">
      <c r="A896" s="358">
        <f>'Planning Engine'!A2150</f>
        <v>51410</v>
      </c>
      <c r="B896" s="274" t="s">
        <v>959</v>
      </c>
      <c r="C896" s="278" t="str">
        <f>'Planning Engine'!C2150</f>
        <v>Label/Pack</v>
      </c>
      <c r="D896" s="278" t="str">
        <f>'Planning Engine'!D2150</f>
        <v>units</v>
      </c>
      <c r="E896" s="276">
        <f>'Planning Engine'!E2150</f>
        <v>0</v>
      </c>
      <c r="F896" s="276">
        <f>'Planning Engine'!F2150</f>
        <v>0</v>
      </c>
      <c r="G896" s="276">
        <f>'Planning Engine'!G2150</f>
        <v>0</v>
      </c>
      <c r="H896" s="276">
        <f t="shared" si="28"/>
        <v>0</v>
      </c>
      <c r="I896" s="276">
        <f>'Planning Engine'!H2150</f>
        <v>0</v>
      </c>
      <c r="J896" s="277">
        <f ca="1">'Planning Engine'!J2150</f>
        <v>0</v>
      </c>
      <c r="K896" s="276">
        <f ca="1">'Planning Engine'!K2150</f>
        <v>0</v>
      </c>
      <c r="L896" s="278" t="str">
        <f>'Planning Engine'!L2150</f>
        <v>High</v>
      </c>
      <c r="M896" s="358">
        <f>'Planning Engine'!S2150</f>
        <v>51318</v>
      </c>
      <c r="N896" s="276">
        <f>'Planning Engine'!T2150</f>
        <v>0</v>
      </c>
      <c r="O896" s="359" cm="1">
        <f t="array" ref="O896">IFERROR(SUMPRODUCT(('Planning Engine'!$B$4:$B$2500="188mg LP - EU Stock")*('Planning Engine'!$A$4:$A$2500='Planning Engine'!A2150)*'Planning Engine'!$U$4:$U$2500),"--")</f>
        <v>0</v>
      </c>
      <c r="P896" s="278" t="str">
        <f t="shared" si="29"/>
        <v>⚠ Expedite production / source alternate</v>
      </c>
    </row>
    <row r="897" spans="1:16" x14ac:dyDescent="0.35">
      <c r="A897" s="360">
        <f>'Planning Engine'!A2151</f>
        <v>51441</v>
      </c>
      <c r="B897" s="269" t="s">
        <v>959</v>
      </c>
      <c r="C897" s="273" t="str">
        <f>'Planning Engine'!C2151</f>
        <v>Label/Pack</v>
      </c>
      <c r="D897" s="273" t="str">
        <f>'Planning Engine'!D2151</f>
        <v>units</v>
      </c>
      <c r="E897" s="271">
        <f>'Planning Engine'!E2151</f>
        <v>0</v>
      </c>
      <c r="F897" s="271">
        <f>'Planning Engine'!F2151</f>
        <v>0</v>
      </c>
      <c r="G897" s="271">
        <f>'Planning Engine'!G2151</f>
        <v>0</v>
      </c>
      <c r="H897" s="271">
        <f t="shared" si="28"/>
        <v>0</v>
      </c>
      <c r="I897" s="271">
        <f>'Planning Engine'!H2151</f>
        <v>0</v>
      </c>
      <c r="J897" s="272">
        <f ca="1">'Planning Engine'!J2151</f>
        <v>0</v>
      </c>
      <c r="K897" s="271">
        <f ca="1">'Planning Engine'!K2151</f>
        <v>0</v>
      </c>
      <c r="L897" s="273" t="str">
        <f>'Planning Engine'!L2151</f>
        <v>High</v>
      </c>
      <c r="M897" s="360">
        <f>'Planning Engine'!S2151</f>
        <v>51349</v>
      </c>
      <c r="N897" s="271">
        <f>'Planning Engine'!T2151</f>
        <v>0</v>
      </c>
      <c r="O897" s="361" cm="1">
        <f t="array" ref="O897">IFERROR(SUMPRODUCT(('Planning Engine'!$B$4:$B$2500="188mg LP - EU Stock")*('Planning Engine'!$A$4:$A$2500='Planning Engine'!A2151)*'Planning Engine'!$U$4:$U$2500),"--")</f>
        <v>0</v>
      </c>
      <c r="P897" s="273" t="str">
        <f t="shared" si="29"/>
        <v>⚠ Expedite production / source alternate</v>
      </c>
    </row>
    <row r="898" spans="1:16" x14ac:dyDescent="0.35">
      <c r="A898" s="358">
        <f>'Planning Engine'!A2152</f>
        <v>51471</v>
      </c>
      <c r="B898" s="274" t="s">
        <v>959</v>
      </c>
      <c r="C898" s="278" t="str">
        <f>'Planning Engine'!C2152</f>
        <v>Label/Pack</v>
      </c>
      <c r="D898" s="278" t="str">
        <f>'Planning Engine'!D2152</f>
        <v>units</v>
      </c>
      <c r="E898" s="276">
        <f>'Planning Engine'!E2152</f>
        <v>0</v>
      </c>
      <c r="F898" s="276">
        <f>'Planning Engine'!F2152</f>
        <v>0</v>
      </c>
      <c r="G898" s="276">
        <f>'Planning Engine'!G2152</f>
        <v>0</v>
      </c>
      <c r="H898" s="276">
        <f t="shared" si="28"/>
        <v>0</v>
      </c>
      <c r="I898" s="276">
        <f>'Planning Engine'!H2152</f>
        <v>0</v>
      </c>
      <c r="J898" s="277">
        <f ca="1">'Planning Engine'!J2152</f>
        <v>0</v>
      </c>
      <c r="K898" s="276">
        <f ca="1">'Planning Engine'!K2152</f>
        <v>0</v>
      </c>
      <c r="L898" s="278" t="str">
        <f>'Planning Engine'!L2152</f>
        <v>High</v>
      </c>
      <c r="M898" s="358">
        <f>'Planning Engine'!S2152</f>
        <v>51380</v>
      </c>
      <c r="N898" s="276">
        <f>'Planning Engine'!T2152</f>
        <v>0</v>
      </c>
      <c r="O898" s="359" cm="1">
        <f t="array" ref="O898">IFERROR(SUMPRODUCT(('Planning Engine'!$B$4:$B$2500="188mg LP - EU Stock")*('Planning Engine'!$A$4:$A$2500='Planning Engine'!A2152)*'Planning Engine'!$U$4:$U$2500),"--")</f>
        <v>0</v>
      </c>
      <c r="P898" s="278" t="str">
        <f t="shared" si="29"/>
        <v>⚠ Expedite production / source alternate</v>
      </c>
    </row>
    <row r="899" spans="1:16" x14ac:dyDescent="0.35">
      <c r="A899" s="360">
        <f>'Planning Engine'!A2153</f>
        <v>46054</v>
      </c>
      <c r="B899" s="269" t="s">
        <v>960</v>
      </c>
      <c r="C899" s="273" t="str">
        <f>'Planning Engine'!C2153</f>
        <v>Label/Pack</v>
      </c>
      <c r="D899" s="273" t="str">
        <f>'Planning Engine'!D2153</f>
        <v>units</v>
      </c>
      <c r="E899" s="271">
        <f>'Planning Engine'!E2153</f>
        <v>0</v>
      </c>
      <c r="F899" s="271">
        <f>'Planning Engine'!F2153</f>
        <v>0</v>
      </c>
      <c r="G899" s="271">
        <f>'Planning Engine'!G2153</f>
        <v>0</v>
      </c>
      <c r="H899" s="271">
        <f>G899-F899</f>
        <v>0</v>
      </c>
      <c r="I899" s="271">
        <f>'Planning Engine'!H2153</f>
        <v>0</v>
      </c>
      <c r="J899" s="272">
        <f ca="1">'Planning Engine'!J2153</f>
        <v>0</v>
      </c>
      <c r="K899" s="271">
        <f ca="1">'Planning Engine'!K2153</f>
        <v>0</v>
      </c>
      <c r="L899" s="273" t="str">
        <f>'Planning Engine'!L2153</f>
        <v>High</v>
      </c>
      <c r="M899" s="360">
        <f>'Planning Engine'!S2153</f>
        <v>45962</v>
      </c>
      <c r="N899" s="271">
        <f>'Planning Engine'!T2153</f>
        <v>0</v>
      </c>
      <c r="O899" s="361" cm="1">
        <f t="array" ref="O899">IFERROR(SUMPRODUCT(('Planning Engine'!$B$4:$B$2500="47mg LP - EU Stock")*('Planning Engine'!$A$4:$A$2500='Planning Engine'!A2153)*'Planning Engine'!$U$4:$U$2500),"--")</f>
        <v>0</v>
      </c>
      <c r="P899" s="273" t="str">
        <f>IFERROR(IF(L899="High","⚠ Expedite production / source alternate",IF(L899="Medium","Plan additional batches",IF(L899="Overstock","Defer / consume inventory","Plan acceptable"))),"--")</f>
        <v>⚠ Expedite production / source alternate</v>
      </c>
    </row>
    <row r="900" spans="1:16" x14ac:dyDescent="0.35">
      <c r="A900" s="358">
        <f>'Planning Engine'!A2154</f>
        <v>46082</v>
      </c>
      <c r="B900" s="274" t="s">
        <v>960</v>
      </c>
      <c r="C900" s="278" t="str">
        <f>'Planning Engine'!C2154</f>
        <v>Label/Pack</v>
      </c>
      <c r="D900" s="278" t="str">
        <f>'Planning Engine'!D2154</f>
        <v>units</v>
      </c>
      <c r="E900" s="276">
        <f>'Planning Engine'!E2154</f>
        <v>0</v>
      </c>
      <c r="F900" s="276">
        <f>'Planning Engine'!F2154</f>
        <v>0</v>
      </c>
      <c r="G900" s="276">
        <f>'Planning Engine'!G2154</f>
        <v>0</v>
      </c>
      <c r="H900" s="276">
        <f t="shared" ref="H900:H963" si="30">G900-F900</f>
        <v>0</v>
      </c>
      <c r="I900" s="276">
        <f>'Planning Engine'!H2154</f>
        <v>0</v>
      </c>
      <c r="J900" s="277">
        <f ca="1">'Planning Engine'!J2154</f>
        <v>0</v>
      </c>
      <c r="K900" s="276">
        <f ca="1">'Planning Engine'!K2154</f>
        <v>0</v>
      </c>
      <c r="L900" s="278" t="str">
        <f>'Planning Engine'!L2154</f>
        <v>High</v>
      </c>
      <c r="M900" s="358">
        <f>'Planning Engine'!S2154</f>
        <v>45992</v>
      </c>
      <c r="N900" s="276">
        <f>'Planning Engine'!T2154</f>
        <v>0</v>
      </c>
      <c r="O900" s="359" cm="1">
        <f t="array" ref="O900">IFERROR(SUMPRODUCT(('Planning Engine'!$B$4:$B$2500="47mg LP - EU Stock")*('Planning Engine'!$A$4:$A$2500='Planning Engine'!A2154)*'Planning Engine'!$U$4:$U$2500),"--")</f>
        <v>0</v>
      </c>
      <c r="P900" s="278" t="str">
        <f t="shared" ref="P900:P963" si="31">IFERROR(IF(L900="High","⚠ Expedite production / source alternate",IF(L900="Medium","Plan additional batches",IF(L900="Overstock","Defer / consume inventory","Plan acceptable"))),"--")</f>
        <v>⚠ Expedite production / source alternate</v>
      </c>
    </row>
    <row r="901" spans="1:16" x14ac:dyDescent="0.35">
      <c r="A901" s="360">
        <f>'Planning Engine'!A2155</f>
        <v>46113</v>
      </c>
      <c r="B901" s="269" t="s">
        <v>960</v>
      </c>
      <c r="C901" s="273" t="str">
        <f>'Planning Engine'!C2155</f>
        <v>Label/Pack</v>
      </c>
      <c r="D901" s="273" t="str">
        <f>'Planning Engine'!D2155</f>
        <v>units</v>
      </c>
      <c r="E901" s="271">
        <f>'Planning Engine'!E2155</f>
        <v>0</v>
      </c>
      <c r="F901" s="271">
        <f>'Planning Engine'!F2155</f>
        <v>0</v>
      </c>
      <c r="G901" s="271">
        <f>'Planning Engine'!G2155</f>
        <v>0</v>
      </c>
      <c r="H901" s="271">
        <f t="shared" si="30"/>
        <v>0</v>
      </c>
      <c r="I901" s="271">
        <f>'Planning Engine'!H2155</f>
        <v>0</v>
      </c>
      <c r="J901" s="272">
        <f ca="1">'Planning Engine'!J2155</f>
        <v>0</v>
      </c>
      <c r="K901" s="271">
        <f ca="1">'Planning Engine'!K2155</f>
        <v>0</v>
      </c>
      <c r="L901" s="273" t="str">
        <f>'Planning Engine'!L2155</f>
        <v>High</v>
      </c>
      <c r="M901" s="360">
        <f>'Planning Engine'!S2155</f>
        <v>46023</v>
      </c>
      <c r="N901" s="271">
        <f>'Planning Engine'!T2155</f>
        <v>0</v>
      </c>
      <c r="O901" s="361" cm="1">
        <f t="array" ref="O901">IFERROR(SUMPRODUCT(('Planning Engine'!$B$4:$B$2500="47mg LP - EU Stock")*('Planning Engine'!$A$4:$A$2500='Planning Engine'!A2155)*'Planning Engine'!$U$4:$U$2500),"--")</f>
        <v>0</v>
      </c>
      <c r="P901" s="273" t="str">
        <f t="shared" si="31"/>
        <v>⚠ Expedite production / source alternate</v>
      </c>
    </row>
    <row r="902" spans="1:16" x14ac:dyDescent="0.35">
      <c r="A902" s="358">
        <f>'Planning Engine'!A2156</f>
        <v>46143</v>
      </c>
      <c r="B902" s="274" t="s">
        <v>960</v>
      </c>
      <c r="C902" s="278" t="str">
        <f>'Planning Engine'!C2156</f>
        <v>Label/Pack</v>
      </c>
      <c r="D902" s="278" t="str">
        <f>'Planning Engine'!D2156</f>
        <v>units</v>
      </c>
      <c r="E902" s="276">
        <f>'Planning Engine'!E2156</f>
        <v>0</v>
      </c>
      <c r="F902" s="276">
        <f>'Planning Engine'!F2156</f>
        <v>0</v>
      </c>
      <c r="G902" s="276">
        <f>'Planning Engine'!G2156</f>
        <v>0</v>
      </c>
      <c r="H902" s="276">
        <f t="shared" si="30"/>
        <v>0</v>
      </c>
      <c r="I902" s="276">
        <f>'Planning Engine'!H2156</f>
        <v>0</v>
      </c>
      <c r="J902" s="277">
        <f ca="1">'Planning Engine'!J2156</f>
        <v>0</v>
      </c>
      <c r="K902" s="276">
        <f ca="1">'Planning Engine'!K2156</f>
        <v>0</v>
      </c>
      <c r="L902" s="278" t="str">
        <f>'Planning Engine'!L2156</f>
        <v>High</v>
      </c>
      <c r="M902" s="358">
        <f>'Planning Engine'!S2156</f>
        <v>46054</v>
      </c>
      <c r="N902" s="276">
        <f>'Planning Engine'!T2156</f>
        <v>0</v>
      </c>
      <c r="O902" s="359" cm="1">
        <f t="array" ref="O902">IFERROR(SUMPRODUCT(('Planning Engine'!$B$4:$B$2500="47mg LP - EU Stock")*('Planning Engine'!$A$4:$A$2500='Planning Engine'!A2156)*'Planning Engine'!$U$4:$U$2500),"--")</f>
        <v>0</v>
      </c>
      <c r="P902" s="278" t="str">
        <f t="shared" si="31"/>
        <v>⚠ Expedite production / source alternate</v>
      </c>
    </row>
    <row r="903" spans="1:16" x14ac:dyDescent="0.35">
      <c r="A903" s="360">
        <f>'Planning Engine'!A2157</f>
        <v>46174</v>
      </c>
      <c r="B903" s="269" t="s">
        <v>960</v>
      </c>
      <c r="C903" s="273" t="str">
        <f>'Planning Engine'!C2157</f>
        <v>Label/Pack</v>
      </c>
      <c r="D903" s="273" t="str">
        <f>'Planning Engine'!D2157</f>
        <v>units</v>
      </c>
      <c r="E903" s="271">
        <f>'Planning Engine'!E2157</f>
        <v>0</v>
      </c>
      <c r="F903" s="271">
        <f>'Planning Engine'!F2157</f>
        <v>0</v>
      </c>
      <c r="G903" s="271">
        <f>'Planning Engine'!G2157</f>
        <v>0</v>
      </c>
      <c r="H903" s="271">
        <f t="shared" si="30"/>
        <v>0</v>
      </c>
      <c r="I903" s="271">
        <f>'Planning Engine'!H2157</f>
        <v>0</v>
      </c>
      <c r="J903" s="272">
        <f ca="1">'Planning Engine'!J2157</f>
        <v>0</v>
      </c>
      <c r="K903" s="271">
        <f ca="1">'Planning Engine'!K2157</f>
        <v>0</v>
      </c>
      <c r="L903" s="273" t="str">
        <f>'Planning Engine'!L2157</f>
        <v>High</v>
      </c>
      <c r="M903" s="360">
        <f>'Planning Engine'!S2157</f>
        <v>46082</v>
      </c>
      <c r="N903" s="271">
        <f>'Planning Engine'!T2157</f>
        <v>0</v>
      </c>
      <c r="O903" s="361" cm="1">
        <f t="array" ref="O903">IFERROR(SUMPRODUCT(('Planning Engine'!$B$4:$B$2500="47mg LP - EU Stock")*('Planning Engine'!$A$4:$A$2500='Planning Engine'!A2157)*'Planning Engine'!$U$4:$U$2500),"--")</f>
        <v>0</v>
      </c>
      <c r="P903" s="273" t="str">
        <f t="shared" si="31"/>
        <v>⚠ Expedite production / source alternate</v>
      </c>
    </row>
    <row r="904" spans="1:16" x14ac:dyDescent="0.35">
      <c r="A904" s="358">
        <f>'Planning Engine'!A2158</f>
        <v>46204</v>
      </c>
      <c r="B904" s="274" t="s">
        <v>960</v>
      </c>
      <c r="C904" s="278" t="str">
        <f>'Planning Engine'!C2158</f>
        <v>Label/Pack</v>
      </c>
      <c r="D904" s="278" t="str">
        <f>'Planning Engine'!D2158</f>
        <v>units</v>
      </c>
      <c r="E904" s="276">
        <f>'Planning Engine'!E2158</f>
        <v>0</v>
      </c>
      <c r="F904" s="276">
        <f>'Planning Engine'!F2158</f>
        <v>0</v>
      </c>
      <c r="G904" s="276">
        <f>'Planning Engine'!G2158</f>
        <v>0</v>
      </c>
      <c r="H904" s="276">
        <f t="shared" si="30"/>
        <v>0</v>
      </c>
      <c r="I904" s="276">
        <f>'Planning Engine'!H2158</f>
        <v>0</v>
      </c>
      <c r="J904" s="277">
        <f ca="1">'Planning Engine'!J2158</f>
        <v>0</v>
      </c>
      <c r="K904" s="276">
        <f ca="1">'Planning Engine'!K2158</f>
        <v>0</v>
      </c>
      <c r="L904" s="278" t="str">
        <f>'Planning Engine'!L2158</f>
        <v>High</v>
      </c>
      <c r="M904" s="358">
        <f>'Planning Engine'!S2158</f>
        <v>46113</v>
      </c>
      <c r="N904" s="276">
        <f>'Planning Engine'!T2158</f>
        <v>0</v>
      </c>
      <c r="O904" s="359" cm="1">
        <f t="array" ref="O904">IFERROR(SUMPRODUCT(('Planning Engine'!$B$4:$B$2500="47mg LP - EU Stock")*('Planning Engine'!$A$4:$A$2500='Planning Engine'!A2158)*'Planning Engine'!$U$4:$U$2500),"--")</f>
        <v>0</v>
      </c>
      <c r="P904" s="278" t="str">
        <f t="shared" si="31"/>
        <v>⚠ Expedite production / source alternate</v>
      </c>
    </row>
    <row r="905" spans="1:16" x14ac:dyDescent="0.35">
      <c r="A905" s="360">
        <f>'Planning Engine'!A2159</f>
        <v>46235</v>
      </c>
      <c r="B905" s="269" t="s">
        <v>960</v>
      </c>
      <c r="C905" s="273" t="str">
        <f>'Planning Engine'!C2159</f>
        <v>Label/Pack</v>
      </c>
      <c r="D905" s="273" t="str">
        <f>'Planning Engine'!D2159</f>
        <v>units</v>
      </c>
      <c r="E905" s="271">
        <f>'Planning Engine'!E2159</f>
        <v>0</v>
      </c>
      <c r="F905" s="271">
        <f>'Planning Engine'!F2159</f>
        <v>0</v>
      </c>
      <c r="G905" s="271">
        <f>'Planning Engine'!G2159</f>
        <v>0</v>
      </c>
      <c r="H905" s="271">
        <f t="shared" si="30"/>
        <v>0</v>
      </c>
      <c r="I905" s="271">
        <f>'Planning Engine'!H2159</f>
        <v>0</v>
      </c>
      <c r="J905" s="272">
        <f ca="1">'Planning Engine'!J2159</f>
        <v>0</v>
      </c>
      <c r="K905" s="271">
        <f ca="1">'Planning Engine'!K2159</f>
        <v>0</v>
      </c>
      <c r="L905" s="273" t="str">
        <f>'Planning Engine'!L2159</f>
        <v>High</v>
      </c>
      <c r="M905" s="360">
        <f>'Planning Engine'!S2159</f>
        <v>46143</v>
      </c>
      <c r="N905" s="271">
        <f>'Planning Engine'!T2159</f>
        <v>0</v>
      </c>
      <c r="O905" s="361" cm="1">
        <f t="array" ref="O905">IFERROR(SUMPRODUCT(('Planning Engine'!$B$4:$B$2500="47mg LP - EU Stock")*('Planning Engine'!$A$4:$A$2500='Planning Engine'!A2159)*'Planning Engine'!$U$4:$U$2500),"--")</f>
        <v>0</v>
      </c>
      <c r="P905" s="273" t="str">
        <f t="shared" si="31"/>
        <v>⚠ Expedite production / source alternate</v>
      </c>
    </row>
    <row r="906" spans="1:16" x14ac:dyDescent="0.35">
      <c r="A906" s="358">
        <f>'Planning Engine'!A2160</f>
        <v>46266</v>
      </c>
      <c r="B906" s="274" t="s">
        <v>960</v>
      </c>
      <c r="C906" s="278" t="str">
        <f>'Planning Engine'!C2160</f>
        <v>Label/Pack</v>
      </c>
      <c r="D906" s="278" t="str">
        <f>'Planning Engine'!D2160</f>
        <v>units</v>
      </c>
      <c r="E906" s="276">
        <f>'Planning Engine'!E2160</f>
        <v>0</v>
      </c>
      <c r="F906" s="276">
        <f>'Planning Engine'!F2160</f>
        <v>0</v>
      </c>
      <c r="G906" s="276">
        <f>'Planning Engine'!G2160</f>
        <v>0</v>
      </c>
      <c r="H906" s="276">
        <f t="shared" si="30"/>
        <v>0</v>
      </c>
      <c r="I906" s="276">
        <f>'Planning Engine'!H2160</f>
        <v>0</v>
      </c>
      <c r="J906" s="277">
        <f ca="1">'Planning Engine'!J2160</f>
        <v>0</v>
      </c>
      <c r="K906" s="276">
        <f ca="1">'Planning Engine'!K2160</f>
        <v>0</v>
      </c>
      <c r="L906" s="278" t="str">
        <f>'Planning Engine'!L2160</f>
        <v>High</v>
      </c>
      <c r="M906" s="358">
        <f>'Planning Engine'!S2160</f>
        <v>46174</v>
      </c>
      <c r="N906" s="276">
        <f>'Planning Engine'!T2160</f>
        <v>0</v>
      </c>
      <c r="O906" s="359" cm="1">
        <f t="array" ref="O906">IFERROR(SUMPRODUCT(('Planning Engine'!$B$4:$B$2500="47mg LP - EU Stock")*('Planning Engine'!$A$4:$A$2500='Planning Engine'!A2160)*'Planning Engine'!$U$4:$U$2500),"--")</f>
        <v>0</v>
      </c>
      <c r="P906" s="278" t="str">
        <f t="shared" si="31"/>
        <v>⚠ Expedite production / source alternate</v>
      </c>
    </row>
    <row r="907" spans="1:16" x14ac:dyDescent="0.35">
      <c r="A907" s="360">
        <f>'Planning Engine'!A2161</f>
        <v>46296</v>
      </c>
      <c r="B907" s="269" t="s">
        <v>960</v>
      </c>
      <c r="C907" s="273" t="str">
        <f>'Planning Engine'!C2161</f>
        <v>Label/Pack</v>
      </c>
      <c r="D907" s="273" t="str">
        <f>'Planning Engine'!D2161</f>
        <v>units</v>
      </c>
      <c r="E907" s="271">
        <f>'Planning Engine'!E2161</f>
        <v>0</v>
      </c>
      <c r="F907" s="271">
        <f>'Planning Engine'!F2161</f>
        <v>0</v>
      </c>
      <c r="G907" s="271">
        <f>'Planning Engine'!G2161</f>
        <v>0</v>
      </c>
      <c r="H907" s="271">
        <f t="shared" si="30"/>
        <v>0</v>
      </c>
      <c r="I907" s="271">
        <f>'Planning Engine'!H2161</f>
        <v>0</v>
      </c>
      <c r="J907" s="272">
        <f ca="1">'Planning Engine'!J2161</f>
        <v>0</v>
      </c>
      <c r="K907" s="271">
        <f ca="1">'Planning Engine'!K2161</f>
        <v>0</v>
      </c>
      <c r="L907" s="273" t="str">
        <f>'Planning Engine'!L2161</f>
        <v>High</v>
      </c>
      <c r="M907" s="360">
        <f>'Planning Engine'!S2161</f>
        <v>46204</v>
      </c>
      <c r="N907" s="271">
        <f>'Planning Engine'!T2161</f>
        <v>0</v>
      </c>
      <c r="O907" s="361" cm="1">
        <f t="array" ref="O907">IFERROR(SUMPRODUCT(('Planning Engine'!$B$4:$B$2500="47mg LP - EU Stock")*('Planning Engine'!$A$4:$A$2500='Planning Engine'!A2161)*'Planning Engine'!$U$4:$U$2500),"--")</f>
        <v>0</v>
      </c>
      <c r="P907" s="273" t="str">
        <f t="shared" si="31"/>
        <v>⚠ Expedite production / source alternate</v>
      </c>
    </row>
    <row r="908" spans="1:16" x14ac:dyDescent="0.35">
      <c r="A908" s="358">
        <f>'Planning Engine'!A2162</f>
        <v>46327</v>
      </c>
      <c r="B908" s="274" t="s">
        <v>960</v>
      </c>
      <c r="C908" s="278" t="str">
        <f>'Planning Engine'!C2162</f>
        <v>Label/Pack</v>
      </c>
      <c r="D908" s="278" t="str">
        <f>'Planning Engine'!D2162</f>
        <v>units</v>
      </c>
      <c r="E908" s="276">
        <f>'Planning Engine'!E2162</f>
        <v>0</v>
      </c>
      <c r="F908" s="276">
        <f>'Planning Engine'!F2162</f>
        <v>0</v>
      </c>
      <c r="G908" s="276">
        <f>'Planning Engine'!G2162</f>
        <v>0</v>
      </c>
      <c r="H908" s="276">
        <f t="shared" si="30"/>
        <v>0</v>
      </c>
      <c r="I908" s="276">
        <f>'Planning Engine'!H2162</f>
        <v>0</v>
      </c>
      <c r="J908" s="277">
        <f ca="1">'Planning Engine'!J2162</f>
        <v>0</v>
      </c>
      <c r="K908" s="276">
        <f ca="1">'Planning Engine'!K2162</f>
        <v>0</v>
      </c>
      <c r="L908" s="278" t="str">
        <f>'Planning Engine'!L2162</f>
        <v>High</v>
      </c>
      <c r="M908" s="358">
        <f>'Planning Engine'!S2162</f>
        <v>46235</v>
      </c>
      <c r="N908" s="276">
        <f>'Planning Engine'!T2162</f>
        <v>0</v>
      </c>
      <c r="O908" s="359" cm="1">
        <f t="array" ref="O908">IFERROR(SUMPRODUCT(('Planning Engine'!$B$4:$B$2500="47mg LP - EU Stock")*('Planning Engine'!$A$4:$A$2500='Planning Engine'!A2162)*'Planning Engine'!$U$4:$U$2500),"--")</f>
        <v>0</v>
      </c>
      <c r="P908" s="278" t="str">
        <f t="shared" si="31"/>
        <v>⚠ Expedite production / source alternate</v>
      </c>
    </row>
    <row r="909" spans="1:16" x14ac:dyDescent="0.35">
      <c r="A909" s="360">
        <f>'Planning Engine'!A2163</f>
        <v>46357</v>
      </c>
      <c r="B909" s="269" t="s">
        <v>960</v>
      </c>
      <c r="C909" s="273" t="str">
        <f>'Planning Engine'!C2163</f>
        <v>Label/Pack</v>
      </c>
      <c r="D909" s="273" t="str">
        <f>'Planning Engine'!D2163</f>
        <v>units</v>
      </c>
      <c r="E909" s="271">
        <f>'Planning Engine'!E2163</f>
        <v>0</v>
      </c>
      <c r="F909" s="271">
        <f>'Planning Engine'!F2163</f>
        <v>0</v>
      </c>
      <c r="G909" s="271">
        <f>'Planning Engine'!G2163</f>
        <v>0</v>
      </c>
      <c r="H909" s="271">
        <f t="shared" si="30"/>
        <v>0</v>
      </c>
      <c r="I909" s="271">
        <f>'Planning Engine'!H2163</f>
        <v>0</v>
      </c>
      <c r="J909" s="272">
        <f ca="1">'Planning Engine'!J2163</f>
        <v>0</v>
      </c>
      <c r="K909" s="271">
        <f ca="1">'Planning Engine'!K2163</f>
        <v>0</v>
      </c>
      <c r="L909" s="273" t="str">
        <f>'Planning Engine'!L2163</f>
        <v>High</v>
      </c>
      <c r="M909" s="360">
        <f>'Planning Engine'!S2163</f>
        <v>46266</v>
      </c>
      <c r="N909" s="271">
        <f>'Planning Engine'!T2163</f>
        <v>0</v>
      </c>
      <c r="O909" s="361" cm="1">
        <f t="array" ref="O909">IFERROR(SUMPRODUCT(('Planning Engine'!$B$4:$B$2500="47mg LP - EU Stock")*('Planning Engine'!$A$4:$A$2500='Planning Engine'!A2163)*'Planning Engine'!$U$4:$U$2500),"--")</f>
        <v>0</v>
      </c>
      <c r="P909" s="273" t="str">
        <f t="shared" si="31"/>
        <v>⚠ Expedite production / source alternate</v>
      </c>
    </row>
    <row r="910" spans="1:16" x14ac:dyDescent="0.35">
      <c r="A910" s="358">
        <f>'Planning Engine'!A2164</f>
        <v>46388</v>
      </c>
      <c r="B910" s="274" t="s">
        <v>960</v>
      </c>
      <c r="C910" s="278" t="str">
        <f>'Planning Engine'!C2164</f>
        <v>Label/Pack</v>
      </c>
      <c r="D910" s="278" t="str">
        <f>'Planning Engine'!D2164</f>
        <v>units</v>
      </c>
      <c r="E910" s="276">
        <f>'Planning Engine'!E2164</f>
        <v>0</v>
      </c>
      <c r="F910" s="276">
        <f>'Planning Engine'!F2164</f>
        <v>0</v>
      </c>
      <c r="G910" s="276">
        <f>'Planning Engine'!G2164</f>
        <v>0</v>
      </c>
      <c r="H910" s="276">
        <f t="shared" si="30"/>
        <v>0</v>
      </c>
      <c r="I910" s="276">
        <f>'Planning Engine'!H2164</f>
        <v>0</v>
      </c>
      <c r="J910" s="277">
        <f ca="1">'Planning Engine'!J2164</f>
        <v>0</v>
      </c>
      <c r="K910" s="276">
        <f ca="1">'Planning Engine'!K2164</f>
        <v>0</v>
      </c>
      <c r="L910" s="278" t="str">
        <f>'Planning Engine'!L2164</f>
        <v>High</v>
      </c>
      <c r="M910" s="358">
        <f>'Planning Engine'!S2164</f>
        <v>46296</v>
      </c>
      <c r="N910" s="276">
        <f>'Planning Engine'!T2164</f>
        <v>0</v>
      </c>
      <c r="O910" s="359" cm="1">
        <f t="array" ref="O910">IFERROR(SUMPRODUCT(('Planning Engine'!$B$4:$B$2500="47mg LP - EU Stock")*('Planning Engine'!$A$4:$A$2500='Planning Engine'!A2164)*'Planning Engine'!$U$4:$U$2500),"--")</f>
        <v>0</v>
      </c>
      <c r="P910" s="278" t="str">
        <f t="shared" si="31"/>
        <v>⚠ Expedite production / source alternate</v>
      </c>
    </row>
    <row r="911" spans="1:16" x14ac:dyDescent="0.35">
      <c r="A911" s="360">
        <f>'Planning Engine'!A2165</f>
        <v>46419</v>
      </c>
      <c r="B911" s="269" t="s">
        <v>960</v>
      </c>
      <c r="C911" s="273" t="str">
        <f>'Planning Engine'!C2165</f>
        <v>Label/Pack</v>
      </c>
      <c r="D911" s="273" t="str">
        <f>'Planning Engine'!D2165</f>
        <v>units</v>
      </c>
      <c r="E911" s="271">
        <f>'Planning Engine'!E2165</f>
        <v>0</v>
      </c>
      <c r="F911" s="271">
        <f>'Planning Engine'!F2165</f>
        <v>0</v>
      </c>
      <c r="G911" s="271">
        <f>'Planning Engine'!G2165</f>
        <v>0</v>
      </c>
      <c r="H911" s="271">
        <f t="shared" si="30"/>
        <v>0</v>
      </c>
      <c r="I911" s="271">
        <f>'Planning Engine'!H2165</f>
        <v>0</v>
      </c>
      <c r="J911" s="272">
        <f ca="1">'Planning Engine'!J2165</f>
        <v>0</v>
      </c>
      <c r="K911" s="271">
        <f ca="1">'Planning Engine'!K2165</f>
        <v>0</v>
      </c>
      <c r="L911" s="273" t="str">
        <f>'Planning Engine'!L2165</f>
        <v>High</v>
      </c>
      <c r="M911" s="360">
        <f>'Planning Engine'!S2165</f>
        <v>46327</v>
      </c>
      <c r="N911" s="271">
        <f>'Planning Engine'!T2165</f>
        <v>0</v>
      </c>
      <c r="O911" s="361" cm="1">
        <f t="array" ref="O911">IFERROR(SUMPRODUCT(('Planning Engine'!$B$4:$B$2500="47mg LP - EU Stock")*('Planning Engine'!$A$4:$A$2500='Planning Engine'!A2165)*'Planning Engine'!$U$4:$U$2500),"--")</f>
        <v>0</v>
      </c>
      <c r="P911" s="273" t="str">
        <f t="shared" si="31"/>
        <v>⚠ Expedite production / source alternate</v>
      </c>
    </row>
    <row r="912" spans="1:16" x14ac:dyDescent="0.35">
      <c r="A912" s="358">
        <f>'Planning Engine'!A2166</f>
        <v>46447</v>
      </c>
      <c r="B912" s="274" t="s">
        <v>960</v>
      </c>
      <c r="C912" s="278" t="str">
        <f>'Planning Engine'!C2166</f>
        <v>Label/Pack</v>
      </c>
      <c r="D912" s="278" t="str">
        <f>'Planning Engine'!D2166</f>
        <v>units</v>
      </c>
      <c r="E912" s="276">
        <f>'Planning Engine'!E2166</f>
        <v>0</v>
      </c>
      <c r="F912" s="276">
        <f>'Planning Engine'!F2166</f>
        <v>0</v>
      </c>
      <c r="G912" s="276">
        <f>'Planning Engine'!G2166</f>
        <v>0</v>
      </c>
      <c r="H912" s="276">
        <f t="shared" si="30"/>
        <v>0</v>
      </c>
      <c r="I912" s="276">
        <f>'Planning Engine'!H2166</f>
        <v>0</v>
      </c>
      <c r="J912" s="277">
        <f ca="1">'Planning Engine'!J2166</f>
        <v>0</v>
      </c>
      <c r="K912" s="276">
        <f ca="1">'Planning Engine'!K2166</f>
        <v>0</v>
      </c>
      <c r="L912" s="278" t="str">
        <f>'Planning Engine'!L2166</f>
        <v>High</v>
      </c>
      <c r="M912" s="358">
        <f>'Planning Engine'!S2166</f>
        <v>46357</v>
      </c>
      <c r="N912" s="276">
        <f>'Planning Engine'!T2166</f>
        <v>0</v>
      </c>
      <c r="O912" s="359" cm="1">
        <f t="array" ref="O912">IFERROR(SUMPRODUCT(('Planning Engine'!$B$4:$B$2500="47mg LP - EU Stock")*('Planning Engine'!$A$4:$A$2500='Planning Engine'!A2166)*'Planning Engine'!$U$4:$U$2500),"--")</f>
        <v>0</v>
      </c>
      <c r="P912" s="278" t="str">
        <f t="shared" si="31"/>
        <v>⚠ Expedite production / source alternate</v>
      </c>
    </row>
    <row r="913" spans="1:16" x14ac:dyDescent="0.35">
      <c r="A913" s="360">
        <f>'Planning Engine'!A2167</f>
        <v>46478</v>
      </c>
      <c r="B913" s="269" t="s">
        <v>960</v>
      </c>
      <c r="C913" s="273" t="str">
        <f>'Planning Engine'!C2167</f>
        <v>Label/Pack</v>
      </c>
      <c r="D913" s="273" t="str">
        <f>'Planning Engine'!D2167</f>
        <v>units</v>
      </c>
      <c r="E913" s="271">
        <f>'Planning Engine'!E2167</f>
        <v>0</v>
      </c>
      <c r="F913" s="271">
        <f>'Planning Engine'!F2167</f>
        <v>0</v>
      </c>
      <c r="G913" s="271">
        <f>'Planning Engine'!G2167</f>
        <v>0</v>
      </c>
      <c r="H913" s="271">
        <f t="shared" si="30"/>
        <v>0</v>
      </c>
      <c r="I913" s="271">
        <f>'Planning Engine'!H2167</f>
        <v>0</v>
      </c>
      <c r="J913" s="272">
        <f ca="1">'Planning Engine'!J2167</f>
        <v>0</v>
      </c>
      <c r="K913" s="271">
        <f ca="1">'Planning Engine'!K2167</f>
        <v>0</v>
      </c>
      <c r="L913" s="273" t="str">
        <f>'Planning Engine'!L2167</f>
        <v>High</v>
      </c>
      <c r="M913" s="360">
        <f>'Planning Engine'!S2167</f>
        <v>46388</v>
      </c>
      <c r="N913" s="271">
        <f>'Planning Engine'!T2167</f>
        <v>0</v>
      </c>
      <c r="O913" s="361" cm="1">
        <f t="array" ref="O913">IFERROR(SUMPRODUCT(('Planning Engine'!$B$4:$B$2500="47mg LP - EU Stock")*('Planning Engine'!$A$4:$A$2500='Planning Engine'!A2167)*'Planning Engine'!$U$4:$U$2500),"--")</f>
        <v>0</v>
      </c>
      <c r="P913" s="273" t="str">
        <f t="shared" si="31"/>
        <v>⚠ Expedite production / source alternate</v>
      </c>
    </row>
    <row r="914" spans="1:16" x14ac:dyDescent="0.35">
      <c r="A914" s="358">
        <f>'Planning Engine'!A2168</f>
        <v>46508</v>
      </c>
      <c r="B914" s="274" t="s">
        <v>960</v>
      </c>
      <c r="C914" s="278" t="str">
        <f>'Planning Engine'!C2168</f>
        <v>Label/Pack</v>
      </c>
      <c r="D914" s="278" t="str">
        <f>'Planning Engine'!D2168</f>
        <v>units</v>
      </c>
      <c r="E914" s="276">
        <f>'Planning Engine'!E2168</f>
        <v>0</v>
      </c>
      <c r="F914" s="276">
        <f>'Planning Engine'!F2168</f>
        <v>0</v>
      </c>
      <c r="G914" s="276">
        <f>'Planning Engine'!G2168</f>
        <v>0</v>
      </c>
      <c r="H914" s="276">
        <f t="shared" si="30"/>
        <v>0</v>
      </c>
      <c r="I914" s="276">
        <f>'Planning Engine'!H2168</f>
        <v>0</v>
      </c>
      <c r="J914" s="277">
        <f ca="1">'Planning Engine'!J2168</f>
        <v>0</v>
      </c>
      <c r="K914" s="276">
        <f ca="1">'Planning Engine'!K2168</f>
        <v>0</v>
      </c>
      <c r="L914" s="278" t="str">
        <f>'Planning Engine'!L2168</f>
        <v>High</v>
      </c>
      <c r="M914" s="358">
        <f>'Planning Engine'!S2168</f>
        <v>46419</v>
      </c>
      <c r="N914" s="276">
        <f>'Planning Engine'!T2168</f>
        <v>0</v>
      </c>
      <c r="O914" s="359" cm="1">
        <f t="array" ref="O914">IFERROR(SUMPRODUCT(('Planning Engine'!$B$4:$B$2500="47mg LP - EU Stock")*('Planning Engine'!$A$4:$A$2500='Planning Engine'!A2168)*'Planning Engine'!$U$4:$U$2500),"--")</f>
        <v>0</v>
      </c>
      <c r="P914" s="278" t="str">
        <f t="shared" si="31"/>
        <v>⚠ Expedite production / source alternate</v>
      </c>
    </row>
    <row r="915" spans="1:16" x14ac:dyDescent="0.35">
      <c r="A915" s="360">
        <f>'Planning Engine'!A2169</f>
        <v>46539</v>
      </c>
      <c r="B915" s="269" t="s">
        <v>960</v>
      </c>
      <c r="C915" s="273" t="str">
        <f>'Planning Engine'!C2169</f>
        <v>Label/Pack</v>
      </c>
      <c r="D915" s="273" t="str">
        <f>'Planning Engine'!D2169</f>
        <v>units</v>
      </c>
      <c r="E915" s="271">
        <f>'Planning Engine'!E2169</f>
        <v>0</v>
      </c>
      <c r="F915" s="271">
        <f>'Planning Engine'!F2169</f>
        <v>0</v>
      </c>
      <c r="G915" s="271">
        <f>'Planning Engine'!G2169</f>
        <v>0</v>
      </c>
      <c r="H915" s="271">
        <f t="shared" si="30"/>
        <v>0</v>
      </c>
      <c r="I915" s="271">
        <f>'Planning Engine'!H2169</f>
        <v>0</v>
      </c>
      <c r="J915" s="272">
        <f ca="1">'Planning Engine'!J2169</f>
        <v>0</v>
      </c>
      <c r="K915" s="271">
        <f ca="1">'Planning Engine'!K2169</f>
        <v>0</v>
      </c>
      <c r="L915" s="273" t="str">
        <f>'Planning Engine'!L2169</f>
        <v>High</v>
      </c>
      <c r="M915" s="360">
        <f>'Planning Engine'!S2169</f>
        <v>46447</v>
      </c>
      <c r="N915" s="271">
        <f>'Planning Engine'!T2169</f>
        <v>0</v>
      </c>
      <c r="O915" s="361" cm="1">
        <f t="array" ref="O915">IFERROR(SUMPRODUCT(('Planning Engine'!$B$4:$B$2500="47mg LP - EU Stock")*('Planning Engine'!$A$4:$A$2500='Planning Engine'!A2169)*'Planning Engine'!$U$4:$U$2500),"--")</f>
        <v>0</v>
      </c>
      <c r="P915" s="273" t="str">
        <f t="shared" si="31"/>
        <v>⚠ Expedite production / source alternate</v>
      </c>
    </row>
    <row r="916" spans="1:16" x14ac:dyDescent="0.35">
      <c r="A916" s="358">
        <f>'Planning Engine'!A2170</f>
        <v>46569</v>
      </c>
      <c r="B916" s="274" t="s">
        <v>960</v>
      </c>
      <c r="C916" s="278" t="str">
        <f>'Planning Engine'!C2170</f>
        <v>Label/Pack</v>
      </c>
      <c r="D916" s="278" t="str">
        <f>'Planning Engine'!D2170</f>
        <v>units</v>
      </c>
      <c r="E916" s="276">
        <f>'Planning Engine'!E2170</f>
        <v>0</v>
      </c>
      <c r="F916" s="276">
        <f>'Planning Engine'!F2170</f>
        <v>0</v>
      </c>
      <c r="G916" s="276">
        <f>'Planning Engine'!G2170</f>
        <v>0</v>
      </c>
      <c r="H916" s="276">
        <f t="shared" si="30"/>
        <v>0</v>
      </c>
      <c r="I916" s="276">
        <f>'Planning Engine'!H2170</f>
        <v>0</v>
      </c>
      <c r="J916" s="277">
        <f ca="1">'Planning Engine'!J2170</f>
        <v>0</v>
      </c>
      <c r="K916" s="276">
        <f ca="1">'Planning Engine'!K2170</f>
        <v>0</v>
      </c>
      <c r="L916" s="278" t="str">
        <f>'Planning Engine'!L2170</f>
        <v>High</v>
      </c>
      <c r="M916" s="358">
        <f>'Planning Engine'!S2170</f>
        <v>46478</v>
      </c>
      <c r="N916" s="276">
        <f>'Planning Engine'!T2170</f>
        <v>0</v>
      </c>
      <c r="O916" s="359" cm="1">
        <f t="array" ref="O916">IFERROR(SUMPRODUCT(('Planning Engine'!$B$4:$B$2500="47mg LP - EU Stock")*('Planning Engine'!$A$4:$A$2500='Planning Engine'!A2170)*'Planning Engine'!$U$4:$U$2500),"--")</f>
        <v>0</v>
      </c>
      <c r="P916" s="278" t="str">
        <f t="shared" si="31"/>
        <v>⚠ Expedite production / source alternate</v>
      </c>
    </row>
    <row r="917" spans="1:16" x14ac:dyDescent="0.35">
      <c r="A917" s="360">
        <f>'Planning Engine'!A2171</f>
        <v>46600</v>
      </c>
      <c r="B917" s="269" t="s">
        <v>960</v>
      </c>
      <c r="C917" s="273" t="str">
        <f>'Planning Engine'!C2171</f>
        <v>Label/Pack</v>
      </c>
      <c r="D917" s="273" t="str">
        <f>'Planning Engine'!D2171</f>
        <v>units</v>
      </c>
      <c r="E917" s="271">
        <f>'Planning Engine'!E2171</f>
        <v>0</v>
      </c>
      <c r="F917" s="271">
        <f>'Planning Engine'!F2171</f>
        <v>0</v>
      </c>
      <c r="G917" s="271">
        <f>'Planning Engine'!G2171</f>
        <v>0</v>
      </c>
      <c r="H917" s="271">
        <f t="shared" si="30"/>
        <v>0</v>
      </c>
      <c r="I917" s="271">
        <f>'Planning Engine'!H2171</f>
        <v>0</v>
      </c>
      <c r="J917" s="272">
        <f ca="1">'Planning Engine'!J2171</f>
        <v>0</v>
      </c>
      <c r="K917" s="271">
        <f ca="1">'Planning Engine'!K2171</f>
        <v>0</v>
      </c>
      <c r="L917" s="273" t="str">
        <f>'Planning Engine'!L2171</f>
        <v>High</v>
      </c>
      <c r="M917" s="360">
        <f>'Planning Engine'!S2171</f>
        <v>46508</v>
      </c>
      <c r="N917" s="271">
        <f>'Planning Engine'!T2171</f>
        <v>0</v>
      </c>
      <c r="O917" s="361" cm="1">
        <f t="array" ref="O917">IFERROR(SUMPRODUCT(('Planning Engine'!$B$4:$B$2500="47mg LP - EU Stock")*('Planning Engine'!$A$4:$A$2500='Planning Engine'!A2171)*'Planning Engine'!$U$4:$U$2500),"--")</f>
        <v>0</v>
      </c>
      <c r="P917" s="273" t="str">
        <f t="shared" si="31"/>
        <v>⚠ Expedite production / source alternate</v>
      </c>
    </row>
    <row r="918" spans="1:16" x14ac:dyDescent="0.35">
      <c r="A918" s="358">
        <f>'Planning Engine'!A2172</f>
        <v>46631</v>
      </c>
      <c r="B918" s="274" t="s">
        <v>960</v>
      </c>
      <c r="C918" s="278" t="str">
        <f>'Planning Engine'!C2172</f>
        <v>Label/Pack</v>
      </c>
      <c r="D918" s="278" t="str">
        <f>'Planning Engine'!D2172</f>
        <v>units</v>
      </c>
      <c r="E918" s="276">
        <f>'Planning Engine'!E2172</f>
        <v>0</v>
      </c>
      <c r="F918" s="276">
        <f>'Planning Engine'!F2172</f>
        <v>0</v>
      </c>
      <c r="G918" s="276">
        <f>'Planning Engine'!G2172</f>
        <v>0</v>
      </c>
      <c r="H918" s="276">
        <f t="shared" si="30"/>
        <v>0</v>
      </c>
      <c r="I918" s="276">
        <f>'Planning Engine'!H2172</f>
        <v>0</v>
      </c>
      <c r="J918" s="277">
        <f ca="1">'Planning Engine'!J2172</f>
        <v>0</v>
      </c>
      <c r="K918" s="276">
        <f ca="1">'Planning Engine'!K2172</f>
        <v>0</v>
      </c>
      <c r="L918" s="278" t="str">
        <f>'Planning Engine'!L2172</f>
        <v>High</v>
      </c>
      <c r="M918" s="358">
        <f>'Planning Engine'!S2172</f>
        <v>46539</v>
      </c>
      <c r="N918" s="276">
        <f>'Planning Engine'!T2172</f>
        <v>0</v>
      </c>
      <c r="O918" s="359" cm="1">
        <f t="array" ref="O918">IFERROR(SUMPRODUCT(('Planning Engine'!$B$4:$B$2500="47mg LP - EU Stock")*('Planning Engine'!$A$4:$A$2500='Planning Engine'!A2172)*'Planning Engine'!$U$4:$U$2500),"--")</f>
        <v>0</v>
      </c>
      <c r="P918" s="278" t="str">
        <f t="shared" si="31"/>
        <v>⚠ Expedite production / source alternate</v>
      </c>
    </row>
    <row r="919" spans="1:16" x14ac:dyDescent="0.35">
      <c r="A919" s="360">
        <f>'Planning Engine'!A2173</f>
        <v>46661</v>
      </c>
      <c r="B919" s="269" t="s">
        <v>960</v>
      </c>
      <c r="C919" s="273" t="str">
        <f>'Planning Engine'!C2173</f>
        <v>Label/Pack</v>
      </c>
      <c r="D919" s="273" t="str">
        <f>'Planning Engine'!D2173</f>
        <v>units</v>
      </c>
      <c r="E919" s="271">
        <f>'Planning Engine'!E2173</f>
        <v>0</v>
      </c>
      <c r="F919" s="271">
        <f>'Planning Engine'!F2173</f>
        <v>0</v>
      </c>
      <c r="G919" s="271">
        <f>'Planning Engine'!G2173</f>
        <v>0</v>
      </c>
      <c r="H919" s="271">
        <f t="shared" si="30"/>
        <v>0</v>
      </c>
      <c r="I919" s="271">
        <f>'Planning Engine'!H2173</f>
        <v>0</v>
      </c>
      <c r="J919" s="272">
        <f ca="1">'Planning Engine'!J2173</f>
        <v>0</v>
      </c>
      <c r="K919" s="271">
        <f ca="1">'Planning Engine'!K2173</f>
        <v>0</v>
      </c>
      <c r="L919" s="273" t="str">
        <f>'Planning Engine'!L2173</f>
        <v>High</v>
      </c>
      <c r="M919" s="360">
        <f>'Planning Engine'!S2173</f>
        <v>46569</v>
      </c>
      <c r="N919" s="271">
        <f>'Planning Engine'!T2173</f>
        <v>0</v>
      </c>
      <c r="O919" s="361" cm="1">
        <f t="array" ref="O919">IFERROR(SUMPRODUCT(('Planning Engine'!$B$4:$B$2500="47mg LP - EU Stock")*('Planning Engine'!$A$4:$A$2500='Planning Engine'!A2173)*'Planning Engine'!$U$4:$U$2500),"--")</f>
        <v>0</v>
      </c>
      <c r="P919" s="273" t="str">
        <f t="shared" si="31"/>
        <v>⚠ Expedite production / source alternate</v>
      </c>
    </row>
    <row r="920" spans="1:16" x14ac:dyDescent="0.35">
      <c r="A920" s="358">
        <f>'Planning Engine'!A2174</f>
        <v>46692</v>
      </c>
      <c r="B920" s="274" t="s">
        <v>960</v>
      </c>
      <c r="C920" s="278" t="str">
        <f>'Planning Engine'!C2174</f>
        <v>Label/Pack</v>
      </c>
      <c r="D920" s="278" t="str">
        <f>'Planning Engine'!D2174</f>
        <v>units</v>
      </c>
      <c r="E920" s="276">
        <f>'Planning Engine'!E2174</f>
        <v>0</v>
      </c>
      <c r="F920" s="276">
        <f>'Planning Engine'!F2174</f>
        <v>0</v>
      </c>
      <c r="G920" s="276">
        <f>'Planning Engine'!G2174</f>
        <v>0</v>
      </c>
      <c r="H920" s="276">
        <f t="shared" si="30"/>
        <v>0</v>
      </c>
      <c r="I920" s="276">
        <f>'Planning Engine'!H2174</f>
        <v>0</v>
      </c>
      <c r="J920" s="277">
        <f ca="1">'Planning Engine'!J2174</f>
        <v>0</v>
      </c>
      <c r="K920" s="276">
        <f ca="1">'Planning Engine'!K2174</f>
        <v>0</v>
      </c>
      <c r="L920" s="278" t="str">
        <f>'Planning Engine'!L2174</f>
        <v>High</v>
      </c>
      <c r="M920" s="358">
        <f>'Planning Engine'!S2174</f>
        <v>46600</v>
      </c>
      <c r="N920" s="276">
        <f>'Planning Engine'!T2174</f>
        <v>0</v>
      </c>
      <c r="O920" s="359" cm="1">
        <f t="array" ref="O920">IFERROR(SUMPRODUCT(('Planning Engine'!$B$4:$B$2500="47mg LP - EU Stock")*('Planning Engine'!$A$4:$A$2500='Planning Engine'!A2174)*'Planning Engine'!$U$4:$U$2500),"--")</f>
        <v>0</v>
      </c>
      <c r="P920" s="278" t="str">
        <f t="shared" si="31"/>
        <v>⚠ Expedite production / source alternate</v>
      </c>
    </row>
    <row r="921" spans="1:16" x14ac:dyDescent="0.35">
      <c r="A921" s="360">
        <f>'Planning Engine'!A2175</f>
        <v>46722</v>
      </c>
      <c r="B921" s="269" t="s">
        <v>960</v>
      </c>
      <c r="C921" s="273" t="str">
        <f>'Planning Engine'!C2175</f>
        <v>Label/Pack</v>
      </c>
      <c r="D921" s="273" t="str">
        <f>'Planning Engine'!D2175</f>
        <v>units</v>
      </c>
      <c r="E921" s="271">
        <f>'Planning Engine'!E2175</f>
        <v>0</v>
      </c>
      <c r="F921" s="271">
        <f>'Planning Engine'!F2175</f>
        <v>0</v>
      </c>
      <c r="G921" s="271">
        <f>'Planning Engine'!G2175</f>
        <v>0</v>
      </c>
      <c r="H921" s="271">
        <f t="shared" si="30"/>
        <v>0</v>
      </c>
      <c r="I921" s="271">
        <f>'Planning Engine'!H2175</f>
        <v>0</v>
      </c>
      <c r="J921" s="272">
        <f ca="1">'Planning Engine'!J2175</f>
        <v>0</v>
      </c>
      <c r="K921" s="271">
        <f ca="1">'Planning Engine'!K2175</f>
        <v>0</v>
      </c>
      <c r="L921" s="273" t="str">
        <f>'Planning Engine'!L2175</f>
        <v>High</v>
      </c>
      <c r="M921" s="360">
        <f>'Planning Engine'!S2175</f>
        <v>46631</v>
      </c>
      <c r="N921" s="271">
        <f>'Planning Engine'!T2175</f>
        <v>0</v>
      </c>
      <c r="O921" s="361" cm="1">
        <f t="array" ref="O921">IFERROR(SUMPRODUCT(('Planning Engine'!$B$4:$B$2500="47mg LP - EU Stock")*('Planning Engine'!$A$4:$A$2500='Planning Engine'!A2175)*'Planning Engine'!$U$4:$U$2500),"--")</f>
        <v>0</v>
      </c>
      <c r="P921" s="273" t="str">
        <f t="shared" si="31"/>
        <v>⚠ Expedite production / source alternate</v>
      </c>
    </row>
    <row r="922" spans="1:16" x14ac:dyDescent="0.35">
      <c r="A922" s="358">
        <f>'Planning Engine'!A2176</f>
        <v>46753</v>
      </c>
      <c r="B922" s="274" t="s">
        <v>960</v>
      </c>
      <c r="C922" s="278" t="str">
        <f>'Planning Engine'!C2176</f>
        <v>Label/Pack</v>
      </c>
      <c r="D922" s="278" t="str">
        <f>'Planning Engine'!D2176</f>
        <v>units</v>
      </c>
      <c r="E922" s="276">
        <f>'Planning Engine'!E2176</f>
        <v>0</v>
      </c>
      <c r="F922" s="276">
        <f>'Planning Engine'!F2176</f>
        <v>0</v>
      </c>
      <c r="G922" s="276">
        <f>'Planning Engine'!G2176</f>
        <v>0</v>
      </c>
      <c r="H922" s="276">
        <f t="shared" si="30"/>
        <v>0</v>
      </c>
      <c r="I922" s="276">
        <f>'Planning Engine'!H2176</f>
        <v>0</v>
      </c>
      <c r="J922" s="277">
        <f ca="1">'Planning Engine'!J2176</f>
        <v>0</v>
      </c>
      <c r="K922" s="276">
        <f ca="1">'Planning Engine'!K2176</f>
        <v>0</v>
      </c>
      <c r="L922" s="278" t="str">
        <f>'Planning Engine'!L2176</f>
        <v>High</v>
      </c>
      <c r="M922" s="358">
        <f>'Planning Engine'!S2176</f>
        <v>46661</v>
      </c>
      <c r="N922" s="276">
        <f>'Planning Engine'!T2176</f>
        <v>0</v>
      </c>
      <c r="O922" s="359" cm="1">
        <f t="array" ref="O922">IFERROR(SUMPRODUCT(('Planning Engine'!$B$4:$B$2500="47mg LP - EU Stock")*('Planning Engine'!$A$4:$A$2500='Planning Engine'!A2176)*'Planning Engine'!$U$4:$U$2500),"--")</f>
        <v>0</v>
      </c>
      <c r="P922" s="278" t="str">
        <f t="shared" si="31"/>
        <v>⚠ Expedite production / source alternate</v>
      </c>
    </row>
    <row r="923" spans="1:16" x14ac:dyDescent="0.35">
      <c r="A923" s="360">
        <f>'Planning Engine'!A2177</f>
        <v>46784</v>
      </c>
      <c r="B923" s="269" t="s">
        <v>960</v>
      </c>
      <c r="C923" s="273" t="str">
        <f>'Planning Engine'!C2177</f>
        <v>Label/Pack</v>
      </c>
      <c r="D923" s="273" t="str">
        <f>'Planning Engine'!D2177</f>
        <v>units</v>
      </c>
      <c r="E923" s="271">
        <f>'Planning Engine'!E2177</f>
        <v>0</v>
      </c>
      <c r="F923" s="271">
        <f>'Planning Engine'!F2177</f>
        <v>0</v>
      </c>
      <c r="G923" s="271">
        <f>'Planning Engine'!G2177</f>
        <v>0</v>
      </c>
      <c r="H923" s="271">
        <f t="shared" si="30"/>
        <v>0</v>
      </c>
      <c r="I923" s="271">
        <f>'Planning Engine'!H2177</f>
        <v>0</v>
      </c>
      <c r="J923" s="272">
        <f ca="1">'Planning Engine'!J2177</f>
        <v>0</v>
      </c>
      <c r="K923" s="271">
        <f ca="1">'Planning Engine'!K2177</f>
        <v>0</v>
      </c>
      <c r="L923" s="273" t="str">
        <f>'Planning Engine'!L2177</f>
        <v>High</v>
      </c>
      <c r="M923" s="360">
        <f>'Planning Engine'!S2177</f>
        <v>46692</v>
      </c>
      <c r="N923" s="271">
        <f>'Planning Engine'!T2177</f>
        <v>0</v>
      </c>
      <c r="O923" s="361" cm="1">
        <f t="array" ref="O923">IFERROR(SUMPRODUCT(('Planning Engine'!$B$4:$B$2500="47mg LP - EU Stock")*('Planning Engine'!$A$4:$A$2500='Planning Engine'!A2177)*'Planning Engine'!$U$4:$U$2500),"--")</f>
        <v>0</v>
      </c>
      <c r="P923" s="273" t="str">
        <f t="shared" si="31"/>
        <v>⚠ Expedite production / source alternate</v>
      </c>
    </row>
    <row r="924" spans="1:16" x14ac:dyDescent="0.35">
      <c r="A924" s="358">
        <f>'Planning Engine'!A2178</f>
        <v>46813</v>
      </c>
      <c r="B924" s="274" t="s">
        <v>960</v>
      </c>
      <c r="C924" s="278" t="str">
        <f>'Planning Engine'!C2178</f>
        <v>Label/Pack</v>
      </c>
      <c r="D924" s="278" t="str">
        <f>'Planning Engine'!D2178</f>
        <v>units</v>
      </c>
      <c r="E924" s="276">
        <f>'Planning Engine'!E2178</f>
        <v>0</v>
      </c>
      <c r="F924" s="276">
        <f>'Planning Engine'!F2178</f>
        <v>0</v>
      </c>
      <c r="G924" s="276">
        <f>'Planning Engine'!G2178</f>
        <v>0</v>
      </c>
      <c r="H924" s="276">
        <f t="shared" si="30"/>
        <v>0</v>
      </c>
      <c r="I924" s="276">
        <f>'Planning Engine'!H2178</f>
        <v>0</v>
      </c>
      <c r="J924" s="277">
        <f ca="1">'Planning Engine'!J2178</f>
        <v>0</v>
      </c>
      <c r="K924" s="276">
        <f ca="1">'Planning Engine'!K2178</f>
        <v>0</v>
      </c>
      <c r="L924" s="278" t="str">
        <f>'Planning Engine'!L2178</f>
        <v>High</v>
      </c>
      <c r="M924" s="358">
        <f>'Planning Engine'!S2178</f>
        <v>46722</v>
      </c>
      <c r="N924" s="276">
        <f>'Planning Engine'!T2178</f>
        <v>0</v>
      </c>
      <c r="O924" s="359" cm="1">
        <f t="array" ref="O924">IFERROR(SUMPRODUCT(('Planning Engine'!$B$4:$B$2500="47mg LP - EU Stock")*('Planning Engine'!$A$4:$A$2500='Planning Engine'!A2178)*'Planning Engine'!$U$4:$U$2500),"--")</f>
        <v>0</v>
      </c>
      <c r="P924" s="278" t="str">
        <f t="shared" si="31"/>
        <v>⚠ Expedite production / source alternate</v>
      </c>
    </row>
    <row r="925" spans="1:16" x14ac:dyDescent="0.35">
      <c r="A925" s="360">
        <f>'Planning Engine'!A2179</f>
        <v>46844</v>
      </c>
      <c r="B925" s="269" t="s">
        <v>960</v>
      </c>
      <c r="C925" s="273" t="str">
        <f>'Planning Engine'!C2179</f>
        <v>Label/Pack</v>
      </c>
      <c r="D925" s="273" t="str">
        <f>'Planning Engine'!D2179</f>
        <v>units</v>
      </c>
      <c r="E925" s="271">
        <f>'Planning Engine'!E2179</f>
        <v>0</v>
      </c>
      <c r="F925" s="271">
        <f>'Planning Engine'!F2179</f>
        <v>0</v>
      </c>
      <c r="G925" s="271">
        <f>'Planning Engine'!G2179</f>
        <v>0</v>
      </c>
      <c r="H925" s="271">
        <f t="shared" si="30"/>
        <v>0</v>
      </c>
      <c r="I925" s="271">
        <f>'Planning Engine'!H2179</f>
        <v>0</v>
      </c>
      <c r="J925" s="272">
        <f ca="1">'Planning Engine'!J2179</f>
        <v>0</v>
      </c>
      <c r="K925" s="271">
        <f ca="1">'Planning Engine'!K2179</f>
        <v>0</v>
      </c>
      <c r="L925" s="273" t="str">
        <f>'Planning Engine'!L2179</f>
        <v>High</v>
      </c>
      <c r="M925" s="360">
        <f>'Planning Engine'!S2179</f>
        <v>46753</v>
      </c>
      <c r="N925" s="271">
        <f>'Planning Engine'!T2179</f>
        <v>0</v>
      </c>
      <c r="O925" s="361" cm="1">
        <f t="array" ref="O925">IFERROR(SUMPRODUCT(('Planning Engine'!$B$4:$B$2500="47mg LP - EU Stock")*('Planning Engine'!$A$4:$A$2500='Planning Engine'!A2179)*'Planning Engine'!$U$4:$U$2500),"--")</f>
        <v>0</v>
      </c>
      <c r="P925" s="273" t="str">
        <f t="shared" si="31"/>
        <v>⚠ Expedite production / source alternate</v>
      </c>
    </row>
    <row r="926" spans="1:16" x14ac:dyDescent="0.35">
      <c r="A926" s="358">
        <f>'Planning Engine'!A2180</f>
        <v>46874</v>
      </c>
      <c r="B926" s="274" t="s">
        <v>960</v>
      </c>
      <c r="C926" s="278" t="str">
        <f>'Planning Engine'!C2180</f>
        <v>Label/Pack</v>
      </c>
      <c r="D926" s="278" t="str">
        <f>'Planning Engine'!D2180</f>
        <v>units</v>
      </c>
      <c r="E926" s="276">
        <f>'Planning Engine'!E2180</f>
        <v>0</v>
      </c>
      <c r="F926" s="276">
        <f>'Planning Engine'!F2180</f>
        <v>0</v>
      </c>
      <c r="G926" s="276">
        <f>'Planning Engine'!G2180</f>
        <v>0</v>
      </c>
      <c r="H926" s="276">
        <f t="shared" si="30"/>
        <v>0</v>
      </c>
      <c r="I926" s="276">
        <f>'Planning Engine'!H2180</f>
        <v>0</v>
      </c>
      <c r="J926" s="277">
        <f ca="1">'Planning Engine'!J2180</f>
        <v>0</v>
      </c>
      <c r="K926" s="276">
        <f ca="1">'Planning Engine'!K2180</f>
        <v>0</v>
      </c>
      <c r="L926" s="278" t="str">
        <f>'Planning Engine'!L2180</f>
        <v>High</v>
      </c>
      <c r="M926" s="358">
        <f>'Planning Engine'!S2180</f>
        <v>46784</v>
      </c>
      <c r="N926" s="276">
        <f>'Planning Engine'!T2180</f>
        <v>0</v>
      </c>
      <c r="O926" s="359" cm="1">
        <f t="array" ref="O926">IFERROR(SUMPRODUCT(('Planning Engine'!$B$4:$B$2500="47mg LP - EU Stock")*('Planning Engine'!$A$4:$A$2500='Planning Engine'!A2180)*'Planning Engine'!$U$4:$U$2500),"--")</f>
        <v>0</v>
      </c>
      <c r="P926" s="278" t="str">
        <f t="shared" si="31"/>
        <v>⚠ Expedite production / source alternate</v>
      </c>
    </row>
    <row r="927" spans="1:16" x14ac:dyDescent="0.35">
      <c r="A927" s="360">
        <f>'Planning Engine'!A2181</f>
        <v>46905</v>
      </c>
      <c r="B927" s="269" t="s">
        <v>960</v>
      </c>
      <c r="C927" s="273" t="str">
        <f>'Planning Engine'!C2181</f>
        <v>Label/Pack</v>
      </c>
      <c r="D927" s="273" t="str">
        <f>'Planning Engine'!D2181</f>
        <v>units</v>
      </c>
      <c r="E927" s="271">
        <f>'Planning Engine'!E2181</f>
        <v>0</v>
      </c>
      <c r="F927" s="271">
        <f>'Planning Engine'!F2181</f>
        <v>0</v>
      </c>
      <c r="G927" s="271">
        <f>'Planning Engine'!G2181</f>
        <v>0</v>
      </c>
      <c r="H927" s="271">
        <f t="shared" si="30"/>
        <v>0</v>
      </c>
      <c r="I927" s="271">
        <f>'Planning Engine'!H2181</f>
        <v>0</v>
      </c>
      <c r="J927" s="272">
        <f ca="1">'Planning Engine'!J2181</f>
        <v>0</v>
      </c>
      <c r="K927" s="271">
        <f ca="1">'Planning Engine'!K2181</f>
        <v>0</v>
      </c>
      <c r="L927" s="273" t="str">
        <f>'Planning Engine'!L2181</f>
        <v>High</v>
      </c>
      <c r="M927" s="360">
        <f>'Planning Engine'!S2181</f>
        <v>46813</v>
      </c>
      <c r="N927" s="271">
        <f>'Planning Engine'!T2181</f>
        <v>0</v>
      </c>
      <c r="O927" s="361" cm="1">
        <f t="array" ref="O927">IFERROR(SUMPRODUCT(('Planning Engine'!$B$4:$B$2500="47mg LP - EU Stock")*('Planning Engine'!$A$4:$A$2500='Planning Engine'!A2181)*'Planning Engine'!$U$4:$U$2500),"--")</f>
        <v>0</v>
      </c>
      <c r="P927" s="273" t="str">
        <f t="shared" si="31"/>
        <v>⚠ Expedite production / source alternate</v>
      </c>
    </row>
    <row r="928" spans="1:16" x14ac:dyDescent="0.35">
      <c r="A928" s="358">
        <f>'Planning Engine'!A2182</f>
        <v>46935</v>
      </c>
      <c r="B928" s="274" t="s">
        <v>960</v>
      </c>
      <c r="C928" s="278" t="str">
        <f>'Planning Engine'!C2182</f>
        <v>Label/Pack</v>
      </c>
      <c r="D928" s="278" t="str">
        <f>'Planning Engine'!D2182</f>
        <v>units</v>
      </c>
      <c r="E928" s="276">
        <f>'Planning Engine'!E2182</f>
        <v>0</v>
      </c>
      <c r="F928" s="276">
        <f>'Planning Engine'!F2182</f>
        <v>0</v>
      </c>
      <c r="G928" s="276">
        <f>'Planning Engine'!G2182</f>
        <v>0</v>
      </c>
      <c r="H928" s="276">
        <f t="shared" si="30"/>
        <v>0</v>
      </c>
      <c r="I928" s="276">
        <f>'Planning Engine'!H2182</f>
        <v>0</v>
      </c>
      <c r="J928" s="277">
        <f ca="1">'Planning Engine'!J2182</f>
        <v>0</v>
      </c>
      <c r="K928" s="276">
        <f ca="1">'Planning Engine'!K2182</f>
        <v>0</v>
      </c>
      <c r="L928" s="278" t="str">
        <f>'Planning Engine'!L2182</f>
        <v>High</v>
      </c>
      <c r="M928" s="358">
        <f>'Planning Engine'!S2182</f>
        <v>46844</v>
      </c>
      <c r="N928" s="276">
        <f>'Planning Engine'!T2182</f>
        <v>0</v>
      </c>
      <c r="O928" s="359" cm="1">
        <f t="array" ref="O928">IFERROR(SUMPRODUCT(('Planning Engine'!$B$4:$B$2500="47mg LP - EU Stock")*('Planning Engine'!$A$4:$A$2500='Planning Engine'!A2182)*'Planning Engine'!$U$4:$U$2500),"--")</f>
        <v>0</v>
      </c>
      <c r="P928" s="278" t="str">
        <f t="shared" si="31"/>
        <v>⚠ Expedite production / source alternate</v>
      </c>
    </row>
    <row r="929" spans="1:16" x14ac:dyDescent="0.35">
      <c r="A929" s="360">
        <f>'Planning Engine'!A2183</f>
        <v>46966</v>
      </c>
      <c r="B929" s="269" t="s">
        <v>960</v>
      </c>
      <c r="C929" s="273" t="str">
        <f>'Planning Engine'!C2183</f>
        <v>Label/Pack</v>
      </c>
      <c r="D929" s="273" t="str">
        <f>'Planning Engine'!D2183</f>
        <v>units</v>
      </c>
      <c r="E929" s="271">
        <f>'Planning Engine'!E2183</f>
        <v>0</v>
      </c>
      <c r="F929" s="271">
        <f>'Planning Engine'!F2183</f>
        <v>0</v>
      </c>
      <c r="G929" s="271">
        <f>'Planning Engine'!G2183</f>
        <v>0</v>
      </c>
      <c r="H929" s="271">
        <f t="shared" si="30"/>
        <v>0</v>
      </c>
      <c r="I929" s="271">
        <f>'Planning Engine'!H2183</f>
        <v>0</v>
      </c>
      <c r="J929" s="272">
        <f ca="1">'Planning Engine'!J2183</f>
        <v>0</v>
      </c>
      <c r="K929" s="271">
        <f ca="1">'Planning Engine'!K2183</f>
        <v>0</v>
      </c>
      <c r="L929" s="273" t="str">
        <f>'Planning Engine'!L2183</f>
        <v>High</v>
      </c>
      <c r="M929" s="360">
        <f>'Planning Engine'!S2183</f>
        <v>46874</v>
      </c>
      <c r="N929" s="271">
        <f>'Planning Engine'!T2183</f>
        <v>0</v>
      </c>
      <c r="O929" s="361" cm="1">
        <f t="array" ref="O929">IFERROR(SUMPRODUCT(('Planning Engine'!$B$4:$B$2500="47mg LP - EU Stock")*('Planning Engine'!$A$4:$A$2500='Planning Engine'!A2183)*'Planning Engine'!$U$4:$U$2500),"--")</f>
        <v>0</v>
      </c>
      <c r="P929" s="273" t="str">
        <f t="shared" si="31"/>
        <v>⚠ Expedite production / source alternate</v>
      </c>
    </row>
    <row r="930" spans="1:16" x14ac:dyDescent="0.35">
      <c r="A930" s="358">
        <f>'Planning Engine'!A2184</f>
        <v>46997</v>
      </c>
      <c r="B930" s="274" t="s">
        <v>960</v>
      </c>
      <c r="C930" s="278" t="str">
        <f>'Planning Engine'!C2184</f>
        <v>Label/Pack</v>
      </c>
      <c r="D930" s="278" t="str">
        <f>'Planning Engine'!D2184</f>
        <v>units</v>
      </c>
      <c r="E930" s="276">
        <f>'Planning Engine'!E2184</f>
        <v>0</v>
      </c>
      <c r="F930" s="276">
        <f>'Planning Engine'!F2184</f>
        <v>0</v>
      </c>
      <c r="G930" s="276">
        <f>'Planning Engine'!G2184</f>
        <v>0</v>
      </c>
      <c r="H930" s="276">
        <f t="shared" si="30"/>
        <v>0</v>
      </c>
      <c r="I930" s="276">
        <f>'Planning Engine'!H2184</f>
        <v>0</v>
      </c>
      <c r="J930" s="277">
        <f ca="1">'Planning Engine'!J2184</f>
        <v>0</v>
      </c>
      <c r="K930" s="276">
        <f ca="1">'Planning Engine'!K2184</f>
        <v>0</v>
      </c>
      <c r="L930" s="278" t="str">
        <f>'Planning Engine'!L2184</f>
        <v>High</v>
      </c>
      <c r="M930" s="358">
        <f>'Planning Engine'!S2184</f>
        <v>46905</v>
      </c>
      <c r="N930" s="276">
        <f>'Planning Engine'!T2184</f>
        <v>0</v>
      </c>
      <c r="O930" s="359" cm="1">
        <f t="array" ref="O930">IFERROR(SUMPRODUCT(('Planning Engine'!$B$4:$B$2500="47mg LP - EU Stock")*('Planning Engine'!$A$4:$A$2500='Planning Engine'!A2184)*'Planning Engine'!$U$4:$U$2500),"--")</f>
        <v>0</v>
      </c>
      <c r="P930" s="278" t="str">
        <f t="shared" si="31"/>
        <v>⚠ Expedite production / source alternate</v>
      </c>
    </row>
    <row r="931" spans="1:16" x14ac:dyDescent="0.35">
      <c r="A931" s="360">
        <f>'Planning Engine'!A2185</f>
        <v>47027</v>
      </c>
      <c r="B931" s="269" t="s">
        <v>960</v>
      </c>
      <c r="C931" s="273" t="str">
        <f>'Planning Engine'!C2185</f>
        <v>Label/Pack</v>
      </c>
      <c r="D931" s="273" t="str">
        <f>'Planning Engine'!D2185</f>
        <v>units</v>
      </c>
      <c r="E931" s="271">
        <f>'Planning Engine'!E2185</f>
        <v>0</v>
      </c>
      <c r="F931" s="271">
        <f>'Planning Engine'!F2185</f>
        <v>0</v>
      </c>
      <c r="G931" s="271">
        <f>'Planning Engine'!G2185</f>
        <v>0</v>
      </c>
      <c r="H931" s="271">
        <f t="shared" si="30"/>
        <v>0</v>
      </c>
      <c r="I931" s="271">
        <f>'Planning Engine'!H2185</f>
        <v>0</v>
      </c>
      <c r="J931" s="272">
        <f ca="1">'Planning Engine'!J2185</f>
        <v>0</v>
      </c>
      <c r="K931" s="271">
        <f ca="1">'Planning Engine'!K2185</f>
        <v>0</v>
      </c>
      <c r="L931" s="273" t="str">
        <f>'Planning Engine'!L2185</f>
        <v>High</v>
      </c>
      <c r="M931" s="360">
        <f>'Planning Engine'!S2185</f>
        <v>46935</v>
      </c>
      <c r="N931" s="271">
        <f>'Planning Engine'!T2185</f>
        <v>0</v>
      </c>
      <c r="O931" s="361" cm="1">
        <f t="array" ref="O931">IFERROR(SUMPRODUCT(('Planning Engine'!$B$4:$B$2500="47mg LP - EU Stock")*('Planning Engine'!$A$4:$A$2500='Planning Engine'!A2185)*'Planning Engine'!$U$4:$U$2500),"--")</f>
        <v>0</v>
      </c>
      <c r="P931" s="273" t="str">
        <f t="shared" si="31"/>
        <v>⚠ Expedite production / source alternate</v>
      </c>
    </row>
    <row r="932" spans="1:16" x14ac:dyDescent="0.35">
      <c r="A932" s="358">
        <f>'Planning Engine'!A2186</f>
        <v>47058</v>
      </c>
      <c r="B932" s="274" t="s">
        <v>960</v>
      </c>
      <c r="C932" s="278" t="str">
        <f>'Planning Engine'!C2186</f>
        <v>Label/Pack</v>
      </c>
      <c r="D932" s="278" t="str">
        <f>'Planning Engine'!D2186</f>
        <v>units</v>
      </c>
      <c r="E932" s="276">
        <f>'Planning Engine'!E2186</f>
        <v>0</v>
      </c>
      <c r="F932" s="276">
        <f>'Planning Engine'!F2186</f>
        <v>0</v>
      </c>
      <c r="G932" s="276">
        <f>'Planning Engine'!G2186</f>
        <v>0</v>
      </c>
      <c r="H932" s="276">
        <f t="shared" si="30"/>
        <v>0</v>
      </c>
      <c r="I932" s="276">
        <f>'Planning Engine'!H2186</f>
        <v>0</v>
      </c>
      <c r="J932" s="277">
        <f ca="1">'Planning Engine'!J2186</f>
        <v>0</v>
      </c>
      <c r="K932" s="276">
        <f ca="1">'Planning Engine'!K2186</f>
        <v>0</v>
      </c>
      <c r="L932" s="278" t="str">
        <f>'Planning Engine'!L2186</f>
        <v>High</v>
      </c>
      <c r="M932" s="358">
        <f>'Planning Engine'!S2186</f>
        <v>46966</v>
      </c>
      <c r="N932" s="276">
        <f>'Planning Engine'!T2186</f>
        <v>0</v>
      </c>
      <c r="O932" s="359" cm="1">
        <f t="array" ref="O932">IFERROR(SUMPRODUCT(('Planning Engine'!$B$4:$B$2500="47mg LP - EU Stock")*('Planning Engine'!$A$4:$A$2500='Planning Engine'!A2186)*'Planning Engine'!$U$4:$U$2500),"--")</f>
        <v>0</v>
      </c>
      <c r="P932" s="278" t="str">
        <f t="shared" si="31"/>
        <v>⚠ Expedite production / source alternate</v>
      </c>
    </row>
    <row r="933" spans="1:16" x14ac:dyDescent="0.35">
      <c r="A933" s="360">
        <f>'Planning Engine'!A2187</f>
        <v>47088</v>
      </c>
      <c r="B933" s="269" t="s">
        <v>960</v>
      </c>
      <c r="C933" s="273" t="str">
        <f>'Planning Engine'!C2187</f>
        <v>Label/Pack</v>
      </c>
      <c r="D933" s="273" t="str">
        <f>'Planning Engine'!D2187</f>
        <v>units</v>
      </c>
      <c r="E933" s="271">
        <f>'Planning Engine'!E2187</f>
        <v>0</v>
      </c>
      <c r="F933" s="271">
        <f>'Planning Engine'!F2187</f>
        <v>0</v>
      </c>
      <c r="G933" s="271">
        <f>'Planning Engine'!G2187</f>
        <v>0</v>
      </c>
      <c r="H933" s="271">
        <f t="shared" si="30"/>
        <v>0</v>
      </c>
      <c r="I933" s="271">
        <f>'Planning Engine'!H2187</f>
        <v>0</v>
      </c>
      <c r="J933" s="272">
        <f ca="1">'Planning Engine'!J2187</f>
        <v>0</v>
      </c>
      <c r="K933" s="271">
        <f ca="1">'Planning Engine'!K2187</f>
        <v>0</v>
      </c>
      <c r="L933" s="273" t="str">
        <f>'Planning Engine'!L2187</f>
        <v>High</v>
      </c>
      <c r="M933" s="360">
        <f>'Planning Engine'!S2187</f>
        <v>46997</v>
      </c>
      <c r="N933" s="271">
        <f>'Planning Engine'!T2187</f>
        <v>0</v>
      </c>
      <c r="O933" s="361" cm="1">
        <f t="array" ref="O933">IFERROR(SUMPRODUCT(('Planning Engine'!$B$4:$B$2500="47mg LP - EU Stock")*('Planning Engine'!$A$4:$A$2500='Planning Engine'!A2187)*'Planning Engine'!$U$4:$U$2500),"--")</f>
        <v>0</v>
      </c>
      <c r="P933" s="273" t="str">
        <f t="shared" si="31"/>
        <v>⚠ Expedite production / source alternate</v>
      </c>
    </row>
    <row r="934" spans="1:16" x14ac:dyDescent="0.35">
      <c r="A934" s="358">
        <f>'Planning Engine'!A2188</f>
        <v>47119</v>
      </c>
      <c r="B934" s="274" t="s">
        <v>960</v>
      </c>
      <c r="C934" s="278" t="str">
        <f>'Planning Engine'!C2188</f>
        <v>Label/Pack</v>
      </c>
      <c r="D934" s="278" t="str">
        <f>'Planning Engine'!D2188</f>
        <v>units</v>
      </c>
      <c r="E934" s="276">
        <f>'Planning Engine'!E2188</f>
        <v>0</v>
      </c>
      <c r="F934" s="276">
        <f>'Planning Engine'!F2188</f>
        <v>0</v>
      </c>
      <c r="G934" s="276">
        <f>'Planning Engine'!G2188</f>
        <v>0</v>
      </c>
      <c r="H934" s="276">
        <f t="shared" si="30"/>
        <v>0</v>
      </c>
      <c r="I934" s="276">
        <f>'Planning Engine'!H2188</f>
        <v>0</v>
      </c>
      <c r="J934" s="277">
        <f ca="1">'Planning Engine'!J2188</f>
        <v>0</v>
      </c>
      <c r="K934" s="276">
        <f ca="1">'Planning Engine'!K2188</f>
        <v>0</v>
      </c>
      <c r="L934" s="278" t="str">
        <f>'Planning Engine'!L2188</f>
        <v>High</v>
      </c>
      <c r="M934" s="358">
        <f>'Planning Engine'!S2188</f>
        <v>47027</v>
      </c>
      <c r="N934" s="276">
        <f>'Planning Engine'!T2188</f>
        <v>0</v>
      </c>
      <c r="O934" s="359" cm="1">
        <f t="array" ref="O934">IFERROR(SUMPRODUCT(('Planning Engine'!$B$4:$B$2500="47mg LP - EU Stock")*('Planning Engine'!$A$4:$A$2500='Planning Engine'!A2188)*'Planning Engine'!$U$4:$U$2500),"--")</f>
        <v>0</v>
      </c>
      <c r="P934" s="278" t="str">
        <f t="shared" si="31"/>
        <v>⚠ Expedite production / source alternate</v>
      </c>
    </row>
    <row r="935" spans="1:16" x14ac:dyDescent="0.35">
      <c r="A935" s="360">
        <f>'Planning Engine'!A2189</f>
        <v>47150</v>
      </c>
      <c r="B935" s="269" t="s">
        <v>960</v>
      </c>
      <c r="C935" s="273" t="str">
        <f>'Planning Engine'!C2189</f>
        <v>Label/Pack</v>
      </c>
      <c r="D935" s="273" t="str">
        <f>'Planning Engine'!D2189</f>
        <v>units</v>
      </c>
      <c r="E935" s="271">
        <f>'Planning Engine'!E2189</f>
        <v>0</v>
      </c>
      <c r="F935" s="271">
        <f>'Planning Engine'!F2189</f>
        <v>0</v>
      </c>
      <c r="G935" s="271">
        <f>'Planning Engine'!G2189</f>
        <v>0</v>
      </c>
      <c r="H935" s="271">
        <f t="shared" si="30"/>
        <v>0</v>
      </c>
      <c r="I935" s="271">
        <f>'Planning Engine'!H2189</f>
        <v>0</v>
      </c>
      <c r="J935" s="272">
        <f ca="1">'Planning Engine'!J2189</f>
        <v>0</v>
      </c>
      <c r="K935" s="271">
        <f ca="1">'Planning Engine'!K2189</f>
        <v>0</v>
      </c>
      <c r="L935" s="273" t="str">
        <f>'Planning Engine'!L2189</f>
        <v>High</v>
      </c>
      <c r="M935" s="360">
        <f>'Planning Engine'!S2189</f>
        <v>47058</v>
      </c>
      <c r="N935" s="271">
        <f>'Planning Engine'!T2189</f>
        <v>0</v>
      </c>
      <c r="O935" s="361" cm="1">
        <f t="array" ref="O935">IFERROR(SUMPRODUCT(('Planning Engine'!$B$4:$B$2500="47mg LP - EU Stock")*('Planning Engine'!$A$4:$A$2500='Planning Engine'!A2189)*'Planning Engine'!$U$4:$U$2500),"--")</f>
        <v>0</v>
      </c>
      <c r="P935" s="273" t="str">
        <f t="shared" si="31"/>
        <v>⚠ Expedite production / source alternate</v>
      </c>
    </row>
    <row r="936" spans="1:16" x14ac:dyDescent="0.35">
      <c r="A936" s="358">
        <f>'Planning Engine'!A2190</f>
        <v>47178</v>
      </c>
      <c r="B936" s="274" t="s">
        <v>960</v>
      </c>
      <c r="C936" s="278" t="str">
        <f>'Planning Engine'!C2190</f>
        <v>Label/Pack</v>
      </c>
      <c r="D936" s="278" t="str">
        <f>'Planning Engine'!D2190</f>
        <v>units</v>
      </c>
      <c r="E936" s="276">
        <f>'Planning Engine'!E2190</f>
        <v>0</v>
      </c>
      <c r="F936" s="276">
        <f>'Planning Engine'!F2190</f>
        <v>0</v>
      </c>
      <c r="G936" s="276">
        <f>'Planning Engine'!G2190</f>
        <v>0</v>
      </c>
      <c r="H936" s="276">
        <f t="shared" si="30"/>
        <v>0</v>
      </c>
      <c r="I936" s="276">
        <f>'Planning Engine'!H2190</f>
        <v>0</v>
      </c>
      <c r="J936" s="277">
        <f ca="1">'Planning Engine'!J2190</f>
        <v>0</v>
      </c>
      <c r="K936" s="276">
        <f ca="1">'Planning Engine'!K2190</f>
        <v>0</v>
      </c>
      <c r="L936" s="278" t="str">
        <f>'Planning Engine'!L2190</f>
        <v>High</v>
      </c>
      <c r="M936" s="358">
        <f>'Planning Engine'!S2190</f>
        <v>47088</v>
      </c>
      <c r="N936" s="276">
        <f>'Planning Engine'!T2190</f>
        <v>0</v>
      </c>
      <c r="O936" s="359" cm="1">
        <f t="array" ref="O936">IFERROR(SUMPRODUCT(('Planning Engine'!$B$4:$B$2500="47mg LP - EU Stock")*('Planning Engine'!$A$4:$A$2500='Planning Engine'!A2190)*'Planning Engine'!$U$4:$U$2500),"--")</f>
        <v>0</v>
      </c>
      <c r="P936" s="278" t="str">
        <f t="shared" si="31"/>
        <v>⚠ Expedite production / source alternate</v>
      </c>
    </row>
    <row r="937" spans="1:16" x14ac:dyDescent="0.35">
      <c r="A937" s="360">
        <f>'Planning Engine'!A2191</f>
        <v>47209</v>
      </c>
      <c r="B937" s="269" t="s">
        <v>960</v>
      </c>
      <c r="C937" s="273" t="str">
        <f>'Planning Engine'!C2191</f>
        <v>Label/Pack</v>
      </c>
      <c r="D937" s="273" t="str">
        <f>'Planning Engine'!D2191</f>
        <v>units</v>
      </c>
      <c r="E937" s="271">
        <f>'Planning Engine'!E2191</f>
        <v>0</v>
      </c>
      <c r="F937" s="271">
        <f>'Planning Engine'!F2191</f>
        <v>0</v>
      </c>
      <c r="G937" s="271">
        <f>'Planning Engine'!G2191</f>
        <v>0</v>
      </c>
      <c r="H937" s="271">
        <f t="shared" si="30"/>
        <v>0</v>
      </c>
      <c r="I937" s="271">
        <f>'Planning Engine'!H2191</f>
        <v>0</v>
      </c>
      <c r="J937" s="272">
        <f ca="1">'Planning Engine'!J2191</f>
        <v>0</v>
      </c>
      <c r="K937" s="271">
        <f ca="1">'Planning Engine'!K2191</f>
        <v>0</v>
      </c>
      <c r="L937" s="273" t="str">
        <f>'Planning Engine'!L2191</f>
        <v>High</v>
      </c>
      <c r="M937" s="360">
        <f>'Planning Engine'!S2191</f>
        <v>47119</v>
      </c>
      <c r="N937" s="271">
        <f>'Planning Engine'!T2191</f>
        <v>0</v>
      </c>
      <c r="O937" s="361" cm="1">
        <f t="array" ref="O937">IFERROR(SUMPRODUCT(('Planning Engine'!$B$4:$B$2500="47mg LP - EU Stock")*('Planning Engine'!$A$4:$A$2500='Planning Engine'!A2191)*'Planning Engine'!$U$4:$U$2500),"--")</f>
        <v>0</v>
      </c>
      <c r="P937" s="273" t="str">
        <f t="shared" si="31"/>
        <v>⚠ Expedite production / source alternate</v>
      </c>
    </row>
    <row r="938" spans="1:16" x14ac:dyDescent="0.35">
      <c r="A938" s="358">
        <f>'Planning Engine'!A2192</f>
        <v>47239</v>
      </c>
      <c r="B938" s="274" t="s">
        <v>960</v>
      </c>
      <c r="C938" s="278" t="str">
        <f>'Planning Engine'!C2192</f>
        <v>Label/Pack</v>
      </c>
      <c r="D938" s="278" t="str">
        <f>'Planning Engine'!D2192</f>
        <v>units</v>
      </c>
      <c r="E938" s="276">
        <f>'Planning Engine'!E2192</f>
        <v>0</v>
      </c>
      <c r="F938" s="276">
        <f>'Planning Engine'!F2192</f>
        <v>0</v>
      </c>
      <c r="G938" s="276">
        <f>'Planning Engine'!G2192</f>
        <v>0</v>
      </c>
      <c r="H938" s="276">
        <f t="shared" si="30"/>
        <v>0</v>
      </c>
      <c r="I938" s="276">
        <f>'Planning Engine'!H2192</f>
        <v>0</v>
      </c>
      <c r="J938" s="277">
        <f ca="1">'Planning Engine'!J2192</f>
        <v>0</v>
      </c>
      <c r="K938" s="276">
        <f ca="1">'Planning Engine'!K2192</f>
        <v>0</v>
      </c>
      <c r="L938" s="278" t="str">
        <f>'Planning Engine'!L2192</f>
        <v>High</v>
      </c>
      <c r="M938" s="358">
        <f>'Planning Engine'!S2192</f>
        <v>47150</v>
      </c>
      <c r="N938" s="276">
        <f>'Planning Engine'!T2192</f>
        <v>0</v>
      </c>
      <c r="O938" s="359" cm="1">
        <f t="array" ref="O938">IFERROR(SUMPRODUCT(('Planning Engine'!$B$4:$B$2500="47mg LP - EU Stock")*('Planning Engine'!$A$4:$A$2500='Planning Engine'!A2192)*'Planning Engine'!$U$4:$U$2500),"--")</f>
        <v>0</v>
      </c>
      <c r="P938" s="278" t="str">
        <f t="shared" si="31"/>
        <v>⚠ Expedite production / source alternate</v>
      </c>
    </row>
    <row r="939" spans="1:16" x14ac:dyDescent="0.35">
      <c r="A939" s="360">
        <f>'Planning Engine'!A2193</f>
        <v>47270</v>
      </c>
      <c r="B939" s="269" t="s">
        <v>960</v>
      </c>
      <c r="C939" s="273" t="str">
        <f>'Planning Engine'!C2193</f>
        <v>Label/Pack</v>
      </c>
      <c r="D939" s="273" t="str">
        <f>'Planning Engine'!D2193</f>
        <v>units</v>
      </c>
      <c r="E939" s="271">
        <f>'Planning Engine'!E2193</f>
        <v>0</v>
      </c>
      <c r="F939" s="271">
        <f>'Planning Engine'!F2193</f>
        <v>0</v>
      </c>
      <c r="G939" s="271">
        <f>'Planning Engine'!G2193</f>
        <v>0</v>
      </c>
      <c r="H939" s="271">
        <f t="shared" si="30"/>
        <v>0</v>
      </c>
      <c r="I939" s="271">
        <f>'Planning Engine'!H2193</f>
        <v>0</v>
      </c>
      <c r="J939" s="272">
        <f ca="1">'Planning Engine'!J2193</f>
        <v>0</v>
      </c>
      <c r="K939" s="271">
        <f ca="1">'Planning Engine'!K2193</f>
        <v>0</v>
      </c>
      <c r="L939" s="273" t="str">
        <f>'Planning Engine'!L2193</f>
        <v>High</v>
      </c>
      <c r="M939" s="360">
        <f>'Planning Engine'!S2193</f>
        <v>47178</v>
      </c>
      <c r="N939" s="271">
        <f>'Planning Engine'!T2193</f>
        <v>0</v>
      </c>
      <c r="O939" s="361" cm="1">
        <f t="array" ref="O939">IFERROR(SUMPRODUCT(('Planning Engine'!$B$4:$B$2500="47mg LP - EU Stock")*('Planning Engine'!$A$4:$A$2500='Planning Engine'!A2193)*'Planning Engine'!$U$4:$U$2500),"--")</f>
        <v>0</v>
      </c>
      <c r="P939" s="273" t="str">
        <f t="shared" si="31"/>
        <v>⚠ Expedite production / source alternate</v>
      </c>
    </row>
    <row r="940" spans="1:16" x14ac:dyDescent="0.35">
      <c r="A940" s="358">
        <f>'Planning Engine'!A2194</f>
        <v>47300</v>
      </c>
      <c r="B940" s="274" t="s">
        <v>960</v>
      </c>
      <c r="C940" s="278" t="str">
        <f>'Planning Engine'!C2194</f>
        <v>Label/Pack</v>
      </c>
      <c r="D940" s="278" t="str">
        <f>'Planning Engine'!D2194</f>
        <v>units</v>
      </c>
      <c r="E940" s="276">
        <f>'Planning Engine'!E2194</f>
        <v>0</v>
      </c>
      <c r="F940" s="276">
        <f>'Planning Engine'!F2194</f>
        <v>0</v>
      </c>
      <c r="G940" s="276">
        <f>'Planning Engine'!G2194</f>
        <v>0</v>
      </c>
      <c r="H940" s="276">
        <f t="shared" si="30"/>
        <v>0</v>
      </c>
      <c r="I940" s="276">
        <f>'Planning Engine'!H2194</f>
        <v>0</v>
      </c>
      <c r="J940" s="277">
        <f ca="1">'Planning Engine'!J2194</f>
        <v>0</v>
      </c>
      <c r="K940" s="276">
        <f ca="1">'Planning Engine'!K2194</f>
        <v>0</v>
      </c>
      <c r="L940" s="278" t="str">
        <f>'Planning Engine'!L2194</f>
        <v>High</v>
      </c>
      <c r="M940" s="358">
        <f>'Planning Engine'!S2194</f>
        <v>47209</v>
      </c>
      <c r="N940" s="276">
        <f>'Planning Engine'!T2194</f>
        <v>0</v>
      </c>
      <c r="O940" s="359" cm="1">
        <f t="array" ref="O940">IFERROR(SUMPRODUCT(('Planning Engine'!$B$4:$B$2500="47mg LP - EU Stock")*('Planning Engine'!$A$4:$A$2500='Planning Engine'!A2194)*'Planning Engine'!$U$4:$U$2500),"--")</f>
        <v>0</v>
      </c>
      <c r="P940" s="278" t="str">
        <f t="shared" si="31"/>
        <v>⚠ Expedite production / source alternate</v>
      </c>
    </row>
    <row r="941" spans="1:16" x14ac:dyDescent="0.35">
      <c r="A941" s="360">
        <f>'Planning Engine'!A2195</f>
        <v>47331</v>
      </c>
      <c r="B941" s="269" t="s">
        <v>960</v>
      </c>
      <c r="C941" s="273" t="str">
        <f>'Planning Engine'!C2195</f>
        <v>Label/Pack</v>
      </c>
      <c r="D941" s="273" t="str">
        <f>'Planning Engine'!D2195</f>
        <v>units</v>
      </c>
      <c r="E941" s="271">
        <f>'Planning Engine'!E2195</f>
        <v>0</v>
      </c>
      <c r="F941" s="271">
        <f>'Planning Engine'!F2195</f>
        <v>0</v>
      </c>
      <c r="G941" s="271">
        <f>'Planning Engine'!G2195</f>
        <v>0</v>
      </c>
      <c r="H941" s="271">
        <f t="shared" si="30"/>
        <v>0</v>
      </c>
      <c r="I941" s="271">
        <f>'Planning Engine'!H2195</f>
        <v>0</v>
      </c>
      <c r="J941" s="272">
        <f ca="1">'Planning Engine'!J2195</f>
        <v>0</v>
      </c>
      <c r="K941" s="271">
        <f ca="1">'Planning Engine'!K2195</f>
        <v>0</v>
      </c>
      <c r="L941" s="273" t="str">
        <f>'Planning Engine'!L2195</f>
        <v>High</v>
      </c>
      <c r="M941" s="360">
        <f>'Planning Engine'!S2195</f>
        <v>47239</v>
      </c>
      <c r="N941" s="271">
        <f>'Planning Engine'!T2195</f>
        <v>0</v>
      </c>
      <c r="O941" s="361" cm="1">
        <f t="array" ref="O941">IFERROR(SUMPRODUCT(('Planning Engine'!$B$4:$B$2500="47mg LP - EU Stock")*('Planning Engine'!$A$4:$A$2500='Planning Engine'!A2195)*'Planning Engine'!$U$4:$U$2500),"--")</f>
        <v>0</v>
      </c>
      <c r="P941" s="273" t="str">
        <f t="shared" si="31"/>
        <v>⚠ Expedite production / source alternate</v>
      </c>
    </row>
    <row r="942" spans="1:16" x14ac:dyDescent="0.35">
      <c r="A942" s="358">
        <f>'Planning Engine'!A2196</f>
        <v>47362</v>
      </c>
      <c r="B942" s="274" t="s">
        <v>960</v>
      </c>
      <c r="C942" s="278" t="str">
        <f>'Planning Engine'!C2196</f>
        <v>Label/Pack</v>
      </c>
      <c r="D942" s="278" t="str">
        <f>'Planning Engine'!D2196</f>
        <v>units</v>
      </c>
      <c r="E942" s="276">
        <f>'Planning Engine'!E2196</f>
        <v>0</v>
      </c>
      <c r="F942" s="276">
        <f>'Planning Engine'!F2196</f>
        <v>0</v>
      </c>
      <c r="G942" s="276">
        <f>'Planning Engine'!G2196</f>
        <v>0</v>
      </c>
      <c r="H942" s="276">
        <f t="shared" si="30"/>
        <v>0</v>
      </c>
      <c r="I942" s="276">
        <f>'Planning Engine'!H2196</f>
        <v>0</v>
      </c>
      <c r="J942" s="277">
        <f ca="1">'Planning Engine'!J2196</f>
        <v>0</v>
      </c>
      <c r="K942" s="276">
        <f ca="1">'Planning Engine'!K2196</f>
        <v>0</v>
      </c>
      <c r="L942" s="278" t="str">
        <f>'Planning Engine'!L2196</f>
        <v>High</v>
      </c>
      <c r="M942" s="358">
        <f>'Planning Engine'!S2196</f>
        <v>47270</v>
      </c>
      <c r="N942" s="276">
        <f>'Planning Engine'!T2196</f>
        <v>0</v>
      </c>
      <c r="O942" s="359" cm="1">
        <f t="array" ref="O942">IFERROR(SUMPRODUCT(('Planning Engine'!$B$4:$B$2500="47mg LP - EU Stock")*('Planning Engine'!$A$4:$A$2500='Planning Engine'!A2196)*'Planning Engine'!$U$4:$U$2500),"--")</f>
        <v>0</v>
      </c>
      <c r="P942" s="278" t="str">
        <f t="shared" si="31"/>
        <v>⚠ Expedite production / source alternate</v>
      </c>
    </row>
    <row r="943" spans="1:16" x14ac:dyDescent="0.35">
      <c r="A943" s="360">
        <f>'Planning Engine'!A2197</f>
        <v>47392</v>
      </c>
      <c r="B943" s="269" t="s">
        <v>960</v>
      </c>
      <c r="C943" s="273" t="str">
        <f>'Planning Engine'!C2197</f>
        <v>Label/Pack</v>
      </c>
      <c r="D943" s="273" t="str">
        <f>'Planning Engine'!D2197</f>
        <v>units</v>
      </c>
      <c r="E943" s="271">
        <f>'Planning Engine'!E2197</f>
        <v>0</v>
      </c>
      <c r="F943" s="271">
        <f>'Planning Engine'!F2197</f>
        <v>0</v>
      </c>
      <c r="G943" s="271">
        <f>'Planning Engine'!G2197</f>
        <v>0</v>
      </c>
      <c r="H943" s="271">
        <f t="shared" si="30"/>
        <v>0</v>
      </c>
      <c r="I943" s="271">
        <f>'Planning Engine'!H2197</f>
        <v>0</v>
      </c>
      <c r="J943" s="272">
        <f ca="1">'Planning Engine'!J2197</f>
        <v>0</v>
      </c>
      <c r="K943" s="271">
        <f ca="1">'Planning Engine'!K2197</f>
        <v>0</v>
      </c>
      <c r="L943" s="273" t="str">
        <f>'Planning Engine'!L2197</f>
        <v>High</v>
      </c>
      <c r="M943" s="360">
        <f>'Planning Engine'!S2197</f>
        <v>47300</v>
      </c>
      <c r="N943" s="271">
        <f>'Planning Engine'!T2197</f>
        <v>0</v>
      </c>
      <c r="O943" s="361" cm="1">
        <f t="array" ref="O943">IFERROR(SUMPRODUCT(('Planning Engine'!$B$4:$B$2500="47mg LP - EU Stock")*('Planning Engine'!$A$4:$A$2500='Planning Engine'!A2197)*'Planning Engine'!$U$4:$U$2500),"--")</f>
        <v>0</v>
      </c>
      <c r="P943" s="273" t="str">
        <f t="shared" si="31"/>
        <v>⚠ Expedite production / source alternate</v>
      </c>
    </row>
    <row r="944" spans="1:16" x14ac:dyDescent="0.35">
      <c r="A944" s="358">
        <f>'Planning Engine'!A2198</f>
        <v>47423</v>
      </c>
      <c r="B944" s="274" t="s">
        <v>960</v>
      </c>
      <c r="C944" s="278" t="str">
        <f>'Planning Engine'!C2198</f>
        <v>Label/Pack</v>
      </c>
      <c r="D944" s="278" t="str">
        <f>'Planning Engine'!D2198</f>
        <v>units</v>
      </c>
      <c r="E944" s="276">
        <f>'Planning Engine'!E2198</f>
        <v>0</v>
      </c>
      <c r="F944" s="276">
        <f>'Planning Engine'!F2198</f>
        <v>0</v>
      </c>
      <c r="G944" s="276">
        <f>'Planning Engine'!G2198</f>
        <v>0</v>
      </c>
      <c r="H944" s="276">
        <f t="shared" si="30"/>
        <v>0</v>
      </c>
      <c r="I944" s="276">
        <f>'Planning Engine'!H2198</f>
        <v>0</v>
      </c>
      <c r="J944" s="277">
        <f ca="1">'Planning Engine'!J2198</f>
        <v>0</v>
      </c>
      <c r="K944" s="276">
        <f ca="1">'Planning Engine'!K2198</f>
        <v>0</v>
      </c>
      <c r="L944" s="278" t="str">
        <f>'Planning Engine'!L2198</f>
        <v>High</v>
      </c>
      <c r="M944" s="358">
        <f>'Planning Engine'!S2198</f>
        <v>47331</v>
      </c>
      <c r="N944" s="276">
        <f>'Planning Engine'!T2198</f>
        <v>0</v>
      </c>
      <c r="O944" s="359" cm="1">
        <f t="array" ref="O944">IFERROR(SUMPRODUCT(('Planning Engine'!$B$4:$B$2500="47mg LP - EU Stock")*('Planning Engine'!$A$4:$A$2500='Planning Engine'!A2198)*'Planning Engine'!$U$4:$U$2500),"--")</f>
        <v>0</v>
      </c>
      <c r="P944" s="278" t="str">
        <f t="shared" si="31"/>
        <v>⚠ Expedite production / source alternate</v>
      </c>
    </row>
    <row r="945" spans="1:16" x14ac:dyDescent="0.35">
      <c r="A945" s="360">
        <f>'Planning Engine'!A2199</f>
        <v>47453</v>
      </c>
      <c r="B945" s="269" t="s">
        <v>960</v>
      </c>
      <c r="C945" s="273" t="str">
        <f>'Planning Engine'!C2199</f>
        <v>Label/Pack</v>
      </c>
      <c r="D945" s="273" t="str">
        <f>'Planning Engine'!D2199</f>
        <v>units</v>
      </c>
      <c r="E945" s="271">
        <f>'Planning Engine'!E2199</f>
        <v>0</v>
      </c>
      <c r="F945" s="271">
        <f>'Planning Engine'!F2199</f>
        <v>0</v>
      </c>
      <c r="G945" s="271">
        <f>'Planning Engine'!G2199</f>
        <v>0</v>
      </c>
      <c r="H945" s="271">
        <f t="shared" si="30"/>
        <v>0</v>
      </c>
      <c r="I945" s="271">
        <f>'Planning Engine'!H2199</f>
        <v>0</v>
      </c>
      <c r="J945" s="272">
        <f ca="1">'Planning Engine'!J2199</f>
        <v>0</v>
      </c>
      <c r="K945" s="271">
        <f ca="1">'Planning Engine'!K2199</f>
        <v>0</v>
      </c>
      <c r="L945" s="273" t="str">
        <f>'Planning Engine'!L2199</f>
        <v>High</v>
      </c>
      <c r="M945" s="360">
        <f>'Planning Engine'!S2199</f>
        <v>47362</v>
      </c>
      <c r="N945" s="271">
        <f>'Planning Engine'!T2199</f>
        <v>0</v>
      </c>
      <c r="O945" s="361" cm="1">
        <f t="array" ref="O945">IFERROR(SUMPRODUCT(('Planning Engine'!$B$4:$B$2500="47mg LP - EU Stock")*('Planning Engine'!$A$4:$A$2500='Planning Engine'!A2199)*'Planning Engine'!$U$4:$U$2500),"--")</f>
        <v>0</v>
      </c>
      <c r="P945" s="273" t="str">
        <f t="shared" si="31"/>
        <v>⚠ Expedite production / source alternate</v>
      </c>
    </row>
    <row r="946" spans="1:16" x14ac:dyDescent="0.35">
      <c r="A946" s="358">
        <f>'Planning Engine'!A2200</f>
        <v>47484</v>
      </c>
      <c r="B946" s="274" t="s">
        <v>960</v>
      </c>
      <c r="C946" s="278" t="str">
        <f>'Planning Engine'!C2200</f>
        <v>Label/Pack</v>
      </c>
      <c r="D946" s="278" t="str">
        <f>'Planning Engine'!D2200</f>
        <v>units</v>
      </c>
      <c r="E946" s="276">
        <f>'Planning Engine'!E2200</f>
        <v>0</v>
      </c>
      <c r="F946" s="276">
        <f>'Planning Engine'!F2200</f>
        <v>0</v>
      </c>
      <c r="G946" s="276">
        <f>'Planning Engine'!G2200</f>
        <v>0</v>
      </c>
      <c r="H946" s="276">
        <f t="shared" si="30"/>
        <v>0</v>
      </c>
      <c r="I946" s="276">
        <f>'Planning Engine'!H2200</f>
        <v>0</v>
      </c>
      <c r="J946" s="277">
        <f ca="1">'Planning Engine'!J2200</f>
        <v>0</v>
      </c>
      <c r="K946" s="276">
        <f ca="1">'Planning Engine'!K2200</f>
        <v>0</v>
      </c>
      <c r="L946" s="278" t="str">
        <f>'Planning Engine'!L2200</f>
        <v>High</v>
      </c>
      <c r="M946" s="358">
        <f>'Planning Engine'!S2200</f>
        <v>47392</v>
      </c>
      <c r="N946" s="276">
        <f>'Planning Engine'!T2200</f>
        <v>0</v>
      </c>
      <c r="O946" s="359" cm="1">
        <f t="array" ref="O946">IFERROR(SUMPRODUCT(('Planning Engine'!$B$4:$B$2500="47mg LP - EU Stock")*('Planning Engine'!$A$4:$A$2500='Planning Engine'!A2200)*'Planning Engine'!$U$4:$U$2500),"--")</f>
        <v>0</v>
      </c>
      <c r="P946" s="278" t="str">
        <f t="shared" si="31"/>
        <v>⚠ Expedite production / source alternate</v>
      </c>
    </row>
    <row r="947" spans="1:16" x14ac:dyDescent="0.35">
      <c r="A947" s="360">
        <f>'Planning Engine'!A2201</f>
        <v>47515</v>
      </c>
      <c r="B947" s="269" t="s">
        <v>960</v>
      </c>
      <c r="C947" s="273" t="str">
        <f>'Planning Engine'!C2201</f>
        <v>Label/Pack</v>
      </c>
      <c r="D947" s="273" t="str">
        <f>'Planning Engine'!D2201</f>
        <v>units</v>
      </c>
      <c r="E947" s="271">
        <f>'Planning Engine'!E2201</f>
        <v>0</v>
      </c>
      <c r="F947" s="271">
        <f>'Planning Engine'!F2201</f>
        <v>0</v>
      </c>
      <c r="G947" s="271">
        <f>'Planning Engine'!G2201</f>
        <v>0</v>
      </c>
      <c r="H947" s="271">
        <f t="shared" si="30"/>
        <v>0</v>
      </c>
      <c r="I947" s="271">
        <f>'Planning Engine'!H2201</f>
        <v>0</v>
      </c>
      <c r="J947" s="272">
        <f ca="1">'Planning Engine'!J2201</f>
        <v>0</v>
      </c>
      <c r="K947" s="271">
        <f ca="1">'Planning Engine'!K2201</f>
        <v>0</v>
      </c>
      <c r="L947" s="273" t="str">
        <f>'Planning Engine'!L2201</f>
        <v>High</v>
      </c>
      <c r="M947" s="360">
        <f>'Planning Engine'!S2201</f>
        <v>47423</v>
      </c>
      <c r="N947" s="271">
        <f>'Planning Engine'!T2201</f>
        <v>0</v>
      </c>
      <c r="O947" s="361" cm="1">
        <f t="array" ref="O947">IFERROR(SUMPRODUCT(('Planning Engine'!$B$4:$B$2500="47mg LP - EU Stock")*('Planning Engine'!$A$4:$A$2500='Planning Engine'!A2201)*'Planning Engine'!$U$4:$U$2500),"--")</f>
        <v>0</v>
      </c>
      <c r="P947" s="273" t="str">
        <f t="shared" si="31"/>
        <v>⚠ Expedite production / source alternate</v>
      </c>
    </row>
    <row r="948" spans="1:16" x14ac:dyDescent="0.35">
      <c r="A948" s="358">
        <f>'Planning Engine'!A2202</f>
        <v>47543</v>
      </c>
      <c r="B948" s="274" t="s">
        <v>960</v>
      </c>
      <c r="C948" s="278" t="str">
        <f>'Planning Engine'!C2202</f>
        <v>Label/Pack</v>
      </c>
      <c r="D948" s="278" t="str">
        <f>'Planning Engine'!D2202</f>
        <v>units</v>
      </c>
      <c r="E948" s="276">
        <f>'Planning Engine'!E2202</f>
        <v>0</v>
      </c>
      <c r="F948" s="276">
        <f>'Planning Engine'!F2202</f>
        <v>0</v>
      </c>
      <c r="G948" s="276">
        <f>'Planning Engine'!G2202</f>
        <v>0</v>
      </c>
      <c r="H948" s="276">
        <f t="shared" si="30"/>
        <v>0</v>
      </c>
      <c r="I948" s="276">
        <f>'Planning Engine'!H2202</f>
        <v>0</v>
      </c>
      <c r="J948" s="277">
        <f ca="1">'Planning Engine'!J2202</f>
        <v>0</v>
      </c>
      <c r="K948" s="276">
        <f ca="1">'Planning Engine'!K2202</f>
        <v>0</v>
      </c>
      <c r="L948" s="278" t="str">
        <f>'Planning Engine'!L2202</f>
        <v>High</v>
      </c>
      <c r="M948" s="358">
        <f>'Planning Engine'!S2202</f>
        <v>47453</v>
      </c>
      <c r="N948" s="276">
        <f>'Planning Engine'!T2202</f>
        <v>0</v>
      </c>
      <c r="O948" s="359" cm="1">
        <f t="array" ref="O948">IFERROR(SUMPRODUCT(('Planning Engine'!$B$4:$B$2500="47mg LP - EU Stock")*('Planning Engine'!$A$4:$A$2500='Planning Engine'!A2202)*'Planning Engine'!$U$4:$U$2500),"--")</f>
        <v>0</v>
      </c>
      <c r="P948" s="278" t="str">
        <f t="shared" si="31"/>
        <v>⚠ Expedite production / source alternate</v>
      </c>
    </row>
    <row r="949" spans="1:16" x14ac:dyDescent="0.35">
      <c r="A949" s="360">
        <f>'Planning Engine'!A2203</f>
        <v>47574</v>
      </c>
      <c r="B949" s="269" t="s">
        <v>960</v>
      </c>
      <c r="C949" s="273" t="str">
        <f>'Planning Engine'!C2203</f>
        <v>Label/Pack</v>
      </c>
      <c r="D949" s="273" t="str">
        <f>'Planning Engine'!D2203</f>
        <v>units</v>
      </c>
      <c r="E949" s="271">
        <f>'Planning Engine'!E2203</f>
        <v>0</v>
      </c>
      <c r="F949" s="271">
        <f>'Planning Engine'!F2203</f>
        <v>0</v>
      </c>
      <c r="G949" s="271">
        <f>'Planning Engine'!G2203</f>
        <v>0</v>
      </c>
      <c r="H949" s="271">
        <f t="shared" si="30"/>
        <v>0</v>
      </c>
      <c r="I949" s="271">
        <f>'Planning Engine'!H2203</f>
        <v>0</v>
      </c>
      <c r="J949" s="272">
        <f ca="1">'Planning Engine'!J2203</f>
        <v>0</v>
      </c>
      <c r="K949" s="271">
        <f ca="1">'Planning Engine'!K2203</f>
        <v>0</v>
      </c>
      <c r="L949" s="273" t="str">
        <f>'Planning Engine'!L2203</f>
        <v>High</v>
      </c>
      <c r="M949" s="360">
        <f>'Planning Engine'!S2203</f>
        <v>47484</v>
      </c>
      <c r="N949" s="271">
        <f>'Planning Engine'!T2203</f>
        <v>0</v>
      </c>
      <c r="O949" s="361" cm="1">
        <f t="array" ref="O949">IFERROR(SUMPRODUCT(('Planning Engine'!$B$4:$B$2500="47mg LP - EU Stock")*('Planning Engine'!$A$4:$A$2500='Planning Engine'!A2203)*'Planning Engine'!$U$4:$U$2500),"--")</f>
        <v>0</v>
      </c>
      <c r="P949" s="273" t="str">
        <f t="shared" si="31"/>
        <v>⚠ Expedite production / source alternate</v>
      </c>
    </row>
    <row r="950" spans="1:16" x14ac:dyDescent="0.35">
      <c r="A950" s="358">
        <f>'Planning Engine'!A2204</f>
        <v>47604</v>
      </c>
      <c r="B950" s="274" t="s">
        <v>960</v>
      </c>
      <c r="C950" s="278" t="str">
        <f>'Planning Engine'!C2204</f>
        <v>Label/Pack</v>
      </c>
      <c r="D950" s="278" t="str">
        <f>'Planning Engine'!D2204</f>
        <v>units</v>
      </c>
      <c r="E950" s="276">
        <f>'Planning Engine'!E2204</f>
        <v>0</v>
      </c>
      <c r="F950" s="276">
        <f>'Planning Engine'!F2204</f>
        <v>0</v>
      </c>
      <c r="G950" s="276">
        <f>'Planning Engine'!G2204</f>
        <v>0</v>
      </c>
      <c r="H950" s="276">
        <f t="shared" si="30"/>
        <v>0</v>
      </c>
      <c r="I950" s="276">
        <f>'Planning Engine'!H2204</f>
        <v>0</v>
      </c>
      <c r="J950" s="277">
        <f ca="1">'Planning Engine'!J2204</f>
        <v>0</v>
      </c>
      <c r="K950" s="276">
        <f ca="1">'Planning Engine'!K2204</f>
        <v>0</v>
      </c>
      <c r="L950" s="278" t="str">
        <f>'Planning Engine'!L2204</f>
        <v>High</v>
      </c>
      <c r="M950" s="358">
        <f>'Planning Engine'!S2204</f>
        <v>47515</v>
      </c>
      <c r="N950" s="276">
        <f>'Planning Engine'!T2204</f>
        <v>0</v>
      </c>
      <c r="O950" s="359" cm="1">
        <f t="array" ref="O950">IFERROR(SUMPRODUCT(('Planning Engine'!$B$4:$B$2500="47mg LP - EU Stock")*('Planning Engine'!$A$4:$A$2500='Planning Engine'!A2204)*'Planning Engine'!$U$4:$U$2500),"--")</f>
        <v>0</v>
      </c>
      <c r="P950" s="278" t="str">
        <f t="shared" si="31"/>
        <v>⚠ Expedite production / source alternate</v>
      </c>
    </row>
    <row r="951" spans="1:16" x14ac:dyDescent="0.35">
      <c r="A951" s="360">
        <f>'Planning Engine'!A2205</f>
        <v>47635</v>
      </c>
      <c r="B951" s="269" t="s">
        <v>960</v>
      </c>
      <c r="C951" s="273" t="str">
        <f>'Planning Engine'!C2205</f>
        <v>Label/Pack</v>
      </c>
      <c r="D951" s="273" t="str">
        <f>'Planning Engine'!D2205</f>
        <v>units</v>
      </c>
      <c r="E951" s="271">
        <f>'Planning Engine'!E2205</f>
        <v>0</v>
      </c>
      <c r="F951" s="271">
        <f>'Planning Engine'!F2205</f>
        <v>0</v>
      </c>
      <c r="G951" s="271">
        <f>'Planning Engine'!G2205</f>
        <v>0</v>
      </c>
      <c r="H951" s="271">
        <f t="shared" si="30"/>
        <v>0</v>
      </c>
      <c r="I951" s="271">
        <f>'Planning Engine'!H2205</f>
        <v>0</v>
      </c>
      <c r="J951" s="272">
        <f ca="1">'Planning Engine'!J2205</f>
        <v>0</v>
      </c>
      <c r="K951" s="271">
        <f ca="1">'Planning Engine'!K2205</f>
        <v>0</v>
      </c>
      <c r="L951" s="273" t="str">
        <f>'Planning Engine'!L2205</f>
        <v>High</v>
      </c>
      <c r="M951" s="360">
        <f>'Planning Engine'!S2205</f>
        <v>47543</v>
      </c>
      <c r="N951" s="271">
        <f>'Planning Engine'!T2205</f>
        <v>0</v>
      </c>
      <c r="O951" s="361" cm="1">
        <f t="array" ref="O951">IFERROR(SUMPRODUCT(('Planning Engine'!$B$4:$B$2500="47mg LP - EU Stock")*('Planning Engine'!$A$4:$A$2500='Planning Engine'!A2205)*'Planning Engine'!$U$4:$U$2500),"--")</f>
        <v>0</v>
      </c>
      <c r="P951" s="273" t="str">
        <f t="shared" si="31"/>
        <v>⚠ Expedite production / source alternate</v>
      </c>
    </row>
    <row r="952" spans="1:16" x14ac:dyDescent="0.35">
      <c r="A952" s="358">
        <f>'Planning Engine'!A2206</f>
        <v>47665</v>
      </c>
      <c r="B952" s="274" t="s">
        <v>960</v>
      </c>
      <c r="C952" s="278" t="str">
        <f>'Planning Engine'!C2206</f>
        <v>Label/Pack</v>
      </c>
      <c r="D952" s="278" t="str">
        <f>'Planning Engine'!D2206</f>
        <v>units</v>
      </c>
      <c r="E952" s="276">
        <f>'Planning Engine'!E2206</f>
        <v>0</v>
      </c>
      <c r="F952" s="276">
        <f>'Planning Engine'!F2206</f>
        <v>0</v>
      </c>
      <c r="G952" s="276">
        <f>'Planning Engine'!G2206</f>
        <v>0</v>
      </c>
      <c r="H952" s="276">
        <f t="shared" si="30"/>
        <v>0</v>
      </c>
      <c r="I952" s="276">
        <f>'Planning Engine'!H2206</f>
        <v>0</v>
      </c>
      <c r="J952" s="277">
        <f ca="1">'Planning Engine'!J2206</f>
        <v>0</v>
      </c>
      <c r="K952" s="276">
        <f ca="1">'Planning Engine'!K2206</f>
        <v>0</v>
      </c>
      <c r="L952" s="278" t="str">
        <f>'Planning Engine'!L2206</f>
        <v>High</v>
      </c>
      <c r="M952" s="358">
        <f>'Planning Engine'!S2206</f>
        <v>47574</v>
      </c>
      <c r="N952" s="276">
        <f>'Planning Engine'!T2206</f>
        <v>0</v>
      </c>
      <c r="O952" s="359" cm="1">
        <f t="array" ref="O952">IFERROR(SUMPRODUCT(('Planning Engine'!$B$4:$B$2500="47mg LP - EU Stock")*('Planning Engine'!$A$4:$A$2500='Planning Engine'!A2206)*'Planning Engine'!$U$4:$U$2500),"--")</f>
        <v>0</v>
      </c>
      <c r="P952" s="278" t="str">
        <f t="shared" si="31"/>
        <v>⚠ Expedite production / source alternate</v>
      </c>
    </row>
    <row r="953" spans="1:16" x14ac:dyDescent="0.35">
      <c r="A953" s="360">
        <f>'Planning Engine'!A2207</f>
        <v>47696</v>
      </c>
      <c r="B953" s="269" t="s">
        <v>960</v>
      </c>
      <c r="C953" s="273" t="str">
        <f>'Planning Engine'!C2207</f>
        <v>Label/Pack</v>
      </c>
      <c r="D953" s="273" t="str">
        <f>'Planning Engine'!D2207</f>
        <v>units</v>
      </c>
      <c r="E953" s="271">
        <f>'Planning Engine'!E2207</f>
        <v>0</v>
      </c>
      <c r="F953" s="271">
        <f>'Planning Engine'!F2207</f>
        <v>0</v>
      </c>
      <c r="G953" s="271">
        <f>'Planning Engine'!G2207</f>
        <v>0</v>
      </c>
      <c r="H953" s="271">
        <f t="shared" si="30"/>
        <v>0</v>
      </c>
      <c r="I953" s="271">
        <f>'Planning Engine'!H2207</f>
        <v>0</v>
      </c>
      <c r="J953" s="272">
        <f ca="1">'Planning Engine'!J2207</f>
        <v>0</v>
      </c>
      <c r="K953" s="271">
        <f ca="1">'Planning Engine'!K2207</f>
        <v>0</v>
      </c>
      <c r="L953" s="273" t="str">
        <f>'Planning Engine'!L2207</f>
        <v>High</v>
      </c>
      <c r="M953" s="360">
        <f>'Planning Engine'!S2207</f>
        <v>47604</v>
      </c>
      <c r="N953" s="271">
        <f>'Planning Engine'!T2207</f>
        <v>0</v>
      </c>
      <c r="O953" s="361" cm="1">
        <f t="array" ref="O953">IFERROR(SUMPRODUCT(('Planning Engine'!$B$4:$B$2500="47mg LP - EU Stock")*('Planning Engine'!$A$4:$A$2500='Planning Engine'!A2207)*'Planning Engine'!$U$4:$U$2500),"--")</f>
        <v>0</v>
      </c>
      <c r="P953" s="273" t="str">
        <f t="shared" si="31"/>
        <v>⚠ Expedite production / source alternate</v>
      </c>
    </row>
    <row r="954" spans="1:16" x14ac:dyDescent="0.35">
      <c r="A954" s="358">
        <f>'Planning Engine'!A2208</f>
        <v>47727</v>
      </c>
      <c r="B954" s="274" t="s">
        <v>960</v>
      </c>
      <c r="C954" s="278" t="str">
        <f>'Planning Engine'!C2208</f>
        <v>Label/Pack</v>
      </c>
      <c r="D954" s="278" t="str">
        <f>'Planning Engine'!D2208</f>
        <v>units</v>
      </c>
      <c r="E954" s="276">
        <f>'Planning Engine'!E2208</f>
        <v>0</v>
      </c>
      <c r="F954" s="276">
        <f>'Planning Engine'!F2208</f>
        <v>0</v>
      </c>
      <c r="G954" s="276">
        <f>'Planning Engine'!G2208</f>
        <v>0</v>
      </c>
      <c r="H954" s="276">
        <f t="shared" si="30"/>
        <v>0</v>
      </c>
      <c r="I954" s="276">
        <f>'Planning Engine'!H2208</f>
        <v>0</v>
      </c>
      <c r="J954" s="277">
        <f ca="1">'Planning Engine'!J2208</f>
        <v>0</v>
      </c>
      <c r="K954" s="276">
        <f ca="1">'Planning Engine'!K2208</f>
        <v>0</v>
      </c>
      <c r="L954" s="278" t="str">
        <f>'Planning Engine'!L2208</f>
        <v>High</v>
      </c>
      <c r="M954" s="358">
        <f>'Planning Engine'!S2208</f>
        <v>47635</v>
      </c>
      <c r="N954" s="276">
        <f>'Planning Engine'!T2208</f>
        <v>0</v>
      </c>
      <c r="O954" s="359" cm="1">
        <f t="array" ref="O954">IFERROR(SUMPRODUCT(('Planning Engine'!$B$4:$B$2500="47mg LP - EU Stock")*('Planning Engine'!$A$4:$A$2500='Planning Engine'!A2208)*'Planning Engine'!$U$4:$U$2500),"--")</f>
        <v>0</v>
      </c>
      <c r="P954" s="278" t="str">
        <f t="shared" si="31"/>
        <v>⚠ Expedite production / source alternate</v>
      </c>
    </row>
    <row r="955" spans="1:16" x14ac:dyDescent="0.35">
      <c r="A955" s="360">
        <f>'Planning Engine'!A2209</f>
        <v>47757</v>
      </c>
      <c r="B955" s="269" t="s">
        <v>960</v>
      </c>
      <c r="C955" s="273" t="str">
        <f>'Planning Engine'!C2209</f>
        <v>Label/Pack</v>
      </c>
      <c r="D955" s="273" t="str">
        <f>'Planning Engine'!D2209</f>
        <v>units</v>
      </c>
      <c r="E955" s="271">
        <f>'Planning Engine'!E2209</f>
        <v>0</v>
      </c>
      <c r="F955" s="271">
        <f>'Planning Engine'!F2209</f>
        <v>0</v>
      </c>
      <c r="G955" s="271">
        <f>'Planning Engine'!G2209</f>
        <v>0</v>
      </c>
      <c r="H955" s="271">
        <f t="shared" si="30"/>
        <v>0</v>
      </c>
      <c r="I955" s="271">
        <f>'Planning Engine'!H2209</f>
        <v>0</v>
      </c>
      <c r="J955" s="272">
        <f ca="1">'Planning Engine'!J2209</f>
        <v>0</v>
      </c>
      <c r="K955" s="271">
        <f ca="1">'Planning Engine'!K2209</f>
        <v>0</v>
      </c>
      <c r="L955" s="273" t="str">
        <f>'Planning Engine'!L2209</f>
        <v>High</v>
      </c>
      <c r="M955" s="360">
        <f>'Planning Engine'!S2209</f>
        <v>47665</v>
      </c>
      <c r="N955" s="271">
        <f>'Planning Engine'!T2209</f>
        <v>0</v>
      </c>
      <c r="O955" s="361" cm="1">
        <f t="array" ref="O955">IFERROR(SUMPRODUCT(('Planning Engine'!$B$4:$B$2500="47mg LP - EU Stock")*('Planning Engine'!$A$4:$A$2500='Planning Engine'!A2209)*'Planning Engine'!$U$4:$U$2500),"--")</f>
        <v>0</v>
      </c>
      <c r="P955" s="273" t="str">
        <f t="shared" si="31"/>
        <v>⚠ Expedite production / source alternate</v>
      </c>
    </row>
    <row r="956" spans="1:16" x14ac:dyDescent="0.35">
      <c r="A956" s="358">
        <f>'Planning Engine'!A2210</f>
        <v>47788</v>
      </c>
      <c r="B956" s="274" t="s">
        <v>960</v>
      </c>
      <c r="C956" s="278" t="str">
        <f>'Planning Engine'!C2210</f>
        <v>Label/Pack</v>
      </c>
      <c r="D956" s="278" t="str">
        <f>'Planning Engine'!D2210</f>
        <v>units</v>
      </c>
      <c r="E956" s="276">
        <f>'Planning Engine'!E2210</f>
        <v>0</v>
      </c>
      <c r="F956" s="276">
        <f>'Planning Engine'!F2210</f>
        <v>0</v>
      </c>
      <c r="G956" s="276">
        <f>'Planning Engine'!G2210</f>
        <v>0</v>
      </c>
      <c r="H956" s="276">
        <f t="shared" si="30"/>
        <v>0</v>
      </c>
      <c r="I956" s="276">
        <f>'Planning Engine'!H2210</f>
        <v>0</v>
      </c>
      <c r="J956" s="277">
        <f ca="1">'Planning Engine'!J2210</f>
        <v>0</v>
      </c>
      <c r="K956" s="276">
        <f ca="1">'Planning Engine'!K2210</f>
        <v>0</v>
      </c>
      <c r="L956" s="278" t="str">
        <f>'Planning Engine'!L2210</f>
        <v>High</v>
      </c>
      <c r="M956" s="358">
        <f>'Planning Engine'!S2210</f>
        <v>47696</v>
      </c>
      <c r="N956" s="276">
        <f>'Planning Engine'!T2210</f>
        <v>0</v>
      </c>
      <c r="O956" s="359" cm="1">
        <f t="array" ref="O956">IFERROR(SUMPRODUCT(('Planning Engine'!$B$4:$B$2500="47mg LP - EU Stock")*('Planning Engine'!$A$4:$A$2500='Planning Engine'!A2210)*'Planning Engine'!$U$4:$U$2500),"--")</f>
        <v>0</v>
      </c>
      <c r="P956" s="278" t="str">
        <f t="shared" si="31"/>
        <v>⚠ Expedite production / source alternate</v>
      </c>
    </row>
    <row r="957" spans="1:16" x14ac:dyDescent="0.35">
      <c r="A957" s="360">
        <f>'Planning Engine'!A2211</f>
        <v>47818</v>
      </c>
      <c r="B957" s="269" t="s">
        <v>960</v>
      </c>
      <c r="C957" s="273" t="str">
        <f>'Planning Engine'!C2211</f>
        <v>Label/Pack</v>
      </c>
      <c r="D957" s="273" t="str">
        <f>'Planning Engine'!D2211</f>
        <v>units</v>
      </c>
      <c r="E957" s="271">
        <f>'Planning Engine'!E2211</f>
        <v>0</v>
      </c>
      <c r="F957" s="271">
        <f>'Planning Engine'!F2211</f>
        <v>0</v>
      </c>
      <c r="G957" s="271">
        <f>'Planning Engine'!G2211</f>
        <v>0</v>
      </c>
      <c r="H957" s="271">
        <f t="shared" si="30"/>
        <v>0</v>
      </c>
      <c r="I957" s="271">
        <f>'Planning Engine'!H2211</f>
        <v>0</v>
      </c>
      <c r="J957" s="272">
        <f ca="1">'Planning Engine'!J2211</f>
        <v>0</v>
      </c>
      <c r="K957" s="271">
        <f ca="1">'Planning Engine'!K2211</f>
        <v>0</v>
      </c>
      <c r="L957" s="273" t="str">
        <f>'Planning Engine'!L2211</f>
        <v>High</v>
      </c>
      <c r="M957" s="360">
        <f>'Planning Engine'!S2211</f>
        <v>47727</v>
      </c>
      <c r="N957" s="271">
        <f>'Planning Engine'!T2211</f>
        <v>0</v>
      </c>
      <c r="O957" s="361" cm="1">
        <f t="array" ref="O957">IFERROR(SUMPRODUCT(('Planning Engine'!$B$4:$B$2500="47mg LP - EU Stock")*('Planning Engine'!$A$4:$A$2500='Planning Engine'!A2211)*'Planning Engine'!$U$4:$U$2500),"--")</f>
        <v>0</v>
      </c>
      <c r="P957" s="273" t="str">
        <f t="shared" si="31"/>
        <v>⚠ Expedite production / source alternate</v>
      </c>
    </row>
    <row r="958" spans="1:16" x14ac:dyDescent="0.35">
      <c r="A958" s="358">
        <f>'Planning Engine'!A2212</f>
        <v>47849</v>
      </c>
      <c r="B958" s="274" t="s">
        <v>960</v>
      </c>
      <c r="C958" s="278" t="str">
        <f>'Planning Engine'!C2212</f>
        <v>Label/Pack</v>
      </c>
      <c r="D958" s="278" t="str">
        <f>'Planning Engine'!D2212</f>
        <v>units</v>
      </c>
      <c r="E958" s="276">
        <f>'Planning Engine'!E2212</f>
        <v>0</v>
      </c>
      <c r="F958" s="276">
        <f>'Planning Engine'!F2212</f>
        <v>0</v>
      </c>
      <c r="G958" s="276">
        <f>'Planning Engine'!G2212</f>
        <v>0</v>
      </c>
      <c r="H958" s="276">
        <f t="shared" si="30"/>
        <v>0</v>
      </c>
      <c r="I958" s="276">
        <f>'Planning Engine'!H2212</f>
        <v>0</v>
      </c>
      <c r="J958" s="277">
        <f ca="1">'Planning Engine'!J2212</f>
        <v>0</v>
      </c>
      <c r="K958" s="276">
        <f ca="1">'Planning Engine'!K2212</f>
        <v>0</v>
      </c>
      <c r="L958" s="278" t="str">
        <f>'Planning Engine'!L2212</f>
        <v>High</v>
      </c>
      <c r="M958" s="358">
        <f>'Planning Engine'!S2212</f>
        <v>47757</v>
      </c>
      <c r="N958" s="276">
        <f>'Planning Engine'!T2212</f>
        <v>0</v>
      </c>
      <c r="O958" s="359" cm="1">
        <f t="array" ref="O958">IFERROR(SUMPRODUCT(('Planning Engine'!$B$4:$B$2500="47mg LP - EU Stock")*('Planning Engine'!$A$4:$A$2500='Planning Engine'!A2212)*'Planning Engine'!$U$4:$U$2500),"--")</f>
        <v>0</v>
      </c>
      <c r="P958" s="278" t="str">
        <f t="shared" si="31"/>
        <v>⚠ Expedite production / source alternate</v>
      </c>
    </row>
    <row r="959" spans="1:16" x14ac:dyDescent="0.35">
      <c r="A959" s="360">
        <f>'Planning Engine'!A2213</f>
        <v>47880</v>
      </c>
      <c r="B959" s="269" t="s">
        <v>960</v>
      </c>
      <c r="C959" s="273" t="str">
        <f>'Planning Engine'!C2213</f>
        <v>Label/Pack</v>
      </c>
      <c r="D959" s="273" t="str">
        <f>'Planning Engine'!D2213</f>
        <v>units</v>
      </c>
      <c r="E959" s="271">
        <f>'Planning Engine'!E2213</f>
        <v>0</v>
      </c>
      <c r="F959" s="271">
        <f>'Planning Engine'!F2213</f>
        <v>0</v>
      </c>
      <c r="G959" s="271">
        <f>'Planning Engine'!G2213</f>
        <v>0</v>
      </c>
      <c r="H959" s="271">
        <f t="shared" si="30"/>
        <v>0</v>
      </c>
      <c r="I959" s="271">
        <f>'Planning Engine'!H2213</f>
        <v>0</v>
      </c>
      <c r="J959" s="272">
        <f ca="1">'Planning Engine'!J2213</f>
        <v>0</v>
      </c>
      <c r="K959" s="271">
        <f ca="1">'Planning Engine'!K2213</f>
        <v>0</v>
      </c>
      <c r="L959" s="273" t="str">
        <f>'Planning Engine'!L2213</f>
        <v>High</v>
      </c>
      <c r="M959" s="360">
        <f>'Planning Engine'!S2213</f>
        <v>47788</v>
      </c>
      <c r="N959" s="271">
        <f>'Planning Engine'!T2213</f>
        <v>0</v>
      </c>
      <c r="O959" s="361" cm="1">
        <f t="array" ref="O959">IFERROR(SUMPRODUCT(('Planning Engine'!$B$4:$B$2500="47mg LP - EU Stock")*('Planning Engine'!$A$4:$A$2500='Planning Engine'!A2213)*'Planning Engine'!$U$4:$U$2500),"--")</f>
        <v>0</v>
      </c>
      <c r="P959" s="273" t="str">
        <f t="shared" si="31"/>
        <v>⚠ Expedite production / source alternate</v>
      </c>
    </row>
    <row r="960" spans="1:16" x14ac:dyDescent="0.35">
      <c r="A960" s="358">
        <f>'Planning Engine'!A2214</f>
        <v>47908</v>
      </c>
      <c r="B960" s="274" t="s">
        <v>960</v>
      </c>
      <c r="C960" s="278" t="str">
        <f>'Planning Engine'!C2214</f>
        <v>Label/Pack</v>
      </c>
      <c r="D960" s="278" t="str">
        <f>'Planning Engine'!D2214</f>
        <v>units</v>
      </c>
      <c r="E960" s="276">
        <f>'Planning Engine'!E2214</f>
        <v>0</v>
      </c>
      <c r="F960" s="276">
        <f>'Planning Engine'!F2214</f>
        <v>0</v>
      </c>
      <c r="G960" s="276">
        <f>'Planning Engine'!G2214</f>
        <v>0</v>
      </c>
      <c r="H960" s="276">
        <f t="shared" si="30"/>
        <v>0</v>
      </c>
      <c r="I960" s="276">
        <f>'Planning Engine'!H2214</f>
        <v>0</v>
      </c>
      <c r="J960" s="277">
        <f ca="1">'Planning Engine'!J2214</f>
        <v>0</v>
      </c>
      <c r="K960" s="276">
        <f ca="1">'Planning Engine'!K2214</f>
        <v>0</v>
      </c>
      <c r="L960" s="278" t="str">
        <f>'Planning Engine'!L2214</f>
        <v>High</v>
      </c>
      <c r="M960" s="358">
        <f>'Planning Engine'!S2214</f>
        <v>47818</v>
      </c>
      <c r="N960" s="276">
        <f>'Planning Engine'!T2214</f>
        <v>0</v>
      </c>
      <c r="O960" s="359" cm="1">
        <f t="array" ref="O960">IFERROR(SUMPRODUCT(('Planning Engine'!$B$4:$B$2500="47mg LP - EU Stock")*('Planning Engine'!$A$4:$A$2500='Planning Engine'!A2214)*'Planning Engine'!$U$4:$U$2500),"--")</f>
        <v>0</v>
      </c>
      <c r="P960" s="278" t="str">
        <f t="shared" si="31"/>
        <v>⚠ Expedite production / source alternate</v>
      </c>
    </row>
    <row r="961" spans="1:16" x14ac:dyDescent="0.35">
      <c r="A961" s="360">
        <f>'Planning Engine'!A2215</f>
        <v>47939</v>
      </c>
      <c r="B961" s="269" t="s">
        <v>960</v>
      </c>
      <c r="C961" s="273" t="str">
        <f>'Planning Engine'!C2215</f>
        <v>Label/Pack</v>
      </c>
      <c r="D961" s="273" t="str">
        <f>'Planning Engine'!D2215</f>
        <v>units</v>
      </c>
      <c r="E961" s="271">
        <f>'Planning Engine'!E2215</f>
        <v>0</v>
      </c>
      <c r="F961" s="271">
        <f>'Planning Engine'!F2215</f>
        <v>0</v>
      </c>
      <c r="G961" s="271">
        <f>'Planning Engine'!G2215</f>
        <v>0</v>
      </c>
      <c r="H961" s="271">
        <f t="shared" si="30"/>
        <v>0</v>
      </c>
      <c r="I961" s="271">
        <f>'Planning Engine'!H2215</f>
        <v>0</v>
      </c>
      <c r="J961" s="272">
        <f ca="1">'Planning Engine'!J2215</f>
        <v>0</v>
      </c>
      <c r="K961" s="271">
        <f ca="1">'Planning Engine'!K2215</f>
        <v>0</v>
      </c>
      <c r="L961" s="273" t="str">
        <f>'Planning Engine'!L2215</f>
        <v>High</v>
      </c>
      <c r="M961" s="360">
        <f>'Planning Engine'!S2215</f>
        <v>47849</v>
      </c>
      <c r="N961" s="271">
        <f>'Planning Engine'!T2215</f>
        <v>0</v>
      </c>
      <c r="O961" s="361" cm="1">
        <f t="array" ref="O961">IFERROR(SUMPRODUCT(('Planning Engine'!$B$4:$B$2500="47mg LP - EU Stock")*('Planning Engine'!$A$4:$A$2500='Planning Engine'!A2215)*'Planning Engine'!$U$4:$U$2500),"--")</f>
        <v>0</v>
      </c>
      <c r="P961" s="273" t="str">
        <f t="shared" si="31"/>
        <v>⚠ Expedite production / source alternate</v>
      </c>
    </row>
    <row r="962" spans="1:16" x14ac:dyDescent="0.35">
      <c r="A962" s="358">
        <f>'Planning Engine'!A2216</f>
        <v>47969</v>
      </c>
      <c r="B962" s="274" t="s">
        <v>960</v>
      </c>
      <c r="C962" s="278" t="str">
        <f>'Planning Engine'!C2216</f>
        <v>Label/Pack</v>
      </c>
      <c r="D962" s="278" t="str">
        <f>'Planning Engine'!D2216</f>
        <v>units</v>
      </c>
      <c r="E962" s="276">
        <f>'Planning Engine'!E2216</f>
        <v>0</v>
      </c>
      <c r="F962" s="276">
        <f>'Planning Engine'!F2216</f>
        <v>0</v>
      </c>
      <c r="G962" s="276">
        <f>'Planning Engine'!G2216</f>
        <v>0</v>
      </c>
      <c r="H962" s="276">
        <f t="shared" si="30"/>
        <v>0</v>
      </c>
      <c r="I962" s="276">
        <f>'Planning Engine'!H2216</f>
        <v>0</v>
      </c>
      <c r="J962" s="277">
        <f ca="1">'Planning Engine'!J2216</f>
        <v>0</v>
      </c>
      <c r="K962" s="276">
        <f ca="1">'Planning Engine'!K2216</f>
        <v>0</v>
      </c>
      <c r="L962" s="278" t="str">
        <f>'Planning Engine'!L2216</f>
        <v>High</v>
      </c>
      <c r="M962" s="358">
        <f>'Planning Engine'!S2216</f>
        <v>47880</v>
      </c>
      <c r="N962" s="276">
        <f>'Planning Engine'!T2216</f>
        <v>0</v>
      </c>
      <c r="O962" s="359" cm="1">
        <f t="array" ref="O962">IFERROR(SUMPRODUCT(('Planning Engine'!$B$4:$B$2500="47mg LP - EU Stock")*('Planning Engine'!$A$4:$A$2500='Planning Engine'!A2216)*'Planning Engine'!$U$4:$U$2500),"--")</f>
        <v>0</v>
      </c>
      <c r="P962" s="278" t="str">
        <f t="shared" si="31"/>
        <v>⚠ Expedite production / source alternate</v>
      </c>
    </row>
    <row r="963" spans="1:16" x14ac:dyDescent="0.35">
      <c r="A963" s="360">
        <f>'Planning Engine'!A2217</f>
        <v>48000</v>
      </c>
      <c r="B963" s="269" t="s">
        <v>960</v>
      </c>
      <c r="C963" s="273" t="str">
        <f>'Planning Engine'!C2217</f>
        <v>Label/Pack</v>
      </c>
      <c r="D963" s="273" t="str">
        <f>'Planning Engine'!D2217</f>
        <v>units</v>
      </c>
      <c r="E963" s="271">
        <f>'Planning Engine'!E2217</f>
        <v>0</v>
      </c>
      <c r="F963" s="271">
        <f>'Planning Engine'!F2217</f>
        <v>0</v>
      </c>
      <c r="G963" s="271">
        <f>'Planning Engine'!G2217</f>
        <v>0</v>
      </c>
      <c r="H963" s="271">
        <f t="shared" si="30"/>
        <v>0</v>
      </c>
      <c r="I963" s="271">
        <f>'Planning Engine'!H2217</f>
        <v>0</v>
      </c>
      <c r="J963" s="272">
        <f ca="1">'Planning Engine'!J2217</f>
        <v>0</v>
      </c>
      <c r="K963" s="271">
        <f ca="1">'Planning Engine'!K2217</f>
        <v>0</v>
      </c>
      <c r="L963" s="273" t="str">
        <f>'Planning Engine'!L2217</f>
        <v>High</v>
      </c>
      <c r="M963" s="360">
        <f>'Planning Engine'!S2217</f>
        <v>47908</v>
      </c>
      <c r="N963" s="271">
        <f>'Planning Engine'!T2217</f>
        <v>0</v>
      </c>
      <c r="O963" s="361" cm="1">
        <f t="array" ref="O963">IFERROR(SUMPRODUCT(('Planning Engine'!$B$4:$B$2500="47mg LP - EU Stock")*('Planning Engine'!$A$4:$A$2500='Planning Engine'!A2217)*'Planning Engine'!$U$4:$U$2500),"--")</f>
        <v>0</v>
      </c>
      <c r="P963" s="273" t="str">
        <f t="shared" si="31"/>
        <v>⚠ Expedite production / source alternate</v>
      </c>
    </row>
    <row r="964" spans="1:16" x14ac:dyDescent="0.35">
      <c r="A964" s="358">
        <f>'Planning Engine'!A2218</f>
        <v>48030</v>
      </c>
      <c r="B964" s="274" t="s">
        <v>960</v>
      </c>
      <c r="C964" s="278" t="str">
        <f>'Planning Engine'!C2218</f>
        <v>Label/Pack</v>
      </c>
      <c r="D964" s="278" t="str">
        <f>'Planning Engine'!D2218</f>
        <v>units</v>
      </c>
      <c r="E964" s="276">
        <f>'Planning Engine'!E2218</f>
        <v>0</v>
      </c>
      <c r="F964" s="276">
        <f>'Planning Engine'!F2218</f>
        <v>0</v>
      </c>
      <c r="G964" s="276">
        <f>'Planning Engine'!G2218</f>
        <v>0</v>
      </c>
      <c r="H964" s="276">
        <f t="shared" ref="H964:H1027" si="32">G964-F964</f>
        <v>0</v>
      </c>
      <c r="I964" s="276">
        <f>'Planning Engine'!H2218</f>
        <v>0</v>
      </c>
      <c r="J964" s="277">
        <f ca="1">'Planning Engine'!J2218</f>
        <v>0</v>
      </c>
      <c r="K964" s="276">
        <f ca="1">'Planning Engine'!K2218</f>
        <v>0</v>
      </c>
      <c r="L964" s="278" t="str">
        <f>'Planning Engine'!L2218</f>
        <v>High</v>
      </c>
      <c r="M964" s="358">
        <f>'Planning Engine'!S2218</f>
        <v>47939</v>
      </c>
      <c r="N964" s="276">
        <f>'Planning Engine'!T2218</f>
        <v>0</v>
      </c>
      <c r="O964" s="359" cm="1">
        <f t="array" ref="O964">IFERROR(SUMPRODUCT(('Planning Engine'!$B$4:$B$2500="47mg LP - EU Stock")*('Planning Engine'!$A$4:$A$2500='Planning Engine'!A2218)*'Planning Engine'!$U$4:$U$2500),"--")</f>
        <v>0</v>
      </c>
      <c r="P964" s="278" t="str">
        <f t="shared" ref="P964:P1027" si="33">IFERROR(IF(L964="High","⚠ Expedite production / source alternate",IF(L964="Medium","Plan additional batches",IF(L964="Overstock","Defer / consume inventory","Plan acceptable"))),"--")</f>
        <v>⚠ Expedite production / source alternate</v>
      </c>
    </row>
    <row r="965" spans="1:16" x14ac:dyDescent="0.35">
      <c r="A965" s="360">
        <f>'Planning Engine'!A2219</f>
        <v>48061</v>
      </c>
      <c r="B965" s="269" t="s">
        <v>960</v>
      </c>
      <c r="C965" s="273" t="str">
        <f>'Planning Engine'!C2219</f>
        <v>Label/Pack</v>
      </c>
      <c r="D965" s="273" t="str">
        <f>'Planning Engine'!D2219</f>
        <v>units</v>
      </c>
      <c r="E965" s="271">
        <f>'Planning Engine'!E2219</f>
        <v>0</v>
      </c>
      <c r="F965" s="271">
        <f>'Planning Engine'!F2219</f>
        <v>0</v>
      </c>
      <c r="G965" s="271">
        <f>'Planning Engine'!G2219</f>
        <v>0</v>
      </c>
      <c r="H965" s="271">
        <f t="shared" si="32"/>
        <v>0</v>
      </c>
      <c r="I965" s="271">
        <f>'Planning Engine'!H2219</f>
        <v>0</v>
      </c>
      <c r="J965" s="272">
        <f ca="1">'Planning Engine'!J2219</f>
        <v>0</v>
      </c>
      <c r="K965" s="271">
        <f ca="1">'Planning Engine'!K2219</f>
        <v>0</v>
      </c>
      <c r="L965" s="273" t="str">
        <f>'Planning Engine'!L2219</f>
        <v>High</v>
      </c>
      <c r="M965" s="360">
        <f>'Planning Engine'!S2219</f>
        <v>47969</v>
      </c>
      <c r="N965" s="271">
        <f>'Planning Engine'!T2219</f>
        <v>0</v>
      </c>
      <c r="O965" s="361" cm="1">
        <f t="array" ref="O965">IFERROR(SUMPRODUCT(('Planning Engine'!$B$4:$B$2500="47mg LP - EU Stock")*('Planning Engine'!$A$4:$A$2500='Planning Engine'!A2219)*'Planning Engine'!$U$4:$U$2500),"--")</f>
        <v>0</v>
      </c>
      <c r="P965" s="273" t="str">
        <f t="shared" si="33"/>
        <v>⚠ Expedite production / source alternate</v>
      </c>
    </row>
    <row r="966" spans="1:16" x14ac:dyDescent="0.35">
      <c r="A966" s="358">
        <f>'Planning Engine'!A2220</f>
        <v>48092</v>
      </c>
      <c r="B966" s="274" t="s">
        <v>960</v>
      </c>
      <c r="C966" s="278" t="str">
        <f>'Planning Engine'!C2220</f>
        <v>Label/Pack</v>
      </c>
      <c r="D966" s="278" t="str">
        <f>'Planning Engine'!D2220</f>
        <v>units</v>
      </c>
      <c r="E966" s="276">
        <f>'Planning Engine'!E2220</f>
        <v>0</v>
      </c>
      <c r="F966" s="276">
        <f>'Planning Engine'!F2220</f>
        <v>0</v>
      </c>
      <c r="G966" s="276">
        <f>'Planning Engine'!G2220</f>
        <v>0</v>
      </c>
      <c r="H966" s="276">
        <f t="shared" si="32"/>
        <v>0</v>
      </c>
      <c r="I966" s="276">
        <f>'Planning Engine'!H2220</f>
        <v>0</v>
      </c>
      <c r="J966" s="277">
        <f ca="1">'Planning Engine'!J2220</f>
        <v>0</v>
      </c>
      <c r="K966" s="276">
        <f ca="1">'Planning Engine'!K2220</f>
        <v>0</v>
      </c>
      <c r="L966" s="278" t="str">
        <f>'Planning Engine'!L2220</f>
        <v>High</v>
      </c>
      <c r="M966" s="358">
        <f>'Planning Engine'!S2220</f>
        <v>48000</v>
      </c>
      <c r="N966" s="276">
        <f>'Planning Engine'!T2220</f>
        <v>0</v>
      </c>
      <c r="O966" s="359" cm="1">
        <f t="array" ref="O966">IFERROR(SUMPRODUCT(('Planning Engine'!$B$4:$B$2500="47mg LP - EU Stock")*('Planning Engine'!$A$4:$A$2500='Planning Engine'!A2220)*'Planning Engine'!$U$4:$U$2500),"--")</f>
        <v>0</v>
      </c>
      <c r="P966" s="278" t="str">
        <f t="shared" si="33"/>
        <v>⚠ Expedite production / source alternate</v>
      </c>
    </row>
    <row r="967" spans="1:16" x14ac:dyDescent="0.35">
      <c r="A967" s="360">
        <f>'Planning Engine'!A2221</f>
        <v>48122</v>
      </c>
      <c r="B967" s="269" t="s">
        <v>960</v>
      </c>
      <c r="C967" s="273" t="str">
        <f>'Planning Engine'!C2221</f>
        <v>Label/Pack</v>
      </c>
      <c r="D967" s="273" t="str">
        <f>'Planning Engine'!D2221</f>
        <v>units</v>
      </c>
      <c r="E967" s="271">
        <f>'Planning Engine'!E2221</f>
        <v>0</v>
      </c>
      <c r="F967" s="271">
        <f>'Planning Engine'!F2221</f>
        <v>0</v>
      </c>
      <c r="G967" s="271">
        <f>'Planning Engine'!G2221</f>
        <v>0</v>
      </c>
      <c r="H967" s="271">
        <f t="shared" si="32"/>
        <v>0</v>
      </c>
      <c r="I967" s="271">
        <f>'Planning Engine'!H2221</f>
        <v>0</v>
      </c>
      <c r="J967" s="272">
        <f ca="1">'Planning Engine'!J2221</f>
        <v>0</v>
      </c>
      <c r="K967" s="271">
        <f ca="1">'Planning Engine'!K2221</f>
        <v>0</v>
      </c>
      <c r="L967" s="273" t="str">
        <f>'Planning Engine'!L2221</f>
        <v>High</v>
      </c>
      <c r="M967" s="360">
        <f>'Planning Engine'!S2221</f>
        <v>48030</v>
      </c>
      <c r="N967" s="271">
        <f>'Planning Engine'!T2221</f>
        <v>0</v>
      </c>
      <c r="O967" s="361" cm="1">
        <f t="array" ref="O967">IFERROR(SUMPRODUCT(('Planning Engine'!$B$4:$B$2500="47mg LP - EU Stock")*('Planning Engine'!$A$4:$A$2500='Planning Engine'!A2221)*'Planning Engine'!$U$4:$U$2500),"--")</f>
        <v>0</v>
      </c>
      <c r="P967" s="273" t="str">
        <f t="shared" si="33"/>
        <v>⚠ Expedite production / source alternate</v>
      </c>
    </row>
    <row r="968" spans="1:16" x14ac:dyDescent="0.35">
      <c r="A968" s="358">
        <f>'Planning Engine'!A2222</f>
        <v>48153</v>
      </c>
      <c r="B968" s="274" t="s">
        <v>960</v>
      </c>
      <c r="C968" s="278" t="str">
        <f>'Planning Engine'!C2222</f>
        <v>Label/Pack</v>
      </c>
      <c r="D968" s="278" t="str">
        <f>'Planning Engine'!D2222</f>
        <v>units</v>
      </c>
      <c r="E968" s="276">
        <f>'Planning Engine'!E2222</f>
        <v>0</v>
      </c>
      <c r="F968" s="276">
        <f>'Planning Engine'!F2222</f>
        <v>0</v>
      </c>
      <c r="G968" s="276">
        <f>'Planning Engine'!G2222</f>
        <v>0</v>
      </c>
      <c r="H968" s="276">
        <f t="shared" si="32"/>
        <v>0</v>
      </c>
      <c r="I968" s="276">
        <f>'Planning Engine'!H2222</f>
        <v>0</v>
      </c>
      <c r="J968" s="277">
        <f ca="1">'Planning Engine'!J2222</f>
        <v>0</v>
      </c>
      <c r="K968" s="276">
        <f ca="1">'Planning Engine'!K2222</f>
        <v>0</v>
      </c>
      <c r="L968" s="278" t="str">
        <f>'Planning Engine'!L2222</f>
        <v>High</v>
      </c>
      <c r="M968" s="358">
        <f>'Planning Engine'!S2222</f>
        <v>48061</v>
      </c>
      <c r="N968" s="276">
        <f>'Planning Engine'!T2222</f>
        <v>0</v>
      </c>
      <c r="O968" s="359" cm="1">
        <f t="array" ref="O968">IFERROR(SUMPRODUCT(('Planning Engine'!$B$4:$B$2500="47mg LP - EU Stock")*('Planning Engine'!$A$4:$A$2500='Planning Engine'!A2222)*'Planning Engine'!$U$4:$U$2500),"--")</f>
        <v>0</v>
      </c>
      <c r="P968" s="278" t="str">
        <f t="shared" si="33"/>
        <v>⚠ Expedite production / source alternate</v>
      </c>
    </row>
    <row r="969" spans="1:16" x14ac:dyDescent="0.35">
      <c r="A969" s="360">
        <f>'Planning Engine'!A2223</f>
        <v>48183</v>
      </c>
      <c r="B969" s="269" t="s">
        <v>960</v>
      </c>
      <c r="C969" s="273" t="str">
        <f>'Planning Engine'!C2223</f>
        <v>Label/Pack</v>
      </c>
      <c r="D969" s="273" t="str">
        <f>'Planning Engine'!D2223</f>
        <v>units</v>
      </c>
      <c r="E969" s="271">
        <f>'Planning Engine'!E2223</f>
        <v>0</v>
      </c>
      <c r="F969" s="271">
        <f>'Planning Engine'!F2223</f>
        <v>0</v>
      </c>
      <c r="G969" s="271">
        <f>'Planning Engine'!G2223</f>
        <v>0</v>
      </c>
      <c r="H969" s="271">
        <f t="shared" si="32"/>
        <v>0</v>
      </c>
      <c r="I969" s="271">
        <f>'Planning Engine'!H2223</f>
        <v>0</v>
      </c>
      <c r="J969" s="272">
        <f ca="1">'Planning Engine'!J2223</f>
        <v>0</v>
      </c>
      <c r="K969" s="271">
        <f ca="1">'Planning Engine'!K2223</f>
        <v>0</v>
      </c>
      <c r="L969" s="273" t="str">
        <f>'Planning Engine'!L2223</f>
        <v>High</v>
      </c>
      <c r="M969" s="360">
        <f>'Planning Engine'!S2223</f>
        <v>48092</v>
      </c>
      <c r="N969" s="271">
        <f>'Planning Engine'!T2223</f>
        <v>0</v>
      </c>
      <c r="O969" s="361" cm="1">
        <f t="array" ref="O969">IFERROR(SUMPRODUCT(('Planning Engine'!$B$4:$B$2500="47mg LP - EU Stock")*('Planning Engine'!$A$4:$A$2500='Planning Engine'!A2223)*'Planning Engine'!$U$4:$U$2500),"--")</f>
        <v>0</v>
      </c>
      <c r="P969" s="273" t="str">
        <f t="shared" si="33"/>
        <v>⚠ Expedite production / source alternate</v>
      </c>
    </row>
    <row r="970" spans="1:16" x14ac:dyDescent="0.35">
      <c r="A970" s="358">
        <f>'Planning Engine'!A2224</f>
        <v>48214</v>
      </c>
      <c r="B970" s="274" t="s">
        <v>960</v>
      </c>
      <c r="C970" s="278" t="str">
        <f>'Planning Engine'!C2224</f>
        <v>Label/Pack</v>
      </c>
      <c r="D970" s="278" t="str">
        <f>'Planning Engine'!D2224</f>
        <v>units</v>
      </c>
      <c r="E970" s="276">
        <f>'Planning Engine'!E2224</f>
        <v>0</v>
      </c>
      <c r="F970" s="276">
        <f>'Planning Engine'!F2224</f>
        <v>0</v>
      </c>
      <c r="G970" s="276">
        <f>'Planning Engine'!G2224</f>
        <v>0</v>
      </c>
      <c r="H970" s="276">
        <f t="shared" si="32"/>
        <v>0</v>
      </c>
      <c r="I970" s="276">
        <f>'Planning Engine'!H2224</f>
        <v>0</v>
      </c>
      <c r="J970" s="277">
        <f ca="1">'Planning Engine'!J2224</f>
        <v>0</v>
      </c>
      <c r="K970" s="276">
        <f ca="1">'Planning Engine'!K2224</f>
        <v>0</v>
      </c>
      <c r="L970" s="278" t="str">
        <f>'Planning Engine'!L2224</f>
        <v>High</v>
      </c>
      <c r="M970" s="358">
        <f>'Planning Engine'!S2224</f>
        <v>48122</v>
      </c>
      <c r="N970" s="276">
        <f>'Planning Engine'!T2224</f>
        <v>0</v>
      </c>
      <c r="O970" s="359" cm="1">
        <f t="array" ref="O970">IFERROR(SUMPRODUCT(('Planning Engine'!$B$4:$B$2500="47mg LP - EU Stock")*('Planning Engine'!$A$4:$A$2500='Planning Engine'!A2224)*'Planning Engine'!$U$4:$U$2500),"--")</f>
        <v>0</v>
      </c>
      <c r="P970" s="278" t="str">
        <f t="shared" si="33"/>
        <v>⚠ Expedite production / source alternate</v>
      </c>
    </row>
    <row r="971" spans="1:16" x14ac:dyDescent="0.35">
      <c r="A971" s="360">
        <f>'Planning Engine'!A2225</f>
        <v>48245</v>
      </c>
      <c r="B971" s="269" t="s">
        <v>960</v>
      </c>
      <c r="C971" s="273" t="str">
        <f>'Planning Engine'!C2225</f>
        <v>Label/Pack</v>
      </c>
      <c r="D971" s="273" t="str">
        <f>'Planning Engine'!D2225</f>
        <v>units</v>
      </c>
      <c r="E971" s="271">
        <f>'Planning Engine'!E2225</f>
        <v>0</v>
      </c>
      <c r="F971" s="271">
        <f>'Planning Engine'!F2225</f>
        <v>0</v>
      </c>
      <c r="G971" s="271">
        <f>'Planning Engine'!G2225</f>
        <v>0</v>
      </c>
      <c r="H971" s="271">
        <f t="shared" si="32"/>
        <v>0</v>
      </c>
      <c r="I971" s="271">
        <f>'Planning Engine'!H2225</f>
        <v>0</v>
      </c>
      <c r="J971" s="272">
        <f ca="1">'Planning Engine'!J2225</f>
        <v>0</v>
      </c>
      <c r="K971" s="271">
        <f ca="1">'Planning Engine'!K2225</f>
        <v>0</v>
      </c>
      <c r="L971" s="273" t="str">
        <f>'Planning Engine'!L2225</f>
        <v>High</v>
      </c>
      <c r="M971" s="360">
        <f>'Planning Engine'!S2225</f>
        <v>48153</v>
      </c>
      <c r="N971" s="271">
        <f>'Planning Engine'!T2225</f>
        <v>0</v>
      </c>
      <c r="O971" s="361" cm="1">
        <f t="array" ref="O971">IFERROR(SUMPRODUCT(('Planning Engine'!$B$4:$B$2500="47mg LP - EU Stock")*('Planning Engine'!$A$4:$A$2500='Planning Engine'!A2225)*'Planning Engine'!$U$4:$U$2500),"--")</f>
        <v>0</v>
      </c>
      <c r="P971" s="273" t="str">
        <f t="shared" si="33"/>
        <v>⚠ Expedite production / source alternate</v>
      </c>
    </row>
    <row r="972" spans="1:16" x14ac:dyDescent="0.35">
      <c r="A972" s="358">
        <f>'Planning Engine'!A2226</f>
        <v>48274</v>
      </c>
      <c r="B972" s="274" t="s">
        <v>960</v>
      </c>
      <c r="C972" s="278" t="str">
        <f>'Planning Engine'!C2226</f>
        <v>Label/Pack</v>
      </c>
      <c r="D972" s="278" t="str">
        <f>'Planning Engine'!D2226</f>
        <v>units</v>
      </c>
      <c r="E972" s="276">
        <f>'Planning Engine'!E2226</f>
        <v>0</v>
      </c>
      <c r="F972" s="276">
        <f>'Planning Engine'!F2226</f>
        <v>0</v>
      </c>
      <c r="G972" s="276">
        <f>'Planning Engine'!G2226</f>
        <v>0</v>
      </c>
      <c r="H972" s="276">
        <f t="shared" si="32"/>
        <v>0</v>
      </c>
      <c r="I972" s="276">
        <f>'Planning Engine'!H2226</f>
        <v>0</v>
      </c>
      <c r="J972" s="277">
        <f ca="1">'Planning Engine'!J2226</f>
        <v>0</v>
      </c>
      <c r="K972" s="276">
        <f ca="1">'Planning Engine'!K2226</f>
        <v>0</v>
      </c>
      <c r="L972" s="278" t="str">
        <f>'Planning Engine'!L2226</f>
        <v>High</v>
      </c>
      <c r="M972" s="358">
        <f>'Planning Engine'!S2226</f>
        <v>48183</v>
      </c>
      <c r="N972" s="276">
        <f>'Planning Engine'!T2226</f>
        <v>0</v>
      </c>
      <c r="O972" s="359" cm="1">
        <f t="array" ref="O972">IFERROR(SUMPRODUCT(('Planning Engine'!$B$4:$B$2500="47mg LP - EU Stock")*('Planning Engine'!$A$4:$A$2500='Planning Engine'!A2226)*'Planning Engine'!$U$4:$U$2500),"--")</f>
        <v>0</v>
      </c>
      <c r="P972" s="278" t="str">
        <f t="shared" si="33"/>
        <v>⚠ Expedite production / source alternate</v>
      </c>
    </row>
    <row r="973" spans="1:16" x14ac:dyDescent="0.35">
      <c r="A973" s="360">
        <f>'Planning Engine'!A2227</f>
        <v>48305</v>
      </c>
      <c r="B973" s="269" t="s">
        <v>960</v>
      </c>
      <c r="C973" s="273" t="str">
        <f>'Planning Engine'!C2227</f>
        <v>Label/Pack</v>
      </c>
      <c r="D973" s="273" t="str">
        <f>'Planning Engine'!D2227</f>
        <v>units</v>
      </c>
      <c r="E973" s="271">
        <f>'Planning Engine'!E2227</f>
        <v>0</v>
      </c>
      <c r="F973" s="271">
        <f>'Planning Engine'!F2227</f>
        <v>0</v>
      </c>
      <c r="G973" s="271">
        <f>'Planning Engine'!G2227</f>
        <v>0</v>
      </c>
      <c r="H973" s="271">
        <f t="shared" si="32"/>
        <v>0</v>
      </c>
      <c r="I973" s="271">
        <f>'Planning Engine'!H2227</f>
        <v>0</v>
      </c>
      <c r="J973" s="272">
        <f ca="1">'Planning Engine'!J2227</f>
        <v>0</v>
      </c>
      <c r="K973" s="271">
        <f ca="1">'Planning Engine'!K2227</f>
        <v>0</v>
      </c>
      <c r="L973" s="273" t="str">
        <f>'Planning Engine'!L2227</f>
        <v>High</v>
      </c>
      <c r="M973" s="360">
        <f>'Planning Engine'!S2227</f>
        <v>48214</v>
      </c>
      <c r="N973" s="271">
        <f>'Planning Engine'!T2227</f>
        <v>0</v>
      </c>
      <c r="O973" s="361" cm="1">
        <f t="array" ref="O973">IFERROR(SUMPRODUCT(('Planning Engine'!$B$4:$B$2500="47mg LP - EU Stock")*('Planning Engine'!$A$4:$A$2500='Planning Engine'!A2227)*'Planning Engine'!$U$4:$U$2500),"--")</f>
        <v>0</v>
      </c>
      <c r="P973" s="273" t="str">
        <f t="shared" si="33"/>
        <v>⚠ Expedite production / source alternate</v>
      </c>
    </row>
    <row r="974" spans="1:16" x14ac:dyDescent="0.35">
      <c r="A974" s="358">
        <f>'Planning Engine'!A2228</f>
        <v>48335</v>
      </c>
      <c r="B974" s="274" t="s">
        <v>960</v>
      </c>
      <c r="C974" s="278" t="str">
        <f>'Planning Engine'!C2228</f>
        <v>Label/Pack</v>
      </c>
      <c r="D974" s="278" t="str">
        <f>'Planning Engine'!D2228</f>
        <v>units</v>
      </c>
      <c r="E974" s="276">
        <f>'Planning Engine'!E2228</f>
        <v>0</v>
      </c>
      <c r="F974" s="276">
        <f>'Planning Engine'!F2228</f>
        <v>0</v>
      </c>
      <c r="G974" s="276">
        <f>'Planning Engine'!G2228</f>
        <v>0</v>
      </c>
      <c r="H974" s="276">
        <f t="shared" si="32"/>
        <v>0</v>
      </c>
      <c r="I974" s="276">
        <f>'Planning Engine'!H2228</f>
        <v>0</v>
      </c>
      <c r="J974" s="277">
        <f ca="1">'Planning Engine'!J2228</f>
        <v>0</v>
      </c>
      <c r="K974" s="276">
        <f ca="1">'Planning Engine'!K2228</f>
        <v>0</v>
      </c>
      <c r="L974" s="278" t="str">
        <f>'Planning Engine'!L2228</f>
        <v>High</v>
      </c>
      <c r="M974" s="358">
        <f>'Planning Engine'!S2228</f>
        <v>48245</v>
      </c>
      <c r="N974" s="276">
        <f>'Planning Engine'!T2228</f>
        <v>0</v>
      </c>
      <c r="O974" s="359" cm="1">
        <f t="array" ref="O974">IFERROR(SUMPRODUCT(('Planning Engine'!$B$4:$B$2500="47mg LP - EU Stock")*('Planning Engine'!$A$4:$A$2500='Planning Engine'!A2228)*'Planning Engine'!$U$4:$U$2500),"--")</f>
        <v>0</v>
      </c>
      <c r="P974" s="278" t="str">
        <f t="shared" si="33"/>
        <v>⚠ Expedite production / source alternate</v>
      </c>
    </row>
    <row r="975" spans="1:16" x14ac:dyDescent="0.35">
      <c r="A975" s="360">
        <f>'Planning Engine'!A2229</f>
        <v>48366</v>
      </c>
      <c r="B975" s="269" t="s">
        <v>960</v>
      </c>
      <c r="C975" s="273" t="str">
        <f>'Planning Engine'!C2229</f>
        <v>Label/Pack</v>
      </c>
      <c r="D975" s="273" t="str">
        <f>'Planning Engine'!D2229</f>
        <v>units</v>
      </c>
      <c r="E975" s="271">
        <f>'Planning Engine'!E2229</f>
        <v>0</v>
      </c>
      <c r="F975" s="271">
        <f>'Planning Engine'!F2229</f>
        <v>0</v>
      </c>
      <c r="G975" s="271">
        <f>'Planning Engine'!G2229</f>
        <v>0</v>
      </c>
      <c r="H975" s="271">
        <f t="shared" si="32"/>
        <v>0</v>
      </c>
      <c r="I975" s="271">
        <f>'Planning Engine'!H2229</f>
        <v>0</v>
      </c>
      <c r="J975" s="272">
        <f ca="1">'Planning Engine'!J2229</f>
        <v>0</v>
      </c>
      <c r="K975" s="271">
        <f ca="1">'Planning Engine'!K2229</f>
        <v>0</v>
      </c>
      <c r="L975" s="273" t="str">
        <f>'Planning Engine'!L2229</f>
        <v>High</v>
      </c>
      <c r="M975" s="360">
        <f>'Planning Engine'!S2229</f>
        <v>48274</v>
      </c>
      <c r="N975" s="271">
        <f>'Planning Engine'!T2229</f>
        <v>0</v>
      </c>
      <c r="O975" s="361" cm="1">
        <f t="array" ref="O975">IFERROR(SUMPRODUCT(('Planning Engine'!$B$4:$B$2500="47mg LP - EU Stock")*('Planning Engine'!$A$4:$A$2500='Planning Engine'!A2229)*'Planning Engine'!$U$4:$U$2500),"--")</f>
        <v>0</v>
      </c>
      <c r="P975" s="273" t="str">
        <f t="shared" si="33"/>
        <v>⚠ Expedite production / source alternate</v>
      </c>
    </row>
    <row r="976" spans="1:16" x14ac:dyDescent="0.35">
      <c r="A976" s="358">
        <f>'Planning Engine'!A2230</f>
        <v>48396</v>
      </c>
      <c r="B976" s="274" t="s">
        <v>960</v>
      </c>
      <c r="C976" s="278" t="str">
        <f>'Planning Engine'!C2230</f>
        <v>Label/Pack</v>
      </c>
      <c r="D976" s="278" t="str">
        <f>'Planning Engine'!D2230</f>
        <v>units</v>
      </c>
      <c r="E976" s="276">
        <f>'Planning Engine'!E2230</f>
        <v>0</v>
      </c>
      <c r="F976" s="276">
        <f>'Planning Engine'!F2230</f>
        <v>0</v>
      </c>
      <c r="G976" s="276">
        <f>'Planning Engine'!G2230</f>
        <v>0</v>
      </c>
      <c r="H976" s="276">
        <f t="shared" si="32"/>
        <v>0</v>
      </c>
      <c r="I976" s="276">
        <f>'Planning Engine'!H2230</f>
        <v>0</v>
      </c>
      <c r="J976" s="277">
        <f ca="1">'Planning Engine'!J2230</f>
        <v>0</v>
      </c>
      <c r="K976" s="276">
        <f ca="1">'Planning Engine'!K2230</f>
        <v>0</v>
      </c>
      <c r="L976" s="278" t="str">
        <f>'Planning Engine'!L2230</f>
        <v>High</v>
      </c>
      <c r="M976" s="358">
        <f>'Planning Engine'!S2230</f>
        <v>48305</v>
      </c>
      <c r="N976" s="276">
        <f>'Planning Engine'!T2230</f>
        <v>0</v>
      </c>
      <c r="O976" s="359" cm="1">
        <f t="array" ref="O976">IFERROR(SUMPRODUCT(('Planning Engine'!$B$4:$B$2500="47mg LP - EU Stock")*('Planning Engine'!$A$4:$A$2500='Planning Engine'!A2230)*'Planning Engine'!$U$4:$U$2500),"--")</f>
        <v>0</v>
      </c>
      <c r="P976" s="278" t="str">
        <f t="shared" si="33"/>
        <v>⚠ Expedite production / source alternate</v>
      </c>
    </row>
    <row r="977" spans="1:16" x14ac:dyDescent="0.35">
      <c r="A977" s="360">
        <f>'Planning Engine'!A2231</f>
        <v>48427</v>
      </c>
      <c r="B977" s="269" t="s">
        <v>960</v>
      </c>
      <c r="C977" s="273" t="str">
        <f>'Planning Engine'!C2231</f>
        <v>Label/Pack</v>
      </c>
      <c r="D977" s="273" t="str">
        <f>'Planning Engine'!D2231</f>
        <v>units</v>
      </c>
      <c r="E977" s="271">
        <f>'Planning Engine'!E2231</f>
        <v>0</v>
      </c>
      <c r="F977" s="271">
        <f>'Planning Engine'!F2231</f>
        <v>0</v>
      </c>
      <c r="G977" s="271">
        <f>'Planning Engine'!G2231</f>
        <v>0</v>
      </c>
      <c r="H977" s="271">
        <f t="shared" si="32"/>
        <v>0</v>
      </c>
      <c r="I977" s="271">
        <f>'Planning Engine'!H2231</f>
        <v>0</v>
      </c>
      <c r="J977" s="272">
        <f ca="1">'Planning Engine'!J2231</f>
        <v>0</v>
      </c>
      <c r="K977" s="271">
        <f ca="1">'Planning Engine'!K2231</f>
        <v>0</v>
      </c>
      <c r="L977" s="273" t="str">
        <f>'Planning Engine'!L2231</f>
        <v>High</v>
      </c>
      <c r="M977" s="360">
        <f>'Planning Engine'!S2231</f>
        <v>48335</v>
      </c>
      <c r="N977" s="271">
        <f>'Planning Engine'!T2231</f>
        <v>0</v>
      </c>
      <c r="O977" s="361" cm="1">
        <f t="array" ref="O977">IFERROR(SUMPRODUCT(('Planning Engine'!$B$4:$B$2500="47mg LP - EU Stock")*('Planning Engine'!$A$4:$A$2500='Planning Engine'!A2231)*'Planning Engine'!$U$4:$U$2500),"--")</f>
        <v>0</v>
      </c>
      <c r="P977" s="273" t="str">
        <f t="shared" si="33"/>
        <v>⚠ Expedite production / source alternate</v>
      </c>
    </row>
    <row r="978" spans="1:16" x14ac:dyDescent="0.35">
      <c r="A978" s="358">
        <f>'Planning Engine'!A2232</f>
        <v>48458</v>
      </c>
      <c r="B978" s="274" t="s">
        <v>960</v>
      </c>
      <c r="C978" s="278" t="str">
        <f>'Planning Engine'!C2232</f>
        <v>Label/Pack</v>
      </c>
      <c r="D978" s="278" t="str">
        <f>'Planning Engine'!D2232</f>
        <v>units</v>
      </c>
      <c r="E978" s="276">
        <f>'Planning Engine'!E2232</f>
        <v>0</v>
      </c>
      <c r="F978" s="276">
        <f>'Planning Engine'!F2232</f>
        <v>0</v>
      </c>
      <c r="G978" s="276">
        <f>'Planning Engine'!G2232</f>
        <v>0</v>
      </c>
      <c r="H978" s="276">
        <f t="shared" si="32"/>
        <v>0</v>
      </c>
      <c r="I978" s="276">
        <f>'Planning Engine'!H2232</f>
        <v>0</v>
      </c>
      <c r="J978" s="277">
        <f ca="1">'Planning Engine'!J2232</f>
        <v>0</v>
      </c>
      <c r="K978" s="276">
        <f ca="1">'Planning Engine'!K2232</f>
        <v>0</v>
      </c>
      <c r="L978" s="278" t="str">
        <f>'Planning Engine'!L2232</f>
        <v>High</v>
      </c>
      <c r="M978" s="358">
        <f>'Planning Engine'!S2232</f>
        <v>48366</v>
      </c>
      <c r="N978" s="276">
        <f>'Planning Engine'!T2232</f>
        <v>0</v>
      </c>
      <c r="O978" s="359" cm="1">
        <f t="array" ref="O978">IFERROR(SUMPRODUCT(('Planning Engine'!$B$4:$B$2500="47mg LP - EU Stock")*('Planning Engine'!$A$4:$A$2500='Planning Engine'!A2232)*'Planning Engine'!$U$4:$U$2500),"--")</f>
        <v>0</v>
      </c>
      <c r="P978" s="278" t="str">
        <f t="shared" si="33"/>
        <v>⚠ Expedite production / source alternate</v>
      </c>
    </row>
    <row r="979" spans="1:16" x14ac:dyDescent="0.35">
      <c r="A979" s="360">
        <f>'Planning Engine'!A2233</f>
        <v>48488</v>
      </c>
      <c r="B979" s="269" t="s">
        <v>960</v>
      </c>
      <c r="C979" s="273" t="str">
        <f>'Planning Engine'!C2233</f>
        <v>Label/Pack</v>
      </c>
      <c r="D979" s="273" t="str">
        <f>'Planning Engine'!D2233</f>
        <v>units</v>
      </c>
      <c r="E979" s="271">
        <f>'Planning Engine'!E2233</f>
        <v>0</v>
      </c>
      <c r="F979" s="271">
        <f>'Planning Engine'!F2233</f>
        <v>0</v>
      </c>
      <c r="G979" s="271">
        <f>'Planning Engine'!G2233</f>
        <v>0</v>
      </c>
      <c r="H979" s="271">
        <f t="shared" si="32"/>
        <v>0</v>
      </c>
      <c r="I979" s="271">
        <f>'Planning Engine'!H2233</f>
        <v>0</v>
      </c>
      <c r="J979" s="272">
        <f ca="1">'Planning Engine'!J2233</f>
        <v>0</v>
      </c>
      <c r="K979" s="271">
        <f ca="1">'Planning Engine'!K2233</f>
        <v>0</v>
      </c>
      <c r="L979" s="273" t="str">
        <f>'Planning Engine'!L2233</f>
        <v>High</v>
      </c>
      <c r="M979" s="360">
        <f>'Planning Engine'!S2233</f>
        <v>48396</v>
      </c>
      <c r="N979" s="271">
        <f>'Planning Engine'!T2233</f>
        <v>0</v>
      </c>
      <c r="O979" s="361" cm="1">
        <f t="array" ref="O979">IFERROR(SUMPRODUCT(('Planning Engine'!$B$4:$B$2500="47mg LP - EU Stock")*('Planning Engine'!$A$4:$A$2500='Planning Engine'!A2233)*'Planning Engine'!$U$4:$U$2500),"--")</f>
        <v>0</v>
      </c>
      <c r="P979" s="273" t="str">
        <f t="shared" si="33"/>
        <v>⚠ Expedite production / source alternate</v>
      </c>
    </row>
    <row r="980" spans="1:16" x14ac:dyDescent="0.35">
      <c r="A980" s="358">
        <f>'Planning Engine'!A2234</f>
        <v>48519</v>
      </c>
      <c r="B980" s="274" t="s">
        <v>960</v>
      </c>
      <c r="C980" s="278" t="str">
        <f>'Planning Engine'!C2234</f>
        <v>Label/Pack</v>
      </c>
      <c r="D980" s="278" t="str">
        <f>'Planning Engine'!D2234</f>
        <v>units</v>
      </c>
      <c r="E980" s="276">
        <f>'Planning Engine'!E2234</f>
        <v>0</v>
      </c>
      <c r="F980" s="276">
        <f>'Planning Engine'!F2234</f>
        <v>0</v>
      </c>
      <c r="G980" s="276">
        <f>'Planning Engine'!G2234</f>
        <v>0</v>
      </c>
      <c r="H980" s="276">
        <f t="shared" si="32"/>
        <v>0</v>
      </c>
      <c r="I980" s="276">
        <f>'Planning Engine'!H2234</f>
        <v>0</v>
      </c>
      <c r="J980" s="277">
        <f ca="1">'Planning Engine'!J2234</f>
        <v>0</v>
      </c>
      <c r="K980" s="276">
        <f ca="1">'Planning Engine'!K2234</f>
        <v>0</v>
      </c>
      <c r="L980" s="278" t="str">
        <f>'Planning Engine'!L2234</f>
        <v>High</v>
      </c>
      <c r="M980" s="358">
        <f>'Planning Engine'!S2234</f>
        <v>48427</v>
      </c>
      <c r="N980" s="276">
        <f>'Planning Engine'!T2234</f>
        <v>0</v>
      </c>
      <c r="O980" s="359" cm="1">
        <f t="array" ref="O980">IFERROR(SUMPRODUCT(('Planning Engine'!$B$4:$B$2500="47mg LP - EU Stock")*('Planning Engine'!$A$4:$A$2500='Planning Engine'!A2234)*'Planning Engine'!$U$4:$U$2500),"--")</f>
        <v>0</v>
      </c>
      <c r="P980" s="278" t="str">
        <f t="shared" si="33"/>
        <v>⚠ Expedite production / source alternate</v>
      </c>
    </row>
    <row r="981" spans="1:16" x14ac:dyDescent="0.35">
      <c r="A981" s="360">
        <f>'Planning Engine'!A2235</f>
        <v>48549</v>
      </c>
      <c r="B981" s="269" t="s">
        <v>960</v>
      </c>
      <c r="C981" s="273" t="str">
        <f>'Planning Engine'!C2235</f>
        <v>Label/Pack</v>
      </c>
      <c r="D981" s="273" t="str">
        <f>'Planning Engine'!D2235</f>
        <v>units</v>
      </c>
      <c r="E981" s="271">
        <f>'Planning Engine'!E2235</f>
        <v>0</v>
      </c>
      <c r="F981" s="271">
        <f>'Planning Engine'!F2235</f>
        <v>0</v>
      </c>
      <c r="G981" s="271">
        <f>'Planning Engine'!G2235</f>
        <v>0</v>
      </c>
      <c r="H981" s="271">
        <f t="shared" si="32"/>
        <v>0</v>
      </c>
      <c r="I981" s="271">
        <f>'Planning Engine'!H2235</f>
        <v>0</v>
      </c>
      <c r="J981" s="272">
        <f ca="1">'Planning Engine'!J2235</f>
        <v>0</v>
      </c>
      <c r="K981" s="271">
        <f ca="1">'Planning Engine'!K2235</f>
        <v>0</v>
      </c>
      <c r="L981" s="273" t="str">
        <f>'Planning Engine'!L2235</f>
        <v>High</v>
      </c>
      <c r="M981" s="360">
        <f>'Planning Engine'!S2235</f>
        <v>48458</v>
      </c>
      <c r="N981" s="271">
        <f>'Planning Engine'!T2235</f>
        <v>0</v>
      </c>
      <c r="O981" s="361" cm="1">
        <f t="array" ref="O981">IFERROR(SUMPRODUCT(('Planning Engine'!$B$4:$B$2500="47mg LP - EU Stock")*('Planning Engine'!$A$4:$A$2500='Planning Engine'!A2235)*'Planning Engine'!$U$4:$U$2500),"--")</f>
        <v>0</v>
      </c>
      <c r="P981" s="273" t="str">
        <f t="shared" si="33"/>
        <v>⚠ Expedite production / source alternate</v>
      </c>
    </row>
    <row r="982" spans="1:16" x14ac:dyDescent="0.35">
      <c r="A982" s="358">
        <f>'Planning Engine'!A2236</f>
        <v>48580</v>
      </c>
      <c r="B982" s="274" t="s">
        <v>960</v>
      </c>
      <c r="C982" s="278" t="str">
        <f>'Planning Engine'!C2236</f>
        <v>Label/Pack</v>
      </c>
      <c r="D982" s="278" t="str">
        <f>'Planning Engine'!D2236</f>
        <v>units</v>
      </c>
      <c r="E982" s="276">
        <f>'Planning Engine'!E2236</f>
        <v>0</v>
      </c>
      <c r="F982" s="276">
        <f>'Planning Engine'!F2236</f>
        <v>0</v>
      </c>
      <c r="G982" s="276">
        <f>'Planning Engine'!G2236</f>
        <v>0</v>
      </c>
      <c r="H982" s="276">
        <f t="shared" si="32"/>
        <v>0</v>
      </c>
      <c r="I982" s="276">
        <f>'Planning Engine'!H2236</f>
        <v>0</v>
      </c>
      <c r="J982" s="277">
        <f ca="1">'Planning Engine'!J2236</f>
        <v>0</v>
      </c>
      <c r="K982" s="276">
        <f ca="1">'Planning Engine'!K2236</f>
        <v>0</v>
      </c>
      <c r="L982" s="278" t="str">
        <f>'Planning Engine'!L2236</f>
        <v>High</v>
      </c>
      <c r="M982" s="358">
        <f>'Planning Engine'!S2236</f>
        <v>48488</v>
      </c>
      <c r="N982" s="276">
        <f>'Planning Engine'!T2236</f>
        <v>0</v>
      </c>
      <c r="O982" s="359" cm="1">
        <f t="array" ref="O982">IFERROR(SUMPRODUCT(('Planning Engine'!$B$4:$B$2500="47mg LP - EU Stock")*('Planning Engine'!$A$4:$A$2500='Planning Engine'!A2236)*'Planning Engine'!$U$4:$U$2500),"--")</f>
        <v>0</v>
      </c>
      <c r="P982" s="278" t="str">
        <f t="shared" si="33"/>
        <v>⚠ Expedite production / source alternate</v>
      </c>
    </row>
    <row r="983" spans="1:16" x14ac:dyDescent="0.35">
      <c r="A983" s="360">
        <f>'Planning Engine'!A2237</f>
        <v>48611</v>
      </c>
      <c r="B983" s="269" t="s">
        <v>960</v>
      </c>
      <c r="C983" s="273" t="str">
        <f>'Planning Engine'!C2237</f>
        <v>Label/Pack</v>
      </c>
      <c r="D983" s="273" t="str">
        <f>'Planning Engine'!D2237</f>
        <v>units</v>
      </c>
      <c r="E983" s="271">
        <f>'Planning Engine'!E2237</f>
        <v>0</v>
      </c>
      <c r="F983" s="271">
        <f>'Planning Engine'!F2237</f>
        <v>0</v>
      </c>
      <c r="G983" s="271">
        <f>'Planning Engine'!G2237</f>
        <v>0</v>
      </c>
      <c r="H983" s="271">
        <f t="shared" si="32"/>
        <v>0</v>
      </c>
      <c r="I983" s="271">
        <f>'Planning Engine'!H2237</f>
        <v>0</v>
      </c>
      <c r="J983" s="272">
        <f ca="1">'Planning Engine'!J2237</f>
        <v>0</v>
      </c>
      <c r="K983" s="271">
        <f ca="1">'Planning Engine'!K2237</f>
        <v>0</v>
      </c>
      <c r="L983" s="273" t="str">
        <f>'Planning Engine'!L2237</f>
        <v>High</v>
      </c>
      <c r="M983" s="360">
        <f>'Planning Engine'!S2237</f>
        <v>48519</v>
      </c>
      <c r="N983" s="271">
        <f>'Planning Engine'!T2237</f>
        <v>0</v>
      </c>
      <c r="O983" s="361" cm="1">
        <f t="array" ref="O983">IFERROR(SUMPRODUCT(('Planning Engine'!$B$4:$B$2500="47mg LP - EU Stock")*('Planning Engine'!$A$4:$A$2500='Planning Engine'!A2237)*'Planning Engine'!$U$4:$U$2500),"--")</f>
        <v>0</v>
      </c>
      <c r="P983" s="273" t="str">
        <f t="shared" si="33"/>
        <v>⚠ Expedite production / source alternate</v>
      </c>
    </row>
    <row r="984" spans="1:16" x14ac:dyDescent="0.35">
      <c r="A984" s="358">
        <f>'Planning Engine'!A2238</f>
        <v>48639</v>
      </c>
      <c r="B984" s="274" t="s">
        <v>960</v>
      </c>
      <c r="C984" s="278" t="str">
        <f>'Planning Engine'!C2238</f>
        <v>Label/Pack</v>
      </c>
      <c r="D984" s="278" t="str">
        <f>'Planning Engine'!D2238</f>
        <v>units</v>
      </c>
      <c r="E984" s="276">
        <f>'Planning Engine'!E2238</f>
        <v>0</v>
      </c>
      <c r="F984" s="276">
        <f>'Planning Engine'!F2238</f>
        <v>0</v>
      </c>
      <c r="G984" s="276">
        <f>'Planning Engine'!G2238</f>
        <v>0</v>
      </c>
      <c r="H984" s="276">
        <f t="shared" si="32"/>
        <v>0</v>
      </c>
      <c r="I984" s="276">
        <f>'Planning Engine'!H2238</f>
        <v>0</v>
      </c>
      <c r="J984" s="277">
        <f ca="1">'Planning Engine'!J2238</f>
        <v>0</v>
      </c>
      <c r="K984" s="276">
        <f ca="1">'Planning Engine'!K2238</f>
        <v>0</v>
      </c>
      <c r="L984" s="278" t="str">
        <f>'Planning Engine'!L2238</f>
        <v>High</v>
      </c>
      <c r="M984" s="358">
        <f>'Planning Engine'!S2238</f>
        <v>48549</v>
      </c>
      <c r="N984" s="276">
        <f>'Planning Engine'!T2238</f>
        <v>0</v>
      </c>
      <c r="O984" s="359" cm="1">
        <f t="array" ref="O984">IFERROR(SUMPRODUCT(('Planning Engine'!$B$4:$B$2500="47mg LP - EU Stock")*('Planning Engine'!$A$4:$A$2500='Planning Engine'!A2238)*'Planning Engine'!$U$4:$U$2500),"--")</f>
        <v>0</v>
      </c>
      <c r="P984" s="278" t="str">
        <f t="shared" si="33"/>
        <v>⚠ Expedite production / source alternate</v>
      </c>
    </row>
    <row r="985" spans="1:16" x14ac:dyDescent="0.35">
      <c r="A985" s="360">
        <f>'Planning Engine'!A2239</f>
        <v>48670</v>
      </c>
      <c r="B985" s="269" t="s">
        <v>960</v>
      </c>
      <c r="C985" s="273" t="str">
        <f>'Planning Engine'!C2239</f>
        <v>Label/Pack</v>
      </c>
      <c r="D985" s="273" t="str">
        <f>'Planning Engine'!D2239</f>
        <v>units</v>
      </c>
      <c r="E985" s="271">
        <f>'Planning Engine'!E2239</f>
        <v>0</v>
      </c>
      <c r="F985" s="271">
        <f>'Planning Engine'!F2239</f>
        <v>0</v>
      </c>
      <c r="G985" s="271">
        <f>'Planning Engine'!G2239</f>
        <v>0</v>
      </c>
      <c r="H985" s="271">
        <f t="shared" si="32"/>
        <v>0</v>
      </c>
      <c r="I985" s="271">
        <f>'Planning Engine'!H2239</f>
        <v>0</v>
      </c>
      <c r="J985" s="272">
        <f ca="1">'Planning Engine'!J2239</f>
        <v>0</v>
      </c>
      <c r="K985" s="271">
        <f ca="1">'Planning Engine'!K2239</f>
        <v>0</v>
      </c>
      <c r="L985" s="273" t="str">
        <f>'Planning Engine'!L2239</f>
        <v>High</v>
      </c>
      <c r="M985" s="360">
        <f>'Planning Engine'!S2239</f>
        <v>48580</v>
      </c>
      <c r="N985" s="271">
        <f>'Planning Engine'!T2239</f>
        <v>0</v>
      </c>
      <c r="O985" s="361" cm="1">
        <f t="array" ref="O985">IFERROR(SUMPRODUCT(('Planning Engine'!$B$4:$B$2500="47mg LP - EU Stock")*('Planning Engine'!$A$4:$A$2500='Planning Engine'!A2239)*'Planning Engine'!$U$4:$U$2500),"--")</f>
        <v>0</v>
      </c>
      <c r="P985" s="273" t="str">
        <f t="shared" si="33"/>
        <v>⚠ Expedite production / source alternate</v>
      </c>
    </row>
    <row r="986" spans="1:16" x14ac:dyDescent="0.35">
      <c r="A986" s="358">
        <f>'Planning Engine'!A2240</f>
        <v>48700</v>
      </c>
      <c r="B986" s="274" t="s">
        <v>960</v>
      </c>
      <c r="C986" s="278" t="str">
        <f>'Planning Engine'!C2240</f>
        <v>Label/Pack</v>
      </c>
      <c r="D986" s="278" t="str">
        <f>'Planning Engine'!D2240</f>
        <v>units</v>
      </c>
      <c r="E986" s="276">
        <f>'Planning Engine'!E2240</f>
        <v>0</v>
      </c>
      <c r="F986" s="276">
        <f>'Planning Engine'!F2240</f>
        <v>0</v>
      </c>
      <c r="G986" s="276">
        <f>'Planning Engine'!G2240</f>
        <v>0</v>
      </c>
      <c r="H986" s="276">
        <f t="shared" si="32"/>
        <v>0</v>
      </c>
      <c r="I986" s="276">
        <f>'Planning Engine'!H2240</f>
        <v>0</v>
      </c>
      <c r="J986" s="277">
        <f ca="1">'Planning Engine'!J2240</f>
        <v>0</v>
      </c>
      <c r="K986" s="276">
        <f ca="1">'Planning Engine'!K2240</f>
        <v>0</v>
      </c>
      <c r="L986" s="278" t="str">
        <f>'Planning Engine'!L2240</f>
        <v>High</v>
      </c>
      <c r="M986" s="358">
        <f>'Planning Engine'!S2240</f>
        <v>48611</v>
      </c>
      <c r="N986" s="276">
        <f>'Planning Engine'!T2240</f>
        <v>0</v>
      </c>
      <c r="O986" s="359" cm="1">
        <f t="array" ref="O986">IFERROR(SUMPRODUCT(('Planning Engine'!$B$4:$B$2500="47mg LP - EU Stock")*('Planning Engine'!$A$4:$A$2500='Planning Engine'!A2240)*'Planning Engine'!$U$4:$U$2500),"--")</f>
        <v>0</v>
      </c>
      <c r="P986" s="278" t="str">
        <f t="shared" si="33"/>
        <v>⚠ Expedite production / source alternate</v>
      </c>
    </row>
    <row r="987" spans="1:16" x14ac:dyDescent="0.35">
      <c r="A987" s="360">
        <f>'Planning Engine'!A2241</f>
        <v>48731</v>
      </c>
      <c r="B987" s="269" t="s">
        <v>960</v>
      </c>
      <c r="C987" s="273" t="str">
        <f>'Planning Engine'!C2241</f>
        <v>Label/Pack</v>
      </c>
      <c r="D987" s="273" t="str">
        <f>'Planning Engine'!D2241</f>
        <v>units</v>
      </c>
      <c r="E987" s="271">
        <f>'Planning Engine'!E2241</f>
        <v>0</v>
      </c>
      <c r="F987" s="271">
        <f>'Planning Engine'!F2241</f>
        <v>0</v>
      </c>
      <c r="G987" s="271">
        <f>'Planning Engine'!G2241</f>
        <v>0</v>
      </c>
      <c r="H987" s="271">
        <f t="shared" si="32"/>
        <v>0</v>
      </c>
      <c r="I987" s="271">
        <f>'Planning Engine'!H2241</f>
        <v>0</v>
      </c>
      <c r="J987" s="272">
        <f ca="1">'Planning Engine'!J2241</f>
        <v>0</v>
      </c>
      <c r="K987" s="271">
        <f ca="1">'Planning Engine'!K2241</f>
        <v>0</v>
      </c>
      <c r="L987" s="273" t="str">
        <f>'Planning Engine'!L2241</f>
        <v>High</v>
      </c>
      <c r="M987" s="360">
        <f>'Planning Engine'!S2241</f>
        <v>48639</v>
      </c>
      <c r="N987" s="271">
        <f>'Planning Engine'!T2241</f>
        <v>0</v>
      </c>
      <c r="O987" s="361" cm="1">
        <f t="array" ref="O987">IFERROR(SUMPRODUCT(('Planning Engine'!$B$4:$B$2500="47mg LP - EU Stock")*('Planning Engine'!$A$4:$A$2500='Planning Engine'!A2241)*'Planning Engine'!$U$4:$U$2500),"--")</f>
        <v>0</v>
      </c>
      <c r="P987" s="273" t="str">
        <f t="shared" si="33"/>
        <v>⚠ Expedite production / source alternate</v>
      </c>
    </row>
    <row r="988" spans="1:16" x14ac:dyDescent="0.35">
      <c r="A988" s="358">
        <f>'Planning Engine'!A2242</f>
        <v>48761</v>
      </c>
      <c r="B988" s="274" t="s">
        <v>960</v>
      </c>
      <c r="C988" s="278" t="str">
        <f>'Planning Engine'!C2242</f>
        <v>Label/Pack</v>
      </c>
      <c r="D988" s="278" t="str">
        <f>'Planning Engine'!D2242</f>
        <v>units</v>
      </c>
      <c r="E988" s="276">
        <f>'Planning Engine'!E2242</f>
        <v>0</v>
      </c>
      <c r="F988" s="276">
        <f>'Planning Engine'!F2242</f>
        <v>0</v>
      </c>
      <c r="G988" s="276">
        <f>'Planning Engine'!G2242</f>
        <v>0</v>
      </c>
      <c r="H988" s="276">
        <f t="shared" si="32"/>
        <v>0</v>
      </c>
      <c r="I988" s="276">
        <f>'Planning Engine'!H2242</f>
        <v>0</v>
      </c>
      <c r="J988" s="277">
        <f ca="1">'Planning Engine'!J2242</f>
        <v>0</v>
      </c>
      <c r="K988" s="276">
        <f ca="1">'Planning Engine'!K2242</f>
        <v>0</v>
      </c>
      <c r="L988" s="278" t="str">
        <f>'Planning Engine'!L2242</f>
        <v>High</v>
      </c>
      <c r="M988" s="358">
        <f>'Planning Engine'!S2242</f>
        <v>48670</v>
      </c>
      <c r="N988" s="276">
        <f>'Planning Engine'!T2242</f>
        <v>0</v>
      </c>
      <c r="O988" s="359" cm="1">
        <f t="array" ref="O988">IFERROR(SUMPRODUCT(('Planning Engine'!$B$4:$B$2500="47mg LP - EU Stock")*('Planning Engine'!$A$4:$A$2500='Planning Engine'!A2242)*'Planning Engine'!$U$4:$U$2500),"--")</f>
        <v>0</v>
      </c>
      <c r="P988" s="278" t="str">
        <f t="shared" si="33"/>
        <v>⚠ Expedite production / source alternate</v>
      </c>
    </row>
    <row r="989" spans="1:16" x14ac:dyDescent="0.35">
      <c r="A989" s="360">
        <f>'Planning Engine'!A2243</f>
        <v>48792</v>
      </c>
      <c r="B989" s="269" t="s">
        <v>960</v>
      </c>
      <c r="C989" s="273" t="str">
        <f>'Planning Engine'!C2243</f>
        <v>Label/Pack</v>
      </c>
      <c r="D989" s="273" t="str">
        <f>'Planning Engine'!D2243</f>
        <v>units</v>
      </c>
      <c r="E989" s="271">
        <f>'Planning Engine'!E2243</f>
        <v>0</v>
      </c>
      <c r="F989" s="271">
        <f>'Planning Engine'!F2243</f>
        <v>0</v>
      </c>
      <c r="G989" s="271">
        <f>'Planning Engine'!G2243</f>
        <v>0</v>
      </c>
      <c r="H989" s="271">
        <f t="shared" si="32"/>
        <v>0</v>
      </c>
      <c r="I989" s="271">
        <f>'Planning Engine'!H2243</f>
        <v>0</v>
      </c>
      <c r="J989" s="272">
        <f ca="1">'Planning Engine'!J2243</f>
        <v>0</v>
      </c>
      <c r="K989" s="271">
        <f ca="1">'Planning Engine'!K2243</f>
        <v>0</v>
      </c>
      <c r="L989" s="273" t="str">
        <f>'Planning Engine'!L2243</f>
        <v>High</v>
      </c>
      <c r="M989" s="360">
        <f>'Planning Engine'!S2243</f>
        <v>48700</v>
      </c>
      <c r="N989" s="271">
        <f>'Planning Engine'!T2243</f>
        <v>0</v>
      </c>
      <c r="O989" s="361" cm="1">
        <f t="array" ref="O989">IFERROR(SUMPRODUCT(('Planning Engine'!$B$4:$B$2500="47mg LP - EU Stock")*('Planning Engine'!$A$4:$A$2500='Planning Engine'!A2243)*'Planning Engine'!$U$4:$U$2500),"--")</f>
        <v>0</v>
      </c>
      <c r="P989" s="273" t="str">
        <f t="shared" si="33"/>
        <v>⚠ Expedite production / source alternate</v>
      </c>
    </row>
    <row r="990" spans="1:16" x14ac:dyDescent="0.35">
      <c r="A990" s="358">
        <f>'Planning Engine'!A2244</f>
        <v>48823</v>
      </c>
      <c r="B990" s="274" t="s">
        <v>960</v>
      </c>
      <c r="C990" s="278" t="str">
        <f>'Planning Engine'!C2244</f>
        <v>Label/Pack</v>
      </c>
      <c r="D990" s="278" t="str">
        <f>'Planning Engine'!D2244</f>
        <v>units</v>
      </c>
      <c r="E990" s="276">
        <f>'Planning Engine'!E2244</f>
        <v>0</v>
      </c>
      <c r="F990" s="276">
        <f>'Planning Engine'!F2244</f>
        <v>0</v>
      </c>
      <c r="G990" s="276">
        <f>'Planning Engine'!G2244</f>
        <v>0</v>
      </c>
      <c r="H990" s="276">
        <f t="shared" si="32"/>
        <v>0</v>
      </c>
      <c r="I990" s="276">
        <f>'Planning Engine'!H2244</f>
        <v>0</v>
      </c>
      <c r="J990" s="277">
        <f ca="1">'Planning Engine'!J2244</f>
        <v>0</v>
      </c>
      <c r="K990" s="276">
        <f ca="1">'Planning Engine'!K2244</f>
        <v>0</v>
      </c>
      <c r="L990" s="278" t="str">
        <f>'Planning Engine'!L2244</f>
        <v>High</v>
      </c>
      <c r="M990" s="358">
        <f>'Planning Engine'!S2244</f>
        <v>48731</v>
      </c>
      <c r="N990" s="276">
        <f>'Planning Engine'!T2244</f>
        <v>0</v>
      </c>
      <c r="O990" s="359" cm="1">
        <f t="array" ref="O990">IFERROR(SUMPRODUCT(('Planning Engine'!$B$4:$B$2500="47mg LP - EU Stock")*('Planning Engine'!$A$4:$A$2500='Planning Engine'!A2244)*'Planning Engine'!$U$4:$U$2500),"--")</f>
        <v>0</v>
      </c>
      <c r="P990" s="278" t="str">
        <f t="shared" si="33"/>
        <v>⚠ Expedite production / source alternate</v>
      </c>
    </row>
    <row r="991" spans="1:16" x14ac:dyDescent="0.35">
      <c r="A991" s="360">
        <f>'Planning Engine'!A2245</f>
        <v>48853</v>
      </c>
      <c r="B991" s="269" t="s">
        <v>960</v>
      </c>
      <c r="C991" s="273" t="str">
        <f>'Planning Engine'!C2245</f>
        <v>Label/Pack</v>
      </c>
      <c r="D991" s="273" t="str">
        <f>'Planning Engine'!D2245</f>
        <v>units</v>
      </c>
      <c r="E991" s="271">
        <f>'Planning Engine'!E2245</f>
        <v>0</v>
      </c>
      <c r="F991" s="271">
        <f>'Planning Engine'!F2245</f>
        <v>0</v>
      </c>
      <c r="G991" s="271">
        <f>'Planning Engine'!G2245</f>
        <v>0</v>
      </c>
      <c r="H991" s="271">
        <f t="shared" si="32"/>
        <v>0</v>
      </c>
      <c r="I991" s="271">
        <f>'Planning Engine'!H2245</f>
        <v>0</v>
      </c>
      <c r="J991" s="272">
        <f ca="1">'Planning Engine'!J2245</f>
        <v>0</v>
      </c>
      <c r="K991" s="271">
        <f ca="1">'Planning Engine'!K2245</f>
        <v>0</v>
      </c>
      <c r="L991" s="273" t="str">
        <f>'Planning Engine'!L2245</f>
        <v>High</v>
      </c>
      <c r="M991" s="360">
        <f>'Planning Engine'!S2245</f>
        <v>48761</v>
      </c>
      <c r="N991" s="271">
        <f>'Planning Engine'!T2245</f>
        <v>0</v>
      </c>
      <c r="O991" s="361" cm="1">
        <f t="array" ref="O991">IFERROR(SUMPRODUCT(('Planning Engine'!$B$4:$B$2500="47mg LP - EU Stock")*('Planning Engine'!$A$4:$A$2500='Planning Engine'!A2245)*'Planning Engine'!$U$4:$U$2500),"--")</f>
        <v>0</v>
      </c>
      <c r="P991" s="273" t="str">
        <f t="shared" si="33"/>
        <v>⚠ Expedite production / source alternate</v>
      </c>
    </row>
    <row r="992" spans="1:16" x14ac:dyDescent="0.35">
      <c r="A992" s="358">
        <f>'Planning Engine'!A2246</f>
        <v>48884</v>
      </c>
      <c r="B992" s="274" t="s">
        <v>960</v>
      </c>
      <c r="C992" s="278" t="str">
        <f>'Planning Engine'!C2246</f>
        <v>Label/Pack</v>
      </c>
      <c r="D992" s="278" t="str">
        <f>'Planning Engine'!D2246</f>
        <v>units</v>
      </c>
      <c r="E992" s="276">
        <f>'Planning Engine'!E2246</f>
        <v>0</v>
      </c>
      <c r="F992" s="276">
        <f>'Planning Engine'!F2246</f>
        <v>0</v>
      </c>
      <c r="G992" s="276">
        <f>'Planning Engine'!G2246</f>
        <v>0</v>
      </c>
      <c r="H992" s="276">
        <f t="shared" si="32"/>
        <v>0</v>
      </c>
      <c r="I992" s="276">
        <f>'Planning Engine'!H2246</f>
        <v>0</v>
      </c>
      <c r="J992" s="277">
        <f ca="1">'Planning Engine'!J2246</f>
        <v>0</v>
      </c>
      <c r="K992" s="276">
        <f ca="1">'Planning Engine'!K2246</f>
        <v>0</v>
      </c>
      <c r="L992" s="278" t="str">
        <f>'Planning Engine'!L2246</f>
        <v>High</v>
      </c>
      <c r="M992" s="358">
        <f>'Planning Engine'!S2246</f>
        <v>48792</v>
      </c>
      <c r="N992" s="276">
        <f>'Planning Engine'!T2246</f>
        <v>0</v>
      </c>
      <c r="O992" s="359" cm="1">
        <f t="array" ref="O992">IFERROR(SUMPRODUCT(('Planning Engine'!$B$4:$B$2500="47mg LP - EU Stock")*('Planning Engine'!$A$4:$A$2500='Planning Engine'!A2246)*'Planning Engine'!$U$4:$U$2500),"--")</f>
        <v>0</v>
      </c>
      <c r="P992" s="278" t="str">
        <f t="shared" si="33"/>
        <v>⚠ Expedite production / source alternate</v>
      </c>
    </row>
    <row r="993" spans="1:16" x14ac:dyDescent="0.35">
      <c r="A993" s="360">
        <f>'Planning Engine'!A2247</f>
        <v>48914</v>
      </c>
      <c r="B993" s="269" t="s">
        <v>960</v>
      </c>
      <c r="C993" s="273" t="str">
        <f>'Planning Engine'!C2247</f>
        <v>Label/Pack</v>
      </c>
      <c r="D993" s="273" t="str">
        <f>'Planning Engine'!D2247</f>
        <v>units</v>
      </c>
      <c r="E993" s="271">
        <f>'Planning Engine'!E2247</f>
        <v>0</v>
      </c>
      <c r="F993" s="271">
        <f>'Planning Engine'!F2247</f>
        <v>0</v>
      </c>
      <c r="G993" s="271">
        <f>'Planning Engine'!G2247</f>
        <v>0</v>
      </c>
      <c r="H993" s="271">
        <f t="shared" si="32"/>
        <v>0</v>
      </c>
      <c r="I993" s="271">
        <f>'Planning Engine'!H2247</f>
        <v>0</v>
      </c>
      <c r="J993" s="272">
        <f ca="1">'Planning Engine'!J2247</f>
        <v>0</v>
      </c>
      <c r="K993" s="271">
        <f ca="1">'Planning Engine'!K2247</f>
        <v>0</v>
      </c>
      <c r="L993" s="273" t="str">
        <f>'Planning Engine'!L2247</f>
        <v>High</v>
      </c>
      <c r="M993" s="360">
        <f>'Planning Engine'!S2247</f>
        <v>48823</v>
      </c>
      <c r="N993" s="271">
        <f>'Planning Engine'!T2247</f>
        <v>0</v>
      </c>
      <c r="O993" s="361" cm="1">
        <f t="array" ref="O993">IFERROR(SUMPRODUCT(('Planning Engine'!$B$4:$B$2500="47mg LP - EU Stock")*('Planning Engine'!$A$4:$A$2500='Planning Engine'!A2247)*'Planning Engine'!$U$4:$U$2500),"--")</f>
        <v>0</v>
      </c>
      <c r="P993" s="273" t="str">
        <f t="shared" si="33"/>
        <v>⚠ Expedite production / source alternate</v>
      </c>
    </row>
    <row r="994" spans="1:16" x14ac:dyDescent="0.35">
      <c r="A994" s="358">
        <f>'Planning Engine'!A2248</f>
        <v>48945</v>
      </c>
      <c r="B994" s="274" t="s">
        <v>960</v>
      </c>
      <c r="C994" s="278" t="str">
        <f>'Planning Engine'!C2248</f>
        <v>Label/Pack</v>
      </c>
      <c r="D994" s="278" t="str">
        <f>'Planning Engine'!D2248</f>
        <v>units</v>
      </c>
      <c r="E994" s="276">
        <f>'Planning Engine'!E2248</f>
        <v>0</v>
      </c>
      <c r="F994" s="276">
        <f>'Planning Engine'!F2248</f>
        <v>0</v>
      </c>
      <c r="G994" s="276">
        <f>'Planning Engine'!G2248</f>
        <v>0</v>
      </c>
      <c r="H994" s="276">
        <f t="shared" si="32"/>
        <v>0</v>
      </c>
      <c r="I994" s="276">
        <f>'Planning Engine'!H2248</f>
        <v>0</v>
      </c>
      <c r="J994" s="277">
        <f ca="1">'Planning Engine'!J2248</f>
        <v>0</v>
      </c>
      <c r="K994" s="276">
        <f ca="1">'Planning Engine'!K2248</f>
        <v>0</v>
      </c>
      <c r="L994" s="278" t="str">
        <f>'Planning Engine'!L2248</f>
        <v>High</v>
      </c>
      <c r="M994" s="358">
        <f>'Planning Engine'!S2248</f>
        <v>48853</v>
      </c>
      <c r="N994" s="276">
        <f>'Planning Engine'!T2248</f>
        <v>0</v>
      </c>
      <c r="O994" s="359" cm="1">
        <f t="array" ref="O994">IFERROR(SUMPRODUCT(('Planning Engine'!$B$4:$B$2500="47mg LP - EU Stock")*('Planning Engine'!$A$4:$A$2500='Planning Engine'!A2248)*'Planning Engine'!$U$4:$U$2500),"--")</f>
        <v>0</v>
      </c>
      <c r="P994" s="278" t="str">
        <f t="shared" si="33"/>
        <v>⚠ Expedite production / source alternate</v>
      </c>
    </row>
    <row r="995" spans="1:16" x14ac:dyDescent="0.35">
      <c r="A995" s="360">
        <f>'Planning Engine'!A2249</f>
        <v>48976</v>
      </c>
      <c r="B995" s="269" t="s">
        <v>960</v>
      </c>
      <c r="C995" s="273" t="str">
        <f>'Planning Engine'!C2249</f>
        <v>Label/Pack</v>
      </c>
      <c r="D995" s="273" t="str">
        <f>'Planning Engine'!D2249</f>
        <v>units</v>
      </c>
      <c r="E995" s="271">
        <f>'Planning Engine'!E2249</f>
        <v>0</v>
      </c>
      <c r="F995" s="271">
        <f>'Planning Engine'!F2249</f>
        <v>0</v>
      </c>
      <c r="G995" s="271">
        <f>'Planning Engine'!G2249</f>
        <v>0</v>
      </c>
      <c r="H995" s="271">
        <f t="shared" si="32"/>
        <v>0</v>
      </c>
      <c r="I995" s="271">
        <f>'Planning Engine'!H2249</f>
        <v>0</v>
      </c>
      <c r="J995" s="272">
        <f ca="1">'Planning Engine'!J2249</f>
        <v>0</v>
      </c>
      <c r="K995" s="271">
        <f ca="1">'Planning Engine'!K2249</f>
        <v>0</v>
      </c>
      <c r="L995" s="273" t="str">
        <f>'Planning Engine'!L2249</f>
        <v>High</v>
      </c>
      <c r="M995" s="360">
        <f>'Planning Engine'!S2249</f>
        <v>48884</v>
      </c>
      <c r="N995" s="271">
        <f>'Planning Engine'!T2249</f>
        <v>0</v>
      </c>
      <c r="O995" s="361" cm="1">
        <f t="array" ref="O995">IFERROR(SUMPRODUCT(('Planning Engine'!$B$4:$B$2500="47mg LP - EU Stock")*('Planning Engine'!$A$4:$A$2500='Planning Engine'!A2249)*'Planning Engine'!$U$4:$U$2500),"--")</f>
        <v>0</v>
      </c>
      <c r="P995" s="273" t="str">
        <f t="shared" si="33"/>
        <v>⚠ Expedite production / source alternate</v>
      </c>
    </row>
    <row r="996" spans="1:16" x14ac:dyDescent="0.35">
      <c r="A996" s="358">
        <f>'Planning Engine'!A2250</f>
        <v>49004</v>
      </c>
      <c r="B996" s="274" t="s">
        <v>960</v>
      </c>
      <c r="C996" s="278" t="str">
        <f>'Planning Engine'!C2250</f>
        <v>Label/Pack</v>
      </c>
      <c r="D996" s="278" t="str">
        <f>'Planning Engine'!D2250</f>
        <v>units</v>
      </c>
      <c r="E996" s="276">
        <f>'Planning Engine'!E2250</f>
        <v>0</v>
      </c>
      <c r="F996" s="276">
        <f>'Planning Engine'!F2250</f>
        <v>0</v>
      </c>
      <c r="G996" s="276">
        <f>'Planning Engine'!G2250</f>
        <v>0</v>
      </c>
      <c r="H996" s="276">
        <f t="shared" si="32"/>
        <v>0</v>
      </c>
      <c r="I996" s="276">
        <f>'Planning Engine'!H2250</f>
        <v>0</v>
      </c>
      <c r="J996" s="277">
        <f ca="1">'Planning Engine'!J2250</f>
        <v>0</v>
      </c>
      <c r="K996" s="276">
        <f ca="1">'Planning Engine'!K2250</f>
        <v>0</v>
      </c>
      <c r="L996" s="278" t="str">
        <f>'Planning Engine'!L2250</f>
        <v>High</v>
      </c>
      <c r="M996" s="358">
        <f>'Planning Engine'!S2250</f>
        <v>48914</v>
      </c>
      <c r="N996" s="276">
        <f>'Planning Engine'!T2250</f>
        <v>0</v>
      </c>
      <c r="O996" s="359" cm="1">
        <f t="array" ref="O996">IFERROR(SUMPRODUCT(('Planning Engine'!$B$4:$B$2500="47mg LP - EU Stock")*('Planning Engine'!$A$4:$A$2500='Planning Engine'!A2250)*'Planning Engine'!$U$4:$U$2500),"--")</f>
        <v>0</v>
      </c>
      <c r="P996" s="278" t="str">
        <f t="shared" si="33"/>
        <v>⚠ Expedite production / source alternate</v>
      </c>
    </row>
    <row r="997" spans="1:16" x14ac:dyDescent="0.35">
      <c r="A997" s="360">
        <f>'Planning Engine'!A2251</f>
        <v>49035</v>
      </c>
      <c r="B997" s="269" t="s">
        <v>960</v>
      </c>
      <c r="C997" s="273" t="str">
        <f>'Planning Engine'!C2251</f>
        <v>Label/Pack</v>
      </c>
      <c r="D997" s="273" t="str">
        <f>'Planning Engine'!D2251</f>
        <v>units</v>
      </c>
      <c r="E997" s="271">
        <f>'Planning Engine'!E2251</f>
        <v>0</v>
      </c>
      <c r="F997" s="271">
        <f>'Planning Engine'!F2251</f>
        <v>0</v>
      </c>
      <c r="G997" s="271">
        <f>'Planning Engine'!G2251</f>
        <v>0</v>
      </c>
      <c r="H997" s="271">
        <f t="shared" si="32"/>
        <v>0</v>
      </c>
      <c r="I997" s="271">
        <f>'Planning Engine'!H2251</f>
        <v>0</v>
      </c>
      <c r="J997" s="272">
        <f ca="1">'Planning Engine'!J2251</f>
        <v>0</v>
      </c>
      <c r="K997" s="271">
        <f ca="1">'Planning Engine'!K2251</f>
        <v>0</v>
      </c>
      <c r="L997" s="273" t="str">
        <f>'Planning Engine'!L2251</f>
        <v>High</v>
      </c>
      <c r="M997" s="360">
        <f>'Planning Engine'!S2251</f>
        <v>48945</v>
      </c>
      <c r="N997" s="271">
        <f>'Planning Engine'!T2251</f>
        <v>0</v>
      </c>
      <c r="O997" s="361" cm="1">
        <f t="array" ref="O997">IFERROR(SUMPRODUCT(('Planning Engine'!$B$4:$B$2500="47mg LP - EU Stock")*('Planning Engine'!$A$4:$A$2500='Planning Engine'!A2251)*'Planning Engine'!$U$4:$U$2500),"--")</f>
        <v>0</v>
      </c>
      <c r="P997" s="273" t="str">
        <f t="shared" si="33"/>
        <v>⚠ Expedite production / source alternate</v>
      </c>
    </row>
    <row r="998" spans="1:16" x14ac:dyDescent="0.35">
      <c r="A998" s="358">
        <f>'Planning Engine'!A2252</f>
        <v>49065</v>
      </c>
      <c r="B998" s="274" t="s">
        <v>960</v>
      </c>
      <c r="C998" s="278" t="str">
        <f>'Planning Engine'!C2252</f>
        <v>Label/Pack</v>
      </c>
      <c r="D998" s="278" t="str">
        <f>'Planning Engine'!D2252</f>
        <v>units</v>
      </c>
      <c r="E998" s="276">
        <f>'Planning Engine'!E2252</f>
        <v>0</v>
      </c>
      <c r="F998" s="276">
        <f>'Planning Engine'!F2252</f>
        <v>0</v>
      </c>
      <c r="G998" s="276">
        <f>'Planning Engine'!G2252</f>
        <v>0</v>
      </c>
      <c r="H998" s="276">
        <f t="shared" si="32"/>
        <v>0</v>
      </c>
      <c r="I998" s="276">
        <f>'Planning Engine'!H2252</f>
        <v>0</v>
      </c>
      <c r="J998" s="277">
        <f ca="1">'Planning Engine'!J2252</f>
        <v>0</v>
      </c>
      <c r="K998" s="276">
        <f ca="1">'Planning Engine'!K2252</f>
        <v>0</v>
      </c>
      <c r="L998" s="278" t="str">
        <f>'Planning Engine'!L2252</f>
        <v>High</v>
      </c>
      <c r="M998" s="358">
        <f>'Planning Engine'!S2252</f>
        <v>48976</v>
      </c>
      <c r="N998" s="276">
        <f>'Planning Engine'!T2252</f>
        <v>0</v>
      </c>
      <c r="O998" s="359" cm="1">
        <f t="array" ref="O998">IFERROR(SUMPRODUCT(('Planning Engine'!$B$4:$B$2500="47mg LP - EU Stock")*('Planning Engine'!$A$4:$A$2500='Planning Engine'!A2252)*'Planning Engine'!$U$4:$U$2500),"--")</f>
        <v>0</v>
      </c>
      <c r="P998" s="278" t="str">
        <f t="shared" si="33"/>
        <v>⚠ Expedite production / source alternate</v>
      </c>
    </row>
    <row r="999" spans="1:16" x14ac:dyDescent="0.35">
      <c r="A999" s="360">
        <f>'Planning Engine'!A2253</f>
        <v>49096</v>
      </c>
      <c r="B999" s="269" t="s">
        <v>960</v>
      </c>
      <c r="C999" s="273" t="str">
        <f>'Planning Engine'!C2253</f>
        <v>Label/Pack</v>
      </c>
      <c r="D999" s="273" t="str">
        <f>'Planning Engine'!D2253</f>
        <v>units</v>
      </c>
      <c r="E999" s="271">
        <f>'Planning Engine'!E2253</f>
        <v>0</v>
      </c>
      <c r="F999" s="271">
        <f>'Planning Engine'!F2253</f>
        <v>0</v>
      </c>
      <c r="G999" s="271">
        <f>'Planning Engine'!G2253</f>
        <v>0</v>
      </c>
      <c r="H999" s="271">
        <f t="shared" si="32"/>
        <v>0</v>
      </c>
      <c r="I999" s="271">
        <f>'Planning Engine'!H2253</f>
        <v>0</v>
      </c>
      <c r="J999" s="272">
        <f ca="1">'Planning Engine'!J2253</f>
        <v>0</v>
      </c>
      <c r="K999" s="271">
        <f ca="1">'Planning Engine'!K2253</f>
        <v>0</v>
      </c>
      <c r="L999" s="273" t="str">
        <f>'Planning Engine'!L2253</f>
        <v>High</v>
      </c>
      <c r="M999" s="360">
        <f>'Planning Engine'!S2253</f>
        <v>49004</v>
      </c>
      <c r="N999" s="271">
        <f>'Planning Engine'!T2253</f>
        <v>0</v>
      </c>
      <c r="O999" s="361" cm="1">
        <f t="array" ref="O999">IFERROR(SUMPRODUCT(('Planning Engine'!$B$4:$B$2500="47mg LP - EU Stock")*('Planning Engine'!$A$4:$A$2500='Planning Engine'!A2253)*'Planning Engine'!$U$4:$U$2500),"--")</f>
        <v>0</v>
      </c>
      <c r="P999" s="273" t="str">
        <f t="shared" si="33"/>
        <v>⚠ Expedite production / source alternate</v>
      </c>
    </row>
    <row r="1000" spans="1:16" x14ac:dyDescent="0.35">
      <c r="A1000" s="358">
        <f>'Planning Engine'!A2254</f>
        <v>49126</v>
      </c>
      <c r="B1000" s="274" t="s">
        <v>960</v>
      </c>
      <c r="C1000" s="278" t="str">
        <f>'Planning Engine'!C2254</f>
        <v>Label/Pack</v>
      </c>
      <c r="D1000" s="278" t="str">
        <f>'Planning Engine'!D2254</f>
        <v>units</v>
      </c>
      <c r="E1000" s="276">
        <f>'Planning Engine'!E2254</f>
        <v>0</v>
      </c>
      <c r="F1000" s="276">
        <f>'Planning Engine'!F2254</f>
        <v>0</v>
      </c>
      <c r="G1000" s="276">
        <f>'Planning Engine'!G2254</f>
        <v>0</v>
      </c>
      <c r="H1000" s="276">
        <f t="shared" si="32"/>
        <v>0</v>
      </c>
      <c r="I1000" s="276">
        <f>'Planning Engine'!H2254</f>
        <v>0</v>
      </c>
      <c r="J1000" s="277">
        <f ca="1">'Planning Engine'!J2254</f>
        <v>0</v>
      </c>
      <c r="K1000" s="276">
        <f ca="1">'Planning Engine'!K2254</f>
        <v>0</v>
      </c>
      <c r="L1000" s="278" t="str">
        <f>'Planning Engine'!L2254</f>
        <v>High</v>
      </c>
      <c r="M1000" s="358">
        <f>'Planning Engine'!S2254</f>
        <v>49035</v>
      </c>
      <c r="N1000" s="276">
        <f>'Planning Engine'!T2254</f>
        <v>0</v>
      </c>
      <c r="O1000" s="359" cm="1">
        <f t="array" ref="O1000">IFERROR(SUMPRODUCT(('Planning Engine'!$B$4:$B$2500="47mg LP - EU Stock")*('Planning Engine'!$A$4:$A$2500='Planning Engine'!A2254)*'Planning Engine'!$U$4:$U$2500),"--")</f>
        <v>0</v>
      </c>
      <c r="P1000" s="278" t="str">
        <f t="shared" si="33"/>
        <v>⚠ Expedite production / source alternate</v>
      </c>
    </row>
    <row r="1001" spans="1:16" x14ac:dyDescent="0.35">
      <c r="A1001" s="360">
        <f>'Planning Engine'!A2255</f>
        <v>49157</v>
      </c>
      <c r="B1001" s="269" t="s">
        <v>960</v>
      </c>
      <c r="C1001" s="273" t="str">
        <f>'Planning Engine'!C2255</f>
        <v>Label/Pack</v>
      </c>
      <c r="D1001" s="273" t="str">
        <f>'Planning Engine'!D2255</f>
        <v>units</v>
      </c>
      <c r="E1001" s="271">
        <f>'Planning Engine'!E2255</f>
        <v>0</v>
      </c>
      <c r="F1001" s="271">
        <f>'Planning Engine'!F2255</f>
        <v>0</v>
      </c>
      <c r="G1001" s="271">
        <f>'Planning Engine'!G2255</f>
        <v>0</v>
      </c>
      <c r="H1001" s="271">
        <f t="shared" si="32"/>
        <v>0</v>
      </c>
      <c r="I1001" s="271">
        <f>'Planning Engine'!H2255</f>
        <v>0</v>
      </c>
      <c r="J1001" s="272">
        <f ca="1">'Planning Engine'!J2255</f>
        <v>0</v>
      </c>
      <c r="K1001" s="271">
        <f ca="1">'Planning Engine'!K2255</f>
        <v>0</v>
      </c>
      <c r="L1001" s="273" t="str">
        <f>'Planning Engine'!L2255</f>
        <v>High</v>
      </c>
      <c r="M1001" s="360">
        <f>'Planning Engine'!S2255</f>
        <v>49065</v>
      </c>
      <c r="N1001" s="271">
        <f>'Planning Engine'!T2255</f>
        <v>0</v>
      </c>
      <c r="O1001" s="361" cm="1">
        <f t="array" ref="O1001">IFERROR(SUMPRODUCT(('Planning Engine'!$B$4:$B$2500="47mg LP - EU Stock")*('Planning Engine'!$A$4:$A$2500='Planning Engine'!A2255)*'Planning Engine'!$U$4:$U$2500),"--")</f>
        <v>0</v>
      </c>
      <c r="P1001" s="273" t="str">
        <f t="shared" si="33"/>
        <v>⚠ Expedite production / source alternate</v>
      </c>
    </row>
    <row r="1002" spans="1:16" x14ac:dyDescent="0.35">
      <c r="A1002" s="358">
        <f>'Planning Engine'!A2256</f>
        <v>49188</v>
      </c>
      <c r="B1002" s="274" t="s">
        <v>960</v>
      </c>
      <c r="C1002" s="278" t="str">
        <f>'Planning Engine'!C2256</f>
        <v>Label/Pack</v>
      </c>
      <c r="D1002" s="278" t="str">
        <f>'Planning Engine'!D2256</f>
        <v>units</v>
      </c>
      <c r="E1002" s="276">
        <f>'Planning Engine'!E2256</f>
        <v>0</v>
      </c>
      <c r="F1002" s="276">
        <f>'Planning Engine'!F2256</f>
        <v>0</v>
      </c>
      <c r="G1002" s="276">
        <f>'Planning Engine'!G2256</f>
        <v>0</v>
      </c>
      <c r="H1002" s="276">
        <f t="shared" si="32"/>
        <v>0</v>
      </c>
      <c r="I1002" s="276">
        <f>'Planning Engine'!H2256</f>
        <v>0</v>
      </c>
      <c r="J1002" s="277">
        <f ca="1">'Planning Engine'!J2256</f>
        <v>0</v>
      </c>
      <c r="K1002" s="276">
        <f ca="1">'Planning Engine'!K2256</f>
        <v>0</v>
      </c>
      <c r="L1002" s="278" t="str">
        <f>'Planning Engine'!L2256</f>
        <v>High</v>
      </c>
      <c r="M1002" s="358">
        <f>'Planning Engine'!S2256</f>
        <v>49096</v>
      </c>
      <c r="N1002" s="276">
        <f>'Planning Engine'!T2256</f>
        <v>0</v>
      </c>
      <c r="O1002" s="359" cm="1">
        <f t="array" ref="O1002">IFERROR(SUMPRODUCT(('Planning Engine'!$B$4:$B$2500="47mg LP - EU Stock")*('Planning Engine'!$A$4:$A$2500='Planning Engine'!A2256)*'Planning Engine'!$U$4:$U$2500),"--")</f>
        <v>0</v>
      </c>
      <c r="P1002" s="278" t="str">
        <f t="shared" si="33"/>
        <v>⚠ Expedite production / source alternate</v>
      </c>
    </row>
    <row r="1003" spans="1:16" x14ac:dyDescent="0.35">
      <c r="A1003" s="360">
        <f>'Planning Engine'!A2257</f>
        <v>49218</v>
      </c>
      <c r="B1003" s="269" t="s">
        <v>960</v>
      </c>
      <c r="C1003" s="273" t="str">
        <f>'Planning Engine'!C2257</f>
        <v>Label/Pack</v>
      </c>
      <c r="D1003" s="273" t="str">
        <f>'Planning Engine'!D2257</f>
        <v>units</v>
      </c>
      <c r="E1003" s="271">
        <f>'Planning Engine'!E2257</f>
        <v>0</v>
      </c>
      <c r="F1003" s="271">
        <f>'Planning Engine'!F2257</f>
        <v>0</v>
      </c>
      <c r="G1003" s="271">
        <f>'Planning Engine'!G2257</f>
        <v>0</v>
      </c>
      <c r="H1003" s="271">
        <f t="shared" si="32"/>
        <v>0</v>
      </c>
      <c r="I1003" s="271">
        <f>'Planning Engine'!H2257</f>
        <v>0</v>
      </c>
      <c r="J1003" s="272">
        <f ca="1">'Planning Engine'!J2257</f>
        <v>0</v>
      </c>
      <c r="K1003" s="271">
        <f ca="1">'Planning Engine'!K2257</f>
        <v>0</v>
      </c>
      <c r="L1003" s="273" t="str">
        <f>'Planning Engine'!L2257</f>
        <v>High</v>
      </c>
      <c r="M1003" s="360">
        <f>'Planning Engine'!S2257</f>
        <v>49126</v>
      </c>
      <c r="N1003" s="271">
        <f>'Planning Engine'!T2257</f>
        <v>0</v>
      </c>
      <c r="O1003" s="361" cm="1">
        <f t="array" ref="O1003">IFERROR(SUMPRODUCT(('Planning Engine'!$B$4:$B$2500="47mg LP - EU Stock")*('Planning Engine'!$A$4:$A$2500='Planning Engine'!A2257)*'Planning Engine'!$U$4:$U$2500),"--")</f>
        <v>0</v>
      </c>
      <c r="P1003" s="273" t="str">
        <f t="shared" si="33"/>
        <v>⚠ Expedite production / source alternate</v>
      </c>
    </row>
    <row r="1004" spans="1:16" x14ac:dyDescent="0.35">
      <c r="A1004" s="358">
        <f>'Planning Engine'!A2258</f>
        <v>49249</v>
      </c>
      <c r="B1004" s="274" t="s">
        <v>960</v>
      </c>
      <c r="C1004" s="278" t="str">
        <f>'Planning Engine'!C2258</f>
        <v>Label/Pack</v>
      </c>
      <c r="D1004" s="278" t="str">
        <f>'Planning Engine'!D2258</f>
        <v>units</v>
      </c>
      <c r="E1004" s="276">
        <f>'Planning Engine'!E2258</f>
        <v>0</v>
      </c>
      <c r="F1004" s="276">
        <f>'Planning Engine'!F2258</f>
        <v>0</v>
      </c>
      <c r="G1004" s="276">
        <f>'Planning Engine'!G2258</f>
        <v>0</v>
      </c>
      <c r="H1004" s="276">
        <f t="shared" si="32"/>
        <v>0</v>
      </c>
      <c r="I1004" s="276">
        <f>'Planning Engine'!H2258</f>
        <v>0</v>
      </c>
      <c r="J1004" s="277">
        <f ca="1">'Planning Engine'!J2258</f>
        <v>0</v>
      </c>
      <c r="K1004" s="276">
        <f ca="1">'Planning Engine'!K2258</f>
        <v>0</v>
      </c>
      <c r="L1004" s="278" t="str">
        <f>'Planning Engine'!L2258</f>
        <v>High</v>
      </c>
      <c r="M1004" s="358">
        <f>'Planning Engine'!S2258</f>
        <v>49157</v>
      </c>
      <c r="N1004" s="276">
        <f>'Planning Engine'!T2258</f>
        <v>0</v>
      </c>
      <c r="O1004" s="359" cm="1">
        <f t="array" ref="O1004">IFERROR(SUMPRODUCT(('Planning Engine'!$B$4:$B$2500="47mg LP - EU Stock")*('Planning Engine'!$A$4:$A$2500='Planning Engine'!A2258)*'Planning Engine'!$U$4:$U$2500),"--")</f>
        <v>0</v>
      </c>
      <c r="P1004" s="278" t="str">
        <f t="shared" si="33"/>
        <v>⚠ Expedite production / source alternate</v>
      </c>
    </row>
    <row r="1005" spans="1:16" x14ac:dyDescent="0.35">
      <c r="A1005" s="360">
        <f>'Planning Engine'!A2259</f>
        <v>49279</v>
      </c>
      <c r="B1005" s="269" t="s">
        <v>960</v>
      </c>
      <c r="C1005" s="273" t="str">
        <f>'Planning Engine'!C2259</f>
        <v>Label/Pack</v>
      </c>
      <c r="D1005" s="273" t="str">
        <f>'Planning Engine'!D2259</f>
        <v>units</v>
      </c>
      <c r="E1005" s="271">
        <f>'Planning Engine'!E2259</f>
        <v>0</v>
      </c>
      <c r="F1005" s="271">
        <f>'Planning Engine'!F2259</f>
        <v>0</v>
      </c>
      <c r="G1005" s="271">
        <f>'Planning Engine'!G2259</f>
        <v>0</v>
      </c>
      <c r="H1005" s="271">
        <f t="shared" si="32"/>
        <v>0</v>
      </c>
      <c r="I1005" s="271">
        <f>'Planning Engine'!H2259</f>
        <v>0</v>
      </c>
      <c r="J1005" s="272">
        <f ca="1">'Planning Engine'!J2259</f>
        <v>0</v>
      </c>
      <c r="K1005" s="271">
        <f ca="1">'Planning Engine'!K2259</f>
        <v>0</v>
      </c>
      <c r="L1005" s="273" t="str">
        <f>'Planning Engine'!L2259</f>
        <v>High</v>
      </c>
      <c r="M1005" s="360">
        <f>'Planning Engine'!S2259</f>
        <v>49188</v>
      </c>
      <c r="N1005" s="271">
        <f>'Planning Engine'!T2259</f>
        <v>0</v>
      </c>
      <c r="O1005" s="361" cm="1">
        <f t="array" ref="O1005">IFERROR(SUMPRODUCT(('Planning Engine'!$B$4:$B$2500="47mg LP - EU Stock")*('Planning Engine'!$A$4:$A$2500='Planning Engine'!A2259)*'Planning Engine'!$U$4:$U$2500),"--")</f>
        <v>0</v>
      </c>
      <c r="P1005" s="273" t="str">
        <f t="shared" si="33"/>
        <v>⚠ Expedite production / source alternate</v>
      </c>
    </row>
    <row r="1006" spans="1:16" x14ac:dyDescent="0.35">
      <c r="A1006" s="358">
        <f>'Planning Engine'!A2260</f>
        <v>49310</v>
      </c>
      <c r="B1006" s="274" t="s">
        <v>960</v>
      </c>
      <c r="C1006" s="278" t="str">
        <f>'Planning Engine'!C2260</f>
        <v>Label/Pack</v>
      </c>
      <c r="D1006" s="278" t="str">
        <f>'Planning Engine'!D2260</f>
        <v>units</v>
      </c>
      <c r="E1006" s="276">
        <f>'Planning Engine'!E2260</f>
        <v>0</v>
      </c>
      <c r="F1006" s="276">
        <f>'Planning Engine'!F2260</f>
        <v>0</v>
      </c>
      <c r="G1006" s="276">
        <f>'Planning Engine'!G2260</f>
        <v>0</v>
      </c>
      <c r="H1006" s="276">
        <f t="shared" si="32"/>
        <v>0</v>
      </c>
      <c r="I1006" s="276">
        <f>'Planning Engine'!H2260</f>
        <v>0</v>
      </c>
      <c r="J1006" s="277">
        <f ca="1">'Planning Engine'!J2260</f>
        <v>0</v>
      </c>
      <c r="K1006" s="276">
        <f ca="1">'Planning Engine'!K2260</f>
        <v>0</v>
      </c>
      <c r="L1006" s="278" t="str">
        <f>'Planning Engine'!L2260</f>
        <v>High</v>
      </c>
      <c r="M1006" s="358">
        <f>'Planning Engine'!S2260</f>
        <v>49218</v>
      </c>
      <c r="N1006" s="276">
        <f>'Planning Engine'!T2260</f>
        <v>0</v>
      </c>
      <c r="O1006" s="359" cm="1">
        <f t="array" ref="O1006">IFERROR(SUMPRODUCT(('Planning Engine'!$B$4:$B$2500="47mg LP - EU Stock")*('Planning Engine'!$A$4:$A$2500='Planning Engine'!A2260)*'Planning Engine'!$U$4:$U$2500),"--")</f>
        <v>0</v>
      </c>
      <c r="P1006" s="278" t="str">
        <f t="shared" si="33"/>
        <v>⚠ Expedite production / source alternate</v>
      </c>
    </row>
    <row r="1007" spans="1:16" x14ac:dyDescent="0.35">
      <c r="A1007" s="360">
        <f>'Planning Engine'!A2261</f>
        <v>49341</v>
      </c>
      <c r="B1007" s="269" t="s">
        <v>960</v>
      </c>
      <c r="C1007" s="273" t="str">
        <f>'Planning Engine'!C2261</f>
        <v>Label/Pack</v>
      </c>
      <c r="D1007" s="273" t="str">
        <f>'Planning Engine'!D2261</f>
        <v>units</v>
      </c>
      <c r="E1007" s="271">
        <f>'Planning Engine'!E2261</f>
        <v>0</v>
      </c>
      <c r="F1007" s="271">
        <f>'Planning Engine'!F2261</f>
        <v>0</v>
      </c>
      <c r="G1007" s="271">
        <f>'Planning Engine'!G2261</f>
        <v>0</v>
      </c>
      <c r="H1007" s="271">
        <f t="shared" si="32"/>
        <v>0</v>
      </c>
      <c r="I1007" s="271">
        <f>'Planning Engine'!H2261</f>
        <v>0</v>
      </c>
      <c r="J1007" s="272">
        <f ca="1">'Planning Engine'!J2261</f>
        <v>0</v>
      </c>
      <c r="K1007" s="271">
        <f ca="1">'Planning Engine'!K2261</f>
        <v>0</v>
      </c>
      <c r="L1007" s="273" t="str">
        <f>'Planning Engine'!L2261</f>
        <v>High</v>
      </c>
      <c r="M1007" s="360">
        <f>'Planning Engine'!S2261</f>
        <v>49249</v>
      </c>
      <c r="N1007" s="271">
        <f>'Planning Engine'!T2261</f>
        <v>0</v>
      </c>
      <c r="O1007" s="361" cm="1">
        <f t="array" ref="O1007">IFERROR(SUMPRODUCT(('Planning Engine'!$B$4:$B$2500="47mg LP - EU Stock")*('Planning Engine'!$A$4:$A$2500='Planning Engine'!A2261)*'Planning Engine'!$U$4:$U$2500),"--")</f>
        <v>0</v>
      </c>
      <c r="P1007" s="273" t="str">
        <f t="shared" si="33"/>
        <v>⚠ Expedite production / source alternate</v>
      </c>
    </row>
    <row r="1008" spans="1:16" x14ac:dyDescent="0.35">
      <c r="A1008" s="358">
        <f>'Planning Engine'!A2262</f>
        <v>49369</v>
      </c>
      <c r="B1008" s="274" t="s">
        <v>960</v>
      </c>
      <c r="C1008" s="278" t="str">
        <f>'Planning Engine'!C2262</f>
        <v>Label/Pack</v>
      </c>
      <c r="D1008" s="278" t="str">
        <f>'Planning Engine'!D2262</f>
        <v>units</v>
      </c>
      <c r="E1008" s="276">
        <f>'Planning Engine'!E2262</f>
        <v>0</v>
      </c>
      <c r="F1008" s="276">
        <f>'Planning Engine'!F2262</f>
        <v>0</v>
      </c>
      <c r="G1008" s="276">
        <f>'Planning Engine'!G2262</f>
        <v>0</v>
      </c>
      <c r="H1008" s="276">
        <f t="shared" si="32"/>
        <v>0</v>
      </c>
      <c r="I1008" s="276">
        <f>'Planning Engine'!H2262</f>
        <v>0</v>
      </c>
      <c r="J1008" s="277">
        <f ca="1">'Planning Engine'!J2262</f>
        <v>0</v>
      </c>
      <c r="K1008" s="276">
        <f ca="1">'Planning Engine'!K2262</f>
        <v>0</v>
      </c>
      <c r="L1008" s="278" t="str">
        <f>'Planning Engine'!L2262</f>
        <v>High</v>
      </c>
      <c r="M1008" s="358">
        <f>'Planning Engine'!S2262</f>
        <v>49279</v>
      </c>
      <c r="N1008" s="276">
        <f>'Planning Engine'!T2262</f>
        <v>0</v>
      </c>
      <c r="O1008" s="359" cm="1">
        <f t="array" ref="O1008">IFERROR(SUMPRODUCT(('Planning Engine'!$B$4:$B$2500="47mg LP - EU Stock")*('Planning Engine'!$A$4:$A$2500='Planning Engine'!A2262)*'Planning Engine'!$U$4:$U$2500),"--")</f>
        <v>0</v>
      </c>
      <c r="P1008" s="278" t="str">
        <f t="shared" si="33"/>
        <v>⚠ Expedite production / source alternate</v>
      </c>
    </row>
    <row r="1009" spans="1:16" x14ac:dyDescent="0.35">
      <c r="A1009" s="360">
        <f>'Planning Engine'!A2263</f>
        <v>49400</v>
      </c>
      <c r="B1009" s="269" t="s">
        <v>960</v>
      </c>
      <c r="C1009" s="273" t="str">
        <f>'Planning Engine'!C2263</f>
        <v>Label/Pack</v>
      </c>
      <c r="D1009" s="273" t="str">
        <f>'Planning Engine'!D2263</f>
        <v>units</v>
      </c>
      <c r="E1009" s="271">
        <f>'Planning Engine'!E2263</f>
        <v>0</v>
      </c>
      <c r="F1009" s="271">
        <f>'Planning Engine'!F2263</f>
        <v>0</v>
      </c>
      <c r="G1009" s="271">
        <f>'Planning Engine'!G2263</f>
        <v>0</v>
      </c>
      <c r="H1009" s="271">
        <f t="shared" si="32"/>
        <v>0</v>
      </c>
      <c r="I1009" s="271">
        <f>'Planning Engine'!H2263</f>
        <v>0</v>
      </c>
      <c r="J1009" s="272">
        <f ca="1">'Planning Engine'!J2263</f>
        <v>0</v>
      </c>
      <c r="K1009" s="271">
        <f ca="1">'Planning Engine'!K2263</f>
        <v>0</v>
      </c>
      <c r="L1009" s="273" t="str">
        <f>'Planning Engine'!L2263</f>
        <v>High</v>
      </c>
      <c r="M1009" s="360">
        <f>'Planning Engine'!S2263</f>
        <v>49310</v>
      </c>
      <c r="N1009" s="271">
        <f>'Planning Engine'!T2263</f>
        <v>0</v>
      </c>
      <c r="O1009" s="361" cm="1">
        <f t="array" ref="O1009">IFERROR(SUMPRODUCT(('Planning Engine'!$B$4:$B$2500="47mg LP - EU Stock")*('Planning Engine'!$A$4:$A$2500='Planning Engine'!A2263)*'Planning Engine'!$U$4:$U$2500),"--")</f>
        <v>0</v>
      </c>
      <c r="P1009" s="273" t="str">
        <f t="shared" si="33"/>
        <v>⚠ Expedite production / source alternate</v>
      </c>
    </row>
    <row r="1010" spans="1:16" x14ac:dyDescent="0.35">
      <c r="A1010" s="358">
        <f>'Planning Engine'!A2264</f>
        <v>49430</v>
      </c>
      <c r="B1010" s="274" t="s">
        <v>960</v>
      </c>
      <c r="C1010" s="278" t="str">
        <f>'Planning Engine'!C2264</f>
        <v>Label/Pack</v>
      </c>
      <c r="D1010" s="278" t="str">
        <f>'Planning Engine'!D2264</f>
        <v>units</v>
      </c>
      <c r="E1010" s="276">
        <f>'Planning Engine'!E2264</f>
        <v>0</v>
      </c>
      <c r="F1010" s="276">
        <f>'Planning Engine'!F2264</f>
        <v>0</v>
      </c>
      <c r="G1010" s="276">
        <f>'Planning Engine'!G2264</f>
        <v>0</v>
      </c>
      <c r="H1010" s="276">
        <f t="shared" si="32"/>
        <v>0</v>
      </c>
      <c r="I1010" s="276">
        <f>'Planning Engine'!H2264</f>
        <v>0</v>
      </c>
      <c r="J1010" s="277">
        <f ca="1">'Planning Engine'!J2264</f>
        <v>0</v>
      </c>
      <c r="K1010" s="276">
        <f ca="1">'Planning Engine'!K2264</f>
        <v>0</v>
      </c>
      <c r="L1010" s="278" t="str">
        <f>'Planning Engine'!L2264</f>
        <v>High</v>
      </c>
      <c r="M1010" s="358">
        <f>'Planning Engine'!S2264</f>
        <v>49341</v>
      </c>
      <c r="N1010" s="276">
        <f>'Planning Engine'!T2264</f>
        <v>0</v>
      </c>
      <c r="O1010" s="359" cm="1">
        <f t="array" ref="O1010">IFERROR(SUMPRODUCT(('Planning Engine'!$B$4:$B$2500="47mg LP - EU Stock")*('Planning Engine'!$A$4:$A$2500='Planning Engine'!A2264)*'Planning Engine'!$U$4:$U$2500),"--")</f>
        <v>0</v>
      </c>
      <c r="P1010" s="278" t="str">
        <f t="shared" si="33"/>
        <v>⚠ Expedite production / source alternate</v>
      </c>
    </row>
    <row r="1011" spans="1:16" x14ac:dyDescent="0.35">
      <c r="A1011" s="360">
        <f>'Planning Engine'!A2265</f>
        <v>49461</v>
      </c>
      <c r="B1011" s="269" t="s">
        <v>960</v>
      </c>
      <c r="C1011" s="273" t="str">
        <f>'Planning Engine'!C2265</f>
        <v>Label/Pack</v>
      </c>
      <c r="D1011" s="273" t="str">
        <f>'Planning Engine'!D2265</f>
        <v>units</v>
      </c>
      <c r="E1011" s="271">
        <f>'Planning Engine'!E2265</f>
        <v>0</v>
      </c>
      <c r="F1011" s="271">
        <f>'Planning Engine'!F2265</f>
        <v>0</v>
      </c>
      <c r="G1011" s="271">
        <f>'Planning Engine'!G2265</f>
        <v>0</v>
      </c>
      <c r="H1011" s="271">
        <f t="shared" si="32"/>
        <v>0</v>
      </c>
      <c r="I1011" s="271">
        <f>'Planning Engine'!H2265</f>
        <v>0</v>
      </c>
      <c r="J1011" s="272">
        <f ca="1">'Planning Engine'!J2265</f>
        <v>0</v>
      </c>
      <c r="K1011" s="271">
        <f ca="1">'Planning Engine'!K2265</f>
        <v>0</v>
      </c>
      <c r="L1011" s="273" t="str">
        <f>'Planning Engine'!L2265</f>
        <v>High</v>
      </c>
      <c r="M1011" s="360">
        <f>'Planning Engine'!S2265</f>
        <v>49369</v>
      </c>
      <c r="N1011" s="271">
        <f>'Planning Engine'!T2265</f>
        <v>0</v>
      </c>
      <c r="O1011" s="361" cm="1">
        <f t="array" ref="O1011">IFERROR(SUMPRODUCT(('Planning Engine'!$B$4:$B$2500="47mg LP - EU Stock")*('Planning Engine'!$A$4:$A$2500='Planning Engine'!A2265)*'Planning Engine'!$U$4:$U$2500),"--")</f>
        <v>0</v>
      </c>
      <c r="P1011" s="273" t="str">
        <f t="shared" si="33"/>
        <v>⚠ Expedite production / source alternate</v>
      </c>
    </row>
    <row r="1012" spans="1:16" x14ac:dyDescent="0.35">
      <c r="A1012" s="358">
        <f>'Planning Engine'!A2266</f>
        <v>49491</v>
      </c>
      <c r="B1012" s="274" t="s">
        <v>960</v>
      </c>
      <c r="C1012" s="278" t="str">
        <f>'Planning Engine'!C2266</f>
        <v>Label/Pack</v>
      </c>
      <c r="D1012" s="278" t="str">
        <f>'Planning Engine'!D2266</f>
        <v>units</v>
      </c>
      <c r="E1012" s="276">
        <f>'Planning Engine'!E2266</f>
        <v>0</v>
      </c>
      <c r="F1012" s="276">
        <f>'Planning Engine'!F2266</f>
        <v>0</v>
      </c>
      <c r="G1012" s="276">
        <f>'Planning Engine'!G2266</f>
        <v>0</v>
      </c>
      <c r="H1012" s="276">
        <f t="shared" si="32"/>
        <v>0</v>
      </c>
      <c r="I1012" s="276">
        <f>'Planning Engine'!H2266</f>
        <v>0</v>
      </c>
      <c r="J1012" s="277">
        <f ca="1">'Planning Engine'!J2266</f>
        <v>0</v>
      </c>
      <c r="K1012" s="276">
        <f ca="1">'Planning Engine'!K2266</f>
        <v>0</v>
      </c>
      <c r="L1012" s="278" t="str">
        <f>'Planning Engine'!L2266</f>
        <v>High</v>
      </c>
      <c r="M1012" s="358">
        <f>'Planning Engine'!S2266</f>
        <v>49400</v>
      </c>
      <c r="N1012" s="276">
        <f>'Planning Engine'!T2266</f>
        <v>0</v>
      </c>
      <c r="O1012" s="359" cm="1">
        <f t="array" ref="O1012">IFERROR(SUMPRODUCT(('Planning Engine'!$B$4:$B$2500="47mg LP - EU Stock")*('Planning Engine'!$A$4:$A$2500='Planning Engine'!A2266)*'Planning Engine'!$U$4:$U$2500),"--")</f>
        <v>0</v>
      </c>
      <c r="P1012" s="278" t="str">
        <f t="shared" si="33"/>
        <v>⚠ Expedite production / source alternate</v>
      </c>
    </row>
    <row r="1013" spans="1:16" x14ac:dyDescent="0.35">
      <c r="A1013" s="360">
        <f>'Planning Engine'!A2267</f>
        <v>49522</v>
      </c>
      <c r="B1013" s="269" t="s">
        <v>960</v>
      </c>
      <c r="C1013" s="273" t="str">
        <f>'Planning Engine'!C2267</f>
        <v>Label/Pack</v>
      </c>
      <c r="D1013" s="273" t="str">
        <f>'Planning Engine'!D2267</f>
        <v>units</v>
      </c>
      <c r="E1013" s="271">
        <f>'Planning Engine'!E2267</f>
        <v>0</v>
      </c>
      <c r="F1013" s="271">
        <f>'Planning Engine'!F2267</f>
        <v>0</v>
      </c>
      <c r="G1013" s="271">
        <f>'Planning Engine'!G2267</f>
        <v>0</v>
      </c>
      <c r="H1013" s="271">
        <f t="shared" si="32"/>
        <v>0</v>
      </c>
      <c r="I1013" s="271">
        <f>'Planning Engine'!H2267</f>
        <v>0</v>
      </c>
      <c r="J1013" s="272">
        <f ca="1">'Planning Engine'!J2267</f>
        <v>0</v>
      </c>
      <c r="K1013" s="271">
        <f ca="1">'Planning Engine'!K2267</f>
        <v>0</v>
      </c>
      <c r="L1013" s="273" t="str">
        <f>'Planning Engine'!L2267</f>
        <v>High</v>
      </c>
      <c r="M1013" s="360">
        <f>'Planning Engine'!S2267</f>
        <v>49430</v>
      </c>
      <c r="N1013" s="271">
        <f>'Planning Engine'!T2267</f>
        <v>0</v>
      </c>
      <c r="O1013" s="361" cm="1">
        <f t="array" ref="O1013">IFERROR(SUMPRODUCT(('Planning Engine'!$B$4:$B$2500="47mg LP - EU Stock")*('Planning Engine'!$A$4:$A$2500='Planning Engine'!A2267)*'Planning Engine'!$U$4:$U$2500),"--")</f>
        <v>0</v>
      </c>
      <c r="P1013" s="273" t="str">
        <f t="shared" si="33"/>
        <v>⚠ Expedite production / source alternate</v>
      </c>
    </row>
    <row r="1014" spans="1:16" x14ac:dyDescent="0.35">
      <c r="A1014" s="358">
        <f>'Planning Engine'!A2268</f>
        <v>49553</v>
      </c>
      <c r="B1014" s="274" t="s">
        <v>960</v>
      </c>
      <c r="C1014" s="278" t="str">
        <f>'Planning Engine'!C2268</f>
        <v>Label/Pack</v>
      </c>
      <c r="D1014" s="278" t="str">
        <f>'Planning Engine'!D2268</f>
        <v>units</v>
      </c>
      <c r="E1014" s="276">
        <f>'Planning Engine'!E2268</f>
        <v>0</v>
      </c>
      <c r="F1014" s="276">
        <f>'Planning Engine'!F2268</f>
        <v>0</v>
      </c>
      <c r="G1014" s="276">
        <f>'Planning Engine'!G2268</f>
        <v>0</v>
      </c>
      <c r="H1014" s="276">
        <f t="shared" si="32"/>
        <v>0</v>
      </c>
      <c r="I1014" s="276">
        <f>'Planning Engine'!H2268</f>
        <v>0</v>
      </c>
      <c r="J1014" s="277">
        <f ca="1">'Planning Engine'!J2268</f>
        <v>0</v>
      </c>
      <c r="K1014" s="276">
        <f ca="1">'Planning Engine'!K2268</f>
        <v>0</v>
      </c>
      <c r="L1014" s="278" t="str">
        <f>'Planning Engine'!L2268</f>
        <v>High</v>
      </c>
      <c r="M1014" s="358">
        <f>'Planning Engine'!S2268</f>
        <v>49461</v>
      </c>
      <c r="N1014" s="276">
        <f>'Planning Engine'!T2268</f>
        <v>0</v>
      </c>
      <c r="O1014" s="359" cm="1">
        <f t="array" ref="O1014">IFERROR(SUMPRODUCT(('Planning Engine'!$B$4:$B$2500="47mg LP - EU Stock")*('Planning Engine'!$A$4:$A$2500='Planning Engine'!A2268)*'Planning Engine'!$U$4:$U$2500),"--")</f>
        <v>0</v>
      </c>
      <c r="P1014" s="278" t="str">
        <f t="shared" si="33"/>
        <v>⚠ Expedite production / source alternate</v>
      </c>
    </row>
    <row r="1015" spans="1:16" x14ac:dyDescent="0.35">
      <c r="A1015" s="360">
        <f>'Planning Engine'!A2269</f>
        <v>49583</v>
      </c>
      <c r="B1015" s="269" t="s">
        <v>960</v>
      </c>
      <c r="C1015" s="273" t="str">
        <f>'Planning Engine'!C2269</f>
        <v>Label/Pack</v>
      </c>
      <c r="D1015" s="273" t="str">
        <f>'Planning Engine'!D2269</f>
        <v>units</v>
      </c>
      <c r="E1015" s="271">
        <f>'Planning Engine'!E2269</f>
        <v>0</v>
      </c>
      <c r="F1015" s="271">
        <f>'Planning Engine'!F2269</f>
        <v>0</v>
      </c>
      <c r="G1015" s="271">
        <f>'Planning Engine'!G2269</f>
        <v>0</v>
      </c>
      <c r="H1015" s="271">
        <f t="shared" si="32"/>
        <v>0</v>
      </c>
      <c r="I1015" s="271">
        <f>'Planning Engine'!H2269</f>
        <v>0</v>
      </c>
      <c r="J1015" s="272">
        <f ca="1">'Planning Engine'!J2269</f>
        <v>0</v>
      </c>
      <c r="K1015" s="271">
        <f ca="1">'Planning Engine'!K2269</f>
        <v>0</v>
      </c>
      <c r="L1015" s="273" t="str">
        <f>'Planning Engine'!L2269</f>
        <v>High</v>
      </c>
      <c r="M1015" s="360">
        <f>'Planning Engine'!S2269</f>
        <v>49491</v>
      </c>
      <c r="N1015" s="271">
        <f>'Planning Engine'!T2269</f>
        <v>0</v>
      </c>
      <c r="O1015" s="361" cm="1">
        <f t="array" ref="O1015">IFERROR(SUMPRODUCT(('Planning Engine'!$B$4:$B$2500="47mg LP - EU Stock")*('Planning Engine'!$A$4:$A$2500='Planning Engine'!A2269)*'Planning Engine'!$U$4:$U$2500),"--")</f>
        <v>0</v>
      </c>
      <c r="P1015" s="273" t="str">
        <f t="shared" si="33"/>
        <v>⚠ Expedite production / source alternate</v>
      </c>
    </row>
    <row r="1016" spans="1:16" x14ac:dyDescent="0.35">
      <c r="A1016" s="358">
        <f>'Planning Engine'!A2270</f>
        <v>49614</v>
      </c>
      <c r="B1016" s="274" t="s">
        <v>960</v>
      </c>
      <c r="C1016" s="278" t="str">
        <f>'Planning Engine'!C2270</f>
        <v>Label/Pack</v>
      </c>
      <c r="D1016" s="278" t="str">
        <f>'Planning Engine'!D2270</f>
        <v>units</v>
      </c>
      <c r="E1016" s="276">
        <f>'Planning Engine'!E2270</f>
        <v>0</v>
      </c>
      <c r="F1016" s="276">
        <f>'Planning Engine'!F2270</f>
        <v>0</v>
      </c>
      <c r="G1016" s="276">
        <f>'Planning Engine'!G2270</f>
        <v>0</v>
      </c>
      <c r="H1016" s="276">
        <f t="shared" si="32"/>
        <v>0</v>
      </c>
      <c r="I1016" s="276">
        <f>'Planning Engine'!H2270</f>
        <v>0</v>
      </c>
      <c r="J1016" s="277">
        <f ca="1">'Planning Engine'!J2270</f>
        <v>0</v>
      </c>
      <c r="K1016" s="276">
        <f ca="1">'Planning Engine'!K2270</f>
        <v>0</v>
      </c>
      <c r="L1016" s="278" t="str">
        <f>'Planning Engine'!L2270</f>
        <v>High</v>
      </c>
      <c r="M1016" s="358">
        <f>'Planning Engine'!S2270</f>
        <v>49522</v>
      </c>
      <c r="N1016" s="276">
        <f>'Planning Engine'!T2270</f>
        <v>0</v>
      </c>
      <c r="O1016" s="359" cm="1">
        <f t="array" ref="O1016">IFERROR(SUMPRODUCT(('Planning Engine'!$B$4:$B$2500="47mg LP - EU Stock")*('Planning Engine'!$A$4:$A$2500='Planning Engine'!A2270)*'Planning Engine'!$U$4:$U$2500),"--")</f>
        <v>0</v>
      </c>
      <c r="P1016" s="278" t="str">
        <f t="shared" si="33"/>
        <v>⚠ Expedite production / source alternate</v>
      </c>
    </row>
    <row r="1017" spans="1:16" x14ac:dyDescent="0.35">
      <c r="A1017" s="360">
        <f>'Planning Engine'!A2271</f>
        <v>49644</v>
      </c>
      <c r="B1017" s="269" t="s">
        <v>960</v>
      </c>
      <c r="C1017" s="273" t="str">
        <f>'Planning Engine'!C2271</f>
        <v>Label/Pack</v>
      </c>
      <c r="D1017" s="273" t="str">
        <f>'Planning Engine'!D2271</f>
        <v>units</v>
      </c>
      <c r="E1017" s="271">
        <f>'Planning Engine'!E2271</f>
        <v>0</v>
      </c>
      <c r="F1017" s="271">
        <f>'Planning Engine'!F2271</f>
        <v>0</v>
      </c>
      <c r="G1017" s="271">
        <f>'Planning Engine'!G2271</f>
        <v>0</v>
      </c>
      <c r="H1017" s="271">
        <f t="shared" si="32"/>
        <v>0</v>
      </c>
      <c r="I1017" s="271">
        <f>'Planning Engine'!H2271</f>
        <v>0</v>
      </c>
      <c r="J1017" s="272">
        <f ca="1">'Planning Engine'!J2271</f>
        <v>0</v>
      </c>
      <c r="K1017" s="271">
        <f ca="1">'Planning Engine'!K2271</f>
        <v>0</v>
      </c>
      <c r="L1017" s="273" t="str">
        <f>'Planning Engine'!L2271</f>
        <v>High</v>
      </c>
      <c r="M1017" s="360">
        <f>'Planning Engine'!S2271</f>
        <v>49553</v>
      </c>
      <c r="N1017" s="271">
        <f>'Planning Engine'!T2271</f>
        <v>0</v>
      </c>
      <c r="O1017" s="361" cm="1">
        <f t="array" ref="O1017">IFERROR(SUMPRODUCT(('Planning Engine'!$B$4:$B$2500="47mg LP - EU Stock")*('Planning Engine'!$A$4:$A$2500='Planning Engine'!A2271)*'Planning Engine'!$U$4:$U$2500),"--")</f>
        <v>0</v>
      </c>
      <c r="P1017" s="273" t="str">
        <f t="shared" si="33"/>
        <v>⚠ Expedite production / source alternate</v>
      </c>
    </row>
    <row r="1018" spans="1:16" x14ac:dyDescent="0.35">
      <c r="A1018" s="358">
        <f>'Planning Engine'!A2272</f>
        <v>49675</v>
      </c>
      <c r="B1018" s="274" t="s">
        <v>960</v>
      </c>
      <c r="C1018" s="278" t="str">
        <f>'Planning Engine'!C2272</f>
        <v>Label/Pack</v>
      </c>
      <c r="D1018" s="278" t="str">
        <f>'Planning Engine'!D2272</f>
        <v>units</v>
      </c>
      <c r="E1018" s="276">
        <f>'Planning Engine'!E2272</f>
        <v>0</v>
      </c>
      <c r="F1018" s="276">
        <f>'Planning Engine'!F2272</f>
        <v>0</v>
      </c>
      <c r="G1018" s="276">
        <f>'Planning Engine'!G2272</f>
        <v>0</v>
      </c>
      <c r="H1018" s="276">
        <f t="shared" si="32"/>
        <v>0</v>
      </c>
      <c r="I1018" s="276">
        <f>'Planning Engine'!H2272</f>
        <v>0</v>
      </c>
      <c r="J1018" s="277">
        <f ca="1">'Planning Engine'!J2272</f>
        <v>0</v>
      </c>
      <c r="K1018" s="276">
        <f ca="1">'Planning Engine'!K2272</f>
        <v>0</v>
      </c>
      <c r="L1018" s="278" t="str">
        <f>'Planning Engine'!L2272</f>
        <v>High</v>
      </c>
      <c r="M1018" s="358">
        <f>'Planning Engine'!S2272</f>
        <v>49583</v>
      </c>
      <c r="N1018" s="276">
        <f>'Planning Engine'!T2272</f>
        <v>0</v>
      </c>
      <c r="O1018" s="359" cm="1">
        <f t="array" ref="O1018">IFERROR(SUMPRODUCT(('Planning Engine'!$B$4:$B$2500="47mg LP - EU Stock")*('Planning Engine'!$A$4:$A$2500='Planning Engine'!A2272)*'Planning Engine'!$U$4:$U$2500),"--")</f>
        <v>0</v>
      </c>
      <c r="P1018" s="278" t="str">
        <f t="shared" si="33"/>
        <v>⚠ Expedite production / source alternate</v>
      </c>
    </row>
    <row r="1019" spans="1:16" x14ac:dyDescent="0.35">
      <c r="A1019" s="360">
        <f>'Planning Engine'!A2273</f>
        <v>49706</v>
      </c>
      <c r="B1019" s="269" t="s">
        <v>960</v>
      </c>
      <c r="C1019" s="273" t="str">
        <f>'Planning Engine'!C2273</f>
        <v>Label/Pack</v>
      </c>
      <c r="D1019" s="273" t="str">
        <f>'Planning Engine'!D2273</f>
        <v>units</v>
      </c>
      <c r="E1019" s="271">
        <f>'Planning Engine'!E2273</f>
        <v>0</v>
      </c>
      <c r="F1019" s="271">
        <f>'Planning Engine'!F2273</f>
        <v>0</v>
      </c>
      <c r="G1019" s="271">
        <f>'Planning Engine'!G2273</f>
        <v>0</v>
      </c>
      <c r="H1019" s="271">
        <f t="shared" si="32"/>
        <v>0</v>
      </c>
      <c r="I1019" s="271">
        <f>'Planning Engine'!H2273</f>
        <v>0</v>
      </c>
      <c r="J1019" s="272">
        <f ca="1">'Planning Engine'!J2273</f>
        <v>0</v>
      </c>
      <c r="K1019" s="271">
        <f ca="1">'Planning Engine'!K2273</f>
        <v>0</v>
      </c>
      <c r="L1019" s="273" t="str">
        <f>'Planning Engine'!L2273</f>
        <v>High</v>
      </c>
      <c r="M1019" s="360">
        <f>'Planning Engine'!S2273</f>
        <v>49614</v>
      </c>
      <c r="N1019" s="271">
        <f>'Planning Engine'!T2273</f>
        <v>0</v>
      </c>
      <c r="O1019" s="361" cm="1">
        <f t="array" ref="O1019">IFERROR(SUMPRODUCT(('Planning Engine'!$B$4:$B$2500="47mg LP - EU Stock")*('Planning Engine'!$A$4:$A$2500='Planning Engine'!A2273)*'Planning Engine'!$U$4:$U$2500),"--")</f>
        <v>0</v>
      </c>
      <c r="P1019" s="273" t="str">
        <f t="shared" si="33"/>
        <v>⚠ Expedite production / source alternate</v>
      </c>
    </row>
    <row r="1020" spans="1:16" x14ac:dyDescent="0.35">
      <c r="A1020" s="358">
        <f>'Planning Engine'!A2274</f>
        <v>49735</v>
      </c>
      <c r="B1020" s="274" t="s">
        <v>960</v>
      </c>
      <c r="C1020" s="278" t="str">
        <f>'Planning Engine'!C2274</f>
        <v>Label/Pack</v>
      </c>
      <c r="D1020" s="278" t="str">
        <f>'Planning Engine'!D2274</f>
        <v>units</v>
      </c>
      <c r="E1020" s="276">
        <f>'Planning Engine'!E2274</f>
        <v>0</v>
      </c>
      <c r="F1020" s="276">
        <f>'Planning Engine'!F2274</f>
        <v>0</v>
      </c>
      <c r="G1020" s="276">
        <f>'Planning Engine'!G2274</f>
        <v>0</v>
      </c>
      <c r="H1020" s="276">
        <f t="shared" si="32"/>
        <v>0</v>
      </c>
      <c r="I1020" s="276">
        <f>'Planning Engine'!H2274</f>
        <v>0</v>
      </c>
      <c r="J1020" s="277">
        <f ca="1">'Planning Engine'!J2274</f>
        <v>0</v>
      </c>
      <c r="K1020" s="276">
        <f ca="1">'Planning Engine'!K2274</f>
        <v>0</v>
      </c>
      <c r="L1020" s="278" t="str">
        <f>'Planning Engine'!L2274</f>
        <v>High</v>
      </c>
      <c r="M1020" s="358">
        <f>'Planning Engine'!S2274</f>
        <v>49644</v>
      </c>
      <c r="N1020" s="276">
        <f>'Planning Engine'!T2274</f>
        <v>0</v>
      </c>
      <c r="O1020" s="359" cm="1">
        <f t="array" ref="O1020">IFERROR(SUMPRODUCT(('Planning Engine'!$B$4:$B$2500="47mg LP - EU Stock")*('Planning Engine'!$A$4:$A$2500='Planning Engine'!A2274)*'Planning Engine'!$U$4:$U$2500),"--")</f>
        <v>0</v>
      </c>
      <c r="P1020" s="278" t="str">
        <f t="shared" si="33"/>
        <v>⚠ Expedite production / source alternate</v>
      </c>
    </row>
    <row r="1021" spans="1:16" x14ac:dyDescent="0.35">
      <c r="A1021" s="360">
        <f>'Planning Engine'!A2275</f>
        <v>49766</v>
      </c>
      <c r="B1021" s="269" t="s">
        <v>960</v>
      </c>
      <c r="C1021" s="273" t="str">
        <f>'Planning Engine'!C2275</f>
        <v>Label/Pack</v>
      </c>
      <c r="D1021" s="273" t="str">
        <f>'Planning Engine'!D2275</f>
        <v>units</v>
      </c>
      <c r="E1021" s="271">
        <f>'Planning Engine'!E2275</f>
        <v>0</v>
      </c>
      <c r="F1021" s="271">
        <f>'Planning Engine'!F2275</f>
        <v>0</v>
      </c>
      <c r="G1021" s="271">
        <f>'Planning Engine'!G2275</f>
        <v>0</v>
      </c>
      <c r="H1021" s="271">
        <f t="shared" si="32"/>
        <v>0</v>
      </c>
      <c r="I1021" s="271">
        <f>'Planning Engine'!H2275</f>
        <v>0</v>
      </c>
      <c r="J1021" s="272">
        <f ca="1">'Planning Engine'!J2275</f>
        <v>0</v>
      </c>
      <c r="K1021" s="271">
        <f ca="1">'Planning Engine'!K2275</f>
        <v>0</v>
      </c>
      <c r="L1021" s="273" t="str">
        <f>'Planning Engine'!L2275</f>
        <v>High</v>
      </c>
      <c r="M1021" s="360">
        <f>'Planning Engine'!S2275</f>
        <v>49675</v>
      </c>
      <c r="N1021" s="271">
        <f>'Planning Engine'!T2275</f>
        <v>0</v>
      </c>
      <c r="O1021" s="361" cm="1">
        <f t="array" ref="O1021">IFERROR(SUMPRODUCT(('Planning Engine'!$B$4:$B$2500="47mg LP - EU Stock")*('Planning Engine'!$A$4:$A$2500='Planning Engine'!A2275)*'Planning Engine'!$U$4:$U$2500),"--")</f>
        <v>0</v>
      </c>
      <c r="P1021" s="273" t="str">
        <f t="shared" si="33"/>
        <v>⚠ Expedite production / source alternate</v>
      </c>
    </row>
    <row r="1022" spans="1:16" x14ac:dyDescent="0.35">
      <c r="A1022" s="358">
        <f>'Planning Engine'!A2276</f>
        <v>49796</v>
      </c>
      <c r="B1022" s="274" t="s">
        <v>960</v>
      </c>
      <c r="C1022" s="278" t="str">
        <f>'Planning Engine'!C2276</f>
        <v>Label/Pack</v>
      </c>
      <c r="D1022" s="278" t="str">
        <f>'Planning Engine'!D2276</f>
        <v>units</v>
      </c>
      <c r="E1022" s="276">
        <f>'Planning Engine'!E2276</f>
        <v>0</v>
      </c>
      <c r="F1022" s="276">
        <f>'Planning Engine'!F2276</f>
        <v>0</v>
      </c>
      <c r="G1022" s="276">
        <f>'Planning Engine'!G2276</f>
        <v>0</v>
      </c>
      <c r="H1022" s="276">
        <f t="shared" si="32"/>
        <v>0</v>
      </c>
      <c r="I1022" s="276">
        <f>'Planning Engine'!H2276</f>
        <v>0</v>
      </c>
      <c r="J1022" s="277">
        <f ca="1">'Planning Engine'!J2276</f>
        <v>0</v>
      </c>
      <c r="K1022" s="276">
        <f ca="1">'Planning Engine'!K2276</f>
        <v>0</v>
      </c>
      <c r="L1022" s="278" t="str">
        <f>'Planning Engine'!L2276</f>
        <v>High</v>
      </c>
      <c r="M1022" s="358">
        <f>'Planning Engine'!S2276</f>
        <v>49706</v>
      </c>
      <c r="N1022" s="276">
        <f>'Planning Engine'!T2276</f>
        <v>0</v>
      </c>
      <c r="O1022" s="359" cm="1">
        <f t="array" ref="O1022">IFERROR(SUMPRODUCT(('Planning Engine'!$B$4:$B$2500="47mg LP - EU Stock")*('Planning Engine'!$A$4:$A$2500='Planning Engine'!A2276)*'Planning Engine'!$U$4:$U$2500),"--")</f>
        <v>0</v>
      </c>
      <c r="P1022" s="278" t="str">
        <f t="shared" si="33"/>
        <v>⚠ Expedite production / source alternate</v>
      </c>
    </row>
    <row r="1023" spans="1:16" x14ac:dyDescent="0.35">
      <c r="A1023" s="360">
        <f>'Planning Engine'!A2277</f>
        <v>49827</v>
      </c>
      <c r="B1023" s="269" t="s">
        <v>960</v>
      </c>
      <c r="C1023" s="273" t="str">
        <f>'Planning Engine'!C2277</f>
        <v>Label/Pack</v>
      </c>
      <c r="D1023" s="273" t="str">
        <f>'Planning Engine'!D2277</f>
        <v>units</v>
      </c>
      <c r="E1023" s="271">
        <f>'Planning Engine'!E2277</f>
        <v>0</v>
      </c>
      <c r="F1023" s="271">
        <f>'Planning Engine'!F2277</f>
        <v>0</v>
      </c>
      <c r="G1023" s="271">
        <f>'Planning Engine'!G2277</f>
        <v>0</v>
      </c>
      <c r="H1023" s="271">
        <f t="shared" si="32"/>
        <v>0</v>
      </c>
      <c r="I1023" s="271">
        <f>'Planning Engine'!H2277</f>
        <v>0</v>
      </c>
      <c r="J1023" s="272">
        <f ca="1">'Planning Engine'!J2277</f>
        <v>0</v>
      </c>
      <c r="K1023" s="271">
        <f ca="1">'Planning Engine'!K2277</f>
        <v>0</v>
      </c>
      <c r="L1023" s="273" t="str">
        <f>'Planning Engine'!L2277</f>
        <v>High</v>
      </c>
      <c r="M1023" s="360">
        <f>'Planning Engine'!S2277</f>
        <v>49735</v>
      </c>
      <c r="N1023" s="271">
        <f>'Planning Engine'!T2277</f>
        <v>0</v>
      </c>
      <c r="O1023" s="361" cm="1">
        <f t="array" ref="O1023">IFERROR(SUMPRODUCT(('Planning Engine'!$B$4:$B$2500="47mg LP - EU Stock")*('Planning Engine'!$A$4:$A$2500='Planning Engine'!A2277)*'Planning Engine'!$U$4:$U$2500),"--")</f>
        <v>0</v>
      </c>
      <c r="P1023" s="273" t="str">
        <f t="shared" si="33"/>
        <v>⚠ Expedite production / source alternate</v>
      </c>
    </row>
    <row r="1024" spans="1:16" x14ac:dyDescent="0.35">
      <c r="A1024" s="358">
        <f>'Planning Engine'!A2278</f>
        <v>49857</v>
      </c>
      <c r="B1024" s="274" t="s">
        <v>960</v>
      </c>
      <c r="C1024" s="278" t="str">
        <f>'Planning Engine'!C2278</f>
        <v>Label/Pack</v>
      </c>
      <c r="D1024" s="278" t="str">
        <f>'Planning Engine'!D2278</f>
        <v>units</v>
      </c>
      <c r="E1024" s="276">
        <f>'Planning Engine'!E2278</f>
        <v>0</v>
      </c>
      <c r="F1024" s="276">
        <f>'Planning Engine'!F2278</f>
        <v>0</v>
      </c>
      <c r="G1024" s="276">
        <f>'Planning Engine'!G2278</f>
        <v>0</v>
      </c>
      <c r="H1024" s="276">
        <f t="shared" si="32"/>
        <v>0</v>
      </c>
      <c r="I1024" s="276">
        <f>'Planning Engine'!H2278</f>
        <v>0</v>
      </c>
      <c r="J1024" s="277">
        <f ca="1">'Planning Engine'!J2278</f>
        <v>0</v>
      </c>
      <c r="K1024" s="276">
        <f ca="1">'Planning Engine'!K2278</f>
        <v>0</v>
      </c>
      <c r="L1024" s="278" t="str">
        <f>'Planning Engine'!L2278</f>
        <v>High</v>
      </c>
      <c r="M1024" s="358">
        <f>'Planning Engine'!S2278</f>
        <v>49766</v>
      </c>
      <c r="N1024" s="276">
        <f>'Planning Engine'!T2278</f>
        <v>0</v>
      </c>
      <c r="O1024" s="359" cm="1">
        <f t="array" ref="O1024">IFERROR(SUMPRODUCT(('Planning Engine'!$B$4:$B$2500="47mg LP - EU Stock")*('Planning Engine'!$A$4:$A$2500='Planning Engine'!A2278)*'Planning Engine'!$U$4:$U$2500),"--")</f>
        <v>0</v>
      </c>
      <c r="P1024" s="278" t="str">
        <f t="shared" si="33"/>
        <v>⚠ Expedite production / source alternate</v>
      </c>
    </row>
    <row r="1025" spans="1:16" x14ac:dyDescent="0.35">
      <c r="A1025" s="360">
        <f>'Planning Engine'!A2279</f>
        <v>49888</v>
      </c>
      <c r="B1025" s="269" t="s">
        <v>960</v>
      </c>
      <c r="C1025" s="273" t="str">
        <f>'Planning Engine'!C2279</f>
        <v>Label/Pack</v>
      </c>
      <c r="D1025" s="273" t="str">
        <f>'Planning Engine'!D2279</f>
        <v>units</v>
      </c>
      <c r="E1025" s="271">
        <f>'Planning Engine'!E2279</f>
        <v>0</v>
      </c>
      <c r="F1025" s="271">
        <f>'Planning Engine'!F2279</f>
        <v>0</v>
      </c>
      <c r="G1025" s="271">
        <f>'Planning Engine'!G2279</f>
        <v>0</v>
      </c>
      <c r="H1025" s="271">
        <f t="shared" si="32"/>
        <v>0</v>
      </c>
      <c r="I1025" s="271">
        <f>'Planning Engine'!H2279</f>
        <v>0</v>
      </c>
      <c r="J1025" s="272">
        <f ca="1">'Planning Engine'!J2279</f>
        <v>0</v>
      </c>
      <c r="K1025" s="271">
        <f ca="1">'Planning Engine'!K2279</f>
        <v>0</v>
      </c>
      <c r="L1025" s="273" t="str">
        <f>'Planning Engine'!L2279</f>
        <v>High</v>
      </c>
      <c r="M1025" s="360">
        <f>'Planning Engine'!S2279</f>
        <v>49796</v>
      </c>
      <c r="N1025" s="271">
        <f>'Planning Engine'!T2279</f>
        <v>0</v>
      </c>
      <c r="O1025" s="361" cm="1">
        <f t="array" ref="O1025">IFERROR(SUMPRODUCT(('Planning Engine'!$B$4:$B$2500="47mg LP - EU Stock")*('Planning Engine'!$A$4:$A$2500='Planning Engine'!A2279)*'Planning Engine'!$U$4:$U$2500),"--")</f>
        <v>0</v>
      </c>
      <c r="P1025" s="273" t="str">
        <f t="shared" si="33"/>
        <v>⚠ Expedite production / source alternate</v>
      </c>
    </row>
    <row r="1026" spans="1:16" x14ac:dyDescent="0.35">
      <c r="A1026" s="358">
        <f>'Planning Engine'!A2280</f>
        <v>49919</v>
      </c>
      <c r="B1026" s="274" t="s">
        <v>960</v>
      </c>
      <c r="C1026" s="278" t="str">
        <f>'Planning Engine'!C2280</f>
        <v>Label/Pack</v>
      </c>
      <c r="D1026" s="278" t="str">
        <f>'Planning Engine'!D2280</f>
        <v>units</v>
      </c>
      <c r="E1026" s="276">
        <f>'Planning Engine'!E2280</f>
        <v>0</v>
      </c>
      <c r="F1026" s="276">
        <f>'Planning Engine'!F2280</f>
        <v>0</v>
      </c>
      <c r="G1026" s="276">
        <f>'Planning Engine'!G2280</f>
        <v>0</v>
      </c>
      <c r="H1026" s="276">
        <f t="shared" si="32"/>
        <v>0</v>
      </c>
      <c r="I1026" s="276">
        <f>'Planning Engine'!H2280</f>
        <v>0</v>
      </c>
      <c r="J1026" s="277">
        <f ca="1">'Planning Engine'!J2280</f>
        <v>0</v>
      </c>
      <c r="K1026" s="276">
        <f ca="1">'Planning Engine'!K2280</f>
        <v>0</v>
      </c>
      <c r="L1026" s="278" t="str">
        <f>'Planning Engine'!L2280</f>
        <v>High</v>
      </c>
      <c r="M1026" s="358">
        <f>'Planning Engine'!S2280</f>
        <v>49827</v>
      </c>
      <c r="N1026" s="276">
        <f>'Planning Engine'!T2280</f>
        <v>0</v>
      </c>
      <c r="O1026" s="359" cm="1">
        <f t="array" ref="O1026">IFERROR(SUMPRODUCT(('Planning Engine'!$B$4:$B$2500="47mg LP - EU Stock")*('Planning Engine'!$A$4:$A$2500='Planning Engine'!A2280)*'Planning Engine'!$U$4:$U$2500),"--")</f>
        <v>0</v>
      </c>
      <c r="P1026" s="278" t="str">
        <f t="shared" si="33"/>
        <v>⚠ Expedite production / source alternate</v>
      </c>
    </row>
    <row r="1027" spans="1:16" x14ac:dyDescent="0.35">
      <c r="A1027" s="360">
        <f>'Planning Engine'!A2281</f>
        <v>49949</v>
      </c>
      <c r="B1027" s="269" t="s">
        <v>960</v>
      </c>
      <c r="C1027" s="273" t="str">
        <f>'Planning Engine'!C2281</f>
        <v>Label/Pack</v>
      </c>
      <c r="D1027" s="273" t="str">
        <f>'Planning Engine'!D2281</f>
        <v>units</v>
      </c>
      <c r="E1027" s="271">
        <f>'Planning Engine'!E2281</f>
        <v>0</v>
      </c>
      <c r="F1027" s="271">
        <f>'Planning Engine'!F2281</f>
        <v>0</v>
      </c>
      <c r="G1027" s="271">
        <f>'Planning Engine'!G2281</f>
        <v>0</v>
      </c>
      <c r="H1027" s="271">
        <f t="shared" si="32"/>
        <v>0</v>
      </c>
      <c r="I1027" s="271">
        <f>'Planning Engine'!H2281</f>
        <v>0</v>
      </c>
      <c r="J1027" s="272">
        <f ca="1">'Planning Engine'!J2281</f>
        <v>0</v>
      </c>
      <c r="K1027" s="271">
        <f ca="1">'Planning Engine'!K2281</f>
        <v>0</v>
      </c>
      <c r="L1027" s="273" t="str">
        <f>'Planning Engine'!L2281</f>
        <v>High</v>
      </c>
      <c r="M1027" s="360">
        <f>'Planning Engine'!S2281</f>
        <v>49857</v>
      </c>
      <c r="N1027" s="271">
        <f>'Planning Engine'!T2281</f>
        <v>0</v>
      </c>
      <c r="O1027" s="361" cm="1">
        <f t="array" ref="O1027">IFERROR(SUMPRODUCT(('Planning Engine'!$B$4:$B$2500="47mg LP - EU Stock")*('Planning Engine'!$A$4:$A$2500='Planning Engine'!A2281)*'Planning Engine'!$U$4:$U$2500),"--")</f>
        <v>0</v>
      </c>
      <c r="P1027" s="273" t="str">
        <f t="shared" si="33"/>
        <v>⚠ Expedite production / source alternate</v>
      </c>
    </row>
    <row r="1028" spans="1:16" x14ac:dyDescent="0.35">
      <c r="A1028" s="358">
        <f>'Planning Engine'!A2282</f>
        <v>49980</v>
      </c>
      <c r="B1028" s="274" t="s">
        <v>960</v>
      </c>
      <c r="C1028" s="278" t="str">
        <f>'Planning Engine'!C2282</f>
        <v>Label/Pack</v>
      </c>
      <c r="D1028" s="278" t="str">
        <f>'Planning Engine'!D2282</f>
        <v>units</v>
      </c>
      <c r="E1028" s="276">
        <f>'Planning Engine'!E2282</f>
        <v>0</v>
      </c>
      <c r="F1028" s="276">
        <f>'Planning Engine'!F2282</f>
        <v>0</v>
      </c>
      <c r="G1028" s="276">
        <f>'Planning Engine'!G2282</f>
        <v>0</v>
      </c>
      <c r="H1028" s="276">
        <f t="shared" ref="H1028:H1077" si="34">G1028-F1028</f>
        <v>0</v>
      </c>
      <c r="I1028" s="276">
        <f>'Planning Engine'!H2282</f>
        <v>0</v>
      </c>
      <c r="J1028" s="277">
        <f ca="1">'Planning Engine'!J2282</f>
        <v>0</v>
      </c>
      <c r="K1028" s="276">
        <f ca="1">'Planning Engine'!K2282</f>
        <v>0</v>
      </c>
      <c r="L1028" s="278" t="str">
        <f>'Planning Engine'!L2282</f>
        <v>High</v>
      </c>
      <c r="M1028" s="358">
        <f>'Planning Engine'!S2282</f>
        <v>49888</v>
      </c>
      <c r="N1028" s="276">
        <f>'Planning Engine'!T2282</f>
        <v>0</v>
      </c>
      <c r="O1028" s="359" cm="1">
        <f t="array" ref="O1028">IFERROR(SUMPRODUCT(('Planning Engine'!$B$4:$B$2500="47mg LP - EU Stock")*('Planning Engine'!$A$4:$A$2500='Planning Engine'!A2282)*'Planning Engine'!$U$4:$U$2500),"--")</f>
        <v>0</v>
      </c>
      <c r="P1028" s="278" t="str">
        <f t="shared" ref="P1028:P1077" si="35">IFERROR(IF(L1028="High","⚠ Expedite production / source alternate",IF(L1028="Medium","Plan additional batches",IF(L1028="Overstock","Defer / consume inventory","Plan acceptable"))),"--")</f>
        <v>⚠ Expedite production / source alternate</v>
      </c>
    </row>
    <row r="1029" spans="1:16" x14ac:dyDescent="0.35">
      <c r="A1029" s="360">
        <f>'Planning Engine'!A2283</f>
        <v>50010</v>
      </c>
      <c r="B1029" s="269" t="s">
        <v>960</v>
      </c>
      <c r="C1029" s="273" t="str">
        <f>'Planning Engine'!C2283</f>
        <v>Label/Pack</v>
      </c>
      <c r="D1029" s="273" t="str">
        <f>'Planning Engine'!D2283</f>
        <v>units</v>
      </c>
      <c r="E1029" s="271">
        <f>'Planning Engine'!E2283</f>
        <v>0</v>
      </c>
      <c r="F1029" s="271">
        <f>'Planning Engine'!F2283</f>
        <v>0</v>
      </c>
      <c r="G1029" s="271">
        <f>'Planning Engine'!G2283</f>
        <v>0</v>
      </c>
      <c r="H1029" s="271">
        <f t="shared" si="34"/>
        <v>0</v>
      </c>
      <c r="I1029" s="271">
        <f>'Planning Engine'!H2283</f>
        <v>0</v>
      </c>
      <c r="J1029" s="272">
        <f ca="1">'Planning Engine'!J2283</f>
        <v>0</v>
      </c>
      <c r="K1029" s="271">
        <f ca="1">'Planning Engine'!K2283</f>
        <v>0</v>
      </c>
      <c r="L1029" s="273" t="str">
        <f>'Planning Engine'!L2283</f>
        <v>High</v>
      </c>
      <c r="M1029" s="360">
        <f>'Planning Engine'!S2283</f>
        <v>49919</v>
      </c>
      <c r="N1029" s="271">
        <f>'Planning Engine'!T2283</f>
        <v>0</v>
      </c>
      <c r="O1029" s="361" cm="1">
        <f t="array" ref="O1029">IFERROR(SUMPRODUCT(('Planning Engine'!$B$4:$B$2500="47mg LP - EU Stock")*('Planning Engine'!$A$4:$A$2500='Planning Engine'!A2283)*'Planning Engine'!$U$4:$U$2500),"--")</f>
        <v>0</v>
      </c>
      <c r="P1029" s="273" t="str">
        <f t="shared" si="35"/>
        <v>⚠ Expedite production / source alternate</v>
      </c>
    </row>
    <row r="1030" spans="1:16" x14ac:dyDescent="0.35">
      <c r="A1030" s="358">
        <f>'Planning Engine'!A2284</f>
        <v>50041</v>
      </c>
      <c r="B1030" s="274" t="s">
        <v>960</v>
      </c>
      <c r="C1030" s="278" t="str">
        <f>'Planning Engine'!C2284</f>
        <v>Label/Pack</v>
      </c>
      <c r="D1030" s="278" t="str">
        <f>'Planning Engine'!D2284</f>
        <v>units</v>
      </c>
      <c r="E1030" s="276">
        <f>'Planning Engine'!E2284</f>
        <v>0</v>
      </c>
      <c r="F1030" s="276">
        <f>'Planning Engine'!F2284</f>
        <v>0</v>
      </c>
      <c r="G1030" s="276">
        <f>'Planning Engine'!G2284</f>
        <v>0</v>
      </c>
      <c r="H1030" s="276">
        <f t="shared" si="34"/>
        <v>0</v>
      </c>
      <c r="I1030" s="276">
        <f>'Planning Engine'!H2284</f>
        <v>0</v>
      </c>
      <c r="J1030" s="277">
        <f ca="1">'Planning Engine'!J2284</f>
        <v>0</v>
      </c>
      <c r="K1030" s="276">
        <f ca="1">'Planning Engine'!K2284</f>
        <v>0</v>
      </c>
      <c r="L1030" s="278" t="str">
        <f>'Planning Engine'!L2284</f>
        <v>High</v>
      </c>
      <c r="M1030" s="358">
        <f>'Planning Engine'!S2284</f>
        <v>49949</v>
      </c>
      <c r="N1030" s="276">
        <f>'Planning Engine'!T2284</f>
        <v>0</v>
      </c>
      <c r="O1030" s="359" cm="1">
        <f t="array" ref="O1030">IFERROR(SUMPRODUCT(('Planning Engine'!$B$4:$B$2500="47mg LP - EU Stock")*('Planning Engine'!$A$4:$A$2500='Planning Engine'!A2284)*'Planning Engine'!$U$4:$U$2500),"--")</f>
        <v>0</v>
      </c>
      <c r="P1030" s="278" t="str">
        <f t="shared" si="35"/>
        <v>⚠ Expedite production / source alternate</v>
      </c>
    </row>
    <row r="1031" spans="1:16" x14ac:dyDescent="0.35">
      <c r="A1031" s="360">
        <f>'Planning Engine'!A2285</f>
        <v>50072</v>
      </c>
      <c r="B1031" s="269" t="s">
        <v>960</v>
      </c>
      <c r="C1031" s="273" t="str">
        <f>'Planning Engine'!C2285</f>
        <v>Label/Pack</v>
      </c>
      <c r="D1031" s="273" t="str">
        <f>'Planning Engine'!D2285</f>
        <v>units</v>
      </c>
      <c r="E1031" s="271">
        <f>'Planning Engine'!E2285</f>
        <v>0</v>
      </c>
      <c r="F1031" s="271">
        <f>'Planning Engine'!F2285</f>
        <v>0</v>
      </c>
      <c r="G1031" s="271">
        <f>'Planning Engine'!G2285</f>
        <v>0</v>
      </c>
      <c r="H1031" s="271">
        <f t="shared" si="34"/>
        <v>0</v>
      </c>
      <c r="I1031" s="271">
        <f>'Planning Engine'!H2285</f>
        <v>0</v>
      </c>
      <c r="J1031" s="272">
        <f ca="1">'Planning Engine'!J2285</f>
        <v>0</v>
      </c>
      <c r="K1031" s="271">
        <f ca="1">'Planning Engine'!K2285</f>
        <v>0</v>
      </c>
      <c r="L1031" s="273" t="str">
        <f>'Planning Engine'!L2285</f>
        <v>High</v>
      </c>
      <c r="M1031" s="360">
        <f>'Planning Engine'!S2285</f>
        <v>49980</v>
      </c>
      <c r="N1031" s="271">
        <f>'Planning Engine'!T2285</f>
        <v>0</v>
      </c>
      <c r="O1031" s="361" cm="1">
        <f t="array" ref="O1031">IFERROR(SUMPRODUCT(('Planning Engine'!$B$4:$B$2500="47mg LP - EU Stock")*('Planning Engine'!$A$4:$A$2500='Planning Engine'!A2285)*'Planning Engine'!$U$4:$U$2500),"--")</f>
        <v>0</v>
      </c>
      <c r="P1031" s="273" t="str">
        <f t="shared" si="35"/>
        <v>⚠ Expedite production / source alternate</v>
      </c>
    </row>
    <row r="1032" spans="1:16" x14ac:dyDescent="0.35">
      <c r="A1032" s="358">
        <f>'Planning Engine'!A2286</f>
        <v>50100</v>
      </c>
      <c r="B1032" s="274" t="s">
        <v>960</v>
      </c>
      <c r="C1032" s="278" t="str">
        <f>'Planning Engine'!C2286</f>
        <v>Label/Pack</v>
      </c>
      <c r="D1032" s="278" t="str">
        <f>'Planning Engine'!D2286</f>
        <v>units</v>
      </c>
      <c r="E1032" s="276">
        <f>'Planning Engine'!E2286</f>
        <v>0</v>
      </c>
      <c r="F1032" s="276">
        <f>'Planning Engine'!F2286</f>
        <v>0</v>
      </c>
      <c r="G1032" s="276">
        <f>'Planning Engine'!G2286</f>
        <v>0</v>
      </c>
      <c r="H1032" s="276">
        <f t="shared" si="34"/>
        <v>0</v>
      </c>
      <c r="I1032" s="276">
        <f>'Planning Engine'!H2286</f>
        <v>0</v>
      </c>
      <c r="J1032" s="277">
        <f ca="1">'Planning Engine'!J2286</f>
        <v>0</v>
      </c>
      <c r="K1032" s="276">
        <f ca="1">'Planning Engine'!K2286</f>
        <v>0</v>
      </c>
      <c r="L1032" s="278" t="str">
        <f>'Planning Engine'!L2286</f>
        <v>High</v>
      </c>
      <c r="M1032" s="358">
        <f>'Planning Engine'!S2286</f>
        <v>50010</v>
      </c>
      <c r="N1032" s="276">
        <f>'Planning Engine'!T2286</f>
        <v>0</v>
      </c>
      <c r="O1032" s="359" cm="1">
        <f t="array" ref="O1032">IFERROR(SUMPRODUCT(('Planning Engine'!$B$4:$B$2500="47mg LP - EU Stock")*('Planning Engine'!$A$4:$A$2500='Planning Engine'!A2286)*'Planning Engine'!$U$4:$U$2500),"--")</f>
        <v>0</v>
      </c>
      <c r="P1032" s="278" t="str">
        <f t="shared" si="35"/>
        <v>⚠ Expedite production / source alternate</v>
      </c>
    </row>
    <row r="1033" spans="1:16" x14ac:dyDescent="0.35">
      <c r="A1033" s="360">
        <f>'Planning Engine'!A2287</f>
        <v>50131</v>
      </c>
      <c r="B1033" s="269" t="s">
        <v>960</v>
      </c>
      <c r="C1033" s="273" t="str">
        <f>'Planning Engine'!C2287</f>
        <v>Label/Pack</v>
      </c>
      <c r="D1033" s="273" t="str">
        <f>'Planning Engine'!D2287</f>
        <v>units</v>
      </c>
      <c r="E1033" s="271">
        <f>'Planning Engine'!E2287</f>
        <v>0</v>
      </c>
      <c r="F1033" s="271">
        <f>'Planning Engine'!F2287</f>
        <v>0</v>
      </c>
      <c r="G1033" s="271">
        <f>'Planning Engine'!G2287</f>
        <v>0</v>
      </c>
      <c r="H1033" s="271">
        <f t="shared" si="34"/>
        <v>0</v>
      </c>
      <c r="I1033" s="271">
        <f>'Planning Engine'!H2287</f>
        <v>0</v>
      </c>
      <c r="J1033" s="272">
        <f ca="1">'Planning Engine'!J2287</f>
        <v>0</v>
      </c>
      <c r="K1033" s="271">
        <f ca="1">'Planning Engine'!K2287</f>
        <v>0</v>
      </c>
      <c r="L1033" s="273" t="str">
        <f>'Planning Engine'!L2287</f>
        <v>High</v>
      </c>
      <c r="M1033" s="360">
        <f>'Planning Engine'!S2287</f>
        <v>50041</v>
      </c>
      <c r="N1033" s="271">
        <f>'Planning Engine'!T2287</f>
        <v>0</v>
      </c>
      <c r="O1033" s="361" cm="1">
        <f t="array" ref="O1033">IFERROR(SUMPRODUCT(('Planning Engine'!$B$4:$B$2500="47mg LP - EU Stock")*('Planning Engine'!$A$4:$A$2500='Planning Engine'!A2287)*'Planning Engine'!$U$4:$U$2500),"--")</f>
        <v>0</v>
      </c>
      <c r="P1033" s="273" t="str">
        <f t="shared" si="35"/>
        <v>⚠ Expedite production / source alternate</v>
      </c>
    </row>
    <row r="1034" spans="1:16" x14ac:dyDescent="0.35">
      <c r="A1034" s="358">
        <f>'Planning Engine'!A2288</f>
        <v>50161</v>
      </c>
      <c r="B1034" s="274" t="s">
        <v>960</v>
      </c>
      <c r="C1034" s="278" t="str">
        <f>'Planning Engine'!C2288</f>
        <v>Label/Pack</v>
      </c>
      <c r="D1034" s="278" t="str">
        <f>'Planning Engine'!D2288</f>
        <v>units</v>
      </c>
      <c r="E1034" s="276">
        <f>'Planning Engine'!E2288</f>
        <v>0</v>
      </c>
      <c r="F1034" s="276">
        <f>'Planning Engine'!F2288</f>
        <v>0</v>
      </c>
      <c r="G1034" s="276">
        <f>'Planning Engine'!G2288</f>
        <v>0</v>
      </c>
      <c r="H1034" s="276">
        <f t="shared" si="34"/>
        <v>0</v>
      </c>
      <c r="I1034" s="276">
        <f>'Planning Engine'!H2288</f>
        <v>0</v>
      </c>
      <c r="J1034" s="277">
        <f ca="1">'Planning Engine'!J2288</f>
        <v>0</v>
      </c>
      <c r="K1034" s="276">
        <f ca="1">'Planning Engine'!K2288</f>
        <v>0</v>
      </c>
      <c r="L1034" s="278" t="str">
        <f>'Planning Engine'!L2288</f>
        <v>High</v>
      </c>
      <c r="M1034" s="358">
        <f>'Planning Engine'!S2288</f>
        <v>50072</v>
      </c>
      <c r="N1034" s="276">
        <f>'Planning Engine'!T2288</f>
        <v>0</v>
      </c>
      <c r="O1034" s="359" cm="1">
        <f t="array" ref="O1034">IFERROR(SUMPRODUCT(('Planning Engine'!$B$4:$B$2500="47mg LP - EU Stock")*('Planning Engine'!$A$4:$A$2500='Planning Engine'!A2288)*'Planning Engine'!$U$4:$U$2500),"--")</f>
        <v>0</v>
      </c>
      <c r="P1034" s="278" t="str">
        <f t="shared" si="35"/>
        <v>⚠ Expedite production / source alternate</v>
      </c>
    </row>
    <row r="1035" spans="1:16" x14ac:dyDescent="0.35">
      <c r="A1035" s="360">
        <f>'Planning Engine'!A2289</f>
        <v>50192</v>
      </c>
      <c r="B1035" s="269" t="s">
        <v>960</v>
      </c>
      <c r="C1035" s="273" t="str">
        <f>'Planning Engine'!C2289</f>
        <v>Label/Pack</v>
      </c>
      <c r="D1035" s="273" t="str">
        <f>'Planning Engine'!D2289</f>
        <v>units</v>
      </c>
      <c r="E1035" s="271">
        <f>'Planning Engine'!E2289</f>
        <v>0</v>
      </c>
      <c r="F1035" s="271">
        <f>'Planning Engine'!F2289</f>
        <v>0</v>
      </c>
      <c r="G1035" s="271">
        <f>'Planning Engine'!G2289</f>
        <v>0</v>
      </c>
      <c r="H1035" s="271">
        <f t="shared" si="34"/>
        <v>0</v>
      </c>
      <c r="I1035" s="271">
        <f>'Planning Engine'!H2289</f>
        <v>0</v>
      </c>
      <c r="J1035" s="272">
        <f ca="1">'Planning Engine'!J2289</f>
        <v>0</v>
      </c>
      <c r="K1035" s="271">
        <f ca="1">'Planning Engine'!K2289</f>
        <v>0</v>
      </c>
      <c r="L1035" s="273" t="str">
        <f>'Planning Engine'!L2289</f>
        <v>High</v>
      </c>
      <c r="M1035" s="360">
        <f>'Planning Engine'!S2289</f>
        <v>50100</v>
      </c>
      <c r="N1035" s="271">
        <f>'Planning Engine'!T2289</f>
        <v>0</v>
      </c>
      <c r="O1035" s="361" cm="1">
        <f t="array" ref="O1035">IFERROR(SUMPRODUCT(('Planning Engine'!$B$4:$B$2500="47mg LP - EU Stock")*('Planning Engine'!$A$4:$A$2500='Planning Engine'!A2289)*'Planning Engine'!$U$4:$U$2500),"--")</f>
        <v>0</v>
      </c>
      <c r="P1035" s="273" t="str">
        <f t="shared" si="35"/>
        <v>⚠ Expedite production / source alternate</v>
      </c>
    </row>
    <row r="1036" spans="1:16" x14ac:dyDescent="0.35">
      <c r="A1036" s="358">
        <f>'Planning Engine'!A2290</f>
        <v>50222</v>
      </c>
      <c r="B1036" s="274" t="s">
        <v>960</v>
      </c>
      <c r="C1036" s="278" t="str">
        <f>'Planning Engine'!C2290</f>
        <v>Label/Pack</v>
      </c>
      <c r="D1036" s="278" t="str">
        <f>'Planning Engine'!D2290</f>
        <v>units</v>
      </c>
      <c r="E1036" s="276">
        <f>'Planning Engine'!E2290</f>
        <v>0</v>
      </c>
      <c r="F1036" s="276">
        <f>'Planning Engine'!F2290</f>
        <v>0</v>
      </c>
      <c r="G1036" s="276">
        <f>'Planning Engine'!G2290</f>
        <v>0</v>
      </c>
      <c r="H1036" s="276">
        <f t="shared" si="34"/>
        <v>0</v>
      </c>
      <c r="I1036" s="276">
        <f>'Planning Engine'!H2290</f>
        <v>0</v>
      </c>
      <c r="J1036" s="277">
        <f ca="1">'Planning Engine'!J2290</f>
        <v>0</v>
      </c>
      <c r="K1036" s="276">
        <f ca="1">'Planning Engine'!K2290</f>
        <v>0</v>
      </c>
      <c r="L1036" s="278" t="str">
        <f>'Planning Engine'!L2290</f>
        <v>High</v>
      </c>
      <c r="M1036" s="358">
        <f>'Planning Engine'!S2290</f>
        <v>50131</v>
      </c>
      <c r="N1036" s="276">
        <f>'Planning Engine'!T2290</f>
        <v>0</v>
      </c>
      <c r="O1036" s="359" cm="1">
        <f t="array" ref="O1036">IFERROR(SUMPRODUCT(('Planning Engine'!$B$4:$B$2500="47mg LP - EU Stock")*('Planning Engine'!$A$4:$A$2500='Planning Engine'!A2290)*'Planning Engine'!$U$4:$U$2500),"--")</f>
        <v>0</v>
      </c>
      <c r="P1036" s="278" t="str">
        <f t="shared" si="35"/>
        <v>⚠ Expedite production / source alternate</v>
      </c>
    </row>
    <row r="1037" spans="1:16" x14ac:dyDescent="0.35">
      <c r="A1037" s="360">
        <f>'Planning Engine'!A2291</f>
        <v>50253</v>
      </c>
      <c r="B1037" s="269" t="s">
        <v>960</v>
      </c>
      <c r="C1037" s="273" t="str">
        <f>'Planning Engine'!C2291</f>
        <v>Label/Pack</v>
      </c>
      <c r="D1037" s="273" t="str">
        <f>'Planning Engine'!D2291</f>
        <v>units</v>
      </c>
      <c r="E1037" s="271">
        <f>'Planning Engine'!E2291</f>
        <v>0</v>
      </c>
      <c r="F1037" s="271">
        <f>'Planning Engine'!F2291</f>
        <v>0</v>
      </c>
      <c r="G1037" s="271">
        <f>'Planning Engine'!G2291</f>
        <v>0</v>
      </c>
      <c r="H1037" s="271">
        <f t="shared" si="34"/>
        <v>0</v>
      </c>
      <c r="I1037" s="271">
        <f>'Planning Engine'!H2291</f>
        <v>0</v>
      </c>
      <c r="J1037" s="272">
        <f ca="1">'Planning Engine'!J2291</f>
        <v>0</v>
      </c>
      <c r="K1037" s="271">
        <f ca="1">'Planning Engine'!K2291</f>
        <v>0</v>
      </c>
      <c r="L1037" s="273" t="str">
        <f>'Planning Engine'!L2291</f>
        <v>High</v>
      </c>
      <c r="M1037" s="360">
        <f>'Planning Engine'!S2291</f>
        <v>50161</v>
      </c>
      <c r="N1037" s="271">
        <f>'Planning Engine'!T2291</f>
        <v>0</v>
      </c>
      <c r="O1037" s="361" cm="1">
        <f t="array" ref="O1037">IFERROR(SUMPRODUCT(('Planning Engine'!$B$4:$B$2500="47mg LP - EU Stock")*('Planning Engine'!$A$4:$A$2500='Planning Engine'!A2291)*'Planning Engine'!$U$4:$U$2500),"--")</f>
        <v>0</v>
      </c>
      <c r="P1037" s="273" t="str">
        <f t="shared" si="35"/>
        <v>⚠ Expedite production / source alternate</v>
      </c>
    </row>
    <row r="1038" spans="1:16" x14ac:dyDescent="0.35">
      <c r="A1038" s="358">
        <f>'Planning Engine'!A2292</f>
        <v>50284</v>
      </c>
      <c r="B1038" s="274" t="s">
        <v>960</v>
      </c>
      <c r="C1038" s="278" t="str">
        <f>'Planning Engine'!C2292</f>
        <v>Label/Pack</v>
      </c>
      <c r="D1038" s="278" t="str">
        <f>'Planning Engine'!D2292</f>
        <v>units</v>
      </c>
      <c r="E1038" s="276">
        <f>'Planning Engine'!E2292</f>
        <v>0</v>
      </c>
      <c r="F1038" s="276">
        <f>'Planning Engine'!F2292</f>
        <v>0</v>
      </c>
      <c r="G1038" s="276">
        <f>'Planning Engine'!G2292</f>
        <v>0</v>
      </c>
      <c r="H1038" s="276">
        <f t="shared" si="34"/>
        <v>0</v>
      </c>
      <c r="I1038" s="276">
        <f>'Planning Engine'!H2292</f>
        <v>0</v>
      </c>
      <c r="J1038" s="277">
        <f ca="1">'Planning Engine'!J2292</f>
        <v>0</v>
      </c>
      <c r="K1038" s="276">
        <f ca="1">'Planning Engine'!K2292</f>
        <v>0</v>
      </c>
      <c r="L1038" s="278" t="str">
        <f>'Planning Engine'!L2292</f>
        <v>High</v>
      </c>
      <c r="M1038" s="358">
        <f>'Planning Engine'!S2292</f>
        <v>50192</v>
      </c>
      <c r="N1038" s="276">
        <f>'Planning Engine'!T2292</f>
        <v>0</v>
      </c>
      <c r="O1038" s="359" cm="1">
        <f t="array" ref="O1038">IFERROR(SUMPRODUCT(('Planning Engine'!$B$4:$B$2500="47mg LP - EU Stock")*('Planning Engine'!$A$4:$A$2500='Planning Engine'!A2292)*'Planning Engine'!$U$4:$U$2500),"--")</f>
        <v>0</v>
      </c>
      <c r="P1038" s="278" t="str">
        <f t="shared" si="35"/>
        <v>⚠ Expedite production / source alternate</v>
      </c>
    </row>
    <row r="1039" spans="1:16" x14ac:dyDescent="0.35">
      <c r="A1039" s="360">
        <f>'Planning Engine'!A2293</f>
        <v>50314</v>
      </c>
      <c r="B1039" s="269" t="s">
        <v>960</v>
      </c>
      <c r="C1039" s="273" t="str">
        <f>'Planning Engine'!C2293</f>
        <v>Label/Pack</v>
      </c>
      <c r="D1039" s="273" t="str">
        <f>'Planning Engine'!D2293</f>
        <v>units</v>
      </c>
      <c r="E1039" s="271">
        <f>'Planning Engine'!E2293</f>
        <v>0</v>
      </c>
      <c r="F1039" s="271">
        <f>'Planning Engine'!F2293</f>
        <v>0</v>
      </c>
      <c r="G1039" s="271">
        <f>'Planning Engine'!G2293</f>
        <v>0</v>
      </c>
      <c r="H1039" s="271">
        <f t="shared" si="34"/>
        <v>0</v>
      </c>
      <c r="I1039" s="271">
        <f>'Planning Engine'!H2293</f>
        <v>0</v>
      </c>
      <c r="J1039" s="272">
        <f ca="1">'Planning Engine'!J2293</f>
        <v>0</v>
      </c>
      <c r="K1039" s="271">
        <f ca="1">'Planning Engine'!K2293</f>
        <v>0</v>
      </c>
      <c r="L1039" s="273" t="str">
        <f>'Planning Engine'!L2293</f>
        <v>High</v>
      </c>
      <c r="M1039" s="360">
        <f>'Planning Engine'!S2293</f>
        <v>50222</v>
      </c>
      <c r="N1039" s="271">
        <f>'Planning Engine'!T2293</f>
        <v>0</v>
      </c>
      <c r="O1039" s="361" cm="1">
        <f t="array" ref="O1039">IFERROR(SUMPRODUCT(('Planning Engine'!$B$4:$B$2500="47mg LP - EU Stock")*('Planning Engine'!$A$4:$A$2500='Planning Engine'!A2293)*'Planning Engine'!$U$4:$U$2500),"--")</f>
        <v>0</v>
      </c>
      <c r="P1039" s="273" t="str">
        <f t="shared" si="35"/>
        <v>⚠ Expedite production / source alternate</v>
      </c>
    </row>
    <row r="1040" spans="1:16" x14ac:dyDescent="0.35">
      <c r="A1040" s="358">
        <f>'Planning Engine'!A2294</f>
        <v>50345</v>
      </c>
      <c r="B1040" s="274" t="s">
        <v>960</v>
      </c>
      <c r="C1040" s="278" t="str">
        <f>'Planning Engine'!C2294</f>
        <v>Label/Pack</v>
      </c>
      <c r="D1040" s="278" t="str">
        <f>'Planning Engine'!D2294</f>
        <v>units</v>
      </c>
      <c r="E1040" s="276">
        <f>'Planning Engine'!E2294</f>
        <v>0</v>
      </c>
      <c r="F1040" s="276">
        <f>'Planning Engine'!F2294</f>
        <v>0</v>
      </c>
      <c r="G1040" s="276">
        <f>'Planning Engine'!G2294</f>
        <v>0</v>
      </c>
      <c r="H1040" s="276">
        <f t="shared" si="34"/>
        <v>0</v>
      </c>
      <c r="I1040" s="276">
        <f>'Planning Engine'!H2294</f>
        <v>0</v>
      </c>
      <c r="J1040" s="277">
        <f ca="1">'Planning Engine'!J2294</f>
        <v>0</v>
      </c>
      <c r="K1040" s="276">
        <f ca="1">'Planning Engine'!K2294</f>
        <v>0</v>
      </c>
      <c r="L1040" s="278" t="str">
        <f>'Planning Engine'!L2294</f>
        <v>High</v>
      </c>
      <c r="M1040" s="358">
        <f>'Planning Engine'!S2294</f>
        <v>50253</v>
      </c>
      <c r="N1040" s="276">
        <f>'Planning Engine'!T2294</f>
        <v>0</v>
      </c>
      <c r="O1040" s="359" cm="1">
        <f t="array" ref="O1040">IFERROR(SUMPRODUCT(('Planning Engine'!$B$4:$B$2500="47mg LP - EU Stock")*('Planning Engine'!$A$4:$A$2500='Planning Engine'!A2294)*'Planning Engine'!$U$4:$U$2500),"--")</f>
        <v>0</v>
      </c>
      <c r="P1040" s="278" t="str">
        <f t="shared" si="35"/>
        <v>⚠ Expedite production / source alternate</v>
      </c>
    </row>
    <row r="1041" spans="1:16" x14ac:dyDescent="0.35">
      <c r="A1041" s="360">
        <f>'Planning Engine'!A2295</f>
        <v>50375</v>
      </c>
      <c r="B1041" s="269" t="s">
        <v>960</v>
      </c>
      <c r="C1041" s="273" t="str">
        <f>'Planning Engine'!C2295</f>
        <v>Label/Pack</v>
      </c>
      <c r="D1041" s="273" t="str">
        <f>'Planning Engine'!D2295</f>
        <v>units</v>
      </c>
      <c r="E1041" s="271">
        <f>'Planning Engine'!E2295</f>
        <v>0</v>
      </c>
      <c r="F1041" s="271">
        <f>'Planning Engine'!F2295</f>
        <v>0</v>
      </c>
      <c r="G1041" s="271">
        <f>'Planning Engine'!G2295</f>
        <v>0</v>
      </c>
      <c r="H1041" s="271">
        <f t="shared" si="34"/>
        <v>0</v>
      </c>
      <c r="I1041" s="271">
        <f>'Planning Engine'!H2295</f>
        <v>0</v>
      </c>
      <c r="J1041" s="272">
        <f ca="1">'Planning Engine'!J2295</f>
        <v>0</v>
      </c>
      <c r="K1041" s="271">
        <f ca="1">'Planning Engine'!K2295</f>
        <v>0</v>
      </c>
      <c r="L1041" s="273" t="str">
        <f>'Planning Engine'!L2295</f>
        <v>High</v>
      </c>
      <c r="M1041" s="360">
        <f>'Planning Engine'!S2295</f>
        <v>50284</v>
      </c>
      <c r="N1041" s="271">
        <f>'Planning Engine'!T2295</f>
        <v>0</v>
      </c>
      <c r="O1041" s="361" cm="1">
        <f t="array" ref="O1041">IFERROR(SUMPRODUCT(('Planning Engine'!$B$4:$B$2500="47mg LP - EU Stock")*('Planning Engine'!$A$4:$A$2500='Planning Engine'!A2295)*'Planning Engine'!$U$4:$U$2500),"--")</f>
        <v>0</v>
      </c>
      <c r="P1041" s="273" t="str">
        <f t="shared" si="35"/>
        <v>⚠ Expedite production / source alternate</v>
      </c>
    </row>
    <row r="1042" spans="1:16" x14ac:dyDescent="0.35">
      <c r="A1042" s="358">
        <f>'Planning Engine'!A2296</f>
        <v>50406</v>
      </c>
      <c r="B1042" s="274" t="s">
        <v>960</v>
      </c>
      <c r="C1042" s="278" t="str">
        <f>'Planning Engine'!C2296</f>
        <v>Label/Pack</v>
      </c>
      <c r="D1042" s="278" t="str">
        <f>'Planning Engine'!D2296</f>
        <v>units</v>
      </c>
      <c r="E1042" s="276">
        <f>'Planning Engine'!E2296</f>
        <v>0</v>
      </c>
      <c r="F1042" s="276">
        <f>'Planning Engine'!F2296</f>
        <v>0</v>
      </c>
      <c r="G1042" s="276">
        <f>'Planning Engine'!G2296</f>
        <v>0</v>
      </c>
      <c r="H1042" s="276">
        <f t="shared" si="34"/>
        <v>0</v>
      </c>
      <c r="I1042" s="276">
        <f>'Planning Engine'!H2296</f>
        <v>0</v>
      </c>
      <c r="J1042" s="277">
        <f ca="1">'Planning Engine'!J2296</f>
        <v>0</v>
      </c>
      <c r="K1042" s="276">
        <f ca="1">'Planning Engine'!K2296</f>
        <v>0</v>
      </c>
      <c r="L1042" s="278" t="str">
        <f>'Planning Engine'!L2296</f>
        <v>High</v>
      </c>
      <c r="M1042" s="358">
        <f>'Planning Engine'!S2296</f>
        <v>50314</v>
      </c>
      <c r="N1042" s="276">
        <f>'Planning Engine'!T2296</f>
        <v>0</v>
      </c>
      <c r="O1042" s="359" cm="1">
        <f t="array" ref="O1042">IFERROR(SUMPRODUCT(('Planning Engine'!$B$4:$B$2500="47mg LP - EU Stock")*('Planning Engine'!$A$4:$A$2500='Planning Engine'!A2296)*'Planning Engine'!$U$4:$U$2500),"--")</f>
        <v>0</v>
      </c>
      <c r="P1042" s="278" t="str">
        <f t="shared" si="35"/>
        <v>⚠ Expedite production / source alternate</v>
      </c>
    </row>
    <row r="1043" spans="1:16" x14ac:dyDescent="0.35">
      <c r="A1043" s="360">
        <f>'Planning Engine'!A2297</f>
        <v>50437</v>
      </c>
      <c r="B1043" s="269" t="s">
        <v>960</v>
      </c>
      <c r="C1043" s="273" t="str">
        <f>'Planning Engine'!C2297</f>
        <v>Label/Pack</v>
      </c>
      <c r="D1043" s="273" t="str">
        <f>'Planning Engine'!D2297</f>
        <v>units</v>
      </c>
      <c r="E1043" s="271">
        <f>'Planning Engine'!E2297</f>
        <v>0</v>
      </c>
      <c r="F1043" s="271">
        <f>'Planning Engine'!F2297</f>
        <v>0</v>
      </c>
      <c r="G1043" s="271">
        <f>'Planning Engine'!G2297</f>
        <v>0</v>
      </c>
      <c r="H1043" s="271">
        <f t="shared" si="34"/>
        <v>0</v>
      </c>
      <c r="I1043" s="271">
        <f>'Planning Engine'!H2297</f>
        <v>0</v>
      </c>
      <c r="J1043" s="272">
        <f ca="1">'Planning Engine'!J2297</f>
        <v>0</v>
      </c>
      <c r="K1043" s="271">
        <f ca="1">'Planning Engine'!K2297</f>
        <v>0</v>
      </c>
      <c r="L1043" s="273" t="str">
        <f>'Planning Engine'!L2297</f>
        <v>High</v>
      </c>
      <c r="M1043" s="360">
        <f>'Planning Engine'!S2297</f>
        <v>50345</v>
      </c>
      <c r="N1043" s="271">
        <f>'Planning Engine'!T2297</f>
        <v>0</v>
      </c>
      <c r="O1043" s="361" cm="1">
        <f t="array" ref="O1043">IFERROR(SUMPRODUCT(('Planning Engine'!$B$4:$B$2500="47mg LP - EU Stock")*('Planning Engine'!$A$4:$A$2500='Planning Engine'!A2297)*'Planning Engine'!$U$4:$U$2500),"--")</f>
        <v>0</v>
      </c>
      <c r="P1043" s="273" t="str">
        <f t="shared" si="35"/>
        <v>⚠ Expedite production / source alternate</v>
      </c>
    </row>
    <row r="1044" spans="1:16" x14ac:dyDescent="0.35">
      <c r="A1044" s="358">
        <f>'Planning Engine'!A2298</f>
        <v>50465</v>
      </c>
      <c r="B1044" s="274" t="s">
        <v>960</v>
      </c>
      <c r="C1044" s="278" t="str">
        <f>'Planning Engine'!C2298</f>
        <v>Label/Pack</v>
      </c>
      <c r="D1044" s="278" t="str">
        <f>'Planning Engine'!D2298</f>
        <v>units</v>
      </c>
      <c r="E1044" s="276">
        <f>'Planning Engine'!E2298</f>
        <v>0</v>
      </c>
      <c r="F1044" s="276">
        <f>'Planning Engine'!F2298</f>
        <v>0</v>
      </c>
      <c r="G1044" s="276">
        <f>'Planning Engine'!G2298</f>
        <v>0</v>
      </c>
      <c r="H1044" s="276">
        <f t="shared" si="34"/>
        <v>0</v>
      </c>
      <c r="I1044" s="276">
        <f>'Planning Engine'!H2298</f>
        <v>0</v>
      </c>
      <c r="J1044" s="277">
        <f ca="1">'Planning Engine'!J2298</f>
        <v>0</v>
      </c>
      <c r="K1044" s="276">
        <f ca="1">'Planning Engine'!K2298</f>
        <v>0</v>
      </c>
      <c r="L1044" s="278" t="str">
        <f>'Planning Engine'!L2298</f>
        <v>High</v>
      </c>
      <c r="M1044" s="358">
        <f>'Planning Engine'!S2298</f>
        <v>50375</v>
      </c>
      <c r="N1044" s="276">
        <f>'Planning Engine'!T2298</f>
        <v>0</v>
      </c>
      <c r="O1044" s="359" cm="1">
        <f t="array" ref="O1044">IFERROR(SUMPRODUCT(('Planning Engine'!$B$4:$B$2500="47mg LP - EU Stock")*('Planning Engine'!$A$4:$A$2500='Planning Engine'!A2298)*'Planning Engine'!$U$4:$U$2500),"--")</f>
        <v>0</v>
      </c>
      <c r="P1044" s="278" t="str">
        <f t="shared" si="35"/>
        <v>⚠ Expedite production / source alternate</v>
      </c>
    </row>
    <row r="1045" spans="1:16" x14ac:dyDescent="0.35">
      <c r="A1045" s="360">
        <f>'Planning Engine'!A2299</f>
        <v>50496</v>
      </c>
      <c r="B1045" s="269" t="s">
        <v>960</v>
      </c>
      <c r="C1045" s="273" t="str">
        <f>'Planning Engine'!C2299</f>
        <v>Label/Pack</v>
      </c>
      <c r="D1045" s="273" t="str">
        <f>'Planning Engine'!D2299</f>
        <v>units</v>
      </c>
      <c r="E1045" s="271">
        <f>'Planning Engine'!E2299</f>
        <v>0</v>
      </c>
      <c r="F1045" s="271">
        <f>'Planning Engine'!F2299</f>
        <v>0</v>
      </c>
      <c r="G1045" s="271">
        <f>'Planning Engine'!G2299</f>
        <v>0</v>
      </c>
      <c r="H1045" s="271">
        <f t="shared" si="34"/>
        <v>0</v>
      </c>
      <c r="I1045" s="271">
        <f>'Planning Engine'!H2299</f>
        <v>0</v>
      </c>
      <c r="J1045" s="272">
        <f ca="1">'Planning Engine'!J2299</f>
        <v>0</v>
      </c>
      <c r="K1045" s="271">
        <f ca="1">'Planning Engine'!K2299</f>
        <v>0</v>
      </c>
      <c r="L1045" s="273" t="str">
        <f>'Planning Engine'!L2299</f>
        <v>High</v>
      </c>
      <c r="M1045" s="360">
        <f>'Planning Engine'!S2299</f>
        <v>50406</v>
      </c>
      <c r="N1045" s="271">
        <f>'Planning Engine'!T2299</f>
        <v>0</v>
      </c>
      <c r="O1045" s="361" cm="1">
        <f t="array" ref="O1045">IFERROR(SUMPRODUCT(('Planning Engine'!$B$4:$B$2500="47mg LP - EU Stock")*('Planning Engine'!$A$4:$A$2500='Planning Engine'!A2299)*'Planning Engine'!$U$4:$U$2500),"--")</f>
        <v>0</v>
      </c>
      <c r="P1045" s="273" t="str">
        <f t="shared" si="35"/>
        <v>⚠ Expedite production / source alternate</v>
      </c>
    </row>
    <row r="1046" spans="1:16" x14ac:dyDescent="0.35">
      <c r="A1046" s="358">
        <f>'Planning Engine'!A2300</f>
        <v>50526</v>
      </c>
      <c r="B1046" s="274" t="s">
        <v>960</v>
      </c>
      <c r="C1046" s="278" t="str">
        <f>'Planning Engine'!C2300</f>
        <v>Label/Pack</v>
      </c>
      <c r="D1046" s="278" t="str">
        <f>'Planning Engine'!D2300</f>
        <v>units</v>
      </c>
      <c r="E1046" s="276">
        <f>'Planning Engine'!E2300</f>
        <v>0</v>
      </c>
      <c r="F1046" s="276">
        <f>'Planning Engine'!F2300</f>
        <v>0</v>
      </c>
      <c r="G1046" s="276">
        <f>'Planning Engine'!G2300</f>
        <v>0</v>
      </c>
      <c r="H1046" s="276">
        <f t="shared" si="34"/>
        <v>0</v>
      </c>
      <c r="I1046" s="276">
        <f>'Planning Engine'!H2300</f>
        <v>0</v>
      </c>
      <c r="J1046" s="277">
        <f ca="1">'Planning Engine'!J2300</f>
        <v>0</v>
      </c>
      <c r="K1046" s="276">
        <f ca="1">'Planning Engine'!K2300</f>
        <v>0</v>
      </c>
      <c r="L1046" s="278" t="str">
        <f>'Planning Engine'!L2300</f>
        <v>High</v>
      </c>
      <c r="M1046" s="358">
        <f>'Planning Engine'!S2300</f>
        <v>50437</v>
      </c>
      <c r="N1046" s="276">
        <f>'Planning Engine'!T2300</f>
        <v>0</v>
      </c>
      <c r="O1046" s="359" cm="1">
        <f t="array" ref="O1046">IFERROR(SUMPRODUCT(('Planning Engine'!$B$4:$B$2500="47mg LP - EU Stock")*('Planning Engine'!$A$4:$A$2500='Planning Engine'!A2300)*'Planning Engine'!$U$4:$U$2500),"--")</f>
        <v>0</v>
      </c>
      <c r="P1046" s="278" t="str">
        <f t="shared" si="35"/>
        <v>⚠ Expedite production / source alternate</v>
      </c>
    </row>
    <row r="1047" spans="1:16" x14ac:dyDescent="0.35">
      <c r="A1047" s="360">
        <f>'Planning Engine'!A2301</f>
        <v>50557</v>
      </c>
      <c r="B1047" s="269" t="s">
        <v>960</v>
      </c>
      <c r="C1047" s="273" t="str">
        <f>'Planning Engine'!C2301</f>
        <v>Label/Pack</v>
      </c>
      <c r="D1047" s="273" t="str">
        <f>'Planning Engine'!D2301</f>
        <v>units</v>
      </c>
      <c r="E1047" s="271">
        <f>'Planning Engine'!E2301</f>
        <v>0</v>
      </c>
      <c r="F1047" s="271">
        <f>'Planning Engine'!F2301</f>
        <v>0</v>
      </c>
      <c r="G1047" s="271">
        <f>'Planning Engine'!G2301</f>
        <v>0</v>
      </c>
      <c r="H1047" s="271">
        <f t="shared" si="34"/>
        <v>0</v>
      </c>
      <c r="I1047" s="271">
        <f>'Planning Engine'!H2301</f>
        <v>0</v>
      </c>
      <c r="J1047" s="272">
        <f ca="1">'Planning Engine'!J2301</f>
        <v>0</v>
      </c>
      <c r="K1047" s="271">
        <f ca="1">'Planning Engine'!K2301</f>
        <v>0</v>
      </c>
      <c r="L1047" s="273" t="str">
        <f>'Planning Engine'!L2301</f>
        <v>High</v>
      </c>
      <c r="M1047" s="360">
        <f>'Planning Engine'!S2301</f>
        <v>50465</v>
      </c>
      <c r="N1047" s="271">
        <f>'Planning Engine'!T2301</f>
        <v>0</v>
      </c>
      <c r="O1047" s="361" cm="1">
        <f t="array" ref="O1047">IFERROR(SUMPRODUCT(('Planning Engine'!$B$4:$B$2500="47mg LP - EU Stock")*('Planning Engine'!$A$4:$A$2500='Planning Engine'!A2301)*'Planning Engine'!$U$4:$U$2500),"--")</f>
        <v>0</v>
      </c>
      <c r="P1047" s="273" t="str">
        <f t="shared" si="35"/>
        <v>⚠ Expedite production / source alternate</v>
      </c>
    </row>
    <row r="1048" spans="1:16" x14ac:dyDescent="0.35">
      <c r="A1048" s="358">
        <f>'Planning Engine'!A2302</f>
        <v>50587</v>
      </c>
      <c r="B1048" s="274" t="s">
        <v>960</v>
      </c>
      <c r="C1048" s="278" t="str">
        <f>'Planning Engine'!C2302</f>
        <v>Label/Pack</v>
      </c>
      <c r="D1048" s="278" t="str">
        <f>'Planning Engine'!D2302</f>
        <v>units</v>
      </c>
      <c r="E1048" s="276">
        <f>'Planning Engine'!E2302</f>
        <v>0</v>
      </c>
      <c r="F1048" s="276">
        <f>'Planning Engine'!F2302</f>
        <v>0</v>
      </c>
      <c r="G1048" s="276">
        <f>'Planning Engine'!G2302</f>
        <v>0</v>
      </c>
      <c r="H1048" s="276">
        <f t="shared" si="34"/>
        <v>0</v>
      </c>
      <c r="I1048" s="276">
        <f>'Planning Engine'!H2302</f>
        <v>0</v>
      </c>
      <c r="J1048" s="277">
        <f ca="1">'Planning Engine'!J2302</f>
        <v>0</v>
      </c>
      <c r="K1048" s="276">
        <f ca="1">'Planning Engine'!K2302</f>
        <v>0</v>
      </c>
      <c r="L1048" s="278" t="str">
        <f>'Planning Engine'!L2302</f>
        <v>High</v>
      </c>
      <c r="M1048" s="358">
        <f>'Planning Engine'!S2302</f>
        <v>50496</v>
      </c>
      <c r="N1048" s="276">
        <f>'Planning Engine'!T2302</f>
        <v>0</v>
      </c>
      <c r="O1048" s="359" cm="1">
        <f t="array" ref="O1048">IFERROR(SUMPRODUCT(('Planning Engine'!$B$4:$B$2500="47mg LP - EU Stock")*('Planning Engine'!$A$4:$A$2500='Planning Engine'!A2302)*'Planning Engine'!$U$4:$U$2500),"--")</f>
        <v>0</v>
      </c>
      <c r="P1048" s="278" t="str">
        <f t="shared" si="35"/>
        <v>⚠ Expedite production / source alternate</v>
      </c>
    </row>
    <row r="1049" spans="1:16" x14ac:dyDescent="0.35">
      <c r="A1049" s="360">
        <f>'Planning Engine'!A2303</f>
        <v>50618</v>
      </c>
      <c r="B1049" s="269" t="s">
        <v>960</v>
      </c>
      <c r="C1049" s="273" t="str">
        <f>'Planning Engine'!C2303</f>
        <v>Label/Pack</v>
      </c>
      <c r="D1049" s="273" t="str">
        <f>'Planning Engine'!D2303</f>
        <v>units</v>
      </c>
      <c r="E1049" s="271">
        <f>'Planning Engine'!E2303</f>
        <v>0</v>
      </c>
      <c r="F1049" s="271">
        <f>'Planning Engine'!F2303</f>
        <v>0</v>
      </c>
      <c r="G1049" s="271">
        <f>'Planning Engine'!G2303</f>
        <v>0</v>
      </c>
      <c r="H1049" s="271">
        <f t="shared" si="34"/>
        <v>0</v>
      </c>
      <c r="I1049" s="271">
        <f>'Planning Engine'!H2303</f>
        <v>0</v>
      </c>
      <c r="J1049" s="272">
        <f ca="1">'Planning Engine'!J2303</f>
        <v>0</v>
      </c>
      <c r="K1049" s="271">
        <f ca="1">'Planning Engine'!K2303</f>
        <v>0</v>
      </c>
      <c r="L1049" s="273" t="str">
        <f>'Planning Engine'!L2303</f>
        <v>High</v>
      </c>
      <c r="M1049" s="360">
        <f>'Planning Engine'!S2303</f>
        <v>50526</v>
      </c>
      <c r="N1049" s="271">
        <f>'Planning Engine'!T2303</f>
        <v>0</v>
      </c>
      <c r="O1049" s="361" cm="1">
        <f t="array" ref="O1049">IFERROR(SUMPRODUCT(('Planning Engine'!$B$4:$B$2500="47mg LP - EU Stock")*('Planning Engine'!$A$4:$A$2500='Planning Engine'!A2303)*'Planning Engine'!$U$4:$U$2500),"--")</f>
        <v>0</v>
      </c>
      <c r="P1049" s="273" t="str">
        <f t="shared" si="35"/>
        <v>⚠ Expedite production / source alternate</v>
      </c>
    </row>
    <row r="1050" spans="1:16" x14ac:dyDescent="0.35">
      <c r="A1050" s="358">
        <f>'Planning Engine'!A2304</f>
        <v>50649</v>
      </c>
      <c r="B1050" s="274" t="s">
        <v>960</v>
      </c>
      <c r="C1050" s="278" t="str">
        <f>'Planning Engine'!C2304</f>
        <v>Label/Pack</v>
      </c>
      <c r="D1050" s="278" t="str">
        <f>'Planning Engine'!D2304</f>
        <v>units</v>
      </c>
      <c r="E1050" s="276">
        <f>'Planning Engine'!E2304</f>
        <v>0</v>
      </c>
      <c r="F1050" s="276">
        <f>'Planning Engine'!F2304</f>
        <v>0</v>
      </c>
      <c r="G1050" s="276">
        <f>'Planning Engine'!G2304</f>
        <v>0</v>
      </c>
      <c r="H1050" s="276">
        <f t="shared" si="34"/>
        <v>0</v>
      </c>
      <c r="I1050" s="276">
        <f>'Planning Engine'!H2304</f>
        <v>0</v>
      </c>
      <c r="J1050" s="277">
        <f ca="1">'Planning Engine'!J2304</f>
        <v>0</v>
      </c>
      <c r="K1050" s="276">
        <f ca="1">'Planning Engine'!K2304</f>
        <v>0</v>
      </c>
      <c r="L1050" s="278" t="str">
        <f>'Planning Engine'!L2304</f>
        <v>High</v>
      </c>
      <c r="M1050" s="358">
        <f>'Planning Engine'!S2304</f>
        <v>50557</v>
      </c>
      <c r="N1050" s="276">
        <f>'Planning Engine'!T2304</f>
        <v>0</v>
      </c>
      <c r="O1050" s="359" cm="1">
        <f t="array" ref="O1050">IFERROR(SUMPRODUCT(('Planning Engine'!$B$4:$B$2500="47mg LP - EU Stock")*('Planning Engine'!$A$4:$A$2500='Planning Engine'!A2304)*'Planning Engine'!$U$4:$U$2500),"--")</f>
        <v>0</v>
      </c>
      <c r="P1050" s="278" t="str">
        <f t="shared" si="35"/>
        <v>⚠ Expedite production / source alternate</v>
      </c>
    </row>
    <row r="1051" spans="1:16" x14ac:dyDescent="0.35">
      <c r="A1051" s="360">
        <f>'Planning Engine'!A2305</f>
        <v>50679</v>
      </c>
      <c r="B1051" s="269" t="s">
        <v>960</v>
      </c>
      <c r="C1051" s="273" t="str">
        <f>'Planning Engine'!C2305</f>
        <v>Label/Pack</v>
      </c>
      <c r="D1051" s="273" t="str">
        <f>'Planning Engine'!D2305</f>
        <v>units</v>
      </c>
      <c r="E1051" s="271">
        <f>'Planning Engine'!E2305</f>
        <v>0</v>
      </c>
      <c r="F1051" s="271">
        <f>'Planning Engine'!F2305</f>
        <v>0</v>
      </c>
      <c r="G1051" s="271">
        <f>'Planning Engine'!G2305</f>
        <v>0</v>
      </c>
      <c r="H1051" s="271">
        <f t="shared" si="34"/>
        <v>0</v>
      </c>
      <c r="I1051" s="271">
        <f>'Planning Engine'!H2305</f>
        <v>0</v>
      </c>
      <c r="J1051" s="272">
        <f ca="1">'Planning Engine'!J2305</f>
        <v>0</v>
      </c>
      <c r="K1051" s="271">
        <f ca="1">'Planning Engine'!K2305</f>
        <v>0</v>
      </c>
      <c r="L1051" s="273" t="str">
        <f>'Planning Engine'!L2305</f>
        <v>High</v>
      </c>
      <c r="M1051" s="360">
        <f>'Planning Engine'!S2305</f>
        <v>50587</v>
      </c>
      <c r="N1051" s="271">
        <f>'Planning Engine'!T2305</f>
        <v>0</v>
      </c>
      <c r="O1051" s="361" cm="1">
        <f t="array" ref="O1051">IFERROR(SUMPRODUCT(('Planning Engine'!$B$4:$B$2500="47mg LP - EU Stock")*('Planning Engine'!$A$4:$A$2500='Planning Engine'!A2305)*'Planning Engine'!$U$4:$U$2500),"--")</f>
        <v>0</v>
      </c>
      <c r="P1051" s="273" t="str">
        <f t="shared" si="35"/>
        <v>⚠ Expedite production / source alternate</v>
      </c>
    </row>
    <row r="1052" spans="1:16" x14ac:dyDescent="0.35">
      <c r="A1052" s="358">
        <f>'Planning Engine'!A2306</f>
        <v>50710</v>
      </c>
      <c r="B1052" s="274" t="s">
        <v>960</v>
      </c>
      <c r="C1052" s="278" t="str">
        <f>'Planning Engine'!C2306</f>
        <v>Label/Pack</v>
      </c>
      <c r="D1052" s="278" t="str">
        <f>'Planning Engine'!D2306</f>
        <v>units</v>
      </c>
      <c r="E1052" s="276">
        <f>'Planning Engine'!E2306</f>
        <v>0</v>
      </c>
      <c r="F1052" s="276">
        <f>'Planning Engine'!F2306</f>
        <v>0</v>
      </c>
      <c r="G1052" s="276">
        <f>'Planning Engine'!G2306</f>
        <v>0</v>
      </c>
      <c r="H1052" s="276">
        <f t="shared" si="34"/>
        <v>0</v>
      </c>
      <c r="I1052" s="276">
        <f>'Planning Engine'!H2306</f>
        <v>0</v>
      </c>
      <c r="J1052" s="277">
        <f ca="1">'Planning Engine'!J2306</f>
        <v>0</v>
      </c>
      <c r="K1052" s="276">
        <f ca="1">'Planning Engine'!K2306</f>
        <v>0</v>
      </c>
      <c r="L1052" s="278" t="str">
        <f>'Planning Engine'!L2306</f>
        <v>High</v>
      </c>
      <c r="M1052" s="358">
        <f>'Planning Engine'!S2306</f>
        <v>50618</v>
      </c>
      <c r="N1052" s="276">
        <f>'Planning Engine'!T2306</f>
        <v>0</v>
      </c>
      <c r="O1052" s="359" cm="1">
        <f t="array" ref="O1052">IFERROR(SUMPRODUCT(('Planning Engine'!$B$4:$B$2500="47mg LP - EU Stock")*('Planning Engine'!$A$4:$A$2500='Planning Engine'!A2306)*'Planning Engine'!$U$4:$U$2500),"--")</f>
        <v>0</v>
      </c>
      <c r="P1052" s="278" t="str">
        <f t="shared" si="35"/>
        <v>⚠ Expedite production / source alternate</v>
      </c>
    </row>
    <row r="1053" spans="1:16" x14ac:dyDescent="0.35">
      <c r="A1053" s="360">
        <f>'Planning Engine'!A2307</f>
        <v>50740</v>
      </c>
      <c r="B1053" s="269" t="s">
        <v>960</v>
      </c>
      <c r="C1053" s="273" t="str">
        <f>'Planning Engine'!C2307</f>
        <v>Label/Pack</v>
      </c>
      <c r="D1053" s="273" t="str">
        <f>'Planning Engine'!D2307</f>
        <v>units</v>
      </c>
      <c r="E1053" s="271">
        <f>'Planning Engine'!E2307</f>
        <v>0</v>
      </c>
      <c r="F1053" s="271">
        <f>'Planning Engine'!F2307</f>
        <v>0</v>
      </c>
      <c r="G1053" s="271">
        <f>'Planning Engine'!G2307</f>
        <v>0</v>
      </c>
      <c r="H1053" s="271">
        <f t="shared" si="34"/>
        <v>0</v>
      </c>
      <c r="I1053" s="271">
        <f>'Planning Engine'!H2307</f>
        <v>0</v>
      </c>
      <c r="J1053" s="272">
        <f ca="1">'Planning Engine'!J2307</f>
        <v>0</v>
      </c>
      <c r="K1053" s="271">
        <f ca="1">'Planning Engine'!K2307</f>
        <v>0</v>
      </c>
      <c r="L1053" s="273" t="str">
        <f>'Planning Engine'!L2307</f>
        <v>High</v>
      </c>
      <c r="M1053" s="360">
        <f>'Planning Engine'!S2307</f>
        <v>50649</v>
      </c>
      <c r="N1053" s="271">
        <f>'Planning Engine'!T2307</f>
        <v>0</v>
      </c>
      <c r="O1053" s="361" cm="1">
        <f t="array" ref="O1053">IFERROR(SUMPRODUCT(('Planning Engine'!$B$4:$B$2500="47mg LP - EU Stock")*('Planning Engine'!$A$4:$A$2500='Planning Engine'!A2307)*'Planning Engine'!$U$4:$U$2500),"--")</f>
        <v>0</v>
      </c>
      <c r="P1053" s="273" t="str">
        <f t="shared" si="35"/>
        <v>⚠ Expedite production / source alternate</v>
      </c>
    </row>
    <row r="1054" spans="1:16" x14ac:dyDescent="0.35">
      <c r="A1054" s="358">
        <f>'Planning Engine'!A2308</f>
        <v>50771</v>
      </c>
      <c r="B1054" s="274" t="s">
        <v>960</v>
      </c>
      <c r="C1054" s="278" t="str">
        <f>'Planning Engine'!C2308</f>
        <v>Label/Pack</v>
      </c>
      <c r="D1054" s="278" t="str">
        <f>'Planning Engine'!D2308</f>
        <v>units</v>
      </c>
      <c r="E1054" s="276">
        <f>'Planning Engine'!E2308</f>
        <v>0</v>
      </c>
      <c r="F1054" s="276">
        <f>'Planning Engine'!F2308</f>
        <v>0</v>
      </c>
      <c r="G1054" s="276">
        <f>'Planning Engine'!G2308</f>
        <v>0</v>
      </c>
      <c r="H1054" s="276">
        <f t="shared" si="34"/>
        <v>0</v>
      </c>
      <c r="I1054" s="276">
        <f>'Planning Engine'!H2308</f>
        <v>0</v>
      </c>
      <c r="J1054" s="277">
        <f ca="1">'Planning Engine'!J2308</f>
        <v>0</v>
      </c>
      <c r="K1054" s="276">
        <f ca="1">'Planning Engine'!K2308</f>
        <v>0</v>
      </c>
      <c r="L1054" s="278" t="str">
        <f>'Planning Engine'!L2308</f>
        <v>High</v>
      </c>
      <c r="M1054" s="358">
        <f>'Planning Engine'!S2308</f>
        <v>50679</v>
      </c>
      <c r="N1054" s="276">
        <f>'Planning Engine'!T2308</f>
        <v>0</v>
      </c>
      <c r="O1054" s="359" cm="1">
        <f t="array" ref="O1054">IFERROR(SUMPRODUCT(('Planning Engine'!$B$4:$B$2500="47mg LP - EU Stock")*('Planning Engine'!$A$4:$A$2500='Planning Engine'!A2308)*'Planning Engine'!$U$4:$U$2500),"--")</f>
        <v>0</v>
      </c>
      <c r="P1054" s="278" t="str">
        <f t="shared" si="35"/>
        <v>⚠ Expedite production / source alternate</v>
      </c>
    </row>
    <row r="1055" spans="1:16" x14ac:dyDescent="0.35">
      <c r="A1055" s="360">
        <f>'Planning Engine'!A2309</f>
        <v>50802</v>
      </c>
      <c r="B1055" s="269" t="s">
        <v>960</v>
      </c>
      <c r="C1055" s="273" t="str">
        <f>'Planning Engine'!C2309</f>
        <v>Label/Pack</v>
      </c>
      <c r="D1055" s="273" t="str">
        <f>'Planning Engine'!D2309</f>
        <v>units</v>
      </c>
      <c r="E1055" s="271">
        <f>'Planning Engine'!E2309</f>
        <v>0</v>
      </c>
      <c r="F1055" s="271">
        <f>'Planning Engine'!F2309</f>
        <v>0</v>
      </c>
      <c r="G1055" s="271">
        <f>'Planning Engine'!G2309</f>
        <v>0</v>
      </c>
      <c r="H1055" s="271">
        <f t="shared" si="34"/>
        <v>0</v>
      </c>
      <c r="I1055" s="271">
        <f>'Planning Engine'!H2309</f>
        <v>0</v>
      </c>
      <c r="J1055" s="272">
        <f ca="1">'Planning Engine'!J2309</f>
        <v>0</v>
      </c>
      <c r="K1055" s="271">
        <f ca="1">'Planning Engine'!K2309</f>
        <v>0</v>
      </c>
      <c r="L1055" s="273" t="str">
        <f>'Planning Engine'!L2309</f>
        <v>High</v>
      </c>
      <c r="M1055" s="360">
        <f>'Planning Engine'!S2309</f>
        <v>50710</v>
      </c>
      <c r="N1055" s="271">
        <f>'Planning Engine'!T2309</f>
        <v>0</v>
      </c>
      <c r="O1055" s="361" cm="1">
        <f t="array" ref="O1055">IFERROR(SUMPRODUCT(('Planning Engine'!$B$4:$B$2500="47mg LP - EU Stock")*('Planning Engine'!$A$4:$A$2500='Planning Engine'!A2309)*'Planning Engine'!$U$4:$U$2500),"--")</f>
        <v>0</v>
      </c>
      <c r="P1055" s="273" t="str">
        <f t="shared" si="35"/>
        <v>⚠ Expedite production / source alternate</v>
      </c>
    </row>
    <row r="1056" spans="1:16" x14ac:dyDescent="0.35">
      <c r="A1056" s="358">
        <f>'Planning Engine'!A2310</f>
        <v>50830</v>
      </c>
      <c r="B1056" s="274" t="s">
        <v>960</v>
      </c>
      <c r="C1056" s="278" t="str">
        <f>'Planning Engine'!C2310</f>
        <v>Label/Pack</v>
      </c>
      <c r="D1056" s="278" t="str">
        <f>'Planning Engine'!D2310</f>
        <v>units</v>
      </c>
      <c r="E1056" s="276">
        <f>'Planning Engine'!E2310</f>
        <v>0</v>
      </c>
      <c r="F1056" s="276">
        <f>'Planning Engine'!F2310</f>
        <v>0</v>
      </c>
      <c r="G1056" s="276">
        <f>'Planning Engine'!G2310</f>
        <v>0</v>
      </c>
      <c r="H1056" s="276">
        <f t="shared" si="34"/>
        <v>0</v>
      </c>
      <c r="I1056" s="276">
        <f>'Planning Engine'!H2310</f>
        <v>0</v>
      </c>
      <c r="J1056" s="277">
        <f ca="1">'Planning Engine'!J2310</f>
        <v>0</v>
      </c>
      <c r="K1056" s="276">
        <f ca="1">'Planning Engine'!K2310</f>
        <v>0</v>
      </c>
      <c r="L1056" s="278" t="str">
        <f>'Planning Engine'!L2310</f>
        <v>High</v>
      </c>
      <c r="M1056" s="358">
        <f>'Planning Engine'!S2310</f>
        <v>50740</v>
      </c>
      <c r="N1056" s="276">
        <f>'Planning Engine'!T2310</f>
        <v>0</v>
      </c>
      <c r="O1056" s="359" cm="1">
        <f t="array" ref="O1056">IFERROR(SUMPRODUCT(('Planning Engine'!$B$4:$B$2500="47mg LP - EU Stock")*('Planning Engine'!$A$4:$A$2500='Planning Engine'!A2310)*'Planning Engine'!$U$4:$U$2500),"--")</f>
        <v>0</v>
      </c>
      <c r="P1056" s="278" t="str">
        <f t="shared" si="35"/>
        <v>⚠ Expedite production / source alternate</v>
      </c>
    </row>
    <row r="1057" spans="1:16" x14ac:dyDescent="0.35">
      <c r="A1057" s="360">
        <f>'Planning Engine'!A2311</f>
        <v>50861</v>
      </c>
      <c r="B1057" s="269" t="s">
        <v>960</v>
      </c>
      <c r="C1057" s="273" t="str">
        <f>'Planning Engine'!C2311</f>
        <v>Label/Pack</v>
      </c>
      <c r="D1057" s="273" t="str">
        <f>'Planning Engine'!D2311</f>
        <v>units</v>
      </c>
      <c r="E1057" s="271">
        <f>'Planning Engine'!E2311</f>
        <v>0</v>
      </c>
      <c r="F1057" s="271">
        <f>'Planning Engine'!F2311</f>
        <v>0</v>
      </c>
      <c r="G1057" s="271">
        <f>'Planning Engine'!G2311</f>
        <v>0</v>
      </c>
      <c r="H1057" s="271">
        <f t="shared" si="34"/>
        <v>0</v>
      </c>
      <c r="I1057" s="271">
        <f>'Planning Engine'!H2311</f>
        <v>0</v>
      </c>
      <c r="J1057" s="272">
        <f ca="1">'Planning Engine'!J2311</f>
        <v>0</v>
      </c>
      <c r="K1057" s="271">
        <f ca="1">'Planning Engine'!K2311</f>
        <v>0</v>
      </c>
      <c r="L1057" s="273" t="str">
        <f>'Planning Engine'!L2311</f>
        <v>High</v>
      </c>
      <c r="M1057" s="360">
        <f>'Planning Engine'!S2311</f>
        <v>50771</v>
      </c>
      <c r="N1057" s="271">
        <f>'Planning Engine'!T2311</f>
        <v>0</v>
      </c>
      <c r="O1057" s="361" cm="1">
        <f t="array" ref="O1057">IFERROR(SUMPRODUCT(('Planning Engine'!$B$4:$B$2500="47mg LP - EU Stock")*('Planning Engine'!$A$4:$A$2500='Planning Engine'!A2311)*'Planning Engine'!$U$4:$U$2500),"--")</f>
        <v>0</v>
      </c>
      <c r="P1057" s="273" t="str">
        <f t="shared" si="35"/>
        <v>⚠ Expedite production / source alternate</v>
      </c>
    </row>
    <row r="1058" spans="1:16" x14ac:dyDescent="0.35">
      <c r="A1058" s="358">
        <f>'Planning Engine'!A2312</f>
        <v>50891</v>
      </c>
      <c r="B1058" s="274" t="s">
        <v>960</v>
      </c>
      <c r="C1058" s="278" t="str">
        <f>'Planning Engine'!C2312</f>
        <v>Label/Pack</v>
      </c>
      <c r="D1058" s="278" t="str">
        <f>'Planning Engine'!D2312</f>
        <v>units</v>
      </c>
      <c r="E1058" s="276">
        <f>'Planning Engine'!E2312</f>
        <v>0</v>
      </c>
      <c r="F1058" s="276">
        <f>'Planning Engine'!F2312</f>
        <v>0</v>
      </c>
      <c r="G1058" s="276">
        <f>'Planning Engine'!G2312</f>
        <v>0</v>
      </c>
      <c r="H1058" s="276">
        <f t="shared" si="34"/>
        <v>0</v>
      </c>
      <c r="I1058" s="276">
        <f>'Planning Engine'!H2312</f>
        <v>0</v>
      </c>
      <c r="J1058" s="277">
        <f ca="1">'Planning Engine'!J2312</f>
        <v>0</v>
      </c>
      <c r="K1058" s="276">
        <f ca="1">'Planning Engine'!K2312</f>
        <v>0</v>
      </c>
      <c r="L1058" s="278" t="str">
        <f>'Planning Engine'!L2312</f>
        <v>High</v>
      </c>
      <c r="M1058" s="358">
        <f>'Planning Engine'!S2312</f>
        <v>50802</v>
      </c>
      <c r="N1058" s="276">
        <f>'Planning Engine'!T2312</f>
        <v>0</v>
      </c>
      <c r="O1058" s="359" cm="1">
        <f t="array" ref="O1058">IFERROR(SUMPRODUCT(('Planning Engine'!$B$4:$B$2500="47mg LP - EU Stock")*('Planning Engine'!$A$4:$A$2500='Planning Engine'!A2312)*'Planning Engine'!$U$4:$U$2500),"--")</f>
        <v>0</v>
      </c>
      <c r="P1058" s="278" t="str">
        <f t="shared" si="35"/>
        <v>⚠ Expedite production / source alternate</v>
      </c>
    </row>
    <row r="1059" spans="1:16" x14ac:dyDescent="0.35">
      <c r="A1059" s="360">
        <f>'Planning Engine'!A2313</f>
        <v>50922</v>
      </c>
      <c r="B1059" s="269" t="s">
        <v>960</v>
      </c>
      <c r="C1059" s="273" t="str">
        <f>'Planning Engine'!C2313</f>
        <v>Label/Pack</v>
      </c>
      <c r="D1059" s="273" t="str">
        <f>'Planning Engine'!D2313</f>
        <v>units</v>
      </c>
      <c r="E1059" s="271">
        <f>'Planning Engine'!E2313</f>
        <v>0</v>
      </c>
      <c r="F1059" s="271">
        <f>'Planning Engine'!F2313</f>
        <v>0</v>
      </c>
      <c r="G1059" s="271">
        <f>'Planning Engine'!G2313</f>
        <v>0</v>
      </c>
      <c r="H1059" s="271">
        <f t="shared" si="34"/>
        <v>0</v>
      </c>
      <c r="I1059" s="271">
        <f>'Planning Engine'!H2313</f>
        <v>0</v>
      </c>
      <c r="J1059" s="272">
        <f ca="1">'Planning Engine'!J2313</f>
        <v>0</v>
      </c>
      <c r="K1059" s="271">
        <f ca="1">'Planning Engine'!K2313</f>
        <v>0</v>
      </c>
      <c r="L1059" s="273" t="str">
        <f>'Planning Engine'!L2313</f>
        <v>High</v>
      </c>
      <c r="M1059" s="360">
        <f>'Planning Engine'!S2313</f>
        <v>50830</v>
      </c>
      <c r="N1059" s="271">
        <f>'Planning Engine'!T2313</f>
        <v>0</v>
      </c>
      <c r="O1059" s="361" cm="1">
        <f t="array" ref="O1059">IFERROR(SUMPRODUCT(('Planning Engine'!$B$4:$B$2500="47mg LP - EU Stock")*('Planning Engine'!$A$4:$A$2500='Planning Engine'!A2313)*'Planning Engine'!$U$4:$U$2500),"--")</f>
        <v>0</v>
      </c>
      <c r="P1059" s="273" t="str">
        <f t="shared" si="35"/>
        <v>⚠ Expedite production / source alternate</v>
      </c>
    </row>
    <row r="1060" spans="1:16" x14ac:dyDescent="0.35">
      <c r="A1060" s="358">
        <f>'Planning Engine'!A2314</f>
        <v>50952</v>
      </c>
      <c r="B1060" s="274" t="s">
        <v>960</v>
      </c>
      <c r="C1060" s="278" t="str">
        <f>'Planning Engine'!C2314</f>
        <v>Label/Pack</v>
      </c>
      <c r="D1060" s="278" t="str">
        <f>'Planning Engine'!D2314</f>
        <v>units</v>
      </c>
      <c r="E1060" s="276">
        <f>'Planning Engine'!E2314</f>
        <v>0</v>
      </c>
      <c r="F1060" s="276">
        <f>'Planning Engine'!F2314</f>
        <v>0</v>
      </c>
      <c r="G1060" s="276">
        <f>'Planning Engine'!G2314</f>
        <v>0</v>
      </c>
      <c r="H1060" s="276">
        <f t="shared" si="34"/>
        <v>0</v>
      </c>
      <c r="I1060" s="276">
        <f>'Planning Engine'!H2314</f>
        <v>0</v>
      </c>
      <c r="J1060" s="277">
        <f ca="1">'Planning Engine'!J2314</f>
        <v>0</v>
      </c>
      <c r="K1060" s="276">
        <f ca="1">'Planning Engine'!K2314</f>
        <v>0</v>
      </c>
      <c r="L1060" s="278" t="str">
        <f>'Planning Engine'!L2314</f>
        <v>High</v>
      </c>
      <c r="M1060" s="358">
        <f>'Planning Engine'!S2314</f>
        <v>50861</v>
      </c>
      <c r="N1060" s="276">
        <f>'Planning Engine'!T2314</f>
        <v>0</v>
      </c>
      <c r="O1060" s="359" cm="1">
        <f t="array" ref="O1060">IFERROR(SUMPRODUCT(('Planning Engine'!$B$4:$B$2500="47mg LP - EU Stock")*('Planning Engine'!$A$4:$A$2500='Planning Engine'!A2314)*'Planning Engine'!$U$4:$U$2500),"--")</f>
        <v>0</v>
      </c>
      <c r="P1060" s="278" t="str">
        <f t="shared" si="35"/>
        <v>⚠ Expedite production / source alternate</v>
      </c>
    </row>
    <row r="1061" spans="1:16" x14ac:dyDescent="0.35">
      <c r="A1061" s="360">
        <f>'Planning Engine'!A2315</f>
        <v>50983</v>
      </c>
      <c r="B1061" s="269" t="s">
        <v>960</v>
      </c>
      <c r="C1061" s="273" t="str">
        <f>'Planning Engine'!C2315</f>
        <v>Label/Pack</v>
      </c>
      <c r="D1061" s="273" t="str">
        <f>'Planning Engine'!D2315</f>
        <v>units</v>
      </c>
      <c r="E1061" s="271">
        <f>'Planning Engine'!E2315</f>
        <v>0</v>
      </c>
      <c r="F1061" s="271">
        <f>'Planning Engine'!F2315</f>
        <v>0</v>
      </c>
      <c r="G1061" s="271">
        <f>'Planning Engine'!G2315</f>
        <v>0</v>
      </c>
      <c r="H1061" s="271">
        <f t="shared" si="34"/>
        <v>0</v>
      </c>
      <c r="I1061" s="271">
        <f>'Planning Engine'!H2315</f>
        <v>0</v>
      </c>
      <c r="J1061" s="272">
        <f ca="1">'Planning Engine'!J2315</f>
        <v>0</v>
      </c>
      <c r="K1061" s="271">
        <f ca="1">'Planning Engine'!K2315</f>
        <v>0</v>
      </c>
      <c r="L1061" s="273" t="str">
        <f>'Planning Engine'!L2315</f>
        <v>High</v>
      </c>
      <c r="M1061" s="360">
        <f>'Planning Engine'!S2315</f>
        <v>50891</v>
      </c>
      <c r="N1061" s="271">
        <f>'Planning Engine'!T2315</f>
        <v>0</v>
      </c>
      <c r="O1061" s="361" cm="1">
        <f t="array" ref="O1061">IFERROR(SUMPRODUCT(('Planning Engine'!$B$4:$B$2500="47mg LP - EU Stock")*('Planning Engine'!$A$4:$A$2500='Planning Engine'!A2315)*'Planning Engine'!$U$4:$U$2500),"--")</f>
        <v>0</v>
      </c>
      <c r="P1061" s="273" t="str">
        <f t="shared" si="35"/>
        <v>⚠ Expedite production / source alternate</v>
      </c>
    </row>
    <row r="1062" spans="1:16" x14ac:dyDescent="0.35">
      <c r="A1062" s="358">
        <f>'Planning Engine'!A2316</f>
        <v>51014</v>
      </c>
      <c r="B1062" s="274" t="s">
        <v>960</v>
      </c>
      <c r="C1062" s="278" t="str">
        <f>'Planning Engine'!C2316</f>
        <v>Label/Pack</v>
      </c>
      <c r="D1062" s="278" t="str">
        <f>'Planning Engine'!D2316</f>
        <v>units</v>
      </c>
      <c r="E1062" s="276">
        <f>'Planning Engine'!E2316</f>
        <v>0</v>
      </c>
      <c r="F1062" s="276">
        <f>'Planning Engine'!F2316</f>
        <v>0</v>
      </c>
      <c r="G1062" s="276">
        <f>'Planning Engine'!G2316</f>
        <v>0</v>
      </c>
      <c r="H1062" s="276">
        <f t="shared" si="34"/>
        <v>0</v>
      </c>
      <c r="I1062" s="276">
        <f>'Planning Engine'!H2316</f>
        <v>0</v>
      </c>
      <c r="J1062" s="277">
        <f ca="1">'Planning Engine'!J2316</f>
        <v>0</v>
      </c>
      <c r="K1062" s="276">
        <f ca="1">'Planning Engine'!K2316</f>
        <v>0</v>
      </c>
      <c r="L1062" s="278" t="str">
        <f>'Planning Engine'!L2316</f>
        <v>High</v>
      </c>
      <c r="M1062" s="358">
        <f>'Planning Engine'!S2316</f>
        <v>50922</v>
      </c>
      <c r="N1062" s="276">
        <f>'Planning Engine'!T2316</f>
        <v>0</v>
      </c>
      <c r="O1062" s="359" cm="1">
        <f t="array" ref="O1062">IFERROR(SUMPRODUCT(('Planning Engine'!$B$4:$B$2500="47mg LP - EU Stock")*('Planning Engine'!$A$4:$A$2500='Planning Engine'!A2316)*'Planning Engine'!$U$4:$U$2500),"--")</f>
        <v>0</v>
      </c>
      <c r="P1062" s="278" t="str">
        <f t="shared" si="35"/>
        <v>⚠ Expedite production / source alternate</v>
      </c>
    </row>
    <row r="1063" spans="1:16" x14ac:dyDescent="0.35">
      <c r="A1063" s="360">
        <f>'Planning Engine'!A2317</f>
        <v>51044</v>
      </c>
      <c r="B1063" s="269" t="s">
        <v>960</v>
      </c>
      <c r="C1063" s="273" t="str">
        <f>'Planning Engine'!C2317</f>
        <v>Label/Pack</v>
      </c>
      <c r="D1063" s="273" t="str">
        <f>'Planning Engine'!D2317</f>
        <v>units</v>
      </c>
      <c r="E1063" s="271">
        <f>'Planning Engine'!E2317</f>
        <v>0</v>
      </c>
      <c r="F1063" s="271">
        <f>'Planning Engine'!F2317</f>
        <v>0</v>
      </c>
      <c r="G1063" s="271">
        <f>'Planning Engine'!G2317</f>
        <v>0</v>
      </c>
      <c r="H1063" s="271">
        <f t="shared" si="34"/>
        <v>0</v>
      </c>
      <c r="I1063" s="271">
        <f>'Planning Engine'!H2317</f>
        <v>0</v>
      </c>
      <c r="J1063" s="272">
        <f ca="1">'Planning Engine'!J2317</f>
        <v>0</v>
      </c>
      <c r="K1063" s="271">
        <f ca="1">'Planning Engine'!K2317</f>
        <v>0</v>
      </c>
      <c r="L1063" s="273" t="str">
        <f>'Planning Engine'!L2317</f>
        <v>High</v>
      </c>
      <c r="M1063" s="360">
        <f>'Planning Engine'!S2317</f>
        <v>50952</v>
      </c>
      <c r="N1063" s="271">
        <f>'Planning Engine'!T2317</f>
        <v>0</v>
      </c>
      <c r="O1063" s="361" cm="1">
        <f t="array" ref="O1063">IFERROR(SUMPRODUCT(('Planning Engine'!$B$4:$B$2500="47mg LP - EU Stock")*('Planning Engine'!$A$4:$A$2500='Planning Engine'!A2317)*'Planning Engine'!$U$4:$U$2500),"--")</f>
        <v>0</v>
      </c>
      <c r="P1063" s="273" t="str">
        <f t="shared" si="35"/>
        <v>⚠ Expedite production / source alternate</v>
      </c>
    </row>
    <row r="1064" spans="1:16" x14ac:dyDescent="0.35">
      <c r="A1064" s="358">
        <f>'Planning Engine'!A2318</f>
        <v>51075</v>
      </c>
      <c r="B1064" s="274" t="s">
        <v>960</v>
      </c>
      <c r="C1064" s="278" t="str">
        <f>'Planning Engine'!C2318</f>
        <v>Label/Pack</v>
      </c>
      <c r="D1064" s="278" t="str">
        <f>'Planning Engine'!D2318</f>
        <v>units</v>
      </c>
      <c r="E1064" s="276">
        <f>'Planning Engine'!E2318</f>
        <v>0</v>
      </c>
      <c r="F1064" s="276">
        <f>'Planning Engine'!F2318</f>
        <v>0</v>
      </c>
      <c r="G1064" s="276">
        <f>'Planning Engine'!G2318</f>
        <v>0</v>
      </c>
      <c r="H1064" s="276">
        <f t="shared" si="34"/>
        <v>0</v>
      </c>
      <c r="I1064" s="276">
        <f>'Planning Engine'!H2318</f>
        <v>0</v>
      </c>
      <c r="J1064" s="277">
        <f ca="1">'Planning Engine'!J2318</f>
        <v>0</v>
      </c>
      <c r="K1064" s="276">
        <f ca="1">'Planning Engine'!K2318</f>
        <v>0</v>
      </c>
      <c r="L1064" s="278" t="str">
        <f>'Planning Engine'!L2318</f>
        <v>High</v>
      </c>
      <c r="M1064" s="358">
        <f>'Planning Engine'!S2318</f>
        <v>50983</v>
      </c>
      <c r="N1064" s="276">
        <f>'Planning Engine'!T2318</f>
        <v>0</v>
      </c>
      <c r="O1064" s="359" cm="1">
        <f t="array" ref="O1064">IFERROR(SUMPRODUCT(('Planning Engine'!$B$4:$B$2500="47mg LP - EU Stock")*('Planning Engine'!$A$4:$A$2500='Planning Engine'!A2318)*'Planning Engine'!$U$4:$U$2500),"--")</f>
        <v>0</v>
      </c>
      <c r="P1064" s="278" t="str">
        <f t="shared" si="35"/>
        <v>⚠ Expedite production / source alternate</v>
      </c>
    </row>
    <row r="1065" spans="1:16" x14ac:dyDescent="0.35">
      <c r="A1065" s="360">
        <f>'Planning Engine'!A2319</f>
        <v>51105</v>
      </c>
      <c r="B1065" s="269" t="s">
        <v>960</v>
      </c>
      <c r="C1065" s="273" t="str">
        <f>'Planning Engine'!C2319</f>
        <v>Label/Pack</v>
      </c>
      <c r="D1065" s="273" t="str">
        <f>'Planning Engine'!D2319</f>
        <v>units</v>
      </c>
      <c r="E1065" s="271">
        <f>'Planning Engine'!E2319</f>
        <v>0</v>
      </c>
      <c r="F1065" s="271">
        <f>'Planning Engine'!F2319</f>
        <v>0</v>
      </c>
      <c r="G1065" s="271">
        <f>'Planning Engine'!G2319</f>
        <v>0</v>
      </c>
      <c r="H1065" s="271">
        <f t="shared" si="34"/>
        <v>0</v>
      </c>
      <c r="I1065" s="271">
        <f>'Planning Engine'!H2319</f>
        <v>0</v>
      </c>
      <c r="J1065" s="272">
        <f ca="1">'Planning Engine'!J2319</f>
        <v>0</v>
      </c>
      <c r="K1065" s="271">
        <f ca="1">'Planning Engine'!K2319</f>
        <v>0</v>
      </c>
      <c r="L1065" s="273" t="str">
        <f>'Planning Engine'!L2319</f>
        <v>High</v>
      </c>
      <c r="M1065" s="360">
        <f>'Planning Engine'!S2319</f>
        <v>51014</v>
      </c>
      <c r="N1065" s="271">
        <f>'Planning Engine'!T2319</f>
        <v>0</v>
      </c>
      <c r="O1065" s="361" cm="1">
        <f t="array" ref="O1065">IFERROR(SUMPRODUCT(('Planning Engine'!$B$4:$B$2500="47mg LP - EU Stock")*('Planning Engine'!$A$4:$A$2500='Planning Engine'!A2319)*'Planning Engine'!$U$4:$U$2500),"--")</f>
        <v>0</v>
      </c>
      <c r="P1065" s="273" t="str">
        <f t="shared" si="35"/>
        <v>⚠ Expedite production / source alternate</v>
      </c>
    </row>
    <row r="1066" spans="1:16" x14ac:dyDescent="0.35">
      <c r="A1066" s="358">
        <f>'Planning Engine'!A2320</f>
        <v>51136</v>
      </c>
      <c r="B1066" s="274" t="s">
        <v>960</v>
      </c>
      <c r="C1066" s="278" t="str">
        <f>'Planning Engine'!C2320</f>
        <v>Label/Pack</v>
      </c>
      <c r="D1066" s="278" t="str">
        <f>'Planning Engine'!D2320</f>
        <v>units</v>
      </c>
      <c r="E1066" s="276">
        <f>'Planning Engine'!E2320</f>
        <v>0</v>
      </c>
      <c r="F1066" s="276">
        <f>'Planning Engine'!F2320</f>
        <v>0</v>
      </c>
      <c r="G1066" s="276">
        <f>'Planning Engine'!G2320</f>
        <v>0</v>
      </c>
      <c r="H1066" s="276">
        <f t="shared" si="34"/>
        <v>0</v>
      </c>
      <c r="I1066" s="276">
        <f>'Planning Engine'!H2320</f>
        <v>0</v>
      </c>
      <c r="J1066" s="277">
        <f ca="1">'Planning Engine'!J2320</f>
        <v>0</v>
      </c>
      <c r="K1066" s="276">
        <f ca="1">'Planning Engine'!K2320</f>
        <v>0</v>
      </c>
      <c r="L1066" s="278" t="str">
        <f>'Planning Engine'!L2320</f>
        <v>High</v>
      </c>
      <c r="M1066" s="358">
        <f>'Planning Engine'!S2320</f>
        <v>51044</v>
      </c>
      <c r="N1066" s="276">
        <f>'Planning Engine'!T2320</f>
        <v>0</v>
      </c>
      <c r="O1066" s="359" cm="1">
        <f t="array" ref="O1066">IFERROR(SUMPRODUCT(('Planning Engine'!$B$4:$B$2500="47mg LP - EU Stock")*('Planning Engine'!$A$4:$A$2500='Planning Engine'!A2320)*'Planning Engine'!$U$4:$U$2500),"--")</f>
        <v>0</v>
      </c>
      <c r="P1066" s="278" t="str">
        <f t="shared" si="35"/>
        <v>⚠ Expedite production / source alternate</v>
      </c>
    </row>
    <row r="1067" spans="1:16" x14ac:dyDescent="0.35">
      <c r="A1067" s="360">
        <f>'Planning Engine'!A2321</f>
        <v>51167</v>
      </c>
      <c r="B1067" s="269" t="s">
        <v>960</v>
      </c>
      <c r="C1067" s="273" t="str">
        <f>'Planning Engine'!C2321</f>
        <v>Label/Pack</v>
      </c>
      <c r="D1067" s="273" t="str">
        <f>'Planning Engine'!D2321</f>
        <v>units</v>
      </c>
      <c r="E1067" s="271">
        <f>'Planning Engine'!E2321</f>
        <v>0</v>
      </c>
      <c r="F1067" s="271">
        <f>'Planning Engine'!F2321</f>
        <v>0</v>
      </c>
      <c r="G1067" s="271">
        <f>'Planning Engine'!G2321</f>
        <v>0</v>
      </c>
      <c r="H1067" s="271">
        <f t="shared" si="34"/>
        <v>0</v>
      </c>
      <c r="I1067" s="271">
        <f>'Planning Engine'!H2321</f>
        <v>0</v>
      </c>
      <c r="J1067" s="272">
        <f ca="1">'Planning Engine'!J2321</f>
        <v>0</v>
      </c>
      <c r="K1067" s="271">
        <f ca="1">'Planning Engine'!K2321</f>
        <v>0</v>
      </c>
      <c r="L1067" s="273" t="str">
        <f>'Planning Engine'!L2321</f>
        <v>High</v>
      </c>
      <c r="M1067" s="360">
        <f>'Planning Engine'!S2321</f>
        <v>51075</v>
      </c>
      <c r="N1067" s="271">
        <f>'Planning Engine'!T2321</f>
        <v>0</v>
      </c>
      <c r="O1067" s="361" cm="1">
        <f t="array" ref="O1067">IFERROR(SUMPRODUCT(('Planning Engine'!$B$4:$B$2500="47mg LP - EU Stock")*('Planning Engine'!$A$4:$A$2500='Planning Engine'!A2321)*'Planning Engine'!$U$4:$U$2500),"--")</f>
        <v>0</v>
      </c>
      <c r="P1067" s="273" t="str">
        <f t="shared" si="35"/>
        <v>⚠ Expedite production / source alternate</v>
      </c>
    </row>
    <row r="1068" spans="1:16" x14ac:dyDescent="0.35">
      <c r="A1068" s="358">
        <f>'Planning Engine'!A2322</f>
        <v>51196</v>
      </c>
      <c r="B1068" s="274" t="s">
        <v>960</v>
      </c>
      <c r="C1068" s="278" t="str">
        <f>'Planning Engine'!C2322</f>
        <v>Label/Pack</v>
      </c>
      <c r="D1068" s="278" t="str">
        <f>'Planning Engine'!D2322</f>
        <v>units</v>
      </c>
      <c r="E1068" s="276">
        <f>'Planning Engine'!E2322</f>
        <v>0</v>
      </c>
      <c r="F1068" s="276">
        <f>'Planning Engine'!F2322</f>
        <v>0</v>
      </c>
      <c r="G1068" s="276">
        <f>'Planning Engine'!G2322</f>
        <v>0</v>
      </c>
      <c r="H1068" s="276">
        <f t="shared" si="34"/>
        <v>0</v>
      </c>
      <c r="I1068" s="276">
        <f>'Planning Engine'!H2322</f>
        <v>0</v>
      </c>
      <c r="J1068" s="277">
        <f ca="1">'Planning Engine'!J2322</f>
        <v>0</v>
      </c>
      <c r="K1068" s="276">
        <f ca="1">'Planning Engine'!K2322</f>
        <v>0</v>
      </c>
      <c r="L1068" s="278" t="str">
        <f>'Planning Engine'!L2322</f>
        <v>High</v>
      </c>
      <c r="M1068" s="358">
        <f>'Planning Engine'!S2322</f>
        <v>51105</v>
      </c>
      <c r="N1068" s="276">
        <f>'Planning Engine'!T2322</f>
        <v>0</v>
      </c>
      <c r="O1068" s="359" cm="1">
        <f t="array" ref="O1068">IFERROR(SUMPRODUCT(('Planning Engine'!$B$4:$B$2500="47mg LP - EU Stock")*('Planning Engine'!$A$4:$A$2500='Planning Engine'!A2322)*'Planning Engine'!$U$4:$U$2500),"--")</f>
        <v>0</v>
      </c>
      <c r="P1068" s="278" t="str">
        <f t="shared" si="35"/>
        <v>⚠ Expedite production / source alternate</v>
      </c>
    </row>
    <row r="1069" spans="1:16" x14ac:dyDescent="0.35">
      <c r="A1069" s="360">
        <f>'Planning Engine'!A2323</f>
        <v>51227</v>
      </c>
      <c r="B1069" s="269" t="s">
        <v>960</v>
      </c>
      <c r="C1069" s="273" t="str">
        <f>'Planning Engine'!C2323</f>
        <v>Label/Pack</v>
      </c>
      <c r="D1069" s="273" t="str">
        <f>'Planning Engine'!D2323</f>
        <v>units</v>
      </c>
      <c r="E1069" s="271">
        <f>'Planning Engine'!E2323</f>
        <v>0</v>
      </c>
      <c r="F1069" s="271">
        <f>'Planning Engine'!F2323</f>
        <v>0</v>
      </c>
      <c r="G1069" s="271">
        <f>'Planning Engine'!G2323</f>
        <v>0</v>
      </c>
      <c r="H1069" s="271">
        <f t="shared" si="34"/>
        <v>0</v>
      </c>
      <c r="I1069" s="271">
        <f>'Planning Engine'!H2323</f>
        <v>0</v>
      </c>
      <c r="J1069" s="272">
        <f ca="1">'Planning Engine'!J2323</f>
        <v>0</v>
      </c>
      <c r="K1069" s="271">
        <f ca="1">'Planning Engine'!K2323</f>
        <v>0</v>
      </c>
      <c r="L1069" s="273" t="str">
        <f>'Planning Engine'!L2323</f>
        <v>High</v>
      </c>
      <c r="M1069" s="360">
        <f>'Planning Engine'!S2323</f>
        <v>51136</v>
      </c>
      <c r="N1069" s="271">
        <f>'Planning Engine'!T2323</f>
        <v>0</v>
      </c>
      <c r="O1069" s="361" cm="1">
        <f t="array" ref="O1069">IFERROR(SUMPRODUCT(('Planning Engine'!$B$4:$B$2500="47mg LP - EU Stock")*('Planning Engine'!$A$4:$A$2500='Planning Engine'!A2323)*'Planning Engine'!$U$4:$U$2500),"--")</f>
        <v>0</v>
      </c>
      <c r="P1069" s="273" t="str">
        <f t="shared" si="35"/>
        <v>⚠ Expedite production / source alternate</v>
      </c>
    </row>
    <row r="1070" spans="1:16" x14ac:dyDescent="0.35">
      <c r="A1070" s="358">
        <f>'Planning Engine'!A2324</f>
        <v>51257</v>
      </c>
      <c r="B1070" s="274" t="s">
        <v>960</v>
      </c>
      <c r="C1070" s="278" t="str">
        <f>'Planning Engine'!C2324</f>
        <v>Label/Pack</v>
      </c>
      <c r="D1070" s="278" t="str">
        <f>'Planning Engine'!D2324</f>
        <v>units</v>
      </c>
      <c r="E1070" s="276">
        <f>'Planning Engine'!E2324</f>
        <v>0</v>
      </c>
      <c r="F1070" s="276">
        <f>'Planning Engine'!F2324</f>
        <v>0</v>
      </c>
      <c r="G1070" s="276">
        <f>'Planning Engine'!G2324</f>
        <v>0</v>
      </c>
      <c r="H1070" s="276">
        <f t="shared" si="34"/>
        <v>0</v>
      </c>
      <c r="I1070" s="276">
        <f>'Planning Engine'!H2324</f>
        <v>0</v>
      </c>
      <c r="J1070" s="277">
        <f ca="1">'Planning Engine'!J2324</f>
        <v>0</v>
      </c>
      <c r="K1070" s="276">
        <f ca="1">'Planning Engine'!K2324</f>
        <v>0</v>
      </c>
      <c r="L1070" s="278" t="str">
        <f>'Planning Engine'!L2324</f>
        <v>High</v>
      </c>
      <c r="M1070" s="358">
        <f>'Planning Engine'!S2324</f>
        <v>51167</v>
      </c>
      <c r="N1070" s="276">
        <f>'Planning Engine'!T2324</f>
        <v>0</v>
      </c>
      <c r="O1070" s="359" cm="1">
        <f t="array" ref="O1070">IFERROR(SUMPRODUCT(('Planning Engine'!$B$4:$B$2500="47mg LP - EU Stock")*('Planning Engine'!$A$4:$A$2500='Planning Engine'!A2324)*'Planning Engine'!$U$4:$U$2500),"--")</f>
        <v>0</v>
      </c>
      <c r="P1070" s="278" t="str">
        <f t="shared" si="35"/>
        <v>⚠ Expedite production / source alternate</v>
      </c>
    </row>
    <row r="1071" spans="1:16" x14ac:dyDescent="0.35">
      <c r="A1071" s="360">
        <f>'Planning Engine'!A2325</f>
        <v>51288</v>
      </c>
      <c r="B1071" s="269" t="s">
        <v>960</v>
      </c>
      <c r="C1071" s="273" t="str">
        <f>'Planning Engine'!C2325</f>
        <v>Label/Pack</v>
      </c>
      <c r="D1071" s="273" t="str">
        <f>'Planning Engine'!D2325</f>
        <v>units</v>
      </c>
      <c r="E1071" s="271">
        <f>'Planning Engine'!E2325</f>
        <v>0</v>
      </c>
      <c r="F1071" s="271">
        <f>'Planning Engine'!F2325</f>
        <v>0</v>
      </c>
      <c r="G1071" s="271">
        <f>'Planning Engine'!G2325</f>
        <v>0</v>
      </c>
      <c r="H1071" s="271">
        <f t="shared" si="34"/>
        <v>0</v>
      </c>
      <c r="I1071" s="271">
        <f>'Planning Engine'!H2325</f>
        <v>0</v>
      </c>
      <c r="J1071" s="272">
        <f ca="1">'Planning Engine'!J2325</f>
        <v>0</v>
      </c>
      <c r="K1071" s="271">
        <f ca="1">'Planning Engine'!K2325</f>
        <v>0</v>
      </c>
      <c r="L1071" s="273" t="str">
        <f>'Planning Engine'!L2325</f>
        <v>High</v>
      </c>
      <c r="M1071" s="360">
        <f>'Planning Engine'!S2325</f>
        <v>51196</v>
      </c>
      <c r="N1071" s="271">
        <f>'Planning Engine'!T2325</f>
        <v>0</v>
      </c>
      <c r="O1071" s="361" cm="1">
        <f t="array" ref="O1071">IFERROR(SUMPRODUCT(('Planning Engine'!$B$4:$B$2500="47mg LP - EU Stock")*('Planning Engine'!$A$4:$A$2500='Planning Engine'!A2325)*'Planning Engine'!$U$4:$U$2500),"--")</f>
        <v>0</v>
      </c>
      <c r="P1071" s="273" t="str">
        <f t="shared" si="35"/>
        <v>⚠ Expedite production / source alternate</v>
      </c>
    </row>
    <row r="1072" spans="1:16" x14ac:dyDescent="0.35">
      <c r="A1072" s="358">
        <f>'Planning Engine'!A2326</f>
        <v>51318</v>
      </c>
      <c r="B1072" s="274" t="s">
        <v>960</v>
      </c>
      <c r="C1072" s="278" t="str">
        <f>'Planning Engine'!C2326</f>
        <v>Label/Pack</v>
      </c>
      <c r="D1072" s="278" t="str">
        <f>'Planning Engine'!D2326</f>
        <v>units</v>
      </c>
      <c r="E1072" s="276">
        <f>'Planning Engine'!E2326</f>
        <v>0</v>
      </c>
      <c r="F1072" s="276">
        <f>'Planning Engine'!F2326</f>
        <v>0</v>
      </c>
      <c r="G1072" s="276">
        <f>'Planning Engine'!G2326</f>
        <v>0</v>
      </c>
      <c r="H1072" s="276">
        <f t="shared" si="34"/>
        <v>0</v>
      </c>
      <c r="I1072" s="276">
        <f>'Planning Engine'!H2326</f>
        <v>0</v>
      </c>
      <c r="J1072" s="277">
        <f ca="1">'Planning Engine'!J2326</f>
        <v>0</v>
      </c>
      <c r="K1072" s="276">
        <f ca="1">'Planning Engine'!K2326</f>
        <v>0</v>
      </c>
      <c r="L1072" s="278" t="str">
        <f>'Planning Engine'!L2326</f>
        <v>High</v>
      </c>
      <c r="M1072" s="358">
        <f>'Planning Engine'!S2326</f>
        <v>51227</v>
      </c>
      <c r="N1072" s="276">
        <f>'Planning Engine'!T2326</f>
        <v>0</v>
      </c>
      <c r="O1072" s="359" cm="1">
        <f t="array" ref="O1072">IFERROR(SUMPRODUCT(('Planning Engine'!$B$4:$B$2500="47mg LP - EU Stock")*('Planning Engine'!$A$4:$A$2500='Planning Engine'!A2326)*'Planning Engine'!$U$4:$U$2500),"--")</f>
        <v>0</v>
      </c>
      <c r="P1072" s="278" t="str">
        <f t="shared" si="35"/>
        <v>⚠ Expedite production / source alternate</v>
      </c>
    </row>
    <row r="1073" spans="1:16" x14ac:dyDescent="0.35">
      <c r="A1073" s="360">
        <f>'Planning Engine'!A2327</f>
        <v>51349</v>
      </c>
      <c r="B1073" s="269" t="s">
        <v>960</v>
      </c>
      <c r="C1073" s="273" t="str">
        <f>'Planning Engine'!C2327</f>
        <v>Label/Pack</v>
      </c>
      <c r="D1073" s="273" t="str">
        <f>'Planning Engine'!D2327</f>
        <v>units</v>
      </c>
      <c r="E1073" s="271">
        <f>'Planning Engine'!E2327</f>
        <v>0</v>
      </c>
      <c r="F1073" s="271">
        <f>'Planning Engine'!F2327</f>
        <v>0</v>
      </c>
      <c r="G1073" s="271">
        <f>'Planning Engine'!G2327</f>
        <v>0</v>
      </c>
      <c r="H1073" s="271">
        <f t="shared" si="34"/>
        <v>0</v>
      </c>
      <c r="I1073" s="271">
        <f>'Planning Engine'!H2327</f>
        <v>0</v>
      </c>
      <c r="J1073" s="272">
        <f ca="1">'Planning Engine'!J2327</f>
        <v>0</v>
      </c>
      <c r="K1073" s="271">
        <f ca="1">'Planning Engine'!K2327</f>
        <v>0</v>
      </c>
      <c r="L1073" s="273" t="str">
        <f>'Planning Engine'!L2327</f>
        <v>High</v>
      </c>
      <c r="M1073" s="360">
        <f>'Planning Engine'!S2327</f>
        <v>51257</v>
      </c>
      <c r="N1073" s="271">
        <f>'Planning Engine'!T2327</f>
        <v>0</v>
      </c>
      <c r="O1073" s="361" cm="1">
        <f t="array" ref="O1073">IFERROR(SUMPRODUCT(('Planning Engine'!$B$4:$B$2500="47mg LP - EU Stock")*('Planning Engine'!$A$4:$A$2500='Planning Engine'!A2327)*'Planning Engine'!$U$4:$U$2500),"--")</f>
        <v>0</v>
      </c>
      <c r="P1073" s="273" t="str">
        <f t="shared" si="35"/>
        <v>⚠ Expedite production / source alternate</v>
      </c>
    </row>
    <row r="1074" spans="1:16" x14ac:dyDescent="0.35">
      <c r="A1074" s="358">
        <f>'Planning Engine'!A2328</f>
        <v>51380</v>
      </c>
      <c r="B1074" s="274" t="s">
        <v>960</v>
      </c>
      <c r="C1074" s="278" t="str">
        <f>'Planning Engine'!C2328</f>
        <v>Label/Pack</v>
      </c>
      <c r="D1074" s="278" t="str">
        <f>'Planning Engine'!D2328</f>
        <v>units</v>
      </c>
      <c r="E1074" s="276">
        <f>'Planning Engine'!E2328</f>
        <v>0</v>
      </c>
      <c r="F1074" s="276">
        <f>'Planning Engine'!F2328</f>
        <v>0</v>
      </c>
      <c r="G1074" s="276">
        <f>'Planning Engine'!G2328</f>
        <v>0</v>
      </c>
      <c r="H1074" s="276">
        <f t="shared" si="34"/>
        <v>0</v>
      </c>
      <c r="I1074" s="276">
        <f>'Planning Engine'!H2328</f>
        <v>0</v>
      </c>
      <c r="J1074" s="277">
        <f ca="1">'Planning Engine'!J2328</f>
        <v>0</v>
      </c>
      <c r="K1074" s="276">
        <f ca="1">'Planning Engine'!K2328</f>
        <v>0</v>
      </c>
      <c r="L1074" s="278" t="str">
        <f>'Planning Engine'!L2328</f>
        <v>High</v>
      </c>
      <c r="M1074" s="358">
        <f>'Planning Engine'!S2328</f>
        <v>51288</v>
      </c>
      <c r="N1074" s="276">
        <f>'Planning Engine'!T2328</f>
        <v>0</v>
      </c>
      <c r="O1074" s="359" cm="1">
        <f t="array" ref="O1074">IFERROR(SUMPRODUCT(('Planning Engine'!$B$4:$B$2500="47mg LP - EU Stock")*('Planning Engine'!$A$4:$A$2500='Planning Engine'!A2328)*'Planning Engine'!$U$4:$U$2500),"--")</f>
        <v>0</v>
      </c>
      <c r="P1074" s="278" t="str">
        <f t="shared" si="35"/>
        <v>⚠ Expedite production / source alternate</v>
      </c>
    </row>
    <row r="1075" spans="1:16" x14ac:dyDescent="0.35">
      <c r="A1075" s="360">
        <f>'Planning Engine'!A2329</f>
        <v>51410</v>
      </c>
      <c r="B1075" s="269" t="s">
        <v>960</v>
      </c>
      <c r="C1075" s="273" t="str">
        <f>'Planning Engine'!C2329</f>
        <v>Label/Pack</v>
      </c>
      <c r="D1075" s="273" t="str">
        <f>'Planning Engine'!D2329</f>
        <v>units</v>
      </c>
      <c r="E1075" s="271">
        <f>'Planning Engine'!E2329</f>
        <v>0</v>
      </c>
      <c r="F1075" s="271">
        <f>'Planning Engine'!F2329</f>
        <v>0</v>
      </c>
      <c r="G1075" s="271">
        <f>'Planning Engine'!G2329</f>
        <v>0</v>
      </c>
      <c r="H1075" s="271">
        <f t="shared" si="34"/>
        <v>0</v>
      </c>
      <c r="I1075" s="271">
        <f>'Planning Engine'!H2329</f>
        <v>0</v>
      </c>
      <c r="J1075" s="272">
        <f ca="1">'Planning Engine'!J2329</f>
        <v>0</v>
      </c>
      <c r="K1075" s="271">
        <f ca="1">'Planning Engine'!K2329</f>
        <v>0</v>
      </c>
      <c r="L1075" s="273" t="str">
        <f>'Planning Engine'!L2329</f>
        <v>High</v>
      </c>
      <c r="M1075" s="360">
        <f>'Planning Engine'!S2329</f>
        <v>51318</v>
      </c>
      <c r="N1075" s="271">
        <f>'Planning Engine'!T2329</f>
        <v>0</v>
      </c>
      <c r="O1075" s="361" cm="1">
        <f t="array" ref="O1075">IFERROR(SUMPRODUCT(('Planning Engine'!$B$4:$B$2500="47mg LP - EU Stock")*('Planning Engine'!$A$4:$A$2500='Planning Engine'!A2329)*'Planning Engine'!$U$4:$U$2500),"--")</f>
        <v>0</v>
      </c>
      <c r="P1075" s="273" t="str">
        <f t="shared" si="35"/>
        <v>⚠ Expedite production / source alternate</v>
      </c>
    </row>
    <row r="1076" spans="1:16" x14ac:dyDescent="0.35">
      <c r="A1076" s="358">
        <f>'Planning Engine'!A2330</f>
        <v>51441</v>
      </c>
      <c r="B1076" s="274" t="s">
        <v>960</v>
      </c>
      <c r="C1076" s="278" t="str">
        <f>'Planning Engine'!C2330</f>
        <v>Label/Pack</v>
      </c>
      <c r="D1076" s="278" t="str">
        <f>'Planning Engine'!D2330</f>
        <v>units</v>
      </c>
      <c r="E1076" s="276">
        <f>'Planning Engine'!E2330</f>
        <v>0</v>
      </c>
      <c r="F1076" s="276">
        <f>'Planning Engine'!F2330</f>
        <v>0</v>
      </c>
      <c r="G1076" s="276">
        <f>'Planning Engine'!G2330</f>
        <v>0</v>
      </c>
      <c r="H1076" s="276">
        <f t="shared" si="34"/>
        <v>0</v>
      </c>
      <c r="I1076" s="276">
        <f>'Planning Engine'!H2330</f>
        <v>0</v>
      </c>
      <c r="J1076" s="277">
        <f ca="1">'Planning Engine'!J2330</f>
        <v>0</v>
      </c>
      <c r="K1076" s="276">
        <f ca="1">'Planning Engine'!K2330</f>
        <v>0</v>
      </c>
      <c r="L1076" s="278" t="str">
        <f>'Planning Engine'!L2330</f>
        <v>High</v>
      </c>
      <c r="M1076" s="358">
        <f>'Planning Engine'!S2330</f>
        <v>51349</v>
      </c>
      <c r="N1076" s="276">
        <f>'Planning Engine'!T2330</f>
        <v>0</v>
      </c>
      <c r="O1076" s="359" cm="1">
        <f t="array" ref="O1076">IFERROR(SUMPRODUCT(('Planning Engine'!$B$4:$B$2500="47mg LP - EU Stock")*('Planning Engine'!$A$4:$A$2500='Planning Engine'!A2330)*'Planning Engine'!$U$4:$U$2500),"--")</f>
        <v>0</v>
      </c>
      <c r="P1076" s="278" t="str">
        <f t="shared" si="35"/>
        <v>⚠ Expedite production / source alternate</v>
      </c>
    </row>
    <row r="1077" spans="1:16" x14ac:dyDescent="0.35">
      <c r="A1077" s="360">
        <f>'Planning Engine'!A2331</f>
        <v>51471</v>
      </c>
      <c r="B1077" s="269" t="s">
        <v>960</v>
      </c>
      <c r="C1077" s="273" t="str">
        <f>'Planning Engine'!C2331</f>
        <v>Label/Pack</v>
      </c>
      <c r="D1077" s="273" t="str">
        <f>'Planning Engine'!D2331</f>
        <v>units</v>
      </c>
      <c r="E1077" s="271">
        <f>'Planning Engine'!E2331</f>
        <v>0</v>
      </c>
      <c r="F1077" s="271">
        <f>'Planning Engine'!F2331</f>
        <v>0</v>
      </c>
      <c r="G1077" s="271">
        <f>'Planning Engine'!G2331</f>
        <v>0</v>
      </c>
      <c r="H1077" s="271">
        <f t="shared" si="34"/>
        <v>0</v>
      </c>
      <c r="I1077" s="271">
        <f>'Planning Engine'!H2331</f>
        <v>0</v>
      </c>
      <c r="J1077" s="272">
        <f ca="1">'Planning Engine'!J2331</f>
        <v>0</v>
      </c>
      <c r="K1077" s="271">
        <f ca="1">'Planning Engine'!K2331</f>
        <v>0</v>
      </c>
      <c r="L1077" s="273" t="str">
        <f>'Planning Engine'!L2331</f>
        <v>High</v>
      </c>
      <c r="M1077" s="360">
        <f>'Planning Engine'!S2331</f>
        <v>51380</v>
      </c>
      <c r="N1077" s="271">
        <f>'Planning Engine'!T2331</f>
        <v>0</v>
      </c>
      <c r="O1077" s="361" cm="1">
        <f t="array" ref="O1077">IFERROR(SUMPRODUCT(('Planning Engine'!$B$4:$B$2500="47mg LP - EU Stock")*('Planning Engine'!$A$4:$A$2500='Planning Engine'!A2331)*'Planning Engine'!$U$4:$U$2500),"--")</f>
        <v>0</v>
      </c>
      <c r="P1077" s="273" t="str">
        <f t="shared" si="35"/>
        <v>⚠ Expedite production / source alternate</v>
      </c>
    </row>
  </sheetData>
  <mergeCells count="2">
    <mergeCell ref="A1:P1"/>
    <mergeCell ref="A2:P2"/>
  </mergeCells>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dimension ref="A1:P1077"/>
  <sheetViews>
    <sheetView showGridLines="0" zoomScale="70" zoomScaleNormal="70" workbookViewId="0">
      <pane xSplit="4" ySplit="3" topLeftCell="E4" activePane="bottomRight" state="frozen"/>
      <selection pane="topRight"/>
      <selection pane="bottomLeft"/>
      <selection pane="bottomRight" activeCell="B1077" sqref="B1077"/>
    </sheetView>
  </sheetViews>
  <sheetFormatPr defaultRowHeight="14.5" x14ac:dyDescent="0.35"/>
  <cols>
    <col min="1" max="1" width="13" customWidth="1"/>
    <col min="2" max="2" width="16" customWidth="1"/>
    <col min="3" max="3" width="14" customWidth="1"/>
    <col min="4" max="4" width="8" customWidth="1"/>
    <col min="5" max="5" width="16" customWidth="1"/>
    <col min="6" max="6" width="12" customWidth="1"/>
    <col min="7" max="7" width="16" customWidth="1"/>
    <col min="8" max="8" width="12" customWidth="1"/>
    <col min="9" max="9" width="16" customWidth="1"/>
    <col min="10" max="10" width="10" customWidth="1"/>
    <col min="11" max="11" width="16" customWidth="1"/>
    <col min="12" max="12" width="13" customWidth="1"/>
    <col min="13" max="13" width="14" customWidth="1"/>
    <col min="14" max="14" width="12" customWidth="1"/>
    <col min="15" max="15" width="14" customWidth="1"/>
    <col min="16" max="16" width="24" customWidth="1"/>
  </cols>
  <sheetData>
    <row r="1" spans="1:16" ht="20" customHeight="1" x14ac:dyDescent="0.35">
      <c r="A1" s="396" t="s">
        <v>559</v>
      </c>
      <c r="B1" s="395"/>
      <c r="C1" s="395"/>
      <c r="D1" s="395"/>
      <c r="E1" s="395"/>
      <c r="F1" s="395"/>
      <c r="G1" s="395"/>
      <c r="H1" s="395"/>
      <c r="I1" s="395"/>
      <c r="J1" s="395"/>
      <c r="K1" s="395"/>
      <c r="L1" s="395"/>
      <c r="M1" s="395"/>
      <c r="N1" s="395"/>
      <c r="O1" s="395"/>
      <c r="P1" s="395"/>
    </row>
    <row r="2" spans="1:16" x14ac:dyDescent="0.35">
      <c r="A2" s="403" t="s">
        <v>560</v>
      </c>
      <c r="B2" s="395"/>
      <c r="C2" s="395"/>
      <c r="D2" s="395"/>
      <c r="E2" s="395"/>
      <c r="F2" s="395"/>
      <c r="G2" s="395"/>
      <c r="H2" s="395"/>
      <c r="I2" s="395"/>
      <c r="J2" s="395"/>
      <c r="K2" s="395"/>
      <c r="L2" s="395"/>
      <c r="M2" s="395"/>
      <c r="N2" s="395"/>
      <c r="O2" s="395"/>
      <c r="P2" s="395"/>
    </row>
    <row r="3" spans="1:16" ht="28" customHeight="1" x14ac:dyDescent="0.35">
      <c r="A3" s="18" t="s">
        <v>428</v>
      </c>
      <c r="B3" s="18" t="s">
        <v>2</v>
      </c>
      <c r="C3" s="18" t="s">
        <v>4</v>
      </c>
      <c r="D3" s="18" t="s">
        <v>5</v>
      </c>
      <c r="E3" s="18" t="s">
        <v>550</v>
      </c>
      <c r="F3" s="18" t="s">
        <v>551</v>
      </c>
      <c r="G3" s="18" t="s">
        <v>552</v>
      </c>
      <c r="H3" s="18" t="s">
        <v>553</v>
      </c>
      <c r="I3" s="18" t="s">
        <v>554</v>
      </c>
      <c r="J3" s="18" t="s">
        <v>433</v>
      </c>
      <c r="K3" s="18" t="s">
        <v>555</v>
      </c>
      <c r="L3" s="18" t="s">
        <v>435</v>
      </c>
      <c r="M3" s="18" t="s">
        <v>556</v>
      </c>
      <c r="N3" s="18" t="s">
        <v>442</v>
      </c>
      <c r="O3" s="18" t="s">
        <v>557</v>
      </c>
      <c r="P3" s="18" t="s">
        <v>558</v>
      </c>
    </row>
    <row r="4" spans="1:16" ht="13" customHeight="1" x14ac:dyDescent="0.35">
      <c r="A4" s="93">
        <v>46054</v>
      </c>
      <c r="B4" s="61" t="s">
        <v>45</v>
      </c>
      <c r="C4" s="12" t="str">
        <f>'Planning Engine'!C720</f>
        <v>Bulk API/DS</v>
      </c>
      <c r="D4" s="12" t="str">
        <f>'Planning Engine'!D720</f>
        <v>kg</v>
      </c>
      <c r="E4" s="95">
        <f>'Planning Engine'!E720</f>
        <v>78.12</v>
      </c>
      <c r="F4" s="95">
        <f>'Planning Engine'!F720</f>
        <v>0</v>
      </c>
      <c r="G4" s="95">
        <f>'Planning Engine'!G720</f>
        <v>0</v>
      </c>
      <c r="H4" s="95">
        <f t="shared" ref="H4:H67" si="0">G4-F4</f>
        <v>0</v>
      </c>
      <c r="I4" s="95">
        <f>'Planning Engine'!H720</f>
        <v>78.12</v>
      </c>
      <c r="J4" s="96">
        <f ca="1">'Planning Engine'!J720</f>
        <v>22.005633802816902</v>
      </c>
      <c r="K4" s="95">
        <f ca="1">'Planning Engine'!K720</f>
        <v>0</v>
      </c>
      <c r="L4" s="12" t="str">
        <f ca="1">'Planning Engine'!L720</f>
        <v>Overstock</v>
      </c>
      <c r="M4" s="93">
        <f>'Planning Engine'!S720</f>
        <v>45901</v>
      </c>
      <c r="N4" s="95">
        <f>'Planning Engine'!T720</f>
        <v>0</v>
      </c>
      <c r="O4" s="94" t="s">
        <v>1752</v>
      </c>
      <c r="P4" s="12" t="str">
        <f t="shared" ref="P4:P67" ca="1" si="1">IFERROR(IF(L4="High","⚠ Expedite / qualify alternate source",IF(L4="Medium","Monitor — plan additional POs",IF(L4="Overstock","Defer receipts","OK"))),"--")</f>
        <v>Defer receipts</v>
      </c>
    </row>
    <row r="5" spans="1:16" ht="13" customHeight="1" x14ac:dyDescent="0.35">
      <c r="A5" s="97">
        <v>46082</v>
      </c>
      <c r="B5" s="53" t="s">
        <v>45</v>
      </c>
      <c r="C5" s="12" t="str">
        <f>'Planning Engine'!C721</f>
        <v>Bulk API/DS</v>
      </c>
      <c r="D5" s="12" t="str">
        <f>'Planning Engine'!D721</f>
        <v>kg</v>
      </c>
      <c r="E5" s="95">
        <f>'Planning Engine'!E721</f>
        <v>78.12</v>
      </c>
      <c r="F5" s="95">
        <f>'Planning Engine'!F721</f>
        <v>0</v>
      </c>
      <c r="G5" s="95">
        <f>'Planning Engine'!G721</f>
        <v>0</v>
      </c>
      <c r="H5" s="99">
        <f t="shared" si="0"/>
        <v>0</v>
      </c>
      <c r="I5" s="95">
        <f>'Planning Engine'!H721</f>
        <v>78.12</v>
      </c>
      <c r="J5" s="96">
        <f ca="1">'Planning Engine'!J721</f>
        <v>22.005633802816902</v>
      </c>
      <c r="K5" s="95">
        <f ca="1">'Planning Engine'!K721</f>
        <v>0</v>
      </c>
      <c r="L5" s="12" t="str">
        <f ca="1">'Planning Engine'!L721</f>
        <v>Overstock</v>
      </c>
      <c r="M5" s="93">
        <f>'Planning Engine'!S721</f>
        <v>45931</v>
      </c>
      <c r="N5" s="95">
        <f>'Planning Engine'!T721</f>
        <v>0</v>
      </c>
      <c r="O5" s="98" t="s">
        <v>1753</v>
      </c>
      <c r="P5" s="4" t="str">
        <f t="shared" ca="1" si="1"/>
        <v>Defer receipts</v>
      </c>
    </row>
    <row r="6" spans="1:16" ht="13" customHeight="1" x14ac:dyDescent="0.35">
      <c r="A6" s="93">
        <v>46113</v>
      </c>
      <c r="B6" s="61" t="s">
        <v>45</v>
      </c>
      <c r="C6" s="12" t="str">
        <f>'Planning Engine'!C722</f>
        <v>Bulk API/DS</v>
      </c>
      <c r="D6" s="12" t="str">
        <f>'Planning Engine'!D722</f>
        <v>kg</v>
      </c>
      <c r="E6" s="95">
        <f>'Planning Engine'!E722</f>
        <v>78.12</v>
      </c>
      <c r="F6" s="95">
        <f>'Planning Engine'!F722</f>
        <v>5.6999999999999993</v>
      </c>
      <c r="G6" s="95">
        <f>'Planning Engine'!G722</f>
        <v>0</v>
      </c>
      <c r="H6" s="95">
        <f t="shared" si="0"/>
        <v>-5.6999999999999993</v>
      </c>
      <c r="I6" s="95">
        <f>'Planning Engine'!H722</f>
        <v>78.12</v>
      </c>
      <c r="J6" s="96">
        <f ca="1">'Planning Engine'!J722</f>
        <v>22.005633802816902</v>
      </c>
      <c r="K6" s="95">
        <f ca="1">'Planning Engine'!K722</f>
        <v>0</v>
      </c>
      <c r="L6" s="12" t="str">
        <f ca="1">'Planning Engine'!L722</f>
        <v>Overstock</v>
      </c>
      <c r="M6" s="93">
        <f>'Planning Engine'!S722</f>
        <v>45962</v>
      </c>
      <c r="N6" s="95">
        <f>'Planning Engine'!T722</f>
        <v>0</v>
      </c>
      <c r="O6" s="94" t="s">
        <v>1754</v>
      </c>
      <c r="P6" s="12" t="str">
        <f t="shared" ca="1" si="1"/>
        <v>Defer receipts</v>
      </c>
    </row>
    <row r="7" spans="1:16" ht="13" customHeight="1" x14ac:dyDescent="0.35">
      <c r="A7" s="97">
        <v>46143</v>
      </c>
      <c r="B7" s="53" t="s">
        <v>45</v>
      </c>
      <c r="C7" s="12" t="str">
        <f>'Planning Engine'!C723</f>
        <v>Bulk API/DS</v>
      </c>
      <c r="D7" s="12" t="str">
        <f>'Planning Engine'!D723</f>
        <v>kg</v>
      </c>
      <c r="E7" s="95">
        <f>'Planning Engine'!E723</f>
        <v>78.12</v>
      </c>
      <c r="F7" s="95">
        <f>'Planning Engine'!F723</f>
        <v>1.4</v>
      </c>
      <c r="G7" s="95">
        <f>'Planning Engine'!G723</f>
        <v>8.6</v>
      </c>
      <c r="H7" s="99">
        <f t="shared" si="0"/>
        <v>7.1999999999999993</v>
      </c>
      <c r="I7" s="95">
        <f>'Planning Engine'!H723</f>
        <v>85.32</v>
      </c>
      <c r="J7" s="96">
        <f ca="1">'Planning Engine'!J723</f>
        <v>30.112941176470592</v>
      </c>
      <c r="K7" s="95">
        <f ca="1">'Planning Engine'!K723</f>
        <v>0</v>
      </c>
      <c r="L7" s="12" t="str">
        <f ca="1">'Planning Engine'!L723</f>
        <v>Overstock</v>
      </c>
      <c r="M7" s="93">
        <f>'Planning Engine'!S723</f>
        <v>45992</v>
      </c>
      <c r="N7" s="95">
        <f>'Planning Engine'!T723</f>
        <v>8.6</v>
      </c>
      <c r="O7" s="98" t="s">
        <v>1755</v>
      </c>
      <c r="P7" s="4" t="str">
        <f t="shared" ca="1" si="1"/>
        <v>Defer receipts</v>
      </c>
    </row>
    <row r="8" spans="1:16" ht="13" customHeight="1" x14ac:dyDescent="0.35">
      <c r="A8" s="93">
        <v>46174</v>
      </c>
      <c r="B8" s="61" t="s">
        <v>45</v>
      </c>
      <c r="C8" s="12" t="str">
        <f>'Planning Engine'!C724</f>
        <v>Bulk API/DS</v>
      </c>
      <c r="D8" s="12" t="str">
        <f>'Planning Engine'!D724</f>
        <v>kg</v>
      </c>
      <c r="E8" s="95">
        <f>'Planning Engine'!E724</f>
        <v>85.32</v>
      </c>
      <c r="F8" s="95">
        <f>'Planning Engine'!F724</f>
        <v>6.3999999999999995</v>
      </c>
      <c r="G8" s="95">
        <f>'Planning Engine'!G724</f>
        <v>12.9</v>
      </c>
      <c r="H8" s="95">
        <f t="shared" si="0"/>
        <v>6.5000000000000009</v>
      </c>
      <c r="I8" s="95">
        <f>'Planning Engine'!H724</f>
        <v>91.82</v>
      </c>
      <c r="J8" s="96">
        <f ca="1">'Planning Engine'!J724</f>
        <v>25.864788732394366</v>
      </c>
      <c r="K8" s="95">
        <f ca="1">'Planning Engine'!K724</f>
        <v>0</v>
      </c>
      <c r="L8" s="12" t="str">
        <f ca="1">'Planning Engine'!L724</f>
        <v>Overstock</v>
      </c>
      <c r="M8" s="93">
        <f>'Planning Engine'!S724</f>
        <v>46023</v>
      </c>
      <c r="N8" s="95">
        <f>'Planning Engine'!T724</f>
        <v>12.9</v>
      </c>
      <c r="O8" s="94" t="s">
        <v>1756</v>
      </c>
      <c r="P8" s="12" t="str">
        <f t="shared" ca="1" si="1"/>
        <v>Defer receipts</v>
      </c>
    </row>
    <row r="9" spans="1:16" ht="13" customHeight="1" x14ac:dyDescent="0.35">
      <c r="A9" s="97">
        <v>46204</v>
      </c>
      <c r="B9" s="53" t="s">
        <v>45</v>
      </c>
      <c r="C9" s="12" t="str">
        <f>'Planning Engine'!C725</f>
        <v>Bulk API/DS</v>
      </c>
      <c r="D9" s="12" t="str">
        <f>'Planning Engine'!D725</f>
        <v>kg</v>
      </c>
      <c r="E9" s="95">
        <f>'Planning Engine'!E725</f>
        <v>91.82</v>
      </c>
      <c r="F9" s="95">
        <f>'Planning Engine'!F725</f>
        <v>0.7</v>
      </c>
      <c r="G9" s="95">
        <f>'Planning Engine'!G725</f>
        <v>4.3</v>
      </c>
      <c r="H9" s="99">
        <f t="shared" si="0"/>
        <v>3.5999999999999996</v>
      </c>
      <c r="I9" s="95">
        <f>'Planning Engine'!H725</f>
        <v>95.419999999999987</v>
      </c>
      <c r="J9" s="96">
        <f ca="1">'Planning Engine'!J725</f>
        <v>136.31428571428572</v>
      </c>
      <c r="K9" s="95">
        <f ca="1">'Planning Engine'!K725</f>
        <v>0</v>
      </c>
      <c r="L9" s="12" t="str">
        <f ca="1">'Planning Engine'!L725</f>
        <v>Overstock</v>
      </c>
      <c r="M9" s="93">
        <f>'Planning Engine'!S725</f>
        <v>46054</v>
      </c>
      <c r="N9" s="95">
        <f>'Planning Engine'!T725</f>
        <v>4.3</v>
      </c>
      <c r="O9" s="98" t="s">
        <v>1757</v>
      </c>
      <c r="P9" s="4" t="str">
        <f t="shared" ca="1" si="1"/>
        <v>Defer receipts</v>
      </c>
    </row>
    <row r="10" spans="1:16" ht="13" customHeight="1" x14ac:dyDescent="0.35">
      <c r="A10" s="93">
        <v>46235</v>
      </c>
      <c r="B10" s="61" t="s">
        <v>45</v>
      </c>
      <c r="C10" s="12" t="str">
        <f>'Planning Engine'!C726</f>
        <v>Bulk API/DS</v>
      </c>
      <c r="D10" s="12" t="str">
        <f>'Planning Engine'!D726</f>
        <v>kg</v>
      </c>
      <c r="E10" s="95">
        <f>'Planning Engine'!E726</f>
        <v>95.419999999999987</v>
      </c>
      <c r="F10" s="95">
        <f>'Planning Engine'!F726</f>
        <v>0</v>
      </c>
      <c r="G10" s="95">
        <f>'Planning Engine'!G726</f>
        <v>0</v>
      </c>
      <c r="H10" s="95">
        <f t="shared" si="0"/>
        <v>0</v>
      </c>
      <c r="I10" s="95">
        <f>'Planning Engine'!H726</f>
        <v>95.419999999999987</v>
      </c>
      <c r="J10" s="96">
        <f ca="1">'Planning Engine'!J726</f>
        <v>999</v>
      </c>
      <c r="K10" s="95">
        <f ca="1">'Planning Engine'!K726</f>
        <v>0</v>
      </c>
      <c r="L10" s="12" t="str">
        <f ca="1">'Planning Engine'!L726</f>
        <v>Overstock</v>
      </c>
      <c r="M10" s="93">
        <f>'Planning Engine'!S726</f>
        <v>46082</v>
      </c>
      <c r="N10" s="95">
        <f>'Planning Engine'!T726</f>
        <v>0</v>
      </c>
      <c r="O10" s="94" t="s">
        <v>1758</v>
      </c>
      <c r="P10" s="12" t="str">
        <f t="shared" ca="1" si="1"/>
        <v>Defer receipts</v>
      </c>
    </row>
    <row r="11" spans="1:16" ht="13" customHeight="1" x14ac:dyDescent="0.35">
      <c r="A11" s="97">
        <v>46266</v>
      </c>
      <c r="B11" s="53" t="s">
        <v>45</v>
      </c>
      <c r="C11" s="12" t="str">
        <f>'Planning Engine'!C727</f>
        <v>Bulk API/DS</v>
      </c>
      <c r="D11" s="12" t="str">
        <f>'Planning Engine'!D727</f>
        <v>kg</v>
      </c>
      <c r="E11" s="95">
        <f>'Planning Engine'!E727</f>
        <v>95.419999999999987</v>
      </c>
      <c r="F11" s="95">
        <f>'Planning Engine'!F727</f>
        <v>0</v>
      </c>
      <c r="G11" s="95">
        <f>'Planning Engine'!G727</f>
        <v>0</v>
      </c>
      <c r="H11" s="99">
        <f t="shared" si="0"/>
        <v>0</v>
      </c>
      <c r="I11" s="95">
        <f>'Planning Engine'!H727</f>
        <v>95.419999999999987</v>
      </c>
      <c r="J11" s="96">
        <f ca="1">'Planning Engine'!J727</f>
        <v>999</v>
      </c>
      <c r="K11" s="95">
        <f ca="1">'Planning Engine'!K727</f>
        <v>0</v>
      </c>
      <c r="L11" s="12" t="str">
        <f ca="1">'Planning Engine'!L727</f>
        <v>Overstock</v>
      </c>
      <c r="M11" s="93">
        <f>'Planning Engine'!S727</f>
        <v>46113</v>
      </c>
      <c r="N11" s="95">
        <f>'Planning Engine'!T727</f>
        <v>0</v>
      </c>
      <c r="O11" s="98" t="s">
        <v>1759</v>
      </c>
      <c r="P11" s="4" t="str">
        <f t="shared" ca="1" si="1"/>
        <v>Defer receipts</v>
      </c>
    </row>
    <row r="12" spans="1:16" ht="13" customHeight="1" x14ac:dyDescent="0.35">
      <c r="A12" s="93">
        <v>46296</v>
      </c>
      <c r="B12" s="61" t="s">
        <v>45</v>
      </c>
      <c r="C12" s="12" t="str">
        <f>'Planning Engine'!C728</f>
        <v>Bulk API/DS</v>
      </c>
      <c r="D12" s="12" t="str">
        <f>'Planning Engine'!D728</f>
        <v>kg</v>
      </c>
      <c r="E12" s="95">
        <f>'Planning Engine'!E728</f>
        <v>95.419999999999987</v>
      </c>
      <c r="F12" s="95">
        <f>'Planning Engine'!F728</f>
        <v>0</v>
      </c>
      <c r="G12" s="95">
        <f>'Planning Engine'!G728</f>
        <v>0</v>
      </c>
      <c r="H12" s="95">
        <f t="shared" si="0"/>
        <v>0</v>
      </c>
      <c r="I12" s="95">
        <f>'Planning Engine'!H728</f>
        <v>95.419999999999987</v>
      </c>
      <c r="J12" s="96">
        <f ca="1">'Planning Engine'!J728</f>
        <v>999</v>
      </c>
      <c r="K12" s="95">
        <f ca="1">'Planning Engine'!K728</f>
        <v>0</v>
      </c>
      <c r="L12" s="12" t="str">
        <f ca="1">'Planning Engine'!L728</f>
        <v>Overstock</v>
      </c>
      <c r="M12" s="93">
        <f>'Planning Engine'!S728</f>
        <v>46143</v>
      </c>
      <c r="N12" s="95">
        <f>'Planning Engine'!T728</f>
        <v>0</v>
      </c>
      <c r="O12" s="94" t="s">
        <v>1760</v>
      </c>
      <c r="P12" s="12" t="str">
        <f t="shared" ca="1" si="1"/>
        <v>Defer receipts</v>
      </c>
    </row>
    <row r="13" spans="1:16" ht="13" customHeight="1" x14ac:dyDescent="0.35">
      <c r="A13" s="97">
        <v>46327</v>
      </c>
      <c r="B13" s="53" t="s">
        <v>45</v>
      </c>
      <c r="C13" s="12" t="str">
        <f>'Planning Engine'!C729</f>
        <v>Bulk API/DS</v>
      </c>
      <c r="D13" s="12" t="str">
        <f>'Planning Engine'!D729</f>
        <v>kg</v>
      </c>
      <c r="E13" s="95">
        <f>'Planning Engine'!E729</f>
        <v>95.419999999999987</v>
      </c>
      <c r="F13" s="95">
        <f>'Planning Engine'!F729</f>
        <v>0</v>
      </c>
      <c r="G13" s="95">
        <f>'Planning Engine'!G729</f>
        <v>0</v>
      </c>
      <c r="H13" s="99">
        <f t="shared" si="0"/>
        <v>0</v>
      </c>
      <c r="I13" s="95">
        <f>'Planning Engine'!H729</f>
        <v>95.419999999999987</v>
      </c>
      <c r="J13" s="96">
        <f ca="1">'Planning Engine'!J729</f>
        <v>999</v>
      </c>
      <c r="K13" s="95">
        <f ca="1">'Planning Engine'!K729</f>
        <v>0</v>
      </c>
      <c r="L13" s="12" t="str">
        <f ca="1">'Planning Engine'!L729</f>
        <v>Overstock</v>
      </c>
      <c r="M13" s="93">
        <f>'Planning Engine'!S729</f>
        <v>46174</v>
      </c>
      <c r="N13" s="95">
        <f>'Planning Engine'!T729</f>
        <v>0</v>
      </c>
      <c r="O13" s="98" t="s">
        <v>1761</v>
      </c>
      <c r="P13" s="4" t="str">
        <f t="shared" ca="1" si="1"/>
        <v>Defer receipts</v>
      </c>
    </row>
    <row r="14" spans="1:16" ht="13" customHeight="1" x14ac:dyDescent="0.35">
      <c r="A14" s="93">
        <v>46357</v>
      </c>
      <c r="B14" s="61" t="s">
        <v>45</v>
      </c>
      <c r="C14" s="12" t="str">
        <f>'Planning Engine'!C730</f>
        <v>Bulk API/DS</v>
      </c>
      <c r="D14" s="12" t="str">
        <f>'Planning Engine'!D730</f>
        <v>kg</v>
      </c>
      <c r="E14" s="95">
        <f>'Planning Engine'!E730</f>
        <v>95.419999999999987</v>
      </c>
      <c r="F14" s="95">
        <f>'Planning Engine'!F730</f>
        <v>0</v>
      </c>
      <c r="G14" s="95">
        <f>'Planning Engine'!G730</f>
        <v>0</v>
      </c>
      <c r="H14" s="95">
        <f t="shared" si="0"/>
        <v>0</v>
      </c>
      <c r="I14" s="95">
        <f>'Planning Engine'!H730</f>
        <v>95.419999999999987</v>
      </c>
      <c r="J14" s="96">
        <f ca="1">'Planning Engine'!J730</f>
        <v>999</v>
      </c>
      <c r="K14" s="95">
        <f ca="1">'Planning Engine'!K730</f>
        <v>0</v>
      </c>
      <c r="L14" s="12" t="str">
        <f ca="1">'Planning Engine'!L730</f>
        <v>Overstock</v>
      </c>
      <c r="M14" s="93">
        <f>'Planning Engine'!S730</f>
        <v>46204</v>
      </c>
      <c r="N14" s="95">
        <f>'Planning Engine'!T730</f>
        <v>0</v>
      </c>
      <c r="O14" s="94" t="s">
        <v>1762</v>
      </c>
      <c r="P14" s="12" t="str">
        <f t="shared" ca="1" si="1"/>
        <v>Defer receipts</v>
      </c>
    </row>
    <row r="15" spans="1:16" ht="13" customHeight="1" x14ac:dyDescent="0.35">
      <c r="A15" s="97">
        <v>46388</v>
      </c>
      <c r="B15" s="53" t="s">
        <v>45</v>
      </c>
      <c r="C15" s="12" t="str">
        <f>'Planning Engine'!C731</f>
        <v>Bulk API/DS</v>
      </c>
      <c r="D15" s="12" t="str">
        <f>'Planning Engine'!D731</f>
        <v>kg</v>
      </c>
      <c r="E15" s="95">
        <f>'Planning Engine'!E731</f>
        <v>95.419999999999987</v>
      </c>
      <c r="F15" s="95">
        <f>'Planning Engine'!F731</f>
        <v>0</v>
      </c>
      <c r="G15" s="95">
        <f>'Planning Engine'!G731</f>
        <v>0</v>
      </c>
      <c r="H15" s="99">
        <f t="shared" si="0"/>
        <v>0</v>
      </c>
      <c r="I15" s="95">
        <f>'Planning Engine'!H731</f>
        <v>95.419999999999987</v>
      </c>
      <c r="J15" s="96">
        <f ca="1">'Planning Engine'!J731</f>
        <v>999</v>
      </c>
      <c r="K15" s="95">
        <f ca="1">'Planning Engine'!K731</f>
        <v>0</v>
      </c>
      <c r="L15" s="12" t="str">
        <f ca="1">'Planning Engine'!L731</f>
        <v>Overstock</v>
      </c>
      <c r="M15" s="93">
        <f>'Planning Engine'!S731</f>
        <v>46235</v>
      </c>
      <c r="N15" s="95">
        <f>'Planning Engine'!T731</f>
        <v>0</v>
      </c>
      <c r="O15" s="98" t="s">
        <v>1763</v>
      </c>
      <c r="P15" s="4" t="str">
        <f t="shared" ca="1" si="1"/>
        <v>Defer receipts</v>
      </c>
    </row>
    <row r="16" spans="1:16" ht="13" customHeight="1" x14ac:dyDescent="0.35">
      <c r="A16" s="93">
        <v>46419</v>
      </c>
      <c r="B16" s="61" t="s">
        <v>45</v>
      </c>
      <c r="C16" s="12" t="str">
        <f>'Planning Engine'!C732</f>
        <v>Bulk API/DS</v>
      </c>
      <c r="D16" s="12" t="str">
        <f>'Planning Engine'!D732</f>
        <v>kg</v>
      </c>
      <c r="E16" s="95">
        <f>'Planning Engine'!E732</f>
        <v>95.419999999999987</v>
      </c>
      <c r="F16" s="95">
        <f>'Planning Engine'!F732</f>
        <v>0</v>
      </c>
      <c r="G16" s="95">
        <f>'Planning Engine'!G732</f>
        <v>0</v>
      </c>
      <c r="H16" s="95">
        <f t="shared" si="0"/>
        <v>0</v>
      </c>
      <c r="I16" s="95">
        <f>'Planning Engine'!H732</f>
        <v>95.419999999999987</v>
      </c>
      <c r="J16" s="96">
        <f ca="1">'Planning Engine'!J732</f>
        <v>999</v>
      </c>
      <c r="K16" s="95">
        <f ca="1">'Planning Engine'!K732</f>
        <v>0</v>
      </c>
      <c r="L16" s="12" t="str">
        <f ca="1">'Planning Engine'!L732</f>
        <v>Overstock</v>
      </c>
      <c r="M16" s="93">
        <f>'Planning Engine'!S732</f>
        <v>46266</v>
      </c>
      <c r="N16" s="95">
        <f>'Planning Engine'!T732</f>
        <v>0</v>
      </c>
      <c r="O16" s="94" t="s">
        <v>1764</v>
      </c>
      <c r="P16" s="12" t="str">
        <f t="shared" ca="1" si="1"/>
        <v>Defer receipts</v>
      </c>
    </row>
    <row r="17" spans="1:16" ht="13" customHeight="1" x14ac:dyDescent="0.35">
      <c r="A17" s="97">
        <v>46447</v>
      </c>
      <c r="B17" s="53" t="s">
        <v>45</v>
      </c>
      <c r="C17" s="12" t="str">
        <f>'Planning Engine'!C733</f>
        <v>Bulk API/DS</v>
      </c>
      <c r="D17" s="12" t="str">
        <f>'Planning Engine'!D733</f>
        <v>kg</v>
      </c>
      <c r="E17" s="95">
        <f>'Planning Engine'!E733</f>
        <v>95.419999999999987</v>
      </c>
      <c r="F17" s="95">
        <f>'Planning Engine'!F733</f>
        <v>0</v>
      </c>
      <c r="G17" s="95">
        <f>'Planning Engine'!G733</f>
        <v>0</v>
      </c>
      <c r="H17" s="99">
        <f t="shared" si="0"/>
        <v>0</v>
      </c>
      <c r="I17" s="95">
        <f>'Planning Engine'!H733</f>
        <v>95.419999999999987</v>
      </c>
      <c r="J17" s="96">
        <f ca="1">'Planning Engine'!J733</f>
        <v>999</v>
      </c>
      <c r="K17" s="95">
        <f ca="1">'Planning Engine'!K733</f>
        <v>0</v>
      </c>
      <c r="L17" s="12" t="str">
        <f ca="1">'Planning Engine'!L733</f>
        <v>Overstock</v>
      </c>
      <c r="M17" s="93">
        <f>'Planning Engine'!S733</f>
        <v>46296</v>
      </c>
      <c r="N17" s="95">
        <f>'Planning Engine'!T733</f>
        <v>0</v>
      </c>
      <c r="O17" s="98" t="s">
        <v>1765</v>
      </c>
      <c r="P17" s="4" t="str">
        <f t="shared" ca="1" si="1"/>
        <v>Defer receipts</v>
      </c>
    </row>
    <row r="18" spans="1:16" ht="13" customHeight="1" x14ac:dyDescent="0.35">
      <c r="A18" s="93">
        <v>46478</v>
      </c>
      <c r="B18" s="61" t="s">
        <v>45</v>
      </c>
      <c r="C18" s="12" t="str">
        <f>'Planning Engine'!C734</f>
        <v>Bulk API/DS</v>
      </c>
      <c r="D18" s="12" t="str">
        <f>'Planning Engine'!D734</f>
        <v>kg</v>
      </c>
      <c r="E18" s="95">
        <f>'Planning Engine'!E734</f>
        <v>95.419999999999987</v>
      </c>
      <c r="F18" s="95">
        <f>'Planning Engine'!F734</f>
        <v>0</v>
      </c>
      <c r="G18" s="95">
        <f>'Planning Engine'!G734</f>
        <v>8.6</v>
      </c>
      <c r="H18" s="95">
        <f t="shared" si="0"/>
        <v>8.6</v>
      </c>
      <c r="I18" s="95">
        <f>'Planning Engine'!H734</f>
        <v>104.01999999999998</v>
      </c>
      <c r="J18" s="96">
        <f ca="1">'Planning Engine'!J734</f>
        <v>999</v>
      </c>
      <c r="K18" s="95">
        <f ca="1">'Planning Engine'!K734</f>
        <v>0</v>
      </c>
      <c r="L18" s="12" t="str">
        <f ca="1">'Planning Engine'!L734</f>
        <v>Overstock</v>
      </c>
      <c r="M18" s="93">
        <f>'Planning Engine'!S734</f>
        <v>46327</v>
      </c>
      <c r="N18" s="95">
        <f>'Planning Engine'!T734</f>
        <v>8.6</v>
      </c>
      <c r="O18" s="94" t="s">
        <v>1766</v>
      </c>
      <c r="P18" s="12" t="str">
        <f t="shared" ca="1" si="1"/>
        <v>Defer receipts</v>
      </c>
    </row>
    <row r="19" spans="1:16" ht="13" customHeight="1" x14ac:dyDescent="0.35">
      <c r="A19" s="97">
        <v>46508</v>
      </c>
      <c r="B19" s="53" t="s">
        <v>45</v>
      </c>
      <c r="C19" s="12" t="str">
        <f>'Planning Engine'!C735</f>
        <v>Bulk API/DS</v>
      </c>
      <c r="D19" s="12" t="str">
        <f>'Planning Engine'!D735</f>
        <v>kg</v>
      </c>
      <c r="E19" s="95">
        <f>'Planning Engine'!E735</f>
        <v>104.01999999999998</v>
      </c>
      <c r="F19" s="95">
        <f>'Planning Engine'!F735</f>
        <v>0</v>
      </c>
      <c r="G19" s="95">
        <f>'Planning Engine'!G735</f>
        <v>8.6</v>
      </c>
      <c r="H19" s="99">
        <f t="shared" si="0"/>
        <v>8.6</v>
      </c>
      <c r="I19" s="95">
        <f>'Planning Engine'!H735</f>
        <v>112.61999999999998</v>
      </c>
      <c r="J19" s="96">
        <f ca="1">'Planning Engine'!J735</f>
        <v>999</v>
      </c>
      <c r="K19" s="95">
        <f ca="1">'Planning Engine'!K735</f>
        <v>0</v>
      </c>
      <c r="L19" s="12" t="str">
        <f ca="1">'Planning Engine'!L735</f>
        <v>Overstock</v>
      </c>
      <c r="M19" s="93">
        <f>'Planning Engine'!S735</f>
        <v>46357</v>
      </c>
      <c r="N19" s="95">
        <f>'Planning Engine'!T735</f>
        <v>8.6</v>
      </c>
      <c r="O19" s="98" t="s">
        <v>1767</v>
      </c>
      <c r="P19" s="4" t="str">
        <f t="shared" ca="1" si="1"/>
        <v>Defer receipts</v>
      </c>
    </row>
    <row r="20" spans="1:16" ht="13" customHeight="1" x14ac:dyDescent="0.35">
      <c r="A20" s="93">
        <v>46539</v>
      </c>
      <c r="B20" s="61" t="s">
        <v>45</v>
      </c>
      <c r="C20" s="12" t="str">
        <f>'Planning Engine'!C736</f>
        <v>Bulk API/DS</v>
      </c>
      <c r="D20" s="12" t="str">
        <f>'Planning Engine'!D736</f>
        <v>kg</v>
      </c>
      <c r="E20" s="95">
        <f>'Planning Engine'!E736</f>
        <v>112.61999999999998</v>
      </c>
      <c r="F20" s="95">
        <f>'Planning Engine'!F736</f>
        <v>0</v>
      </c>
      <c r="G20" s="95">
        <f>'Planning Engine'!G736</f>
        <v>8.6</v>
      </c>
      <c r="H20" s="95">
        <f t="shared" si="0"/>
        <v>8.6</v>
      </c>
      <c r="I20" s="95">
        <f>'Planning Engine'!H736</f>
        <v>121.21999999999997</v>
      </c>
      <c r="J20" s="96">
        <f ca="1">'Planning Engine'!J736</f>
        <v>999</v>
      </c>
      <c r="K20" s="95">
        <f ca="1">'Planning Engine'!K736</f>
        <v>0</v>
      </c>
      <c r="L20" s="12" t="str">
        <f ca="1">'Planning Engine'!L736</f>
        <v>Overstock</v>
      </c>
      <c r="M20" s="93">
        <f>'Planning Engine'!S736</f>
        <v>46388</v>
      </c>
      <c r="N20" s="95">
        <f>'Planning Engine'!T736</f>
        <v>8.6</v>
      </c>
      <c r="O20" s="94" t="s">
        <v>1768</v>
      </c>
      <c r="P20" s="12" t="str">
        <f t="shared" ca="1" si="1"/>
        <v>Defer receipts</v>
      </c>
    </row>
    <row r="21" spans="1:16" ht="13" customHeight="1" x14ac:dyDescent="0.35">
      <c r="A21" s="97">
        <v>46569</v>
      </c>
      <c r="B21" s="53" t="s">
        <v>45</v>
      </c>
      <c r="C21" s="12" t="str">
        <f>'Planning Engine'!C737</f>
        <v>Bulk API/DS</v>
      </c>
      <c r="D21" s="12" t="str">
        <f>'Planning Engine'!D737</f>
        <v>kg</v>
      </c>
      <c r="E21" s="95">
        <f>'Planning Engine'!E737</f>
        <v>121.21999999999997</v>
      </c>
      <c r="F21" s="95">
        <f>'Planning Engine'!F737</f>
        <v>0</v>
      </c>
      <c r="G21" s="95">
        <f>'Planning Engine'!G737</f>
        <v>8.6</v>
      </c>
      <c r="H21" s="99">
        <f t="shared" si="0"/>
        <v>8.6</v>
      </c>
      <c r="I21" s="95">
        <f>'Planning Engine'!H737</f>
        <v>129.81999999999996</v>
      </c>
      <c r="J21" s="96">
        <f ca="1">'Planning Engine'!J737</f>
        <v>999</v>
      </c>
      <c r="K21" s="95">
        <f ca="1">'Planning Engine'!K737</f>
        <v>0</v>
      </c>
      <c r="L21" s="12" t="str">
        <f ca="1">'Planning Engine'!L737</f>
        <v>Overstock</v>
      </c>
      <c r="M21" s="93">
        <f>'Planning Engine'!S737</f>
        <v>46419</v>
      </c>
      <c r="N21" s="95">
        <f>'Planning Engine'!T737</f>
        <v>8.6</v>
      </c>
      <c r="O21" s="98" t="s">
        <v>1769</v>
      </c>
      <c r="P21" s="4" t="str">
        <f t="shared" ca="1" si="1"/>
        <v>Defer receipts</v>
      </c>
    </row>
    <row r="22" spans="1:16" ht="13" customHeight="1" x14ac:dyDescent="0.35">
      <c r="A22" s="93">
        <v>46600</v>
      </c>
      <c r="B22" s="61" t="s">
        <v>45</v>
      </c>
      <c r="C22" s="12" t="str">
        <f>'Planning Engine'!C738</f>
        <v>Bulk API/DS</v>
      </c>
      <c r="D22" s="12" t="str">
        <f>'Planning Engine'!D738</f>
        <v>kg</v>
      </c>
      <c r="E22" s="95">
        <f>'Planning Engine'!E738</f>
        <v>129.81999999999996</v>
      </c>
      <c r="F22" s="95">
        <f>'Planning Engine'!F738</f>
        <v>0</v>
      </c>
      <c r="G22" s="95">
        <f>'Planning Engine'!G738</f>
        <v>0</v>
      </c>
      <c r="H22" s="95">
        <f t="shared" si="0"/>
        <v>0</v>
      </c>
      <c r="I22" s="95">
        <f>'Planning Engine'!H738</f>
        <v>129.81999999999996</v>
      </c>
      <c r="J22" s="96">
        <f ca="1">'Planning Engine'!J738</f>
        <v>999</v>
      </c>
      <c r="K22" s="95">
        <f ca="1">'Planning Engine'!K738</f>
        <v>0</v>
      </c>
      <c r="L22" s="12" t="str">
        <f ca="1">'Planning Engine'!L738</f>
        <v>Overstock</v>
      </c>
      <c r="M22" s="93">
        <f>'Planning Engine'!S738</f>
        <v>46447</v>
      </c>
      <c r="N22" s="95">
        <f>'Planning Engine'!T738</f>
        <v>0</v>
      </c>
      <c r="O22" s="94" t="s">
        <v>1770</v>
      </c>
      <c r="P22" s="12" t="str">
        <f t="shared" ca="1" si="1"/>
        <v>Defer receipts</v>
      </c>
    </row>
    <row r="23" spans="1:16" ht="13" customHeight="1" x14ac:dyDescent="0.35">
      <c r="A23" s="97">
        <v>46631</v>
      </c>
      <c r="B23" s="53" t="s">
        <v>45</v>
      </c>
      <c r="C23" s="12" t="str">
        <f>'Planning Engine'!C739</f>
        <v>Bulk API/DS</v>
      </c>
      <c r="D23" s="12" t="str">
        <f>'Planning Engine'!D739</f>
        <v>kg</v>
      </c>
      <c r="E23" s="95">
        <f>'Planning Engine'!E739</f>
        <v>129.81999999999996</v>
      </c>
      <c r="F23" s="95">
        <f>'Planning Engine'!F739</f>
        <v>0</v>
      </c>
      <c r="G23" s="95">
        <f>'Planning Engine'!G739</f>
        <v>0</v>
      </c>
      <c r="H23" s="99">
        <f t="shared" si="0"/>
        <v>0</v>
      </c>
      <c r="I23" s="95">
        <f>'Planning Engine'!H739</f>
        <v>129.81999999999996</v>
      </c>
      <c r="J23" s="96">
        <f ca="1">'Planning Engine'!J739</f>
        <v>999</v>
      </c>
      <c r="K23" s="95">
        <f ca="1">'Planning Engine'!K739</f>
        <v>0</v>
      </c>
      <c r="L23" s="12" t="str">
        <f ca="1">'Planning Engine'!L739</f>
        <v>Overstock</v>
      </c>
      <c r="M23" s="93">
        <f>'Planning Engine'!S739</f>
        <v>46478</v>
      </c>
      <c r="N23" s="95">
        <f>'Planning Engine'!T739</f>
        <v>0</v>
      </c>
      <c r="O23" s="98" t="s">
        <v>1771</v>
      </c>
      <c r="P23" s="4" t="str">
        <f t="shared" ca="1" si="1"/>
        <v>Defer receipts</v>
      </c>
    </row>
    <row r="24" spans="1:16" ht="13" customHeight="1" x14ac:dyDescent="0.35">
      <c r="A24" s="93">
        <v>46661</v>
      </c>
      <c r="B24" s="61" t="s">
        <v>45</v>
      </c>
      <c r="C24" s="12" t="str">
        <f>'Planning Engine'!C740</f>
        <v>Bulk API/DS</v>
      </c>
      <c r="D24" s="12" t="str">
        <f>'Planning Engine'!D740</f>
        <v>kg</v>
      </c>
      <c r="E24" s="95">
        <f>'Planning Engine'!E740</f>
        <v>129.81999999999996</v>
      </c>
      <c r="F24" s="95">
        <f>'Planning Engine'!F740</f>
        <v>0</v>
      </c>
      <c r="G24" s="95">
        <f>'Planning Engine'!G740</f>
        <v>0</v>
      </c>
      <c r="H24" s="95">
        <f t="shared" si="0"/>
        <v>0</v>
      </c>
      <c r="I24" s="95">
        <f>'Planning Engine'!H740</f>
        <v>129.81999999999996</v>
      </c>
      <c r="J24" s="96">
        <f ca="1">'Planning Engine'!J740</f>
        <v>999</v>
      </c>
      <c r="K24" s="95">
        <f ca="1">'Planning Engine'!K740</f>
        <v>0</v>
      </c>
      <c r="L24" s="12" t="str">
        <f ca="1">'Planning Engine'!L740</f>
        <v>Overstock</v>
      </c>
      <c r="M24" s="93">
        <f>'Planning Engine'!S740</f>
        <v>46508</v>
      </c>
      <c r="N24" s="95">
        <f>'Planning Engine'!T740</f>
        <v>0</v>
      </c>
      <c r="O24" s="94" t="s">
        <v>1772</v>
      </c>
      <c r="P24" s="12" t="str">
        <f t="shared" ca="1" si="1"/>
        <v>Defer receipts</v>
      </c>
    </row>
    <row r="25" spans="1:16" ht="13" customHeight="1" x14ac:dyDescent="0.35">
      <c r="A25" s="97">
        <v>46692</v>
      </c>
      <c r="B25" s="53" t="s">
        <v>45</v>
      </c>
      <c r="C25" s="12" t="str">
        <f>'Planning Engine'!C741</f>
        <v>Bulk API/DS</v>
      </c>
      <c r="D25" s="12" t="str">
        <f>'Planning Engine'!D741</f>
        <v>kg</v>
      </c>
      <c r="E25" s="95">
        <f>'Planning Engine'!E741</f>
        <v>129.81999999999996</v>
      </c>
      <c r="F25" s="95">
        <f>'Planning Engine'!F741</f>
        <v>0</v>
      </c>
      <c r="G25" s="95">
        <f>'Planning Engine'!G741</f>
        <v>0</v>
      </c>
      <c r="H25" s="99">
        <f t="shared" si="0"/>
        <v>0</v>
      </c>
      <c r="I25" s="95">
        <f>'Planning Engine'!H741</f>
        <v>129.81999999999996</v>
      </c>
      <c r="J25" s="96">
        <f ca="1">'Planning Engine'!J741</f>
        <v>999</v>
      </c>
      <c r="K25" s="95">
        <f ca="1">'Planning Engine'!K741</f>
        <v>0</v>
      </c>
      <c r="L25" s="12" t="str">
        <f ca="1">'Planning Engine'!L741</f>
        <v>Overstock</v>
      </c>
      <c r="M25" s="93">
        <f>'Planning Engine'!S741</f>
        <v>46539</v>
      </c>
      <c r="N25" s="95">
        <f>'Planning Engine'!T741</f>
        <v>0</v>
      </c>
      <c r="O25" s="98" t="s">
        <v>1773</v>
      </c>
      <c r="P25" s="4" t="str">
        <f t="shared" ca="1" si="1"/>
        <v>Defer receipts</v>
      </c>
    </row>
    <row r="26" spans="1:16" ht="13" customHeight="1" x14ac:dyDescent="0.35">
      <c r="A26" s="93">
        <v>46722</v>
      </c>
      <c r="B26" s="61" t="s">
        <v>45</v>
      </c>
      <c r="C26" s="12" t="str">
        <f>'Planning Engine'!C742</f>
        <v>Bulk API/DS</v>
      </c>
      <c r="D26" s="12" t="str">
        <f>'Planning Engine'!D742</f>
        <v>kg</v>
      </c>
      <c r="E26" s="95">
        <f>'Planning Engine'!E742</f>
        <v>129.81999999999996</v>
      </c>
      <c r="F26" s="95">
        <f>'Planning Engine'!F742</f>
        <v>0</v>
      </c>
      <c r="G26" s="95">
        <f>'Planning Engine'!G742</f>
        <v>0</v>
      </c>
      <c r="H26" s="95">
        <f t="shared" si="0"/>
        <v>0</v>
      </c>
      <c r="I26" s="95">
        <f>'Planning Engine'!H742</f>
        <v>129.81999999999996</v>
      </c>
      <c r="J26" s="96">
        <f ca="1">'Planning Engine'!J742</f>
        <v>2.2708408031280305</v>
      </c>
      <c r="K26" s="95">
        <f ca="1">'Planning Engine'!K742</f>
        <v>554.69999999999993</v>
      </c>
      <c r="L26" s="12" t="str">
        <f ca="1">'Planning Engine'!L742</f>
        <v>High</v>
      </c>
      <c r="M26" s="93">
        <f>'Planning Engine'!S742</f>
        <v>46569</v>
      </c>
      <c r="N26" s="95">
        <f>'Planning Engine'!T742</f>
        <v>0</v>
      </c>
      <c r="O26" s="94" t="s">
        <v>1774</v>
      </c>
      <c r="P26" s="12" t="str">
        <f t="shared" ca="1" si="1"/>
        <v>⚠ Expedite / qualify alternate source</v>
      </c>
    </row>
    <row r="27" spans="1:16" ht="13" customHeight="1" x14ac:dyDescent="0.35">
      <c r="A27" s="97">
        <v>46753</v>
      </c>
      <c r="B27" s="53" t="s">
        <v>45</v>
      </c>
      <c r="C27" s="12" t="str">
        <f>'Planning Engine'!C743</f>
        <v>Bulk API/DS</v>
      </c>
      <c r="D27" s="12" t="str">
        <f>'Planning Engine'!D743</f>
        <v>kg</v>
      </c>
      <c r="E27" s="95">
        <f>'Planning Engine'!E743</f>
        <v>129.81999999999996</v>
      </c>
      <c r="F27" s="95">
        <f>'Planning Engine'!F743</f>
        <v>0</v>
      </c>
      <c r="G27" s="95">
        <f>'Planning Engine'!G743</f>
        <v>0</v>
      </c>
      <c r="H27" s="99">
        <f t="shared" si="0"/>
        <v>0</v>
      </c>
      <c r="I27" s="95">
        <f>'Planning Engine'!H743</f>
        <v>129.81999999999996</v>
      </c>
      <c r="J27" s="96">
        <f ca="1">'Planning Engine'!J743</f>
        <v>2.2708408031280305</v>
      </c>
      <c r="K27" s="95">
        <f ca="1">'Planning Engine'!K743</f>
        <v>554.69999999999993</v>
      </c>
      <c r="L27" s="12" t="str">
        <f ca="1">'Planning Engine'!L743</f>
        <v>High</v>
      </c>
      <c r="M27" s="93">
        <f>'Planning Engine'!S743</f>
        <v>46600</v>
      </c>
      <c r="N27" s="95">
        <f>'Planning Engine'!T743</f>
        <v>0</v>
      </c>
      <c r="O27" s="98" t="s">
        <v>1775</v>
      </c>
      <c r="P27" s="4" t="str">
        <f t="shared" ca="1" si="1"/>
        <v>⚠ Expedite / qualify alternate source</v>
      </c>
    </row>
    <row r="28" spans="1:16" ht="13" customHeight="1" x14ac:dyDescent="0.35">
      <c r="A28" s="93">
        <v>46784</v>
      </c>
      <c r="B28" s="61" t="s">
        <v>45</v>
      </c>
      <c r="C28" s="12" t="str">
        <f>'Planning Engine'!C744</f>
        <v>Bulk API/DS</v>
      </c>
      <c r="D28" s="12" t="str">
        <f>'Planning Engine'!D744</f>
        <v>kg</v>
      </c>
      <c r="E28" s="95">
        <f>'Planning Engine'!E744</f>
        <v>129.81999999999996</v>
      </c>
      <c r="F28" s="95">
        <f>'Planning Engine'!F744</f>
        <v>0</v>
      </c>
      <c r="G28" s="95">
        <f>'Planning Engine'!G744</f>
        <v>0</v>
      </c>
      <c r="H28" s="95">
        <f t="shared" si="0"/>
        <v>0</v>
      </c>
      <c r="I28" s="95">
        <f>'Planning Engine'!H744</f>
        <v>129.81999999999996</v>
      </c>
      <c r="J28" s="96">
        <f ca="1">'Planning Engine'!J744</f>
        <v>2.2708408031280305</v>
      </c>
      <c r="K28" s="95">
        <f ca="1">'Planning Engine'!K744</f>
        <v>554.69999999999993</v>
      </c>
      <c r="L28" s="12" t="str">
        <f ca="1">'Planning Engine'!L744</f>
        <v>High</v>
      </c>
      <c r="M28" s="93">
        <f>'Planning Engine'!S744</f>
        <v>46631</v>
      </c>
      <c r="N28" s="95">
        <f>'Planning Engine'!T744</f>
        <v>0</v>
      </c>
      <c r="O28" s="94" t="s">
        <v>1776</v>
      </c>
      <c r="P28" s="12" t="str">
        <f t="shared" ca="1" si="1"/>
        <v>⚠ Expedite / qualify alternate source</v>
      </c>
    </row>
    <row r="29" spans="1:16" ht="13" customHeight="1" x14ac:dyDescent="0.35">
      <c r="A29" s="97">
        <v>46813</v>
      </c>
      <c r="B29" s="53" t="s">
        <v>45</v>
      </c>
      <c r="C29" s="12" t="str">
        <f>'Planning Engine'!C745</f>
        <v>Bulk API/DS</v>
      </c>
      <c r="D29" s="12" t="str">
        <f>'Planning Engine'!D745</f>
        <v>kg</v>
      </c>
      <c r="E29" s="95">
        <f>'Planning Engine'!E745</f>
        <v>129.81999999999996</v>
      </c>
      <c r="F29" s="95">
        <f>'Planning Engine'!F745</f>
        <v>0</v>
      </c>
      <c r="G29" s="95">
        <f>'Planning Engine'!G745</f>
        <v>0</v>
      </c>
      <c r="H29" s="99">
        <f t="shared" si="0"/>
        <v>0</v>
      </c>
      <c r="I29" s="95">
        <f>'Planning Engine'!H745</f>
        <v>129.81999999999996</v>
      </c>
      <c r="J29" s="96">
        <f ca="1">'Planning Engine'!J745</f>
        <v>2.2708408031280305</v>
      </c>
      <c r="K29" s="95">
        <f ca="1">'Planning Engine'!K745</f>
        <v>554.69999999999993</v>
      </c>
      <c r="L29" s="12" t="str">
        <f ca="1">'Planning Engine'!L745</f>
        <v>High</v>
      </c>
      <c r="M29" s="93">
        <f>'Planning Engine'!S745</f>
        <v>46661</v>
      </c>
      <c r="N29" s="95">
        <f>'Planning Engine'!T745</f>
        <v>0</v>
      </c>
      <c r="O29" s="98" t="s">
        <v>1777</v>
      </c>
      <c r="P29" s="4" t="str">
        <f t="shared" ca="1" si="1"/>
        <v>⚠ Expedite / qualify alternate source</v>
      </c>
    </row>
    <row r="30" spans="1:16" ht="13" customHeight="1" x14ac:dyDescent="0.35">
      <c r="A30" s="93">
        <v>46844</v>
      </c>
      <c r="B30" s="61" t="s">
        <v>45</v>
      </c>
      <c r="C30" s="12" t="str">
        <f>'Planning Engine'!C746</f>
        <v>Bulk API/DS</v>
      </c>
      <c r="D30" s="12" t="str">
        <f>'Planning Engine'!D746</f>
        <v>kg</v>
      </c>
      <c r="E30" s="95">
        <f>'Planning Engine'!E746</f>
        <v>129.81999999999996</v>
      </c>
      <c r="F30" s="95">
        <f>'Planning Engine'!F746</f>
        <v>0</v>
      </c>
      <c r="G30" s="95">
        <f>'Planning Engine'!G746</f>
        <v>0</v>
      </c>
      <c r="H30" s="95">
        <f t="shared" si="0"/>
        <v>0</v>
      </c>
      <c r="I30" s="95">
        <f>'Planning Engine'!H746</f>
        <v>129.81999999999996</v>
      </c>
      <c r="J30" s="96">
        <f ca="1">'Planning Engine'!J746</f>
        <v>2.2708408031280305</v>
      </c>
      <c r="K30" s="95">
        <f ca="1">'Planning Engine'!K746</f>
        <v>554.69999999999993</v>
      </c>
      <c r="L30" s="12" t="str">
        <f ca="1">'Planning Engine'!L746</f>
        <v>High</v>
      </c>
      <c r="M30" s="93">
        <f>'Planning Engine'!S746</f>
        <v>46692</v>
      </c>
      <c r="N30" s="95">
        <f>'Planning Engine'!T746</f>
        <v>0</v>
      </c>
      <c r="O30" s="94" t="s">
        <v>1778</v>
      </c>
      <c r="P30" s="12" t="str">
        <f t="shared" ca="1" si="1"/>
        <v>⚠ Expedite / qualify alternate source</v>
      </c>
    </row>
    <row r="31" spans="1:16" ht="13" customHeight="1" x14ac:dyDescent="0.35">
      <c r="A31" s="97">
        <v>46874</v>
      </c>
      <c r="B31" s="53" t="s">
        <v>45</v>
      </c>
      <c r="C31" s="12" t="str">
        <f>'Planning Engine'!C747</f>
        <v>Bulk API/DS</v>
      </c>
      <c r="D31" s="12" t="str">
        <f>'Planning Engine'!D747</f>
        <v>kg</v>
      </c>
      <c r="E31" s="95">
        <f>'Planning Engine'!E747</f>
        <v>129.81999999999996</v>
      </c>
      <c r="F31" s="95">
        <f>'Planning Engine'!F747</f>
        <v>0</v>
      </c>
      <c r="G31" s="95">
        <f>'Planning Engine'!G747</f>
        <v>0</v>
      </c>
      <c r="H31" s="99">
        <f t="shared" si="0"/>
        <v>0</v>
      </c>
      <c r="I31" s="95">
        <f>'Planning Engine'!H747</f>
        <v>129.81999999999996</v>
      </c>
      <c r="J31" s="96">
        <f ca="1">'Planning Engine'!J747</f>
        <v>2.2708408031280305</v>
      </c>
      <c r="K31" s="95">
        <f ca="1">'Planning Engine'!K747</f>
        <v>554.69999999999993</v>
      </c>
      <c r="L31" s="12" t="str">
        <f ca="1">'Planning Engine'!L747</f>
        <v>High</v>
      </c>
      <c r="M31" s="93">
        <f>'Planning Engine'!S747</f>
        <v>46722</v>
      </c>
      <c r="N31" s="95">
        <f>'Planning Engine'!T747</f>
        <v>0</v>
      </c>
      <c r="O31" s="98" t="s">
        <v>1779</v>
      </c>
      <c r="P31" s="4" t="str">
        <f t="shared" ca="1" si="1"/>
        <v>⚠ Expedite / qualify alternate source</v>
      </c>
    </row>
    <row r="32" spans="1:16" ht="13" customHeight="1" x14ac:dyDescent="0.35">
      <c r="A32" s="93">
        <v>46905</v>
      </c>
      <c r="B32" s="61" t="s">
        <v>45</v>
      </c>
      <c r="C32" s="12" t="str">
        <f>'Planning Engine'!C748</f>
        <v>Bulk API/DS</v>
      </c>
      <c r="D32" s="12" t="str">
        <f>'Planning Engine'!D748</f>
        <v>kg</v>
      </c>
      <c r="E32" s="95">
        <f>'Planning Engine'!E748</f>
        <v>129.81999999999996</v>
      </c>
      <c r="F32" s="95">
        <f>'Planning Engine'!F748</f>
        <v>0</v>
      </c>
      <c r="G32" s="95">
        <f>'Planning Engine'!G748</f>
        <v>0</v>
      </c>
      <c r="H32" s="95">
        <f t="shared" si="0"/>
        <v>0</v>
      </c>
      <c r="I32" s="95">
        <f>'Planning Engine'!H748</f>
        <v>129.81999999999996</v>
      </c>
      <c r="J32" s="96">
        <f ca="1">'Planning Engine'!J748</f>
        <v>2.2708408031280305</v>
      </c>
      <c r="K32" s="95">
        <f ca="1">'Planning Engine'!K748</f>
        <v>554.69999999999993</v>
      </c>
      <c r="L32" s="12" t="str">
        <f ca="1">'Planning Engine'!L748</f>
        <v>High</v>
      </c>
      <c r="M32" s="93">
        <f>'Planning Engine'!S748</f>
        <v>46753</v>
      </c>
      <c r="N32" s="95">
        <f>'Planning Engine'!T748</f>
        <v>0</v>
      </c>
      <c r="O32" s="94" t="s">
        <v>1780</v>
      </c>
      <c r="P32" s="12" t="str">
        <f t="shared" ca="1" si="1"/>
        <v>⚠ Expedite / qualify alternate source</v>
      </c>
    </row>
    <row r="33" spans="1:16" ht="13" customHeight="1" x14ac:dyDescent="0.35">
      <c r="A33" s="97">
        <v>46935</v>
      </c>
      <c r="B33" s="53" t="s">
        <v>45</v>
      </c>
      <c r="C33" s="12" t="str">
        <f>'Planning Engine'!C749</f>
        <v>Bulk API/DS</v>
      </c>
      <c r="D33" s="12" t="str">
        <f>'Planning Engine'!D749</f>
        <v>kg</v>
      </c>
      <c r="E33" s="95">
        <f>'Planning Engine'!E749</f>
        <v>129.81999999999996</v>
      </c>
      <c r="F33" s="95">
        <f>'Planning Engine'!F749</f>
        <v>0</v>
      </c>
      <c r="G33" s="95">
        <f>'Planning Engine'!G749</f>
        <v>0</v>
      </c>
      <c r="H33" s="99">
        <f t="shared" si="0"/>
        <v>0</v>
      </c>
      <c r="I33" s="95">
        <f>'Planning Engine'!H749</f>
        <v>129.81999999999996</v>
      </c>
      <c r="J33" s="96">
        <f ca="1">'Planning Engine'!J749</f>
        <v>2.2708408031280305</v>
      </c>
      <c r="K33" s="95">
        <f ca="1">'Planning Engine'!K749</f>
        <v>554.69999999999993</v>
      </c>
      <c r="L33" s="12" t="str">
        <f ca="1">'Planning Engine'!L749</f>
        <v>High</v>
      </c>
      <c r="M33" s="93">
        <f>'Planning Engine'!S749</f>
        <v>46784</v>
      </c>
      <c r="N33" s="95">
        <f>'Planning Engine'!T749</f>
        <v>0</v>
      </c>
      <c r="O33" s="98" t="s">
        <v>1781</v>
      </c>
      <c r="P33" s="4" t="str">
        <f t="shared" ca="1" si="1"/>
        <v>⚠ Expedite / qualify alternate source</v>
      </c>
    </row>
    <row r="34" spans="1:16" ht="13" customHeight="1" x14ac:dyDescent="0.35">
      <c r="A34" s="93">
        <v>46966</v>
      </c>
      <c r="B34" s="61" t="s">
        <v>45</v>
      </c>
      <c r="C34" s="12" t="str">
        <f>'Planning Engine'!C750</f>
        <v>Bulk API/DS</v>
      </c>
      <c r="D34" s="12" t="str">
        <f>'Planning Engine'!D750</f>
        <v>kg</v>
      </c>
      <c r="E34" s="95">
        <f>'Planning Engine'!E750</f>
        <v>129.81999999999996</v>
      </c>
      <c r="F34" s="95">
        <f>'Planning Engine'!F750</f>
        <v>57.168252314814815</v>
      </c>
      <c r="G34" s="95">
        <f>'Planning Engine'!G750</f>
        <v>0</v>
      </c>
      <c r="H34" s="95">
        <f t="shared" si="0"/>
        <v>-57.168252314814815</v>
      </c>
      <c r="I34" s="95">
        <f>'Planning Engine'!H750</f>
        <v>72.651747685185143</v>
      </c>
      <c r="J34" s="96">
        <f ca="1">'Planning Engine'!J750</f>
        <v>1.2708408031280305</v>
      </c>
      <c r="K34" s="95">
        <f ca="1">'Planning Engine'!K750</f>
        <v>614.9</v>
      </c>
      <c r="L34" s="12" t="str">
        <f ca="1">'Planning Engine'!L750</f>
        <v>High</v>
      </c>
      <c r="M34" s="93">
        <f>'Planning Engine'!S750</f>
        <v>46813</v>
      </c>
      <c r="N34" s="95">
        <f>'Planning Engine'!T750</f>
        <v>0</v>
      </c>
      <c r="O34" s="94" t="s">
        <v>1782</v>
      </c>
      <c r="P34" s="12" t="str">
        <f t="shared" ca="1" si="1"/>
        <v>⚠ Expedite / qualify alternate source</v>
      </c>
    </row>
    <row r="35" spans="1:16" ht="13" customHeight="1" x14ac:dyDescent="0.35">
      <c r="A35" s="97">
        <v>46997</v>
      </c>
      <c r="B35" s="53" t="s">
        <v>45</v>
      </c>
      <c r="C35" s="12" t="str">
        <f>'Planning Engine'!C751</f>
        <v>Bulk API/DS</v>
      </c>
      <c r="D35" s="12" t="str">
        <f>'Planning Engine'!D751</f>
        <v>kg</v>
      </c>
      <c r="E35" s="95">
        <f>'Planning Engine'!E751</f>
        <v>72.651747685185143</v>
      </c>
      <c r="F35" s="95">
        <f>'Planning Engine'!F751</f>
        <v>0</v>
      </c>
      <c r="G35" s="95">
        <f>'Planning Engine'!G751</f>
        <v>0</v>
      </c>
      <c r="H35" s="99">
        <f t="shared" si="0"/>
        <v>0</v>
      </c>
      <c r="I35" s="95">
        <f>'Planning Engine'!H751</f>
        <v>72.651747685185143</v>
      </c>
      <c r="J35" s="96">
        <f ca="1">'Planning Engine'!J751</f>
        <v>999</v>
      </c>
      <c r="K35" s="95">
        <f ca="1">'Planning Engine'!K751</f>
        <v>0</v>
      </c>
      <c r="L35" s="12" t="str">
        <f ca="1">'Planning Engine'!L751</f>
        <v>Overstock</v>
      </c>
      <c r="M35" s="93">
        <f>'Planning Engine'!S751</f>
        <v>46844</v>
      </c>
      <c r="N35" s="95">
        <f>'Planning Engine'!T751</f>
        <v>0</v>
      </c>
      <c r="O35" s="98" t="s">
        <v>1783</v>
      </c>
      <c r="P35" s="4" t="str">
        <f t="shared" ca="1" si="1"/>
        <v>Defer receipts</v>
      </c>
    </row>
    <row r="36" spans="1:16" ht="13" customHeight="1" x14ac:dyDescent="0.35">
      <c r="A36" s="93">
        <v>47027</v>
      </c>
      <c r="B36" s="61" t="s">
        <v>45</v>
      </c>
      <c r="C36" s="12" t="str">
        <f>'Planning Engine'!C752</f>
        <v>Bulk API/DS</v>
      </c>
      <c r="D36" s="12" t="str">
        <f>'Planning Engine'!D752</f>
        <v>kg</v>
      </c>
      <c r="E36" s="95">
        <f>'Planning Engine'!E752</f>
        <v>72.651747685185143</v>
      </c>
      <c r="F36" s="95">
        <f>'Planning Engine'!F752</f>
        <v>0</v>
      </c>
      <c r="G36" s="95">
        <f>'Planning Engine'!G752</f>
        <v>0</v>
      </c>
      <c r="H36" s="95">
        <f t="shared" si="0"/>
        <v>0</v>
      </c>
      <c r="I36" s="95">
        <f>'Planning Engine'!H752</f>
        <v>72.651747685185143</v>
      </c>
      <c r="J36" s="96">
        <f ca="1">'Planning Engine'!J752</f>
        <v>999</v>
      </c>
      <c r="K36" s="95">
        <f ca="1">'Planning Engine'!K752</f>
        <v>0</v>
      </c>
      <c r="L36" s="12" t="str">
        <f ca="1">'Planning Engine'!L752</f>
        <v>Overstock</v>
      </c>
      <c r="M36" s="93">
        <f>'Planning Engine'!S752</f>
        <v>46874</v>
      </c>
      <c r="N36" s="95">
        <f>'Planning Engine'!T752</f>
        <v>0</v>
      </c>
      <c r="O36" s="94" t="s">
        <v>1784</v>
      </c>
      <c r="P36" s="12" t="str">
        <f t="shared" ca="1" si="1"/>
        <v>Defer receipts</v>
      </c>
    </row>
    <row r="37" spans="1:16" ht="13" customHeight="1" x14ac:dyDescent="0.35">
      <c r="A37" s="97">
        <v>47058</v>
      </c>
      <c r="B37" s="53" t="s">
        <v>45</v>
      </c>
      <c r="C37" s="12" t="str">
        <f>'Planning Engine'!C753</f>
        <v>Bulk API/DS</v>
      </c>
      <c r="D37" s="12" t="str">
        <f>'Planning Engine'!D753</f>
        <v>kg</v>
      </c>
      <c r="E37" s="95">
        <f>'Planning Engine'!E753</f>
        <v>72.651747685185143</v>
      </c>
      <c r="F37" s="95">
        <f>'Planning Engine'!F753</f>
        <v>0</v>
      </c>
      <c r="G37" s="95">
        <f>'Planning Engine'!G753</f>
        <v>0</v>
      </c>
      <c r="H37" s="99">
        <f t="shared" si="0"/>
        <v>0</v>
      </c>
      <c r="I37" s="95">
        <f>'Planning Engine'!H753</f>
        <v>72.651747685185143</v>
      </c>
      <c r="J37" s="96">
        <f ca="1">'Planning Engine'!J753</f>
        <v>999</v>
      </c>
      <c r="K37" s="95">
        <f ca="1">'Planning Engine'!K753</f>
        <v>0</v>
      </c>
      <c r="L37" s="12" t="str">
        <f ca="1">'Planning Engine'!L753</f>
        <v>Overstock</v>
      </c>
      <c r="M37" s="93">
        <f>'Planning Engine'!S753</f>
        <v>46905</v>
      </c>
      <c r="N37" s="95">
        <f>'Planning Engine'!T753</f>
        <v>0</v>
      </c>
      <c r="O37" s="98" t="s">
        <v>1785</v>
      </c>
      <c r="P37" s="4" t="str">
        <f t="shared" ca="1" si="1"/>
        <v>Defer receipts</v>
      </c>
    </row>
    <row r="38" spans="1:16" ht="13" customHeight="1" x14ac:dyDescent="0.35">
      <c r="A38" s="93">
        <v>47088</v>
      </c>
      <c r="B38" s="61" t="s">
        <v>45</v>
      </c>
      <c r="C38" s="12" t="str">
        <f>'Planning Engine'!C754</f>
        <v>Bulk API/DS</v>
      </c>
      <c r="D38" s="12" t="str">
        <f>'Planning Engine'!D754</f>
        <v>kg</v>
      </c>
      <c r="E38" s="95">
        <f>'Planning Engine'!E754</f>
        <v>72.651747685185143</v>
      </c>
      <c r="F38" s="95">
        <f>'Planning Engine'!F754</f>
        <v>0</v>
      </c>
      <c r="G38" s="95">
        <f>'Planning Engine'!G754</f>
        <v>0</v>
      </c>
      <c r="H38" s="95">
        <f t="shared" si="0"/>
        <v>0</v>
      </c>
      <c r="I38" s="95">
        <f>'Planning Engine'!H754</f>
        <v>72.651747685185143</v>
      </c>
      <c r="J38" s="96">
        <f ca="1">'Planning Engine'!J754</f>
        <v>999</v>
      </c>
      <c r="K38" s="95">
        <f ca="1">'Planning Engine'!K754</f>
        <v>0</v>
      </c>
      <c r="L38" s="12" t="str">
        <f ca="1">'Planning Engine'!L754</f>
        <v>Overstock</v>
      </c>
      <c r="M38" s="93">
        <f>'Planning Engine'!S754</f>
        <v>46935</v>
      </c>
      <c r="N38" s="95">
        <f>'Planning Engine'!T754</f>
        <v>0</v>
      </c>
      <c r="O38" s="94" t="s">
        <v>1786</v>
      </c>
      <c r="P38" s="12" t="str">
        <f t="shared" ca="1" si="1"/>
        <v>Defer receipts</v>
      </c>
    </row>
    <row r="39" spans="1:16" ht="13" customHeight="1" x14ac:dyDescent="0.35">
      <c r="A39" s="97">
        <v>47119</v>
      </c>
      <c r="B39" s="53" t="s">
        <v>45</v>
      </c>
      <c r="C39" s="12" t="str">
        <f>'Planning Engine'!C755</f>
        <v>Bulk API/DS</v>
      </c>
      <c r="D39" s="12" t="str">
        <f>'Planning Engine'!D755</f>
        <v>kg</v>
      </c>
      <c r="E39" s="95">
        <f>'Planning Engine'!E755</f>
        <v>72.651747685185143</v>
      </c>
      <c r="F39" s="95">
        <f>'Planning Engine'!F755</f>
        <v>0</v>
      </c>
      <c r="G39" s="95">
        <f>'Planning Engine'!G755</f>
        <v>0</v>
      </c>
      <c r="H39" s="99">
        <f t="shared" si="0"/>
        <v>0</v>
      </c>
      <c r="I39" s="95">
        <f>'Planning Engine'!H755</f>
        <v>72.651747685185143</v>
      </c>
      <c r="J39" s="96">
        <f ca="1">'Planning Engine'!J755</f>
        <v>999</v>
      </c>
      <c r="K39" s="95">
        <f ca="1">'Planning Engine'!K755</f>
        <v>0</v>
      </c>
      <c r="L39" s="12" t="str">
        <f ca="1">'Planning Engine'!L755</f>
        <v>Overstock</v>
      </c>
      <c r="M39" s="93">
        <f>'Planning Engine'!S755</f>
        <v>46966</v>
      </c>
      <c r="N39" s="95">
        <f>'Planning Engine'!T755</f>
        <v>0</v>
      </c>
      <c r="O39" s="98" t="s">
        <v>1787</v>
      </c>
      <c r="P39" s="4" t="str">
        <f t="shared" ca="1" si="1"/>
        <v>Defer receipts</v>
      </c>
    </row>
    <row r="40" spans="1:16" ht="13" customHeight="1" x14ac:dyDescent="0.35">
      <c r="A40" s="93">
        <v>47150</v>
      </c>
      <c r="B40" s="61" t="s">
        <v>45</v>
      </c>
      <c r="C40" s="12" t="str">
        <f>'Planning Engine'!C756</f>
        <v>Bulk API/DS</v>
      </c>
      <c r="D40" s="12" t="str">
        <f>'Planning Engine'!D756</f>
        <v>kg</v>
      </c>
      <c r="E40" s="95">
        <f>'Planning Engine'!E756</f>
        <v>72.651747685185143</v>
      </c>
      <c r="F40" s="95">
        <f>'Planning Engine'!F756</f>
        <v>0</v>
      </c>
      <c r="G40" s="95">
        <f>'Planning Engine'!G756</f>
        <v>0</v>
      </c>
      <c r="H40" s="95">
        <f t="shared" si="0"/>
        <v>0</v>
      </c>
      <c r="I40" s="95">
        <f>'Planning Engine'!H756</f>
        <v>72.651747685185143</v>
      </c>
      <c r="J40" s="96">
        <f ca="1">'Planning Engine'!J756</f>
        <v>999</v>
      </c>
      <c r="K40" s="95">
        <f ca="1">'Planning Engine'!K756</f>
        <v>0</v>
      </c>
      <c r="L40" s="12" t="str">
        <f ca="1">'Planning Engine'!L756</f>
        <v>Overstock</v>
      </c>
      <c r="M40" s="93">
        <f>'Planning Engine'!S756</f>
        <v>46997</v>
      </c>
      <c r="N40" s="95">
        <f>'Planning Engine'!T756</f>
        <v>0</v>
      </c>
      <c r="O40" s="94" t="s">
        <v>1788</v>
      </c>
      <c r="P40" s="12" t="str">
        <f t="shared" ca="1" si="1"/>
        <v>Defer receipts</v>
      </c>
    </row>
    <row r="41" spans="1:16" ht="13" customHeight="1" x14ac:dyDescent="0.35">
      <c r="A41" s="97">
        <v>47178</v>
      </c>
      <c r="B41" s="53" t="s">
        <v>45</v>
      </c>
      <c r="C41" s="12" t="str">
        <f>'Planning Engine'!C757</f>
        <v>Bulk API/DS</v>
      </c>
      <c r="D41" s="12" t="str">
        <f>'Planning Engine'!D757</f>
        <v>kg</v>
      </c>
      <c r="E41" s="95">
        <f>'Planning Engine'!E757</f>
        <v>72.651747685185143</v>
      </c>
      <c r="F41" s="95">
        <f>'Planning Engine'!F757</f>
        <v>0</v>
      </c>
      <c r="G41" s="95">
        <f>'Planning Engine'!G757</f>
        <v>0</v>
      </c>
      <c r="H41" s="99">
        <f t="shared" si="0"/>
        <v>0</v>
      </c>
      <c r="I41" s="95">
        <f>'Planning Engine'!H757</f>
        <v>72.651747685185143</v>
      </c>
      <c r="J41" s="96">
        <f ca="1">'Planning Engine'!J757</f>
        <v>999</v>
      </c>
      <c r="K41" s="95">
        <f ca="1">'Planning Engine'!K757</f>
        <v>0</v>
      </c>
      <c r="L41" s="12" t="str">
        <f ca="1">'Planning Engine'!L757</f>
        <v>Overstock</v>
      </c>
      <c r="M41" s="93">
        <f>'Planning Engine'!S757</f>
        <v>47027</v>
      </c>
      <c r="N41" s="95">
        <f>'Planning Engine'!T757</f>
        <v>0</v>
      </c>
      <c r="O41" s="98" t="s">
        <v>1789</v>
      </c>
      <c r="P41" s="4" t="str">
        <f t="shared" ca="1" si="1"/>
        <v>Defer receipts</v>
      </c>
    </row>
    <row r="42" spans="1:16" ht="13" customHeight="1" x14ac:dyDescent="0.35">
      <c r="A42" s="93">
        <v>47209</v>
      </c>
      <c r="B42" s="61" t="s">
        <v>45</v>
      </c>
      <c r="C42" s="12" t="str">
        <f>'Planning Engine'!C758</f>
        <v>Bulk API/DS</v>
      </c>
      <c r="D42" s="12" t="str">
        <f>'Planning Engine'!D758</f>
        <v>kg</v>
      </c>
      <c r="E42" s="95">
        <f>'Planning Engine'!E758</f>
        <v>72.651747685185143</v>
      </c>
      <c r="F42" s="95">
        <f>'Planning Engine'!F758</f>
        <v>0</v>
      </c>
      <c r="G42" s="95">
        <f>'Planning Engine'!G758</f>
        <v>0</v>
      </c>
      <c r="H42" s="95">
        <f t="shared" si="0"/>
        <v>0</v>
      </c>
      <c r="I42" s="95">
        <f>'Planning Engine'!H758</f>
        <v>72.651747685185143</v>
      </c>
      <c r="J42" s="96">
        <f ca="1">'Planning Engine'!J758</f>
        <v>999</v>
      </c>
      <c r="K42" s="95">
        <f ca="1">'Planning Engine'!K758</f>
        <v>0</v>
      </c>
      <c r="L42" s="12" t="str">
        <f ca="1">'Planning Engine'!L758</f>
        <v>Overstock</v>
      </c>
      <c r="M42" s="93">
        <f>'Planning Engine'!S758</f>
        <v>47058</v>
      </c>
      <c r="N42" s="95">
        <f>'Planning Engine'!T758</f>
        <v>0</v>
      </c>
      <c r="O42" s="94" t="s">
        <v>1790</v>
      </c>
      <c r="P42" s="12" t="str">
        <f t="shared" ca="1" si="1"/>
        <v>Defer receipts</v>
      </c>
    </row>
    <row r="43" spans="1:16" ht="13" customHeight="1" x14ac:dyDescent="0.35">
      <c r="A43" s="97">
        <v>47239</v>
      </c>
      <c r="B43" s="53" t="s">
        <v>45</v>
      </c>
      <c r="C43" s="12" t="str">
        <f>'Planning Engine'!C759</f>
        <v>Bulk API/DS</v>
      </c>
      <c r="D43" s="12" t="str">
        <f>'Planning Engine'!D759</f>
        <v>kg</v>
      </c>
      <c r="E43" s="95">
        <f>'Planning Engine'!E759</f>
        <v>72.651747685185143</v>
      </c>
      <c r="F43" s="95">
        <f>'Planning Engine'!F759</f>
        <v>0</v>
      </c>
      <c r="G43" s="95">
        <f>'Planning Engine'!G759</f>
        <v>0</v>
      </c>
      <c r="H43" s="99">
        <f t="shared" si="0"/>
        <v>0</v>
      </c>
      <c r="I43" s="95">
        <f>'Planning Engine'!H759</f>
        <v>72.651747685185143</v>
      </c>
      <c r="J43" s="96">
        <f ca="1">'Planning Engine'!J759</f>
        <v>999</v>
      </c>
      <c r="K43" s="95">
        <f ca="1">'Planning Engine'!K759</f>
        <v>0</v>
      </c>
      <c r="L43" s="12" t="str">
        <f ca="1">'Planning Engine'!L759</f>
        <v>Overstock</v>
      </c>
      <c r="M43" s="93">
        <f>'Planning Engine'!S759</f>
        <v>47088</v>
      </c>
      <c r="N43" s="95">
        <f>'Planning Engine'!T759</f>
        <v>0</v>
      </c>
      <c r="O43" s="98" t="s">
        <v>1791</v>
      </c>
      <c r="P43" s="4" t="str">
        <f t="shared" ca="1" si="1"/>
        <v>Defer receipts</v>
      </c>
    </row>
    <row r="44" spans="1:16" ht="13" customHeight="1" x14ac:dyDescent="0.35">
      <c r="A44" s="93">
        <v>47270</v>
      </c>
      <c r="B44" s="61" t="s">
        <v>45</v>
      </c>
      <c r="C44" s="12" t="str">
        <f>'Planning Engine'!C760</f>
        <v>Bulk API/DS</v>
      </c>
      <c r="D44" s="12" t="str">
        <f>'Planning Engine'!D760</f>
        <v>kg</v>
      </c>
      <c r="E44" s="95">
        <f>'Planning Engine'!E760</f>
        <v>72.651747685185143</v>
      </c>
      <c r="F44" s="95">
        <f>'Planning Engine'!F760</f>
        <v>0</v>
      </c>
      <c r="G44" s="95">
        <f>'Planning Engine'!G760</f>
        <v>0</v>
      </c>
      <c r="H44" s="95">
        <f t="shared" si="0"/>
        <v>0</v>
      </c>
      <c r="I44" s="95">
        <f>'Planning Engine'!H760</f>
        <v>72.651747685185143</v>
      </c>
      <c r="J44" s="96">
        <f ca="1">'Planning Engine'!J760</f>
        <v>999</v>
      </c>
      <c r="K44" s="95">
        <f ca="1">'Planning Engine'!K760</f>
        <v>0</v>
      </c>
      <c r="L44" s="12" t="str">
        <f ca="1">'Planning Engine'!L760</f>
        <v>Overstock</v>
      </c>
      <c r="M44" s="93">
        <f>'Planning Engine'!S760</f>
        <v>47119</v>
      </c>
      <c r="N44" s="95">
        <f>'Planning Engine'!T760</f>
        <v>0</v>
      </c>
      <c r="O44" s="94" t="s">
        <v>1792</v>
      </c>
      <c r="P44" s="12" t="str">
        <f t="shared" ca="1" si="1"/>
        <v>Defer receipts</v>
      </c>
    </row>
    <row r="45" spans="1:16" ht="13" customHeight="1" x14ac:dyDescent="0.35">
      <c r="A45" s="97">
        <v>47300</v>
      </c>
      <c r="B45" s="53" t="s">
        <v>45</v>
      </c>
      <c r="C45" s="12" t="str">
        <f>'Planning Engine'!C761</f>
        <v>Bulk API/DS</v>
      </c>
      <c r="D45" s="12" t="str">
        <f>'Planning Engine'!D761</f>
        <v>kg</v>
      </c>
      <c r="E45" s="95">
        <f>'Planning Engine'!E761</f>
        <v>72.651747685185143</v>
      </c>
      <c r="F45" s="95">
        <f>'Planning Engine'!F761</f>
        <v>0</v>
      </c>
      <c r="G45" s="95">
        <f>'Planning Engine'!G761</f>
        <v>0</v>
      </c>
      <c r="H45" s="99">
        <f t="shared" si="0"/>
        <v>0</v>
      </c>
      <c r="I45" s="95">
        <f>'Planning Engine'!H761</f>
        <v>72.651747685185143</v>
      </c>
      <c r="J45" s="96">
        <f ca="1">'Planning Engine'!J761</f>
        <v>999</v>
      </c>
      <c r="K45" s="95">
        <f ca="1">'Planning Engine'!K761</f>
        <v>0</v>
      </c>
      <c r="L45" s="12" t="str">
        <f ca="1">'Planning Engine'!L761</f>
        <v>Overstock</v>
      </c>
      <c r="M45" s="93">
        <f>'Planning Engine'!S761</f>
        <v>47150</v>
      </c>
      <c r="N45" s="95">
        <f>'Planning Engine'!T761</f>
        <v>0</v>
      </c>
      <c r="O45" s="98" t="s">
        <v>1793</v>
      </c>
      <c r="P45" s="4" t="str">
        <f t="shared" ca="1" si="1"/>
        <v>Defer receipts</v>
      </c>
    </row>
    <row r="46" spans="1:16" ht="13" customHeight="1" x14ac:dyDescent="0.35">
      <c r="A46" s="93">
        <v>47331</v>
      </c>
      <c r="B46" s="61" t="s">
        <v>45</v>
      </c>
      <c r="C46" s="12" t="str">
        <f>'Planning Engine'!C762</f>
        <v>Bulk API/DS</v>
      </c>
      <c r="D46" s="12" t="str">
        <f>'Planning Engine'!D762</f>
        <v>kg</v>
      </c>
      <c r="E46" s="95">
        <f>'Planning Engine'!E762</f>
        <v>72.651747685185143</v>
      </c>
      <c r="F46" s="95">
        <f>'Planning Engine'!F762</f>
        <v>0</v>
      </c>
      <c r="G46" s="95">
        <f>'Planning Engine'!G762</f>
        <v>0</v>
      </c>
      <c r="H46" s="95">
        <f t="shared" si="0"/>
        <v>0</v>
      </c>
      <c r="I46" s="95">
        <f>'Planning Engine'!H762</f>
        <v>72.651747685185143</v>
      </c>
      <c r="J46" s="96">
        <f ca="1">'Planning Engine'!J762</f>
        <v>999</v>
      </c>
      <c r="K46" s="95">
        <f ca="1">'Planning Engine'!K762</f>
        <v>0</v>
      </c>
      <c r="L46" s="12" t="str">
        <f ca="1">'Planning Engine'!L762</f>
        <v>Overstock</v>
      </c>
      <c r="M46" s="93">
        <f>'Planning Engine'!S762</f>
        <v>47178</v>
      </c>
      <c r="N46" s="95">
        <f>'Planning Engine'!T762</f>
        <v>0</v>
      </c>
      <c r="O46" s="94" t="s">
        <v>1794</v>
      </c>
      <c r="P46" s="12" t="str">
        <f t="shared" ca="1" si="1"/>
        <v>Defer receipts</v>
      </c>
    </row>
    <row r="47" spans="1:16" ht="13" customHeight="1" x14ac:dyDescent="0.35">
      <c r="A47" s="97">
        <v>47362</v>
      </c>
      <c r="B47" s="53" t="s">
        <v>45</v>
      </c>
      <c r="C47" s="12" t="str">
        <f>'Planning Engine'!C763</f>
        <v>Bulk API/DS</v>
      </c>
      <c r="D47" s="12" t="str">
        <f>'Planning Engine'!D763</f>
        <v>kg</v>
      </c>
      <c r="E47" s="95">
        <f>'Planning Engine'!E763</f>
        <v>72.651747685185143</v>
      </c>
      <c r="F47" s="95">
        <f>'Planning Engine'!F763</f>
        <v>0</v>
      </c>
      <c r="G47" s="95">
        <f>'Planning Engine'!G763</f>
        <v>0</v>
      </c>
      <c r="H47" s="99">
        <f t="shared" si="0"/>
        <v>0</v>
      </c>
      <c r="I47" s="95">
        <f>'Planning Engine'!H763</f>
        <v>72.651747685185143</v>
      </c>
      <c r="J47" s="96">
        <f ca="1">'Planning Engine'!J763</f>
        <v>999</v>
      </c>
      <c r="K47" s="95">
        <f ca="1">'Planning Engine'!K763</f>
        <v>0</v>
      </c>
      <c r="L47" s="12" t="str">
        <f ca="1">'Planning Engine'!L763</f>
        <v>Overstock</v>
      </c>
      <c r="M47" s="93">
        <f>'Planning Engine'!S763</f>
        <v>47209</v>
      </c>
      <c r="N47" s="95">
        <f>'Planning Engine'!T763</f>
        <v>0</v>
      </c>
      <c r="O47" s="98" t="s">
        <v>1795</v>
      </c>
      <c r="P47" s="4" t="str">
        <f t="shared" ca="1" si="1"/>
        <v>Defer receipts</v>
      </c>
    </row>
    <row r="48" spans="1:16" ht="13" customHeight="1" x14ac:dyDescent="0.35">
      <c r="A48" s="93">
        <v>47392</v>
      </c>
      <c r="B48" s="61" t="s">
        <v>45</v>
      </c>
      <c r="C48" s="12" t="str">
        <f>'Planning Engine'!C764</f>
        <v>Bulk API/DS</v>
      </c>
      <c r="D48" s="12" t="str">
        <f>'Planning Engine'!D764</f>
        <v>kg</v>
      </c>
      <c r="E48" s="95">
        <f>'Planning Engine'!E764</f>
        <v>72.651747685185143</v>
      </c>
      <c r="F48" s="95">
        <f>'Planning Engine'!F764</f>
        <v>0</v>
      </c>
      <c r="G48" s="95">
        <f>'Planning Engine'!G764</f>
        <v>0</v>
      </c>
      <c r="H48" s="95">
        <f t="shared" si="0"/>
        <v>0</v>
      </c>
      <c r="I48" s="95">
        <f>'Planning Engine'!H764</f>
        <v>72.651747685185143</v>
      </c>
      <c r="J48" s="96">
        <f ca="1">'Planning Engine'!J764</f>
        <v>999</v>
      </c>
      <c r="K48" s="95">
        <f ca="1">'Planning Engine'!K764</f>
        <v>0</v>
      </c>
      <c r="L48" s="12" t="str">
        <f ca="1">'Planning Engine'!L764</f>
        <v>Overstock</v>
      </c>
      <c r="M48" s="93">
        <f>'Planning Engine'!S764</f>
        <v>47239</v>
      </c>
      <c r="N48" s="95">
        <f>'Planning Engine'!T764</f>
        <v>0</v>
      </c>
      <c r="O48" s="94" t="s">
        <v>1796</v>
      </c>
      <c r="P48" s="12" t="str">
        <f t="shared" ca="1" si="1"/>
        <v>Defer receipts</v>
      </c>
    </row>
    <row r="49" spans="1:16" ht="13" customHeight="1" x14ac:dyDescent="0.35">
      <c r="A49" s="97">
        <v>47423</v>
      </c>
      <c r="B49" s="53" t="s">
        <v>45</v>
      </c>
      <c r="C49" s="12" t="str">
        <f>'Planning Engine'!C765</f>
        <v>Bulk API/DS</v>
      </c>
      <c r="D49" s="12" t="str">
        <f>'Planning Engine'!D765</f>
        <v>kg</v>
      </c>
      <c r="E49" s="95">
        <f>'Planning Engine'!E765</f>
        <v>72.651747685185143</v>
      </c>
      <c r="F49" s="95">
        <f>'Planning Engine'!F765</f>
        <v>0</v>
      </c>
      <c r="G49" s="95">
        <f>'Planning Engine'!G765</f>
        <v>0</v>
      </c>
      <c r="H49" s="99">
        <f t="shared" si="0"/>
        <v>0</v>
      </c>
      <c r="I49" s="95">
        <f>'Planning Engine'!H765</f>
        <v>72.651747685185143</v>
      </c>
      <c r="J49" s="96">
        <f ca="1">'Planning Engine'!J765</f>
        <v>999</v>
      </c>
      <c r="K49" s="95">
        <f ca="1">'Planning Engine'!K765</f>
        <v>0</v>
      </c>
      <c r="L49" s="12" t="str">
        <f ca="1">'Planning Engine'!L765</f>
        <v>Overstock</v>
      </c>
      <c r="M49" s="93">
        <f>'Planning Engine'!S765</f>
        <v>47270</v>
      </c>
      <c r="N49" s="95">
        <f>'Planning Engine'!T765</f>
        <v>0</v>
      </c>
      <c r="O49" s="98" t="s">
        <v>1797</v>
      </c>
      <c r="P49" s="4" t="str">
        <f t="shared" ca="1" si="1"/>
        <v>Defer receipts</v>
      </c>
    </row>
    <row r="50" spans="1:16" ht="13" customHeight="1" x14ac:dyDescent="0.35">
      <c r="A50" s="93">
        <v>47453</v>
      </c>
      <c r="B50" s="61" t="s">
        <v>45</v>
      </c>
      <c r="C50" s="12" t="str">
        <f>'Planning Engine'!C766</f>
        <v>Bulk API/DS</v>
      </c>
      <c r="D50" s="12" t="str">
        <f>'Planning Engine'!D766</f>
        <v>kg</v>
      </c>
      <c r="E50" s="95">
        <f>'Planning Engine'!E766</f>
        <v>72.651747685185143</v>
      </c>
      <c r="F50" s="95">
        <f>'Planning Engine'!F766</f>
        <v>0</v>
      </c>
      <c r="G50" s="95">
        <f>'Planning Engine'!G766</f>
        <v>0</v>
      </c>
      <c r="H50" s="95">
        <f t="shared" si="0"/>
        <v>0</v>
      </c>
      <c r="I50" s="95">
        <f>'Planning Engine'!H766</f>
        <v>72.651747685185143</v>
      </c>
      <c r="J50" s="96">
        <f ca="1">'Planning Engine'!J766</f>
        <v>999</v>
      </c>
      <c r="K50" s="95">
        <f ca="1">'Planning Engine'!K766</f>
        <v>0</v>
      </c>
      <c r="L50" s="12" t="str">
        <f ca="1">'Planning Engine'!L766</f>
        <v>Overstock</v>
      </c>
      <c r="M50" s="93">
        <f>'Planning Engine'!S766</f>
        <v>47300</v>
      </c>
      <c r="N50" s="95">
        <f>'Planning Engine'!T766</f>
        <v>0</v>
      </c>
      <c r="O50" s="94" t="s">
        <v>1798</v>
      </c>
      <c r="P50" s="12" t="str">
        <f t="shared" ca="1" si="1"/>
        <v>Defer receipts</v>
      </c>
    </row>
    <row r="51" spans="1:16" ht="13" customHeight="1" x14ac:dyDescent="0.35">
      <c r="A51" s="97">
        <v>47484</v>
      </c>
      <c r="B51" s="53" t="s">
        <v>45</v>
      </c>
      <c r="C51" s="12" t="str">
        <f>'Planning Engine'!C767</f>
        <v>Bulk API/DS</v>
      </c>
      <c r="D51" s="12" t="str">
        <f>'Planning Engine'!D767</f>
        <v>kg</v>
      </c>
      <c r="E51" s="95">
        <f>'Planning Engine'!E767</f>
        <v>72.651747685185143</v>
      </c>
      <c r="F51" s="95">
        <f>'Planning Engine'!F767</f>
        <v>0</v>
      </c>
      <c r="G51" s="95">
        <f>'Planning Engine'!G767</f>
        <v>0</v>
      </c>
      <c r="H51" s="99">
        <f t="shared" si="0"/>
        <v>0</v>
      </c>
      <c r="I51" s="95">
        <f>'Planning Engine'!H767</f>
        <v>72.651747685185143</v>
      </c>
      <c r="J51" s="96">
        <f ca="1">'Planning Engine'!J767</f>
        <v>999</v>
      </c>
      <c r="K51" s="95">
        <f ca="1">'Planning Engine'!K767</f>
        <v>0</v>
      </c>
      <c r="L51" s="12" t="str">
        <f ca="1">'Planning Engine'!L767</f>
        <v>Overstock</v>
      </c>
      <c r="M51" s="93">
        <f>'Planning Engine'!S767</f>
        <v>47331</v>
      </c>
      <c r="N51" s="95">
        <f>'Planning Engine'!T767</f>
        <v>0</v>
      </c>
      <c r="O51" s="98" t="s">
        <v>1799</v>
      </c>
      <c r="P51" s="4" t="str">
        <f t="shared" ca="1" si="1"/>
        <v>Defer receipts</v>
      </c>
    </row>
    <row r="52" spans="1:16" ht="13" customHeight="1" x14ac:dyDescent="0.35">
      <c r="A52" s="93">
        <v>47515</v>
      </c>
      <c r="B52" s="61" t="s">
        <v>45</v>
      </c>
      <c r="C52" s="12" t="str">
        <f>'Planning Engine'!C768</f>
        <v>Bulk API/DS</v>
      </c>
      <c r="D52" s="12" t="str">
        <f>'Planning Engine'!D768</f>
        <v>kg</v>
      </c>
      <c r="E52" s="95">
        <f>'Planning Engine'!E768</f>
        <v>72.651747685185143</v>
      </c>
      <c r="F52" s="95">
        <f>'Planning Engine'!F768</f>
        <v>0</v>
      </c>
      <c r="G52" s="95">
        <f>'Planning Engine'!G768</f>
        <v>0</v>
      </c>
      <c r="H52" s="95">
        <f t="shared" si="0"/>
        <v>0</v>
      </c>
      <c r="I52" s="95">
        <f>'Planning Engine'!H768</f>
        <v>72.651747685185143</v>
      </c>
      <c r="J52" s="96">
        <f ca="1">'Planning Engine'!J768</f>
        <v>999</v>
      </c>
      <c r="K52" s="95">
        <f ca="1">'Planning Engine'!K768</f>
        <v>0</v>
      </c>
      <c r="L52" s="12" t="str">
        <f ca="1">'Planning Engine'!L768</f>
        <v>Overstock</v>
      </c>
      <c r="M52" s="93">
        <f>'Planning Engine'!S768</f>
        <v>47362</v>
      </c>
      <c r="N52" s="95">
        <f>'Planning Engine'!T768</f>
        <v>0</v>
      </c>
      <c r="O52" s="94" t="s">
        <v>1800</v>
      </c>
      <c r="P52" s="12" t="str">
        <f t="shared" ca="1" si="1"/>
        <v>Defer receipts</v>
      </c>
    </row>
    <row r="53" spans="1:16" ht="13" customHeight="1" x14ac:dyDescent="0.35">
      <c r="A53" s="97">
        <v>47543</v>
      </c>
      <c r="B53" s="53" t="s">
        <v>45</v>
      </c>
      <c r="C53" s="12" t="str">
        <f>'Planning Engine'!C769</f>
        <v>Bulk API/DS</v>
      </c>
      <c r="D53" s="12" t="str">
        <f>'Planning Engine'!D769</f>
        <v>kg</v>
      </c>
      <c r="E53" s="95">
        <f>'Planning Engine'!E769</f>
        <v>72.651747685185143</v>
      </c>
      <c r="F53" s="95">
        <f>'Planning Engine'!F769</f>
        <v>0</v>
      </c>
      <c r="G53" s="95">
        <f>'Planning Engine'!G769</f>
        <v>0</v>
      </c>
      <c r="H53" s="99">
        <f t="shared" si="0"/>
        <v>0</v>
      </c>
      <c r="I53" s="95">
        <f>'Planning Engine'!H769</f>
        <v>72.651747685185143</v>
      </c>
      <c r="J53" s="96">
        <f ca="1">'Planning Engine'!J769</f>
        <v>999</v>
      </c>
      <c r="K53" s="95">
        <f ca="1">'Planning Engine'!K769</f>
        <v>0</v>
      </c>
      <c r="L53" s="12" t="str">
        <f ca="1">'Planning Engine'!L769</f>
        <v>Overstock</v>
      </c>
      <c r="M53" s="93">
        <f>'Planning Engine'!S769</f>
        <v>47392</v>
      </c>
      <c r="N53" s="95">
        <f>'Planning Engine'!T769</f>
        <v>0</v>
      </c>
      <c r="O53" s="98" t="s">
        <v>1801</v>
      </c>
      <c r="P53" s="4" t="str">
        <f t="shared" ca="1" si="1"/>
        <v>Defer receipts</v>
      </c>
    </row>
    <row r="54" spans="1:16" ht="13" customHeight="1" x14ac:dyDescent="0.35">
      <c r="A54" s="93">
        <v>47574</v>
      </c>
      <c r="B54" s="61" t="s">
        <v>45</v>
      </c>
      <c r="C54" s="12" t="str">
        <f>'Planning Engine'!C770</f>
        <v>Bulk API/DS</v>
      </c>
      <c r="D54" s="12" t="str">
        <f>'Planning Engine'!D770</f>
        <v>kg</v>
      </c>
      <c r="E54" s="95">
        <f>'Planning Engine'!E770</f>
        <v>72.651747685185143</v>
      </c>
      <c r="F54" s="95">
        <f>'Planning Engine'!F770</f>
        <v>0</v>
      </c>
      <c r="G54" s="95">
        <f>'Planning Engine'!G770</f>
        <v>0</v>
      </c>
      <c r="H54" s="95">
        <f t="shared" si="0"/>
        <v>0</v>
      </c>
      <c r="I54" s="95">
        <f>'Planning Engine'!H770</f>
        <v>72.651747685185143</v>
      </c>
      <c r="J54" s="96">
        <f ca="1">'Planning Engine'!J770</f>
        <v>999</v>
      </c>
      <c r="K54" s="95">
        <f ca="1">'Planning Engine'!K770</f>
        <v>0</v>
      </c>
      <c r="L54" s="12" t="str">
        <f ca="1">'Planning Engine'!L770</f>
        <v>Overstock</v>
      </c>
      <c r="M54" s="93">
        <f>'Planning Engine'!S770</f>
        <v>47423</v>
      </c>
      <c r="N54" s="95">
        <f>'Planning Engine'!T770</f>
        <v>0</v>
      </c>
      <c r="O54" s="94" t="s">
        <v>1802</v>
      </c>
      <c r="P54" s="12" t="str">
        <f t="shared" ca="1" si="1"/>
        <v>Defer receipts</v>
      </c>
    </row>
    <row r="55" spans="1:16" ht="13" customHeight="1" x14ac:dyDescent="0.35">
      <c r="A55" s="97">
        <v>47604</v>
      </c>
      <c r="B55" s="53" t="s">
        <v>45</v>
      </c>
      <c r="C55" s="12" t="str">
        <f>'Planning Engine'!C771</f>
        <v>Bulk API/DS</v>
      </c>
      <c r="D55" s="12" t="str">
        <f>'Planning Engine'!D771</f>
        <v>kg</v>
      </c>
      <c r="E55" s="95">
        <f>'Planning Engine'!E771</f>
        <v>72.651747685185143</v>
      </c>
      <c r="F55" s="95">
        <f>'Planning Engine'!F771</f>
        <v>0</v>
      </c>
      <c r="G55" s="95">
        <f>'Planning Engine'!G771</f>
        <v>0</v>
      </c>
      <c r="H55" s="99">
        <f t="shared" si="0"/>
        <v>0</v>
      </c>
      <c r="I55" s="95">
        <f>'Planning Engine'!H771</f>
        <v>72.651747685185143</v>
      </c>
      <c r="J55" s="96">
        <f ca="1">'Planning Engine'!J771</f>
        <v>999</v>
      </c>
      <c r="K55" s="95">
        <f ca="1">'Planning Engine'!K771</f>
        <v>0</v>
      </c>
      <c r="L55" s="12" t="str">
        <f ca="1">'Planning Engine'!L771</f>
        <v>Overstock</v>
      </c>
      <c r="M55" s="93">
        <f>'Planning Engine'!S771</f>
        <v>47453</v>
      </c>
      <c r="N55" s="95">
        <f>'Planning Engine'!T771</f>
        <v>0</v>
      </c>
      <c r="O55" s="98" t="s">
        <v>1803</v>
      </c>
      <c r="P55" s="4" t="str">
        <f t="shared" ca="1" si="1"/>
        <v>Defer receipts</v>
      </c>
    </row>
    <row r="56" spans="1:16" ht="13" customHeight="1" x14ac:dyDescent="0.35">
      <c r="A56" s="93">
        <v>47635</v>
      </c>
      <c r="B56" s="61" t="s">
        <v>45</v>
      </c>
      <c r="C56" s="12" t="str">
        <f>'Planning Engine'!C772</f>
        <v>Bulk API/DS</v>
      </c>
      <c r="D56" s="12" t="str">
        <f>'Planning Engine'!D772</f>
        <v>kg</v>
      </c>
      <c r="E56" s="95">
        <f>'Planning Engine'!E772</f>
        <v>72.651747685185143</v>
      </c>
      <c r="F56" s="95">
        <f>'Planning Engine'!F772</f>
        <v>0</v>
      </c>
      <c r="G56" s="95">
        <f>'Planning Engine'!G772</f>
        <v>0</v>
      </c>
      <c r="H56" s="95">
        <f t="shared" si="0"/>
        <v>0</v>
      </c>
      <c r="I56" s="95">
        <f>'Planning Engine'!H772</f>
        <v>72.651747685185143</v>
      </c>
      <c r="J56" s="96">
        <f ca="1">'Planning Engine'!J772</f>
        <v>999</v>
      </c>
      <c r="K56" s="95">
        <f ca="1">'Planning Engine'!K772</f>
        <v>0</v>
      </c>
      <c r="L56" s="12" t="str">
        <f ca="1">'Planning Engine'!L772</f>
        <v>Overstock</v>
      </c>
      <c r="M56" s="93">
        <f>'Planning Engine'!S772</f>
        <v>47484</v>
      </c>
      <c r="N56" s="95">
        <f>'Planning Engine'!T772</f>
        <v>0</v>
      </c>
      <c r="O56" s="94" t="s">
        <v>1804</v>
      </c>
      <c r="P56" s="12" t="str">
        <f t="shared" ca="1" si="1"/>
        <v>Defer receipts</v>
      </c>
    </row>
    <row r="57" spans="1:16" ht="13" customHeight="1" x14ac:dyDescent="0.35">
      <c r="A57" s="97">
        <v>47665</v>
      </c>
      <c r="B57" s="53" t="s">
        <v>45</v>
      </c>
      <c r="C57" s="12" t="str">
        <f>'Planning Engine'!C773</f>
        <v>Bulk API/DS</v>
      </c>
      <c r="D57" s="12" t="str">
        <f>'Planning Engine'!D773</f>
        <v>kg</v>
      </c>
      <c r="E57" s="95">
        <f>'Planning Engine'!E773</f>
        <v>72.651747685185143</v>
      </c>
      <c r="F57" s="95">
        <f>'Planning Engine'!F773</f>
        <v>0</v>
      </c>
      <c r="G57" s="95">
        <f>'Planning Engine'!G773</f>
        <v>0</v>
      </c>
      <c r="H57" s="99">
        <f t="shared" si="0"/>
        <v>0</v>
      </c>
      <c r="I57" s="95">
        <f>'Planning Engine'!H773</f>
        <v>72.651747685185143</v>
      </c>
      <c r="J57" s="96">
        <f ca="1">'Planning Engine'!J773</f>
        <v>999</v>
      </c>
      <c r="K57" s="95">
        <f ca="1">'Planning Engine'!K773</f>
        <v>0</v>
      </c>
      <c r="L57" s="12" t="str">
        <f ca="1">'Planning Engine'!L773</f>
        <v>Overstock</v>
      </c>
      <c r="M57" s="93">
        <f>'Planning Engine'!S773</f>
        <v>47515</v>
      </c>
      <c r="N57" s="95">
        <f>'Planning Engine'!T773</f>
        <v>0</v>
      </c>
      <c r="O57" s="98" t="s">
        <v>1805</v>
      </c>
      <c r="P57" s="4" t="str">
        <f t="shared" ca="1" si="1"/>
        <v>Defer receipts</v>
      </c>
    </row>
    <row r="58" spans="1:16" ht="13" customHeight="1" x14ac:dyDescent="0.35">
      <c r="A58" s="93">
        <v>47696</v>
      </c>
      <c r="B58" s="61" t="s">
        <v>45</v>
      </c>
      <c r="C58" s="12" t="str">
        <f>'Planning Engine'!C774</f>
        <v>Bulk API/DS</v>
      </c>
      <c r="D58" s="12" t="str">
        <f>'Planning Engine'!D774</f>
        <v>kg</v>
      </c>
      <c r="E58" s="95">
        <f>'Planning Engine'!E774</f>
        <v>72.651747685185143</v>
      </c>
      <c r="F58" s="95">
        <f>'Planning Engine'!F774</f>
        <v>0</v>
      </c>
      <c r="G58" s="95">
        <f>'Planning Engine'!G774</f>
        <v>0</v>
      </c>
      <c r="H58" s="95">
        <f t="shared" si="0"/>
        <v>0</v>
      </c>
      <c r="I58" s="95">
        <f>'Planning Engine'!H774</f>
        <v>72.651747685185143</v>
      </c>
      <c r="J58" s="96">
        <f ca="1">'Planning Engine'!J774</f>
        <v>999</v>
      </c>
      <c r="K58" s="95">
        <f ca="1">'Planning Engine'!K774</f>
        <v>0</v>
      </c>
      <c r="L58" s="12" t="str">
        <f ca="1">'Planning Engine'!L774</f>
        <v>Overstock</v>
      </c>
      <c r="M58" s="93">
        <f>'Planning Engine'!S774</f>
        <v>47543</v>
      </c>
      <c r="N58" s="95">
        <f>'Planning Engine'!T774</f>
        <v>0</v>
      </c>
      <c r="O58" s="94" t="s">
        <v>1806</v>
      </c>
      <c r="P58" s="12" t="str">
        <f t="shared" ca="1" si="1"/>
        <v>Defer receipts</v>
      </c>
    </row>
    <row r="59" spans="1:16" ht="13" customHeight="1" x14ac:dyDescent="0.35">
      <c r="A59" s="97">
        <v>47727</v>
      </c>
      <c r="B59" s="53" t="s">
        <v>45</v>
      </c>
      <c r="C59" s="12" t="str">
        <f>'Planning Engine'!C775</f>
        <v>Bulk API/DS</v>
      </c>
      <c r="D59" s="12" t="str">
        <f>'Planning Engine'!D775</f>
        <v>kg</v>
      </c>
      <c r="E59" s="95">
        <f>'Planning Engine'!E775</f>
        <v>72.651747685185143</v>
      </c>
      <c r="F59" s="95">
        <f>'Planning Engine'!F775</f>
        <v>0</v>
      </c>
      <c r="G59" s="95">
        <f>'Planning Engine'!G775</f>
        <v>0</v>
      </c>
      <c r="H59" s="99">
        <f t="shared" si="0"/>
        <v>0</v>
      </c>
      <c r="I59" s="95">
        <f>'Planning Engine'!H775</f>
        <v>72.651747685185143</v>
      </c>
      <c r="J59" s="96">
        <f ca="1">'Planning Engine'!J775</f>
        <v>999</v>
      </c>
      <c r="K59" s="95">
        <f ca="1">'Planning Engine'!K775</f>
        <v>0</v>
      </c>
      <c r="L59" s="12" t="str">
        <f ca="1">'Planning Engine'!L775</f>
        <v>Overstock</v>
      </c>
      <c r="M59" s="93">
        <f>'Planning Engine'!S775</f>
        <v>47574</v>
      </c>
      <c r="N59" s="95">
        <f>'Planning Engine'!T775</f>
        <v>0</v>
      </c>
      <c r="O59" s="98" t="s">
        <v>1807</v>
      </c>
      <c r="P59" s="4" t="str">
        <f t="shared" ca="1" si="1"/>
        <v>Defer receipts</v>
      </c>
    </row>
    <row r="60" spans="1:16" ht="13" customHeight="1" x14ac:dyDescent="0.35">
      <c r="A60" s="93">
        <v>47757</v>
      </c>
      <c r="B60" s="61" t="s">
        <v>45</v>
      </c>
      <c r="C60" s="12" t="str">
        <f>'Planning Engine'!C776</f>
        <v>Bulk API/DS</v>
      </c>
      <c r="D60" s="12" t="str">
        <f>'Planning Engine'!D776</f>
        <v>kg</v>
      </c>
      <c r="E60" s="95">
        <f>'Planning Engine'!E776</f>
        <v>72.651747685185143</v>
      </c>
      <c r="F60" s="95">
        <f>'Planning Engine'!F776</f>
        <v>0</v>
      </c>
      <c r="G60" s="95">
        <f>'Planning Engine'!G776</f>
        <v>0</v>
      </c>
      <c r="H60" s="95">
        <f t="shared" si="0"/>
        <v>0</v>
      </c>
      <c r="I60" s="95">
        <f>'Planning Engine'!H776</f>
        <v>72.651747685185143</v>
      </c>
      <c r="J60" s="96">
        <f ca="1">'Planning Engine'!J776</f>
        <v>999</v>
      </c>
      <c r="K60" s="95">
        <f ca="1">'Planning Engine'!K776</f>
        <v>0</v>
      </c>
      <c r="L60" s="12" t="str">
        <f ca="1">'Planning Engine'!L776</f>
        <v>Overstock</v>
      </c>
      <c r="M60" s="93">
        <f>'Planning Engine'!S776</f>
        <v>47604</v>
      </c>
      <c r="N60" s="95">
        <f>'Planning Engine'!T776</f>
        <v>0</v>
      </c>
      <c r="O60" s="94" t="s">
        <v>1808</v>
      </c>
      <c r="P60" s="12" t="str">
        <f t="shared" ca="1" si="1"/>
        <v>Defer receipts</v>
      </c>
    </row>
    <row r="61" spans="1:16" ht="13" customHeight="1" x14ac:dyDescent="0.35">
      <c r="A61" s="97">
        <v>47788</v>
      </c>
      <c r="B61" s="53" t="s">
        <v>45</v>
      </c>
      <c r="C61" s="12" t="str">
        <f>'Planning Engine'!C777</f>
        <v>Bulk API/DS</v>
      </c>
      <c r="D61" s="12" t="str">
        <f>'Planning Engine'!D777</f>
        <v>kg</v>
      </c>
      <c r="E61" s="95">
        <f>'Planning Engine'!E777</f>
        <v>72.651747685185143</v>
      </c>
      <c r="F61" s="95">
        <f>'Planning Engine'!F777</f>
        <v>0</v>
      </c>
      <c r="G61" s="95">
        <f>'Planning Engine'!G777</f>
        <v>0</v>
      </c>
      <c r="H61" s="99">
        <f t="shared" si="0"/>
        <v>0</v>
      </c>
      <c r="I61" s="95">
        <f>'Planning Engine'!H777</f>
        <v>72.651747685185143</v>
      </c>
      <c r="J61" s="96">
        <f ca="1">'Planning Engine'!J777</f>
        <v>999</v>
      </c>
      <c r="K61" s="95">
        <f ca="1">'Planning Engine'!K777</f>
        <v>0</v>
      </c>
      <c r="L61" s="12" t="str">
        <f ca="1">'Planning Engine'!L777</f>
        <v>Overstock</v>
      </c>
      <c r="M61" s="93">
        <f>'Planning Engine'!S777</f>
        <v>47635</v>
      </c>
      <c r="N61" s="95">
        <f>'Planning Engine'!T777</f>
        <v>0</v>
      </c>
      <c r="O61" s="98" t="s">
        <v>1809</v>
      </c>
      <c r="P61" s="4" t="str">
        <f t="shared" ca="1" si="1"/>
        <v>Defer receipts</v>
      </c>
    </row>
    <row r="62" spans="1:16" ht="13" customHeight="1" x14ac:dyDescent="0.35">
      <c r="A62" s="93">
        <v>47818</v>
      </c>
      <c r="B62" s="61" t="s">
        <v>45</v>
      </c>
      <c r="C62" s="12" t="str">
        <f>'Planning Engine'!C778</f>
        <v>Bulk API/DS</v>
      </c>
      <c r="D62" s="12" t="str">
        <f>'Planning Engine'!D778</f>
        <v>kg</v>
      </c>
      <c r="E62" s="95">
        <f>'Planning Engine'!E778</f>
        <v>72.651747685185143</v>
      </c>
      <c r="F62" s="95">
        <f>'Planning Engine'!F778</f>
        <v>0</v>
      </c>
      <c r="G62" s="95">
        <f>'Planning Engine'!G778</f>
        <v>0</v>
      </c>
      <c r="H62" s="95">
        <f t="shared" si="0"/>
        <v>0</v>
      </c>
      <c r="I62" s="95">
        <f>'Planning Engine'!H778</f>
        <v>72.651747685185143</v>
      </c>
      <c r="J62" s="96">
        <f ca="1">'Planning Engine'!J778</f>
        <v>999</v>
      </c>
      <c r="K62" s="95">
        <f ca="1">'Planning Engine'!K778</f>
        <v>0</v>
      </c>
      <c r="L62" s="12" t="str">
        <f ca="1">'Planning Engine'!L778</f>
        <v>Overstock</v>
      </c>
      <c r="M62" s="93">
        <f>'Planning Engine'!S778</f>
        <v>47665</v>
      </c>
      <c r="N62" s="95">
        <f>'Planning Engine'!T778</f>
        <v>0</v>
      </c>
      <c r="O62" s="94" t="s">
        <v>1810</v>
      </c>
      <c r="P62" s="12" t="str">
        <f t="shared" ca="1" si="1"/>
        <v>Defer receipts</v>
      </c>
    </row>
    <row r="63" spans="1:16" ht="13" customHeight="1" x14ac:dyDescent="0.35">
      <c r="A63" s="97">
        <v>47849</v>
      </c>
      <c r="B63" s="53" t="s">
        <v>45</v>
      </c>
      <c r="C63" s="12" t="str">
        <f>'Planning Engine'!C779</f>
        <v>Bulk API/DS</v>
      </c>
      <c r="D63" s="12" t="str">
        <f>'Planning Engine'!D779</f>
        <v>kg</v>
      </c>
      <c r="E63" s="95">
        <f>'Planning Engine'!E779</f>
        <v>72.651747685185143</v>
      </c>
      <c r="F63" s="95">
        <f>'Planning Engine'!F779</f>
        <v>0</v>
      </c>
      <c r="G63" s="95">
        <f>'Planning Engine'!G779</f>
        <v>0</v>
      </c>
      <c r="H63" s="99">
        <f t="shared" si="0"/>
        <v>0</v>
      </c>
      <c r="I63" s="95">
        <f>'Planning Engine'!H779</f>
        <v>72.651747685185143</v>
      </c>
      <c r="J63" s="96">
        <f ca="1">'Planning Engine'!J779</f>
        <v>999</v>
      </c>
      <c r="K63" s="95">
        <f ca="1">'Planning Engine'!K779</f>
        <v>0</v>
      </c>
      <c r="L63" s="12" t="str">
        <f ca="1">'Planning Engine'!L779</f>
        <v>Overstock</v>
      </c>
      <c r="M63" s="93">
        <f>'Planning Engine'!S779</f>
        <v>47696</v>
      </c>
      <c r="N63" s="95">
        <f>'Planning Engine'!T779</f>
        <v>0</v>
      </c>
      <c r="O63" s="98" t="s">
        <v>1811</v>
      </c>
      <c r="P63" s="4" t="str">
        <f t="shared" ca="1" si="1"/>
        <v>Defer receipts</v>
      </c>
    </row>
    <row r="64" spans="1:16" ht="13" customHeight="1" x14ac:dyDescent="0.35">
      <c r="A64" s="93">
        <v>47880</v>
      </c>
      <c r="B64" s="61" t="s">
        <v>45</v>
      </c>
      <c r="C64" s="12" t="str">
        <f>'Planning Engine'!C780</f>
        <v>Bulk API/DS</v>
      </c>
      <c r="D64" s="12" t="str">
        <f>'Planning Engine'!D780</f>
        <v>kg</v>
      </c>
      <c r="E64" s="95">
        <f>'Planning Engine'!E780</f>
        <v>72.651747685185143</v>
      </c>
      <c r="F64" s="95">
        <f>'Planning Engine'!F780</f>
        <v>0</v>
      </c>
      <c r="G64" s="95">
        <f>'Planning Engine'!G780</f>
        <v>0</v>
      </c>
      <c r="H64" s="95">
        <f t="shared" si="0"/>
        <v>0</v>
      </c>
      <c r="I64" s="95">
        <f>'Planning Engine'!H780</f>
        <v>72.651747685185143</v>
      </c>
      <c r="J64" s="96">
        <f ca="1">'Planning Engine'!J780</f>
        <v>999</v>
      </c>
      <c r="K64" s="95">
        <f ca="1">'Planning Engine'!K780</f>
        <v>0</v>
      </c>
      <c r="L64" s="12" t="str">
        <f ca="1">'Planning Engine'!L780</f>
        <v>Overstock</v>
      </c>
      <c r="M64" s="93">
        <f>'Planning Engine'!S780</f>
        <v>47727</v>
      </c>
      <c r="N64" s="95">
        <f>'Planning Engine'!T780</f>
        <v>0</v>
      </c>
      <c r="O64" s="94" t="s">
        <v>1812</v>
      </c>
      <c r="P64" s="12" t="str">
        <f t="shared" ca="1" si="1"/>
        <v>Defer receipts</v>
      </c>
    </row>
    <row r="65" spans="1:16" ht="13" customHeight="1" x14ac:dyDescent="0.35">
      <c r="A65" s="97">
        <v>47908</v>
      </c>
      <c r="B65" s="53" t="s">
        <v>45</v>
      </c>
      <c r="C65" s="12" t="str">
        <f>'Planning Engine'!C781</f>
        <v>Bulk API/DS</v>
      </c>
      <c r="D65" s="12" t="str">
        <f>'Planning Engine'!D781</f>
        <v>kg</v>
      </c>
      <c r="E65" s="95">
        <f>'Planning Engine'!E781</f>
        <v>72.651747685185143</v>
      </c>
      <c r="F65" s="95">
        <f>'Planning Engine'!F781</f>
        <v>0</v>
      </c>
      <c r="G65" s="95">
        <f>'Planning Engine'!G781</f>
        <v>0</v>
      </c>
      <c r="H65" s="99">
        <f t="shared" si="0"/>
        <v>0</v>
      </c>
      <c r="I65" s="95">
        <f>'Planning Engine'!H781</f>
        <v>72.651747685185143</v>
      </c>
      <c r="J65" s="96">
        <f ca="1">'Planning Engine'!J781</f>
        <v>999</v>
      </c>
      <c r="K65" s="95">
        <f ca="1">'Planning Engine'!K781</f>
        <v>0</v>
      </c>
      <c r="L65" s="12" t="str">
        <f ca="1">'Planning Engine'!L781</f>
        <v>Overstock</v>
      </c>
      <c r="M65" s="93">
        <f>'Planning Engine'!S781</f>
        <v>47757</v>
      </c>
      <c r="N65" s="95">
        <f>'Planning Engine'!T781</f>
        <v>0</v>
      </c>
      <c r="O65" s="98" t="s">
        <v>1813</v>
      </c>
      <c r="P65" s="4" t="str">
        <f t="shared" ca="1" si="1"/>
        <v>Defer receipts</v>
      </c>
    </row>
    <row r="66" spans="1:16" ht="13" customHeight="1" x14ac:dyDescent="0.35">
      <c r="A66" s="93">
        <v>47939</v>
      </c>
      <c r="B66" s="61" t="s">
        <v>45</v>
      </c>
      <c r="C66" s="12" t="str">
        <f>'Planning Engine'!C782</f>
        <v>Bulk API/DS</v>
      </c>
      <c r="D66" s="12" t="str">
        <f>'Planning Engine'!D782</f>
        <v>kg</v>
      </c>
      <c r="E66" s="95">
        <f>'Planning Engine'!E782</f>
        <v>72.651747685185143</v>
      </c>
      <c r="F66" s="95">
        <f>'Planning Engine'!F782</f>
        <v>0</v>
      </c>
      <c r="G66" s="95">
        <f>'Planning Engine'!G782</f>
        <v>0</v>
      </c>
      <c r="H66" s="95">
        <f t="shared" si="0"/>
        <v>0</v>
      </c>
      <c r="I66" s="95">
        <f>'Planning Engine'!H782</f>
        <v>72.651747685185143</v>
      </c>
      <c r="J66" s="96">
        <f ca="1">'Planning Engine'!J782</f>
        <v>999</v>
      </c>
      <c r="K66" s="95">
        <f ca="1">'Planning Engine'!K782</f>
        <v>0</v>
      </c>
      <c r="L66" s="12" t="str">
        <f ca="1">'Planning Engine'!L782</f>
        <v>Overstock</v>
      </c>
      <c r="M66" s="93">
        <f>'Planning Engine'!S782</f>
        <v>47788</v>
      </c>
      <c r="N66" s="95">
        <f>'Planning Engine'!T782</f>
        <v>0</v>
      </c>
      <c r="O66" s="94" t="s">
        <v>1814</v>
      </c>
      <c r="P66" s="12" t="str">
        <f t="shared" ca="1" si="1"/>
        <v>Defer receipts</v>
      </c>
    </row>
    <row r="67" spans="1:16" ht="13" customHeight="1" x14ac:dyDescent="0.35">
      <c r="A67" s="97">
        <v>47969</v>
      </c>
      <c r="B67" s="53" t="s">
        <v>45</v>
      </c>
      <c r="C67" s="12" t="str">
        <f>'Planning Engine'!C783</f>
        <v>Bulk API/DS</v>
      </c>
      <c r="D67" s="12" t="str">
        <f>'Planning Engine'!D783</f>
        <v>kg</v>
      </c>
      <c r="E67" s="95">
        <f>'Planning Engine'!E783</f>
        <v>72.651747685185143</v>
      </c>
      <c r="F67" s="95">
        <f>'Planning Engine'!F783</f>
        <v>0</v>
      </c>
      <c r="G67" s="95">
        <f>'Planning Engine'!G783</f>
        <v>0</v>
      </c>
      <c r="H67" s="99">
        <f t="shared" si="0"/>
        <v>0</v>
      </c>
      <c r="I67" s="95">
        <f>'Planning Engine'!H783</f>
        <v>72.651747685185143</v>
      </c>
      <c r="J67" s="96">
        <f ca="1">'Planning Engine'!J783</f>
        <v>999</v>
      </c>
      <c r="K67" s="95">
        <f ca="1">'Planning Engine'!K783</f>
        <v>0</v>
      </c>
      <c r="L67" s="12" t="str">
        <f ca="1">'Planning Engine'!L783</f>
        <v>Overstock</v>
      </c>
      <c r="M67" s="93">
        <f>'Planning Engine'!S783</f>
        <v>47818</v>
      </c>
      <c r="N67" s="95">
        <f>'Planning Engine'!T783</f>
        <v>0</v>
      </c>
      <c r="O67" s="98" t="s">
        <v>1815</v>
      </c>
      <c r="P67" s="4" t="str">
        <f t="shared" ca="1" si="1"/>
        <v>Defer receipts</v>
      </c>
    </row>
    <row r="68" spans="1:16" ht="13" customHeight="1" x14ac:dyDescent="0.35">
      <c r="A68" s="93">
        <v>48000</v>
      </c>
      <c r="B68" s="61" t="s">
        <v>45</v>
      </c>
      <c r="C68" s="12" t="str">
        <f>'Planning Engine'!C784</f>
        <v>Bulk API/DS</v>
      </c>
      <c r="D68" s="12" t="str">
        <f>'Planning Engine'!D784</f>
        <v>kg</v>
      </c>
      <c r="E68" s="95">
        <f>'Planning Engine'!E784</f>
        <v>72.651747685185143</v>
      </c>
      <c r="F68" s="95">
        <f>'Planning Engine'!F784</f>
        <v>0</v>
      </c>
      <c r="G68" s="95">
        <f>'Planning Engine'!G784</f>
        <v>0</v>
      </c>
      <c r="H68" s="95">
        <f t="shared" ref="H68:H131" si="2">G68-F68</f>
        <v>0</v>
      </c>
      <c r="I68" s="95">
        <f>'Planning Engine'!H784</f>
        <v>72.651747685185143</v>
      </c>
      <c r="J68" s="96">
        <f ca="1">'Planning Engine'!J784</f>
        <v>999</v>
      </c>
      <c r="K68" s="95">
        <f ca="1">'Planning Engine'!K784</f>
        <v>0</v>
      </c>
      <c r="L68" s="12" t="str">
        <f ca="1">'Planning Engine'!L784</f>
        <v>Overstock</v>
      </c>
      <c r="M68" s="93">
        <f>'Planning Engine'!S784</f>
        <v>47849</v>
      </c>
      <c r="N68" s="95">
        <f>'Planning Engine'!T784</f>
        <v>0</v>
      </c>
      <c r="O68" s="94" t="s">
        <v>1816</v>
      </c>
      <c r="P68" s="12" t="str">
        <f t="shared" ref="P68:P131" ca="1" si="3">IFERROR(IF(L68="High","⚠ Expedite / qualify alternate source",IF(L68="Medium","Monitor — plan additional POs",IF(L68="Overstock","Defer receipts","OK"))),"--")</f>
        <v>Defer receipts</v>
      </c>
    </row>
    <row r="69" spans="1:16" ht="13" customHeight="1" x14ac:dyDescent="0.35">
      <c r="A69" s="97">
        <v>48030</v>
      </c>
      <c r="B69" s="53" t="s">
        <v>45</v>
      </c>
      <c r="C69" s="12" t="str">
        <f>'Planning Engine'!C785</f>
        <v>Bulk API/DS</v>
      </c>
      <c r="D69" s="12" t="str">
        <f>'Planning Engine'!D785</f>
        <v>kg</v>
      </c>
      <c r="E69" s="95">
        <f>'Planning Engine'!E785</f>
        <v>72.651747685185143</v>
      </c>
      <c r="F69" s="95">
        <f>'Planning Engine'!F785</f>
        <v>0</v>
      </c>
      <c r="G69" s="95">
        <f>'Planning Engine'!G785</f>
        <v>0</v>
      </c>
      <c r="H69" s="99">
        <f t="shared" si="2"/>
        <v>0</v>
      </c>
      <c r="I69" s="95">
        <f>'Planning Engine'!H785</f>
        <v>72.651747685185143</v>
      </c>
      <c r="J69" s="96">
        <f ca="1">'Planning Engine'!J785</f>
        <v>999</v>
      </c>
      <c r="K69" s="95">
        <f ca="1">'Planning Engine'!K785</f>
        <v>0</v>
      </c>
      <c r="L69" s="12" t="str">
        <f ca="1">'Planning Engine'!L785</f>
        <v>Overstock</v>
      </c>
      <c r="M69" s="93">
        <f>'Planning Engine'!S785</f>
        <v>47880</v>
      </c>
      <c r="N69" s="95">
        <f>'Planning Engine'!T785</f>
        <v>0</v>
      </c>
      <c r="O69" s="98" t="s">
        <v>1817</v>
      </c>
      <c r="P69" s="4" t="str">
        <f t="shared" ca="1" si="3"/>
        <v>Defer receipts</v>
      </c>
    </row>
    <row r="70" spans="1:16" ht="13" customHeight="1" x14ac:dyDescent="0.35">
      <c r="A70" s="93">
        <v>48061</v>
      </c>
      <c r="B70" s="61" t="s">
        <v>45</v>
      </c>
      <c r="C70" s="12" t="str">
        <f>'Planning Engine'!C786</f>
        <v>Bulk API/DS</v>
      </c>
      <c r="D70" s="12" t="str">
        <f>'Planning Engine'!D786</f>
        <v>kg</v>
      </c>
      <c r="E70" s="95">
        <f>'Planning Engine'!E786</f>
        <v>72.651747685185143</v>
      </c>
      <c r="F70" s="95">
        <f>'Planning Engine'!F786</f>
        <v>0</v>
      </c>
      <c r="G70" s="95">
        <f>'Planning Engine'!G786</f>
        <v>0</v>
      </c>
      <c r="H70" s="95">
        <f t="shared" si="2"/>
        <v>0</v>
      </c>
      <c r="I70" s="95">
        <f>'Planning Engine'!H786</f>
        <v>72.651747685185143</v>
      </c>
      <c r="J70" s="96">
        <f ca="1">'Planning Engine'!J786</f>
        <v>999</v>
      </c>
      <c r="K70" s="95">
        <f ca="1">'Planning Engine'!K786</f>
        <v>0</v>
      </c>
      <c r="L70" s="12" t="str">
        <f ca="1">'Planning Engine'!L786</f>
        <v>Overstock</v>
      </c>
      <c r="M70" s="93">
        <f>'Planning Engine'!S786</f>
        <v>47908</v>
      </c>
      <c r="N70" s="95">
        <f>'Planning Engine'!T786</f>
        <v>0</v>
      </c>
      <c r="O70" s="94" t="s">
        <v>1818</v>
      </c>
      <c r="P70" s="12" t="str">
        <f t="shared" ca="1" si="3"/>
        <v>Defer receipts</v>
      </c>
    </row>
    <row r="71" spans="1:16" ht="13" customHeight="1" x14ac:dyDescent="0.35">
      <c r="A71" s="97">
        <v>48092</v>
      </c>
      <c r="B71" s="53" t="s">
        <v>45</v>
      </c>
      <c r="C71" s="12" t="str">
        <f>'Planning Engine'!C787</f>
        <v>Bulk API/DS</v>
      </c>
      <c r="D71" s="12" t="str">
        <f>'Planning Engine'!D787</f>
        <v>kg</v>
      </c>
      <c r="E71" s="95">
        <f>'Planning Engine'!E787</f>
        <v>72.651747685185143</v>
      </c>
      <c r="F71" s="95">
        <f>'Planning Engine'!F787</f>
        <v>0</v>
      </c>
      <c r="G71" s="95">
        <f>'Planning Engine'!G787</f>
        <v>0</v>
      </c>
      <c r="H71" s="99">
        <f t="shared" si="2"/>
        <v>0</v>
      </c>
      <c r="I71" s="95">
        <f>'Planning Engine'!H787</f>
        <v>72.651747685185143</v>
      </c>
      <c r="J71" s="96">
        <f ca="1">'Planning Engine'!J787</f>
        <v>999</v>
      </c>
      <c r="K71" s="95">
        <f ca="1">'Planning Engine'!K787</f>
        <v>0</v>
      </c>
      <c r="L71" s="12" t="str">
        <f ca="1">'Planning Engine'!L787</f>
        <v>Overstock</v>
      </c>
      <c r="M71" s="93">
        <f>'Planning Engine'!S787</f>
        <v>47939</v>
      </c>
      <c r="N71" s="95">
        <f>'Planning Engine'!T787</f>
        <v>0</v>
      </c>
      <c r="O71" s="98" t="s">
        <v>1819</v>
      </c>
      <c r="P71" s="4" t="str">
        <f t="shared" ca="1" si="3"/>
        <v>Defer receipts</v>
      </c>
    </row>
    <row r="72" spans="1:16" ht="13" customHeight="1" x14ac:dyDescent="0.35">
      <c r="A72" s="93">
        <v>48122</v>
      </c>
      <c r="B72" s="61" t="s">
        <v>45</v>
      </c>
      <c r="C72" s="12" t="str">
        <f>'Planning Engine'!C788</f>
        <v>Bulk API/DS</v>
      </c>
      <c r="D72" s="12" t="str">
        <f>'Planning Engine'!D788</f>
        <v>kg</v>
      </c>
      <c r="E72" s="95">
        <f>'Planning Engine'!E788</f>
        <v>72.651747685185143</v>
      </c>
      <c r="F72" s="95">
        <f>'Planning Engine'!F788</f>
        <v>0</v>
      </c>
      <c r="G72" s="95">
        <f>'Planning Engine'!G788</f>
        <v>0</v>
      </c>
      <c r="H72" s="95">
        <f t="shared" si="2"/>
        <v>0</v>
      </c>
      <c r="I72" s="95">
        <f>'Planning Engine'!H788</f>
        <v>72.651747685185143</v>
      </c>
      <c r="J72" s="96">
        <f ca="1">'Planning Engine'!J788</f>
        <v>999</v>
      </c>
      <c r="K72" s="95">
        <f ca="1">'Planning Engine'!K788</f>
        <v>0</v>
      </c>
      <c r="L72" s="12" t="str">
        <f ca="1">'Planning Engine'!L788</f>
        <v>Overstock</v>
      </c>
      <c r="M72" s="93">
        <f>'Planning Engine'!S788</f>
        <v>47969</v>
      </c>
      <c r="N72" s="95">
        <f>'Planning Engine'!T788</f>
        <v>0</v>
      </c>
      <c r="O72" s="94" t="s">
        <v>1820</v>
      </c>
      <c r="P72" s="12" t="str">
        <f t="shared" ca="1" si="3"/>
        <v>Defer receipts</v>
      </c>
    </row>
    <row r="73" spans="1:16" ht="13" customHeight="1" x14ac:dyDescent="0.35">
      <c r="A73" s="97">
        <v>48153</v>
      </c>
      <c r="B73" s="53" t="s">
        <v>45</v>
      </c>
      <c r="C73" s="12" t="str">
        <f>'Planning Engine'!C789</f>
        <v>Bulk API/DS</v>
      </c>
      <c r="D73" s="12" t="str">
        <f>'Planning Engine'!D789</f>
        <v>kg</v>
      </c>
      <c r="E73" s="95">
        <f>'Planning Engine'!E789</f>
        <v>72.651747685185143</v>
      </c>
      <c r="F73" s="95">
        <f>'Planning Engine'!F789</f>
        <v>0</v>
      </c>
      <c r="G73" s="95">
        <f>'Planning Engine'!G789</f>
        <v>0</v>
      </c>
      <c r="H73" s="99">
        <f t="shared" si="2"/>
        <v>0</v>
      </c>
      <c r="I73" s="95">
        <f>'Planning Engine'!H789</f>
        <v>72.651747685185143</v>
      </c>
      <c r="J73" s="96">
        <f ca="1">'Planning Engine'!J789</f>
        <v>999</v>
      </c>
      <c r="K73" s="95">
        <f ca="1">'Planning Engine'!K789</f>
        <v>0</v>
      </c>
      <c r="L73" s="12" t="str">
        <f ca="1">'Planning Engine'!L789</f>
        <v>Overstock</v>
      </c>
      <c r="M73" s="93">
        <f>'Planning Engine'!S789</f>
        <v>48000</v>
      </c>
      <c r="N73" s="95">
        <f>'Planning Engine'!T789</f>
        <v>0</v>
      </c>
      <c r="O73" s="98" t="s">
        <v>1821</v>
      </c>
      <c r="P73" s="4" t="str">
        <f t="shared" ca="1" si="3"/>
        <v>Defer receipts</v>
      </c>
    </row>
    <row r="74" spans="1:16" ht="13" customHeight="1" x14ac:dyDescent="0.35">
      <c r="A74" s="93">
        <v>48183</v>
      </c>
      <c r="B74" s="61" t="s">
        <v>45</v>
      </c>
      <c r="C74" s="12" t="str">
        <f>'Planning Engine'!C790</f>
        <v>Bulk API/DS</v>
      </c>
      <c r="D74" s="12" t="str">
        <f>'Planning Engine'!D790</f>
        <v>kg</v>
      </c>
      <c r="E74" s="95">
        <f>'Planning Engine'!E790</f>
        <v>72.651747685185143</v>
      </c>
      <c r="F74" s="95">
        <f>'Planning Engine'!F790</f>
        <v>0</v>
      </c>
      <c r="G74" s="95">
        <f>'Planning Engine'!G790</f>
        <v>0</v>
      </c>
      <c r="H74" s="95">
        <f t="shared" si="2"/>
        <v>0</v>
      </c>
      <c r="I74" s="95">
        <f>'Planning Engine'!H790</f>
        <v>72.651747685185143</v>
      </c>
      <c r="J74" s="96">
        <f ca="1">'Planning Engine'!J790</f>
        <v>999</v>
      </c>
      <c r="K74" s="95">
        <f ca="1">'Planning Engine'!K790</f>
        <v>0</v>
      </c>
      <c r="L74" s="12" t="str">
        <f ca="1">'Planning Engine'!L790</f>
        <v>Overstock</v>
      </c>
      <c r="M74" s="93">
        <f>'Planning Engine'!S790</f>
        <v>48030</v>
      </c>
      <c r="N74" s="95">
        <f>'Planning Engine'!T790</f>
        <v>0</v>
      </c>
      <c r="O74" s="94" t="s">
        <v>1822</v>
      </c>
      <c r="P74" s="12" t="str">
        <f t="shared" ca="1" si="3"/>
        <v>Defer receipts</v>
      </c>
    </row>
    <row r="75" spans="1:16" ht="13" customHeight="1" x14ac:dyDescent="0.35">
      <c r="A75" s="97">
        <v>48214</v>
      </c>
      <c r="B75" s="53" t="s">
        <v>45</v>
      </c>
      <c r="C75" s="12" t="str">
        <f>'Planning Engine'!C791</f>
        <v>Bulk API/DS</v>
      </c>
      <c r="D75" s="12" t="str">
        <f>'Planning Engine'!D791</f>
        <v>kg</v>
      </c>
      <c r="E75" s="95">
        <f>'Planning Engine'!E791</f>
        <v>72.651747685185143</v>
      </c>
      <c r="F75" s="95">
        <f>'Planning Engine'!F791</f>
        <v>0</v>
      </c>
      <c r="G75" s="95">
        <f>'Planning Engine'!G791</f>
        <v>0</v>
      </c>
      <c r="H75" s="99">
        <f t="shared" si="2"/>
        <v>0</v>
      </c>
      <c r="I75" s="95">
        <f>'Planning Engine'!H791</f>
        <v>72.651747685185143</v>
      </c>
      <c r="J75" s="96">
        <f ca="1">'Planning Engine'!J791</f>
        <v>999</v>
      </c>
      <c r="K75" s="95">
        <f ca="1">'Planning Engine'!K791</f>
        <v>0</v>
      </c>
      <c r="L75" s="12" t="str">
        <f ca="1">'Planning Engine'!L791</f>
        <v>Overstock</v>
      </c>
      <c r="M75" s="93">
        <f>'Planning Engine'!S791</f>
        <v>48061</v>
      </c>
      <c r="N75" s="95">
        <f>'Planning Engine'!T791</f>
        <v>0</v>
      </c>
      <c r="O75" s="98" t="s">
        <v>1823</v>
      </c>
      <c r="P75" s="4" t="str">
        <f t="shared" ca="1" si="3"/>
        <v>Defer receipts</v>
      </c>
    </row>
    <row r="76" spans="1:16" ht="13" customHeight="1" x14ac:dyDescent="0.35">
      <c r="A76" s="93">
        <v>48245</v>
      </c>
      <c r="B76" s="61" t="s">
        <v>45</v>
      </c>
      <c r="C76" s="12" t="str">
        <f>'Planning Engine'!C792</f>
        <v>Bulk API/DS</v>
      </c>
      <c r="D76" s="12" t="str">
        <f>'Planning Engine'!D792</f>
        <v>kg</v>
      </c>
      <c r="E76" s="95">
        <f>'Planning Engine'!E792</f>
        <v>72.651747685185143</v>
      </c>
      <c r="F76" s="95">
        <f>'Planning Engine'!F792</f>
        <v>0</v>
      </c>
      <c r="G76" s="95">
        <f>'Planning Engine'!G792</f>
        <v>0</v>
      </c>
      <c r="H76" s="95">
        <f t="shared" si="2"/>
        <v>0</v>
      </c>
      <c r="I76" s="95">
        <f>'Planning Engine'!H792</f>
        <v>72.651747685185143</v>
      </c>
      <c r="J76" s="96">
        <f ca="1">'Planning Engine'!J792</f>
        <v>999</v>
      </c>
      <c r="K76" s="95">
        <f ca="1">'Planning Engine'!K792</f>
        <v>0</v>
      </c>
      <c r="L76" s="12" t="str">
        <f ca="1">'Planning Engine'!L792</f>
        <v>Overstock</v>
      </c>
      <c r="M76" s="93">
        <f>'Planning Engine'!S792</f>
        <v>48092</v>
      </c>
      <c r="N76" s="95">
        <f>'Planning Engine'!T792</f>
        <v>0</v>
      </c>
      <c r="O76" s="94" t="s">
        <v>1824</v>
      </c>
      <c r="P76" s="12" t="str">
        <f t="shared" ca="1" si="3"/>
        <v>Defer receipts</v>
      </c>
    </row>
    <row r="77" spans="1:16" ht="13" customHeight="1" x14ac:dyDescent="0.35">
      <c r="A77" s="97">
        <v>48274</v>
      </c>
      <c r="B77" s="53" t="s">
        <v>45</v>
      </c>
      <c r="C77" s="12" t="str">
        <f>'Planning Engine'!C793</f>
        <v>Bulk API/DS</v>
      </c>
      <c r="D77" s="12" t="str">
        <f>'Planning Engine'!D793</f>
        <v>kg</v>
      </c>
      <c r="E77" s="95">
        <f>'Planning Engine'!E793</f>
        <v>72.651747685185143</v>
      </c>
      <c r="F77" s="95">
        <f>'Planning Engine'!F793</f>
        <v>0</v>
      </c>
      <c r="G77" s="95">
        <f>'Planning Engine'!G793</f>
        <v>0</v>
      </c>
      <c r="H77" s="99">
        <f t="shared" si="2"/>
        <v>0</v>
      </c>
      <c r="I77" s="95">
        <f>'Planning Engine'!H793</f>
        <v>72.651747685185143</v>
      </c>
      <c r="J77" s="96">
        <f ca="1">'Planning Engine'!J793</f>
        <v>999</v>
      </c>
      <c r="K77" s="95">
        <f ca="1">'Planning Engine'!K793</f>
        <v>0</v>
      </c>
      <c r="L77" s="12" t="str">
        <f ca="1">'Planning Engine'!L793</f>
        <v>Overstock</v>
      </c>
      <c r="M77" s="93">
        <f>'Planning Engine'!S793</f>
        <v>48122</v>
      </c>
      <c r="N77" s="95">
        <f>'Planning Engine'!T793</f>
        <v>0</v>
      </c>
      <c r="O77" s="98" t="s">
        <v>1825</v>
      </c>
      <c r="P77" s="4" t="str">
        <f t="shared" ca="1" si="3"/>
        <v>Defer receipts</v>
      </c>
    </row>
    <row r="78" spans="1:16" ht="13" customHeight="1" x14ac:dyDescent="0.35">
      <c r="A78" s="93">
        <v>48305</v>
      </c>
      <c r="B78" s="61" t="s">
        <v>45</v>
      </c>
      <c r="C78" s="12" t="str">
        <f>'Planning Engine'!C794</f>
        <v>Bulk API/DS</v>
      </c>
      <c r="D78" s="12" t="str">
        <f>'Planning Engine'!D794</f>
        <v>kg</v>
      </c>
      <c r="E78" s="95">
        <f>'Planning Engine'!E794</f>
        <v>72.651747685185143</v>
      </c>
      <c r="F78" s="95">
        <f>'Planning Engine'!F794</f>
        <v>0</v>
      </c>
      <c r="G78" s="95">
        <f>'Planning Engine'!G794</f>
        <v>0</v>
      </c>
      <c r="H78" s="95">
        <f t="shared" si="2"/>
        <v>0</v>
      </c>
      <c r="I78" s="95">
        <f>'Planning Engine'!H794</f>
        <v>72.651747685185143</v>
      </c>
      <c r="J78" s="96">
        <f ca="1">'Planning Engine'!J794</f>
        <v>999</v>
      </c>
      <c r="K78" s="95">
        <f ca="1">'Planning Engine'!K794</f>
        <v>0</v>
      </c>
      <c r="L78" s="12" t="str">
        <f ca="1">'Planning Engine'!L794</f>
        <v>Overstock</v>
      </c>
      <c r="M78" s="93">
        <f>'Planning Engine'!S794</f>
        <v>48153</v>
      </c>
      <c r="N78" s="95">
        <f>'Planning Engine'!T794</f>
        <v>0</v>
      </c>
      <c r="O78" s="94" t="s">
        <v>1826</v>
      </c>
      <c r="P78" s="12" t="str">
        <f t="shared" ca="1" si="3"/>
        <v>Defer receipts</v>
      </c>
    </row>
    <row r="79" spans="1:16" ht="13" customHeight="1" x14ac:dyDescent="0.35">
      <c r="A79" s="97">
        <v>48335</v>
      </c>
      <c r="B79" s="53" t="s">
        <v>45</v>
      </c>
      <c r="C79" s="12" t="str">
        <f>'Planning Engine'!C795</f>
        <v>Bulk API/DS</v>
      </c>
      <c r="D79" s="12" t="str">
        <f>'Planning Engine'!D795</f>
        <v>kg</v>
      </c>
      <c r="E79" s="95">
        <f>'Planning Engine'!E795</f>
        <v>72.651747685185143</v>
      </c>
      <c r="F79" s="95">
        <f>'Planning Engine'!F795</f>
        <v>0</v>
      </c>
      <c r="G79" s="95">
        <f>'Planning Engine'!G795</f>
        <v>0</v>
      </c>
      <c r="H79" s="99">
        <f t="shared" si="2"/>
        <v>0</v>
      </c>
      <c r="I79" s="95">
        <f>'Planning Engine'!H795</f>
        <v>72.651747685185143</v>
      </c>
      <c r="J79" s="96">
        <f ca="1">'Planning Engine'!J795</f>
        <v>999</v>
      </c>
      <c r="K79" s="95">
        <f ca="1">'Planning Engine'!K795</f>
        <v>0</v>
      </c>
      <c r="L79" s="12" t="str">
        <f ca="1">'Planning Engine'!L795</f>
        <v>Overstock</v>
      </c>
      <c r="M79" s="93">
        <f>'Planning Engine'!S795</f>
        <v>48183</v>
      </c>
      <c r="N79" s="95">
        <f>'Planning Engine'!T795</f>
        <v>0</v>
      </c>
      <c r="O79" s="98" t="s">
        <v>1827</v>
      </c>
      <c r="P79" s="4" t="str">
        <f t="shared" ca="1" si="3"/>
        <v>Defer receipts</v>
      </c>
    </row>
    <row r="80" spans="1:16" ht="13" customHeight="1" x14ac:dyDescent="0.35">
      <c r="A80" s="93">
        <v>48366</v>
      </c>
      <c r="B80" s="61" t="s">
        <v>45</v>
      </c>
      <c r="C80" s="12" t="str">
        <f>'Planning Engine'!C796</f>
        <v>Bulk API/DS</v>
      </c>
      <c r="D80" s="12" t="str">
        <f>'Planning Engine'!D796</f>
        <v>kg</v>
      </c>
      <c r="E80" s="95">
        <f>'Planning Engine'!E796</f>
        <v>72.651747685185143</v>
      </c>
      <c r="F80" s="95">
        <f>'Planning Engine'!F796</f>
        <v>0</v>
      </c>
      <c r="G80" s="95">
        <f>'Planning Engine'!G796</f>
        <v>0</v>
      </c>
      <c r="H80" s="95">
        <f t="shared" si="2"/>
        <v>0</v>
      </c>
      <c r="I80" s="95">
        <f>'Planning Engine'!H796</f>
        <v>72.651747685185143</v>
      </c>
      <c r="J80" s="96">
        <f ca="1">'Planning Engine'!J796</f>
        <v>999</v>
      </c>
      <c r="K80" s="95">
        <f ca="1">'Planning Engine'!K796</f>
        <v>0</v>
      </c>
      <c r="L80" s="12" t="str">
        <f ca="1">'Planning Engine'!L796</f>
        <v>Overstock</v>
      </c>
      <c r="M80" s="93">
        <f>'Planning Engine'!S796</f>
        <v>48214</v>
      </c>
      <c r="N80" s="95">
        <f>'Planning Engine'!T796</f>
        <v>0</v>
      </c>
      <c r="O80" s="94" t="s">
        <v>1828</v>
      </c>
      <c r="P80" s="12" t="str">
        <f t="shared" ca="1" si="3"/>
        <v>Defer receipts</v>
      </c>
    </row>
    <row r="81" spans="1:16" ht="13" customHeight="1" x14ac:dyDescent="0.35">
      <c r="A81" s="97">
        <v>48396</v>
      </c>
      <c r="B81" s="53" t="s">
        <v>45</v>
      </c>
      <c r="C81" s="12" t="str">
        <f>'Planning Engine'!C797</f>
        <v>Bulk API/DS</v>
      </c>
      <c r="D81" s="12" t="str">
        <f>'Planning Engine'!D797</f>
        <v>kg</v>
      </c>
      <c r="E81" s="95">
        <f>'Planning Engine'!E797</f>
        <v>72.651747685185143</v>
      </c>
      <c r="F81" s="95">
        <f>'Planning Engine'!F797</f>
        <v>0</v>
      </c>
      <c r="G81" s="95">
        <f>'Planning Engine'!G797</f>
        <v>0</v>
      </c>
      <c r="H81" s="99">
        <f t="shared" si="2"/>
        <v>0</v>
      </c>
      <c r="I81" s="95">
        <f>'Planning Engine'!H797</f>
        <v>72.651747685185143</v>
      </c>
      <c r="J81" s="96">
        <f ca="1">'Planning Engine'!J797</f>
        <v>999</v>
      </c>
      <c r="K81" s="95">
        <f ca="1">'Planning Engine'!K797</f>
        <v>0</v>
      </c>
      <c r="L81" s="12" t="str">
        <f ca="1">'Planning Engine'!L797</f>
        <v>Overstock</v>
      </c>
      <c r="M81" s="93">
        <f>'Planning Engine'!S797</f>
        <v>48245</v>
      </c>
      <c r="N81" s="95">
        <f>'Planning Engine'!T797</f>
        <v>0</v>
      </c>
      <c r="O81" s="98" t="s">
        <v>1829</v>
      </c>
      <c r="P81" s="4" t="str">
        <f t="shared" ca="1" si="3"/>
        <v>Defer receipts</v>
      </c>
    </row>
    <row r="82" spans="1:16" ht="13" customHeight="1" x14ac:dyDescent="0.35">
      <c r="A82" s="93">
        <v>48427</v>
      </c>
      <c r="B82" s="61" t="s">
        <v>45</v>
      </c>
      <c r="C82" s="12" t="str">
        <f>'Planning Engine'!C798</f>
        <v>Bulk API/DS</v>
      </c>
      <c r="D82" s="12" t="str">
        <f>'Planning Engine'!D798</f>
        <v>kg</v>
      </c>
      <c r="E82" s="95">
        <f>'Planning Engine'!E798</f>
        <v>72.651747685185143</v>
      </c>
      <c r="F82" s="95">
        <f>'Planning Engine'!F798</f>
        <v>0</v>
      </c>
      <c r="G82" s="95">
        <f>'Planning Engine'!G798</f>
        <v>0</v>
      </c>
      <c r="H82" s="95">
        <f t="shared" si="2"/>
        <v>0</v>
      </c>
      <c r="I82" s="95">
        <f>'Planning Engine'!H798</f>
        <v>72.651747685185143</v>
      </c>
      <c r="J82" s="96">
        <f ca="1">'Planning Engine'!J798</f>
        <v>999</v>
      </c>
      <c r="K82" s="95">
        <f ca="1">'Planning Engine'!K798</f>
        <v>0</v>
      </c>
      <c r="L82" s="12" t="str">
        <f ca="1">'Planning Engine'!L798</f>
        <v>Overstock</v>
      </c>
      <c r="M82" s="93">
        <f>'Planning Engine'!S798</f>
        <v>48274</v>
      </c>
      <c r="N82" s="95">
        <f>'Planning Engine'!T798</f>
        <v>0</v>
      </c>
      <c r="O82" s="94" t="s">
        <v>1830</v>
      </c>
      <c r="P82" s="12" t="str">
        <f t="shared" ca="1" si="3"/>
        <v>Defer receipts</v>
      </c>
    </row>
    <row r="83" spans="1:16" ht="13" customHeight="1" x14ac:dyDescent="0.35">
      <c r="A83" s="97">
        <v>48458</v>
      </c>
      <c r="B83" s="53" t="s">
        <v>45</v>
      </c>
      <c r="C83" s="12" t="str">
        <f>'Planning Engine'!C799</f>
        <v>Bulk API/DS</v>
      </c>
      <c r="D83" s="12" t="str">
        <f>'Planning Engine'!D799</f>
        <v>kg</v>
      </c>
      <c r="E83" s="95">
        <f>'Planning Engine'!E799</f>
        <v>72.651747685185143</v>
      </c>
      <c r="F83" s="95">
        <f>'Planning Engine'!F799</f>
        <v>0</v>
      </c>
      <c r="G83" s="95">
        <f>'Planning Engine'!G799</f>
        <v>0</v>
      </c>
      <c r="H83" s="99">
        <f t="shared" si="2"/>
        <v>0</v>
      </c>
      <c r="I83" s="95">
        <f>'Planning Engine'!H799</f>
        <v>72.651747685185143</v>
      </c>
      <c r="J83" s="96">
        <f ca="1">'Planning Engine'!J799</f>
        <v>999</v>
      </c>
      <c r="K83" s="95">
        <f ca="1">'Planning Engine'!K799</f>
        <v>0</v>
      </c>
      <c r="L83" s="12" t="str">
        <f ca="1">'Planning Engine'!L799</f>
        <v>Overstock</v>
      </c>
      <c r="M83" s="93">
        <f>'Planning Engine'!S799</f>
        <v>48305</v>
      </c>
      <c r="N83" s="95">
        <f>'Planning Engine'!T799</f>
        <v>0</v>
      </c>
      <c r="O83" s="98" t="s">
        <v>1831</v>
      </c>
      <c r="P83" s="4" t="str">
        <f t="shared" ca="1" si="3"/>
        <v>Defer receipts</v>
      </c>
    </row>
    <row r="84" spans="1:16" ht="13" customHeight="1" x14ac:dyDescent="0.35">
      <c r="A84" s="93">
        <v>48488</v>
      </c>
      <c r="B84" s="61" t="s">
        <v>45</v>
      </c>
      <c r="C84" s="12" t="str">
        <f>'Planning Engine'!C800</f>
        <v>Bulk API/DS</v>
      </c>
      <c r="D84" s="12" t="str">
        <f>'Planning Engine'!D800</f>
        <v>kg</v>
      </c>
      <c r="E84" s="95">
        <f>'Planning Engine'!E800</f>
        <v>72.651747685185143</v>
      </c>
      <c r="F84" s="95">
        <f>'Planning Engine'!F800</f>
        <v>0</v>
      </c>
      <c r="G84" s="95">
        <f>'Planning Engine'!G800</f>
        <v>0</v>
      </c>
      <c r="H84" s="95">
        <f t="shared" si="2"/>
        <v>0</v>
      </c>
      <c r="I84" s="95">
        <f>'Planning Engine'!H800</f>
        <v>72.651747685185143</v>
      </c>
      <c r="J84" s="96">
        <f ca="1">'Planning Engine'!J800</f>
        <v>999</v>
      </c>
      <c r="K84" s="95">
        <f ca="1">'Planning Engine'!K800</f>
        <v>0</v>
      </c>
      <c r="L84" s="12" t="str">
        <f ca="1">'Planning Engine'!L800</f>
        <v>Overstock</v>
      </c>
      <c r="M84" s="93">
        <f>'Planning Engine'!S800</f>
        <v>48335</v>
      </c>
      <c r="N84" s="95">
        <f>'Planning Engine'!T800</f>
        <v>0</v>
      </c>
      <c r="O84" s="94" t="s">
        <v>1832</v>
      </c>
      <c r="P84" s="12" t="str">
        <f t="shared" ca="1" si="3"/>
        <v>Defer receipts</v>
      </c>
    </row>
    <row r="85" spans="1:16" ht="13" customHeight="1" x14ac:dyDescent="0.35">
      <c r="A85" s="97">
        <v>48519</v>
      </c>
      <c r="B85" s="53" t="s">
        <v>45</v>
      </c>
      <c r="C85" s="12" t="str">
        <f>'Planning Engine'!C801</f>
        <v>Bulk API/DS</v>
      </c>
      <c r="D85" s="12" t="str">
        <f>'Planning Engine'!D801</f>
        <v>kg</v>
      </c>
      <c r="E85" s="95">
        <f>'Planning Engine'!E801</f>
        <v>72.651747685185143</v>
      </c>
      <c r="F85" s="95">
        <f>'Planning Engine'!F801</f>
        <v>0</v>
      </c>
      <c r="G85" s="95">
        <f>'Planning Engine'!G801</f>
        <v>0</v>
      </c>
      <c r="H85" s="99">
        <f t="shared" si="2"/>
        <v>0</v>
      </c>
      <c r="I85" s="95">
        <f>'Planning Engine'!H801</f>
        <v>72.651747685185143</v>
      </c>
      <c r="J85" s="96">
        <f ca="1">'Planning Engine'!J801</f>
        <v>999</v>
      </c>
      <c r="K85" s="95">
        <f ca="1">'Planning Engine'!K801</f>
        <v>0</v>
      </c>
      <c r="L85" s="12" t="str">
        <f ca="1">'Planning Engine'!L801</f>
        <v>Overstock</v>
      </c>
      <c r="M85" s="93">
        <f>'Planning Engine'!S801</f>
        <v>48366</v>
      </c>
      <c r="N85" s="95">
        <f>'Planning Engine'!T801</f>
        <v>0</v>
      </c>
      <c r="O85" s="98" t="s">
        <v>1833</v>
      </c>
      <c r="P85" s="4" t="str">
        <f t="shared" ca="1" si="3"/>
        <v>Defer receipts</v>
      </c>
    </row>
    <row r="86" spans="1:16" ht="13" customHeight="1" x14ac:dyDescent="0.35">
      <c r="A86" s="93">
        <v>48549</v>
      </c>
      <c r="B86" s="61" t="s">
        <v>45</v>
      </c>
      <c r="C86" s="12" t="str">
        <f>'Planning Engine'!C802</f>
        <v>Bulk API/DS</v>
      </c>
      <c r="D86" s="12" t="str">
        <f>'Planning Engine'!D802</f>
        <v>kg</v>
      </c>
      <c r="E86" s="95">
        <f>'Planning Engine'!E802</f>
        <v>72.651747685185143</v>
      </c>
      <c r="F86" s="95">
        <f>'Planning Engine'!F802</f>
        <v>0</v>
      </c>
      <c r="G86" s="95">
        <f>'Planning Engine'!G802</f>
        <v>0</v>
      </c>
      <c r="H86" s="95">
        <f t="shared" si="2"/>
        <v>0</v>
      </c>
      <c r="I86" s="95">
        <f>'Planning Engine'!H802</f>
        <v>72.651747685185143</v>
      </c>
      <c r="J86" s="96">
        <f ca="1">'Planning Engine'!J802</f>
        <v>999</v>
      </c>
      <c r="K86" s="95">
        <f ca="1">'Planning Engine'!K802</f>
        <v>0</v>
      </c>
      <c r="L86" s="12" t="str">
        <f ca="1">'Planning Engine'!L802</f>
        <v>Overstock</v>
      </c>
      <c r="M86" s="93">
        <f>'Planning Engine'!S802</f>
        <v>48396</v>
      </c>
      <c r="N86" s="95">
        <f>'Planning Engine'!T802</f>
        <v>0</v>
      </c>
      <c r="O86" s="94" t="s">
        <v>1834</v>
      </c>
      <c r="P86" s="12" t="str">
        <f t="shared" ca="1" si="3"/>
        <v>Defer receipts</v>
      </c>
    </row>
    <row r="87" spans="1:16" ht="13" customHeight="1" x14ac:dyDescent="0.35">
      <c r="A87" s="97">
        <v>48580</v>
      </c>
      <c r="B87" s="53" t="s">
        <v>45</v>
      </c>
      <c r="C87" s="12" t="str">
        <f>'Planning Engine'!C803</f>
        <v>Bulk API/DS</v>
      </c>
      <c r="D87" s="12" t="str">
        <f>'Planning Engine'!D803</f>
        <v>kg</v>
      </c>
      <c r="E87" s="95">
        <f>'Planning Engine'!E803</f>
        <v>72.651747685185143</v>
      </c>
      <c r="F87" s="95">
        <f>'Planning Engine'!F803</f>
        <v>0</v>
      </c>
      <c r="G87" s="95">
        <f>'Planning Engine'!G803</f>
        <v>0</v>
      </c>
      <c r="H87" s="99">
        <f t="shared" si="2"/>
        <v>0</v>
      </c>
      <c r="I87" s="95">
        <f>'Planning Engine'!H803</f>
        <v>72.651747685185143</v>
      </c>
      <c r="J87" s="96">
        <f ca="1">'Planning Engine'!J803</f>
        <v>999</v>
      </c>
      <c r="K87" s="95">
        <f ca="1">'Planning Engine'!K803</f>
        <v>0</v>
      </c>
      <c r="L87" s="12" t="str">
        <f ca="1">'Planning Engine'!L803</f>
        <v>Overstock</v>
      </c>
      <c r="M87" s="93">
        <f>'Planning Engine'!S803</f>
        <v>48427</v>
      </c>
      <c r="N87" s="95">
        <f>'Planning Engine'!T803</f>
        <v>0</v>
      </c>
      <c r="O87" s="98" t="s">
        <v>1835</v>
      </c>
      <c r="P87" s="4" t="str">
        <f t="shared" ca="1" si="3"/>
        <v>Defer receipts</v>
      </c>
    </row>
    <row r="88" spans="1:16" ht="13" customHeight="1" x14ac:dyDescent="0.35">
      <c r="A88" s="93">
        <v>48611</v>
      </c>
      <c r="B88" s="61" t="s">
        <v>45</v>
      </c>
      <c r="C88" s="12" t="str">
        <f>'Planning Engine'!C804</f>
        <v>Bulk API/DS</v>
      </c>
      <c r="D88" s="12" t="str">
        <f>'Planning Engine'!D804</f>
        <v>kg</v>
      </c>
      <c r="E88" s="95">
        <f>'Planning Engine'!E804</f>
        <v>72.651747685185143</v>
      </c>
      <c r="F88" s="95">
        <f>'Planning Engine'!F804</f>
        <v>0</v>
      </c>
      <c r="G88" s="95">
        <f>'Planning Engine'!G804</f>
        <v>0</v>
      </c>
      <c r="H88" s="95">
        <f t="shared" si="2"/>
        <v>0</v>
      </c>
      <c r="I88" s="95">
        <f>'Planning Engine'!H804</f>
        <v>72.651747685185143</v>
      </c>
      <c r="J88" s="96">
        <f ca="1">'Planning Engine'!J804</f>
        <v>999</v>
      </c>
      <c r="K88" s="95">
        <f ca="1">'Planning Engine'!K804</f>
        <v>0</v>
      </c>
      <c r="L88" s="12" t="str">
        <f ca="1">'Planning Engine'!L804</f>
        <v>Overstock</v>
      </c>
      <c r="M88" s="93">
        <f>'Planning Engine'!S804</f>
        <v>48458</v>
      </c>
      <c r="N88" s="95">
        <f>'Planning Engine'!T804</f>
        <v>0</v>
      </c>
      <c r="O88" s="94" t="s">
        <v>1836</v>
      </c>
      <c r="P88" s="12" t="str">
        <f t="shared" ca="1" si="3"/>
        <v>Defer receipts</v>
      </c>
    </row>
    <row r="89" spans="1:16" ht="13" customHeight="1" x14ac:dyDescent="0.35">
      <c r="A89" s="97">
        <v>48639</v>
      </c>
      <c r="B89" s="53" t="s">
        <v>45</v>
      </c>
      <c r="C89" s="12" t="str">
        <f>'Planning Engine'!C805</f>
        <v>Bulk API/DS</v>
      </c>
      <c r="D89" s="12" t="str">
        <f>'Planning Engine'!D805</f>
        <v>kg</v>
      </c>
      <c r="E89" s="95">
        <f>'Planning Engine'!E805</f>
        <v>72.651747685185143</v>
      </c>
      <c r="F89" s="95">
        <f>'Planning Engine'!F805</f>
        <v>0</v>
      </c>
      <c r="G89" s="95">
        <f>'Planning Engine'!G805</f>
        <v>0</v>
      </c>
      <c r="H89" s="99">
        <f t="shared" si="2"/>
        <v>0</v>
      </c>
      <c r="I89" s="95">
        <f>'Planning Engine'!H805</f>
        <v>72.651747685185143</v>
      </c>
      <c r="J89" s="96">
        <f ca="1">'Planning Engine'!J805</f>
        <v>999</v>
      </c>
      <c r="K89" s="95">
        <f ca="1">'Planning Engine'!K805</f>
        <v>0</v>
      </c>
      <c r="L89" s="12" t="str">
        <f ca="1">'Planning Engine'!L805</f>
        <v>Overstock</v>
      </c>
      <c r="M89" s="93">
        <f>'Planning Engine'!S805</f>
        <v>48488</v>
      </c>
      <c r="N89" s="95">
        <f>'Planning Engine'!T805</f>
        <v>0</v>
      </c>
      <c r="O89" s="98" t="s">
        <v>1837</v>
      </c>
      <c r="P89" s="4" t="str">
        <f t="shared" ca="1" si="3"/>
        <v>Defer receipts</v>
      </c>
    </row>
    <row r="90" spans="1:16" ht="13" customHeight="1" x14ac:dyDescent="0.35">
      <c r="A90" s="93">
        <v>48670</v>
      </c>
      <c r="B90" s="61" t="s">
        <v>45</v>
      </c>
      <c r="C90" s="12" t="str">
        <f>'Planning Engine'!C806</f>
        <v>Bulk API/DS</v>
      </c>
      <c r="D90" s="12" t="str">
        <f>'Planning Engine'!D806</f>
        <v>kg</v>
      </c>
      <c r="E90" s="95">
        <f>'Planning Engine'!E806</f>
        <v>72.651747685185143</v>
      </c>
      <c r="F90" s="95">
        <f>'Planning Engine'!F806</f>
        <v>0</v>
      </c>
      <c r="G90" s="95">
        <f>'Planning Engine'!G806</f>
        <v>0</v>
      </c>
      <c r="H90" s="95">
        <f t="shared" si="2"/>
        <v>0</v>
      </c>
      <c r="I90" s="95">
        <f>'Planning Engine'!H806</f>
        <v>72.651747685185143</v>
      </c>
      <c r="J90" s="96">
        <f ca="1">'Planning Engine'!J806</f>
        <v>999</v>
      </c>
      <c r="K90" s="95">
        <f ca="1">'Planning Engine'!K806</f>
        <v>0</v>
      </c>
      <c r="L90" s="12" t="str">
        <f ca="1">'Planning Engine'!L806</f>
        <v>Overstock</v>
      </c>
      <c r="M90" s="93">
        <f>'Planning Engine'!S806</f>
        <v>48519</v>
      </c>
      <c r="N90" s="95">
        <f>'Planning Engine'!T806</f>
        <v>0</v>
      </c>
      <c r="O90" s="94" t="s">
        <v>1838</v>
      </c>
      <c r="P90" s="12" t="str">
        <f t="shared" ca="1" si="3"/>
        <v>Defer receipts</v>
      </c>
    </row>
    <row r="91" spans="1:16" ht="13" customHeight="1" x14ac:dyDescent="0.35">
      <c r="A91" s="97">
        <v>48700</v>
      </c>
      <c r="B91" s="53" t="s">
        <v>45</v>
      </c>
      <c r="C91" s="12" t="str">
        <f>'Planning Engine'!C807</f>
        <v>Bulk API/DS</v>
      </c>
      <c r="D91" s="12" t="str">
        <f>'Planning Engine'!D807</f>
        <v>kg</v>
      </c>
      <c r="E91" s="95">
        <f>'Planning Engine'!E807</f>
        <v>72.651747685185143</v>
      </c>
      <c r="F91" s="95">
        <f>'Planning Engine'!F807</f>
        <v>0</v>
      </c>
      <c r="G91" s="95">
        <f>'Planning Engine'!G807</f>
        <v>0</v>
      </c>
      <c r="H91" s="99">
        <f t="shared" si="2"/>
        <v>0</v>
      </c>
      <c r="I91" s="95">
        <f>'Planning Engine'!H807</f>
        <v>72.651747685185143</v>
      </c>
      <c r="J91" s="96">
        <f ca="1">'Planning Engine'!J807</f>
        <v>999</v>
      </c>
      <c r="K91" s="95">
        <f ca="1">'Planning Engine'!K807</f>
        <v>0</v>
      </c>
      <c r="L91" s="12" t="str">
        <f ca="1">'Planning Engine'!L807</f>
        <v>Overstock</v>
      </c>
      <c r="M91" s="93">
        <f>'Planning Engine'!S807</f>
        <v>48549</v>
      </c>
      <c r="N91" s="95">
        <f>'Planning Engine'!T807</f>
        <v>0</v>
      </c>
      <c r="O91" s="98" t="s">
        <v>1839</v>
      </c>
      <c r="P91" s="4" t="str">
        <f t="shared" ca="1" si="3"/>
        <v>Defer receipts</v>
      </c>
    </row>
    <row r="92" spans="1:16" ht="13" customHeight="1" x14ac:dyDescent="0.35">
      <c r="A92" s="93">
        <v>48731</v>
      </c>
      <c r="B92" s="61" t="s">
        <v>45</v>
      </c>
      <c r="C92" s="12" t="str">
        <f>'Planning Engine'!C808</f>
        <v>Bulk API/DS</v>
      </c>
      <c r="D92" s="12" t="str">
        <f>'Planning Engine'!D808</f>
        <v>kg</v>
      </c>
      <c r="E92" s="95">
        <f>'Planning Engine'!E808</f>
        <v>72.651747685185143</v>
      </c>
      <c r="F92" s="95">
        <f>'Planning Engine'!F808</f>
        <v>0</v>
      </c>
      <c r="G92" s="95">
        <f>'Planning Engine'!G808</f>
        <v>0</v>
      </c>
      <c r="H92" s="95">
        <f t="shared" si="2"/>
        <v>0</v>
      </c>
      <c r="I92" s="95">
        <f>'Planning Engine'!H808</f>
        <v>72.651747685185143</v>
      </c>
      <c r="J92" s="96">
        <f ca="1">'Planning Engine'!J808</f>
        <v>999</v>
      </c>
      <c r="K92" s="95">
        <f ca="1">'Planning Engine'!K808</f>
        <v>0</v>
      </c>
      <c r="L92" s="12" t="str">
        <f ca="1">'Planning Engine'!L808</f>
        <v>Overstock</v>
      </c>
      <c r="M92" s="93">
        <f>'Planning Engine'!S808</f>
        <v>48580</v>
      </c>
      <c r="N92" s="95">
        <f>'Planning Engine'!T808</f>
        <v>0</v>
      </c>
      <c r="O92" s="94" t="s">
        <v>1840</v>
      </c>
      <c r="P92" s="12" t="str">
        <f t="shared" ca="1" si="3"/>
        <v>Defer receipts</v>
      </c>
    </row>
    <row r="93" spans="1:16" ht="13" customHeight="1" x14ac:dyDescent="0.35">
      <c r="A93" s="97">
        <v>48761</v>
      </c>
      <c r="B93" s="53" t="s">
        <v>45</v>
      </c>
      <c r="C93" s="12" t="str">
        <f>'Planning Engine'!C809</f>
        <v>Bulk API/DS</v>
      </c>
      <c r="D93" s="12" t="str">
        <f>'Planning Engine'!D809</f>
        <v>kg</v>
      </c>
      <c r="E93" s="95">
        <f>'Planning Engine'!E809</f>
        <v>72.651747685185143</v>
      </c>
      <c r="F93" s="95">
        <f>'Planning Engine'!F809</f>
        <v>0</v>
      </c>
      <c r="G93" s="95">
        <f>'Planning Engine'!G809</f>
        <v>0</v>
      </c>
      <c r="H93" s="99">
        <f t="shared" si="2"/>
        <v>0</v>
      </c>
      <c r="I93" s="95">
        <f>'Planning Engine'!H809</f>
        <v>72.651747685185143</v>
      </c>
      <c r="J93" s="96">
        <f ca="1">'Planning Engine'!J809</f>
        <v>999</v>
      </c>
      <c r="K93" s="95">
        <f ca="1">'Planning Engine'!K809</f>
        <v>0</v>
      </c>
      <c r="L93" s="12" t="str">
        <f ca="1">'Planning Engine'!L809</f>
        <v>Overstock</v>
      </c>
      <c r="M93" s="93">
        <f>'Planning Engine'!S809</f>
        <v>48611</v>
      </c>
      <c r="N93" s="95">
        <f>'Planning Engine'!T809</f>
        <v>0</v>
      </c>
      <c r="O93" s="98" t="s">
        <v>1841</v>
      </c>
      <c r="P93" s="4" t="str">
        <f t="shared" ca="1" si="3"/>
        <v>Defer receipts</v>
      </c>
    </row>
    <row r="94" spans="1:16" ht="13" customHeight="1" x14ac:dyDescent="0.35">
      <c r="A94" s="93">
        <v>48792</v>
      </c>
      <c r="B94" s="61" t="s">
        <v>45</v>
      </c>
      <c r="C94" s="12" t="str">
        <f>'Planning Engine'!C810</f>
        <v>Bulk API/DS</v>
      </c>
      <c r="D94" s="12" t="str">
        <f>'Planning Engine'!D810</f>
        <v>kg</v>
      </c>
      <c r="E94" s="95">
        <f>'Planning Engine'!E810</f>
        <v>72.651747685185143</v>
      </c>
      <c r="F94" s="95">
        <f>'Planning Engine'!F810</f>
        <v>0</v>
      </c>
      <c r="G94" s="95">
        <f>'Planning Engine'!G810</f>
        <v>0</v>
      </c>
      <c r="H94" s="95">
        <f t="shared" si="2"/>
        <v>0</v>
      </c>
      <c r="I94" s="95">
        <f>'Planning Engine'!H810</f>
        <v>72.651747685185143</v>
      </c>
      <c r="J94" s="96">
        <f ca="1">'Planning Engine'!J810</f>
        <v>999</v>
      </c>
      <c r="K94" s="95">
        <f ca="1">'Planning Engine'!K810</f>
        <v>0</v>
      </c>
      <c r="L94" s="12" t="str">
        <f ca="1">'Planning Engine'!L810</f>
        <v>Overstock</v>
      </c>
      <c r="M94" s="93">
        <f>'Planning Engine'!S810</f>
        <v>48639</v>
      </c>
      <c r="N94" s="95">
        <f>'Planning Engine'!T810</f>
        <v>0</v>
      </c>
      <c r="O94" s="94" t="s">
        <v>1842</v>
      </c>
      <c r="P94" s="12" t="str">
        <f t="shared" ca="1" si="3"/>
        <v>Defer receipts</v>
      </c>
    </row>
    <row r="95" spans="1:16" ht="13" customHeight="1" x14ac:dyDescent="0.35">
      <c r="A95" s="97">
        <v>48823</v>
      </c>
      <c r="B95" s="53" t="s">
        <v>45</v>
      </c>
      <c r="C95" s="12" t="str">
        <f>'Planning Engine'!C811</f>
        <v>Bulk API/DS</v>
      </c>
      <c r="D95" s="12" t="str">
        <f>'Planning Engine'!D811</f>
        <v>kg</v>
      </c>
      <c r="E95" s="95">
        <f>'Planning Engine'!E811</f>
        <v>72.651747685185143</v>
      </c>
      <c r="F95" s="95">
        <f>'Planning Engine'!F811</f>
        <v>0</v>
      </c>
      <c r="G95" s="95">
        <f>'Planning Engine'!G811</f>
        <v>0</v>
      </c>
      <c r="H95" s="99">
        <f t="shared" si="2"/>
        <v>0</v>
      </c>
      <c r="I95" s="95">
        <f>'Planning Engine'!H811</f>
        <v>72.651747685185143</v>
      </c>
      <c r="J95" s="96">
        <f ca="1">'Planning Engine'!J811</f>
        <v>999</v>
      </c>
      <c r="K95" s="95">
        <f ca="1">'Planning Engine'!K811</f>
        <v>0</v>
      </c>
      <c r="L95" s="12" t="str">
        <f ca="1">'Planning Engine'!L811</f>
        <v>Overstock</v>
      </c>
      <c r="M95" s="93">
        <f>'Planning Engine'!S811</f>
        <v>48670</v>
      </c>
      <c r="N95" s="95">
        <f>'Planning Engine'!T811</f>
        <v>0</v>
      </c>
      <c r="O95" s="98" t="s">
        <v>1843</v>
      </c>
      <c r="P95" s="4" t="str">
        <f t="shared" ca="1" si="3"/>
        <v>Defer receipts</v>
      </c>
    </row>
    <row r="96" spans="1:16" ht="13" customHeight="1" x14ac:dyDescent="0.35">
      <c r="A96" s="93">
        <v>48853</v>
      </c>
      <c r="B96" s="61" t="s">
        <v>45</v>
      </c>
      <c r="C96" s="12" t="str">
        <f>'Planning Engine'!C812</f>
        <v>Bulk API/DS</v>
      </c>
      <c r="D96" s="12" t="str">
        <f>'Planning Engine'!D812</f>
        <v>kg</v>
      </c>
      <c r="E96" s="95">
        <f>'Planning Engine'!E812</f>
        <v>72.651747685185143</v>
      </c>
      <c r="F96" s="95">
        <f>'Planning Engine'!F812</f>
        <v>0</v>
      </c>
      <c r="G96" s="95">
        <f>'Planning Engine'!G812</f>
        <v>0</v>
      </c>
      <c r="H96" s="95">
        <f t="shared" si="2"/>
        <v>0</v>
      </c>
      <c r="I96" s="95">
        <f>'Planning Engine'!H812</f>
        <v>72.651747685185143</v>
      </c>
      <c r="J96" s="96">
        <f ca="1">'Planning Engine'!J812</f>
        <v>999</v>
      </c>
      <c r="K96" s="95">
        <f ca="1">'Planning Engine'!K812</f>
        <v>0</v>
      </c>
      <c r="L96" s="12" t="str">
        <f ca="1">'Planning Engine'!L812</f>
        <v>Overstock</v>
      </c>
      <c r="M96" s="93">
        <f>'Planning Engine'!S812</f>
        <v>48700</v>
      </c>
      <c r="N96" s="95">
        <f>'Planning Engine'!T812</f>
        <v>0</v>
      </c>
      <c r="O96" s="94" t="s">
        <v>1844</v>
      </c>
      <c r="P96" s="12" t="str">
        <f t="shared" ca="1" si="3"/>
        <v>Defer receipts</v>
      </c>
    </row>
    <row r="97" spans="1:16" ht="13" customHeight="1" x14ac:dyDescent="0.35">
      <c r="A97" s="97">
        <v>48884</v>
      </c>
      <c r="B97" s="53" t="s">
        <v>45</v>
      </c>
      <c r="C97" s="12" t="str">
        <f>'Planning Engine'!C813</f>
        <v>Bulk API/DS</v>
      </c>
      <c r="D97" s="12" t="str">
        <f>'Planning Engine'!D813</f>
        <v>kg</v>
      </c>
      <c r="E97" s="95">
        <f>'Planning Engine'!E813</f>
        <v>72.651747685185143</v>
      </c>
      <c r="F97" s="95">
        <f>'Planning Engine'!F813</f>
        <v>0</v>
      </c>
      <c r="G97" s="95">
        <f>'Planning Engine'!G813</f>
        <v>0</v>
      </c>
      <c r="H97" s="99">
        <f t="shared" si="2"/>
        <v>0</v>
      </c>
      <c r="I97" s="95">
        <f>'Planning Engine'!H813</f>
        <v>72.651747685185143</v>
      </c>
      <c r="J97" s="96">
        <f ca="1">'Planning Engine'!J813</f>
        <v>999</v>
      </c>
      <c r="K97" s="95">
        <f ca="1">'Planning Engine'!K813</f>
        <v>0</v>
      </c>
      <c r="L97" s="12" t="str">
        <f ca="1">'Planning Engine'!L813</f>
        <v>Overstock</v>
      </c>
      <c r="M97" s="93">
        <f>'Planning Engine'!S813</f>
        <v>48731</v>
      </c>
      <c r="N97" s="95">
        <f>'Planning Engine'!T813</f>
        <v>0</v>
      </c>
      <c r="O97" s="98" t="s">
        <v>1845</v>
      </c>
      <c r="P97" s="4" t="str">
        <f t="shared" ca="1" si="3"/>
        <v>Defer receipts</v>
      </c>
    </row>
    <row r="98" spans="1:16" ht="13" customHeight="1" x14ac:dyDescent="0.35">
      <c r="A98" s="93">
        <v>48914</v>
      </c>
      <c r="B98" s="61" t="s">
        <v>45</v>
      </c>
      <c r="C98" s="12" t="str">
        <f>'Planning Engine'!C814</f>
        <v>Bulk API/DS</v>
      </c>
      <c r="D98" s="12" t="str">
        <f>'Planning Engine'!D814</f>
        <v>kg</v>
      </c>
      <c r="E98" s="95">
        <f>'Planning Engine'!E814</f>
        <v>72.651747685185143</v>
      </c>
      <c r="F98" s="95">
        <f>'Planning Engine'!F814</f>
        <v>0</v>
      </c>
      <c r="G98" s="95">
        <f>'Planning Engine'!G814</f>
        <v>0</v>
      </c>
      <c r="H98" s="95">
        <f t="shared" si="2"/>
        <v>0</v>
      </c>
      <c r="I98" s="95">
        <f>'Planning Engine'!H814</f>
        <v>72.651747685185143</v>
      </c>
      <c r="J98" s="96">
        <f ca="1">'Planning Engine'!J814</f>
        <v>999</v>
      </c>
      <c r="K98" s="95">
        <f ca="1">'Planning Engine'!K814</f>
        <v>0</v>
      </c>
      <c r="L98" s="12" t="str">
        <f ca="1">'Planning Engine'!L814</f>
        <v>Overstock</v>
      </c>
      <c r="M98" s="93">
        <f>'Planning Engine'!S814</f>
        <v>48761</v>
      </c>
      <c r="N98" s="95">
        <f>'Planning Engine'!T814</f>
        <v>0</v>
      </c>
      <c r="O98" s="94" t="s">
        <v>1846</v>
      </c>
      <c r="P98" s="12" t="str">
        <f t="shared" ca="1" si="3"/>
        <v>Defer receipts</v>
      </c>
    </row>
    <row r="99" spans="1:16" ht="13" customHeight="1" x14ac:dyDescent="0.35">
      <c r="A99" s="97">
        <v>48945</v>
      </c>
      <c r="B99" s="53" t="s">
        <v>45</v>
      </c>
      <c r="C99" s="12" t="str">
        <f>'Planning Engine'!C815</f>
        <v>Bulk API/DS</v>
      </c>
      <c r="D99" s="12" t="str">
        <f>'Planning Engine'!D815</f>
        <v>kg</v>
      </c>
      <c r="E99" s="95">
        <f>'Planning Engine'!E815</f>
        <v>72.651747685185143</v>
      </c>
      <c r="F99" s="95">
        <f>'Planning Engine'!F815</f>
        <v>0</v>
      </c>
      <c r="G99" s="95">
        <f>'Planning Engine'!G815</f>
        <v>0</v>
      </c>
      <c r="H99" s="99">
        <f t="shared" si="2"/>
        <v>0</v>
      </c>
      <c r="I99" s="95">
        <f>'Planning Engine'!H815</f>
        <v>72.651747685185143</v>
      </c>
      <c r="J99" s="96">
        <f ca="1">'Planning Engine'!J815</f>
        <v>999</v>
      </c>
      <c r="K99" s="95">
        <f ca="1">'Planning Engine'!K815</f>
        <v>0</v>
      </c>
      <c r="L99" s="12" t="str">
        <f ca="1">'Planning Engine'!L815</f>
        <v>Overstock</v>
      </c>
      <c r="M99" s="93">
        <f>'Planning Engine'!S815</f>
        <v>48792</v>
      </c>
      <c r="N99" s="95">
        <f>'Planning Engine'!T815</f>
        <v>0</v>
      </c>
      <c r="O99" s="98" t="s">
        <v>1847</v>
      </c>
      <c r="P99" s="4" t="str">
        <f t="shared" ca="1" si="3"/>
        <v>Defer receipts</v>
      </c>
    </row>
    <row r="100" spans="1:16" ht="13" customHeight="1" x14ac:dyDescent="0.35">
      <c r="A100" s="93">
        <v>48976</v>
      </c>
      <c r="B100" s="61" t="s">
        <v>45</v>
      </c>
      <c r="C100" s="12" t="str">
        <f>'Planning Engine'!C816</f>
        <v>Bulk API/DS</v>
      </c>
      <c r="D100" s="12" t="str">
        <f>'Planning Engine'!D816</f>
        <v>kg</v>
      </c>
      <c r="E100" s="95">
        <f>'Planning Engine'!E816</f>
        <v>72.651747685185143</v>
      </c>
      <c r="F100" s="95">
        <f>'Planning Engine'!F816</f>
        <v>0</v>
      </c>
      <c r="G100" s="95">
        <f>'Planning Engine'!G816</f>
        <v>0</v>
      </c>
      <c r="H100" s="95">
        <f t="shared" si="2"/>
        <v>0</v>
      </c>
      <c r="I100" s="95">
        <f>'Planning Engine'!H816</f>
        <v>72.651747685185143</v>
      </c>
      <c r="J100" s="96">
        <f ca="1">'Planning Engine'!J816</f>
        <v>999</v>
      </c>
      <c r="K100" s="95">
        <f ca="1">'Planning Engine'!K816</f>
        <v>0</v>
      </c>
      <c r="L100" s="12" t="str">
        <f ca="1">'Planning Engine'!L816</f>
        <v>Overstock</v>
      </c>
      <c r="M100" s="93">
        <f>'Planning Engine'!S816</f>
        <v>48823</v>
      </c>
      <c r="N100" s="95">
        <f>'Planning Engine'!T816</f>
        <v>0</v>
      </c>
      <c r="O100" s="94" t="s">
        <v>1848</v>
      </c>
      <c r="P100" s="12" t="str">
        <f t="shared" ca="1" si="3"/>
        <v>Defer receipts</v>
      </c>
    </row>
    <row r="101" spans="1:16" ht="13" customHeight="1" x14ac:dyDescent="0.35">
      <c r="A101" s="97">
        <v>49004</v>
      </c>
      <c r="B101" s="53" t="s">
        <v>45</v>
      </c>
      <c r="C101" s="12" t="str">
        <f>'Planning Engine'!C817</f>
        <v>Bulk API/DS</v>
      </c>
      <c r="D101" s="12" t="str">
        <f>'Planning Engine'!D817</f>
        <v>kg</v>
      </c>
      <c r="E101" s="95">
        <f>'Planning Engine'!E817</f>
        <v>72.651747685185143</v>
      </c>
      <c r="F101" s="95">
        <f>'Planning Engine'!F817</f>
        <v>0</v>
      </c>
      <c r="G101" s="95">
        <f>'Planning Engine'!G817</f>
        <v>0</v>
      </c>
      <c r="H101" s="99">
        <f t="shared" si="2"/>
        <v>0</v>
      </c>
      <c r="I101" s="95">
        <f>'Planning Engine'!H817</f>
        <v>72.651747685185143</v>
      </c>
      <c r="J101" s="96">
        <f ca="1">'Planning Engine'!J817</f>
        <v>999</v>
      </c>
      <c r="K101" s="95">
        <f ca="1">'Planning Engine'!K817</f>
        <v>0</v>
      </c>
      <c r="L101" s="12" t="str">
        <f ca="1">'Planning Engine'!L817</f>
        <v>Overstock</v>
      </c>
      <c r="M101" s="93">
        <f>'Planning Engine'!S817</f>
        <v>48853</v>
      </c>
      <c r="N101" s="95">
        <f>'Planning Engine'!T817</f>
        <v>0</v>
      </c>
      <c r="O101" s="98" t="s">
        <v>1849</v>
      </c>
      <c r="P101" s="4" t="str">
        <f t="shared" ca="1" si="3"/>
        <v>Defer receipts</v>
      </c>
    </row>
    <row r="102" spans="1:16" ht="13" customHeight="1" x14ac:dyDescent="0.35">
      <c r="A102" s="93">
        <v>49035</v>
      </c>
      <c r="B102" s="61" t="s">
        <v>45</v>
      </c>
      <c r="C102" s="12" t="str">
        <f>'Planning Engine'!C818</f>
        <v>Bulk API/DS</v>
      </c>
      <c r="D102" s="12" t="str">
        <f>'Planning Engine'!D818</f>
        <v>kg</v>
      </c>
      <c r="E102" s="95">
        <f>'Planning Engine'!E818</f>
        <v>72.651747685185143</v>
      </c>
      <c r="F102" s="95">
        <f>'Planning Engine'!F818</f>
        <v>0</v>
      </c>
      <c r="G102" s="95">
        <f>'Planning Engine'!G818</f>
        <v>0</v>
      </c>
      <c r="H102" s="95">
        <f t="shared" si="2"/>
        <v>0</v>
      </c>
      <c r="I102" s="95">
        <f>'Planning Engine'!H818</f>
        <v>72.651747685185143</v>
      </c>
      <c r="J102" s="96">
        <f ca="1">'Planning Engine'!J818</f>
        <v>999</v>
      </c>
      <c r="K102" s="95">
        <f ca="1">'Planning Engine'!K818</f>
        <v>0</v>
      </c>
      <c r="L102" s="12" t="str">
        <f ca="1">'Planning Engine'!L818</f>
        <v>Overstock</v>
      </c>
      <c r="M102" s="93">
        <f>'Planning Engine'!S818</f>
        <v>48884</v>
      </c>
      <c r="N102" s="95">
        <f>'Planning Engine'!T818</f>
        <v>0</v>
      </c>
      <c r="O102" s="94" t="s">
        <v>1850</v>
      </c>
      <c r="P102" s="12" t="str">
        <f t="shared" ca="1" si="3"/>
        <v>Defer receipts</v>
      </c>
    </row>
    <row r="103" spans="1:16" ht="13" customHeight="1" x14ac:dyDescent="0.35">
      <c r="A103" s="97">
        <v>49065</v>
      </c>
      <c r="B103" s="53" t="s">
        <v>45</v>
      </c>
      <c r="C103" s="12" t="str">
        <f>'Planning Engine'!C819</f>
        <v>Bulk API/DS</v>
      </c>
      <c r="D103" s="12" t="str">
        <f>'Planning Engine'!D819</f>
        <v>kg</v>
      </c>
      <c r="E103" s="95">
        <f>'Planning Engine'!E819</f>
        <v>72.651747685185143</v>
      </c>
      <c r="F103" s="95">
        <f>'Planning Engine'!F819</f>
        <v>0</v>
      </c>
      <c r="G103" s="95">
        <f>'Planning Engine'!G819</f>
        <v>0</v>
      </c>
      <c r="H103" s="99">
        <f t="shared" si="2"/>
        <v>0</v>
      </c>
      <c r="I103" s="95">
        <f>'Planning Engine'!H819</f>
        <v>72.651747685185143</v>
      </c>
      <c r="J103" s="96">
        <f ca="1">'Planning Engine'!J819</f>
        <v>999</v>
      </c>
      <c r="K103" s="95">
        <f ca="1">'Planning Engine'!K819</f>
        <v>0</v>
      </c>
      <c r="L103" s="12" t="str">
        <f ca="1">'Planning Engine'!L819</f>
        <v>Overstock</v>
      </c>
      <c r="M103" s="93">
        <f>'Planning Engine'!S819</f>
        <v>48914</v>
      </c>
      <c r="N103" s="95">
        <f>'Planning Engine'!T819</f>
        <v>0</v>
      </c>
      <c r="O103" s="98" t="s">
        <v>1851</v>
      </c>
      <c r="P103" s="4" t="str">
        <f t="shared" ca="1" si="3"/>
        <v>Defer receipts</v>
      </c>
    </row>
    <row r="104" spans="1:16" ht="13" customHeight="1" x14ac:dyDescent="0.35">
      <c r="A104" s="93">
        <v>49096</v>
      </c>
      <c r="B104" s="61" t="s">
        <v>45</v>
      </c>
      <c r="C104" s="12" t="str">
        <f>'Planning Engine'!C820</f>
        <v>Bulk API/DS</v>
      </c>
      <c r="D104" s="12" t="str">
        <f>'Planning Engine'!D820</f>
        <v>kg</v>
      </c>
      <c r="E104" s="95">
        <f>'Planning Engine'!E820</f>
        <v>72.651747685185143</v>
      </c>
      <c r="F104" s="95">
        <f>'Planning Engine'!F820</f>
        <v>0</v>
      </c>
      <c r="G104" s="95">
        <f>'Planning Engine'!G820</f>
        <v>0</v>
      </c>
      <c r="H104" s="95">
        <f t="shared" si="2"/>
        <v>0</v>
      </c>
      <c r="I104" s="95">
        <f>'Planning Engine'!H820</f>
        <v>72.651747685185143</v>
      </c>
      <c r="J104" s="96">
        <f ca="1">'Planning Engine'!J820</f>
        <v>999</v>
      </c>
      <c r="K104" s="95">
        <f ca="1">'Planning Engine'!K820</f>
        <v>0</v>
      </c>
      <c r="L104" s="12" t="str">
        <f ca="1">'Planning Engine'!L820</f>
        <v>Overstock</v>
      </c>
      <c r="M104" s="93">
        <f>'Planning Engine'!S820</f>
        <v>48945</v>
      </c>
      <c r="N104" s="95">
        <f>'Planning Engine'!T820</f>
        <v>0</v>
      </c>
      <c r="O104" s="94" t="s">
        <v>1852</v>
      </c>
      <c r="P104" s="12" t="str">
        <f t="shared" ca="1" si="3"/>
        <v>Defer receipts</v>
      </c>
    </row>
    <row r="105" spans="1:16" ht="13" customHeight="1" x14ac:dyDescent="0.35">
      <c r="A105" s="97">
        <v>49126</v>
      </c>
      <c r="B105" s="53" t="s">
        <v>45</v>
      </c>
      <c r="C105" s="12" t="str">
        <f>'Planning Engine'!C821</f>
        <v>Bulk API/DS</v>
      </c>
      <c r="D105" s="12" t="str">
        <f>'Planning Engine'!D821</f>
        <v>kg</v>
      </c>
      <c r="E105" s="95">
        <f>'Planning Engine'!E821</f>
        <v>72.651747685185143</v>
      </c>
      <c r="F105" s="95">
        <f>'Planning Engine'!F821</f>
        <v>0</v>
      </c>
      <c r="G105" s="95">
        <f>'Planning Engine'!G821</f>
        <v>0</v>
      </c>
      <c r="H105" s="99">
        <f t="shared" si="2"/>
        <v>0</v>
      </c>
      <c r="I105" s="95">
        <f>'Planning Engine'!H821</f>
        <v>72.651747685185143</v>
      </c>
      <c r="J105" s="96">
        <f ca="1">'Planning Engine'!J821</f>
        <v>999</v>
      </c>
      <c r="K105" s="95">
        <f ca="1">'Planning Engine'!K821</f>
        <v>0</v>
      </c>
      <c r="L105" s="12" t="str">
        <f ca="1">'Planning Engine'!L821</f>
        <v>Overstock</v>
      </c>
      <c r="M105" s="93">
        <f>'Planning Engine'!S821</f>
        <v>48976</v>
      </c>
      <c r="N105" s="95">
        <f>'Planning Engine'!T821</f>
        <v>0</v>
      </c>
      <c r="O105" s="98" t="s">
        <v>1853</v>
      </c>
      <c r="P105" s="4" t="str">
        <f t="shared" ca="1" si="3"/>
        <v>Defer receipts</v>
      </c>
    </row>
    <row r="106" spans="1:16" ht="13" customHeight="1" x14ac:dyDescent="0.35">
      <c r="A106" s="93">
        <v>49157</v>
      </c>
      <c r="B106" s="61" t="s">
        <v>45</v>
      </c>
      <c r="C106" s="12" t="str">
        <f>'Planning Engine'!C822</f>
        <v>Bulk API/DS</v>
      </c>
      <c r="D106" s="12" t="str">
        <f>'Planning Engine'!D822</f>
        <v>kg</v>
      </c>
      <c r="E106" s="95">
        <f>'Planning Engine'!E822</f>
        <v>72.651747685185143</v>
      </c>
      <c r="F106" s="95">
        <f>'Planning Engine'!F822</f>
        <v>0</v>
      </c>
      <c r="G106" s="95">
        <f>'Planning Engine'!G822</f>
        <v>0</v>
      </c>
      <c r="H106" s="95">
        <f t="shared" si="2"/>
        <v>0</v>
      </c>
      <c r="I106" s="95">
        <f>'Planning Engine'!H822</f>
        <v>72.651747685185143</v>
      </c>
      <c r="J106" s="96">
        <f ca="1">'Planning Engine'!J822</f>
        <v>999</v>
      </c>
      <c r="K106" s="95">
        <f ca="1">'Planning Engine'!K822</f>
        <v>0</v>
      </c>
      <c r="L106" s="12" t="str">
        <f ca="1">'Planning Engine'!L822</f>
        <v>Overstock</v>
      </c>
      <c r="M106" s="93">
        <f>'Planning Engine'!S822</f>
        <v>49004</v>
      </c>
      <c r="N106" s="95">
        <f>'Planning Engine'!T822</f>
        <v>0</v>
      </c>
      <c r="O106" s="94" t="s">
        <v>1854</v>
      </c>
      <c r="P106" s="12" t="str">
        <f t="shared" ca="1" si="3"/>
        <v>Defer receipts</v>
      </c>
    </row>
    <row r="107" spans="1:16" ht="13" customHeight="1" x14ac:dyDescent="0.35">
      <c r="A107" s="97">
        <v>49188</v>
      </c>
      <c r="B107" s="53" t="s">
        <v>45</v>
      </c>
      <c r="C107" s="12" t="str">
        <f>'Planning Engine'!C823</f>
        <v>Bulk API/DS</v>
      </c>
      <c r="D107" s="12" t="str">
        <f>'Planning Engine'!D823</f>
        <v>kg</v>
      </c>
      <c r="E107" s="95">
        <f>'Planning Engine'!E823</f>
        <v>72.651747685185143</v>
      </c>
      <c r="F107" s="95">
        <f>'Planning Engine'!F823</f>
        <v>0</v>
      </c>
      <c r="G107" s="95">
        <f>'Planning Engine'!G823</f>
        <v>0</v>
      </c>
      <c r="H107" s="99">
        <f t="shared" si="2"/>
        <v>0</v>
      </c>
      <c r="I107" s="95">
        <f>'Planning Engine'!H823</f>
        <v>72.651747685185143</v>
      </c>
      <c r="J107" s="96">
        <f ca="1">'Planning Engine'!J823</f>
        <v>999</v>
      </c>
      <c r="K107" s="95">
        <f ca="1">'Planning Engine'!K823</f>
        <v>0</v>
      </c>
      <c r="L107" s="12" t="str">
        <f ca="1">'Planning Engine'!L823</f>
        <v>Overstock</v>
      </c>
      <c r="M107" s="93">
        <f>'Planning Engine'!S823</f>
        <v>49035</v>
      </c>
      <c r="N107" s="95">
        <f>'Planning Engine'!T823</f>
        <v>0</v>
      </c>
      <c r="O107" s="98" t="s">
        <v>1855</v>
      </c>
      <c r="P107" s="4" t="str">
        <f t="shared" ca="1" si="3"/>
        <v>Defer receipts</v>
      </c>
    </row>
    <row r="108" spans="1:16" ht="13" customHeight="1" x14ac:dyDescent="0.35">
      <c r="A108" s="93">
        <v>49218</v>
      </c>
      <c r="B108" s="61" t="s">
        <v>45</v>
      </c>
      <c r="C108" s="12" t="str">
        <f>'Planning Engine'!C824</f>
        <v>Bulk API/DS</v>
      </c>
      <c r="D108" s="12" t="str">
        <f>'Planning Engine'!D824</f>
        <v>kg</v>
      </c>
      <c r="E108" s="95">
        <f>'Planning Engine'!E824</f>
        <v>72.651747685185143</v>
      </c>
      <c r="F108" s="95">
        <f>'Planning Engine'!F824</f>
        <v>0</v>
      </c>
      <c r="G108" s="95">
        <f>'Planning Engine'!G824</f>
        <v>0</v>
      </c>
      <c r="H108" s="95">
        <f t="shared" si="2"/>
        <v>0</v>
      </c>
      <c r="I108" s="95">
        <f>'Planning Engine'!H824</f>
        <v>72.651747685185143</v>
      </c>
      <c r="J108" s="96">
        <f ca="1">'Planning Engine'!J824</f>
        <v>999</v>
      </c>
      <c r="K108" s="95">
        <f ca="1">'Planning Engine'!K824</f>
        <v>0</v>
      </c>
      <c r="L108" s="12" t="str">
        <f ca="1">'Planning Engine'!L824</f>
        <v>Overstock</v>
      </c>
      <c r="M108" s="93">
        <f>'Planning Engine'!S824</f>
        <v>49065</v>
      </c>
      <c r="N108" s="95">
        <f>'Planning Engine'!T824</f>
        <v>0</v>
      </c>
      <c r="O108" s="94" t="s">
        <v>1856</v>
      </c>
      <c r="P108" s="12" t="str">
        <f t="shared" ca="1" si="3"/>
        <v>Defer receipts</v>
      </c>
    </row>
    <row r="109" spans="1:16" ht="13" customHeight="1" x14ac:dyDescent="0.35">
      <c r="A109" s="97">
        <v>49249</v>
      </c>
      <c r="B109" s="53" t="s">
        <v>45</v>
      </c>
      <c r="C109" s="12" t="str">
        <f>'Planning Engine'!C825</f>
        <v>Bulk API/DS</v>
      </c>
      <c r="D109" s="12" t="str">
        <f>'Planning Engine'!D825</f>
        <v>kg</v>
      </c>
      <c r="E109" s="95">
        <f>'Planning Engine'!E825</f>
        <v>72.651747685185143</v>
      </c>
      <c r="F109" s="95">
        <f>'Planning Engine'!F825</f>
        <v>0</v>
      </c>
      <c r="G109" s="95">
        <f>'Planning Engine'!G825</f>
        <v>0</v>
      </c>
      <c r="H109" s="99">
        <f t="shared" si="2"/>
        <v>0</v>
      </c>
      <c r="I109" s="95">
        <f>'Planning Engine'!H825</f>
        <v>72.651747685185143</v>
      </c>
      <c r="J109" s="96">
        <f ca="1">'Planning Engine'!J825</f>
        <v>999</v>
      </c>
      <c r="K109" s="95">
        <f ca="1">'Planning Engine'!K825</f>
        <v>0</v>
      </c>
      <c r="L109" s="12" t="str">
        <f ca="1">'Planning Engine'!L825</f>
        <v>Overstock</v>
      </c>
      <c r="M109" s="93">
        <f>'Planning Engine'!S825</f>
        <v>49096</v>
      </c>
      <c r="N109" s="95">
        <f>'Planning Engine'!T825</f>
        <v>0</v>
      </c>
      <c r="O109" s="98" t="s">
        <v>1857</v>
      </c>
      <c r="P109" s="4" t="str">
        <f t="shared" ca="1" si="3"/>
        <v>Defer receipts</v>
      </c>
    </row>
    <row r="110" spans="1:16" ht="13" customHeight="1" x14ac:dyDescent="0.35">
      <c r="A110" s="93">
        <v>49279</v>
      </c>
      <c r="B110" s="61" t="s">
        <v>45</v>
      </c>
      <c r="C110" s="12" t="str">
        <f>'Planning Engine'!C826</f>
        <v>Bulk API/DS</v>
      </c>
      <c r="D110" s="12" t="str">
        <f>'Planning Engine'!D826</f>
        <v>kg</v>
      </c>
      <c r="E110" s="95">
        <f>'Planning Engine'!E826</f>
        <v>72.651747685185143</v>
      </c>
      <c r="F110" s="95">
        <f>'Planning Engine'!F826</f>
        <v>0</v>
      </c>
      <c r="G110" s="95">
        <f>'Planning Engine'!G826</f>
        <v>0</v>
      </c>
      <c r="H110" s="95">
        <f t="shared" si="2"/>
        <v>0</v>
      </c>
      <c r="I110" s="95">
        <f>'Planning Engine'!H826</f>
        <v>72.651747685185143</v>
      </c>
      <c r="J110" s="96">
        <f ca="1">'Planning Engine'!J826</f>
        <v>999</v>
      </c>
      <c r="K110" s="95">
        <f ca="1">'Planning Engine'!K826</f>
        <v>0</v>
      </c>
      <c r="L110" s="12" t="str">
        <f ca="1">'Planning Engine'!L826</f>
        <v>Overstock</v>
      </c>
      <c r="M110" s="93">
        <f>'Planning Engine'!S826</f>
        <v>49126</v>
      </c>
      <c r="N110" s="95">
        <f>'Planning Engine'!T826</f>
        <v>0</v>
      </c>
      <c r="O110" s="94" t="s">
        <v>1858</v>
      </c>
      <c r="P110" s="12" t="str">
        <f t="shared" ca="1" si="3"/>
        <v>Defer receipts</v>
      </c>
    </row>
    <row r="111" spans="1:16" ht="13" customHeight="1" x14ac:dyDescent="0.35">
      <c r="A111" s="97">
        <v>49310</v>
      </c>
      <c r="B111" s="53" t="s">
        <v>45</v>
      </c>
      <c r="C111" s="12" t="str">
        <f>'Planning Engine'!C827</f>
        <v>Bulk API/DS</v>
      </c>
      <c r="D111" s="12" t="str">
        <f>'Planning Engine'!D827</f>
        <v>kg</v>
      </c>
      <c r="E111" s="95">
        <f>'Planning Engine'!E827</f>
        <v>72.651747685185143</v>
      </c>
      <c r="F111" s="95">
        <f>'Planning Engine'!F827</f>
        <v>0</v>
      </c>
      <c r="G111" s="95">
        <f>'Planning Engine'!G827</f>
        <v>0</v>
      </c>
      <c r="H111" s="99">
        <f t="shared" si="2"/>
        <v>0</v>
      </c>
      <c r="I111" s="95">
        <f>'Planning Engine'!H827</f>
        <v>72.651747685185143</v>
      </c>
      <c r="J111" s="96">
        <f ca="1">'Planning Engine'!J827</f>
        <v>999</v>
      </c>
      <c r="K111" s="95">
        <f ca="1">'Planning Engine'!K827</f>
        <v>0</v>
      </c>
      <c r="L111" s="12" t="str">
        <f ca="1">'Planning Engine'!L827</f>
        <v>Overstock</v>
      </c>
      <c r="M111" s="93">
        <f>'Planning Engine'!S827</f>
        <v>49157</v>
      </c>
      <c r="N111" s="95">
        <f>'Planning Engine'!T827</f>
        <v>0</v>
      </c>
      <c r="O111" s="98" t="s">
        <v>1859</v>
      </c>
      <c r="P111" s="4" t="str">
        <f t="shared" ca="1" si="3"/>
        <v>Defer receipts</v>
      </c>
    </row>
    <row r="112" spans="1:16" ht="13" customHeight="1" x14ac:dyDescent="0.35">
      <c r="A112" s="93">
        <v>49341</v>
      </c>
      <c r="B112" s="61" t="s">
        <v>45</v>
      </c>
      <c r="C112" s="12" t="str">
        <f>'Planning Engine'!C828</f>
        <v>Bulk API/DS</v>
      </c>
      <c r="D112" s="12" t="str">
        <f>'Planning Engine'!D828</f>
        <v>kg</v>
      </c>
      <c r="E112" s="95">
        <f>'Planning Engine'!E828</f>
        <v>72.651747685185143</v>
      </c>
      <c r="F112" s="95">
        <f>'Planning Engine'!F828</f>
        <v>0</v>
      </c>
      <c r="G112" s="95">
        <f>'Planning Engine'!G828</f>
        <v>0</v>
      </c>
      <c r="H112" s="95">
        <f t="shared" si="2"/>
        <v>0</v>
      </c>
      <c r="I112" s="95">
        <f>'Planning Engine'!H828</f>
        <v>72.651747685185143</v>
      </c>
      <c r="J112" s="96">
        <f ca="1">'Planning Engine'!J828</f>
        <v>999</v>
      </c>
      <c r="K112" s="95">
        <f ca="1">'Planning Engine'!K828</f>
        <v>0</v>
      </c>
      <c r="L112" s="12" t="str">
        <f ca="1">'Planning Engine'!L828</f>
        <v>Overstock</v>
      </c>
      <c r="M112" s="93">
        <f>'Planning Engine'!S828</f>
        <v>49188</v>
      </c>
      <c r="N112" s="95">
        <f>'Planning Engine'!T828</f>
        <v>0</v>
      </c>
      <c r="O112" s="94" t="s">
        <v>1860</v>
      </c>
      <c r="P112" s="12" t="str">
        <f t="shared" ca="1" si="3"/>
        <v>Defer receipts</v>
      </c>
    </row>
    <row r="113" spans="1:16" ht="13" customHeight="1" x14ac:dyDescent="0.35">
      <c r="A113" s="97">
        <v>49369</v>
      </c>
      <c r="B113" s="53" t="s">
        <v>45</v>
      </c>
      <c r="C113" s="12" t="str">
        <f>'Planning Engine'!C829</f>
        <v>Bulk API/DS</v>
      </c>
      <c r="D113" s="12" t="str">
        <f>'Planning Engine'!D829</f>
        <v>kg</v>
      </c>
      <c r="E113" s="95">
        <f>'Planning Engine'!E829</f>
        <v>72.651747685185143</v>
      </c>
      <c r="F113" s="95">
        <f>'Planning Engine'!F829</f>
        <v>0</v>
      </c>
      <c r="G113" s="95">
        <f>'Planning Engine'!G829</f>
        <v>0</v>
      </c>
      <c r="H113" s="99">
        <f t="shared" si="2"/>
        <v>0</v>
      </c>
      <c r="I113" s="95">
        <f>'Planning Engine'!H829</f>
        <v>72.651747685185143</v>
      </c>
      <c r="J113" s="96">
        <f ca="1">'Planning Engine'!J829</f>
        <v>999</v>
      </c>
      <c r="K113" s="95">
        <f ca="1">'Planning Engine'!K829</f>
        <v>0</v>
      </c>
      <c r="L113" s="12" t="str">
        <f ca="1">'Planning Engine'!L829</f>
        <v>Overstock</v>
      </c>
      <c r="M113" s="93">
        <f>'Planning Engine'!S829</f>
        <v>49218</v>
      </c>
      <c r="N113" s="95">
        <f>'Planning Engine'!T829</f>
        <v>0</v>
      </c>
      <c r="O113" s="98" t="s">
        <v>1861</v>
      </c>
      <c r="P113" s="4" t="str">
        <f t="shared" ca="1" si="3"/>
        <v>Defer receipts</v>
      </c>
    </row>
    <row r="114" spans="1:16" ht="13" customHeight="1" x14ac:dyDescent="0.35">
      <c r="A114" s="93">
        <v>49400</v>
      </c>
      <c r="B114" s="61" t="s">
        <v>45</v>
      </c>
      <c r="C114" s="12" t="str">
        <f>'Planning Engine'!C830</f>
        <v>Bulk API/DS</v>
      </c>
      <c r="D114" s="12" t="str">
        <f>'Planning Engine'!D830</f>
        <v>kg</v>
      </c>
      <c r="E114" s="95">
        <f>'Planning Engine'!E830</f>
        <v>72.651747685185143</v>
      </c>
      <c r="F114" s="95">
        <f>'Planning Engine'!F830</f>
        <v>0</v>
      </c>
      <c r="G114" s="95">
        <f>'Planning Engine'!G830</f>
        <v>0</v>
      </c>
      <c r="H114" s="95">
        <f t="shared" si="2"/>
        <v>0</v>
      </c>
      <c r="I114" s="95">
        <f>'Planning Engine'!H830</f>
        <v>72.651747685185143</v>
      </c>
      <c r="J114" s="96">
        <f ca="1">'Planning Engine'!J830</f>
        <v>999</v>
      </c>
      <c r="K114" s="95">
        <f ca="1">'Planning Engine'!K830</f>
        <v>0</v>
      </c>
      <c r="L114" s="12" t="str">
        <f ca="1">'Planning Engine'!L830</f>
        <v>Overstock</v>
      </c>
      <c r="M114" s="93">
        <f>'Planning Engine'!S830</f>
        <v>49249</v>
      </c>
      <c r="N114" s="95">
        <f>'Planning Engine'!T830</f>
        <v>0</v>
      </c>
      <c r="O114" s="94" t="s">
        <v>1862</v>
      </c>
      <c r="P114" s="12" t="str">
        <f t="shared" ca="1" si="3"/>
        <v>Defer receipts</v>
      </c>
    </row>
    <row r="115" spans="1:16" ht="13" customHeight="1" x14ac:dyDescent="0.35">
      <c r="A115" s="97">
        <v>49430</v>
      </c>
      <c r="B115" s="53" t="s">
        <v>45</v>
      </c>
      <c r="C115" s="12" t="str">
        <f>'Planning Engine'!C831</f>
        <v>Bulk API/DS</v>
      </c>
      <c r="D115" s="12" t="str">
        <f>'Planning Engine'!D831</f>
        <v>kg</v>
      </c>
      <c r="E115" s="95">
        <f>'Planning Engine'!E831</f>
        <v>72.651747685185143</v>
      </c>
      <c r="F115" s="95">
        <f>'Planning Engine'!F831</f>
        <v>0</v>
      </c>
      <c r="G115" s="95">
        <f>'Planning Engine'!G831</f>
        <v>0</v>
      </c>
      <c r="H115" s="99">
        <f t="shared" si="2"/>
        <v>0</v>
      </c>
      <c r="I115" s="95">
        <f>'Planning Engine'!H831</f>
        <v>72.651747685185143</v>
      </c>
      <c r="J115" s="96">
        <f ca="1">'Planning Engine'!J831</f>
        <v>999</v>
      </c>
      <c r="K115" s="95">
        <f ca="1">'Planning Engine'!K831</f>
        <v>0</v>
      </c>
      <c r="L115" s="12" t="str">
        <f ca="1">'Planning Engine'!L831</f>
        <v>Overstock</v>
      </c>
      <c r="M115" s="93">
        <f>'Planning Engine'!S831</f>
        <v>49279</v>
      </c>
      <c r="N115" s="95">
        <f>'Planning Engine'!T831</f>
        <v>0</v>
      </c>
      <c r="O115" s="98" t="s">
        <v>1863</v>
      </c>
      <c r="P115" s="4" t="str">
        <f t="shared" ca="1" si="3"/>
        <v>Defer receipts</v>
      </c>
    </row>
    <row r="116" spans="1:16" ht="13" customHeight="1" x14ac:dyDescent="0.35">
      <c r="A116" s="93">
        <v>49461</v>
      </c>
      <c r="B116" s="61" t="s">
        <v>45</v>
      </c>
      <c r="C116" s="12" t="str">
        <f>'Planning Engine'!C832</f>
        <v>Bulk API/DS</v>
      </c>
      <c r="D116" s="12" t="str">
        <f>'Planning Engine'!D832</f>
        <v>kg</v>
      </c>
      <c r="E116" s="95">
        <f>'Planning Engine'!E832</f>
        <v>72.651747685185143</v>
      </c>
      <c r="F116" s="95">
        <f>'Planning Engine'!F832</f>
        <v>0</v>
      </c>
      <c r="G116" s="95">
        <f>'Planning Engine'!G832</f>
        <v>0</v>
      </c>
      <c r="H116" s="95">
        <f t="shared" si="2"/>
        <v>0</v>
      </c>
      <c r="I116" s="95">
        <f>'Planning Engine'!H832</f>
        <v>72.651747685185143</v>
      </c>
      <c r="J116" s="96">
        <f ca="1">'Planning Engine'!J832</f>
        <v>999</v>
      </c>
      <c r="K116" s="95">
        <f ca="1">'Planning Engine'!K832</f>
        <v>0</v>
      </c>
      <c r="L116" s="12" t="str">
        <f ca="1">'Planning Engine'!L832</f>
        <v>Overstock</v>
      </c>
      <c r="M116" s="93">
        <f>'Planning Engine'!S832</f>
        <v>49310</v>
      </c>
      <c r="N116" s="95">
        <f>'Planning Engine'!T832</f>
        <v>0</v>
      </c>
      <c r="O116" s="94" t="s">
        <v>1864</v>
      </c>
      <c r="P116" s="12" t="str">
        <f t="shared" ca="1" si="3"/>
        <v>Defer receipts</v>
      </c>
    </row>
    <row r="117" spans="1:16" ht="13" customHeight="1" x14ac:dyDescent="0.35">
      <c r="A117" s="97">
        <v>49491</v>
      </c>
      <c r="B117" s="53" t="s">
        <v>45</v>
      </c>
      <c r="C117" s="12" t="str">
        <f>'Planning Engine'!C833</f>
        <v>Bulk API/DS</v>
      </c>
      <c r="D117" s="12" t="str">
        <f>'Planning Engine'!D833</f>
        <v>kg</v>
      </c>
      <c r="E117" s="95">
        <f>'Planning Engine'!E833</f>
        <v>72.651747685185143</v>
      </c>
      <c r="F117" s="95">
        <f>'Planning Engine'!F833</f>
        <v>0</v>
      </c>
      <c r="G117" s="95">
        <f>'Planning Engine'!G833</f>
        <v>0</v>
      </c>
      <c r="H117" s="99">
        <f t="shared" si="2"/>
        <v>0</v>
      </c>
      <c r="I117" s="95">
        <f>'Planning Engine'!H833</f>
        <v>72.651747685185143</v>
      </c>
      <c r="J117" s="96">
        <f ca="1">'Planning Engine'!J833</f>
        <v>999</v>
      </c>
      <c r="K117" s="95">
        <f ca="1">'Planning Engine'!K833</f>
        <v>0</v>
      </c>
      <c r="L117" s="12" t="str">
        <f ca="1">'Planning Engine'!L833</f>
        <v>Overstock</v>
      </c>
      <c r="M117" s="93">
        <f>'Planning Engine'!S833</f>
        <v>49341</v>
      </c>
      <c r="N117" s="95">
        <f>'Planning Engine'!T833</f>
        <v>0</v>
      </c>
      <c r="O117" s="98" t="s">
        <v>1865</v>
      </c>
      <c r="P117" s="4" t="str">
        <f t="shared" ca="1" si="3"/>
        <v>Defer receipts</v>
      </c>
    </row>
    <row r="118" spans="1:16" ht="13" customHeight="1" x14ac:dyDescent="0.35">
      <c r="A118" s="93">
        <v>49522</v>
      </c>
      <c r="B118" s="61" t="s">
        <v>45</v>
      </c>
      <c r="C118" s="12" t="str">
        <f>'Planning Engine'!C834</f>
        <v>Bulk API/DS</v>
      </c>
      <c r="D118" s="12" t="str">
        <f>'Planning Engine'!D834</f>
        <v>kg</v>
      </c>
      <c r="E118" s="95">
        <f>'Planning Engine'!E834</f>
        <v>72.651747685185143</v>
      </c>
      <c r="F118" s="95">
        <f>'Planning Engine'!F834</f>
        <v>0</v>
      </c>
      <c r="G118" s="95">
        <f>'Planning Engine'!G834</f>
        <v>0</v>
      </c>
      <c r="H118" s="95">
        <f t="shared" si="2"/>
        <v>0</v>
      </c>
      <c r="I118" s="95">
        <f>'Planning Engine'!H834</f>
        <v>72.651747685185143</v>
      </c>
      <c r="J118" s="96">
        <f ca="1">'Planning Engine'!J834</f>
        <v>999</v>
      </c>
      <c r="K118" s="95">
        <f ca="1">'Planning Engine'!K834</f>
        <v>0</v>
      </c>
      <c r="L118" s="12" t="str">
        <f ca="1">'Planning Engine'!L834</f>
        <v>Overstock</v>
      </c>
      <c r="M118" s="93">
        <f>'Planning Engine'!S834</f>
        <v>49369</v>
      </c>
      <c r="N118" s="95">
        <f>'Planning Engine'!T834</f>
        <v>0</v>
      </c>
      <c r="O118" s="94" t="s">
        <v>1866</v>
      </c>
      <c r="P118" s="12" t="str">
        <f t="shared" ca="1" si="3"/>
        <v>Defer receipts</v>
      </c>
    </row>
    <row r="119" spans="1:16" ht="13" customHeight="1" x14ac:dyDescent="0.35">
      <c r="A119" s="97">
        <v>49553</v>
      </c>
      <c r="B119" s="53" t="s">
        <v>45</v>
      </c>
      <c r="C119" s="12" t="str">
        <f>'Planning Engine'!C835</f>
        <v>Bulk API/DS</v>
      </c>
      <c r="D119" s="12" t="str">
        <f>'Planning Engine'!D835</f>
        <v>kg</v>
      </c>
      <c r="E119" s="95">
        <f>'Planning Engine'!E835</f>
        <v>72.651747685185143</v>
      </c>
      <c r="F119" s="95">
        <f>'Planning Engine'!F835</f>
        <v>0</v>
      </c>
      <c r="G119" s="95">
        <f>'Planning Engine'!G835</f>
        <v>0</v>
      </c>
      <c r="H119" s="99">
        <f t="shared" si="2"/>
        <v>0</v>
      </c>
      <c r="I119" s="95">
        <f>'Planning Engine'!H835</f>
        <v>72.651747685185143</v>
      </c>
      <c r="J119" s="96">
        <f ca="1">'Planning Engine'!J835</f>
        <v>999</v>
      </c>
      <c r="K119" s="95">
        <f ca="1">'Planning Engine'!K835</f>
        <v>0</v>
      </c>
      <c r="L119" s="12" t="str">
        <f ca="1">'Planning Engine'!L835</f>
        <v>Overstock</v>
      </c>
      <c r="M119" s="93">
        <f>'Planning Engine'!S835</f>
        <v>49400</v>
      </c>
      <c r="N119" s="95">
        <f>'Planning Engine'!T835</f>
        <v>0</v>
      </c>
      <c r="O119" s="98" t="s">
        <v>1867</v>
      </c>
      <c r="P119" s="4" t="str">
        <f t="shared" ca="1" si="3"/>
        <v>Defer receipts</v>
      </c>
    </row>
    <row r="120" spans="1:16" ht="13" customHeight="1" x14ac:dyDescent="0.35">
      <c r="A120" s="93">
        <v>49583</v>
      </c>
      <c r="B120" s="61" t="s">
        <v>45</v>
      </c>
      <c r="C120" s="12" t="str">
        <f>'Planning Engine'!C836</f>
        <v>Bulk API/DS</v>
      </c>
      <c r="D120" s="12" t="str">
        <f>'Planning Engine'!D836</f>
        <v>kg</v>
      </c>
      <c r="E120" s="95">
        <f>'Planning Engine'!E836</f>
        <v>72.651747685185143</v>
      </c>
      <c r="F120" s="95">
        <f>'Planning Engine'!F836</f>
        <v>0</v>
      </c>
      <c r="G120" s="95">
        <f>'Planning Engine'!G836</f>
        <v>0</v>
      </c>
      <c r="H120" s="95">
        <f t="shared" si="2"/>
        <v>0</v>
      </c>
      <c r="I120" s="95">
        <f>'Planning Engine'!H836</f>
        <v>72.651747685185143</v>
      </c>
      <c r="J120" s="96">
        <f ca="1">'Planning Engine'!J836</f>
        <v>999</v>
      </c>
      <c r="K120" s="95">
        <f ca="1">'Planning Engine'!K836</f>
        <v>0</v>
      </c>
      <c r="L120" s="12" t="str">
        <f ca="1">'Planning Engine'!L836</f>
        <v>Overstock</v>
      </c>
      <c r="M120" s="93">
        <f>'Planning Engine'!S836</f>
        <v>49430</v>
      </c>
      <c r="N120" s="95">
        <f>'Planning Engine'!T836</f>
        <v>0</v>
      </c>
      <c r="O120" s="94" t="s">
        <v>1868</v>
      </c>
      <c r="P120" s="12" t="str">
        <f t="shared" ca="1" si="3"/>
        <v>Defer receipts</v>
      </c>
    </row>
    <row r="121" spans="1:16" ht="13" customHeight="1" x14ac:dyDescent="0.35">
      <c r="A121" s="97">
        <v>49614</v>
      </c>
      <c r="B121" s="53" t="s">
        <v>45</v>
      </c>
      <c r="C121" s="12" t="str">
        <f>'Planning Engine'!C837</f>
        <v>Bulk API/DS</v>
      </c>
      <c r="D121" s="12" t="str">
        <f>'Planning Engine'!D837</f>
        <v>kg</v>
      </c>
      <c r="E121" s="95">
        <f>'Planning Engine'!E837</f>
        <v>72.651747685185143</v>
      </c>
      <c r="F121" s="95">
        <f>'Planning Engine'!F837</f>
        <v>0</v>
      </c>
      <c r="G121" s="95">
        <f>'Planning Engine'!G837</f>
        <v>0</v>
      </c>
      <c r="H121" s="99">
        <f t="shared" si="2"/>
        <v>0</v>
      </c>
      <c r="I121" s="95">
        <f>'Planning Engine'!H837</f>
        <v>72.651747685185143</v>
      </c>
      <c r="J121" s="96">
        <f ca="1">'Planning Engine'!J837</f>
        <v>999</v>
      </c>
      <c r="K121" s="95">
        <f ca="1">'Planning Engine'!K837</f>
        <v>0</v>
      </c>
      <c r="L121" s="12" t="str">
        <f ca="1">'Planning Engine'!L837</f>
        <v>Overstock</v>
      </c>
      <c r="M121" s="93">
        <f>'Planning Engine'!S837</f>
        <v>49461</v>
      </c>
      <c r="N121" s="95">
        <f>'Planning Engine'!T837</f>
        <v>0</v>
      </c>
      <c r="O121" s="98" t="s">
        <v>1869</v>
      </c>
      <c r="P121" s="4" t="str">
        <f t="shared" ca="1" si="3"/>
        <v>Defer receipts</v>
      </c>
    </row>
    <row r="122" spans="1:16" ht="13" customHeight="1" x14ac:dyDescent="0.35">
      <c r="A122" s="93">
        <v>49644</v>
      </c>
      <c r="B122" s="61" t="s">
        <v>45</v>
      </c>
      <c r="C122" s="12" t="str">
        <f>'Planning Engine'!C838</f>
        <v>Bulk API/DS</v>
      </c>
      <c r="D122" s="12" t="str">
        <f>'Planning Engine'!D838</f>
        <v>kg</v>
      </c>
      <c r="E122" s="95">
        <f>'Planning Engine'!E838</f>
        <v>72.651747685185143</v>
      </c>
      <c r="F122" s="95">
        <f>'Planning Engine'!F838</f>
        <v>0</v>
      </c>
      <c r="G122" s="95">
        <f>'Planning Engine'!G838</f>
        <v>0</v>
      </c>
      <c r="H122" s="95">
        <f t="shared" si="2"/>
        <v>0</v>
      </c>
      <c r="I122" s="95">
        <f>'Planning Engine'!H838</f>
        <v>72.651747685185143</v>
      </c>
      <c r="J122" s="96">
        <f ca="1">'Planning Engine'!J838</f>
        <v>999</v>
      </c>
      <c r="K122" s="95">
        <f ca="1">'Planning Engine'!K838</f>
        <v>0</v>
      </c>
      <c r="L122" s="12" t="str">
        <f ca="1">'Planning Engine'!L838</f>
        <v>Overstock</v>
      </c>
      <c r="M122" s="93">
        <f>'Planning Engine'!S838</f>
        <v>49491</v>
      </c>
      <c r="N122" s="95">
        <f>'Planning Engine'!T838</f>
        <v>0</v>
      </c>
      <c r="O122" s="94" t="s">
        <v>1870</v>
      </c>
      <c r="P122" s="12" t="str">
        <f t="shared" ca="1" si="3"/>
        <v>Defer receipts</v>
      </c>
    </row>
    <row r="123" spans="1:16" ht="13" customHeight="1" x14ac:dyDescent="0.35">
      <c r="A123" s="97">
        <v>49675</v>
      </c>
      <c r="B123" s="53" t="s">
        <v>45</v>
      </c>
      <c r="C123" s="12" t="str">
        <f>'Planning Engine'!C839</f>
        <v>Bulk API/DS</v>
      </c>
      <c r="D123" s="12" t="str">
        <f>'Planning Engine'!D839</f>
        <v>kg</v>
      </c>
      <c r="E123" s="95">
        <f>'Planning Engine'!E839</f>
        <v>72.651747685185143</v>
      </c>
      <c r="F123" s="95">
        <f>'Planning Engine'!F839</f>
        <v>0</v>
      </c>
      <c r="G123" s="95">
        <f>'Planning Engine'!G839</f>
        <v>0</v>
      </c>
      <c r="H123" s="99">
        <f t="shared" si="2"/>
        <v>0</v>
      </c>
      <c r="I123" s="95">
        <f>'Planning Engine'!H839</f>
        <v>72.651747685185143</v>
      </c>
      <c r="J123" s="96">
        <f ca="1">'Planning Engine'!J839</f>
        <v>999</v>
      </c>
      <c r="K123" s="95">
        <f ca="1">'Planning Engine'!K839</f>
        <v>0</v>
      </c>
      <c r="L123" s="12" t="str">
        <f ca="1">'Planning Engine'!L839</f>
        <v>Overstock</v>
      </c>
      <c r="M123" s="93">
        <f>'Planning Engine'!S839</f>
        <v>49522</v>
      </c>
      <c r="N123" s="95">
        <f>'Planning Engine'!T839</f>
        <v>0</v>
      </c>
      <c r="O123" s="98" t="s">
        <v>1871</v>
      </c>
      <c r="P123" s="4" t="str">
        <f t="shared" ca="1" si="3"/>
        <v>Defer receipts</v>
      </c>
    </row>
    <row r="124" spans="1:16" ht="13" customHeight="1" x14ac:dyDescent="0.35">
      <c r="A124" s="93">
        <v>49706</v>
      </c>
      <c r="B124" s="61" t="s">
        <v>45</v>
      </c>
      <c r="C124" s="12" t="str">
        <f>'Planning Engine'!C840</f>
        <v>Bulk API/DS</v>
      </c>
      <c r="D124" s="12" t="str">
        <f>'Planning Engine'!D840</f>
        <v>kg</v>
      </c>
      <c r="E124" s="95">
        <f>'Planning Engine'!E840</f>
        <v>72.651747685185143</v>
      </c>
      <c r="F124" s="95">
        <f>'Planning Engine'!F840</f>
        <v>0</v>
      </c>
      <c r="G124" s="95">
        <f>'Planning Engine'!G840</f>
        <v>0</v>
      </c>
      <c r="H124" s="95">
        <f t="shared" si="2"/>
        <v>0</v>
      </c>
      <c r="I124" s="95">
        <f>'Planning Engine'!H840</f>
        <v>72.651747685185143</v>
      </c>
      <c r="J124" s="96">
        <f ca="1">'Planning Engine'!J840</f>
        <v>999</v>
      </c>
      <c r="K124" s="95">
        <f ca="1">'Planning Engine'!K840</f>
        <v>0</v>
      </c>
      <c r="L124" s="12" t="str">
        <f ca="1">'Planning Engine'!L840</f>
        <v>Overstock</v>
      </c>
      <c r="M124" s="93">
        <f>'Planning Engine'!S840</f>
        <v>49553</v>
      </c>
      <c r="N124" s="95">
        <f>'Planning Engine'!T840</f>
        <v>0</v>
      </c>
      <c r="O124" s="94" t="s">
        <v>1872</v>
      </c>
      <c r="P124" s="12" t="str">
        <f t="shared" ca="1" si="3"/>
        <v>Defer receipts</v>
      </c>
    </row>
    <row r="125" spans="1:16" ht="13" customHeight="1" x14ac:dyDescent="0.35">
      <c r="A125" s="97">
        <v>49735</v>
      </c>
      <c r="B125" s="53" t="s">
        <v>45</v>
      </c>
      <c r="C125" s="12" t="str">
        <f>'Planning Engine'!C841</f>
        <v>Bulk API/DS</v>
      </c>
      <c r="D125" s="12" t="str">
        <f>'Planning Engine'!D841</f>
        <v>kg</v>
      </c>
      <c r="E125" s="95">
        <f>'Planning Engine'!E841</f>
        <v>72.651747685185143</v>
      </c>
      <c r="F125" s="95">
        <f>'Planning Engine'!F841</f>
        <v>0</v>
      </c>
      <c r="G125" s="95">
        <f>'Planning Engine'!G841</f>
        <v>0</v>
      </c>
      <c r="H125" s="99">
        <f t="shared" si="2"/>
        <v>0</v>
      </c>
      <c r="I125" s="95">
        <f>'Planning Engine'!H841</f>
        <v>72.651747685185143</v>
      </c>
      <c r="J125" s="96">
        <f ca="1">'Planning Engine'!J841</f>
        <v>999</v>
      </c>
      <c r="K125" s="95">
        <f ca="1">'Planning Engine'!K841</f>
        <v>0</v>
      </c>
      <c r="L125" s="12" t="str">
        <f ca="1">'Planning Engine'!L841</f>
        <v>Overstock</v>
      </c>
      <c r="M125" s="93">
        <f>'Planning Engine'!S841</f>
        <v>49583</v>
      </c>
      <c r="N125" s="95">
        <f>'Planning Engine'!T841</f>
        <v>0</v>
      </c>
      <c r="O125" s="98" t="s">
        <v>1873</v>
      </c>
      <c r="P125" s="4" t="str">
        <f t="shared" ca="1" si="3"/>
        <v>Defer receipts</v>
      </c>
    </row>
    <row r="126" spans="1:16" ht="13" customHeight="1" x14ac:dyDescent="0.35">
      <c r="A126" s="93">
        <v>49766</v>
      </c>
      <c r="B126" s="61" t="s">
        <v>45</v>
      </c>
      <c r="C126" s="12" t="str">
        <f>'Planning Engine'!C842</f>
        <v>Bulk API/DS</v>
      </c>
      <c r="D126" s="12" t="str">
        <f>'Planning Engine'!D842</f>
        <v>kg</v>
      </c>
      <c r="E126" s="95">
        <f>'Planning Engine'!E842</f>
        <v>72.651747685185143</v>
      </c>
      <c r="F126" s="95">
        <f>'Planning Engine'!F842</f>
        <v>0</v>
      </c>
      <c r="G126" s="95">
        <f>'Planning Engine'!G842</f>
        <v>0</v>
      </c>
      <c r="H126" s="95">
        <f t="shared" si="2"/>
        <v>0</v>
      </c>
      <c r="I126" s="95">
        <f>'Planning Engine'!H842</f>
        <v>72.651747685185143</v>
      </c>
      <c r="J126" s="96">
        <f ca="1">'Planning Engine'!J842</f>
        <v>999</v>
      </c>
      <c r="K126" s="95">
        <f ca="1">'Planning Engine'!K842</f>
        <v>0</v>
      </c>
      <c r="L126" s="12" t="str">
        <f ca="1">'Planning Engine'!L842</f>
        <v>Overstock</v>
      </c>
      <c r="M126" s="93">
        <f>'Planning Engine'!S842</f>
        <v>49614</v>
      </c>
      <c r="N126" s="95">
        <f>'Planning Engine'!T842</f>
        <v>0</v>
      </c>
      <c r="O126" s="94" t="s">
        <v>1874</v>
      </c>
      <c r="P126" s="12" t="str">
        <f t="shared" ca="1" si="3"/>
        <v>Defer receipts</v>
      </c>
    </row>
    <row r="127" spans="1:16" ht="13" customHeight="1" x14ac:dyDescent="0.35">
      <c r="A127" s="97">
        <v>49796</v>
      </c>
      <c r="B127" s="53" t="s">
        <v>45</v>
      </c>
      <c r="C127" s="12" t="str">
        <f>'Planning Engine'!C843</f>
        <v>Bulk API/DS</v>
      </c>
      <c r="D127" s="12" t="str">
        <f>'Planning Engine'!D843</f>
        <v>kg</v>
      </c>
      <c r="E127" s="95">
        <f>'Planning Engine'!E843</f>
        <v>72.651747685185143</v>
      </c>
      <c r="F127" s="95">
        <f>'Planning Engine'!F843</f>
        <v>0</v>
      </c>
      <c r="G127" s="95">
        <f>'Planning Engine'!G843</f>
        <v>0</v>
      </c>
      <c r="H127" s="99">
        <f t="shared" si="2"/>
        <v>0</v>
      </c>
      <c r="I127" s="95">
        <f>'Planning Engine'!H843</f>
        <v>72.651747685185143</v>
      </c>
      <c r="J127" s="96">
        <f ca="1">'Planning Engine'!J843</f>
        <v>999</v>
      </c>
      <c r="K127" s="95">
        <f ca="1">'Planning Engine'!K843</f>
        <v>0</v>
      </c>
      <c r="L127" s="12" t="str">
        <f ca="1">'Planning Engine'!L843</f>
        <v>Overstock</v>
      </c>
      <c r="M127" s="93">
        <f>'Planning Engine'!S843</f>
        <v>49644</v>
      </c>
      <c r="N127" s="95">
        <f>'Planning Engine'!T843</f>
        <v>0</v>
      </c>
      <c r="O127" s="98" t="s">
        <v>1875</v>
      </c>
      <c r="P127" s="4" t="str">
        <f t="shared" ca="1" si="3"/>
        <v>Defer receipts</v>
      </c>
    </row>
    <row r="128" spans="1:16" ht="13" customHeight="1" x14ac:dyDescent="0.35">
      <c r="A128" s="93">
        <v>49827</v>
      </c>
      <c r="B128" s="61" t="s">
        <v>45</v>
      </c>
      <c r="C128" s="12" t="str">
        <f>'Planning Engine'!C844</f>
        <v>Bulk API/DS</v>
      </c>
      <c r="D128" s="12" t="str">
        <f>'Planning Engine'!D844</f>
        <v>kg</v>
      </c>
      <c r="E128" s="95">
        <f>'Planning Engine'!E844</f>
        <v>72.651747685185143</v>
      </c>
      <c r="F128" s="95">
        <f>'Planning Engine'!F844</f>
        <v>0</v>
      </c>
      <c r="G128" s="95">
        <f>'Planning Engine'!G844</f>
        <v>0</v>
      </c>
      <c r="H128" s="95">
        <f t="shared" si="2"/>
        <v>0</v>
      </c>
      <c r="I128" s="95">
        <f>'Planning Engine'!H844</f>
        <v>72.651747685185143</v>
      </c>
      <c r="J128" s="96">
        <f ca="1">'Planning Engine'!J844</f>
        <v>999</v>
      </c>
      <c r="K128" s="95">
        <f ca="1">'Planning Engine'!K844</f>
        <v>0</v>
      </c>
      <c r="L128" s="12" t="str">
        <f ca="1">'Planning Engine'!L844</f>
        <v>Overstock</v>
      </c>
      <c r="M128" s="93">
        <f>'Planning Engine'!S844</f>
        <v>49675</v>
      </c>
      <c r="N128" s="95">
        <f>'Planning Engine'!T844</f>
        <v>0</v>
      </c>
      <c r="O128" s="94" t="s">
        <v>1876</v>
      </c>
      <c r="P128" s="12" t="str">
        <f t="shared" ca="1" si="3"/>
        <v>Defer receipts</v>
      </c>
    </row>
    <row r="129" spans="1:16" ht="13" customHeight="1" x14ac:dyDescent="0.35">
      <c r="A129" s="97">
        <v>49857</v>
      </c>
      <c r="B129" s="53" t="s">
        <v>45</v>
      </c>
      <c r="C129" s="12" t="str">
        <f>'Planning Engine'!C845</f>
        <v>Bulk API/DS</v>
      </c>
      <c r="D129" s="12" t="str">
        <f>'Planning Engine'!D845</f>
        <v>kg</v>
      </c>
      <c r="E129" s="95">
        <f>'Planning Engine'!E845</f>
        <v>72.651747685185143</v>
      </c>
      <c r="F129" s="95">
        <f>'Planning Engine'!F845</f>
        <v>0</v>
      </c>
      <c r="G129" s="95">
        <f>'Planning Engine'!G845</f>
        <v>0</v>
      </c>
      <c r="H129" s="99">
        <f t="shared" si="2"/>
        <v>0</v>
      </c>
      <c r="I129" s="95">
        <f>'Planning Engine'!H845</f>
        <v>72.651747685185143</v>
      </c>
      <c r="J129" s="96">
        <f ca="1">'Planning Engine'!J845</f>
        <v>999</v>
      </c>
      <c r="K129" s="95">
        <f ca="1">'Planning Engine'!K845</f>
        <v>0</v>
      </c>
      <c r="L129" s="12" t="str">
        <f ca="1">'Planning Engine'!L845</f>
        <v>Overstock</v>
      </c>
      <c r="M129" s="93">
        <f>'Planning Engine'!S845</f>
        <v>49706</v>
      </c>
      <c r="N129" s="95">
        <f>'Planning Engine'!T845</f>
        <v>0</v>
      </c>
      <c r="O129" s="98" t="s">
        <v>1877</v>
      </c>
      <c r="P129" s="4" t="str">
        <f t="shared" ca="1" si="3"/>
        <v>Defer receipts</v>
      </c>
    </row>
    <row r="130" spans="1:16" ht="13" customHeight="1" x14ac:dyDescent="0.35">
      <c r="A130" s="93">
        <v>49888</v>
      </c>
      <c r="B130" s="61" t="s">
        <v>45</v>
      </c>
      <c r="C130" s="12" t="str">
        <f>'Planning Engine'!C846</f>
        <v>Bulk API/DS</v>
      </c>
      <c r="D130" s="12" t="str">
        <f>'Planning Engine'!D846</f>
        <v>kg</v>
      </c>
      <c r="E130" s="95">
        <f>'Planning Engine'!E846</f>
        <v>72.651747685185143</v>
      </c>
      <c r="F130" s="95">
        <f>'Planning Engine'!F846</f>
        <v>0</v>
      </c>
      <c r="G130" s="95">
        <f>'Planning Engine'!G846</f>
        <v>0</v>
      </c>
      <c r="H130" s="95">
        <f t="shared" si="2"/>
        <v>0</v>
      </c>
      <c r="I130" s="95">
        <f>'Planning Engine'!H846</f>
        <v>72.651747685185143</v>
      </c>
      <c r="J130" s="96">
        <f ca="1">'Planning Engine'!J846</f>
        <v>999</v>
      </c>
      <c r="K130" s="95">
        <f ca="1">'Planning Engine'!K846</f>
        <v>0</v>
      </c>
      <c r="L130" s="12" t="str">
        <f ca="1">'Planning Engine'!L846</f>
        <v>Overstock</v>
      </c>
      <c r="M130" s="93">
        <f>'Planning Engine'!S846</f>
        <v>49735</v>
      </c>
      <c r="N130" s="95">
        <f>'Planning Engine'!T846</f>
        <v>0</v>
      </c>
      <c r="O130" s="94" t="s">
        <v>1878</v>
      </c>
      <c r="P130" s="12" t="str">
        <f t="shared" ca="1" si="3"/>
        <v>Defer receipts</v>
      </c>
    </row>
    <row r="131" spans="1:16" ht="13" customHeight="1" x14ac:dyDescent="0.35">
      <c r="A131" s="97">
        <v>49919</v>
      </c>
      <c r="B131" s="53" t="s">
        <v>45</v>
      </c>
      <c r="C131" s="12" t="str">
        <f>'Planning Engine'!C847</f>
        <v>Bulk API/DS</v>
      </c>
      <c r="D131" s="12" t="str">
        <f>'Planning Engine'!D847</f>
        <v>kg</v>
      </c>
      <c r="E131" s="95">
        <f>'Planning Engine'!E847</f>
        <v>72.651747685185143</v>
      </c>
      <c r="F131" s="95">
        <f>'Planning Engine'!F847</f>
        <v>0</v>
      </c>
      <c r="G131" s="95">
        <f>'Planning Engine'!G847</f>
        <v>0</v>
      </c>
      <c r="H131" s="99">
        <f t="shared" si="2"/>
        <v>0</v>
      </c>
      <c r="I131" s="95">
        <f>'Planning Engine'!H847</f>
        <v>72.651747685185143</v>
      </c>
      <c r="J131" s="96">
        <f ca="1">'Planning Engine'!J847</f>
        <v>999</v>
      </c>
      <c r="K131" s="95">
        <f ca="1">'Planning Engine'!K847</f>
        <v>0</v>
      </c>
      <c r="L131" s="12" t="str">
        <f ca="1">'Planning Engine'!L847</f>
        <v>Overstock</v>
      </c>
      <c r="M131" s="93">
        <f>'Planning Engine'!S847</f>
        <v>49766</v>
      </c>
      <c r="N131" s="95">
        <f>'Planning Engine'!T847</f>
        <v>0</v>
      </c>
      <c r="O131" s="98" t="s">
        <v>1879</v>
      </c>
      <c r="P131" s="4" t="str">
        <f t="shared" ca="1" si="3"/>
        <v>Defer receipts</v>
      </c>
    </row>
    <row r="132" spans="1:16" ht="13" customHeight="1" x14ac:dyDescent="0.35">
      <c r="A132" s="93">
        <v>49949</v>
      </c>
      <c r="B132" s="61" t="s">
        <v>45</v>
      </c>
      <c r="C132" s="12" t="str">
        <f>'Planning Engine'!C848</f>
        <v>Bulk API/DS</v>
      </c>
      <c r="D132" s="12" t="str">
        <f>'Planning Engine'!D848</f>
        <v>kg</v>
      </c>
      <c r="E132" s="95">
        <f>'Planning Engine'!E848</f>
        <v>72.651747685185143</v>
      </c>
      <c r="F132" s="95">
        <f>'Planning Engine'!F848</f>
        <v>0</v>
      </c>
      <c r="G132" s="95">
        <f>'Planning Engine'!G848</f>
        <v>0</v>
      </c>
      <c r="H132" s="95">
        <f t="shared" ref="H132:H195" si="4">G132-F132</f>
        <v>0</v>
      </c>
      <c r="I132" s="95">
        <f>'Planning Engine'!H848</f>
        <v>72.651747685185143</v>
      </c>
      <c r="J132" s="96">
        <f ca="1">'Planning Engine'!J848</f>
        <v>999</v>
      </c>
      <c r="K132" s="95">
        <f ca="1">'Planning Engine'!K848</f>
        <v>0</v>
      </c>
      <c r="L132" s="12" t="str">
        <f ca="1">'Planning Engine'!L848</f>
        <v>Overstock</v>
      </c>
      <c r="M132" s="93">
        <f>'Planning Engine'!S848</f>
        <v>49796</v>
      </c>
      <c r="N132" s="95">
        <f>'Planning Engine'!T848</f>
        <v>0</v>
      </c>
      <c r="O132" s="94" t="s">
        <v>1880</v>
      </c>
      <c r="P132" s="12" t="str">
        <f t="shared" ref="P132:P195" ca="1" si="5">IFERROR(IF(L132="High","⚠ Expedite / qualify alternate source",IF(L132="Medium","Monitor — plan additional POs",IF(L132="Overstock","Defer receipts","OK"))),"--")</f>
        <v>Defer receipts</v>
      </c>
    </row>
    <row r="133" spans="1:16" ht="13" customHeight="1" x14ac:dyDescent="0.35">
      <c r="A133" s="97">
        <v>49980</v>
      </c>
      <c r="B133" s="53" t="s">
        <v>45</v>
      </c>
      <c r="C133" s="12" t="str">
        <f>'Planning Engine'!C849</f>
        <v>Bulk API/DS</v>
      </c>
      <c r="D133" s="12" t="str">
        <f>'Planning Engine'!D849</f>
        <v>kg</v>
      </c>
      <c r="E133" s="95">
        <f>'Planning Engine'!E849</f>
        <v>72.651747685185143</v>
      </c>
      <c r="F133" s="95">
        <f>'Planning Engine'!F849</f>
        <v>0</v>
      </c>
      <c r="G133" s="95">
        <f>'Planning Engine'!G849</f>
        <v>0</v>
      </c>
      <c r="H133" s="99">
        <f t="shared" si="4"/>
        <v>0</v>
      </c>
      <c r="I133" s="95">
        <f>'Planning Engine'!H849</f>
        <v>72.651747685185143</v>
      </c>
      <c r="J133" s="96">
        <f ca="1">'Planning Engine'!J849</f>
        <v>999</v>
      </c>
      <c r="K133" s="95">
        <f ca="1">'Planning Engine'!K849</f>
        <v>0</v>
      </c>
      <c r="L133" s="12" t="str">
        <f ca="1">'Planning Engine'!L849</f>
        <v>Overstock</v>
      </c>
      <c r="M133" s="93">
        <f>'Planning Engine'!S849</f>
        <v>49827</v>
      </c>
      <c r="N133" s="95">
        <f>'Planning Engine'!T849</f>
        <v>0</v>
      </c>
      <c r="O133" s="98" t="s">
        <v>1881</v>
      </c>
      <c r="P133" s="4" t="str">
        <f t="shared" ca="1" si="5"/>
        <v>Defer receipts</v>
      </c>
    </row>
    <row r="134" spans="1:16" ht="13" customHeight="1" x14ac:dyDescent="0.35">
      <c r="A134" s="93">
        <v>50010</v>
      </c>
      <c r="B134" s="61" t="s">
        <v>45</v>
      </c>
      <c r="C134" s="12" t="str">
        <f>'Planning Engine'!C850</f>
        <v>Bulk API/DS</v>
      </c>
      <c r="D134" s="12" t="str">
        <f>'Planning Engine'!D850</f>
        <v>kg</v>
      </c>
      <c r="E134" s="95">
        <f>'Planning Engine'!E850</f>
        <v>72.651747685185143</v>
      </c>
      <c r="F134" s="95">
        <f>'Planning Engine'!F850</f>
        <v>0</v>
      </c>
      <c r="G134" s="95">
        <f>'Planning Engine'!G850</f>
        <v>0</v>
      </c>
      <c r="H134" s="95">
        <f t="shared" si="4"/>
        <v>0</v>
      </c>
      <c r="I134" s="95">
        <f>'Planning Engine'!H850</f>
        <v>72.651747685185143</v>
      </c>
      <c r="J134" s="96">
        <f ca="1">'Planning Engine'!J850</f>
        <v>999</v>
      </c>
      <c r="K134" s="95">
        <f ca="1">'Planning Engine'!K850</f>
        <v>0</v>
      </c>
      <c r="L134" s="12" t="str">
        <f ca="1">'Planning Engine'!L850</f>
        <v>Overstock</v>
      </c>
      <c r="M134" s="93">
        <f>'Planning Engine'!S850</f>
        <v>49857</v>
      </c>
      <c r="N134" s="95">
        <f>'Planning Engine'!T850</f>
        <v>0</v>
      </c>
      <c r="O134" s="94" t="s">
        <v>1882</v>
      </c>
      <c r="P134" s="12" t="str">
        <f t="shared" ca="1" si="5"/>
        <v>Defer receipts</v>
      </c>
    </row>
    <row r="135" spans="1:16" ht="13" customHeight="1" x14ac:dyDescent="0.35">
      <c r="A135" s="97">
        <v>50041</v>
      </c>
      <c r="B135" s="53" t="s">
        <v>45</v>
      </c>
      <c r="C135" s="12" t="str">
        <f>'Planning Engine'!C851</f>
        <v>Bulk API/DS</v>
      </c>
      <c r="D135" s="12" t="str">
        <f>'Planning Engine'!D851</f>
        <v>kg</v>
      </c>
      <c r="E135" s="95">
        <f>'Planning Engine'!E851</f>
        <v>72.651747685185143</v>
      </c>
      <c r="F135" s="95">
        <f>'Planning Engine'!F851</f>
        <v>0</v>
      </c>
      <c r="G135" s="95">
        <f>'Planning Engine'!G851</f>
        <v>0</v>
      </c>
      <c r="H135" s="99">
        <f t="shared" si="4"/>
        <v>0</v>
      </c>
      <c r="I135" s="95">
        <f>'Planning Engine'!H851</f>
        <v>72.651747685185143</v>
      </c>
      <c r="J135" s="96">
        <f ca="1">'Planning Engine'!J851</f>
        <v>999</v>
      </c>
      <c r="K135" s="95">
        <f ca="1">'Planning Engine'!K851</f>
        <v>0</v>
      </c>
      <c r="L135" s="12" t="str">
        <f ca="1">'Planning Engine'!L851</f>
        <v>Overstock</v>
      </c>
      <c r="M135" s="93">
        <f>'Planning Engine'!S851</f>
        <v>49888</v>
      </c>
      <c r="N135" s="95">
        <f>'Planning Engine'!T851</f>
        <v>0</v>
      </c>
      <c r="O135" s="98" t="s">
        <v>1883</v>
      </c>
      <c r="P135" s="4" t="str">
        <f t="shared" ca="1" si="5"/>
        <v>Defer receipts</v>
      </c>
    </row>
    <row r="136" spans="1:16" ht="13" customHeight="1" x14ac:dyDescent="0.35">
      <c r="A136" s="93">
        <v>50072</v>
      </c>
      <c r="B136" s="61" t="s">
        <v>45</v>
      </c>
      <c r="C136" s="12" t="str">
        <f>'Planning Engine'!C852</f>
        <v>Bulk API/DS</v>
      </c>
      <c r="D136" s="12" t="str">
        <f>'Planning Engine'!D852</f>
        <v>kg</v>
      </c>
      <c r="E136" s="95">
        <f>'Planning Engine'!E852</f>
        <v>72.651747685185143</v>
      </c>
      <c r="F136" s="95">
        <f>'Planning Engine'!F852</f>
        <v>0</v>
      </c>
      <c r="G136" s="95">
        <f>'Planning Engine'!G852</f>
        <v>0</v>
      </c>
      <c r="H136" s="95">
        <f t="shared" si="4"/>
        <v>0</v>
      </c>
      <c r="I136" s="95">
        <f>'Planning Engine'!H852</f>
        <v>72.651747685185143</v>
      </c>
      <c r="J136" s="96">
        <f ca="1">'Planning Engine'!J852</f>
        <v>999</v>
      </c>
      <c r="K136" s="95">
        <f ca="1">'Planning Engine'!K852</f>
        <v>0</v>
      </c>
      <c r="L136" s="12" t="str">
        <f ca="1">'Planning Engine'!L852</f>
        <v>Overstock</v>
      </c>
      <c r="M136" s="93">
        <f>'Planning Engine'!S852</f>
        <v>49919</v>
      </c>
      <c r="N136" s="95">
        <f>'Planning Engine'!T852</f>
        <v>0</v>
      </c>
      <c r="O136" s="94" t="s">
        <v>1884</v>
      </c>
      <c r="P136" s="12" t="str">
        <f t="shared" ca="1" si="5"/>
        <v>Defer receipts</v>
      </c>
    </row>
    <row r="137" spans="1:16" ht="13" customHeight="1" x14ac:dyDescent="0.35">
      <c r="A137" s="97">
        <v>50100</v>
      </c>
      <c r="B137" s="53" t="s">
        <v>45</v>
      </c>
      <c r="C137" s="12" t="str">
        <f>'Planning Engine'!C853</f>
        <v>Bulk API/DS</v>
      </c>
      <c r="D137" s="12" t="str">
        <f>'Planning Engine'!D853</f>
        <v>kg</v>
      </c>
      <c r="E137" s="95">
        <f>'Planning Engine'!E853</f>
        <v>72.651747685185143</v>
      </c>
      <c r="F137" s="95">
        <f>'Planning Engine'!F853</f>
        <v>0</v>
      </c>
      <c r="G137" s="95">
        <f>'Planning Engine'!G853</f>
        <v>0</v>
      </c>
      <c r="H137" s="99">
        <f t="shared" si="4"/>
        <v>0</v>
      </c>
      <c r="I137" s="95">
        <f>'Planning Engine'!H853</f>
        <v>72.651747685185143</v>
      </c>
      <c r="J137" s="96">
        <f ca="1">'Planning Engine'!J853</f>
        <v>999</v>
      </c>
      <c r="K137" s="95">
        <f ca="1">'Planning Engine'!K853</f>
        <v>0</v>
      </c>
      <c r="L137" s="12" t="str">
        <f ca="1">'Planning Engine'!L853</f>
        <v>Overstock</v>
      </c>
      <c r="M137" s="93">
        <f>'Planning Engine'!S853</f>
        <v>49949</v>
      </c>
      <c r="N137" s="95">
        <f>'Planning Engine'!T853</f>
        <v>0</v>
      </c>
      <c r="O137" s="98" t="s">
        <v>1885</v>
      </c>
      <c r="P137" s="4" t="str">
        <f t="shared" ca="1" si="5"/>
        <v>Defer receipts</v>
      </c>
    </row>
    <row r="138" spans="1:16" ht="13" customHeight="1" x14ac:dyDescent="0.35">
      <c r="A138" s="93">
        <v>50131</v>
      </c>
      <c r="B138" s="61" t="s">
        <v>45</v>
      </c>
      <c r="C138" s="12" t="str">
        <f>'Planning Engine'!C854</f>
        <v>Bulk API/DS</v>
      </c>
      <c r="D138" s="12" t="str">
        <f>'Planning Engine'!D854</f>
        <v>kg</v>
      </c>
      <c r="E138" s="95">
        <f>'Planning Engine'!E854</f>
        <v>72.651747685185143</v>
      </c>
      <c r="F138" s="95">
        <f>'Planning Engine'!F854</f>
        <v>0</v>
      </c>
      <c r="G138" s="95">
        <f>'Planning Engine'!G854</f>
        <v>0</v>
      </c>
      <c r="H138" s="95">
        <f t="shared" si="4"/>
        <v>0</v>
      </c>
      <c r="I138" s="95">
        <f>'Planning Engine'!H854</f>
        <v>72.651747685185143</v>
      </c>
      <c r="J138" s="96">
        <f ca="1">'Planning Engine'!J854</f>
        <v>999</v>
      </c>
      <c r="K138" s="95">
        <f ca="1">'Planning Engine'!K854</f>
        <v>0</v>
      </c>
      <c r="L138" s="12" t="str">
        <f ca="1">'Planning Engine'!L854</f>
        <v>Overstock</v>
      </c>
      <c r="M138" s="93">
        <f>'Planning Engine'!S854</f>
        <v>49980</v>
      </c>
      <c r="N138" s="95">
        <f>'Planning Engine'!T854</f>
        <v>0</v>
      </c>
      <c r="O138" s="94" t="s">
        <v>1886</v>
      </c>
      <c r="P138" s="12" t="str">
        <f t="shared" ca="1" si="5"/>
        <v>Defer receipts</v>
      </c>
    </row>
    <row r="139" spans="1:16" ht="13" customHeight="1" x14ac:dyDescent="0.35">
      <c r="A139" s="97">
        <v>50161</v>
      </c>
      <c r="B139" s="53" t="s">
        <v>45</v>
      </c>
      <c r="C139" s="12" t="str">
        <f>'Planning Engine'!C855</f>
        <v>Bulk API/DS</v>
      </c>
      <c r="D139" s="12" t="str">
        <f>'Planning Engine'!D855</f>
        <v>kg</v>
      </c>
      <c r="E139" s="95">
        <f>'Planning Engine'!E855</f>
        <v>72.651747685185143</v>
      </c>
      <c r="F139" s="95">
        <f>'Planning Engine'!F855</f>
        <v>0</v>
      </c>
      <c r="G139" s="95">
        <f>'Planning Engine'!G855</f>
        <v>0</v>
      </c>
      <c r="H139" s="99">
        <f t="shared" si="4"/>
        <v>0</v>
      </c>
      <c r="I139" s="95">
        <f>'Planning Engine'!H855</f>
        <v>72.651747685185143</v>
      </c>
      <c r="J139" s="96">
        <f ca="1">'Planning Engine'!J855</f>
        <v>999</v>
      </c>
      <c r="K139" s="95">
        <f ca="1">'Planning Engine'!K855</f>
        <v>0</v>
      </c>
      <c r="L139" s="12" t="str">
        <f ca="1">'Planning Engine'!L855</f>
        <v>Overstock</v>
      </c>
      <c r="M139" s="93">
        <f>'Planning Engine'!S855</f>
        <v>50010</v>
      </c>
      <c r="N139" s="95">
        <f>'Planning Engine'!T855</f>
        <v>0</v>
      </c>
      <c r="O139" s="98" t="s">
        <v>1887</v>
      </c>
      <c r="P139" s="4" t="str">
        <f t="shared" ca="1" si="5"/>
        <v>Defer receipts</v>
      </c>
    </row>
    <row r="140" spans="1:16" ht="13" customHeight="1" x14ac:dyDescent="0.35">
      <c r="A140" s="93">
        <v>50192</v>
      </c>
      <c r="B140" s="61" t="s">
        <v>45</v>
      </c>
      <c r="C140" s="12" t="str">
        <f>'Planning Engine'!C856</f>
        <v>Bulk API/DS</v>
      </c>
      <c r="D140" s="12" t="str">
        <f>'Planning Engine'!D856</f>
        <v>kg</v>
      </c>
      <c r="E140" s="95">
        <f>'Planning Engine'!E856</f>
        <v>72.651747685185143</v>
      </c>
      <c r="F140" s="95">
        <f>'Planning Engine'!F856</f>
        <v>0</v>
      </c>
      <c r="G140" s="95">
        <f>'Planning Engine'!G856</f>
        <v>0</v>
      </c>
      <c r="H140" s="95">
        <f t="shared" si="4"/>
        <v>0</v>
      </c>
      <c r="I140" s="95">
        <f>'Planning Engine'!H856</f>
        <v>72.651747685185143</v>
      </c>
      <c r="J140" s="96">
        <f ca="1">'Planning Engine'!J856</f>
        <v>999</v>
      </c>
      <c r="K140" s="95">
        <f ca="1">'Planning Engine'!K856</f>
        <v>0</v>
      </c>
      <c r="L140" s="12" t="str">
        <f ca="1">'Planning Engine'!L856</f>
        <v>Overstock</v>
      </c>
      <c r="M140" s="93">
        <f>'Planning Engine'!S856</f>
        <v>50041</v>
      </c>
      <c r="N140" s="95">
        <f>'Planning Engine'!T856</f>
        <v>0</v>
      </c>
      <c r="O140" s="94" t="s">
        <v>1888</v>
      </c>
      <c r="P140" s="12" t="str">
        <f t="shared" ca="1" si="5"/>
        <v>Defer receipts</v>
      </c>
    </row>
    <row r="141" spans="1:16" ht="13" customHeight="1" x14ac:dyDescent="0.35">
      <c r="A141" s="97">
        <v>50222</v>
      </c>
      <c r="B141" s="53" t="s">
        <v>45</v>
      </c>
      <c r="C141" s="12" t="str">
        <f>'Planning Engine'!C857</f>
        <v>Bulk API/DS</v>
      </c>
      <c r="D141" s="12" t="str">
        <f>'Planning Engine'!D857</f>
        <v>kg</v>
      </c>
      <c r="E141" s="95">
        <f>'Planning Engine'!E857</f>
        <v>72.651747685185143</v>
      </c>
      <c r="F141" s="95">
        <f>'Planning Engine'!F857</f>
        <v>0</v>
      </c>
      <c r="G141" s="95">
        <f>'Planning Engine'!G857</f>
        <v>0</v>
      </c>
      <c r="H141" s="99">
        <f t="shared" si="4"/>
        <v>0</v>
      </c>
      <c r="I141" s="95">
        <f>'Planning Engine'!H857</f>
        <v>72.651747685185143</v>
      </c>
      <c r="J141" s="96">
        <f ca="1">'Planning Engine'!J857</f>
        <v>999</v>
      </c>
      <c r="K141" s="95">
        <f ca="1">'Planning Engine'!K857</f>
        <v>0</v>
      </c>
      <c r="L141" s="12" t="str">
        <f ca="1">'Planning Engine'!L857</f>
        <v>Overstock</v>
      </c>
      <c r="M141" s="93">
        <f>'Planning Engine'!S857</f>
        <v>50072</v>
      </c>
      <c r="N141" s="95">
        <f>'Planning Engine'!T857</f>
        <v>0</v>
      </c>
      <c r="O141" s="98" t="s">
        <v>1889</v>
      </c>
      <c r="P141" s="4" t="str">
        <f t="shared" ca="1" si="5"/>
        <v>Defer receipts</v>
      </c>
    </row>
    <row r="142" spans="1:16" ht="13" customHeight="1" x14ac:dyDescent="0.35">
      <c r="A142" s="93">
        <v>50253</v>
      </c>
      <c r="B142" s="61" t="s">
        <v>45</v>
      </c>
      <c r="C142" s="12" t="str">
        <f>'Planning Engine'!C858</f>
        <v>Bulk API/DS</v>
      </c>
      <c r="D142" s="12" t="str">
        <f>'Planning Engine'!D858</f>
        <v>kg</v>
      </c>
      <c r="E142" s="95">
        <f>'Planning Engine'!E858</f>
        <v>72.651747685185143</v>
      </c>
      <c r="F142" s="95">
        <f>'Planning Engine'!F858</f>
        <v>0</v>
      </c>
      <c r="G142" s="95">
        <f>'Planning Engine'!G858</f>
        <v>0</v>
      </c>
      <c r="H142" s="95">
        <f t="shared" si="4"/>
        <v>0</v>
      </c>
      <c r="I142" s="95">
        <f>'Planning Engine'!H858</f>
        <v>72.651747685185143</v>
      </c>
      <c r="J142" s="96">
        <f ca="1">'Planning Engine'!J858</f>
        <v>999</v>
      </c>
      <c r="K142" s="95">
        <f ca="1">'Planning Engine'!K858</f>
        <v>0</v>
      </c>
      <c r="L142" s="12" t="str">
        <f ca="1">'Planning Engine'!L858</f>
        <v>Overstock</v>
      </c>
      <c r="M142" s="93">
        <f>'Planning Engine'!S858</f>
        <v>50100</v>
      </c>
      <c r="N142" s="95">
        <f>'Planning Engine'!T858</f>
        <v>0</v>
      </c>
      <c r="O142" s="94" t="s">
        <v>1890</v>
      </c>
      <c r="P142" s="12" t="str">
        <f t="shared" ca="1" si="5"/>
        <v>Defer receipts</v>
      </c>
    </row>
    <row r="143" spans="1:16" ht="13" customHeight="1" x14ac:dyDescent="0.35">
      <c r="A143" s="97">
        <v>50284</v>
      </c>
      <c r="B143" s="53" t="s">
        <v>45</v>
      </c>
      <c r="C143" s="12" t="str">
        <f>'Planning Engine'!C859</f>
        <v>Bulk API/DS</v>
      </c>
      <c r="D143" s="12" t="str">
        <f>'Planning Engine'!D859</f>
        <v>kg</v>
      </c>
      <c r="E143" s="95">
        <f>'Planning Engine'!E859</f>
        <v>72.651747685185143</v>
      </c>
      <c r="F143" s="95">
        <f>'Planning Engine'!F859</f>
        <v>0</v>
      </c>
      <c r="G143" s="95">
        <f>'Planning Engine'!G859</f>
        <v>0</v>
      </c>
      <c r="H143" s="99">
        <f t="shared" si="4"/>
        <v>0</v>
      </c>
      <c r="I143" s="95">
        <f>'Planning Engine'!H859</f>
        <v>72.651747685185143</v>
      </c>
      <c r="J143" s="96">
        <f ca="1">'Planning Engine'!J859</f>
        <v>999</v>
      </c>
      <c r="K143" s="95">
        <f ca="1">'Planning Engine'!K859</f>
        <v>0</v>
      </c>
      <c r="L143" s="12" t="str">
        <f ca="1">'Planning Engine'!L859</f>
        <v>Overstock</v>
      </c>
      <c r="M143" s="93">
        <f>'Planning Engine'!S859</f>
        <v>50131</v>
      </c>
      <c r="N143" s="95">
        <f>'Planning Engine'!T859</f>
        <v>0</v>
      </c>
      <c r="O143" s="98" t="s">
        <v>1891</v>
      </c>
      <c r="P143" s="4" t="str">
        <f t="shared" ca="1" si="5"/>
        <v>Defer receipts</v>
      </c>
    </row>
    <row r="144" spans="1:16" ht="13" customHeight="1" x14ac:dyDescent="0.35">
      <c r="A144" s="93">
        <v>50314</v>
      </c>
      <c r="B144" s="61" t="s">
        <v>45</v>
      </c>
      <c r="C144" s="12" t="str">
        <f>'Planning Engine'!C860</f>
        <v>Bulk API/DS</v>
      </c>
      <c r="D144" s="12" t="str">
        <f>'Planning Engine'!D860</f>
        <v>kg</v>
      </c>
      <c r="E144" s="95">
        <f>'Planning Engine'!E860</f>
        <v>72.651747685185143</v>
      </c>
      <c r="F144" s="95">
        <f>'Planning Engine'!F860</f>
        <v>0</v>
      </c>
      <c r="G144" s="95">
        <f>'Planning Engine'!G860</f>
        <v>0</v>
      </c>
      <c r="H144" s="95">
        <f t="shared" si="4"/>
        <v>0</v>
      </c>
      <c r="I144" s="95">
        <f>'Planning Engine'!H860</f>
        <v>72.651747685185143</v>
      </c>
      <c r="J144" s="96">
        <f ca="1">'Planning Engine'!J860</f>
        <v>999</v>
      </c>
      <c r="K144" s="95">
        <f ca="1">'Planning Engine'!K860</f>
        <v>0</v>
      </c>
      <c r="L144" s="12" t="str">
        <f ca="1">'Planning Engine'!L860</f>
        <v>Overstock</v>
      </c>
      <c r="M144" s="93">
        <f>'Planning Engine'!S860</f>
        <v>50161</v>
      </c>
      <c r="N144" s="95">
        <f>'Planning Engine'!T860</f>
        <v>0</v>
      </c>
      <c r="O144" s="94" t="s">
        <v>1892</v>
      </c>
      <c r="P144" s="12" t="str">
        <f t="shared" ca="1" si="5"/>
        <v>Defer receipts</v>
      </c>
    </row>
    <row r="145" spans="1:16" ht="13" customHeight="1" x14ac:dyDescent="0.35">
      <c r="A145" s="97">
        <v>50345</v>
      </c>
      <c r="B145" s="53" t="s">
        <v>45</v>
      </c>
      <c r="C145" s="12" t="str">
        <f>'Planning Engine'!C861</f>
        <v>Bulk API/DS</v>
      </c>
      <c r="D145" s="12" t="str">
        <f>'Planning Engine'!D861</f>
        <v>kg</v>
      </c>
      <c r="E145" s="95">
        <f>'Planning Engine'!E861</f>
        <v>72.651747685185143</v>
      </c>
      <c r="F145" s="95">
        <f>'Planning Engine'!F861</f>
        <v>0</v>
      </c>
      <c r="G145" s="95">
        <f>'Planning Engine'!G861</f>
        <v>0</v>
      </c>
      <c r="H145" s="99">
        <f t="shared" si="4"/>
        <v>0</v>
      </c>
      <c r="I145" s="95">
        <f>'Planning Engine'!H861</f>
        <v>72.651747685185143</v>
      </c>
      <c r="J145" s="96">
        <f ca="1">'Planning Engine'!J861</f>
        <v>999</v>
      </c>
      <c r="K145" s="95">
        <f ca="1">'Planning Engine'!K861</f>
        <v>0</v>
      </c>
      <c r="L145" s="12" t="str">
        <f ca="1">'Planning Engine'!L861</f>
        <v>Overstock</v>
      </c>
      <c r="M145" s="93">
        <f>'Planning Engine'!S861</f>
        <v>50192</v>
      </c>
      <c r="N145" s="95">
        <f>'Planning Engine'!T861</f>
        <v>0</v>
      </c>
      <c r="O145" s="98" t="s">
        <v>1893</v>
      </c>
      <c r="P145" s="4" t="str">
        <f t="shared" ca="1" si="5"/>
        <v>Defer receipts</v>
      </c>
    </row>
    <row r="146" spans="1:16" ht="13" customHeight="1" x14ac:dyDescent="0.35">
      <c r="A146" s="93">
        <v>50375</v>
      </c>
      <c r="B146" s="61" t="s">
        <v>45</v>
      </c>
      <c r="C146" s="12" t="str">
        <f>'Planning Engine'!C862</f>
        <v>Bulk API/DS</v>
      </c>
      <c r="D146" s="12" t="str">
        <f>'Planning Engine'!D862</f>
        <v>kg</v>
      </c>
      <c r="E146" s="95">
        <f>'Planning Engine'!E862</f>
        <v>72.651747685185143</v>
      </c>
      <c r="F146" s="95">
        <f>'Planning Engine'!F862</f>
        <v>0</v>
      </c>
      <c r="G146" s="95">
        <f>'Planning Engine'!G862</f>
        <v>0</v>
      </c>
      <c r="H146" s="95">
        <f t="shared" si="4"/>
        <v>0</v>
      </c>
      <c r="I146" s="95">
        <f>'Planning Engine'!H862</f>
        <v>72.651747685185143</v>
      </c>
      <c r="J146" s="96">
        <f ca="1">'Planning Engine'!J862</f>
        <v>999</v>
      </c>
      <c r="K146" s="95">
        <f ca="1">'Planning Engine'!K862</f>
        <v>0</v>
      </c>
      <c r="L146" s="12" t="str">
        <f ca="1">'Planning Engine'!L862</f>
        <v>Overstock</v>
      </c>
      <c r="M146" s="93">
        <f>'Planning Engine'!S862</f>
        <v>50222</v>
      </c>
      <c r="N146" s="95">
        <f>'Planning Engine'!T862</f>
        <v>0</v>
      </c>
      <c r="O146" s="94" t="s">
        <v>1894</v>
      </c>
      <c r="P146" s="12" t="str">
        <f t="shared" ca="1" si="5"/>
        <v>Defer receipts</v>
      </c>
    </row>
    <row r="147" spans="1:16" ht="13" customHeight="1" x14ac:dyDescent="0.35">
      <c r="A147" s="97">
        <v>50406</v>
      </c>
      <c r="B147" s="53" t="s">
        <v>45</v>
      </c>
      <c r="C147" s="12" t="str">
        <f>'Planning Engine'!C863</f>
        <v>Bulk API/DS</v>
      </c>
      <c r="D147" s="12" t="str">
        <f>'Planning Engine'!D863</f>
        <v>kg</v>
      </c>
      <c r="E147" s="95">
        <f>'Planning Engine'!E863</f>
        <v>72.651747685185143</v>
      </c>
      <c r="F147" s="95">
        <f>'Planning Engine'!F863</f>
        <v>0</v>
      </c>
      <c r="G147" s="95">
        <f>'Planning Engine'!G863</f>
        <v>0</v>
      </c>
      <c r="H147" s="99">
        <f t="shared" si="4"/>
        <v>0</v>
      </c>
      <c r="I147" s="95">
        <f>'Planning Engine'!H863</f>
        <v>72.651747685185143</v>
      </c>
      <c r="J147" s="96">
        <f ca="1">'Planning Engine'!J863</f>
        <v>999</v>
      </c>
      <c r="K147" s="95">
        <f ca="1">'Planning Engine'!K863</f>
        <v>0</v>
      </c>
      <c r="L147" s="12" t="str">
        <f ca="1">'Planning Engine'!L863</f>
        <v>Overstock</v>
      </c>
      <c r="M147" s="93">
        <f>'Planning Engine'!S863</f>
        <v>50253</v>
      </c>
      <c r="N147" s="95">
        <f>'Planning Engine'!T863</f>
        <v>0</v>
      </c>
      <c r="O147" s="98" t="s">
        <v>1895</v>
      </c>
      <c r="P147" s="4" t="str">
        <f t="shared" ca="1" si="5"/>
        <v>Defer receipts</v>
      </c>
    </row>
    <row r="148" spans="1:16" ht="13" customHeight="1" x14ac:dyDescent="0.35">
      <c r="A148" s="93">
        <v>50437</v>
      </c>
      <c r="B148" s="61" t="s">
        <v>45</v>
      </c>
      <c r="C148" s="12" t="str">
        <f>'Planning Engine'!C864</f>
        <v>Bulk API/DS</v>
      </c>
      <c r="D148" s="12" t="str">
        <f>'Planning Engine'!D864</f>
        <v>kg</v>
      </c>
      <c r="E148" s="95">
        <f>'Planning Engine'!E864</f>
        <v>72.651747685185143</v>
      </c>
      <c r="F148" s="95">
        <f>'Planning Engine'!F864</f>
        <v>0</v>
      </c>
      <c r="G148" s="95">
        <f>'Planning Engine'!G864</f>
        <v>0</v>
      </c>
      <c r="H148" s="95">
        <f t="shared" si="4"/>
        <v>0</v>
      </c>
      <c r="I148" s="95">
        <f>'Planning Engine'!H864</f>
        <v>72.651747685185143</v>
      </c>
      <c r="J148" s="96">
        <f ca="1">'Planning Engine'!J864</f>
        <v>999</v>
      </c>
      <c r="K148" s="95">
        <f ca="1">'Planning Engine'!K864</f>
        <v>0</v>
      </c>
      <c r="L148" s="12" t="str">
        <f ca="1">'Planning Engine'!L864</f>
        <v>Overstock</v>
      </c>
      <c r="M148" s="93">
        <f>'Planning Engine'!S864</f>
        <v>50284</v>
      </c>
      <c r="N148" s="95">
        <f>'Planning Engine'!T864</f>
        <v>0</v>
      </c>
      <c r="O148" s="94" t="s">
        <v>1896</v>
      </c>
      <c r="P148" s="12" t="str">
        <f t="shared" ca="1" si="5"/>
        <v>Defer receipts</v>
      </c>
    </row>
    <row r="149" spans="1:16" ht="13" customHeight="1" x14ac:dyDescent="0.35">
      <c r="A149" s="97">
        <v>50465</v>
      </c>
      <c r="B149" s="53" t="s">
        <v>45</v>
      </c>
      <c r="C149" s="12" t="str">
        <f>'Planning Engine'!C865</f>
        <v>Bulk API/DS</v>
      </c>
      <c r="D149" s="12" t="str">
        <f>'Planning Engine'!D865</f>
        <v>kg</v>
      </c>
      <c r="E149" s="95">
        <f>'Planning Engine'!E865</f>
        <v>72.651747685185143</v>
      </c>
      <c r="F149" s="95">
        <f>'Planning Engine'!F865</f>
        <v>0</v>
      </c>
      <c r="G149" s="95">
        <f>'Planning Engine'!G865</f>
        <v>0</v>
      </c>
      <c r="H149" s="99">
        <f t="shared" si="4"/>
        <v>0</v>
      </c>
      <c r="I149" s="95">
        <f>'Planning Engine'!H865</f>
        <v>72.651747685185143</v>
      </c>
      <c r="J149" s="96">
        <f ca="1">'Planning Engine'!J865</f>
        <v>999</v>
      </c>
      <c r="K149" s="95">
        <f ca="1">'Planning Engine'!K865</f>
        <v>0</v>
      </c>
      <c r="L149" s="12" t="str">
        <f ca="1">'Planning Engine'!L865</f>
        <v>Overstock</v>
      </c>
      <c r="M149" s="93">
        <f>'Planning Engine'!S865</f>
        <v>50314</v>
      </c>
      <c r="N149" s="95">
        <f>'Planning Engine'!T865</f>
        <v>0</v>
      </c>
      <c r="O149" s="98" t="s">
        <v>1897</v>
      </c>
      <c r="P149" s="4" t="str">
        <f t="shared" ca="1" si="5"/>
        <v>Defer receipts</v>
      </c>
    </row>
    <row r="150" spans="1:16" ht="13" customHeight="1" x14ac:dyDescent="0.35">
      <c r="A150" s="93">
        <v>50496</v>
      </c>
      <c r="B150" s="61" t="s">
        <v>45</v>
      </c>
      <c r="C150" s="12" t="str">
        <f>'Planning Engine'!C866</f>
        <v>Bulk API/DS</v>
      </c>
      <c r="D150" s="12" t="str">
        <f>'Planning Engine'!D866</f>
        <v>kg</v>
      </c>
      <c r="E150" s="95">
        <f>'Planning Engine'!E866</f>
        <v>72.651747685185143</v>
      </c>
      <c r="F150" s="95">
        <f>'Planning Engine'!F866</f>
        <v>0</v>
      </c>
      <c r="G150" s="95">
        <f>'Planning Engine'!G866</f>
        <v>0</v>
      </c>
      <c r="H150" s="95">
        <f t="shared" si="4"/>
        <v>0</v>
      </c>
      <c r="I150" s="95">
        <f>'Planning Engine'!H866</f>
        <v>72.651747685185143</v>
      </c>
      <c r="J150" s="96">
        <f ca="1">'Planning Engine'!J866</f>
        <v>999</v>
      </c>
      <c r="K150" s="95">
        <f ca="1">'Planning Engine'!K866</f>
        <v>0</v>
      </c>
      <c r="L150" s="12" t="str">
        <f ca="1">'Planning Engine'!L866</f>
        <v>Overstock</v>
      </c>
      <c r="M150" s="93">
        <f>'Planning Engine'!S866</f>
        <v>50345</v>
      </c>
      <c r="N150" s="95">
        <f>'Planning Engine'!T866</f>
        <v>0</v>
      </c>
      <c r="O150" s="94" t="s">
        <v>1898</v>
      </c>
      <c r="P150" s="12" t="str">
        <f t="shared" ca="1" si="5"/>
        <v>Defer receipts</v>
      </c>
    </row>
    <row r="151" spans="1:16" ht="13" customHeight="1" x14ac:dyDescent="0.35">
      <c r="A151" s="97">
        <v>50526</v>
      </c>
      <c r="B151" s="53" t="s">
        <v>45</v>
      </c>
      <c r="C151" s="12" t="str">
        <f>'Planning Engine'!C867</f>
        <v>Bulk API/DS</v>
      </c>
      <c r="D151" s="12" t="str">
        <f>'Planning Engine'!D867</f>
        <v>kg</v>
      </c>
      <c r="E151" s="95">
        <f>'Planning Engine'!E867</f>
        <v>72.651747685185143</v>
      </c>
      <c r="F151" s="95">
        <f>'Planning Engine'!F867</f>
        <v>0</v>
      </c>
      <c r="G151" s="95">
        <f>'Planning Engine'!G867</f>
        <v>0</v>
      </c>
      <c r="H151" s="99">
        <f t="shared" si="4"/>
        <v>0</v>
      </c>
      <c r="I151" s="95">
        <f>'Planning Engine'!H867</f>
        <v>72.651747685185143</v>
      </c>
      <c r="J151" s="96">
        <f ca="1">'Planning Engine'!J867</f>
        <v>999</v>
      </c>
      <c r="K151" s="95">
        <f ca="1">'Planning Engine'!K867</f>
        <v>0</v>
      </c>
      <c r="L151" s="12" t="str">
        <f ca="1">'Planning Engine'!L867</f>
        <v>Overstock</v>
      </c>
      <c r="M151" s="93">
        <f>'Planning Engine'!S867</f>
        <v>50375</v>
      </c>
      <c r="N151" s="95">
        <f>'Planning Engine'!T867</f>
        <v>0</v>
      </c>
      <c r="O151" s="98" t="s">
        <v>1899</v>
      </c>
      <c r="P151" s="4" t="str">
        <f t="shared" ca="1" si="5"/>
        <v>Defer receipts</v>
      </c>
    </row>
    <row r="152" spans="1:16" ht="13" customHeight="1" x14ac:dyDescent="0.35">
      <c r="A152" s="93">
        <v>50557</v>
      </c>
      <c r="B152" s="61" t="s">
        <v>45</v>
      </c>
      <c r="C152" s="12" t="str">
        <f>'Planning Engine'!C868</f>
        <v>Bulk API/DS</v>
      </c>
      <c r="D152" s="12" t="str">
        <f>'Planning Engine'!D868</f>
        <v>kg</v>
      </c>
      <c r="E152" s="95">
        <f>'Planning Engine'!E868</f>
        <v>72.651747685185143</v>
      </c>
      <c r="F152" s="95">
        <f>'Planning Engine'!F868</f>
        <v>0</v>
      </c>
      <c r="G152" s="95">
        <f>'Planning Engine'!G868</f>
        <v>0</v>
      </c>
      <c r="H152" s="95">
        <f t="shared" si="4"/>
        <v>0</v>
      </c>
      <c r="I152" s="95">
        <f>'Planning Engine'!H868</f>
        <v>72.651747685185143</v>
      </c>
      <c r="J152" s="96">
        <f ca="1">'Planning Engine'!J868</f>
        <v>999</v>
      </c>
      <c r="K152" s="95">
        <f ca="1">'Planning Engine'!K868</f>
        <v>0</v>
      </c>
      <c r="L152" s="12" t="str">
        <f ca="1">'Planning Engine'!L868</f>
        <v>Overstock</v>
      </c>
      <c r="M152" s="93">
        <f>'Planning Engine'!S868</f>
        <v>50406</v>
      </c>
      <c r="N152" s="95">
        <f>'Planning Engine'!T868</f>
        <v>0</v>
      </c>
      <c r="O152" s="94" t="s">
        <v>1900</v>
      </c>
      <c r="P152" s="12" t="str">
        <f t="shared" ca="1" si="5"/>
        <v>Defer receipts</v>
      </c>
    </row>
    <row r="153" spans="1:16" ht="13" customHeight="1" x14ac:dyDescent="0.35">
      <c r="A153" s="97">
        <v>50587</v>
      </c>
      <c r="B153" s="53" t="s">
        <v>45</v>
      </c>
      <c r="C153" s="12" t="str">
        <f>'Planning Engine'!C869</f>
        <v>Bulk API/DS</v>
      </c>
      <c r="D153" s="12" t="str">
        <f>'Planning Engine'!D869</f>
        <v>kg</v>
      </c>
      <c r="E153" s="95">
        <f>'Planning Engine'!E869</f>
        <v>72.651747685185143</v>
      </c>
      <c r="F153" s="95">
        <f>'Planning Engine'!F869</f>
        <v>0</v>
      </c>
      <c r="G153" s="95">
        <f>'Planning Engine'!G869</f>
        <v>0</v>
      </c>
      <c r="H153" s="99">
        <f t="shared" si="4"/>
        <v>0</v>
      </c>
      <c r="I153" s="95">
        <f>'Planning Engine'!H869</f>
        <v>72.651747685185143</v>
      </c>
      <c r="J153" s="96">
        <f ca="1">'Planning Engine'!J869</f>
        <v>999</v>
      </c>
      <c r="K153" s="95">
        <f ca="1">'Planning Engine'!K869</f>
        <v>0</v>
      </c>
      <c r="L153" s="12" t="str">
        <f ca="1">'Planning Engine'!L869</f>
        <v>Overstock</v>
      </c>
      <c r="M153" s="93">
        <f>'Planning Engine'!S869</f>
        <v>50437</v>
      </c>
      <c r="N153" s="95">
        <f>'Planning Engine'!T869</f>
        <v>0</v>
      </c>
      <c r="O153" s="98" t="s">
        <v>1901</v>
      </c>
      <c r="P153" s="4" t="str">
        <f t="shared" ca="1" si="5"/>
        <v>Defer receipts</v>
      </c>
    </row>
    <row r="154" spans="1:16" ht="13" customHeight="1" x14ac:dyDescent="0.35">
      <c r="A154" s="93">
        <v>50618</v>
      </c>
      <c r="B154" s="61" t="s">
        <v>45</v>
      </c>
      <c r="C154" s="12" t="str">
        <f>'Planning Engine'!C870</f>
        <v>Bulk API/DS</v>
      </c>
      <c r="D154" s="12" t="str">
        <f>'Planning Engine'!D870</f>
        <v>kg</v>
      </c>
      <c r="E154" s="95">
        <f>'Planning Engine'!E870</f>
        <v>72.651747685185143</v>
      </c>
      <c r="F154" s="95">
        <f>'Planning Engine'!F870</f>
        <v>0</v>
      </c>
      <c r="G154" s="95">
        <f>'Planning Engine'!G870</f>
        <v>0</v>
      </c>
      <c r="H154" s="95">
        <f t="shared" si="4"/>
        <v>0</v>
      </c>
      <c r="I154" s="95">
        <f>'Planning Engine'!H870</f>
        <v>72.651747685185143</v>
      </c>
      <c r="J154" s="96">
        <f ca="1">'Planning Engine'!J870</f>
        <v>999</v>
      </c>
      <c r="K154" s="95">
        <f ca="1">'Planning Engine'!K870</f>
        <v>0</v>
      </c>
      <c r="L154" s="12" t="str">
        <f ca="1">'Planning Engine'!L870</f>
        <v>Overstock</v>
      </c>
      <c r="M154" s="93">
        <f>'Planning Engine'!S870</f>
        <v>50465</v>
      </c>
      <c r="N154" s="95">
        <f>'Planning Engine'!T870</f>
        <v>0</v>
      </c>
      <c r="O154" s="94" t="s">
        <v>1902</v>
      </c>
      <c r="P154" s="12" t="str">
        <f t="shared" ca="1" si="5"/>
        <v>Defer receipts</v>
      </c>
    </row>
    <row r="155" spans="1:16" ht="13" customHeight="1" x14ac:dyDescent="0.35">
      <c r="A155" s="97">
        <v>50649</v>
      </c>
      <c r="B155" s="53" t="s">
        <v>45</v>
      </c>
      <c r="C155" s="12" t="str">
        <f>'Planning Engine'!C871</f>
        <v>Bulk API/DS</v>
      </c>
      <c r="D155" s="12" t="str">
        <f>'Planning Engine'!D871</f>
        <v>kg</v>
      </c>
      <c r="E155" s="95">
        <f>'Planning Engine'!E871</f>
        <v>72.651747685185143</v>
      </c>
      <c r="F155" s="95">
        <f>'Planning Engine'!F871</f>
        <v>0</v>
      </c>
      <c r="G155" s="95">
        <f>'Planning Engine'!G871</f>
        <v>0</v>
      </c>
      <c r="H155" s="99">
        <f t="shared" si="4"/>
        <v>0</v>
      </c>
      <c r="I155" s="95">
        <f>'Planning Engine'!H871</f>
        <v>72.651747685185143</v>
      </c>
      <c r="J155" s="96">
        <f ca="1">'Planning Engine'!J871</f>
        <v>999</v>
      </c>
      <c r="K155" s="95">
        <f ca="1">'Planning Engine'!K871</f>
        <v>0</v>
      </c>
      <c r="L155" s="12" t="str">
        <f ca="1">'Planning Engine'!L871</f>
        <v>Overstock</v>
      </c>
      <c r="M155" s="93">
        <f>'Planning Engine'!S871</f>
        <v>50496</v>
      </c>
      <c r="N155" s="95">
        <f>'Planning Engine'!T871</f>
        <v>0</v>
      </c>
      <c r="O155" s="98" t="s">
        <v>1903</v>
      </c>
      <c r="P155" s="4" t="str">
        <f t="shared" ca="1" si="5"/>
        <v>Defer receipts</v>
      </c>
    </row>
    <row r="156" spans="1:16" ht="13" customHeight="1" x14ac:dyDescent="0.35">
      <c r="A156" s="93">
        <v>50679</v>
      </c>
      <c r="B156" s="61" t="s">
        <v>45</v>
      </c>
      <c r="C156" s="12" t="str">
        <f>'Planning Engine'!C872</f>
        <v>Bulk API/DS</v>
      </c>
      <c r="D156" s="12" t="str">
        <f>'Planning Engine'!D872</f>
        <v>kg</v>
      </c>
      <c r="E156" s="95">
        <f>'Planning Engine'!E872</f>
        <v>72.651747685185143</v>
      </c>
      <c r="F156" s="95">
        <f>'Planning Engine'!F872</f>
        <v>0</v>
      </c>
      <c r="G156" s="95">
        <f>'Planning Engine'!G872</f>
        <v>0</v>
      </c>
      <c r="H156" s="95">
        <f t="shared" si="4"/>
        <v>0</v>
      </c>
      <c r="I156" s="95">
        <f>'Planning Engine'!H872</f>
        <v>72.651747685185143</v>
      </c>
      <c r="J156" s="96">
        <f ca="1">'Planning Engine'!J872</f>
        <v>999</v>
      </c>
      <c r="K156" s="95">
        <f ca="1">'Planning Engine'!K872</f>
        <v>0</v>
      </c>
      <c r="L156" s="12" t="str">
        <f ca="1">'Planning Engine'!L872</f>
        <v>Overstock</v>
      </c>
      <c r="M156" s="93">
        <f>'Planning Engine'!S872</f>
        <v>50526</v>
      </c>
      <c r="N156" s="95">
        <f>'Planning Engine'!T872</f>
        <v>0</v>
      </c>
      <c r="O156" s="94" t="s">
        <v>1904</v>
      </c>
      <c r="P156" s="12" t="str">
        <f t="shared" ca="1" si="5"/>
        <v>Defer receipts</v>
      </c>
    </row>
    <row r="157" spans="1:16" ht="13" customHeight="1" x14ac:dyDescent="0.35">
      <c r="A157" s="97">
        <v>50710</v>
      </c>
      <c r="B157" s="53" t="s">
        <v>45</v>
      </c>
      <c r="C157" s="12" t="str">
        <f>'Planning Engine'!C873</f>
        <v>Bulk API/DS</v>
      </c>
      <c r="D157" s="12" t="str">
        <f>'Planning Engine'!D873</f>
        <v>kg</v>
      </c>
      <c r="E157" s="95">
        <f>'Planning Engine'!E873</f>
        <v>72.651747685185143</v>
      </c>
      <c r="F157" s="95">
        <f>'Planning Engine'!F873</f>
        <v>0</v>
      </c>
      <c r="G157" s="95">
        <f>'Planning Engine'!G873</f>
        <v>0</v>
      </c>
      <c r="H157" s="99">
        <f t="shared" si="4"/>
        <v>0</v>
      </c>
      <c r="I157" s="95">
        <f>'Planning Engine'!H873</f>
        <v>72.651747685185143</v>
      </c>
      <c r="J157" s="96">
        <f ca="1">'Planning Engine'!J873</f>
        <v>999</v>
      </c>
      <c r="K157" s="95">
        <f ca="1">'Planning Engine'!K873</f>
        <v>0</v>
      </c>
      <c r="L157" s="12" t="str">
        <f ca="1">'Planning Engine'!L873</f>
        <v>Overstock</v>
      </c>
      <c r="M157" s="93">
        <f>'Planning Engine'!S873</f>
        <v>50557</v>
      </c>
      <c r="N157" s="95">
        <f>'Planning Engine'!T873</f>
        <v>0</v>
      </c>
      <c r="O157" s="98" t="s">
        <v>1905</v>
      </c>
      <c r="P157" s="4" t="str">
        <f t="shared" ca="1" si="5"/>
        <v>Defer receipts</v>
      </c>
    </row>
    <row r="158" spans="1:16" ht="13" customHeight="1" x14ac:dyDescent="0.35">
      <c r="A158" s="93">
        <v>50740</v>
      </c>
      <c r="B158" s="61" t="s">
        <v>45</v>
      </c>
      <c r="C158" s="12" t="str">
        <f>'Planning Engine'!C874</f>
        <v>Bulk API/DS</v>
      </c>
      <c r="D158" s="12" t="str">
        <f>'Planning Engine'!D874</f>
        <v>kg</v>
      </c>
      <c r="E158" s="95">
        <f>'Planning Engine'!E874</f>
        <v>72.651747685185143</v>
      </c>
      <c r="F158" s="95">
        <f>'Planning Engine'!F874</f>
        <v>0</v>
      </c>
      <c r="G158" s="95">
        <f>'Planning Engine'!G874</f>
        <v>0</v>
      </c>
      <c r="H158" s="95">
        <f t="shared" si="4"/>
        <v>0</v>
      </c>
      <c r="I158" s="95">
        <f>'Planning Engine'!H874</f>
        <v>72.651747685185143</v>
      </c>
      <c r="J158" s="96">
        <f ca="1">'Planning Engine'!J874</f>
        <v>999</v>
      </c>
      <c r="K158" s="95">
        <f ca="1">'Planning Engine'!K874</f>
        <v>0</v>
      </c>
      <c r="L158" s="12" t="str">
        <f ca="1">'Planning Engine'!L874</f>
        <v>Overstock</v>
      </c>
      <c r="M158" s="93">
        <f>'Planning Engine'!S874</f>
        <v>50587</v>
      </c>
      <c r="N158" s="95">
        <f>'Planning Engine'!T874</f>
        <v>0</v>
      </c>
      <c r="O158" s="94" t="s">
        <v>1906</v>
      </c>
      <c r="P158" s="12" t="str">
        <f t="shared" ca="1" si="5"/>
        <v>Defer receipts</v>
      </c>
    </row>
    <row r="159" spans="1:16" ht="13" customHeight="1" x14ac:dyDescent="0.35">
      <c r="A159" s="97">
        <v>50771</v>
      </c>
      <c r="B159" s="53" t="s">
        <v>45</v>
      </c>
      <c r="C159" s="12" t="str">
        <f>'Planning Engine'!C875</f>
        <v>Bulk API/DS</v>
      </c>
      <c r="D159" s="12" t="str">
        <f>'Planning Engine'!D875</f>
        <v>kg</v>
      </c>
      <c r="E159" s="95">
        <f>'Planning Engine'!E875</f>
        <v>72.651747685185143</v>
      </c>
      <c r="F159" s="95">
        <f>'Planning Engine'!F875</f>
        <v>0</v>
      </c>
      <c r="G159" s="95">
        <f>'Planning Engine'!G875</f>
        <v>0</v>
      </c>
      <c r="H159" s="99">
        <f t="shared" si="4"/>
        <v>0</v>
      </c>
      <c r="I159" s="95">
        <f>'Planning Engine'!H875</f>
        <v>72.651747685185143</v>
      </c>
      <c r="J159" s="96">
        <f ca="1">'Planning Engine'!J875</f>
        <v>999</v>
      </c>
      <c r="K159" s="95">
        <f ca="1">'Planning Engine'!K875</f>
        <v>0</v>
      </c>
      <c r="L159" s="12" t="str">
        <f ca="1">'Planning Engine'!L875</f>
        <v>Overstock</v>
      </c>
      <c r="M159" s="93">
        <f>'Planning Engine'!S875</f>
        <v>50618</v>
      </c>
      <c r="N159" s="95">
        <f>'Planning Engine'!T875</f>
        <v>0</v>
      </c>
      <c r="O159" s="98" t="s">
        <v>1907</v>
      </c>
      <c r="P159" s="4" t="str">
        <f t="shared" ca="1" si="5"/>
        <v>Defer receipts</v>
      </c>
    </row>
    <row r="160" spans="1:16" ht="13" customHeight="1" x14ac:dyDescent="0.35">
      <c r="A160" s="93">
        <v>50802</v>
      </c>
      <c r="B160" s="61" t="s">
        <v>45</v>
      </c>
      <c r="C160" s="12" t="str">
        <f>'Planning Engine'!C876</f>
        <v>Bulk API/DS</v>
      </c>
      <c r="D160" s="12" t="str">
        <f>'Planning Engine'!D876</f>
        <v>kg</v>
      </c>
      <c r="E160" s="95">
        <f>'Planning Engine'!E876</f>
        <v>72.651747685185143</v>
      </c>
      <c r="F160" s="95">
        <f>'Planning Engine'!F876</f>
        <v>0</v>
      </c>
      <c r="G160" s="95">
        <f>'Planning Engine'!G876</f>
        <v>0</v>
      </c>
      <c r="H160" s="95">
        <f t="shared" si="4"/>
        <v>0</v>
      </c>
      <c r="I160" s="95">
        <f>'Planning Engine'!H876</f>
        <v>72.651747685185143</v>
      </c>
      <c r="J160" s="96">
        <f ca="1">'Planning Engine'!J876</f>
        <v>999</v>
      </c>
      <c r="K160" s="95">
        <f ca="1">'Planning Engine'!K876</f>
        <v>0</v>
      </c>
      <c r="L160" s="12" t="str">
        <f ca="1">'Planning Engine'!L876</f>
        <v>Overstock</v>
      </c>
      <c r="M160" s="93">
        <f>'Planning Engine'!S876</f>
        <v>50649</v>
      </c>
      <c r="N160" s="95">
        <f>'Planning Engine'!T876</f>
        <v>0</v>
      </c>
      <c r="O160" s="94" t="s">
        <v>1908</v>
      </c>
      <c r="P160" s="12" t="str">
        <f t="shared" ca="1" si="5"/>
        <v>Defer receipts</v>
      </c>
    </row>
    <row r="161" spans="1:16" ht="13" customHeight="1" x14ac:dyDescent="0.35">
      <c r="A161" s="97">
        <v>50830</v>
      </c>
      <c r="B161" s="53" t="s">
        <v>45</v>
      </c>
      <c r="C161" s="12" t="str">
        <f>'Planning Engine'!C877</f>
        <v>Bulk API/DS</v>
      </c>
      <c r="D161" s="12" t="str">
        <f>'Planning Engine'!D877</f>
        <v>kg</v>
      </c>
      <c r="E161" s="95">
        <f>'Planning Engine'!E877</f>
        <v>72.651747685185143</v>
      </c>
      <c r="F161" s="95">
        <f>'Planning Engine'!F877</f>
        <v>0</v>
      </c>
      <c r="G161" s="95">
        <f>'Planning Engine'!G877</f>
        <v>0</v>
      </c>
      <c r="H161" s="99">
        <f t="shared" si="4"/>
        <v>0</v>
      </c>
      <c r="I161" s="95">
        <f>'Planning Engine'!H877</f>
        <v>72.651747685185143</v>
      </c>
      <c r="J161" s="96">
        <f ca="1">'Planning Engine'!J877</f>
        <v>999</v>
      </c>
      <c r="K161" s="95">
        <f ca="1">'Planning Engine'!K877</f>
        <v>0</v>
      </c>
      <c r="L161" s="12" t="str">
        <f ca="1">'Planning Engine'!L877</f>
        <v>Overstock</v>
      </c>
      <c r="M161" s="93">
        <f>'Planning Engine'!S877</f>
        <v>50679</v>
      </c>
      <c r="N161" s="95">
        <f>'Planning Engine'!T877</f>
        <v>0</v>
      </c>
      <c r="O161" s="98" t="s">
        <v>1909</v>
      </c>
      <c r="P161" s="4" t="str">
        <f t="shared" ca="1" si="5"/>
        <v>Defer receipts</v>
      </c>
    </row>
    <row r="162" spans="1:16" ht="13" customHeight="1" x14ac:dyDescent="0.35">
      <c r="A162" s="93">
        <v>50861</v>
      </c>
      <c r="B162" s="61" t="s">
        <v>45</v>
      </c>
      <c r="C162" s="12" t="str">
        <f>'Planning Engine'!C878</f>
        <v>Bulk API/DS</v>
      </c>
      <c r="D162" s="12" t="str">
        <f>'Planning Engine'!D878</f>
        <v>kg</v>
      </c>
      <c r="E162" s="95">
        <f>'Planning Engine'!E878</f>
        <v>72.651747685185143</v>
      </c>
      <c r="F162" s="95">
        <f>'Planning Engine'!F878</f>
        <v>0</v>
      </c>
      <c r="G162" s="95">
        <f>'Planning Engine'!G878</f>
        <v>0</v>
      </c>
      <c r="H162" s="95">
        <f t="shared" si="4"/>
        <v>0</v>
      </c>
      <c r="I162" s="95">
        <f>'Planning Engine'!H878</f>
        <v>72.651747685185143</v>
      </c>
      <c r="J162" s="96">
        <f ca="1">'Planning Engine'!J878</f>
        <v>999</v>
      </c>
      <c r="K162" s="95">
        <f ca="1">'Planning Engine'!K878</f>
        <v>0</v>
      </c>
      <c r="L162" s="12" t="str">
        <f ca="1">'Planning Engine'!L878</f>
        <v>Overstock</v>
      </c>
      <c r="M162" s="93">
        <f>'Planning Engine'!S878</f>
        <v>50710</v>
      </c>
      <c r="N162" s="95">
        <f>'Planning Engine'!T878</f>
        <v>0</v>
      </c>
      <c r="O162" s="94" t="s">
        <v>1910</v>
      </c>
      <c r="P162" s="12" t="str">
        <f t="shared" ca="1" si="5"/>
        <v>Defer receipts</v>
      </c>
    </row>
    <row r="163" spans="1:16" ht="13" customHeight="1" x14ac:dyDescent="0.35">
      <c r="A163" s="97">
        <v>50891</v>
      </c>
      <c r="B163" s="53" t="s">
        <v>45</v>
      </c>
      <c r="C163" s="12" t="str">
        <f>'Planning Engine'!C879</f>
        <v>Bulk API/DS</v>
      </c>
      <c r="D163" s="12" t="str">
        <f>'Planning Engine'!D879</f>
        <v>kg</v>
      </c>
      <c r="E163" s="95">
        <f>'Planning Engine'!E879</f>
        <v>72.651747685185143</v>
      </c>
      <c r="F163" s="95">
        <f>'Planning Engine'!F879</f>
        <v>0</v>
      </c>
      <c r="G163" s="95">
        <f>'Planning Engine'!G879</f>
        <v>0</v>
      </c>
      <c r="H163" s="99">
        <f t="shared" si="4"/>
        <v>0</v>
      </c>
      <c r="I163" s="95">
        <f>'Planning Engine'!H879</f>
        <v>72.651747685185143</v>
      </c>
      <c r="J163" s="96">
        <f ca="1">'Planning Engine'!J879</f>
        <v>999</v>
      </c>
      <c r="K163" s="95">
        <f ca="1">'Planning Engine'!K879</f>
        <v>0</v>
      </c>
      <c r="L163" s="12" t="str">
        <f ca="1">'Planning Engine'!L879</f>
        <v>Overstock</v>
      </c>
      <c r="M163" s="93">
        <f>'Planning Engine'!S879</f>
        <v>50740</v>
      </c>
      <c r="N163" s="95">
        <f>'Planning Engine'!T879</f>
        <v>0</v>
      </c>
      <c r="O163" s="98" t="s">
        <v>1911</v>
      </c>
      <c r="P163" s="4" t="str">
        <f t="shared" ca="1" si="5"/>
        <v>Defer receipts</v>
      </c>
    </row>
    <row r="164" spans="1:16" ht="13" customHeight="1" x14ac:dyDescent="0.35">
      <c r="A164" s="93">
        <v>50922</v>
      </c>
      <c r="B164" s="61" t="s">
        <v>45</v>
      </c>
      <c r="C164" s="12" t="str">
        <f>'Planning Engine'!C880</f>
        <v>Bulk API/DS</v>
      </c>
      <c r="D164" s="12" t="str">
        <f>'Planning Engine'!D880</f>
        <v>kg</v>
      </c>
      <c r="E164" s="95">
        <f>'Planning Engine'!E880</f>
        <v>72.651747685185143</v>
      </c>
      <c r="F164" s="95">
        <f>'Planning Engine'!F880</f>
        <v>0</v>
      </c>
      <c r="G164" s="95">
        <f>'Planning Engine'!G880</f>
        <v>0</v>
      </c>
      <c r="H164" s="95">
        <f t="shared" si="4"/>
        <v>0</v>
      </c>
      <c r="I164" s="95">
        <f>'Planning Engine'!H880</f>
        <v>72.651747685185143</v>
      </c>
      <c r="J164" s="96">
        <f ca="1">'Planning Engine'!J880</f>
        <v>999</v>
      </c>
      <c r="K164" s="95">
        <f ca="1">'Planning Engine'!K880</f>
        <v>0</v>
      </c>
      <c r="L164" s="12" t="str">
        <f ca="1">'Planning Engine'!L880</f>
        <v>Overstock</v>
      </c>
      <c r="M164" s="93">
        <f>'Planning Engine'!S880</f>
        <v>50771</v>
      </c>
      <c r="N164" s="95">
        <f>'Planning Engine'!T880</f>
        <v>0</v>
      </c>
      <c r="O164" s="94" t="s">
        <v>1912</v>
      </c>
      <c r="P164" s="12" t="str">
        <f t="shared" ca="1" si="5"/>
        <v>Defer receipts</v>
      </c>
    </row>
    <row r="165" spans="1:16" ht="13" customHeight="1" x14ac:dyDescent="0.35">
      <c r="A165" s="97">
        <v>50952</v>
      </c>
      <c r="B165" s="53" t="s">
        <v>45</v>
      </c>
      <c r="C165" s="12" t="str">
        <f>'Planning Engine'!C881</f>
        <v>Bulk API/DS</v>
      </c>
      <c r="D165" s="12" t="str">
        <f>'Planning Engine'!D881</f>
        <v>kg</v>
      </c>
      <c r="E165" s="95">
        <f>'Planning Engine'!E881</f>
        <v>72.651747685185143</v>
      </c>
      <c r="F165" s="95">
        <f>'Planning Engine'!F881</f>
        <v>0</v>
      </c>
      <c r="G165" s="95">
        <f>'Planning Engine'!G881</f>
        <v>0</v>
      </c>
      <c r="H165" s="99">
        <f t="shared" si="4"/>
        <v>0</v>
      </c>
      <c r="I165" s="95">
        <f>'Planning Engine'!H881</f>
        <v>72.651747685185143</v>
      </c>
      <c r="J165" s="96">
        <f ca="1">'Planning Engine'!J881</f>
        <v>999</v>
      </c>
      <c r="K165" s="95">
        <f ca="1">'Planning Engine'!K881</f>
        <v>0</v>
      </c>
      <c r="L165" s="12" t="str">
        <f ca="1">'Planning Engine'!L881</f>
        <v>Overstock</v>
      </c>
      <c r="M165" s="93">
        <f>'Planning Engine'!S881</f>
        <v>50802</v>
      </c>
      <c r="N165" s="95">
        <f>'Planning Engine'!T881</f>
        <v>0</v>
      </c>
      <c r="O165" s="98" t="s">
        <v>1913</v>
      </c>
      <c r="P165" s="4" t="str">
        <f t="shared" ca="1" si="5"/>
        <v>Defer receipts</v>
      </c>
    </row>
    <row r="166" spans="1:16" ht="13" customHeight="1" x14ac:dyDescent="0.35">
      <c r="A166" s="93">
        <v>50983</v>
      </c>
      <c r="B166" s="61" t="s">
        <v>45</v>
      </c>
      <c r="C166" s="12" t="str">
        <f>'Planning Engine'!C882</f>
        <v>Bulk API/DS</v>
      </c>
      <c r="D166" s="12" t="str">
        <f>'Planning Engine'!D882</f>
        <v>kg</v>
      </c>
      <c r="E166" s="95">
        <f>'Planning Engine'!E882</f>
        <v>72.651747685185143</v>
      </c>
      <c r="F166" s="95">
        <f>'Planning Engine'!F882</f>
        <v>0</v>
      </c>
      <c r="G166" s="95">
        <f>'Planning Engine'!G882</f>
        <v>0</v>
      </c>
      <c r="H166" s="95">
        <f t="shared" si="4"/>
        <v>0</v>
      </c>
      <c r="I166" s="95">
        <f>'Planning Engine'!H882</f>
        <v>72.651747685185143</v>
      </c>
      <c r="J166" s="96">
        <f ca="1">'Planning Engine'!J882</f>
        <v>999</v>
      </c>
      <c r="K166" s="95">
        <f ca="1">'Planning Engine'!K882</f>
        <v>0</v>
      </c>
      <c r="L166" s="12" t="str">
        <f ca="1">'Planning Engine'!L882</f>
        <v>Overstock</v>
      </c>
      <c r="M166" s="93">
        <f>'Planning Engine'!S882</f>
        <v>50830</v>
      </c>
      <c r="N166" s="95">
        <f>'Planning Engine'!T882</f>
        <v>0</v>
      </c>
      <c r="O166" s="94" t="s">
        <v>1914</v>
      </c>
      <c r="P166" s="12" t="str">
        <f t="shared" ca="1" si="5"/>
        <v>Defer receipts</v>
      </c>
    </row>
    <row r="167" spans="1:16" ht="13" customHeight="1" x14ac:dyDescent="0.35">
      <c r="A167" s="97">
        <v>51014</v>
      </c>
      <c r="B167" s="53" t="s">
        <v>45</v>
      </c>
      <c r="C167" s="12" t="str">
        <f>'Planning Engine'!C883</f>
        <v>Bulk API/DS</v>
      </c>
      <c r="D167" s="12" t="str">
        <f>'Planning Engine'!D883</f>
        <v>kg</v>
      </c>
      <c r="E167" s="95">
        <f>'Planning Engine'!E883</f>
        <v>72.651747685185143</v>
      </c>
      <c r="F167" s="95">
        <f>'Planning Engine'!F883</f>
        <v>0</v>
      </c>
      <c r="G167" s="95">
        <f>'Planning Engine'!G883</f>
        <v>0</v>
      </c>
      <c r="H167" s="99">
        <f t="shared" si="4"/>
        <v>0</v>
      </c>
      <c r="I167" s="95">
        <f>'Planning Engine'!H883</f>
        <v>72.651747685185143</v>
      </c>
      <c r="J167" s="96">
        <f ca="1">'Planning Engine'!J883</f>
        <v>999</v>
      </c>
      <c r="K167" s="95">
        <f ca="1">'Planning Engine'!K883</f>
        <v>0</v>
      </c>
      <c r="L167" s="12" t="str">
        <f ca="1">'Planning Engine'!L883</f>
        <v>Overstock</v>
      </c>
      <c r="M167" s="93">
        <f>'Planning Engine'!S883</f>
        <v>50861</v>
      </c>
      <c r="N167" s="95">
        <f>'Planning Engine'!T883</f>
        <v>0</v>
      </c>
      <c r="O167" s="98" t="s">
        <v>1915</v>
      </c>
      <c r="P167" s="4" t="str">
        <f t="shared" ca="1" si="5"/>
        <v>Defer receipts</v>
      </c>
    </row>
    <row r="168" spans="1:16" ht="13" customHeight="1" x14ac:dyDescent="0.35">
      <c r="A168" s="93">
        <v>51044</v>
      </c>
      <c r="B168" s="61" t="s">
        <v>45</v>
      </c>
      <c r="C168" s="12" t="str">
        <f>'Planning Engine'!C884</f>
        <v>Bulk API/DS</v>
      </c>
      <c r="D168" s="12" t="str">
        <f>'Planning Engine'!D884</f>
        <v>kg</v>
      </c>
      <c r="E168" s="95">
        <f>'Planning Engine'!E884</f>
        <v>72.651747685185143</v>
      </c>
      <c r="F168" s="95">
        <f>'Planning Engine'!F884</f>
        <v>0</v>
      </c>
      <c r="G168" s="95">
        <f>'Planning Engine'!G884</f>
        <v>0</v>
      </c>
      <c r="H168" s="95">
        <f t="shared" si="4"/>
        <v>0</v>
      </c>
      <c r="I168" s="95">
        <f>'Planning Engine'!H884</f>
        <v>72.651747685185143</v>
      </c>
      <c r="J168" s="96">
        <f ca="1">'Planning Engine'!J884</f>
        <v>999</v>
      </c>
      <c r="K168" s="95">
        <f ca="1">'Planning Engine'!K884</f>
        <v>0</v>
      </c>
      <c r="L168" s="12" t="str">
        <f ca="1">'Planning Engine'!L884</f>
        <v>Overstock</v>
      </c>
      <c r="M168" s="93">
        <f>'Planning Engine'!S884</f>
        <v>50891</v>
      </c>
      <c r="N168" s="95">
        <f>'Planning Engine'!T884</f>
        <v>0</v>
      </c>
      <c r="O168" s="94" t="s">
        <v>1916</v>
      </c>
      <c r="P168" s="12" t="str">
        <f t="shared" ca="1" si="5"/>
        <v>Defer receipts</v>
      </c>
    </row>
    <row r="169" spans="1:16" ht="13" customHeight="1" x14ac:dyDescent="0.35">
      <c r="A169" s="97">
        <v>51075</v>
      </c>
      <c r="B169" s="53" t="s">
        <v>45</v>
      </c>
      <c r="C169" s="12" t="str">
        <f>'Planning Engine'!C885</f>
        <v>Bulk API/DS</v>
      </c>
      <c r="D169" s="12" t="str">
        <f>'Planning Engine'!D885</f>
        <v>kg</v>
      </c>
      <c r="E169" s="95">
        <f>'Planning Engine'!E885</f>
        <v>72.651747685185143</v>
      </c>
      <c r="F169" s="95">
        <f>'Planning Engine'!F885</f>
        <v>0</v>
      </c>
      <c r="G169" s="95">
        <f>'Planning Engine'!G885</f>
        <v>0</v>
      </c>
      <c r="H169" s="99">
        <f t="shared" si="4"/>
        <v>0</v>
      </c>
      <c r="I169" s="95">
        <f>'Planning Engine'!H885</f>
        <v>72.651747685185143</v>
      </c>
      <c r="J169" s="96">
        <f ca="1">'Planning Engine'!J885</f>
        <v>999</v>
      </c>
      <c r="K169" s="95">
        <f ca="1">'Planning Engine'!K885</f>
        <v>0</v>
      </c>
      <c r="L169" s="12" t="str">
        <f ca="1">'Planning Engine'!L885</f>
        <v>Overstock</v>
      </c>
      <c r="M169" s="93">
        <f>'Planning Engine'!S885</f>
        <v>50922</v>
      </c>
      <c r="N169" s="95">
        <f>'Planning Engine'!T885</f>
        <v>0</v>
      </c>
      <c r="O169" s="98" t="s">
        <v>1917</v>
      </c>
      <c r="P169" s="4" t="str">
        <f t="shared" ca="1" si="5"/>
        <v>Defer receipts</v>
      </c>
    </row>
    <row r="170" spans="1:16" ht="13" customHeight="1" x14ac:dyDescent="0.35">
      <c r="A170" s="93">
        <v>51105</v>
      </c>
      <c r="B170" s="61" t="s">
        <v>45</v>
      </c>
      <c r="C170" s="12" t="str">
        <f>'Planning Engine'!C886</f>
        <v>Bulk API/DS</v>
      </c>
      <c r="D170" s="12" t="str">
        <f>'Planning Engine'!D886</f>
        <v>kg</v>
      </c>
      <c r="E170" s="95">
        <f>'Planning Engine'!E886</f>
        <v>72.651747685185143</v>
      </c>
      <c r="F170" s="95">
        <f>'Planning Engine'!F886</f>
        <v>0</v>
      </c>
      <c r="G170" s="95">
        <f>'Planning Engine'!G886</f>
        <v>0</v>
      </c>
      <c r="H170" s="95">
        <f t="shared" si="4"/>
        <v>0</v>
      </c>
      <c r="I170" s="95">
        <f>'Planning Engine'!H886</f>
        <v>72.651747685185143</v>
      </c>
      <c r="J170" s="96">
        <f ca="1">'Planning Engine'!J886</f>
        <v>999</v>
      </c>
      <c r="K170" s="95">
        <f ca="1">'Planning Engine'!K886</f>
        <v>0</v>
      </c>
      <c r="L170" s="12" t="str">
        <f ca="1">'Planning Engine'!L886</f>
        <v>Overstock</v>
      </c>
      <c r="M170" s="93">
        <f>'Planning Engine'!S886</f>
        <v>50952</v>
      </c>
      <c r="N170" s="95">
        <f>'Planning Engine'!T886</f>
        <v>0</v>
      </c>
      <c r="O170" s="94" t="s">
        <v>1918</v>
      </c>
      <c r="P170" s="12" t="str">
        <f t="shared" ca="1" si="5"/>
        <v>Defer receipts</v>
      </c>
    </row>
    <row r="171" spans="1:16" ht="13" customHeight="1" x14ac:dyDescent="0.35">
      <c r="A171" s="97">
        <v>51136</v>
      </c>
      <c r="B171" s="53" t="s">
        <v>45</v>
      </c>
      <c r="C171" s="12" t="str">
        <f>'Planning Engine'!C887</f>
        <v>Bulk API/DS</v>
      </c>
      <c r="D171" s="12" t="str">
        <f>'Planning Engine'!D887</f>
        <v>kg</v>
      </c>
      <c r="E171" s="95">
        <f>'Planning Engine'!E887</f>
        <v>72.651747685185143</v>
      </c>
      <c r="F171" s="95">
        <f>'Planning Engine'!F887</f>
        <v>0</v>
      </c>
      <c r="G171" s="95">
        <f>'Planning Engine'!G887</f>
        <v>0</v>
      </c>
      <c r="H171" s="99">
        <f t="shared" si="4"/>
        <v>0</v>
      </c>
      <c r="I171" s="95">
        <f>'Planning Engine'!H887</f>
        <v>72.651747685185143</v>
      </c>
      <c r="J171" s="96">
        <f ca="1">'Planning Engine'!J887</f>
        <v>999</v>
      </c>
      <c r="K171" s="95">
        <f ca="1">'Planning Engine'!K887</f>
        <v>0</v>
      </c>
      <c r="L171" s="12" t="str">
        <f ca="1">'Planning Engine'!L887</f>
        <v>Overstock</v>
      </c>
      <c r="M171" s="93">
        <f>'Planning Engine'!S887</f>
        <v>50983</v>
      </c>
      <c r="N171" s="95">
        <f>'Planning Engine'!T887</f>
        <v>0</v>
      </c>
      <c r="O171" s="98" t="s">
        <v>1919</v>
      </c>
      <c r="P171" s="4" t="str">
        <f t="shared" ca="1" si="5"/>
        <v>Defer receipts</v>
      </c>
    </row>
    <row r="172" spans="1:16" ht="13" customHeight="1" x14ac:dyDescent="0.35">
      <c r="A172" s="93">
        <v>51167</v>
      </c>
      <c r="B172" s="61" t="s">
        <v>45</v>
      </c>
      <c r="C172" s="12" t="str">
        <f>'Planning Engine'!C888</f>
        <v>Bulk API/DS</v>
      </c>
      <c r="D172" s="12" t="str">
        <f>'Planning Engine'!D888</f>
        <v>kg</v>
      </c>
      <c r="E172" s="95">
        <f>'Planning Engine'!E888</f>
        <v>72.651747685185143</v>
      </c>
      <c r="F172" s="95">
        <f>'Planning Engine'!F888</f>
        <v>0</v>
      </c>
      <c r="G172" s="95">
        <f>'Planning Engine'!G888</f>
        <v>0</v>
      </c>
      <c r="H172" s="95">
        <f t="shared" si="4"/>
        <v>0</v>
      </c>
      <c r="I172" s="95">
        <f>'Planning Engine'!H888</f>
        <v>72.651747685185143</v>
      </c>
      <c r="J172" s="96">
        <f ca="1">'Planning Engine'!J888</f>
        <v>999</v>
      </c>
      <c r="K172" s="95">
        <f ca="1">'Planning Engine'!K888</f>
        <v>0</v>
      </c>
      <c r="L172" s="12" t="str">
        <f ca="1">'Planning Engine'!L888</f>
        <v>Overstock</v>
      </c>
      <c r="M172" s="93">
        <f>'Planning Engine'!S888</f>
        <v>51014</v>
      </c>
      <c r="N172" s="95">
        <f>'Planning Engine'!T888</f>
        <v>0</v>
      </c>
      <c r="O172" s="94" t="s">
        <v>1920</v>
      </c>
      <c r="P172" s="12" t="str">
        <f t="shared" ca="1" si="5"/>
        <v>Defer receipts</v>
      </c>
    </row>
    <row r="173" spans="1:16" ht="13" customHeight="1" x14ac:dyDescent="0.35">
      <c r="A173" s="97">
        <v>51196</v>
      </c>
      <c r="B173" s="53" t="s">
        <v>45</v>
      </c>
      <c r="C173" s="12" t="str">
        <f>'Planning Engine'!C889</f>
        <v>Bulk API/DS</v>
      </c>
      <c r="D173" s="12" t="str">
        <f>'Planning Engine'!D889</f>
        <v>kg</v>
      </c>
      <c r="E173" s="95">
        <f>'Planning Engine'!E889</f>
        <v>72.651747685185143</v>
      </c>
      <c r="F173" s="95">
        <f>'Planning Engine'!F889</f>
        <v>0</v>
      </c>
      <c r="G173" s="95">
        <f>'Planning Engine'!G889</f>
        <v>0</v>
      </c>
      <c r="H173" s="99">
        <f t="shared" si="4"/>
        <v>0</v>
      </c>
      <c r="I173" s="95">
        <f>'Planning Engine'!H889</f>
        <v>72.651747685185143</v>
      </c>
      <c r="J173" s="96">
        <f ca="1">'Planning Engine'!J889</f>
        <v>999</v>
      </c>
      <c r="K173" s="95">
        <f ca="1">'Planning Engine'!K889</f>
        <v>0</v>
      </c>
      <c r="L173" s="12" t="str">
        <f ca="1">'Planning Engine'!L889</f>
        <v>Overstock</v>
      </c>
      <c r="M173" s="93">
        <f>'Planning Engine'!S889</f>
        <v>51044</v>
      </c>
      <c r="N173" s="95">
        <f>'Planning Engine'!T889</f>
        <v>0</v>
      </c>
      <c r="O173" s="98" t="s">
        <v>1921</v>
      </c>
      <c r="P173" s="4" t="str">
        <f t="shared" ca="1" si="5"/>
        <v>Defer receipts</v>
      </c>
    </row>
    <row r="174" spans="1:16" ht="13" customHeight="1" x14ac:dyDescent="0.35">
      <c r="A174" s="93">
        <v>51227</v>
      </c>
      <c r="B174" s="61" t="s">
        <v>45</v>
      </c>
      <c r="C174" s="12" t="str">
        <f>'Planning Engine'!C890</f>
        <v>Bulk API/DS</v>
      </c>
      <c r="D174" s="12" t="str">
        <f>'Planning Engine'!D890</f>
        <v>kg</v>
      </c>
      <c r="E174" s="95">
        <f>'Planning Engine'!E890</f>
        <v>72.651747685185143</v>
      </c>
      <c r="F174" s="95">
        <f>'Planning Engine'!F890</f>
        <v>0</v>
      </c>
      <c r="G174" s="95">
        <f>'Planning Engine'!G890</f>
        <v>0</v>
      </c>
      <c r="H174" s="95">
        <f t="shared" si="4"/>
        <v>0</v>
      </c>
      <c r="I174" s="95">
        <f>'Planning Engine'!H890</f>
        <v>72.651747685185143</v>
      </c>
      <c r="J174" s="96">
        <f ca="1">'Planning Engine'!J890</f>
        <v>999</v>
      </c>
      <c r="K174" s="95">
        <f ca="1">'Planning Engine'!K890</f>
        <v>0</v>
      </c>
      <c r="L174" s="12" t="str">
        <f ca="1">'Planning Engine'!L890</f>
        <v>Overstock</v>
      </c>
      <c r="M174" s="93">
        <f>'Planning Engine'!S890</f>
        <v>51075</v>
      </c>
      <c r="N174" s="95">
        <f>'Planning Engine'!T890</f>
        <v>0</v>
      </c>
      <c r="O174" s="94" t="s">
        <v>1922</v>
      </c>
      <c r="P174" s="12" t="str">
        <f t="shared" ca="1" si="5"/>
        <v>Defer receipts</v>
      </c>
    </row>
    <row r="175" spans="1:16" ht="13" customHeight="1" x14ac:dyDescent="0.35">
      <c r="A175" s="97">
        <v>51257</v>
      </c>
      <c r="B175" s="53" t="s">
        <v>45</v>
      </c>
      <c r="C175" s="12" t="str">
        <f>'Planning Engine'!C891</f>
        <v>Bulk API/DS</v>
      </c>
      <c r="D175" s="12" t="str">
        <f>'Planning Engine'!D891</f>
        <v>kg</v>
      </c>
      <c r="E175" s="95">
        <f>'Planning Engine'!E891</f>
        <v>72.651747685185143</v>
      </c>
      <c r="F175" s="95">
        <f>'Planning Engine'!F891</f>
        <v>0</v>
      </c>
      <c r="G175" s="95">
        <f>'Planning Engine'!G891</f>
        <v>0</v>
      </c>
      <c r="H175" s="99">
        <f t="shared" si="4"/>
        <v>0</v>
      </c>
      <c r="I175" s="95">
        <f>'Planning Engine'!H891</f>
        <v>72.651747685185143</v>
      </c>
      <c r="J175" s="96">
        <f ca="1">'Planning Engine'!J891</f>
        <v>999</v>
      </c>
      <c r="K175" s="95">
        <f ca="1">'Planning Engine'!K891</f>
        <v>0</v>
      </c>
      <c r="L175" s="12" t="str">
        <f ca="1">'Planning Engine'!L891</f>
        <v>Overstock</v>
      </c>
      <c r="M175" s="93">
        <f>'Planning Engine'!S891</f>
        <v>51105</v>
      </c>
      <c r="N175" s="95">
        <f>'Planning Engine'!T891</f>
        <v>0</v>
      </c>
      <c r="O175" s="98" t="s">
        <v>1923</v>
      </c>
      <c r="P175" s="4" t="str">
        <f t="shared" ca="1" si="5"/>
        <v>Defer receipts</v>
      </c>
    </row>
    <row r="176" spans="1:16" ht="13" customHeight="1" x14ac:dyDescent="0.35">
      <c r="A176" s="93">
        <v>51288</v>
      </c>
      <c r="B176" s="61" t="s">
        <v>45</v>
      </c>
      <c r="C176" s="12" t="str">
        <f>'Planning Engine'!C892</f>
        <v>Bulk API/DS</v>
      </c>
      <c r="D176" s="12" t="str">
        <f>'Planning Engine'!D892</f>
        <v>kg</v>
      </c>
      <c r="E176" s="95">
        <f>'Planning Engine'!E892</f>
        <v>72.651747685185143</v>
      </c>
      <c r="F176" s="95">
        <f>'Planning Engine'!F892</f>
        <v>0</v>
      </c>
      <c r="G176" s="95">
        <f>'Planning Engine'!G892</f>
        <v>0</v>
      </c>
      <c r="H176" s="95">
        <f t="shared" si="4"/>
        <v>0</v>
      </c>
      <c r="I176" s="95">
        <f>'Planning Engine'!H892</f>
        <v>72.651747685185143</v>
      </c>
      <c r="J176" s="96">
        <f ca="1">'Planning Engine'!J892</f>
        <v>999</v>
      </c>
      <c r="K176" s="95">
        <f ca="1">'Planning Engine'!K892</f>
        <v>0</v>
      </c>
      <c r="L176" s="12" t="str">
        <f ca="1">'Planning Engine'!L892</f>
        <v>Overstock</v>
      </c>
      <c r="M176" s="93">
        <f>'Planning Engine'!S892</f>
        <v>51136</v>
      </c>
      <c r="N176" s="95">
        <f>'Planning Engine'!T892</f>
        <v>0</v>
      </c>
      <c r="O176" s="94" t="s">
        <v>1924</v>
      </c>
      <c r="P176" s="12" t="str">
        <f t="shared" ca="1" si="5"/>
        <v>Defer receipts</v>
      </c>
    </row>
    <row r="177" spans="1:16" ht="13" customHeight="1" x14ac:dyDescent="0.35">
      <c r="A177" s="97">
        <v>51318</v>
      </c>
      <c r="B177" s="53" t="s">
        <v>45</v>
      </c>
      <c r="C177" s="12" t="str">
        <f>'Planning Engine'!C893</f>
        <v>Bulk API/DS</v>
      </c>
      <c r="D177" s="12" t="str">
        <f>'Planning Engine'!D893</f>
        <v>kg</v>
      </c>
      <c r="E177" s="95">
        <f>'Planning Engine'!E893</f>
        <v>72.651747685185143</v>
      </c>
      <c r="F177" s="95">
        <f>'Planning Engine'!F893</f>
        <v>0</v>
      </c>
      <c r="G177" s="95">
        <f>'Planning Engine'!G893</f>
        <v>0</v>
      </c>
      <c r="H177" s="99">
        <f t="shared" si="4"/>
        <v>0</v>
      </c>
      <c r="I177" s="95">
        <f>'Planning Engine'!H893</f>
        <v>72.651747685185143</v>
      </c>
      <c r="J177" s="96">
        <f ca="1">'Planning Engine'!J893</f>
        <v>999</v>
      </c>
      <c r="K177" s="95">
        <f ca="1">'Planning Engine'!K893</f>
        <v>0</v>
      </c>
      <c r="L177" s="12" t="str">
        <f ca="1">'Planning Engine'!L893</f>
        <v>Overstock</v>
      </c>
      <c r="M177" s="93">
        <f>'Planning Engine'!S893</f>
        <v>51167</v>
      </c>
      <c r="N177" s="95">
        <f>'Planning Engine'!T893</f>
        <v>0</v>
      </c>
      <c r="O177" s="98" t="s">
        <v>1925</v>
      </c>
      <c r="P177" s="4" t="str">
        <f t="shared" ca="1" si="5"/>
        <v>Defer receipts</v>
      </c>
    </row>
    <row r="178" spans="1:16" ht="13" customHeight="1" x14ac:dyDescent="0.35">
      <c r="A178" s="93">
        <v>51349</v>
      </c>
      <c r="B178" s="61" t="s">
        <v>45</v>
      </c>
      <c r="C178" s="12" t="str">
        <f>'Planning Engine'!C894</f>
        <v>Bulk API/DS</v>
      </c>
      <c r="D178" s="12" t="str">
        <f>'Planning Engine'!D894</f>
        <v>kg</v>
      </c>
      <c r="E178" s="95">
        <f>'Planning Engine'!E894</f>
        <v>72.651747685185143</v>
      </c>
      <c r="F178" s="95">
        <f>'Planning Engine'!F894</f>
        <v>0</v>
      </c>
      <c r="G178" s="95">
        <f>'Planning Engine'!G894</f>
        <v>0</v>
      </c>
      <c r="H178" s="95">
        <f t="shared" si="4"/>
        <v>0</v>
      </c>
      <c r="I178" s="95">
        <f>'Planning Engine'!H894</f>
        <v>72.651747685185143</v>
      </c>
      <c r="J178" s="96">
        <f ca="1">'Planning Engine'!J894</f>
        <v>999</v>
      </c>
      <c r="K178" s="95">
        <f ca="1">'Planning Engine'!K894</f>
        <v>0</v>
      </c>
      <c r="L178" s="12" t="str">
        <f ca="1">'Planning Engine'!L894</f>
        <v>Overstock</v>
      </c>
      <c r="M178" s="93">
        <f>'Planning Engine'!S894</f>
        <v>51196</v>
      </c>
      <c r="N178" s="95">
        <f>'Planning Engine'!T894</f>
        <v>0</v>
      </c>
      <c r="O178" s="94" t="s">
        <v>1926</v>
      </c>
      <c r="P178" s="12" t="str">
        <f t="shared" ca="1" si="5"/>
        <v>Defer receipts</v>
      </c>
    </row>
    <row r="179" spans="1:16" ht="13" customHeight="1" x14ac:dyDescent="0.35">
      <c r="A179" s="97">
        <v>51380</v>
      </c>
      <c r="B179" s="53" t="s">
        <v>45</v>
      </c>
      <c r="C179" s="12" t="str">
        <f>'Planning Engine'!C895</f>
        <v>Bulk API/DS</v>
      </c>
      <c r="D179" s="12" t="str">
        <f>'Planning Engine'!D895</f>
        <v>kg</v>
      </c>
      <c r="E179" s="95">
        <f>'Planning Engine'!E895</f>
        <v>72.651747685185143</v>
      </c>
      <c r="F179" s="95">
        <f>'Planning Engine'!F895</f>
        <v>0</v>
      </c>
      <c r="G179" s="95">
        <f>'Planning Engine'!G895</f>
        <v>0</v>
      </c>
      <c r="H179" s="99">
        <f t="shared" si="4"/>
        <v>0</v>
      </c>
      <c r="I179" s="95">
        <f>'Planning Engine'!H895</f>
        <v>72.651747685185143</v>
      </c>
      <c r="J179" s="96">
        <f ca="1">'Planning Engine'!J895</f>
        <v>999</v>
      </c>
      <c r="K179" s="95">
        <f ca="1">'Planning Engine'!K895</f>
        <v>0</v>
      </c>
      <c r="L179" s="12" t="str">
        <f ca="1">'Planning Engine'!L895</f>
        <v>Overstock</v>
      </c>
      <c r="M179" s="93">
        <f>'Planning Engine'!S895</f>
        <v>51227</v>
      </c>
      <c r="N179" s="95">
        <f>'Planning Engine'!T895</f>
        <v>0</v>
      </c>
      <c r="O179" s="98" t="s">
        <v>1927</v>
      </c>
      <c r="P179" s="4" t="str">
        <f t="shared" ca="1" si="5"/>
        <v>Defer receipts</v>
      </c>
    </row>
    <row r="180" spans="1:16" ht="13" customHeight="1" x14ac:dyDescent="0.35">
      <c r="A180" s="93">
        <v>51410</v>
      </c>
      <c r="B180" s="61" t="s">
        <v>45</v>
      </c>
      <c r="C180" s="12" t="str">
        <f>'Planning Engine'!C896</f>
        <v>Bulk API/DS</v>
      </c>
      <c r="D180" s="12" t="str">
        <f>'Planning Engine'!D896</f>
        <v>kg</v>
      </c>
      <c r="E180" s="95">
        <f>'Planning Engine'!E896</f>
        <v>72.651747685185143</v>
      </c>
      <c r="F180" s="95">
        <f>'Planning Engine'!F896</f>
        <v>0</v>
      </c>
      <c r="G180" s="95">
        <f>'Planning Engine'!G896</f>
        <v>0</v>
      </c>
      <c r="H180" s="95">
        <f t="shared" si="4"/>
        <v>0</v>
      </c>
      <c r="I180" s="95">
        <f>'Planning Engine'!H896</f>
        <v>72.651747685185143</v>
      </c>
      <c r="J180" s="96">
        <f ca="1">'Planning Engine'!J896</f>
        <v>999</v>
      </c>
      <c r="K180" s="95">
        <f ca="1">'Planning Engine'!K896</f>
        <v>0</v>
      </c>
      <c r="L180" s="12" t="str">
        <f ca="1">'Planning Engine'!L896</f>
        <v>Overstock</v>
      </c>
      <c r="M180" s="93">
        <f>'Planning Engine'!S896</f>
        <v>51257</v>
      </c>
      <c r="N180" s="95">
        <f>'Planning Engine'!T896</f>
        <v>0</v>
      </c>
      <c r="O180" s="94" t="s">
        <v>1928</v>
      </c>
      <c r="P180" s="12" t="str">
        <f t="shared" ca="1" si="5"/>
        <v>Defer receipts</v>
      </c>
    </row>
    <row r="181" spans="1:16" ht="13" customHeight="1" x14ac:dyDescent="0.35">
      <c r="A181" s="97">
        <v>51441</v>
      </c>
      <c r="B181" s="53" t="s">
        <v>45</v>
      </c>
      <c r="C181" s="12" t="str">
        <f>'Planning Engine'!C897</f>
        <v>Bulk API/DS</v>
      </c>
      <c r="D181" s="12" t="str">
        <f>'Planning Engine'!D897</f>
        <v>kg</v>
      </c>
      <c r="E181" s="95">
        <f>'Planning Engine'!E897</f>
        <v>72.651747685185143</v>
      </c>
      <c r="F181" s="95">
        <f>'Planning Engine'!F897</f>
        <v>0</v>
      </c>
      <c r="G181" s="95">
        <f>'Planning Engine'!G897</f>
        <v>0</v>
      </c>
      <c r="H181" s="99">
        <f t="shared" si="4"/>
        <v>0</v>
      </c>
      <c r="I181" s="95">
        <f>'Planning Engine'!H897</f>
        <v>72.651747685185143</v>
      </c>
      <c r="J181" s="96">
        <f ca="1">'Planning Engine'!J897</f>
        <v>999</v>
      </c>
      <c r="K181" s="95">
        <f ca="1">'Planning Engine'!K897</f>
        <v>0</v>
      </c>
      <c r="L181" s="12" t="str">
        <f ca="1">'Planning Engine'!L897</f>
        <v>Overstock</v>
      </c>
      <c r="M181" s="93">
        <f>'Planning Engine'!S897</f>
        <v>51288</v>
      </c>
      <c r="N181" s="95">
        <f>'Planning Engine'!T897</f>
        <v>0</v>
      </c>
      <c r="O181" s="98" t="s">
        <v>1929</v>
      </c>
      <c r="P181" s="4" t="str">
        <f t="shared" ca="1" si="5"/>
        <v>Defer receipts</v>
      </c>
    </row>
    <row r="182" spans="1:16" ht="13" customHeight="1" x14ac:dyDescent="0.35">
      <c r="A182" s="93">
        <v>51471</v>
      </c>
      <c r="B182" s="61" t="s">
        <v>45</v>
      </c>
      <c r="C182" s="12" t="str">
        <f>'Planning Engine'!C898</f>
        <v>Bulk API/DS</v>
      </c>
      <c r="D182" s="12" t="str">
        <f>'Planning Engine'!D898</f>
        <v>kg</v>
      </c>
      <c r="E182" s="95">
        <f>'Planning Engine'!E898</f>
        <v>72.651747685185143</v>
      </c>
      <c r="F182" s="95">
        <f>'Planning Engine'!F898</f>
        <v>0</v>
      </c>
      <c r="G182" s="95">
        <f>'Planning Engine'!G898</f>
        <v>0</v>
      </c>
      <c r="H182" s="95">
        <f t="shared" si="4"/>
        <v>0</v>
      </c>
      <c r="I182" s="95">
        <f>'Planning Engine'!H898</f>
        <v>72.651747685185143</v>
      </c>
      <c r="J182" s="96">
        <f ca="1">'Planning Engine'!J898</f>
        <v>999</v>
      </c>
      <c r="K182" s="95">
        <f ca="1">'Planning Engine'!K898</f>
        <v>0</v>
      </c>
      <c r="L182" s="12" t="str">
        <f ca="1">'Planning Engine'!L898</f>
        <v>Overstock</v>
      </c>
      <c r="M182" s="93">
        <f>'Planning Engine'!S898</f>
        <v>51318</v>
      </c>
      <c r="N182" s="95">
        <f>'Planning Engine'!T898</f>
        <v>0</v>
      </c>
      <c r="O182" s="94" t="s">
        <v>1930</v>
      </c>
      <c r="P182" s="12" t="str">
        <f t="shared" ca="1" si="5"/>
        <v>Defer receipts</v>
      </c>
    </row>
    <row r="183" spans="1:16" ht="13" customHeight="1" x14ac:dyDescent="0.35">
      <c r="A183" s="97">
        <v>46054</v>
      </c>
      <c r="B183" s="53" t="s">
        <v>54</v>
      </c>
      <c r="C183" s="12" t="str">
        <f>'Planning Engine'!C899</f>
        <v>Raw Material</v>
      </c>
      <c r="D183" s="12" t="str">
        <f>'Planning Engine'!D899</f>
        <v>kg</v>
      </c>
      <c r="E183" s="95">
        <f>'Planning Engine'!E899</f>
        <v>79.983999999999995</v>
      </c>
      <c r="F183" s="95">
        <f>'Planning Engine'!F899</f>
        <v>0</v>
      </c>
      <c r="G183" s="95">
        <f>'Planning Engine'!G899</f>
        <v>0</v>
      </c>
      <c r="H183" s="99">
        <f t="shared" si="4"/>
        <v>0</v>
      </c>
      <c r="I183" s="95">
        <f>'Planning Engine'!H899</f>
        <v>79.983999999999995</v>
      </c>
      <c r="J183" s="96">
        <f ca="1">'Planning Engine'!J899</f>
        <v>5.9689552238805961</v>
      </c>
      <c r="K183" s="95">
        <f ca="1">'Planning Engine'!K899</f>
        <v>0</v>
      </c>
      <c r="L183" s="12" t="str">
        <f ca="1">'Planning Engine'!L899</f>
        <v>Low</v>
      </c>
      <c r="M183" s="93">
        <f>'Planning Engine'!S899</f>
        <v>45931</v>
      </c>
      <c r="N183" s="95">
        <f>'Planning Engine'!T899</f>
        <v>0</v>
      </c>
      <c r="O183" s="98" t="s">
        <v>1931</v>
      </c>
      <c r="P183" s="4" t="str">
        <f t="shared" ca="1" si="5"/>
        <v>OK</v>
      </c>
    </row>
    <row r="184" spans="1:16" ht="13" customHeight="1" x14ac:dyDescent="0.35">
      <c r="A184" s="93">
        <v>46082</v>
      </c>
      <c r="B184" s="61" t="s">
        <v>54</v>
      </c>
      <c r="C184" s="12" t="str">
        <f>'Planning Engine'!C900</f>
        <v>Raw Material</v>
      </c>
      <c r="D184" s="12" t="str">
        <f>'Planning Engine'!D900</f>
        <v>kg</v>
      </c>
      <c r="E184" s="95">
        <f>'Planning Engine'!E900</f>
        <v>79.983999999999995</v>
      </c>
      <c r="F184" s="95">
        <f>'Planning Engine'!F900</f>
        <v>0</v>
      </c>
      <c r="G184" s="95">
        <f>'Planning Engine'!G900</f>
        <v>0</v>
      </c>
      <c r="H184" s="95">
        <f t="shared" si="4"/>
        <v>0</v>
      </c>
      <c r="I184" s="95">
        <f>'Planning Engine'!H900</f>
        <v>96.09</v>
      </c>
      <c r="J184" s="96">
        <f ca="1">'Planning Engine'!J900</f>
        <v>7.1708955223880597</v>
      </c>
      <c r="K184" s="95">
        <f ca="1">'Planning Engine'!K900</f>
        <v>0</v>
      </c>
      <c r="L184" s="12" t="str">
        <f ca="1">'Planning Engine'!L900</f>
        <v>Low</v>
      </c>
      <c r="M184" s="93">
        <f>'Planning Engine'!S900</f>
        <v>45962</v>
      </c>
      <c r="N184" s="95">
        <f>'Planning Engine'!T900</f>
        <v>0</v>
      </c>
      <c r="O184" s="94" t="s">
        <v>1932</v>
      </c>
      <c r="P184" s="12" t="str">
        <f t="shared" ca="1" si="5"/>
        <v>OK</v>
      </c>
    </row>
    <row r="185" spans="1:16" ht="13" customHeight="1" x14ac:dyDescent="0.35">
      <c r="A185" s="97">
        <v>46113</v>
      </c>
      <c r="B185" s="53" t="s">
        <v>54</v>
      </c>
      <c r="C185" s="12" t="str">
        <f>'Planning Engine'!C901</f>
        <v>Raw Material</v>
      </c>
      <c r="D185" s="12" t="str">
        <f>'Planning Engine'!D901</f>
        <v>kg</v>
      </c>
      <c r="E185" s="95">
        <f>'Planning Engine'!E901</f>
        <v>96.09</v>
      </c>
      <c r="F185" s="95">
        <f>'Planning Engine'!F901</f>
        <v>0</v>
      </c>
      <c r="G185" s="95">
        <f>'Planning Engine'!G901</f>
        <v>0</v>
      </c>
      <c r="H185" s="99">
        <f t="shared" si="4"/>
        <v>0</v>
      </c>
      <c r="I185" s="95">
        <f>'Planning Engine'!H901</f>
        <v>96.09</v>
      </c>
      <c r="J185" s="96">
        <f ca="1">'Planning Engine'!J901</f>
        <v>7.1708955223880597</v>
      </c>
      <c r="K185" s="95">
        <f ca="1">'Planning Engine'!K901</f>
        <v>0</v>
      </c>
      <c r="L185" s="12" t="str">
        <f ca="1">'Planning Engine'!L901</f>
        <v>Low</v>
      </c>
      <c r="M185" s="93">
        <f>'Planning Engine'!S901</f>
        <v>45992</v>
      </c>
      <c r="N185" s="95">
        <f>'Planning Engine'!T901</f>
        <v>0</v>
      </c>
      <c r="O185" s="98" t="s">
        <v>1933</v>
      </c>
      <c r="P185" s="4" t="str">
        <f t="shared" ca="1" si="5"/>
        <v>OK</v>
      </c>
    </row>
    <row r="186" spans="1:16" ht="13" customHeight="1" x14ac:dyDescent="0.35">
      <c r="A186" s="93">
        <v>46143</v>
      </c>
      <c r="B186" s="61" t="s">
        <v>54</v>
      </c>
      <c r="C186" s="12" t="str">
        <f>'Planning Engine'!C902</f>
        <v>Raw Material</v>
      </c>
      <c r="D186" s="12" t="str">
        <f>'Planning Engine'!D902</f>
        <v>kg</v>
      </c>
      <c r="E186" s="95">
        <f>'Planning Engine'!E902</f>
        <v>96.09</v>
      </c>
      <c r="F186" s="95">
        <f>'Planning Engine'!F902</f>
        <v>13.4</v>
      </c>
      <c r="G186" s="95">
        <f>'Planning Engine'!G902</f>
        <v>0</v>
      </c>
      <c r="H186" s="95">
        <f t="shared" si="4"/>
        <v>-13.4</v>
      </c>
      <c r="I186" s="95">
        <f>'Planning Engine'!H902</f>
        <v>82.69</v>
      </c>
      <c r="J186" s="96">
        <f ca="1">'Planning Engine'!J902</f>
        <v>6.1708955223880597</v>
      </c>
      <c r="K186" s="95">
        <f ca="1">'Planning Engine'!K902</f>
        <v>0</v>
      </c>
      <c r="L186" s="12" t="str">
        <f ca="1">'Planning Engine'!L902</f>
        <v>Low</v>
      </c>
      <c r="M186" s="93">
        <f>'Planning Engine'!S902</f>
        <v>46023</v>
      </c>
      <c r="N186" s="95">
        <f>'Planning Engine'!T902</f>
        <v>0</v>
      </c>
      <c r="O186" s="94" t="s">
        <v>1934</v>
      </c>
      <c r="P186" s="12" t="str">
        <f t="shared" ca="1" si="5"/>
        <v>OK</v>
      </c>
    </row>
    <row r="187" spans="1:16" ht="13" customHeight="1" x14ac:dyDescent="0.35">
      <c r="A187" s="97">
        <v>46174</v>
      </c>
      <c r="B187" s="53" t="s">
        <v>54</v>
      </c>
      <c r="C187" s="12" t="str">
        <f>'Planning Engine'!C903</f>
        <v>Raw Material</v>
      </c>
      <c r="D187" s="12" t="str">
        <f>'Planning Engine'!D903</f>
        <v>kg</v>
      </c>
      <c r="E187" s="95">
        <f>'Planning Engine'!E903</f>
        <v>82.69</v>
      </c>
      <c r="F187" s="95">
        <f>'Planning Engine'!F903</f>
        <v>20.100000000000001</v>
      </c>
      <c r="G187" s="95">
        <f>'Planning Engine'!G903</f>
        <v>0</v>
      </c>
      <c r="H187" s="99">
        <f t="shared" si="4"/>
        <v>-20.100000000000001</v>
      </c>
      <c r="I187" s="95">
        <f>'Planning Engine'!H903</f>
        <v>62.589999999999996</v>
      </c>
      <c r="J187" s="96">
        <f ca="1">'Planning Engine'!J903</f>
        <v>4.6708955223880597</v>
      </c>
      <c r="K187" s="95">
        <f ca="1">'Planning Engine'!K903</f>
        <v>0</v>
      </c>
      <c r="L187" s="12" t="str">
        <f ca="1">'Planning Engine'!L903</f>
        <v>Low</v>
      </c>
      <c r="M187" s="93">
        <f>'Planning Engine'!S903</f>
        <v>46054</v>
      </c>
      <c r="N187" s="95">
        <f>'Planning Engine'!T903</f>
        <v>0</v>
      </c>
      <c r="O187" s="98" t="s">
        <v>1935</v>
      </c>
      <c r="P187" s="4" t="str">
        <f t="shared" ca="1" si="5"/>
        <v>OK</v>
      </c>
    </row>
    <row r="188" spans="1:16" ht="13" customHeight="1" x14ac:dyDescent="0.35">
      <c r="A188" s="93">
        <v>46204</v>
      </c>
      <c r="B188" s="61" t="s">
        <v>54</v>
      </c>
      <c r="C188" s="12" t="str">
        <f>'Planning Engine'!C904</f>
        <v>Raw Material</v>
      </c>
      <c r="D188" s="12" t="str">
        <f>'Planning Engine'!D904</f>
        <v>kg</v>
      </c>
      <c r="E188" s="95">
        <f>'Planning Engine'!E904</f>
        <v>62.589999999999996</v>
      </c>
      <c r="F188" s="95">
        <f>'Planning Engine'!F904</f>
        <v>6.7</v>
      </c>
      <c r="G188" s="95">
        <f>'Planning Engine'!G904</f>
        <v>0</v>
      </c>
      <c r="H188" s="95">
        <f t="shared" si="4"/>
        <v>-6.7</v>
      </c>
      <c r="I188" s="95">
        <f>'Planning Engine'!H904</f>
        <v>55.889999999999993</v>
      </c>
      <c r="J188" s="96">
        <f ca="1">'Planning Engine'!J904</f>
        <v>8.3417910447761177</v>
      </c>
      <c r="K188" s="95">
        <f ca="1">'Planning Engine'!K904</f>
        <v>0</v>
      </c>
      <c r="L188" s="12" t="str">
        <f ca="1">'Planning Engine'!L904</f>
        <v>Low</v>
      </c>
      <c r="M188" s="93">
        <f>'Planning Engine'!S904</f>
        <v>46082</v>
      </c>
      <c r="N188" s="95">
        <f>'Planning Engine'!T904</f>
        <v>0</v>
      </c>
      <c r="O188" s="94" t="s">
        <v>1936</v>
      </c>
      <c r="P188" s="12" t="str">
        <f t="shared" ca="1" si="5"/>
        <v>OK</v>
      </c>
    </row>
    <row r="189" spans="1:16" ht="13" customHeight="1" x14ac:dyDescent="0.35">
      <c r="A189" s="97">
        <v>46235</v>
      </c>
      <c r="B189" s="53" t="s">
        <v>54</v>
      </c>
      <c r="C189" s="12" t="str">
        <f>'Planning Engine'!C905</f>
        <v>Raw Material</v>
      </c>
      <c r="D189" s="12" t="str">
        <f>'Planning Engine'!D905</f>
        <v>kg</v>
      </c>
      <c r="E189" s="95">
        <f>'Planning Engine'!E905</f>
        <v>55.889999999999993</v>
      </c>
      <c r="F189" s="95">
        <f>'Planning Engine'!F905</f>
        <v>0</v>
      </c>
      <c r="G189" s="95">
        <f>'Planning Engine'!G905</f>
        <v>0</v>
      </c>
      <c r="H189" s="99">
        <f t="shared" si="4"/>
        <v>0</v>
      </c>
      <c r="I189" s="95">
        <f>'Planning Engine'!H905</f>
        <v>55.889999999999993</v>
      </c>
      <c r="J189" s="96">
        <f ca="1">'Planning Engine'!J905</f>
        <v>4.1708955223880588</v>
      </c>
      <c r="K189" s="95">
        <f ca="1">'Planning Engine'!K905</f>
        <v>0</v>
      </c>
      <c r="L189" s="12" t="str">
        <f ca="1">'Planning Engine'!L905</f>
        <v>Low</v>
      </c>
      <c r="M189" s="93">
        <f>'Planning Engine'!S905</f>
        <v>46113</v>
      </c>
      <c r="N189" s="95">
        <f>'Planning Engine'!T905</f>
        <v>0</v>
      </c>
      <c r="O189" s="98" t="s">
        <v>1937</v>
      </c>
      <c r="P189" s="4" t="str">
        <f t="shared" ca="1" si="5"/>
        <v>OK</v>
      </c>
    </row>
    <row r="190" spans="1:16" ht="13" customHeight="1" x14ac:dyDescent="0.35">
      <c r="A190" s="93">
        <v>46266</v>
      </c>
      <c r="B190" s="61" t="s">
        <v>54</v>
      </c>
      <c r="C190" s="12" t="str">
        <f>'Planning Engine'!C906</f>
        <v>Raw Material</v>
      </c>
      <c r="D190" s="12" t="str">
        <f>'Planning Engine'!D906</f>
        <v>kg</v>
      </c>
      <c r="E190" s="95">
        <f>'Planning Engine'!E906</f>
        <v>55.889999999999993</v>
      </c>
      <c r="F190" s="95">
        <f>'Planning Engine'!F906</f>
        <v>0</v>
      </c>
      <c r="G190" s="95">
        <f>'Planning Engine'!G906</f>
        <v>0</v>
      </c>
      <c r="H190" s="95">
        <f t="shared" si="4"/>
        <v>0</v>
      </c>
      <c r="I190" s="95">
        <f>'Planning Engine'!H906</f>
        <v>55.889999999999993</v>
      </c>
      <c r="J190" s="96">
        <f ca="1">'Planning Engine'!J906</f>
        <v>4.1708955223880588</v>
      </c>
      <c r="K190" s="95">
        <f ca="1">'Planning Engine'!K906</f>
        <v>0</v>
      </c>
      <c r="L190" s="12" t="str">
        <f ca="1">'Planning Engine'!L906</f>
        <v>Low</v>
      </c>
      <c r="M190" s="93">
        <f>'Planning Engine'!S906</f>
        <v>46143</v>
      </c>
      <c r="N190" s="95">
        <f>'Planning Engine'!T906</f>
        <v>0</v>
      </c>
      <c r="O190" s="94" t="s">
        <v>1938</v>
      </c>
      <c r="P190" s="12" t="str">
        <f t="shared" ca="1" si="5"/>
        <v>OK</v>
      </c>
    </row>
    <row r="191" spans="1:16" ht="13" customHeight="1" x14ac:dyDescent="0.35">
      <c r="A191" s="97">
        <v>46296</v>
      </c>
      <c r="B191" s="53" t="s">
        <v>54</v>
      </c>
      <c r="C191" s="12" t="str">
        <f>'Planning Engine'!C907</f>
        <v>Raw Material</v>
      </c>
      <c r="D191" s="12" t="str">
        <f>'Planning Engine'!D907</f>
        <v>kg</v>
      </c>
      <c r="E191" s="95">
        <f>'Planning Engine'!E907</f>
        <v>55.889999999999993</v>
      </c>
      <c r="F191" s="95">
        <f>'Planning Engine'!F907</f>
        <v>0</v>
      </c>
      <c r="G191" s="95">
        <f>'Planning Engine'!G907</f>
        <v>0</v>
      </c>
      <c r="H191" s="99">
        <f t="shared" si="4"/>
        <v>0</v>
      </c>
      <c r="I191" s="95">
        <f>'Planning Engine'!H907</f>
        <v>55.889999999999993</v>
      </c>
      <c r="J191" s="96">
        <f ca="1">'Planning Engine'!J907</f>
        <v>4.1708955223880588</v>
      </c>
      <c r="K191" s="95">
        <f ca="1">'Planning Engine'!K907</f>
        <v>0</v>
      </c>
      <c r="L191" s="12" t="str">
        <f ca="1">'Planning Engine'!L907</f>
        <v>Low</v>
      </c>
      <c r="M191" s="93">
        <f>'Planning Engine'!S907</f>
        <v>46174</v>
      </c>
      <c r="N191" s="95">
        <f>'Planning Engine'!T907</f>
        <v>0</v>
      </c>
      <c r="O191" s="98" t="s">
        <v>1939</v>
      </c>
      <c r="P191" s="4" t="str">
        <f t="shared" ca="1" si="5"/>
        <v>OK</v>
      </c>
    </row>
    <row r="192" spans="1:16" ht="13" customHeight="1" x14ac:dyDescent="0.35">
      <c r="A192" s="93">
        <v>46327</v>
      </c>
      <c r="B192" s="61" t="s">
        <v>54</v>
      </c>
      <c r="C192" s="12" t="str">
        <f>'Planning Engine'!C908</f>
        <v>Raw Material</v>
      </c>
      <c r="D192" s="12" t="str">
        <f>'Planning Engine'!D908</f>
        <v>kg</v>
      </c>
      <c r="E192" s="95">
        <f>'Planning Engine'!E908</f>
        <v>55.889999999999993</v>
      </c>
      <c r="F192" s="95">
        <f>'Planning Engine'!F908</f>
        <v>0</v>
      </c>
      <c r="G192" s="95">
        <f>'Planning Engine'!G908</f>
        <v>0</v>
      </c>
      <c r="H192" s="95">
        <f t="shared" si="4"/>
        <v>0</v>
      </c>
      <c r="I192" s="95">
        <f>'Planning Engine'!H908</f>
        <v>55.889999999999993</v>
      </c>
      <c r="J192" s="96">
        <f ca="1">'Planning Engine'!J908</f>
        <v>4.1708955223880588</v>
      </c>
      <c r="K192" s="95">
        <f ca="1">'Planning Engine'!K908</f>
        <v>0</v>
      </c>
      <c r="L192" s="12" t="str">
        <f ca="1">'Planning Engine'!L908</f>
        <v>Low</v>
      </c>
      <c r="M192" s="93">
        <f>'Planning Engine'!S908</f>
        <v>46204</v>
      </c>
      <c r="N192" s="95">
        <f>'Planning Engine'!T908</f>
        <v>0</v>
      </c>
      <c r="O192" s="94" t="s">
        <v>1940</v>
      </c>
      <c r="P192" s="12" t="str">
        <f t="shared" ca="1" si="5"/>
        <v>OK</v>
      </c>
    </row>
    <row r="193" spans="1:16" ht="13" customHeight="1" x14ac:dyDescent="0.35">
      <c r="A193" s="97">
        <v>46357</v>
      </c>
      <c r="B193" s="53" t="s">
        <v>54</v>
      </c>
      <c r="C193" s="12" t="str">
        <f>'Planning Engine'!C909</f>
        <v>Raw Material</v>
      </c>
      <c r="D193" s="12" t="str">
        <f>'Planning Engine'!D909</f>
        <v>kg</v>
      </c>
      <c r="E193" s="95">
        <f>'Planning Engine'!E909</f>
        <v>55.889999999999993</v>
      </c>
      <c r="F193" s="95">
        <f>'Planning Engine'!F909</f>
        <v>0</v>
      </c>
      <c r="G193" s="95">
        <f>'Planning Engine'!G909</f>
        <v>100</v>
      </c>
      <c r="H193" s="99">
        <f t="shared" si="4"/>
        <v>100</v>
      </c>
      <c r="I193" s="95">
        <f>'Planning Engine'!H909</f>
        <v>155.88999999999999</v>
      </c>
      <c r="J193" s="96">
        <f ca="1">'Planning Engine'!J909</f>
        <v>11.633582089552238</v>
      </c>
      <c r="K193" s="95">
        <f ca="1">'Planning Engine'!K909</f>
        <v>0</v>
      </c>
      <c r="L193" s="12" t="str">
        <f ca="1">'Planning Engine'!L909</f>
        <v>Low</v>
      </c>
      <c r="M193" s="93">
        <f>'Planning Engine'!S909</f>
        <v>46235</v>
      </c>
      <c r="N193" s="95">
        <f>'Planning Engine'!T909</f>
        <v>100</v>
      </c>
      <c r="O193" s="98" t="s">
        <v>1941</v>
      </c>
      <c r="P193" s="4" t="str">
        <f t="shared" ca="1" si="5"/>
        <v>OK</v>
      </c>
    </row>
    <row r="194" spans="1:16" ht="13" customHeight="1" x14ac:dyDescent="0.35">
      <c r="A194" s="93">
        <v>46388</v>
      </c>
      <c r="B194" s="61" t="s">
        <v>54</v>
      </c>
      <c r="C194" s="12" t="str">
        <f>'Planning Engine'!C910</f>
        <v>Raw Material</v>
      </c>
      <c r="D194" s="12" t="str">
        <f>'Planning Engine'!D910</f>
        <v>kg</v>
      </c>
      <c r="E194" s="95">
        <f>'Planning Engine'!E910</f>
        <v>155.88999999999999</v>
      </c>
      <c r="F194" s="95">
        <f>'Planning Engine'!F910</f>
        <v>0</v>
      </c>
      <c r="G194" s="95">
        <f>'Planning Engine'!G910</f>
        <v>0</v>
      </c>
      <c r="H194" s="95">
        <f t="shared" si="4"/>
        <v>0</v>
      </c>
      <c r="I194" s="95">
        <f>'Planning Engine'!H910</f>
        <v>155.88999999999999</v>
      </c>
      <c r="J194" s="96">
        <f ca="1">'Planning Engine'!J910</f>
        <v>11.633582089552238</v>
      </c>
      <c r="K194" s="95">
        <f ca="1">'Planning Engine'!K910</f>
        <v>0</v>
      </c>
      <c r="L194" s="12" t="str">
        <f ca="1">'Planning Engine'!L910</f>
        <v>Low</v>
      </c>
      <c r="M194" s="93">
        <f>'Planning Engine'!S910</f>
        <v>46266</v>
      </c>
      <c r="N194" s="95">
        <f>'Planning Engine'!T910</f>
        <v>0</v>
      </c>
      <c r="O194" s="94" t="s">
        <v>1942</v>
      </c>
      <c r="P194" s="12" t="str">
        <f t="shared" ca="1" si="5"/>
        <v>OK</v>
      </c>
    </row>
    <row r="195" spans="1:16" ht="13" customHeight="1" x14ac:dyDescent="0.35">
      <c r="A195" s="97">
        <v>46419</v>
      </c>
      <c r="B195" s="53" t="s">
        <v>54</v>
      </c>
      <c r="C195" s="12" t="str">
        <f>'Planning Engine'!C911</f>
        <v>Raw Material</v>
      </c>
      <c r="D195" s="12" t="str">
        <f>'Planning Engine'!D911</f>
        <v>kg</v>
      </c>
      <c r="E195" s="95">
        <f>'Planning Engine'!E911</f>
        <v>155.88999999999999</v>
      </c>
      <c r="F195" s="95">
        <f>'Planning Engine'!F911</f>
        <v>0</v>
      </c>
      <c r="G195" s="95">
        <f>'Planning Engine'!G911</f>
        <v>0</v>
      </c>
      <c r="H195" s="99">
        <f t="shared" si="4"/>
        <v>0</v>
      </c>
      <c r="I195" s="95">
        <f>'Planning Engine'!H911</f>
        <v>155.88999999999999</v>
      </c>
      <c r="J195" s="96">
        <f ca="1">'Planning Engine'!J911</f>
        <v>11.633582089552238</v>
      </c>
      <c r="K195" s="95">
        <f ca="1">'Planning Engine'!K911</f>
        <v>0</v>
      </c>
      <c r="L195" s="12" t="str">
        <f ca="1">'Planning Engine'!L911</f>
        <v>Low</v>
      </c>
      <c r="M195" s="93">
        <f>'Planning Engine'!S911</f>
        <v>46296</v>
      </c>
      <c r="N195" s="95">
        <f>'Planning Engine'!T911</f>
        <v>0</v>
      </c>
      <c r="O195" s="98" t="s">
        <v>1943</v>
      </c>
      <c r="P195" s="4" t="str">
        <f t="shared" ca="1" si="5"/>
        <v>OK</v>
      </c>
    </row>
    <row r="196" spans="1:16" ht="13" customHeight="1" x14ac:dyDescent="0.35">
      <c r="A196" s="93">
        <v>46447</v>
      </c>
      <c r="B196" s="61" t="s">
        <v>54</v>
      </c>
      <c r="C196" s="12" t="str">
        <f>'Planning Engine'!C912</f>
        <v>Raw Material</v>
      </c>
      <c r="D196" s="12" t="str">
        <f>'Planning Engine'!D912</f>
        <v>kg</v>
      </c>
      <c r="E196" s="95">
        <f>'Planning Engine'!E912</f>
        <v>155.88999999999999</v>
      </c>
      <c r="F196" s="95">
        <f>'Planning Engine'!F912</f>
        <v>0</v>
      </c>
      <c r="G196" s="95">
        <f>'Planning Engine'!G912</f>
        <v>75</v>
      </c>
      <c r="H196" s="95">
        <f t="shared" ref="H196:H259" si="6">G196-F196</f>
        <v>75</v>
      </c>
      <c r="I196" s="95">
        <f>'Planning Engine'!H912</f>
        <v>230.89</v>
      </c>
      <c r="J196" s="96">
        <f ca="1">'Planning Engine'!J912</f>
        <v>17.230597014925372</v>
      </c>
      <c r="K196" s="95">
        <f ca="1">'Planning Engine'!K912</f>
        <v>0</v>
      </c>
      <c r="L196" s="12" t="str">
        <f ca="1">'Planning Engine'!L912</f>
        <v>Overstock</v>
      </c>
      <c r="M196" s="93">
        <f>'Planning Engine'!S912</f>
        <v>46327</v>
      </c>
      <c r="N196" s="95">
        <f>'Planning Engine'!T912</f>
        <v>75</v>
      </c>
      <c r="O196" s="94" t="s">
        <v>1944</v>
      </c>
      <c r="P196" s="12" t="str">
        <f t="shared" ref="P196:P259" ca="1" si="7">IFERROR(IF(L196="High","⚠ Expedite / qualify alternate source",IF(L196="Medium","Monitor — plan additional POs",IF(L196="Overstock","Defer receipts","OK"))),"--")</f>
        <v>Defer receipts</v>
      </c>
    </row>
    <row r="197" spans="1:16" ht="13" customHeight="1" x14ac:dyDescent="0.35">
      <c r="A197" s="97">
        <v>46478</v>
      </c>
      <c r="B197" s="53" t="s">
        <v>54</v>
      </c>
      <c r="C197" s="12" t="str">
        <f>'Planning Engine'!C913</f>
        <v>Raw Material</v>
      </c>
      <c r="D197" s="12" t="str">
        <f>'Planning Engine'!D913</f>
        <v>kg</v>
      </c>
      <c r="E197" s="95">
        <f>'Planning Engine'!E913</f>
        <v>230.89</v>
      </c>
      <c r="F197" s="95">
        <f>'Planning Engine'!F913</f>
        <v>13.4</v>
      </c>
      <c r="G197" s="95">
        <f>'Planning Engine'!G913</f>
        <v>0</v>
      </c>
      <c r="H197" s="99">
        <f t="shared" si="6"/>
        <v>-13.4</v>
      </c>
      <c r="I197" s="95">
        <f>'Planning Engine'!H913</f>
        <v>217.48999999999998</v>
      </c>
      <c r="J197" s="96">
        <f ca="1">'Planning Engine'!J913</f>
        <v>16.230597014925372</v>
      </c>
      <c r="K197" s="95">
        <f ca="1">'Planning Engine'!K913</f>
        <v>0</v>
      </c>
      <c r="L197" s="12" t="str">
        <f ca="1">'Planning Engine'!L913</f>
        <v>Overstock</v>
      </c>
      <c r="M197" s="93">
        <f>'Planning Engine'!S913</f>
        <v>46357</v>
      </c>
      <c r="N197" s="95">
        <f>'Planning Engine'!T913</f>
        <v>0</v>
      </c>
      <c r="O197" s="98" t="s">
        <v>1945</v>
      </c>
      <c r="P197" s="4" t="str">
        <f t="shared" ca="1" si="7"/>
        <v>Defer receipts</v>
      </c>
    </row>
    <row r="198" spans="1:16" ht="13" customHeight="1" x14ac:dyDescent="0.35">
      <c r="A198" s="93">
        <v>46508</v>
      </c>
      <c r="B198" s="61" t="s">
        <v>54</v>
      </c>
      <c r="C198" s="12" t="str">
        <f>'Planning Engine'!C914</f>
        <v>Raw Material</v>
      </c>
      <c r="D198" s="12" t="str">
        <f>'Planning Engine'!D914</f>
        <v>kg</v>
      </c>
      <c r="E198" s="95">
        <f>'Planning Engine'!E914</f>
        <v>217.48999999999998</v>
      </c>
      <c r="F198" s="95">
        <f>'Planning Engine'!F914</f>
        <v>13.4</v>
      </c>
      <c r="G198" s="95">
        <f>'Planning Engine'!G914</f>
        <v>0</v>
      </c>
      <c r="H198" s="95">
        <f t="shared" si="6"/>
        <v>-13.4</v>
      </c>
      <c r="I198" s="95">
        <f>'Planning Engine'!H914</f>
        <v>204.08999999999997</v>
      </c>
      <c r="J198" s="96">
        <f ca="1">'Planning Engine'!J914</f>
        <v>15.230597014925371</v>
      </c>
      <c r="K198" s="95">
        <f ca="1">'Planning Engine'!K914</f>
        <v>0</v>
      </c>
      <c r="L198" s="12" t="str">
        <f ca="1">'Planning Engine'!L914</f>
        <v>Overstock</v>
      </c>
      <c r="M198" s="93">
        <f>'Planning Engine'!S914</f>
        <v>46388</v>
      </c>
      <c r="N198" s="95">
        <f>'Planning Engine'!T914</f>
        <v>0</v>
      </c>
      <c r="O198" s="94" t="s">
        <v>1946</v>
      </c>
      <c r="P198" s="12" t="str">
        <f t="shared" ca="1" si="7"/>
        <v>Defer receipts</v>
      </c>
    </row>
    <row r="199" spans="1:16" ht="13" customHeight="1" x14ac:dyDescent="0.35">
      <c r="A199" s="97">
        <v>46539</v>
      </c>
      <c r="B199" s="53" t="s">
        <v>54</v>
      </c>
      <c r="C199" s="12" t="str">
        <f>'Planning Engine'!C915</f>
        <v>Raw Material</v>
      </c>
      <c r="D199" s="12" t="str">
        <f>'Planning Engine'!D915</f>
        <v>kg</v>
      </c>
      <c r="E199" s="95">
        <f>'Planning Engine'!E915</f>
        <v>204.08999999999997</v>
      </c>
      <c r="F199" s="95">
        <f>'Planning Engine'!F915</f>
        <v>13.4</v>
      </c>
      <c r="G199" s="95">
        <f>'Planning Engine'!G915</f>
        <v>0</v>
      </c>
      <c r="H199" s="99">
        <f t="shared" si="6"/>
        <v>-13.4</v>
      </c>
      <c r="I199" s="95">
        <f>'Planning Engine'!H915</f>
        <v>190.68999999999997</v>
      </c>
      <c r="J199" s="96">
        <f ca="1">'Planning Engine'!J915</f>
        <v>14.230597014925371</v>
      </c>
      <c r="K199" s="95">
        <f ca="1">'Planning Engine'!K915</f>
        <v>0</v>
      </c>
      <c r="L199" s="12" t="str">
        <f ca="1">'Planning Engine'!L915</f>
        <v>Overstock</v>
      </c>
      <c r="M199" s="93">
        <f>'Planning Engine'!S915</f>
        <v>46419</v>
      </c>
      <c r="N199" s="95">
        <f>'Planning Engine'!T915</f>
        <v>0</v>
      </c>
      <c r="O199" s="98" t="s">
        <v>1947</v>
      </c>
      <c r="P199" s="4" t="str">
        <f t="shared" ca="1" si="7"/>
        <v>Defer receipts</v>
      </c>
    </row>
    <row r="200" spans="1:16" ht="13" customHeight="1" x14ac:dyDescent="0.35">
      <c r="A200" s="93">
        <v>46569</v>
      </c>
      <c r="B200" s="61" t="s">
        <v>54</v>
      </c>
      <c r="C200" s="12" t="str">
        <f>'Planning Engine'!C916</f>
        <v>Raw Material</v>
      </c>
      <c r="D200" s="12" t="str">
        <f>'Planning Engine'!D916</f>
        <v>kg</v>
      </c>
      <c r="E200" s="95">
        <f>'Planning Engine'!E916</f>
        <v>190.68999999999997</v>
      </c>
      <c r="F200" s="95">
        <f>'Planning Engine'!F916</f>
        <v>13.4</v>
      </c>
      <c r="G200" s="95">
        <f>'Planning Engine'!G916</f>
        <v>0</v>
      </c>
      <c r="H200" s="95">
        <f t="shared" si="6"/>
        <v>-13.4</v>
      </c>
      <c r="I200" s="95">
        <f>'Planning Engine'!H916</f>
        <v>177.28999999999996</v>
      </c>
      <c r="J200" s="96">
        <f ca="1">'Planning Engine'!J916</f>
        <v>13.230597014925371</v>
      </c>
      <c r="K200" s="95">
        <f ca="1">'Planning Engine'!K916</f>
        <v>0</v>
      </c>
      <c r="L200" s="12" t="str">
        <f ca="1">'Planning Engine'!L916</f>
        <v>Overstock</v>
      </c>
      <c r="M200" s="93">
        <f>'Planning Engine'!S916</f>
        <v>46447</v>
      </c>
      <c r="N200" s="95">
        <f>'Planning Engine'!T916</f>
        <v>0</v>
      </c>
      <c r="O200" s="94" t="s">
        <v>1948</v>
      </c>
      <c r="P200" s="12" t="str">
        <f t="shared" ca="1" si="7"/>
        <v>Defer receipts</v>
      </c>
    </row>
    <row r="201" spans="1:16" ht="13" customHeight="1" x14ac:dyDescent="0.35">
      <c r="A201" s="97">
        <v>46600</v>
      </c>
      <c r="B201" s="53" t="s">
        <v>54</v>
      </c>
      <c r="C201" s="12" t="str">
        <f>'Planning Engine'!C917</f>
        <v>Raw Material</v>
      </c>
      <c r="D201" s="12" t="str">
        <f>'Planning Engine'!D917</f>
        <v>kg</v>
      </c>
      <c r="E201" s="95">
        <f>'Planning Engine'!E917</f>
        <v>177.28999999999996</v>
      </c>
      <c r="F201" s="95">
        <f>'Planning Engine'!F917</f>
        <v>0</v>
      </c>
      <c r="G201" s="95">
        <f>'Planning Engine'!G917</f>
        <v>0</v>
      </c>
      <c r="H201" s="99">
        <f t="shared" si="6"/>
        <v>0</v>
      </c>
      <c r="I201" s="95">
        <f>'Planning Engine'!H917</f>
        <v>177.28999999999996</v>
      </c>
      <c r="J201" s="96">
        <f ca="1">'Planning Engine'!J917</f>
        <v>999</v>
      </c>
      <c r="K201" s="95">
        <f ca="1">'Planning Engine'!K917</f>
        <v>0</v>
      </c>
      <c r="L201" s="12" t="str">
        <f ca="1">'Planning Engine'!L917</f>
        <v>Overstock</v>
      </c>
      <c r="M201" s="93">
        <f>'Planning Engine'!S917</f>
        <v>46478</v>
      </c>
      <c r="N201" s="95">
        <f>'Planning Engine'!T917</f>
        <v>0</v>
      </c>
      <c r="O201" s="98" t="s">
        <v>1949</v>
      </c>
      <c r="P201" s="4" t="str">
        <f t="shared" ca="1" si="7"/>
        <v>Defer receipts</v>
      </c>
    </row>
    <row r="202" spans="1:16" ht="13" customHeight="1" x14ac:dyDescent="0.35">
      <c r="A202" s="93">
        <v>46631</v>
      </c>
      <c r="B202" s="61" t="s">
        <v>54</v>
      </c>
      <c r="C202" s="12" t="str">
        <f>'Planning Engine'!C918</f>
        <v>Raw Material</v>
      </c>
      <c r="D202" s="12" t="str">
        <f>'Planning Engine'!D918</f>
        <v>kg</v>
      </c>
      <c r="E202" s="95">
        <f>'Planning Engine'!E918</f>
        <v>177.28999999999996</v>
      </c>
      <c r="F202" s="95">
        <f>'Planning Engine'!F918</f>
        <v>0</v>
      </c>
      <c r="G202" s="95">
        <f>'Planning Engine'!G918</f>
        <v>0</v>
      </c>
      <c r="H202" s="95">
        <f t="shared" si="6"/>
        <v>0</v>
      </c>
      <c r="I202" s="95">
        <f>'Planning Engine'!H918</f>
        <v>177.28999999999996</v>
      </c>
      <c r="J202" s="96">
        <f ca="1">'Planning Engine'!J918</f>
        <v>999</v>
      </c>
      <c r="K202" s="95">
        <f ca="1">'Planning Engine'!K918</f>
        <v>0</v>
      </c>
      <c r="L202" s="12" t="str">
        <f ca="1">'Planning Engine'!L918</f>
        <v>Overstock</v>
      </c>
      <c r="M202" s="93">
        <f>'Planning Engine'!S918</f>
        <v>46508</v>
      </c>
      <c r="N202" s="95">
        <f>'Planning Engine'!T918</f>
        <v>0</v>
      </c>
      <c r="O202" s="94" t="s">
        <v>1950</v>
      </c>
      <c r="P202" s="12" t="str">
        <f t="shared" ca="1" si="7"/>
        <v>Defer receipts</v>
      </c>
    </row>
    <row r="203" spans="1:16" ht="13" customHeight="1" x14ac:dyDescent="0.35">
      <c r="A203" s="97">
        <v>46661</v>
      </c>
      <c r="B203" s="53" t="s">
        <v>54</v>
      </c>
      <c r="C203" s="12" t="str">
        <f>'Planning Engine'!C919</f>
        <v>Raw Material</v>
      </c>
      <c r="D203" s="12" t="str">
        <f>'Planning Engine'!D919</f>
        <v>kg</v>
      </c>
      <c r="E203" s="95">
        <f>'Planning Engine'!E919</f>
        <v>177.28999999999996</v>
      </c>
      <c r="F203" s="95">
        <f>'Planning Engine'!F919</f>
        <v>0</v>
      </c>
      <c r="G203" s="95">
        <f>'Planning Engine'!G919</f>
        <v>0</v>
      </c>
      <c r="H203" s="99">
        <f t="shared" si="6"/>
        <v>0</v>
      </c>
      <c r="I203" s="95">
        <f>'Planning Engine'!H919</f>
        <v>177.28999999999996</v>
      </c>
      <c r="J203" s="96">
        <f ca="1">'Planning Engine'!J919</f>
        <v>999</v>
      </c>
      <c r="K203" s="95">
        <f ca="1">'Planning Engine'!K919</f>
        <v>0</v>
      </c>
      <c r="L203" s="12" t="str">
        <f ca="1">'Planning Engine'!L919</f>
        <v>Overstock</v>
      </c>
      <c r="M203" s="93">
        <f>'Planning Engine'!S919</f>
        <v>46539</v>
      </c>
      <c r="N203" s="95">
        <f>'Planning Engine'!T919</f>
        <v>0</v>
      </c>
      <c r="O203" s="98" t="s">
        <v>1951</v>
      </c>
      <c r="P203" s="4" t="str">
        <f t="shared" ca="1" si="7"/>
        <v>Defer receipts</v>
      </c>
    </row>
    <row r="204" spans="1:16" ht="13" customHeight="1" x14ac:dyDescent="0.35">
      <c r="A204" s="93">
        <v>46692</v>
      </c>
      <c r="B204" s="61" t="s">
        <v>54</v>
      </c>
      <c r="C204" s="12" t="str">
        <f>'Planning Engine'!C920</f>
        <v>Raw Material</v>
      </c>
      <c r="D204" s="12" t="str">
        <f>'Planning Engine'!D920</f>
        <v>kg</v>
      </c>
      <c r="E204" s="95">
        <f>'Planning Engine'!E920</f>
        <v>177.28999999999996</v>
      </c>
      <c r="F204" s="95">
        <f>'Planning Engine'!F920</f>
        <v>0</v>
      </c>
      <c r="G204" s="95">
        <f>'Planning Engine'!G920</f>
        <v>0</v>
      </c>
      <c r="H204" s="95">
        <f t="shared" si="6"/>
        <v>0</v>
      </c>
      <c r="I204" s="95">
        <f>'Planning Engine'!H920</f>
        <v>177.28999999999996</v>
      </c>
      <c r="J204" s="96">
        <f ca="1">'Planning Engine'!J920</f>
        <v>999</v>
      </c>
      <c r="K204" s="95">
        <f ca="1">'Planning Engine'!K920</f>
        <v>0</v>
      </c>
      <c r="L204" s="12" t="str">
        <f ca="1">'Planning Engine'!L920</f>
        <v>Overstock</v>
      </c>
      <c r="M204" s="93">
        <f>'Planning Engine'!S920</f>
        <v>46569</v>
      </c>
      <c r="N204" s="95">
        <f>'Planning Engine'!T920</f>
        <v>0</v>
      </c>
      <c r="O204" s="94" t="s">
        <v>1952</v>
      </c>
      <c r="P204" s="12" t="str">
        <f t="shared" ca="1" si="7"/>
        <v>Defer receipts</v>
      </c>
    </row>
    <row r="205" spans="1:16" ht="13" customHeight="1" x14ac:dyDescent="0.35">
      <c r="A205" s="97">
        <v>46722</v>
      </c>
      <c r="B205" s="53" t="s">
        <v>54</v>
      </c>
      <c r="C205" s="12" t="str">
        <f>'Planning Engine'!C921</f>
        <v>Raw Material</v>
      </c>
      <c r="D205" s="12" t="str">
        <f>'Planning Engine'!D921</f>
        <v>kg</v>
      </c>
      <c r="E205" s="95">
        <f>'Planning Engine'!E921</f>
        <v>177.28999999999996</v>
      </c>
      <c r="F205" s="95">
        <f>'Planning Engine'!F921</f>
        <v>0</v>
      </c>
      <c r="G205" s="95">
        <f>'Planning Engine'!G921</f>
        <v>0</v>
      </c>
      <c r="H205" s="99">
        <f t="shared" si="6"/>
        <v>0</v>
      </c>
      <c r="I205" s="95">
        <f>'Planning Engine'!H921</f>
        <v>177.28999999999996</v>
      </c>
      <c r="J205" s="96">
        <f ca="1">'Planning Engine'!J921</f>
        <v>999</v>
      </c>
      <c r="K205" s="95">
        <f ca="1">'Planning Engine'!K921</f>
        <v>0</v>
      </c>
      <c r="L205" s="12" t="str">
        <f ca="1">'Planning Engine'!L921</f>
        <v>Overstock</v>
      </c>
      <c r="M205" s="93">
        <f>'Planning Engine'!S921</f>
        <v>46600</v>
      </c>
      <c r="N205" s="95">
        <f>'Planning Engine'!T921</f>
        <v>0</v>
      </c>
      <c r="O205" s="98" t="s">
        <v>1953</v>
      </c>
      <c r="P205" s="4" t="str">
        <f t="shared" ca="1" si="7"/>
        <v>Defer receipts</v>
      </c>
    </row>
    <row r="206" spans="1:16" ht="13" customHeight="1" x14ac:dyDescent="0.35">
      <c r="A206" s="93">
        <v>46753</v>
      </c>
      <c r="B206" s="61" t="s">
        <v>54</v>
      </c>
      <c r="C206" s="12" t="str">
        <f>'Planning Engine'!C922</f>
        <v>Raw Material</v>
      </c>
      <c r="D206" s="12" t="str">
        <f>'Planning Engine'!D922</f>
        <v>kg</v>
      </c>
      <c r="E206" s="95">
        <f>'Planning Engine'!E922</f>
        <v>177.28999999999996</v>
      </c>
      <c r="F206" s="95">
        <f>'Planning Engine'!F922</f>
        <v>0</v>
      </c>
      <c r="G206" s="95">
        <f>'Planning Engine'!G922</f>
        <v>0</v>
      </c>
      <c r="H206" s="95">
        <f t="shared" si="6"/>
        <v>0</v>
      </c>
      <c r="I206" s="95">
        <f>'Planning Engine'!H922</f>
        <v>177.28999999999996</v>
      </c>
      <c r="J206" s="96">
        <f ca="1">'Planning Engine'!J922</f>
        <v>999</v>
      </c>
      <c r="K206" s="95">
        <f ca="1">'Planning Engine'!K922</f>
        <v>0</v>
      </c>
      <c r="L206" s="12" t="str">
        <f ca="1">'Planning Engine'!L922</f>
        <v>Overstock</v>
      </c>
      <c r="M206" s="93">
        <f>'Planning Engine'!S922</f>
        <v>46631</v>
      </c>
      <c r="N206" s="95">
        <f>'Planning Engine'!T922</f>
        <v>0</v>
      </c>
      <c r="O206" s="94" t="s">
        <v>1954</v>
      </c>
      <c r="P206" s="12" t="str">
        <f t="shared" ca="1" si="7"/>
        <v>Defer receipts</v>
      </c>
    </row>
    <row r="207" spans="1:16" ht="13" customHeight="1" x14ac:dyDescent="0.35">
      <c r="A207" s="97">
        <v>46784</v>
      </c>
      <c r="B207" s="53" t="s">
        <v>54</v>
      </c>
      <c r="C207" s="12" t="str">
        <f>'Planning Engine'!C923</f>
        <v>Raw Material</v>
      </c>
      <c r="D207" s="12" t="str">
        <f>'Planning Engine'!D923</f>
        <v>kg</v>
      </c>
      <c r="E207" s="95">
        <f>'Planning Engine'!E923</f>
        <v>177.28999999999996</v>
      </c>
      <c r="F207" s="95">
        <f>'Planning Engine'!F923</f>
        <v>0</v>
      </c>
      <c r="G207" s="95">
        <f>'Planning Engine'!G923</f>
        <v>0</v>
      </c>
      <c r="H207" s="99">
        <f t="shared" si="6"/>
        <v>0</v>
      </c>
      <c r="I207" s="95">
        <f>'Planning Engine'!H923</f>
        <v>177.28999999999996</v>
      </c>
      <c r="J207" s="96">
        <f ca="1">'Planning Engine'!J923</f>
        <v>999</v>
      </c>
      <c r="K207" s="95">
        <f ca="1">'Planning Engine'!K923</f>
        <v>0</v>
      </c>
      <c r="L207" s="12" t="str">
        <f ca="1">'Planning Engine'!L923</f>
        <v>Overstock</v>
      </c>
      <c r="M207" s="93">
        <f>'Planning Engine'!S923</f>
        <v>46661</v>
      </c>
      <c r="N207" s="95">
        <f>'Planning Engine'!T923</f>
        <v>0</v>
      </c>
      <c r="O207" s="98" t="s">
        <v>1955</v>
      </c>
      <c r="P207" s="4" t="str">
        <f t="shared" ca="1" si="7"/>
        <v>Defer receipts</v>
      </c>
    </row>
    <row r="208" spans="1:16" ht="13" customHeight="1" x14ac:dyDescent="0.35">
      <c r="A208" s="93">
        <v>46813</v>
      </c>
      <c r="B208" s="61" t="s">
        <v>54</v>
      </c>
      <c r="C208" s="12" t="str">
        <f>'Planning Engine'!C924</f>
        <v>Raw Material</v>
      </c>
      <c r="D208" s="12" t="str">
        <f>'Planning Engine'!D924</f>
        <v>kg</v>
      </c>
      <c r="E208" s="95">
        <f>'Planning Engine'!E924</f>
        <v>177.28999999999996</v>
      </c>
      <c r="F208" s="95">
        <f>'Planning Engine'!F924</f>
        <v>0</v>
      </c>
      <c r="G208" s="95">
        <f>'Planning Engine'!G924</f>
        <v>0</v>
      </c>
      <c r="H208" s="95">
        <f t="shared" si="6"/>
        <v>0</v>
      </c>
      <c r="I208" s="95">
        <f>'Planning Engine'!H924</f>
        <v>177.28999999999996</v>
      </c>
      <c r="J208" s="96">
        <f ca="1">'Planning Engine'!J924</f>
        <v>999</v>
      </c>
      <c r="K208" s="95">
        <f ca="1">'Planning Engine'!K924</f>
        <v>0</v>
      </c>
      <c r="L208" s="12" t="str">
        <f ca="1">'Planning Engine'!L924</f>
        <v>Overstock</v>
      </c>
      <c r="M208" s="93">
        <f>'Planning Engine'!S924</f>
        <v>46692</v>
      </c>
      <c r="N208" s="95">
        <f>'Planning Engine'!T924</f>
        <v>0</v>
      </c>
      <c r="O208" s="94" t="s">
        <v>1956</v>
      </c>
      <c r="P208" s="12" t="str">
        <f t="shared" ca="1" si="7"/>
        <v>Defer receipts</v>
      </c>
    </row>
    <row r="209" spans="1:16" ht="13" customHeight="1" x14ac:dyDescent="0.35">
      <c r="A209" s="97">
        <v>46844</v>
      </c>
      <c r="B209" s="53" t="s">
        <v>54</v>
      </c>
      <c r="C209" s="12" t="str">
        <f>'Planning Engine'!C925</f>
        <v>Raw Material</v>
      </c>
      <c r="D209" s="12" t="str">
        <f>'Planning Engine'!D925</f>
        <v>kg</v>
      </c>
      <c r="E209" s="95">
        <f>'Planning Engine'!E925</f>
        <v>177.28999999999996</v>
      </c>
      <c r="F209" s="95">
        <f>'Planning Engine'!F925</f>
        <v>0</v>
      </c>
      <c r="G209" s="95">
        <f>'Planning Engine'!G925</f>
        <v>0</v>
      </c>
      <c r="H209" s="99">
        <f t="shared" si="6"/>
        <v>0</v>
      </c>
      <c r="I209" s="95">
        <f>'Planning Engine'!H925</f>
        <v>177.28999999999996</v>
      </c>
      <c r="J209" s="96">
        <f ca="1">'Planning Engine'!J925</f>
        <v>999</v>
      </c>
      <c r="K209" s="95">
        <f ca="1">'Planning Engine'!K925</f>
        <v>0</v>
      </c>
      <c r="L209" s="12" t="str">
        <f ca="1">'Planning Engine'!L925</f>
        <v>Overstock</v>
      </c>
      <c r="M209" s="93">
        <f>'Planning Engine'!S925</f>
        <v>46722</v>
      </c>
      <c r="N209" s="95">
        <f>'Planning Engine'!T925</f>
        <v>0</v>
      </c>
      <c r="O209" s="98" t="s">
        <v>1957</v>
      </c>
      <c r="P209" s="4" t="str">
        <f t="shared" ca="1" si="7"/>
        <v>Defer receipts</v>
      </c>
    </row>
    <row r="210" spans="1:16" ht="13" customHeight="1" x14ac:dyDescent="0.35">
      <c r="A210" s="93">
        <v>46874</v>
      </c>
      <c r="B210" s="61" t="s">
        <v>54</v>
      </c>
      <c r="C210" s="12" t="str">
        <f>'Planning Engine'!C926</f>
        <v>Raw Material</v>
      </c>
      <c r="D210" s="12" t="str">
        <f>'Planning Engine'!D926</f>
        <v>kg</v>
      </c>
      <c r="E210" s="95">
        <f>'Planning Engine'!E926</f>
        <v>177.28999999999996</v>
      </c>
      <c r="F210" s="95">
        <f>'Planning Engine'!F926</f>
        <v>0</v>
      </c>
      <c r="G210" s="95">
        <f>'Planning Engine'!G926</f>
        <v>0</v>
      </c>
      <c r="H210" s="95">
        <f t="shared" si="6"/>
        <v>0</v>
      </c>
      <c r="I210" s="95">
        <f>'Planning Engine'!H926</f>
        <v>177.28999999999996</v>
      </c>
      <c r="J210" s="96">
        <f ca="1">'Planning Engine'!J926</f>
        <v>999</v>
      </c>
      <c r="K210" s="95">
        <f ca="1">'Planning Engine'!K926</f>
        <v>0</v>
      </c>
      <c r="L210" s="12" t="str">
        <f ca="1">'Planning Engine'!L926</f>
        <v>Overstock</v>
      </c>
      <c r="M210" s="93">
        <f>'Planning Engine'!S926</f>
        <v>46753</v>
      </c>
      <c r="N210" s="95">
        <f>'Planning Engine'!T926</f>
        <v>0</v>
      </c>
      <c r="O210" s="94" t="s">
        <v>1958</v>
      </c>
      <c r="P210" s="12" t="str">
        <f t="shared" ca="1" si="7"/>
        <v>Defer receipts</v>
      </c>
    </row>
    <row r="211" spans="1:16" ht="13" customHeight="1" x14ac:dyDescent="0.35">
      <c r="A211" s="97">
        <v>46905</v>
      </c>
      <c r="B211" s="53" t="s">
        <v>54</v>
      </c>
      <c r="C211" s="12" t="str">
        <f>'Planning Engine'!C927</f>
        <v>Raw Material</v>
      </c>
      <c r="D211" s="12" t="str">
        <f>'Planning Engine'!D927</f>
        <v>kg</v>
      </c>
      <c r="E211" s="95">
        <f>'Planning Engine'!E927</f>
        <v>177.28999999999996</v>
      </c>
      <c r="F211" s="95">
        <f>'Planning Engine'!F927</f>
        <v>0</v>
      </c>
      <c r="G211" s="95">
        <f>'Planning Engine'!G927</f>
        <v>0</v>
      </c>
      <c r="H211" s="99">
        <f t="shared" si="6"/>
        <v>0</v>
      </c>
      <c r="I211" s="95">
        <f>'Planning Engine'!H927</f>
        <v>177.28999999999996</v>
      </c>
      <c r="J211" s="96">
        <f ca="1">'Planning Engine'!J927</f>
        <v>999</v>
      </c>
      <c r="K211" s="95">
        <f ca="1">'Planning Engine'!K927</f>
        <v>0</v>
      </c>
      <c r="L211" s="12" t="str">
        <f ca="1">'Planning Engine'!L927</f>
        <v>Overstock</v>
      </c>
      <c r="M211" s="93">
        <f>'Planning Engine'!S927</f>
        <v>46784</v>
      </c>
      <c r="N211" s="95">
        <f>'Planning Engine'!T927</f>
        <v>0</v>
      </c>
      <c r="O211" s="98" t="s">
        <v>1959</v>
      </c>
      <c r="P211" s="4" t="str">
        <f t="shared" ca="1" si="7"/>
        <v>Defer receipts</v>
      </c>
    </row>
    <row r="212" spans="1:16" ht="13" customHeight="1" x14ac:dyDescent="0.35">
      <c r="A212" s="93">
        <v>46935</v>
      </c>
      <c r="B212" s="61" t="s">
        <v>54</v>
      </c>
      <c r="C212" s="12" t="str">
        <f>'Planning Engine'!C928</f>
        <v>Raw Material</v>
      </c>
      <c r="D212" s="12" t="str">
        <f>'Planning Engine'!D928</f>
        <v>kg</v>
      </c>
      <c r="E212" s="95">
        <f>'Planning Engine'!E928</f>
        <v>177.28999999999996</v>
      </c>
      <c r="F212" s="95">
        <f>'Planning Engine'!F928</f>
        <v>0</v>
      </c>
      <c r="G212" s="95">
        <f>'Planning Engine'!G928</f>
        <v>0</v>
      </c>
      <c r="H212" s="95">
        <f t="shared" si="6"/>
        <v>0</v>
      </c>
      <c r="I212" s="95">
        <f>'Planning Engine'!H928</f>
        <v>177.28999999999996</v>
      </c>
      <c r="J212" s="96">
        <f ca="1">'Planning Engine'!J928</f>
        <v>999</v>
      </c>
      <c r="K212" s="95">
        <f ca="1">'Planning Engine'!K928</f>
        <v>0</v>
      </c>
      <c r="L212" s="12" t="str">
        <f ca="1">'Planning Engine'!L928</f>
        <v>Overstock</v>
      </c>
      <c r="M212" s="93">
        <f>'Planning Engine'!S928</f>
        <v>46813</v>
      </c>
      <c r="N212" s="95">
        <f>'Planning Engine'!T928</f>
        <v>0</v>
      </c>
      <c r="O212" s="94" t="s">
        <v>1960</v>
      </c>
      <c r="P212" s="12" t="str">
        <f t="shared" ca="1" si="7"/>
        <v>Defer receipts</v>
      </c>
    </row>
    <row r="213" spans="1:16" ht="13" customHeight="1" x14ac:dyDescent="0.35">
      <c r="A213" s="97">
        <v>46966</v>
      </c>
      <c r="B213" s="53" t="s">
        <v>54</v>
      </c>
      <c r="C213" s="12" t="str">
        <f>'Planning Engine'!C929</f>
        <v>Raw Material</v>
      </c>
      <c r="D213" s="12" t="str">
        <f>'Planning Engine'!D929</f>
        <v>kg</v>
      </c>
      <c r="E213" s="95">
        <f>'Planning Engine'!E929</f>
        <v>177.28999999999996</v>
      </c>
      <c r="F213" s="95">
        <f>'Planning Engine'!F929</f>
        <v>0</v>
      </c>
      <c r="G213" s="95">
        <f>'Planning Engine'!G929</f>
        <v>0</v>
      </c>
      <c r="H213" s="99">
        <f t="shared" si="6"/>
        <v>0</v>
      </c>
      <c r="I213" s="95">
        <f>'Planning Engine'!H929</f>
        <v>177.28999999999996</v>
      </c>
      <c r="J213" s="96">
        <f ca="1">'Planning Engine'!J929</f>
        <v>999</v>
      </c>
      <c r="K213" s="95">
        <f ca="1">'Planning Engine'!K929</f>
        <v>0</v>
      </c>
      <c r="L213" s="12" t="str">
        <f ca="1">'Planning Engine'!L929</f>
        <v>Overstock</v>
      </c>
      <c r="M213" s="93">
        <f>'Planning Engine'!S929</f>
        <v>46844</v>
      </c>
      <c r="N213" s="95">
        <f>'Planning Engine'!T929</f>
        <v>0</v>
      </c>
      <c r="O213" s="98" t="s">
        <v>1961</v>
      </c>
      <c r="P213" s="4" t="str">
        <f t="shared" ca="1" si="7"/>
        <v>Defer receipts</v>
      </c>
    </row>
    <row r="214" spans="1:16" ht="13" customHeight="1" x14ac:dyDescent="0.35">
      <c r="A214" s="93">
        <v>46997</v>
      </c>
      <c r="B214" s="61" t="s">
        <v>54</v>
      </c>
      <c r="C214" s="12" t="str">
        <f>'Planning Engine'!C930</f>
        <v>Raw Material</v>
      </c>
      <c r="D214" s="12" t="str">
        <f>'Planning Engine'!D930</f>
        <v>kg</v>
      </c>
      <c r="E214" s="95">
        <f>'Planning Engine'!E930</f>
        <v>177.28999999999996</v>
      </c>
      <c r="F214" s="95">
        <f>'Planning Engine'!F930</f>
        <v>0</v>
      </c>
      <c r="G214" s="95">
        <f>'Planning Engine'!G930</f>
        <v>0</v>
      </c>
      <c r="H214" s="95">
        <f t="shared" si="6"/>
        <v>0</v>
      </c>
      <c r="I214" s="95">
        <f>'Planning Engine'!H930</f>
        <v>177.28999999999996</v>
      </c>
      <c r="J214" s="96">
        <f ca="1">'Planning Engine'!J930</f>
        <v>999</v>
      </c>
      <c r="K214" s="95">
        <f ca="1">'Planning Engine'!K930</f>
        <v>0</v>
      </c>
      <c r="L214" s="12" t="str">
        <f ca="1">'Planning Engine'!L930</f>
        <v>Overstock</v>
      </c>
      <c r="M214" s="93">
        <f>'Planning Engine'!S930</f>
        <v>46874</v>
      </c>
      <c r="N214" s="95">
        <f>'Planning Engine'!T930</f>
        <v>0</v>
      </c>
      <c r="O214" s="94" t="s">
        <v>1962</v>
      </c>
      <c r="P214" s="12" t="str">
        <f t="shared" ca="1" si="7"/>
        <v>Defer receipts</v>
      </c>
    </row>
    <row r="215" spans="1:16" ht="13" customHeight="1" x14ac:dyDescent="0.35">
      <c r="A215" s="97">
        <v>47027</v>
      </c>
      <c r="B215" s="53" t="s">
        <v>54</v>
      </c>
      <c r="C215" s="12" t="str">
        <f>'Planning Engine'!C931</f>
        <v>Raw Material</v>
      </c>
      <c r="D215" s="12" t="str">
        <f>'Planning Engine'!D931</f>
        <v>kg</v>
      </c>
      <c r="E215" s="95">
        <f>'Planning Engine'!E931</f>
        <v>177.28999999999996</v>
      </c>
      <c r="F215" s="95">
        <f>'Planning Engine'!F931</f>
        <v>0</v>
      </c>
      <c r="G215" s="95">
        <f>'Planning Engine'!G931</f>
        <v>0</v>
      </c>
      <c r="H215" s="99">
        <f t="shared" si="6"/>
        <v>0</v>
      </c>
      <c r="I215" s="95">
        <f>'Planning Engine'!H931</f>
        <v>177.28999999999996</v>
      </c>
      <c r="J215" s="96">
        <f ca="1">'Planning Engine'!J931</f>
        <v>999</v>
      </c>
      <c r="K215" s="95">
        <f ca="1">'Planning Engine'!K931</f>
        <v>0</v>
      </c>
      <c r="L215" s="12" t="str">
        <f ca="1">'Planning Engine'!L931</f>
        <v>Overstock</v>
      </c>
      <c r="M215" s="93">
        <f>'Planning Engine'!S931</f>
        <v>46905</v>
      </c>
      <c r="N215" s="95">
        <f>'Planning Engine'!T931</f>
        <v>0</v>
      </c>
      <c r="O215" s="98" t="s">
        <v>1963</v>
      </c>
      <c r="P215" s="4" t="str">
        <f t="shared" ca="1" si="7"/>
        <v>Defer receipts</v>
      </c>
    </row>
    <row r="216" spans="1:16" ht="13" customHeight="1" x14ac:dyDescent="0.35">
      <c r="A216" s="93">
        <v>47058</v>
      </c>
      <c r="B216" s="61" t="s">
        <v>54</v>
      </c>
      <c r="C216" s="12" t="str">
        <f>'Planning Engine'!C932</f>
        <v>Raw Material</v>
      </c>
      <c r="D216" s="12" t="str">
        <f>'Planning Engine'!D932</f>
        <v>kg</v>
      </c>
      <c r="E216" s="95">
        <f>'Planning Engine'!E932</f>
        <v>177.28999999999996</v>
      </c>
      <c r="F216" s="95">
        <f>'Planning Engine'!F932</f>
        <v>0</v>
      </c>
      <c r="G216" s="95">
        <f>'Planning Engine'!G932</f>
        <v>0</v>
      </c>
      <c r="H216" s="95">
        <f t="shared" si="6"/>
        <v>0</v>
      </c>
      <c r="I216" s="95">
        <f>'Planning Engine'!H932</f>
        <v>177.28999999999996</v>
      </c>
      <c r="J216" s="96">
        <f ca="1">'Planning Engine'!J932</f>
        <v>999</v>
      </c>
      <c r="K216" s="95">
        <f ca="1">'Planning Engine'!K932</f>
        <v>0</v>
      </c>
      <c r="L216" s="12" t="str">
        <f ca="1">'Planning Engine'!L932</f>
        <v>Overstock</v>
      </c>
      <c r="M216" s="93">
        <f>'Planning Engine'!S932</f>
        <v>46935</v>
      </c>
      <c r="N216" s="95">
        <f>'Planning Engine'!T932</f>
        <v>0</v>
      </c>
      <c r="O216" s="94" t="s">
        <v>1964</v>
      </c>
      <c r="P216" s="12" t="str">
        <f t="shared" ca="1" si="7"/>
        <v>Defer receipts</v>
      </c>
    </row>
    <row r="217" spans="1:16" ht="13" customHeight="1" x14ac:dyDescent="0.35">
      <c r="A217" s="97">
        <v>47088</v>
      </c>
      <c r="B217" s="53" t="s">
        <v>54</v>
      </c>
      <c r="C217" s="12" t="str">
        <f>'Planning Engine'!C933</f>
        <v>Raw Material</v>
      </c>
      <c r="D217" s="12" t="str">
        <f>'Planning Engine'!D933</f>
        <v>kg</v>
      </c>
      <c r="E217" s="95">
        <f>'Planning Engine'!E933</f>
        <v>177.28999999999996</v>
      </c>
      <c r="F217" s="95">
        <f>'Planning Engine'!F933</f>
        <v>0</v>
      </c>
      <c r="G217" s="95">
        <f>'Planning Engine'!G933</f>
        <v>0</v>
      </c>
      <c r="H217" s="99">
        <f t="shared" si="6"/>
        <v>0</v>
      </c>
      <c r="I217" s="95">
        <f>'Planning Engine'!H933</f>
        <v>177.28999999999996</v>
      </c>
      <c r="J217" s="96">
        <f ca="1">'Planning Engine'!J933</f>
        <v>999</v>
      </c>
      <c r="K217" s="95">
        <f ca="1">'Planning Engine'!K933</f>
        <v>0</v>
      </c>
      <c r="L217" s="12" t="str">
        <f ca="1">'Planning Engine'!L933</f>
        <v>Overstock</v>
      </c>
      <c r="M217" s="93">
        <f>'Planning Engine'!S933</f>
        <v>46966</v>
      </c>
      <c r="N217" s="95">
        <f>'Planning Engine'!T933</f>
        <v>0</v>
      </c>
      <c r="O217" s="98" t="s">
        <v>1965</v>
      </c>
      <c r="P217" s="4" t="str">
        <f t="shared" ca="1" si="7"/>
        <v>Defer receipts</v>
      </c>
    </row>
    <row r="218" spans="1:16" ht="13" customHeight="1" x14ac:dyDescent="0.35">
      <c r="A218" s="93">
        <v>47119</v>
      </c>
      <c r="B218" s="61" t="s">
        <v>54</v>
      </c>
      <c r="C218" s="12" t="str">
        <f>'Planning Engine'!C934</f>
        <v>Raw Material</v>
      </c>
      <c r="D218" s="12" t="str">
        <f>'Planning Engine'!D934</f>
        <v>kg</v>
      </c>
      <c r="E218" s="95">
        <f>'Planning Engine'!E934</f>
        <v>177.28999999999996</v>
      </c>
      <c r="F218" s="95">
        <f>'Planning Engine'!F934</f>
        <v>0</v>
      </c>
      <c r="G218" s="95">
        <f>'Planning Engine'!G934</f>
        <v>0</v>
      </c>
      <c r="H218" s="95">
        <f t="shared" si="6"/>
        <v>0</v>
      </c>
      <c r="I218" s="95">
        <f>'Planning Engine'!H934</f>
        <v>177.28999999999996</v>
      </c>
      <c r="J218" s="96">
        <f ca="1">'Planning Engine'!J934</f>
        <v>999</v>
      </c>
      <c r="K218" s="95">
        <f ca="1">'Planning Engine'!K934</f>
        <v>0</v>
      </c>
      <c r="L218" s="12" t="str">
        <f ca="1">'Planning Engine'!L934</f>
        <v>Overstock</v>
      </c>
      <c r="M218" s="93">
        <f>'Planning Engine'!S934</f>
        <v>46997</v>
      </c>
      <c r="N218" s="95">
        <f>'Planning Engine'!T934</f>
        <v>0</v>
      </c>
      <c r="O218" s="94" t="s">
        <v>1966</v>
      </c>
      <c r="P218" s="12" t="str">
        <f t="shared" ca="1" si="7"/>
        <v>Defer receipts</v>
      </c>
    </row>
    <row r="219" spans="1:16" ht="13" customHeight="1" x14ac:dyDescent="0.35">
      <c r="A219" s="97">
        <v>47150</v>
      </c>
      <c r="B219" s="53" t="s">
        <v>54</v>
      </c>
      <c r="C219" s="12" t="str">
        <f>'Planning Engine'!C935</f>
        <v>Raw Material</v>
      </c>
      <c r="D219" s="12" t="str">
        <f>'Planning Engine'!D935</f>
        <v>kg</v>
      </c>
      <c r="E219" s="95">
        <f>'Planning Engine'!E935</f>
        <v>177.28999999999996</v>
      </c>
      <c r="F219" s="95">
        <f>'Planning Engine'!F935</f>
        <v>0</v>
      </c>
      <c r="G219" s="95">
        <f>'Planning Engine'!G935</f>
        <v>0</v>
      </c>
      <c r="H219" s="99">
        <f t="shared" si="6"/>
        <v>0</v>
      </c>
      <c r="I219" s="95">
        <f>'Planning Engine'!H935</f>
        <v>177.28999999999996</v>
      </c>
      <c r="J219" s="96">
        <f ca="1">'Planning Engine'!J935</f>
        <v>999</v>
      </c>
      <c r="K219" s="95">
        <f ca="1">'Planning Engine'!K935</f>
        <v>0</v>
      </c>
      <c r="L219" s="12" t="str">
        <f ca="1">'Planning Engine'!L935</f>
        <v>Overstock</v>
      </c>
      <c r="M219" s="93">
        <f>'Planning Engine'!S935</f>
        <v>47027</v>
      </c>
      <c r="N219" s="95">
        <f>'Planning Engine'!T935</f>
        <v>0</v>
      </c>
      <c r="O219" s="98" t="s">
        <v>1967</v>
      </c>
      <c r="P219" s="4" t="str">
        <f t="shared" ca="1" si="7"/>
        <v>Defer receipts</v>
      </c>
    </row>
    <row r="220" spans="1:16" ht="13" customHeight="1" x14ac:dyDescent="0.35">
      <c r="A220" s="93">
        <v>47178</v>
      </c>
      <c r="B220" s="61" t="s">
        <v>54</v>
      </c>
      <c r="C220" s="12" t="str">
        <f>'Planning Engine'!C936</f>
        <v>Raw Material</v>
      </c>
      <c r="D220" s="12" t="str">
        <f>'Planning Engine'!D936</f>
        <v>kg</v>
      </c>
      <c r="E220" s="95">
        <f>'Planning Engine'!E936</f>
        <v>177.28999999999996</v>
      </c>
      <c r="F220" s="95">
        <f>'Planning Engine'!F936</f>
        <v>0</v>
      </c>
      <c r="G220" s="95">
        <f>'Planning Engine'!G936</f>
        <v>0</v>
      </c>
      <c r="H220" s="95">
        <f t="shared" si="6"/>
        <v>0</v>
      </c>
      <c r="I220" s="95">
        <f>'Planning Engine'!H936</f>
        <v>177.28999999999996</v>
      </c>
      <c r="J220" s="96">
        <f ca="1">'Planning Engine'!J936</f>
        <v>999</v>
      </c>
      <c r="K220" s="95">
        <f ca="1">'Planning Engine'!K936</f>
        <v>0</v>
      </c>
      <c r="L220" s="12" t="str">
        <f ca="1">'Planning Engine'!L936</f>
        <v>Overstock</v>
      </c>
      <c r="M220" s="93">
        <f>'Planning Engine'!S936</f>
        <v>47058</v>
      </c>
      <c r="N220" s="95">
        <f>'Planning Engine'!T936</f>
        <v>0</v>
      </c>
      <c r="O220" s="94" t="s">
        <v>1968</v>
      </c>
      <c r="P220" s="12" t="str">
        <f t="shared" ca="1" si="7"/>
        <v>Defer receipts</v>
      </c>
    </row>
    <row r="221" spans="1:16" ht="13" customHeight="1" x14ac:dyDescent="0.35">
      <c r="A221" s="97">
        <v>47209</v>
      </c>
      <c r="B221" s="53" t="s">
        <v>54</v>
      </c>
      <c r="C221" s="12" t="str">
        <f>'Planning Engine'!C937</f>
        <v>Raw Material</v>
      </c>
      <c r="D221" s="12" t="str">
        <f>'Planning Engine'!D937</f>
        <v>kg</v>
      </c>
      <c r="E221" s="95">
        <f>'Planning Engine'!E937</f>
        <v>177.28999999999996</v>
      </c>
      <c r="F221" s="95">
        <f>'Planning Engine'!F937</f>
        <v>0</v>
      </c>
      <c r="G221" s="95">
        <f>'Planning Engine'!G937</f>
        <v>0</v>
      </c>
      <c r="H221" s="99">
        <f t="shared" si="6"/>
        <v>0</v>
      </c>
      <c r="I221" s="95">
        <f>'Planning Engine'!H937</f>
        <v>177.28999999999996</v>
      </c>
      <c r="J221" s="96">
        <f ca="1">'Planning Engine'!J937</f>
        <v>999</v>
      </c>
      <c r="K221" s="95">
        <f ca="1">'Planning Engine'!K937</f>
        <v>0</v>
      </c>
      <c r="L221" s="12" t="str">
        <f ca="1">'Planning Engine'!L937</f>
        <v>Overstock</v>
      </c>
      <c r="M221" s="93">
        <f>'Planning Engine'!S937</f>
        <v>47088</v>
      </c>
      <c r="N221" s="95">
        <f>'Planning Engine'!T937</f>
        <v>0</v>
      </c>
      <c r="O221" s="98" t="s">
        <v>1969</v>
      </c>
      <c r="P221" s="4" t="str">
        <f t="shared" ca="1" si="7"/>
        <v>Defer receipts</v>
      </c>
    </row>
    <row r="222" spans="1:16" ht="13" customHeight="1" x14ac:dyDescent="0.35">
      <c r="A222" s="93">
        <v>47239</v>
      </c>
      <c r="B222" s="61" t="s">
        <v>54</v>
      </c>
      <c r="C222" s="12" t="str">
        <f>'Planning Engine'!C938</f>
        <v>Raw Material</v>
      </c>
      <c r="D222" s="12" t="str">
        <f>'Planning Engine'!D938</f>
        <v>kg</v>
      </c>
      <c r="E222" s="95">
        <f>'Planning Engine'!E938</f>
        <v>177.28999999999996</v>
      </c>
      <c r="F222" s="95">
        <f>'Planning Engine'!F938</f>
        <v>0</v>
      </c>
      <c r="G222" s="95">
        <f>'Planning Engine'!G938</f>
        <v>0</v>
      </c>
      <c r="H222" s="95">
        <f t="shared" si="6"/>
        <v>0</v>
      </c>
      <c r="I222" s="95">
        <f>'Planning Engine'!H938</f>
        <v>177.28999999999996</v>
      </c>
      <c r="J222" s="96">
        <f ca="1">'Planning Engine'!J938</f>
        <v>999</v>
      </c>
      <c r="K222" s="95">
        <f ca="1">'Planning Engine'!K938</f>
        <v>0</v>
      </c>
      <c r="L222" s="12" t="str">
        <f ca="1">'Planning Engine'!L938</f>
        <v>Overstock</v>
      </c>
      <c r="M222" s="93">
        <f>'Planning Engine'!S938</f>
        <v>47119</v>
      </c>
      <c r="N222" s="95">
        <f>'Planning Engine'!T938</f>
        <v>0</v>
      </c>
      <c r="O222" s="94" t="s">
        <v>1970</v>
      </c>
      <c r="P222" s="12" t="str">
        <f t="shared" ca="1" si="7"/>
        <v>Defer receipts</v>
      </c>
    </row>
    <row r="223" spans="1:16" ht="13" customHeight="1" x14ac:dyDescent="0.35">
      <c r="A223" s="97">
        <v>47270</v>
      </c>
      <c r="B223" s="53" t="s">
        <v>54</v>
      </c>
      <c r="C223" s="12" t="str">
        <f>'Planning Engine'!C939</f>
        <v>Raw Material</v>
      </c>
      <c r="D223" s="12" t="str">
        <f>'Planning Engine'!D939</f>
        <v>kg</v>
      </c>
      <c r="E223" s="95">
        <f>'Planning Engine'!E939</f>
        <v>177.28999999999996</v>
      </c>
      <c r="F223" s="95">
        <f>'Planning Engine'!F939</f>
        <v>0</v>
      </c>
      <c r="G223" s="95">
        <f>'Planning Engine'!G939</f>
        <v>0</v>
      </c>
      <c r="H223" s="99">
        <f t="shared" si="6"/>
        <v>0</v>
      </c>
      <c r="I223" s="95">
        <f>'Planning Engine'!H939</f>
        <v>177.28999999999996</v>
      </c>
      <c r="J223" s="96">
        <f ca="1">'Planning Engine'!J939</f>
        <v>999</v>
      </c>
      <c r="K223" s="95">
        <f ca="1">'Planning Engine'!K939</f>
        <v>0</v>
      </c>
      <c r="L223" s="12" t="str">
        <f ca="1">'Planning Engine'!L939</f>
        <v>Overstock</v>
      </c>
      <c r="M223" s="93">
        <f>'Planning Engine'!S939</f>
        <v>47150</v>
      </c>
      <c r="N223" s="95">
        <f>'Planning Engine'!T939</f>
        <v>0</v>
      </c>
      <c r="O223" s="98" t="s">
        <v>1971</v>
      </c>
      <c r="P223" s="4" t="str">
        <f t="shared" ca="1" si="7"/>
        <v>Defer receipts</v>
      </c>
    </row>
    <row r="224" spans="1:16" ht="13" customHeight="1" x14ac:dyDescent="0.35">
      <c r="A224" s="93">
        <v>47300</v>
      </c>
      <c r="B224" s="61" t="s">
        <v>54</v>
      </c>
      <c r="C224" s="12" t="str">
        <f>'Planning Engine'!C940</f>
        <v>Raw Material</v>
      </c>
      <c r="D224" s="12" t="str">
        <f>'Planning Engine'!D940</f>
        <v>kg</v>
      </c>
      <c r="E224" s="95">
        <f>'Planning Engine'!E940</f>
        <v>177.28999999999996</v>
      </c>
      <c r="F224" s="95">
        <f>'Planning Engine'!F940</f>
        <v>0</v>
      </c>
      <c r="G224" s="95">
        <f>'Planning Engine'!G940</f>
        <v>0</v>
      </c>
      <c r="H224" s="95">
        <f t="shared" si="6"/>
        <v>0</v>
      </c>
      <c r="I224" s="95">
        <f>'Planning Engine'!H940</f>
        <v>177.28999999999996</v>
      </c>
      <c r="J224" s="96">
        <f ca="1">'Planning Engine'!J940</f>
        <v>999</v>
      </c>
      <c r="K224" s="95">
        <f ca="1">'Planning Engine'!K940</f>
        <v>0</v>
      </c>
      <c r="L224" s="12" t="str">
        <f ca="1">'Planning Engine'!L940</f>
        <v>Overstock</v>
      </c>
      <c r="M224" s="93">
        <f>'Planning Engine'!S940</f>
        <v>47178</v>
      </c>
      <c r="N224" s="95">
        <f>'Planning Engine'!T940</f>
        <v>0</v>
      </c>
      <c r="O224" s="94" t="s">
        <v>1972</v>
      </c>
      <c r="P224" s="12" t="str">
        <f t="shared" ca="1" si="7"/>
        <v>Defer receipts</v>
      </c>
    </row>
    <row r="225" spans="1:16" ht="13" customHeight="1" x14ac:dyDescent="0.35">
      <c r="A225" s="97">
        <v>47331</v>
      </c>
      <c r="B225" s="53" t="s">
        <v>54</v>
      </c>
      <c r="C225" s="12" t="str">
        <f>'Planning Engine'!C941</f>
        <v>Raw Material</v>
      </c>
      <c r="D225" s="12" t="str">
        <f>'Planning Engine'!D941</f>
        <v>kg</v>
      </c>
      <c r="E225" s="95">
        <f>'Planning Engine'!E941</f>
        <v>177.28999999999996</v>
      </c>
      <c r="F225" s="95">
        <f>'Planning Engine'!F941</f>
        <v>0</v>
      </c>
      <c r="G225" s="95">
        <f>'Planning Engine'!G941</f>
        <v>0</v>
      </c>
      <c r="H225" s="99">
        <f t="shared" si="6"/>
        <v>0</v>
      </c>
      <c r="I225" s="95">
        <f>'Planning Engine'!H941</f>
        <v>177.28999999999996</v>
      </c>
      <c r="J225" s="96">
        <f ca="1">'Planning Engine'!J941</f>
        <v>999</v>
      </c>
      <c r="K225" s="95">
        <f ca="1">'Planning Engine'!K941</f>
        <v>0</v>
      </c>
      <c r="L225" s="12" t="str">
        <f ca="1">'Planning Engine'!L941</f>
        <v>Overstock</v>
      </c>
      <c r="M225" s="93">
        <f>'Planning Engine'!S941</f>
        <v>47209</v>
      </c>
      <c r="N225" s="95">
        <f>'Planning Engine'!T941</f>
        <v>0</v>
      </c>
      <c r="O225" s="98" t="s">
        <v>1973</v>
      </c>
      <c r="P225" s="4" t="str">
        <f t="shared" ca="1" si="7"/>
        <v>Defer receipts</v>
      </c>
    </row>
    <row r="226" spans="1:16" ht="13" customHeight="1" x14ac:dyDescent="0.35">
      <c r="A226" s="93">
        <v>47362</v>
      </c>
      <c r="B226" s="61" t="s">
        <v>54</v>
      </c>
      <c r="C226" s="12" t="str">
        <f>'Planning Engine'!C942</f>
        <v>Raw Material</v>
      </c>
      <c r="D226" s="12" t="str">
        <f>'Planning Engine'!D942</f>
        <v>kg</v>
      </c>
      <c r="E226" s="95">
        <f>'Planning Engine'!E942</f>
        <v>177.28999999999996</v>
      </c>
      <c r="F226" s="95">
        <f>'Planning Engine'!F942</f>
        <v>0</v>
      </c>
      <c r="G226" s="95">
        <f>'Planning Engine'!G942</f>
        <v>0</v>
      </c>
      <c r="H226" s="95">
        <f t="shared" si="6"/>
        <v>0</v>
      </c>
      <c r="I226" s="95">
        <f>'Planning Engine'!H942</f>
        <v>177.28999999999996</v>
      </c>
      <c r="J226" s="96">
        <f ca="1">'Planning Engine'!J942</f>
        <v>999</v>
      </c>
      <c r="K226" s="95">
        <f ca="1">'Planning Engine'!K942</f>
        <v>0</v>
      </c>
      <c r="L226" s="12" t="str">
        <f ca="1">'Planning Engine'!L942</f>
        <v>Overstock</v>
      </c>
      <c r="M226" s="93">
        <f>'Planning Engine'!S942</f>
        <v>47239</v>
      </c>
      <c r="N226" s="95">
        <f>'Planning Engine'!T942</f>
        <v>0</v>
      </c>
      <c r="O226" s="94" t="s">
        <v>1974</v>
      </c>
      <c r="P226" s="12" t="str">
        <f t="shared" ca="1" si="7"/>
        <v>Defer receipts</v>
      </c>
    </row>
    <row r="227" spans="1:16" ht="13" customHeight="1" x14ac:dyDescent="0.35">
      <c r="A227" s="97">
        <v>47392</v>
      </c>
      <c r="B227" s="53" t="s">
        <v>54</v>
      </c>
      <c r="C227" s="12" t="str">
        <f>'Planning Engine'!C943</f>
        <v>Raw Material</v>
      </c>
      <c r="D227" s="12" t="str">
        <f>'Planning Engine'!D943</f>
        <v>kg</v>
      </c>
      <c r="E227" s="95">
        <f>'Planning Engine'!E943</f>
        <v>177.28999999999996</v>
      </c>
      <c r="F227" s="95">
        <f>'Planning Engine'!F943</f>
        <v>0</v>
      </c>
      <c r="G227" s="95">
        <f>'Planning Engine'!G943</f>
        <v>0</v>
      </c>
      <c r="H227" s="99">
        <f t="shared" si="6"/>
        <v>0</v>
      </c>
      <c r="I227" s="95">
        <f>'Planning Engine'!H943</f>
        <v>177.28999999999996</v>
      </c>
      <c r="J227" s="96">
        <f ca="1">'Planning Engine'!J943</f>
        <v>999</v>
      </c>
      <c r="K227" s="95">
        <f ca="1">'Planning Engine'!K943</f>
        <v>0</v>
      </c>
      <c r="L227" s="12" t="str">
        <f ca="1">'Planning Engine'!L943</f>
        <v>Overstock</v>
      </c>
      <c r="M227" s="93">
        <f>'Planning Engine'!S943</f>
        <v>47270</v>
      </c>
      <c r="N227" s="95">
        <f>'Planning Engine'!T943</f>
        <v>0</v>
      </c>
      <c r="O227" s="98" t="s">
        <v>1975</v>
      </c>
      <c r="P227" s="4" t="str">
        <f t="shared" ca="1" si="7"/>
        <v>Defer receipts</v>
      </c>
    </row>
    <row r="228" spans="1:16" ht="13" customHeight="1" x14ac:dyDescent="0.35">
      <c r="A228" s="93">
        <v>47423</v>
      </c>
      <c r="B228" s="61" t="s">
        <v>54</v>
      </c>
      <c r="C228" s="12" t="str">
        <f>'Planning Engine'!C944</f>
        <v>Raw Material</v>
      </c>
      <c r="D228" s="12" t="str">
        <f>'Planning Engine'!D944</f>
        <v>kg</v>
      </c>
      <c r="E228" s="95">
        <f>'Planning Engine'!E944</f>
        <v>177.28999999999996</v>
      </c>
      <c r="F228" s="95">
        <f>'Planning Engine'!F944</f>
        <v>0</v>
      </c>
      <c r="G228" s="95">
        <f>'Planning Engine'!G944</f>
        <v>0</v>
      </c>
      <c r="H228" s="95">
        <f t="shared" si="6"/>
        <v>0</v>
      </c>
      <c r="I228" s="95">
        <f>'Planning Engine'!H944</f>
        <v>177.28999999999996</v>
      </c>
      <c r="J228" s="96">
        <f ca="1">'Planning Engine'!J944</f>
        <v>999</v>
      </c>
      <c r="K228" s="95">
        <f ca="1">'Planning Engine'!K944</f>
        <v>0</v>
      </c>
      <c r="L228" s="12" t="str">
        <f ca="1">'Planning Engine'!L944</f>
        <v>Overstock</v>
      </c>
      <c r="M228" s="93">
        <f>'Planning Engine'!S944</f>
        <v>47300</v>
      </c>
      <c r="N228" s="95">
        <f>'Planning Engine'!T944</f>
        <v>0</v>
      </c>
      <c r="O228" s="94" t="s">
        <v>1976</v>
      </c>
      <c r="P228" s="12" t="str">
        <f t="shared" ca="1" si="7"/>
        <v>Defer receipts</v>
      </c>
    </row>
    <row r="229" spans="1:16" ht="13" customHeight="1" x14ac:dyDescent="0.35">
      <c r="A229" s="97">
        <v>47453</v>
      </c>
      <c r="B229" s="53" t="s">
        <v>54</v>
      </c>
      <c r="C229" s="12" t="str">
        <f>'Planning Engine'!C945</f>
        <v>Raw Material</v>
      </c>
      <c r="D229" s="12" t="str">
        <f>'Planning Engine'!D945</f>
        <v>kg</v>
      </c>
      <c r="E229" s="95">
        <f>'Planning Engine'!E945</f>
        <v>177.28999999999996</v>
      </c>
      <c r="F229" s="95">
        <f>'Planning Engine'!F945</f>
        <v>0</v>
      </c>
      <c r="G229" s="95">
        <f>'Planning Engine'!G945</f>
        <v>0</v>
      </c>
      <c r="H229" s="99">
        <f t="shared" si="6"/>
        <v>0</v>
      </c>
      <c r="I229" s="95">
        <f>'Planning Engine'!H945</f>
        <v>177.28999999999996</v>
      </c>
      <c r="J229" s="96">
        <f ca="1">'Planning Engine'!J945</f>
        <v>999</v>
      </c>
      <c r="K229" s="95">
        <f ca="1">'Planning Engine'!K945</f>
        <v>0</v>
      </c>
      <c r="L229" s="12" t="str">
        <f ca="1">'Planning Engine'!L945</f>
        <v>Overstock</v>
      </c>
      <c r="M229" s="93">
        <f>'Planning Engine'!S945</f>
        <v>47331</v>
      </c>
      <c r="N229" s="95">
        <f>'Planning Engine'!T945</f>
        <v>0</v>
      </c>
      <c r="O229" s="98" t="s">
        <v>1977</v>
      </c>
      <c r="P229" s="4" t="str">
        <f t="shared" ca="1" si="7"/>
        <v>Defer receipts</v>
      </c>
    </row>
    <row r="230" spans="1:16" ht="13" customHeight="1" x14ac:dyDescent="0.35">
      <c r="A230" s="93">
        <v>47484</v>
      </c>
      <c r="B230" s="61" t="s">
        <v>54</v>
      </c>
      <c r="C230" s="12" t="str">
        <f>'Planning Engine'!C946</f>
        <v>Raw Material</v>
      </c>
      <c r="D230" s="12" t="str">
        <f>'Planning Engine'!D946</f>
        <v>kg</v>
      </c>
      <c r="E230" s="95">
        <f>'Planning Engine'!E946</f>
        <v>177.28999999999996</v>
      </c>
      <c r="F230" s="95">
        <f>'Planning Engine'!F946</f>
        <v>0</v>
      </c>
      <c r="G230" s="95">
        <f>'Planning Engine'!G946</f>
        <v>0</v>
      </c>
      <c r="H230" s="95">
        <f t="shared" si="6"/>
        <v>0</v>
      </c>
      <c r="I230" s="95">
        <f>'Planning Engine'!H946</f>
        <v>177.28999999999996</v>
      </c>
      <c r="J230" s="96">
        <f ca="1">'Planning Engine'!J946</f>
        <v>999</v>
      </c>
      <c r="K230" s="95">
        <f ca="1">'Planning Engine'!K946</f>
        <v>0</v>
      </c>
      <c r="L230" s="12" t="str">
        <f ca="1">'Planning Engine'!L946</f>
        <v>Overstock</v>
      </c>
      <c r="M230" s="93">
        <f>'Planning Engine'!S946</f>
        <v>47362</v>
      </c>
      <c r="N230" s="95">
        <f>'Planning Engine'!T946</f>
        <v>0</v>
      </c>
      <c r="O230" s="94" t="s">
        <v>1978</v>
      </c>
      <c r="P230" s="12" t="str">
        <f t="shared" ca="1" si="7"/>
        <v>Defer receipts</v>
      </c>
    </row>
    <row r="231" spans="1:16" ht="13" customHeight="1" x14ac:dyDescent="0.35">
      <c r="A231" s="97">
        <v>47515</v>
      </c>
      <c r="B231" s="53" t="s">
        <v>54</v>
      </c>
      <c r="C231" s="12" t="str">
        <f>'Planning Engine'!C947</f>
        <v>Raw Material</v>
      </c>
      <c r="D231" s="12" t="str">
        <f>'Planning Engine'!D947</f>
        <v>kg</v>
      </c>
      <c r="E231" s="95">
        <f>'Planning Engine'!E947</f>
        <v>177.28999999999996</v>
      </c>
      <c r="F231" s="95">
        <f>'Planning Engine'!F947</f>
        <v>0</v>
      </c>
      <c r="G231" s="95">
        <f>'Planning Engine'!G947</f>
        <v>0</v>
      </c>
      <c r="H231" s="99">
        <f t="shared" si="6"/>
        <v>0</v>
      </c>
      <c r="I231" s="95">
        <f>'Planning Engine'!H947</f>
        <v>177.28999999999996</v>
      </c>
      <c r="J231" s="96">
        <f ca="1">'Planning Engine'!J947</f>
        <v>999</v>
      </c>
      <c r="K231" s="95">
        <f ca="1">'Planning Engine'!K947</f>
        <v>0</v>
      </c>
      <c r="L231" s="12" t="str">
        <f ca="1">'Planning Engine'!L947</f>
        <v>Overstock</v>
      </c>
      <c r="M231" s="93">
        <f>'Planning Engine'!S947</f>
        <v>47392</v>
      </c>
      <c r="N231" s="95">
        <f>'Planning Engine'!T947</f>
        <v>0</v>
      </c>
      <c r="O231" s="98" t="s">
        <v>1979</v>
      </c>
      <c r="P231" s="4" t="str">
        <f t="shared" ca="1" si="7"/>
        <v>Defer receipts</v>
      </c>
    </row>
    <row r="232" spans="1:16" ht="13" customHeight="1" x14ac:dyDescent="0.35">
      <c r="A232" s="93">
        <v>47543</v>
      </c>
      <c r="B232" s="61" t="s">
        <v>54</v>
      </c>
      <c r="C232" s="12" t="str">
        <f>'Planning Engine'!C948</f>
        <v>Raw Material</v>
      </c>
      <c r="D232" s="12" t="str">
        <f>'Planning Engine'!D948</f>
        <v>kg</v>
      </c>
      <c r="E232" s="95">
        <f>'Planning Engine'!E948</f>
        <v>177.28999999999996</v>
      </c>
      <c r="F232" s="95">
        <f>'Planning Engine'!F948</f>
        <v>0</v>
      </c>
      <c r="G232" s="95">
        <f>'Planning Engine'!G948</f>
        <v>0</v>
      </c>
      <c r="H232" s="95">
        <f t="shared" si="6"/>
        <v>0</v>
      </c>
      <c r="I232" s="95">
        <f>'Planning Engine'!H948</f>
        <v>177.28999999999996</v>
      </c>
      <c r="J232" s="96">
        <f ca="1">'Planning Engine'!J948</f>
        <v>999</v>
      </c>
      <c r="K232" s="95">
        <f ca="1">'Planning Engine'!K948</f>
        <v>0</v>
      </c>
      <c r="L232" s="12" t="str">
        <f ca="1">'Planning Engine'!L948</f>
        <v>Overstock</v>
      </c>
      <c r="M232" s="93">
        <f>'Planning Engine'!S948</f>
        <v>47423</v>
      </c>
      <c r="N232" s="95">
        <f>'Planning Engine'!T948</f>
        <v>0</v>
      </c>
      <c r="O232" s="94" t="s">
        <v>1980</v>
      </c>
      <c r="P232" s="12" t="str">
        <f t="shared" ca="1" si="7"/>
        <v>Defer receipts</v>
      </c>
    </row>
    <row r="233" spans="1:16" ht="13" customHeight="1" x14ac:dyDescent="0.35">
      <c r="A233" s="97">
        <v>47574</v>
      </c>
      <c r="B233" s="53" t="s">
        <v>54</v>
      </c>
      <c r="C233" s="12" t="str">
        <f>'Planning Engine'!C949</f>
        <v>Raw Material</v>
      </c>
      <c r="D233" s="12" t="str">
        <f>'Planning Engine'!D949</f>
        <v>kg</v>
      </c>
      <c r="E233" s="95">
        <f>'Planning Engine'!E949</f>
        <v>177.28999999999996</v>
      </c>
      <c r="F233" s="95">
        <f>'Planning Engine'!F949</f>
        <v>0</v>
      </c>
      <c r="G233" s="95">
        <f>'Planning Engine'!G949</f>
        <v>0</v>
      </c>
      <c r="H233" s="99">
        <f t="shared" si="6"/>
        <v>0</v>
      </c>
      <c r="I233" s="95">
        <f>'Planning Engine'!H949</f>
        <v>177.28999999999996</v>
      </c>
      <c r="J233" s="96">
        <f ca="1">'Planning Engine'!J949</f>
        <v>999</v>
      </c>
      <c r="K233" s="95">
        <f ca="1">'Planning Engine'!K949</f>
        <v>0</v>
      </c>
      <c r="L233" s="12" t="str">
        <f ca="1">'Planning Engine'!L949</f>
        <v>Overstock</v>
      </c>
      <c r="M233" s="93">
        <f>'Planning Engine'!S949</f>
        <v>47453</v>
      </c>
      <c r="N233" s="95">
        <f>'Planning Engine'!T949</f>
        <v>0</v>
      </c>
      <c r="O233" s="98" t="s">
        <v>1981</v>
      </c>
      <c r="P233" s="4" t="str">
        <f t="shared" ca="1" si="7"/>
        <v>Defer receipts</v>
      </c>
    </row>
    <row r="234" spans="1:16" ht="13" customHeight="1" x14ac:dyDescent="0.35">
      <c r="A234" s="93">
        <v>47604</v>
      </c>
      <c r="B234" s="61" t="s">
        <v>54</v>
      </c>
      <c r="C234" s="12" t="str">
        <f>'Planning Engine'!C950</f>
        <v>Raw Material</v>
      </c>
      <c r="D234" s="12" t="str">
        <f>'Planning Engine'!D950</f>
        <v>kg</v>
      </c>
      <c r="E234" s="95">
        <f>'Planning Engine'!E950</f>
        <v>177.28999999999996</v>
      </c>
      <c r="F234" s="95">
        <f>'Planning Engine'!F950</f>
        <v>0</v>
      </c>
      <c r="G234" s="95">
        <f>'Planning Engine'!G950</f>
        <v>0</v>
      </c>
      <c r="H234" s="95">
        <f t="shared" si="6"/>
        <v>0</v>
      </c>
      <c r="I234" s="95">
        <f>'Planning Engine'!H950</f>
        <v>177.28999999999996</v>
      </c>
      <c r="J234" s="96">
        <f ca="1">'Planning Engine'!J950</f>
        <v>999</v>
      </c>
      <c r="K234" s="95">
        <f ca="1">'Planning Engine'!K950</f>
        <v>0</v>
      </c>
      <c r="L234" s="12" t="str">
        <f ca="1">'Planning Engine'!L950</f>
        <v>Overstock</v>
      </c>
      <c r="M234" s="93">
        <f>'Planning Engine'!S950</f>
        <v>47484</v>
      </c>
      <c r="N234" s="95">
        <f>'Planning Engine'!T950</f>
        <v>0</v>
      </c>
      <c r="O234" s="94" t="s">
        <v>1982</v>
      </c>
      <c r="P234" s="12" t="str">
        <f t="shared" ca="1" si="7"/>
        <v>Defer receipts</v>
      </c>
    </row>
    <row r="235" spans="1:16" ht="13" customHeight="1" x14ac:dyDescent="0.35">
      <c r="A235" s="97">
        <v>47635</v>
      </c>
      <c r="B235" s="53" t="s">
        <v>54</v>
      </c>
      <c r="C235" s="12" t="str">
        <f>'Planning Engine'!C951</f>
        <v>Raw Material</v>
      </c>
      <c r="D235" s="12" t="str">
        <f>'Planning Engine'!D951</f>
        <v>kg</v>
      </c>
      <c r="E235" s="95">
        <f>'Planning Engine'!E951</f>
        <v>177.28999999999996</v>
      </c>
      <c r="F235" s="95">
        <f>'Planning Engine'!F951</f>
        <v>0</v>
      </c>
      <c r="G235" s="95">
        <f>'Planning Engine'!G951</f>
        <v>0</v>
      </c>
      <c r="H235" s="99">
        <f t="shared" si="6"/>
        <v>0</v>
      </c>
      <c r="I235" s="95">
        <f>'Planning Engine'!H951</f>
        <v>177.28999999999996</v>
      </c>
      <c r="J235" s="96">
        <f ca="1">'Planning Engine'!J951</f>
        <v>999</v>
      </c>
      <c r="K235" s="95">
        <f ca="1">'Planning Engine'!K951</f>
        <v>0</v>
      </c>
      <c r="L235" s="12" t="str">
        <f ca="1">'Planning Engine'!L951</f>
        <v>Overstock</v>
      </c>
      <c r="M235" s="93">
        <f>'Planning Engine'!S951</f>
        <v>47515</v>
      </c>
      <c r="N235" s="95">
        <f>'Planning Engine'!T951</f>
        <v>0</v>
      </c>
      <c r="O235" s="98" t="s">
        <v>1983</v>
      </c>
      <c r="P235" s="4" t="str">
        <f t="shared" ca="1" si="7"/>
        <v>Defer receipts</v>
      </c>
    </row>
    <row r="236" spans="1:16" ht="13" customHeight="1" x14ac:dyDescent="0.35">
      <c r="A236" s="93">
        <v>47665</v>
      </c>
      <c r="B236" s="61" t="s">
        <v>54</v>
      </c>
      <c r="C236" s="12" t="str">
        <f>'Planning Engine'!C952</f>
        <v>Raw Material</v>
      </c>
      <c r="D236" s="12" t="str">
        <f>'Planning Engine'!D952</f>
        <v>kg</v>
      </c>
      <c r="E236" s="95">
        <f>'Planning Engine'!E952</f>
        <v>177.28999999999996</v>
      </c>
      <c r="F236" s="95">
        <f>'Planning Engine'!F952</f>
        <v>0</v>
      </c>
      <c r="G236" s="95">
        <f>'Planning Engine'!G952</f>
        <v>0</v>
      </c>
      <c r="H236" s="95">
        <f t="shared" si="6"/>
        <v>0</v>
      </c>
      <c r="I236" s="95">
        <f>'Planning Engine'!H952</f>
        <v>177.28999999999996</v>
      </c>
      <c r="J236" s="96">
        <f ca="1">'Planning Engine'!J952</f>
        <v>999</v>
      </c>
      <c r="K236" s="95">
        <f ca="1">'Planning Engine'!K952</f>
        <v>0</v>
      </c>
      <c r="L236" s="12" t="str">
        <f ca="1">'Planning Engine'!L952</f>
        <v>Overstock</v>
      </c>
      <c r="M236" s="93">
        <f>'Planning Engine'!S952</f>
        <v>47543</v>
      </c>
      <c r="N236" s="95">
        <f>'Planning Engine'!T952</f>
        <v>0</v>
      </c>
      <c r="O236" s="94" t="s">
        <v>1984</v>
      </c>
      <c r="P236" s="12" t="str">
        <f t="shared" ca="1" si="7"/>
        <v>Defer receipts</v>
      </c>
    </row>
    <row r="237" spans="1:16" ht="13" customHeight="1" x14ac:dyDescent="0.35">
      <c r="A237" s="97">
        <v>47696</v>
      </c>
      <c r="B237" s="53" t="s">
        <v>54</v>
      </c>
      <c r="C237" s="12" t="str">
        <f>'Planning Engine'!C953</f>
        <v>Raw Material</v>
      </c>
      <c r="D237" s="12" t="str">
        <f>'Planning Engine'!D953</f>
        <v>kg</v>
      </c>
      <c r="E237" s="95">
        <f>'Planning Engine'!E953</f>
        <v>177.28999999999996</v>
      </c>
      <c r="F237" s="95">
        <f>'Planning Engine'!F953</f>
        <v>0</v>
      </c>
      <c r="G237" s="95">
        <f>'Planning Engine'!G953</f>
        <v>0</v>
      </c>
      <c r="H237" s="99">
        <f t="shared" si="6"/>
        <v>0</v>
      </c>
      <c r="I237" s="95">
        <f>'Planning Engine'!H953</f>
        <v>177.28999999999996</v>
      </c>
      <c r="J237" s="96">
        <f ca="1">'Planning Engine'!J953</f>
        <v>999</v>
      </c>
      <c r="K237" s="95">
        <f ca="1">'Planning Engine'!K953</f>
        <v>0</v>
      </c>
      <c r="L237" s="12" t="str">
        <f ca="1">'Planning Engine'!L953</f>
        <v>Overstock</v>
      </c>
      <c r="M237" s="93">
        <f>'Planning Engine'!S953</f>
        <v>47574</v>
      </c>
      <c r="N237" s="95">
        <f>'Planning Engine'!T953</f>
        <v>0</v>
      </c>
      <c r="O237" s="98" t="s">
        <v>1985</v>
      </c>
      <c r="P237" s="4" t="str">
        <f t="shared" ca="1" si="7"/>
        <v>Defer receipts</v>
      </c>
    </row>
    <row r="238" spans="1:16" ht="13" customHeight="1" x14ac:dyDescent="0.35">
      <c r="A238" s="93">
        <v>47727</v>
      </c>
      <c r="B238" s="61" t="s">
        <v>54</v>
      </c>
      <c r="C238" s="12" t="str">
        <f>'Planning Engine'!C954</f>
        <v>Raw Material</v>
      </c>
      <c r="D238" s="12" t="str">
        <f>'Planning Engine'!D954</f>
        <v>kg</v>
      </c>
      <c r="E238" s="95">
        <f>'Planning Engine'!E954</f>
        <v>177.28999999999996</v>
      </c>
      <c r="F238" s="95">
        <f>'Planning Engine'!F954</f>
        <v>0</v>
      </c>
      <c r="G238" s="95">
        <f>'Planning Engine'!G954</f>
        <v>0</v>
      </c>
      <c r="H238" s="95">
        <f t="shared" si="6"/>
        <v>0</v>
      </c>
      <c r="I238" s="95">
        <f>'Planning Engine'!H954</f>
        <v>177.28999999999996</v>
      </c>
      <c r="J238" s="96">
        <f ca="1">'Planning Engine'!J954</f>
        <v>999</v>
      </c>
      <c r="K238" s="95">
        <f ca="1">'Planning Engine'!K954</f>
        <v>0</v>
      </c>
      <c r="L238" s="12" t="str">
        <f ca="1">'Planning Engine'!L954</f>
        <v>Overstock</v>
      </c>
      <c r="M238" s="93">
        <f>'Planning Engine'!S954</f>
        <v>47604</v>
      </c>
      <c r="N238" s="95">
        <f>'Planning Engine'!T954</f>
        <v>0</v>
      </c>
      <c r="O238" s="94" t="s">
        <v>1986</v>
      </c>
      <c r="P238" s="12" t="str">
        <f t="shared" ca="1" si="7"/>
        <v>Defer receipts</v>
      </c>
    </row>
    <row r="239" spans="1:16" ht="13" customHeight="1" x14ac:dyDescent="0.35">
      <c r="A239" s="97">
        <v>47757</v>
      </c>
      <c r="B239" s="53" t="s">
        <v>54</v>
      </c>
      <c r="C239" s="12" t="str">
        <f>'Planning Engine'!C955</f>
        <v>Raw Material</v>
      </c>
      <c r="D239" s="12" t="str">
        <f>'Planning Engine'!D955</f>
        <v>kg</v>
      </c>
      <c r="E239" s="95">
        <f>'Planning Engine'!E955</f>
        <v>177.28999999999996</v>
      </c>
      <c r="F239" s="95">
        <f>'Planning Engine'!F955</f>
        <v>0</v>
      </c>
      <c r="G239" s="95">
        <f>'Planning Engine'!G955</f>
        <v>0</v>
      </c>
      <c r="H239" s="99">
        <f t="shared" si="6"/>
        <v>0</v>
      </c>
      <c r="I239" s="95">
        <f>'Planning Engine'!H955</f>
        <v>177.28999999999996</v>
      </c>
      <c r="J239" s="96">
        <f ca="1">'Planning Engine'!J955</f>
        <v>999</v>
      </c>
      <c r="K239" s="95">
        <f ca="1">'Planning Engine'!K955</f>
        <v>0</v>
      </c>
      <c r="L239" s="12" t="str">
        <f ca="1">'Planning Engine'!L955</f>
        <v>Overstock</v>
      </c>
      <c r="M239" s="93">
        <f>'Planning Engine'!S955</f>
        <v>47635</v>
      </c>
      <c r="N239" s="95">
        <f>'Planning Engine'!T955</f>
        <v>0</v>
      </c>
      <c r="O239" s="98" t="s">
        <v>1987</v>
      </c>
      <c r="P239" s="4" t="str">
        <f t="shared" ca="1" si="7"/>
        <v>Defer receipts</v>
      </c>
    </row>
    <row r="240" spans="1:16" ht="13" customHeight="1" x14ac:dyDescent="0.35">
      <c r="A240" s="93">
        <v>47788</v>
      </c>
      <c r="B240" s="61" t="s">
        <v>54</v>
      </c>
      <c r="C240" s="12" t="str">
        <f>'Planning Engine'!C956</f>
        <v>Raw Material</v>
      </c>
      <c r="D240" s="12" t="str">
        <f>'Planning Engine'!D956</f>
        <v>kg</v>
      </c>
      <c r="E240" s="95">
        <f>'Planning Engine'!E956</f>
        <v>177.28999999999996</v>
      </c>
      <c r="F240" s="95">
        <f>'Planning Engine'!F956</f>
        <v>0</v>
      </c>
      <c r="G240" s="95">
        <f>'Planning Engine'!G956</f>
        <v>0</v>
      </c>
      <c r="H240" s="95">
        <f t="shared" si="6"/>
        <v>0</v>
      </c>
      <c r="I240" s="95">
        <f>'Planning Engine'!H956</f>
        <v>177.28999999999996</v>
      </c>
      <c r="J240" s="96">
        <f ca="1">'Planning Engine'!J956</f>
        <v>999</v>
      </c>
      <c r="K240" s="95">
        <f ca="1">'Planning Engine'!K956</f>
        <v>0</v>
      </c>
      <c r="L240" s="12" t="str">
        <f ca="1">'Planning Engine'!L956</f>
        <v>Overstock</v>
      </c>
      <c r="M240" s="93">
        <f>'Planning Engine'!S956</f>
        <v>47665</v>
      </c>
      <c r="N240" s="95">
        <f>'Planning Engine'!T956</f>
        <v>0</v>
      </c>
      <c r="O240" s="94" t="s">
        <v>1988</v>
      </c>
      <c r="P240" s="12" t="str">
        <f t="shared" ca="1" si="7"/>
        <v>Defer receipts</v>
      </c>
    </row>
    <row r="241" spans="1:16" ht="13" customHeight="1" x14ac:dyDescent="0.35">
      <c r="A241" s="97">
        <v>47818</v>
      </c>
      <c r="B241" s="53" t="s">
        <v>54</v>
      </c>
      <c r="C241" s="12" t="str">
        <f>'Planning Engine'!C957</f>
        <v>Raw Material</v>
      </c>
      <c r="D241" s="12" t="str">
        <f>'Planning Engine'!D957</f>
        <v>kg</v>
      </c>
      <c r="E241" s="95">
        <f>'Planning Engine'!E957</f>
        <v>177.28999999999996</v>
      </c>
      <c r="F241" s="95">
        <f>'Planning Engine'!F957</f>
        <v>0</v>
      </c>
      <c r="G241" s="95">
        <f>'Planning Engine'!G957</f>
        <v>0</v>
      </c>
      <c r="H241" s="99">
        <f t="shared" si="6"/>
        <v>0</v>
      </c>
      <c r="I241" s="95">
        <f>'Planning Engine'!H957</f>
        <v>177.28999999999996</v>
      </c>
      <c r="J241" s="96">
        <f ca="1">'Planning Engine'!J957</f>
        <v>999</v>
      </c>
      <c r="K241" s="95">
        <f ca="1">'Planning Engine'!K957</f>
        <v>0</v>
      </c>
      <c r="L241" s="12" t="str">
        <f ca="1">'Planning Engine'!L957</f>
        <v>Overstock</v>
      </c>
      <c r="M241" s="93">
        <f>'Planning Engine'!S957</f>
        <v>47696</v>
      </c>
      <c r="N241" s="95">
        <f>'Planning Engine'!T957</f>
        <v>0</v>
      </c>
      <c r="O241" s="98" t="s">
        <v>1989</v>
      </c>
      <c r="P241" s="4" t="str">
        <f t="shared" ca="1" si="7"/>
        <v>Defer receipts</v>
      </c>
    </row>
    <row r="242" spans="1:16" ht="13" customHeight="1" x14ac:dyDescent="0.35">
      <c r="A242" s="93">
        <v>47849</v>
      </c>
      <c r="B242" s="61" t="s">
        <v>54</v>
      </c>
      <c r="C242" s="12" t="str">
        <f>'Planning Engine'!C958</f>
        <v>Raw Material</v>
      </c>
      <c r="D242" s="12" t="str">
        <f>'Planning Engine'!D958</f>
        <v>kg</v>
      </c>
      <c r="E242" s="95">
        <f>'Planning Engine'!E958</f>
        <v>177.28999999999996</v>
      </c>
      <c r="F242" s="95">
        <f>'Planning Engine'!F958</f>
        <v>0</v>
      </c>
      <c r="G242" s="95">
        <f>'Planning Engine'!G958</f>
        <v>0</v>
      </c>
      <c r="H242" s="95">
        <f t="shared" si="6"/>
        <v>0</v>
      </c>
      <c r="I242" s="95">
        <f>'Planning Engine'!H958</f>
        <v>177.28999999999996</v>
      </c>
      <c r="J242" s="96">
        <f ca="1">'Planning Engine'!J958</f>
        <v>999</v>
      </c>
      <c r="K242" s="95">
        <f ca="1">'Planning Engine'!K958</f>
        <v>0</v>
      </c>
      <c r="L242" s="12" t="str">
        <f ca="1">'Planning Engine'!L958</f>
        <v>Overstock</v>
      </c>
      <c r="M242" s="93">
        <f>'Planning Engine'!S958</f>
        <v>47727</v>
      </c>
      <c r="N242" s="95">
        <f>'Planning Engine'!T958</f>
        <v>0</v>
      </c>
      <c r="O242" s="94" t="s">
        <v>1990</v>
      </c>
      <c r="P242" s="12" t="str">
        <f t="shared" ca="1" si="7"/>
        <v>Defer receipts</v>
      </c>
    </row>
    <row r="243" spans="1:16" ht="13" customHeight="1" x14ac:dyDescent="0.35">
      <c r="A243" s="97">
        <v>47880</v>
      </c>
      <c r="B243" s="53" t="s">
        <v>54</v>
      </c>
      <c r="C243" s="12" t="str">
        <f>'Planning Engine'!C959</f>
        <v>Raw Material</v>
      </c>
      <c r="D243" s="12" t="str">
        <f>'Planning Engine'!D959</f>
        <v>kg</v>
      </c>
      <c r="E243" s="95">
        <f>'Planning Engine'!E959</f>
        <v>177.28999999999996</v>
      </c>
      <c r="F243" s="95">
        <f>'Planning Engine'!F959</f>
        <v>0</v>
      </c>
      <c r="G243" s="95">
        <f>'Planning Engine'!G959</f>
        <v>0</v>
      </c>
      <c r="H243" s="99">
        <f t="shared" si="6"/>
        <v>0</v>
      </c>
      <c r="I243" s="95">
        <f>'Planning Engine'!H959</f>
        <v>177.28999999999996</v>
      </c>
      <c r="J243" s="96">
        <f ca="1">'Planning Engine'!J959</f>
        <v>999</v>
      </c>
      <c r="K243" s="95">
        <f ca="1">'Planning Engine'!K959</f>
        <v>0</v>
      </c>
      <c r="L243" s="12" t="str">
        <f ca="1">'Planning Engine'!L959</f>
        <v>Overstock</v>
      </c>
      <c r="M243" s="93">
        <f>'Planning Engine'!S959</f>
        <v>47757</v>
      </c>
      <c r="N243" s="95">
        <f>'Planning Engine'!T959</f>
        <v>0</v>
      </c>
      <c r="O243" s="98" t="s">
        <v>1991</v>
      </c>
      <c r="P243" s="4" t="str">
        <f t="shared" ca="1" si="7"/>
        <v>Defer receipts</v>
      </c>
    </row>
    <row r="244" spans="1:16" ht="13" customHeight="1" x14ac:dyDescent="0.35">
      <c r="A244" s="93">
        <v>47908</v>
      </c>
      <c r="B244" s="61" t="s">
        <v>54</v>
      </c>
      <c r="C244" s="12" t="str">
        <f>'Planning Engine'!C960</f>
        <v>Raw Material</v>
      </c>
      <c r="D244" s="12" t="str">
        <f>'Planning Engine'!D960</f>
        <v>kg</v>
      </c>
      <c r="E244" s="95">
        <f>'Planning Engine'!E960</f>
        <v>177.28999999999996</v>
      </c>
      <c r="F244" s="95">
        <f>'Planning Engine'!F960</f>
        <v>0</v>
      </c>
      <c r="G244" s="95">
        <f>'Planning Engine'!G960</f>
        <v>0</v>
      </c>
      <c r="H244" s="95">
        <f t="shared" si="6"/>
        <v>0</v>
      </c>
      <c r="I244" s="95">
        <f>'Planning Engine'!H960</f>
        <v>177.28999999999996</v>
      </c>
      <c r="J244" s="96">
        <f ca="1">'Planning Engine'!J960</f>
        <v>999</v>
      </c>
      <c r="K244" s="95">
        <f ca="1">'Planning Engine'!K960</f>
        <v>0</v>
      </c>
      <c r="L244" s="12" t="str">
        <f ca="1">'Planning Engine'!L960</f>
        <v>Overstock</v>
      </c>
      <c r="M244" s="93">
        <f>'Planning Engine'!S960</f>
        <v>47788</v>
      </c>
      <c r="N244" s="95">
        <f>'Planning Engine'!T960</f>
        <v>0</v>
      </c>
      <c r="O244" s="94" t="s">
        <v>1992</v>
      </c>
      <c r="P244" s="12" t="str">
        <f t="shared" ca="1" si="7"/>
        <v>Defer receipts</v>
      </c>
    </row>
    <row r="245" spans="1:16" ht="13" customHeight="1" x14ac:dyDescent="0.35">
      <c r="A245" s="97">
        <v>47939</v>
      </c>
      <c r="B245" s="53" t="s">
        <v>54</v>
      </c>
      <c r="C245" s="12" t="str">
        <f>'Planning Engine'!C961</f>
        <v>Raw Material</v>
      </c>
      <c r="D245" s="12" t="str">
        <f>'Planning Engine'!D961</f>
        <v>kg</v>
      </c>
      <c r="E245" s="95">
        <f>'Planning Engine'!E961</f>
        <v>177.28999999999996</v>
      </c>
      <c r="F245" s="95">
        <f>'Planning Engine'!F961</f>
        <v>0</v>
      </c>
      <c r="G245" s="95">
        <f>'Planning Engine'!G961</f>
        <v>0</v>
      </c>
      <c r="H245" s="99">
        <f t="shared" si="6"/>
        <v>0</v>
      </c>
      <c r="I245" s="95">
        <f>'Planning Engine'!H961</f>
        <v>177.28999999999996</v>
      </c>
      <c r="J245" s="96">
        <f ca="1">'Planning Engine'!J961</f>
        <v>999</v>
      </c>
      <c r="K245" s="95">
        <f ca="1">'Planning Engine'!K961</f>
        <v>0</v>
      </c>
      <c r="L245" s="12" t="str">
        <f ca="1">'Planning Engine'!L961</f>
        <v>Overstock</v>
      </c>
      <c r="M245" s="93">
        <f>'Planning Engine'!S961</f>
        <v>47818</v>
      </c>
      <c r="N245" s="95">
        <f>'Planning Engine'!T961</f>
        <v>0</v>
      </c>
      <c r="O245" s="98" t="s">
        <v>1993</v>
      </c>
      <c r="P245" s="4" t="str">
        <f t="shared" ca="1" si="7"/>
        <v>Defer receipts</v>
      </c>
    </row>
    <row r="246" spans="1:16" ht="13" customHeight="1" x14ac:dyDescent="0.35">
      <c r="A246" s="93">
        <v>47969</v>
      </c>
      <c r="B246" s="61" t="s">
        <v>54</v>
      </c>
      <c r="C246" s="12" t="str">
        <f>'Planning Engine'!C962</f>
        <v>Raw Material</v>
      </c>
      <c r="D246" s="12" t="str">
        <f>'Planning Engine'!D962</f>
        <v>kg</v>
      </c>
      <c r="E246" s="95">
        <f>'Planning Engine'!E962</f>
        <v>177.28999999999996</v>
      </c>
      <c r="F246" s="95">
        <f>'Planning Engine'!F962</f>
        <v>0</v>
      </c>
      <c r="G246" s="95">
        <f>'Planning Engine'!G962</f>
        <v>0</v>
      </c>
      <c r="H246" s="95">
        <f t="shared" si="6"/>
        <v>0</v>
      </c>
      <c r="I246" s="95">
        <f>'Planning Engine'!H962</f>
        <v>177.28999999999996</v>
      </c>
      <c r="J246" s="96">
        <f ca="1">'Planning Engine'!J962</f>
        <v>999</v>
      </c>
      <c r="K246" s="95">
        <f ca="1">'Planning Engine'!K962</f>
        <v>0</v>
      </c>
      <c r="L246" s="12" t="str">
        <f ca="1">'Planning Engine'!L962</f>
        <v>Overstock</v>
      </c>
      <c r="M246" s="93">
        <f>'Planning Engine'!S962</f>
        <v>47849</v>
      </c>
      <c r="N246" s="95">
        <f>'Planning Engine'!T962</f>
        <v>0</v>
      </c>
      <c r="O246" s="94" t="s">
        <v>1994</v>
      </c>
      <c r="P246" s="12" t="str">
        <f t="shared" ca="1" si="7"/>
        <v>Defer receipts</v>
      </c>
    </row>
    <row r="247" spans="1:16" ht="13" customHeight="1" x14ac:dyDescent="0.35">
      <c r="A247" s="97">
        <v>48000</v>
      </c>
      <c r="B247" s="53" t="s">
        <v>54</v>
      </c>
      <c r="C247" s="12" t="str">
        <f>'Planning Engine'!C963</f>
        <v>Raw Material</v>
      </c>
      <c r="D247" s="12" t="str">
        <f>'Planning Engine'!D963</f>
        <v>kg</v>
      </c>
      <c r="E247" s="95">
        <f>'Planning Engine'!E963</f>
        <v>177.28999999999996</v>
      </c>
      <c r="F247" s="95">
        <f>'Planning Engine'!F963</f>
        <v>0</v>
      </c>
      <c r="G247" s="95">
        <f>'Planning Engine'!G963</f>
        <v>0</v>
      </c>
      <c r="H247" s="99">
        <f t="shared" si="6"/>
        <v>0</v>
      </c>
      <c r="I247" s="95">
        <f>'Planning Engine'!H963</f>
        <v>177.28999999999996</v>
      </c>
      <c r="J247" s="96">
        <f ca="1">'Planning Engine'!J963</f>
        <v>999</v>
      </c>
      <c r="K247" s="95">
        <f ca="1">'Planning Engine'!K963</f>
        <v>0</v>
      </c>
      <c r="L247" s="12" t="str">
        <f ca="1">'Planning Engine'!L963</f>
        <v>Overstock</v>
      </c>
      <c r="M247" s="93">
        <f>'Planning Engine'!S963</f>
        <v>47880</v>
      </c>
      <c r="N247" s="95">
        <f>'Planning Engine'!T963</f>
        <v>0</v>
      </c>
      <c r="O247" s="98" t="s">
        <v>1995</v>
      </c>
      <c r="P247" s="4" t="str">
        <f t="shared" ca="1" si="7"/>
        <v>Defer receipts</v>
      </c>
    </row>
    <row r="248" spans="1:16" ht="13" customHeight="1" x14ac:dyDescent="0.35">
      <c r="A248" s="93">
        <v>48030</v>
      </c>
      <c r="B248" s="61" t="s">
        <v>54</v>
      </c>
      <c r="C248" s="12" t="str">
        <f>'Planning Engine'!C964</f>
        <v>Raw Material</v>
      </c>
      <c r="D248" s="12" t="str">
        <f>'Planning Engine'!D964</f>
        <v>kg</v>
      </c>
      <c r="E248" s="95">
        <f>'Planning Engine'!E964</f>
        <v>177.28999999999996</v>
      </c>
      <c r="F248" s="95">
        <f>'Planning Engine'!F964</f>
        <v>0</v>
      </c>
      <c r="G248" s="95">
        <f>'Planning Engine'!G964</f>
        <v>0</v>
      </c>
      <c r="H248" s="95">
        <f t="shared" si="6"/>
        <v>0</v>
      </c>
      <c r="I248" s="95">
        <f>'Planning Engine'!H964</f>
        <v>177.28999999999996</v>
      </c>
      <c r="J248" s="96">
        <f ca="1">'Planning Engine'!J964</f>
        <v>999</v>
      </c>
      <c r="K248" s="95">
        <f ca="1">'Planning Engine'!K964</f>
        <v>0</v>
      </c>
      <c r="L248" s="12" t="str">
        <f ca="1">'Planning Engine'!L964</f>
        <v>Overstock</v>
      </c>
      <c r="M248" s="93">
        <f>'Planning Engine'!S964</f>
        <v>47908</v>
      </c>
      <c r="N248" s="95">
        <f>'Planning Engine'!T964</f>
        <v>0</v>
      </c>
      <c r="O248" s="94" t="s">
        <v>1996</v>
      </c>
      <c r="P248" s="12" t="str">
        <f t="shared" ca="1" si="7"/>
        <v>Defer receipts</v>
      </c>
    </row>
    <row r="249" spans="1:16" ht="13" customHeight="1" x14ac:dyDescent="0.35">
      <c r="A249" s="97">
        <v>48061</v>
      </c>
      <c r="B249" s="53" t="s">
        <v>54</v>
      </c>
      <c r="C249" s="12" t="str">
        <f>'Planning Engine'!C965</f>
        <v>Raw Material</v>
      </c>
      <c r="D249" s="12" t="str">
        <f>'Planning Engine'!D965</f>
        <v>kg</v>
      </c>
      <c r="E249" s="95">
        <f>'Planning Engine'!E965</f>
        <v>177.28999999999996</v>
      </c>
      <c r="F249" s="95">
        <f>'Planning Engine'!F965</f>
        <v>0</v>
      </c>
      <c r="G249" s="95">
        <f>'Planning Engine'!G965</f>
        <v>0</v>
      </c>
      <c r="H249" s="99">
        <f t="shared" si="6"/>
        <v>0</v>
      </c>
      <c r="I249" s="95">
        <f>'Planning Engine'!H965</f>
        <v>177.28999999999996</v>
      </c>
      <c r="J249" s="96">
        <f ca="1">'Planning Engine'!J965</f>
        <v>999</v>
      </c>
      <c r="K249" s="95">
        <f ca="1">'Planning Engine'!K965</f>
        <v>0</v>
      </c>
      <c r="L249" s="12" t="str">
        <f ca="1">'Planning Engine'!L965</f>
        <v>Overstock</v>
      </c>
      <c r="M249" s="93">
        <f>'Planning Engine'!S965</f>
        <v>47939</v>
      </c>
      <c r="N249" s="95">
        <f>'Planning Engine'!T965</f>
        <v>0</v>
      </c>
      <c r="O249" s="98" t="s">
        <v>1997</v>
      </c>
      <c r="P249" s="4" t="str">
        <f t="shared" ca="1" si="7"/>
        <v>Defer receipts</v>
      </c>
    </row>
    <row r="250" spans="1:16" ht="13" customHeight="1" x14ac:dyDescent="0.35">
      <c r="A250" s="93">
        <v>48092</v>
      </c>
      <c r="B250" s="61" t="s">
        <v>54</v>
      </c>
      <c r="C250" s="12" t="str">
        <f>'Planning Engine'!C966</f>
        <v>Raw Material</v>
      </c>
      <c r="D250" s="12" t="str">
        <f>'Planning Engine'!D966</f>
        <v>kg</v>
      </c>
      <c r="E250" s="95">
        <f>'Planning Engine'!E966</f>
        <v>177.28999999999996</v>
      </c>
      <c r="F250" s="95">
        <f>'Planning Engine'!F966</f>
        <v>0</v>
      </c>
      <c r="G250" s="95">
        <f>'Planning Engine'!G966</f>
        <v>0</v>
      </c>
      <c r="H250" s="95">
        <f t="shared" si="6"/>
        <v>0</v>
      </c>
      <c r="I250" s="95">
        <f>'Planning Engine'!H966</f>
        <v>177.28999999999996</v>
      </c>
      <c r="J250" s="96">
        <f ca="1">'Planning Engine'!J966</f>
        <v>999</v>
      </c>
      <c r="K250" s="95">
        <f ca="1">'Planning Engine'!K966</f>
        <v>0</v>
      </c>
      <c r="L250" s="12" t="str">
        <f ca="1">'Planning Engine'!L966</f>
        <v>Overstock</v>
      </c>
      <c r="M250" s="93">
        <f>'Planning Engine'!S966</f>
        <v>47969</v>
      </c>
      <c r="N250" s="95">
        <f>'Planning Engine'!T966</f>
        <v>0</v>
      </c>
      <c r="O250" s="94" t="s">
        <v>1998</v>
      </c>
      <c r="P250" s="12" t="str">
        <f t="shared" ca="1" si="7"/>
        <v>Defer receipts</v>
      </c>
    </row>
    <row r="251" spans="1:16" ht="13" customHeight="1" x14ac:dyDescent="0.35">
      <c r="A251" s="97">
        <v>48122</v>
      </c>
      <c r="B251" s="53" t="s">
        <v>54</v>
      </c>
      <c r="C251" s="12" t="str">
        <f>'Planning Engine'!C967</f>
        <v>Raw Material</v>
      </c>
      <c r="D251" s="12" t="str">
        <f>'Planning Engine'!D967</f>
        <v>kg</v>
      </c>
      <c r="E251" s="95">
        <f>'Planning Engine'!E967</f>
        <v>177.28999999999996</v>
      </c>
      <c r="F251" s="95">
        <f>'Planning Engine'!F967</f>
        <v>0</v>
      </c>
      <c r="G251" s="95">
        <f>'Planning Engine'!G967</f>
        <v>0</v>
      </c>
      <c r="H251" s="99">
        <f t="shared" si="6"/>
        <v>0</v>
      </c>
      <c r="I251" s="95">
        <f>'Planning Engine'!H967</f>
        <v>177.28999999999996</v>
      </c>
      <c r="J251" s="96">
        <f ca="1">'Planning Engine'!J967</f>
        <v>999</v>
      </c>
      <c r="K251" s="95">
        <f ca="1">'Planning Engine'!K967</f>
        <v>0</v>
      </c>
      <c r="L251" s="12" t="str">
        <f ca="1">'Planning Engine'!L967</f>
        <v>Overstock</v>
      </c>
      <c r="M251" s="93">
        <f>'Planning Engine'!S967</f>
        <v>48000</v>
      </c>
      <c r="N251" s="95">
        <f>'Planning Engine'!T967</f>
        <v>0</v>
      </c>
      <c r="O251" s="98" t="s">
        <v>1999</v>
      </c>
      <c r="P251" s="4" t="str">
        <f t="shared" ca="1" si="7"/>
        <v>Defer receipts</v>
      </c>
    </row>
    <row r="252" spans="1:16" ht="13" customHeight="1" x14ac:dyDescent="0.35">
      <c r="A252" s="93">
        <v>48153</v>
      </c>
      <c r="B252" s="61" t="s">
        <v>54</v>
      </c>
      <c r="C252" s="12" t="str">
        <f>'Planning Engine'!C968</f>
        <v>Raw Material</v>
      </c>
      <c r="D252" s="12" t="str">
        <f>'Planning Engine'!D968</f>
        <v>kg</v>
      </c>
      <c r="E252" s="95">
        <f>'Planning Engine'!E968</f>
        <v>177.28999999999996</v>
      </c>
      <c r="F252" s="95">
        <f>'Planning Engine'!F968</f>
        <v>0</v>
      </c>
      <c r="G252" s="95">
        <f>'Planning Engine'!G968</f>
        <v>0</v>
      </c>
      <c r="H252" s="95">
        <f t="shared" si="6"/>
        <v>0</v>
      </c>
      <c r="I252" s="95">
        <f>'Planning Engine'!H968</f>
        <v>177.28999999999996</v>
      </c>
      <c r="J252" s="96">
        <f ca="1">'Planning Engine'!J968</f>
        <v>999</v>
      </c>
      <c r="K252" s="95">
        <f ca="1">'Planning Engine'!K968</f>
        <v>0</v>
      </c>
      <c r="L252" s="12" t="str">
        <f ca="1">'Planning Engine'!L968</f>
        <v>Overstock</v>
      </c>
      <c r="M252" s="93">
        <f>'Planning Engine'!S968</f>
        <v>48030</v>
      </c>
      <c r="N252" s="95">
        <f>'Planning Engine'!T968</f>
        <v>0</v>
      </c>
      <c r="O252" s="94" t="s">
        <v>2000</v>
      </c>
      <c r="P252" s="12" t="str">
        <f t="shared" ca="1" si="7"/>
        <v>Defer receipts</v>
      </c>
    </row>
    <row r="253" spans="1:16" ht="13" customHeight="1" x14ac:dyDescent="0.35">
      <c r="A253" s="97">
        <v>48183</v>
      </c>
      <c r="B253" s="53" t="s">
        <v>54</v>
      </c>
      <c r="C253" s="12" t="str">
        <f>'Planning Engine'!C969</f>
        <v>Raw Material</v>
      </c>
      <c r="D253" s="12" t="str">
        <f>'Planning Engine'!D969</f>
        <v>kg</v>
      </c>
      <c r="E253" s="95">
        <f>'Planning Engine'!E969</f>
        <v>177.28999999999996</v>
      </c>
      <c r="F253" s="95">
        <f>'Planning Engine'!F969</f>
        <v>0</v>
      </c>
      <c r="G253" s="95">
        <f>'Planning Engine'!G969</f>
        <v>0</v>
      </c>
      <c r="H253" s="99">
        <f t="shared" si="6"/>
        <v>0</v>
      </c>
      <c r="I253" s="95">
        <f>'Planning Engine'!H969</f>
        <v>177.28999999999996</v>
      </c>
      <c r="J253" s="96">
        <f ca="1">'Planning Engine'!J969</f>
        <v>999</v>
      </c>
      <c r="K253" s="95">
        <f ca="1">'Planning Engine'!K969</f>
        <v>0</v>
      </c>
      <c r="L253" s="12" t="str">
        <f ca="1">'Planning Engine'!L969</f>
        <v>Overstock</v>
      </c>
      <c r="M253" s="93">
        <f>'Planning Engine'!S969</f>
        <v>48061</v>
      </c>
      <c r="N253" s="95">
        <f>'Planning Engine'!T969</f>
        <v>0</v>
      </c>
      <c r="O253" s="98" t="s">
        <v>2001</v>
      </c>
      <c r="P253" s="4" t="str">
        <f t="shared" ca="1" si="7"/>
        <v>Defer receipts</v>
      </c>
    </row>
    <row r="254" spans="1:16" ht="13" customHeight="1" x14ac:dyDescent="0.35">
      <c r="A254" s="93">
        <v>48214</v>
      </c>
      <c r="B254" s="61" t="s">
        <v>54</v>
      </c>
      <c r="C254" s="12" t="str">
        <f>'Planning Engine'!C970</f>
        <v>Raw Material</v>
      </c>
      <c r="D254" s="12" t="str">
        <f>'Planning Engine'!D970</f>
        <v>kg</v>
      </c>
      <c r="E254" s="95">
        <f>'Planning Engine'!E970</f>
        <v>177.28999999999996</v>
      </c>
      <c r="F254" s="95">
        <f>'Planning Engine'!F970</f>
        <v>0</v>
      </c>
      <c r="G254" s="95">
        <f>'Planning Engine'!G970</f>
        <v>0</v>
      </c>
      <c r="H254" s="95">
        <f t="shared" si="6"/>
        <v>0</v>
      </c>
      <c r="I254" s="95">
        <f>'Planning Engine'!H970</f>
        <v>177.28999999999996</v>
      </c>
      <c r="J254" s="96">
        <f ca="1">'Planning Engine'!J970</f>
        <v>999</v>
      </c>
      <c r="K254" s="95">
        <f ca="1">'Planning Engine'!K970</f>
        <v>0</v>
      </c>
      <c r="L254" s="12" t="str">
        <f ca="1">'Planning Engine'!L970</f>
        <v>Overstock</v>
      </c>
      <c r="M254" s="93">
        <f>'Planning Engine'!S970</f>
        <v>48092</v>
      </c>
      <c r="N254" s="95">
        <f>'Planning Engine'!T970</f>
        <v>0</v>
      </c>
      <c r="O254" s="94" t="s">
        <v>2002</v>
      </c>
      <c r="P254" s="12" t="str">
        <f t="shared" ca="1" si="7"/>
        <v>Defer receipts</v>
      </c>
    </row>
    <row r="255" spans="1:16" ht="13" customHeight="1" x14ac:dyDescent="0.35">
      <c r="A255" s="97">
        <v>48245</v>
      </c>
      <c r="B255" s="53" t="s">
        <v>54</v>
      </c>
      <c r="C255" s="12" t="str">
        <f>'Planning Engine'!C971</f>
        <v>Raw Material</v>
      </c>
      <c r="D255" s="12" t="str">
        <f>'Planning Engine'!D971</f>
        <v>kg</v>
      </c>
      <c r="E255" s="95">
        <f>'Planning Engine'!E971</f>
        <v>177.28999999999996</v>
      </c>
      <c r="F255" s="95">
        <f>'Planning Engine'!F971</f>
        <v>0</v>
      </c>
      <c r="G255" s="95">
        <f>'Planning Engine'!G971</f>
        <v>0</v>
      </c>
      <c r="H255" s="99">
        <f t="shared" si="6"/>
        <v>0</v>
      </c>
      <c r="I255" s="95">
        <f>'Planning Engine'!H971</f>
        <v>177.28999999999996</v>
      </c>
      <c r="J255" s="96">
        <f ca="1">'Planning Engine'!J971</f>
        <v>999</v>
      </c>
      <c r="K255" s="95">
        <f ca="1">'Planning Engine'!K971</f>
        <v>0</v>
      </c>
      <c r="L255" s="12" t="str">
        <f ca="1">'Planning Engine'!L971</f>
        <v>Overstock</v>
      </c>
      <c r="M255" s="93">
        <f>'Planning Engine'!S971</f>
        <v>48122</v>
      </c>
      <c r="N255" s="95">
        <f>'Planning Engine'!T971</f>
        <v>0</v>
      </c>
      <c r="O255" s="98" t="s">
        <v>2003</v>
      </c>
      <c r="P255" s="4" t="str">
        <f t="shared" ca="1" si="7"/>
        <v>Defer receipts</v>
      </c>
    </row>
    <row r="256" spans="1:16" ht="13" customHeight="1" x14ac:dyDescent="0.35">
      <c r="A256" s="93">
        <v>48274</v>
      </c>
      <c r="B256" s="61" t="s">
        <v>54</v>
      </c>
      <c r="C256" s="12" t="str">
        <f>'Planning Engine'!C972</f>
        <v>Raw Material</v>
      </c>
      <c r="D256" s="12" t="str">
        <f>'Planning Engine'!D972</f>
        <v>kg</v>
      </c>
      <c r="E256" s="95">
        <f>'Planning Engine'!E972</f>
        <v>177.28999999999996</v>
      </c>
      <c r="F256" s="95">
        <f>'Planning Engine'!F972</f>
        <v>0</v>
      </c>
      <c r="G256" s="95">
        <f>'Planning Engine'!G972</f>
        <v>0</v>
      </c>
      <c r="H256" s="95">
        <f t="shared" si="6"/>
        <v>0</v>
      </c>
      <c r="I256" s="95">
        <f>'Planning Engine'!H972</f>
        <v>177.28999999999996</v>
      </c>
      <c r="J256" s="96">
        <f ca="1">'Planning Engine'!J972</f>
        <v>999</v>
      </c>
      <c r="K256" s="95">
        <f ca="1">'Planning Engine'!K972</f>
        <v>0</v>
      </c>
      <c r="L256" s="12" t="str">
        <f ca="1">'Planning Engine'!L972</f>
        <v>Overstock</v>
      </c>
      <c r="M256" s="93">
        <f>'Planning Engine'!S972</f>
        <v>48153</v>
      </c>
      <c r="N256" s="95">
        <f>'Planning Engine'!T972</f>
        <v>0</v>
      </c>
      <c r="O256" s="94" t="s">
        <v>2004</v>
      </c>
      <c r="P256" s="12" t="str">
        <f t="shared" ca="1" si="7"/>
        <v>Defer receipts</v>
      </c>
    </row>
    <row r="257" spans="1:16" ht="13" customHeight="1" x14ac:dyDescent="0.35">
      <c r="A257" s="97">
        <v>48305</v>
      </c>
      <c r="B257" s="53" t="s">
        <v>54</v>
      </c>
      <c r="C257" s="12" t="str">
        <f>'Planning Engine'!C973</f>
        <v>Raw Material</v>
      </c>
      <c r="D257" s="12" t="str">
        <f>'Planning Engine'!D973</f>
        <v>kg</v>
      </c>
      <c r="E257" s="95">
        <f>'Planning Engine'!E973</f>
        <v>177.28999999999996</v>
      </c>
      <c r="F257" s="95">
        <f>'Planning Engine'!F973</f>
        <v>0</v>
      </c>
      <c r="G257" s="95">
        <f>'Planning Engine'!G973</f>
        <v>0</v>
      </c>
      <c r="H257" s="99">
        <f t="shared" si="6"/>
        <v>0</v>
      </c>
      <c r="I257" s="95">
        <f>'Planning Engine'!H973</f>
        <v>177.28999999999996</v>
      </c>
      <c r="J257" s="96">
        <f ca="1">'Planning Engine'!J973</f>
        <v>999</v>
      </c>
      <c r="K257" s="95">
        <f ca="1">'Planning Engine'!K973</f>
        <v>0</v>
      </c>
      <c r="L257" s="12" t="str">
        <f ca="1">'Planning Engine'!L973</f>
        <v>Overstock</v>
      </c>
      <c r="M257" s="93">
        <f>'Planning Engine'!S973</f>
        <v>48183</v>
      </c>
      <c r="N257" s="95">
        <f>'Planning Engine'!T973</f>
        <v>0</v>
      </c>
      <c r="O257" s="98" t="s">
        <v>2005</v>
      </c>
      <c r="P257" s="4" t="str">
        <f t="shared" ca="1" si="7"/>
        <v>Defer receipts</v>
      </c>
    </row>
    <row r="258" spans="1:16" ht="13" customHeight="1" x14ac:dyDescent="0.35">
      <c r="A258" s="93">
        <v>48335</v>
      </c>
      <c r="B258" s="61" t="s">
        <v>54</v>
      </c>
      <c r="C258" s="12" t="str">
        <f>'Planning Engine'!C974</f>
        <v>Raw Material</v>
      </c>
      <c r="D258" s="12" t="str">
        <f>'Planning Engine'!D974</f>
        <v>kg</v>
      </c>
      <c r="E258" s="95">
        <f>'Planning Engine'!E974</f>
        <v>177.28999999999996</v>
      </c>
      <c r="F258" s="95">
        <f>'Planning Engine'!F974</f>
        <v>0</v>
      </c>
      <c r="G258" s="95">
        <f>'Planning Engine'!G974</f>
        <v>0</v>
      </c>
      <c r="H258" s="95">
        <f t="shared" si="6"/>
        <v>0</v>
      </c>
      <c r="I258" s="95">
        <f>'Planning Engine'!H974</f>
        <v>177.28999999999996</v>
      </c>
      <c r="J258" s="96">
        <f ca="1">'Planning Engine'!J974</f>
        <v>999</v>
      </c>
      <c r="K258" s="95">
        <f ca="1">'Planning Engine'!K974</f>
        <v>0</v>
      </c>
      <c r="L258" s="12" t="str">
        <f ca="1">'Planning Engine'!L974</f>
        <v>Overstock</v>
      </c>
      <c r="M258" s="93">
        <f>'Planning Engine'!S974</f>
        <v>48214</v>
      </c>
      <c r="N258" s="95">
        <f>'Planning Engine'!T974</f>
        <v>0</v>
      </c>
      <c r="O258" s="94" t="s">
        <v>2006</v>
      </c>
      <c r="P258" s="12" t="str">
        <f t="shared" ca="1" si="7"/>
        <v>Defer receipts</v>
      </c>
    </row>
    <row r="259" spans="1:16" ht="13" customHeight="1" x14ac:dyDescent="0.35">
      <c r="A259" s="97">
        <v>48366</v>
      </c>
      <c r="B259" s="53" t="s">
        <v>54</v>
      </c>
      <c r="C259" s="12" t="str">
        <f>'Planning Engine'!C975</f>
        <v>Raw Material</v>
      </c>
      <c r="D259" s="12" t="str">
        <f>'Planning Engine'!D975</f>
        <v>kg</v>
      </c>
      <c r="E259" s="95">
        <f>'Planning Engine'!E975</f>
        <v>177.28999999999996</v>
      </c>
      <c r="F259" s="95">
        <f>'Planning Engine'!F975</f>
        <v>0</v>
      </c>
      <c r="G259" s="95">
        <f>'Planning Engine'!G975</f>
        <v>0</v>
      </c>
      <c r="H259" s="99">
        <f t="shared" si="6"/>
        <v>0</v>
      </c>
      <c r="I259" s="95">
        <f>'Planning Engine'!H975</f>
        <v>177.28999999999996</v>
      </c>
      <c r="J259" s="96">
        <f ca="1">'Planning Engine'!J975</f>
        <v>999</v>
      </c>
      <c r="K259" s="95">
        <f ca="1">'Planning Engine'!K975</f>
        <v>0</v>
      </c>
      <c r="L259" s="12" t="str">
        <f ca="1">'Planning Engine'!L975</f>
        <v>Overstock</v>
      </c>
      <c r="M259" s="93">
        <f>'Planning Engine'!S975</f>
        <v>48245</v>
      </c>
      <c r="N259" s="95">
        <f>'Planning Engine'!T975</f>
        <v>0</v>
      </c>
      <c r="O259" s="98" t="s">
        <v>2007</v>
      </c>
      <c r="P259" s="4" t="str">
        <f t="shared" ca="1" si="7"/>
        <v>Defer receipts</v>
      </c>
    </row>
    <row r="260" spans="1:16" ht="13" customHeight="1" x14ac:dyDescent="0.35">
      <c r="A260" s="93">
        <v>48396</v>
      </c>
      <c r="B260" s="61" t="s">
        <v>54</v>
      </c>
      <c r="C260" s="12" t="str">
        <f>'Planning Engine'!C976</f>
        <v>Raw Material</v>
      </c>
      <c r="D260" s="12" t="str">
        <f>'Planning Engine'!D976</f>
        <v>kg</v>
      </c>
      <c r="E260" s="95">
        <f>'Planning Engine'!E976</f>
        <v>177.28999999999996</v>
      </c>
      <c r="F260" s="95">
        <f>'Planning Engine'!F976</f>
        <v>0</v>
      </c>
      <c r="G260" s="95">
        <f>'Planning Engine'!G976</f>
        <v>0</v>
      </c>
      <c r="H260" s="95">
        <f t="shared" ref="H260:H323" si="8">G260-F260</f>
        <v>0</v>
      </c>
      <c r="I260" s="95">
        <f>'Planning Engine'!H976</f>
        <v>177.28999999999996</v>
      </c>
      <c r="J260" s="96">
        <f ca="1">'Planning Engine'!J976</f>
        <v>999</v>
      </c>
      <c r="K260" s="95">
        <f ca="1">'Planning Engine'!K976</f>
        <v>0</v>
      </c>
      <c r="L260" s="12" t="str">
        <f ca="1">'Planning Engine'!L976</f>
        <v>Overstock</v>
      </c>
      <c r="M260" s="93">
        <f>'Planning Engine'!S976</f>
        <v>48274</v>
      </c>
      <c r="N260" s="95">
        <f>'Planning Engine'!T976</f>
        <v>0</v>
      </c>
      <c r="O260" s="94" t="s">
        <v>2008</v>
      </c>
      <c r="P260" s="12" t="str">
        <f t="shared" ref="P260:P323" ca="1" si="9">IFERROR(IF(L260="High","⚠ Expedite / qualify alternate source",IF(L260="Medium","Monitor — plan additional POs",IF(L260="Overstock","Defer receipts","OK"))),"--")</f>
        <v>Defer receipts</v>
      </c>
    </row>
    <row r="261" spans="1:16" ht="13" customHeight="1" x14ac:dyDescent="0.35">
      <c r="A261" s="97">
        <v>48427</v>
      </c>
      <c r="B261" s="53" t="s">
        <v>54</v>
      </c>
      <c r="C261" s="12" t="str">
        <f>'Planning Engine'!C977</f>
        <v>Raw Material</v>
      </c>
      <c r="D261" s="12" t="str">
        <f>'Planning Engine'!D977</f>
        <v>kg</v>
      </c>
      <c r="E261" s="95">
        <f>'Planning Engine'!E977</f>
        <v>177.28999999999996</v>
      </c>
      <c r="F261" s="95">
        <f>'Planning Engine'!F977</f>
        <v>0</v>
      </c>
      <c r="G261" s="95">
        <f>'Planning Engine'!G977</f>
        <v>0</v>
      </c>
      <c r="H261" s="99">
        <f t="shared" si="8"/>
        <v>0</v>
      </c>
      <c r="I261" s="95">
        <f>'Planning Engine'!H977</f>
        <v>177.28999999999996</v>
      </c>
      <c r="J261" s="96">
        <f ca="1">'Planning Engine'!J977</f>
        <v>999</v>
      </c>
      <c r="K261" s="95">
        <f ca="1">'Planning Engine'!K977</f>
        <v>0</v>
      </c>
      <c r="L261" s="12" t="str">
        <f ca="1">'Planning Engine'!L977</f>
        <v>Overstock</v>
      </c>
      <c r="M261" s="93">
        <f>'Planning Engine'!S977</f>
        <v>48305</v>
      </c>
      <c r="N261" s="95">
        <f>'Planning Engine'!T977</f>
        <v>0</v>
      </c>
      <c r="O261" s="98" t="s">
        <v>2009</v>
      </c>
      <c r="P261" s="4" t="str">
        <f t="shared" ca="1" si="9"/>
        <v>Defer receipts</v>
      </c>
    </row>
    <row r="262" spans="1:16" ht="13" customHeight="1" x14ac:dyDescent="0.35">
      <c r="A262" s="93">
        <v>48458</v>
      </c>
      <c r="B262" s="61" t="s">
        <v>54</v>
      </c>
      <c r="C262" s="12" t="str">
        <f>'Planning Engine'!C978</f>
        <v>Raw Material</v>
      </c>
      <c r="D262" s="12" t="str">
        <f>'Planning Engine'!D978</f>
        <v>kg</v>
      </c>
      <c r="E262" s="95">
        <f>'Planning Engine'!E978</f>
        <v>177.28999999999996</v>
      </c>
      <c r="F262" s="95">
        <f>'Planning Engine'!F978</f>
        <v>0</v>
      </c>
      <c r="G262" s="95">
        <f>'Planning Engine'!G978</f>
        <v>0</v>
      </c>
      <c r="H262" s="95">
        <f t="shared" si="8"/>
        <v>0</v>
      </c>
      <c r="I262" s="95">
        <f>'Planning Engine'!H978</f>
        <v>177.28999999999996</v>
      </c>
      <c r="J262" s="96">
        <f ca="1">'Planning Engine'!J978</f>
        <v>999</v>
      </c>
      <c r="K262" s="95">
        <f ca="1">'Planning Engine'!K978</f>
        <v>0</v>
      </c>
      <c r="L262" s="12" t="str">
        <f ca="1">'Planning Engine'!L978</f>
        <v>Overstock</v>
      </c>
      <c r="M262" s="93">
        <f>'Planning Engine'!S978</f>
        <v>48335</v>
      </c>
      <c r="N262" s="95">
        <f>'Planning Engine'!T978</f>
        <v>0</v>
      </c>
      <c r="O262" s="94" t="s">
        <v>2010</v>
      </c>
      <c r="P262" s="12" t="str">
        <f t="shared" ca="1" si="9"/>
        <v>Defer receipts</v>
      </c>
    </row>
    <row r="263" spans="1:16" ht="13" customHeight="1" x14ac:dyDescent="0.35">
      <c r="A263" s="97">
        <v>48488</v>
      </c>
      <c r="B263" s="53" t="s">
        <v>54</v>
      </c>
      <c r="C263" s="12" t="str">
        <f>'Planning Engine'!C979</f>
        <v>Raw Material</v>
      </c>
      <c r="D263" s="12" t="str">
        <f>'Planning Engine'!D979</f>
        <v>kg</v>
      </c>
      <c r="E263" s="95">
        <f>'Planning Engine'!E979</f>
        <v>177.28999999999996</v>
      </c>
      <c r="F263" s="95">
        <f>'Planning Engine'!F979</f>
        <v>0</v>
      </c>
      <c r="G263" s="95">
        <f>'Planning Engine'!G979</f>
        <v>0</v>
      </c>
      <c r="H263" s="99">
        <f t="shared" si="8"/>
        <v>0</v>
      </c>
      <c r="I263" s="95">
        <f>'Planning Engine'!H979</f>
        <v>177.28999999999996</v>
      </c>
      <c r="J263" s="96">
        <f ca="1">'Planning Engine'!J979</f>
        <v>999</v>
      </c>
      <c r="K263" s="95">
        <f ca="1">'Planning Engine'!K979</f>
        <v>0</v>
      </c>
      <c r="L263" s="12" t="str">
        <f ca="1">'Planning Engine'!L979</f>
        <v>Overstock</v>
      </c>
      <c r="M263" s="93">
        <f>'Planning Engine'!S979</f>
        <v>48366</v>
      </c>
      <c r="N263" s="95">
        <f>'Planning Engine'!T979</f>
        <v>0</v>
      </c>
      <c r="O263" s="98" t="s">
        <v>2011</v>
      </c>
      <c r="P263" s="4" t="str">
        <f t="shared" ca="1" si="9"/>
        <v>Defer receipts</v>
      </c>
    </row>
    <row r="264" spans="1:16" ht="13" customHeight="1" x14ac:dyDescent="0.35">
      <c r="A264" s="93">
        <v>48519</v>
      </c>
      <c r="B264" s="61" t="s">
        <v>54</v>
      </c>
      <c r="C264" s="12" t="str">
        <f>'Planning Engine'!C980</f>
        <v>Raw Material</v>
      </c>
      <c r="D264" s="12" t="str">
        <f>'Planning Engine'!D980</f>
        <v>kg</v>
      </c>
      <c r="E264" s="95">
        <f>'Planning Engine'!E980</f>
        <v>177.28999999999996</v>
      </c>
      <c r="F264" s="95">
        <f>'Planning Engine'!F980</f>
        <v>0</v>
      </c>
      <c r="G264" s="95">
        <f>'Planning Engine'!G980</f>
        <v>0</v>
      </c>
      <c r="H264" s="95">
        <f t="shared" si="8"/>
        <v>0</v>
      </c>
      <c r="I264" s="95">
        <f>'Planning Engine'!H980</f>
        <v>177.28999999999996</v>
      </c>
      <c r="J264" s="96">
        <f ca="1">'Planning Engine'!J980</f>
        <v>999</v>
      </c>
      <c r="K264" s="95">
        <f ca="1">'Planning Engine'!K980</f>
        <v>0</v>
      </c>
      <c r="L264" s="12" t="str">
        <f ca="1">'Planning Engine'!L980</f>
        <v>Overstock</v>
      </c>
      <c r="M264" s="93">
        <f>'Planning Engine'!S980</f>
        <v>48396</v>
      </c>
      <c r="N264" s="95">
        <f>'Planning Engine'!T980</f>
        <v>0</v>
      </c>
      <c r="O264" s="94" t="s">
        <v>2012</v>
      </c>
      <c r="P264" s="12" t="str">
        <f t="shared" ca="1" si="9"/>
        <v>Defer receipts</v>
      </c>
    </row>
    <row r="265" spans="1:16" ht="13" customHeight="1" x14ac:dyDescent="0.35">
      <c r="A265" s="97">
        <v>48549</v>
      </c>
      <c r="B265" s="53" t="s">
        <v>54</v>
      </c>
      <c r="C265" s="12" t="str">
        <f>'Planning Engine'!C981</f>
        <v>Raw Material</v>
      </c>
      <c r="D265" s="12" t="str">
        <f>'Planning Engine'!D981</f>
        <v>kg</v>
      </c>
      <c r="E265" s="95">
        <f>'Planning Engine'!E981</f>
        <v>177.28999999999996</v>
      </c>
      <c r="F265" s="95">
        <f>'Planning Engine'!F981</f>
        <v>0</v>
      </c>
      <c r="G265" s="95">
        <f>'Planning Engine'!G981</f>
        <v>0</v>
      </c>
      <c r="H265" s="99">
        <f t="shared" si="8"/>
        <v>0</v>
      </c>
      <c r="I265" s="95">
        <f>'Planning Engine'!H981</f>
        <v>177.28999999999996</v>
      </c>
      <c r="J265" s="96">
        <f ca="1">'Planning Engine'!J981</f>
        <v>999</v>
      </c>
      <c r="K265" s="95">
        <f ca="1">'Planning Engine'!K981</f>
        <v>0</v>
      </c>
      <c r="L265" s="12" t="str">
        <f ca="1">'Planning Engine'!L981</f>
        <v>Overstock</v>
      </c>
      <c r="M265" s="93">
        <f>'Planning Engine'!S981</f>
        <v>48427</v>
      </c>
      <c r="N265" s="95">
        <f>'Planning Engine'!T981</f>
        <v>0</v>
      </c>
      <c r="O265" s="98" t="s">
        <v>2013</v>
      </c>
      <c r="P265" s="4" t="str">
        <f t="shared" ca="1" si="9"/>
        <v>Defer receipts</v>
      </c>
    </row>
    <row r="266" spans="1:16" ht="13" customHeight="1" x14ac:dyDescent="0.35">
      <c r="A266" s="93">
        <v>48580</v>
      </c>
      <c r="B266" s="61" t="s">
        <v>54</v>
      </c>
      <c r="C266" s="12" t="str">
        <f>'Planning Engine'!C982</f>
        <v>Raw Material</v>
      </c>
      <c r="D266" s="12" t="str">
        <f>'Planning Engine'!D982</f>
        <v>kg</v>
      </c>
      <c r="E266" s="95">
        <f>'Planning Engine'!E982</f>
        <v>177.28999999999996</v>
      </c>
      <c r="F266" s="95">
        <f>'Planning Engine'!F982</f>
        <v>0</v>
      </c>
      <c r="G266" s="95">
        <f>'Planning Engine'!G982</f>
        <v>0</v>
      </c>
      <c r="H266" s="95">
        <f t="shared" si="8"/>
        <v>0</v>
      </c>
      <c r="I266" s="95">
        <f>'Planning Engine'!H982</f>
        <v>177.28999999999996</v>
      </c>
      <c r="J266" s="96">
        <f ca="1">'Planning Engine'!J982</f>
        <v>999</v>
      </c>
      <c r="K266" s="95">
        <f ca="1">'Planning Engine'!K982</f>
        <v>0</v>
      </c>
      <c r="L266" s="12" t="str">
        <f ca="1">'Planning Engine'!L982</f>
        <v>Overstock</v>
      </c>
      <c r="M266" s="93">
        <f>'Planning Engine'!S982</f>
        <v>48458</v>
      </c>
      <c r="N266" s="95">
        <f>'Planning Engine'!T982</f>
        <v>0</v>
      </c>
      <c r="O266" s="94" t="s">
        <v>2014</v>
      </c>
      <c r="P266" s="12" t="str">
        <f t="shared" ca="1" si="9"/>
        <v>Defer receipts</v>
      </c>
    </row>
    <row r="267" spans="1:16" ht="13" customHeight="1" x14ac:dyDescent="0.35">
      <c r="A267" s="97">
        <v>48611</v>
      </c>
      <c r="B267" s="53" t="s">
        <v>54</v>
      </c>
      <c r="C267" s="12" t="str">
        <f>'Planning Engine'!C983</f>
        <v>Raw Material</v>
      </c>
      <c r="D267" s="12" t="str">
        <f>'Planning Engine'!D983</f>
        <v>kg</v>
      </c>
      <c r="E267" s="95">
        <f>'Planning Engine'!E983</f>
        <v>177.28999999999996</v>
      </c>
      <c r="F267" s="95">
        <f>'Planning Engine'!F983</f>
        <v>0</v>
      </c>
      <c r="G267" s="95">
        <f>'Planning Engine'!G983</f>
        <v>0</v>
      </c>
      <c r="H267" s="99">
        <f t="shared" si="8"/>
        <v>0</v>
      </c>
      <c r="I267" s="95">
        <f>'Planning Engine'!H983</f>
        <v>177.28999999999996</v>
      </c>
      <c r="J267" s="96">
        <f ca="1">'Planning Engine'!J983</f>
        <v>999</v>
      </c>
      <c r="K267" s="95">
        <f ca="1">'Planning Engine'!K983</f>
        <v>0</v>
      </c>
      <c r="L267" s="12" t="str">
        <f ca="1">'Planning Engine'!L983</f>
        <v>Overstock</v>
      </c>
      <c r="M267" s="93">
        <f>'Planning Engine'!S983</f>
        <v>48488</v>
      </c>
      <c r="N267" s="95">
        <f>'Planning Engine'!T983</f>
        <v>0</v>
      </c>
      <c r="O267" s="98" t="s">
        <v>2015</v>
      </c>
      <c r="P267" s="4" t="str">
        <f t="shared" ca="1" si="9"/>
        <v>Defer receipts</v>
      </c>
    </row>
    <row r="268" spans="1:16" ht="13" customHeight="1" x14ac:dyDescent="0.35">
      <c r="A268" s="93">
        <v>48639</v>
      </c>
      <c r="B268" s="61" t="s">
        <v>54</v>
      </c>
      <c r="C268" s="12" t="str">
        <f>'Planning Engine'!C984</f>
        <v>Raw Material</v>
      </c>
      <c r="D268" s="12" t="str">
        <f>'Planning Engine'!D984</f>
        <v>kg</v>
      </c>
      <c r="E268" s="95">
        <f>'Planning Engine'!E984</f>
        <v>177.28999999999996</v>
      </c>
      <c r="F268" s="95">
        <f>'Planning Engine'!F984</f>
        <v>0</v>
      </c>
      <c r="G268" s="95">
        <f>'Planning Engine'!G984</f>
        <v>0</v>
      </c>
      <c r="H268" s="95">
        <f t="shared" si="8"/>
        <v>0</v>
      </c>
      <c r="I268" s="95">
        <f>'Planning Engine'!H984</f>
        <v>177.28999999999996</v>
      </c>
      <c r="J268" s="96">
        <f ca="1">'Planning Engine'!J984</f>
        <v>999</v>
      </c>
      <c r="K268" s="95">
        <f ca="1">'Planning Engine'!K984</f>
        <v>0</v>
      </c>
      <c r="L268" s="12" t="str">
        <f ca="1">'Planning Engine'!L984</f>
        <v>Overstock</v>
      </c>
      <c r="M268" s="93">
        <f>'Planning Engine'!S984</f>
        <v>48519</v>
      </c>
      <c r="N268" s="95">
        <f>'Planning Engine'!T984</f>
        <v>0</v>
      </c>
      <c r="O268" s="94" t="s">
        <v>2016</v>
      </c>
      <c r="P268" s="12" t="str">
        <f t="shared" ca="1" si="9"/>
        <v>Defer receipts</v>
      </c>
    </row>
    <row r="269" spans="1:16" ht="13" customHeight="1" x14ac:dyDescent="0.35">
      <c r="A269" s="97">
        <v>48670</v>
      </c>
      <c r="B269" s="53" t="s">
        <v>54</v>
      </c>
      <c r="C269" s="12" t="str">
        <f>'Planning Engine'!C985</f>
        <v>Raw Material</v>
      </c>
      <c r="D269" s="12" t="str">
        <f>'Planning Engine'!D985</f>
        <v>kg</v>
      </c>
      <c r="E269" s="95">
        <f>'Planning Engine'!E985</f>
        <v>177.28999999999996</v>
      </c>
      <c r="F269" s="95">
        <f>'Planning Engine'!F985</f>
        <v>0</v>
      </c>
      <c r="G269" s="95">
        <f>'Planning Engine'!G985</f>
        <v>0</v>
      </c>
      <c r="H269" s="99">
        <f t="shared" si="8"/>
        <v>0</v>
      </c>
      <c r="I269" s="95">
        <f>'Planning Engine'!H985</f>
        <v>177.28999999999996</v>
      </c>
      <c r="J269" s="96">
        <f ca="1">'Planning Engine'!J985</f>
        <v>999</v>
      </c>
      <c r="K269" s="95">
        <f ca="1">'Planning Engine'!K985</f>
        <v>0</v>
      </c>
      <c r="L269" s="12" t="str">
        <f ca="1">'Planning Engine'!L985</f>
        <v>Overstock</v>
      </c>
      <c r="M269" s="93">
        <f>'Planning Engine'!S985</f>
        <v>48549</v>
      </c>
      <c r="N269" s="95">
        <f>'Planning Engine'!T985</f>
        <v>0</v>
      </c>
      <c r="O269" s="98" t="s">
        <v>2017</v>
      </c>
      <c r="P269" s="4" t="str">
        <f t="shared" ca="1" si="9"/>
        <v>Defer receipts</v>
      </c>
    </row>
    <row r="270" spans="1:16" ht="13" customHeight="1" x14ac:dyDescent="0.35">
      <c r="A270" s="93">
        <v>48700</v>
      </c>
      <c r="B270" s="61" t="s">
        <v>54</v>
      </c>
      <c r="C270" s="12" t="str">
        <f>'Planning Engine'!C986</f>
        <v>Raw Material</v>
      </c>
      <c r="D270" s="12" t="str">
        <f>'Planning Engine'!D986</f>
        <v>kg</v>
      </c>
      <c r="E270" s="95">
        <f>'Planning Engine'!E986</f>
        <v>177.28999999999996</v>
      </c>
      <c r="F270" s="95">
        <f>'Planning Engine'!F986</f>
        <v>0</v>
      </c>
      <c r="G270" s="95">
        <f>'Planning Engine'!G986</f>
        <v>0</v>
      </c>
      <c r="H270" s="95">
        <f t="shared" si="8"/>
        <v>0</v>
      </c>
      <c r="I270" s="95">
        <f>'Planning Engine'!H986</f>
        <v>177.28999999999996</v>
      </c>
      <c r="J270" s="96">
        <f ca="1">'Planning Engine'!J986</f>
        <v>999</v>
      </c>
      <c r="K270" s="95">
        <f ca="1">'Planning Engine'!K986</f>
        <v>0</v>
      </c>
      <c r="L270" s="12" t="str">
        <f ca="1">'Planning Engine'!L986</f>
        <v>Overstock</v>
      </c>
      <c r="M270" s="93">
        <f>'Planning Engine'!S986</f>
        <v>48580</v>
      </c>
      <c r="N270" s="95">
        <f>'Planning Engine'!T986</f>
        <v>0</v>
      </c>
      <c r="O270" s="94" t="s">
        <v>2018</v>
      </c>
      <c r="P270" s="12" t="str">
        <f t="shared" ca="1" si="9"/>
        <v>Defer receipts</v>
      </c>
    </row>
    <row r="271" spans="1:16" ht="13" customHeight="1" x14ac:dyDescent="0.35">
      <c r="A271" s="97">
        <v>48731</v>
      </c>
      <c r="B271" s="53" t="s">
        <v>54</v>
      </c>
      <c r="C271" s="12" t="str">
        <f>'Planning Engine'!C987</f>
        <v>Raw Material</v>
      </c>
      <c r="D271" s="12" t="str">
        <f>'Planning Engine'!D987</f>
        <v>kg</v>
      </c>
      <c r="E271" s="95">
        <f>'Planning Engine'!E987</f>
        <v>177.28999999999996</v>
      </c>
      <c r="F271" s="95">
        <f>'Planning Engine'!F987</f>
        <v>0</v>
      </c>
      <c r="G271" s="95">
        <f>'Planning Engine'!G987</f>
        <v>0</v>
      </c>
      <c r="H271" s="99">
        <f t="shared" si="8"/>
        <v>0</v>
      </c>
      <c r="I271" s="95">
        <f>'Planning Engine'!H987</f>
        <v>177.28999999999996</v>
      </c>
      <c r="J271" s="96">
        <f ca="1">'Planning Engine'!J987</f>
        <v>999</v>
      </c>
      <c r="K271" s="95">
        <f ca="1">'Planning Engine'!K987</f>
        <v>0</v>
      </c>
      <c r="L271" s="12" t="str">
        <f ca="1">'Planning Engine'!L987</f>
        <v>Overstock</v>
      </c>
      <c r="M271" s="93">
        <f>'Planning Engine'!S987</f>
        <v>48611</v>
      </c>
      <c r="N271" s="95">
        <f>'Planning Engine'!T987</f>
        <v>0</v>
      </c>
      <c r="O271" s="98" t="s">
        <v>2019</v>
      </c>
      <c r="P271" s="4" t="str">
        <f t="shared" ca="1" si="9"/>
        <v>Defer receipts</v>
      </c>
    </row>
    <row r="272" spans="1:16" ht="13" customHeight="1" x14ac:dyDescent="0.35">
      <c r="A272" s="93">
        <v>48761</v>
      </c>
      <c r="B272" s="61" t="s">
        <v>54</v>
      </c>
      <c r="C272" s="12" t="str">
        <f>'Planning Engine'!C988</f>
        <v>Raw Material</v>
      </c>
      <c r="D272" s="12" t="str">
        <f>'Planning Engine'!D988</f>
        <v>kg</v>
      </c>
      <c r="E272" s="95">
        <f>'Planning Engine'!E988</f>
        <v>177.28999999999996</v>
      </c>
      <c r="F272" s="95">
        <f>'Planning Engine'!F988</f>
        <v>0</v>
      </c>
      <c r="G272" s="95">
        <f>'Planning Engine'!G988</f>
        <v>0</v>
      </c>
      <c r="H272" s="95">
        <f t="shared" si="8"/>
        <v>0</v>
      </c>
      <c r="I272" s="95">
        <f>'Planning Engine'!H988</f>
        <v>177.28999999999996</v>
      </c>
      <c r="J272" s="96">
        <f ca="1">'Planning Engine'!J988</f>
        <v>999</v>
      </c>
      <c r="K272" s="95">
        <f ca="1">'Planning Engine'!K988</f>
        <v>0</v>
      </c>
      <c r="L272" s="12" t="str">
        <f ca="1">'Planning Engine'!L988</f>
        <v>Overstock</v>
      </c>
      <c r="M272" s="93">
        <f>'Planning Engine'!S988</f>
        <v>48639</v>
      </c>
      <c r="N272" s="95">
        <f>'Planning Engine'!T988</f>
        <v>0</v>
      </c>
      <c r="O272" s="94" t="s">
        <v>2020</v>
      </c>
      <c r="P272" s="12" t="str">
        <f t="shared" ca="1" si="9"/>
        <v>Defer receipts</v>
      </c>
    </row>
    <row r="273" spans="1:16" ht="13" customHeight="1" x14ac:dyDescent="0.35">
      <c r="A273" s="97">
        <v>48792</v>
      </c>
      <c r="B273" s="53" t="s">
        <v>54</v>
      </c>
      <c r="C273" s="12" t="str">
        <f>'Planning Engine'!C989</f>
        <v>Raw Material</v>
      </c>
      <c r="D273" s="12" t="str">
        <f>'Planning Engine'!D989</f>
        <v>kg</v>
      </c>
      <c r="E273" s="95">
        <f>'Planning Engine'!E989</f>
        <v>177.28999999999996</v>
      </c>
      <c r="F273" s="95">
        <f>'Planning Engine'!F989</f>
        <v>0</v>
      </c>
      <c r="G273" s="95">
        <f>'Planning Engine'!G989</f>
        <v>0</v>
      </c>
      <c r="H273" s="99">
        <f t="shared" si="8"/>
        <v>0</v>
      </c>
      <c r="I273" s="95">
        <f>'Planning Engine'!H989</f>
        <v>177.28999999999996</v>
      </c>
      <c r="J273" s="96">
        <f ca="1">'Planning Engine'!J989</f>
        <v>999</v>
      </c>
      <c r="K273" s="95">
        <f ca="1">'Planning Engine'!K989</f>
        <v>0</v>
      </c>
      <c r="L273" s="12" t="str">
        <f ca="1">'Planning Engine'!L989</f>
        <v>Overstock</v>
      </c>
      <c r="M273" s="93">
        <f>'Planning Engine'!S989</f>
        <v>48670</v>
      </c>
      <c r="N273" s="95">
        <f>'Planning Engine'!T989</f>
        <v>0</v>
      </c>
      <c r="O273" s="98" t="s">
        <v>2021</v>
      </c>
      <c r="P273" s="4" t="str">
        <f t="shared" ca="1" si="9"/>
        <v>Defer receipts</v>
      </c>
    </row>
    <row r="274" spans="1:16" ht="13" customHeight="1" x14ac:dyDescent="0.35">
      <c r="A274" s="93">
        <v>48823</v>
      </c>
      <c r="B274" s="61" t="s">
        <v>54</v>
      </c>
      <c r="C274" s="12" t="str">
        <f>'Planning Engine'!C990</f>
        <v>Raw Material</v>
      </c>
      <c r="D274" s="12" t="str">
        <f>'Planning Engine'!D990</f>
        <v>kg</v>
      </c>
      <c r="E274" s="95">
        <f>'Planning Engine'!E990</f>
        <v>177.28999999999996</v>
      </c>
      <c r="F274" s="95">
        <f>'Planning Engine'!F990</f>
        <v>0</v>
      </c>
      <c r="G274" s="95">
        <f>'Planning Engine'!G990</f>
        <v>0</v>
      </c>
      <c r="H274" s="95">
        <f t="shared" si="8"/>
        <v>0</v>
      </c>
      <c r="I274" s="95">
        <f>'Planning Engine'!H990</f>
        <v>177.28999999999996</v>
      </c>
      <c r="J274" s="96">
        <f ca="1">'Planning Engine'!J990</f>
        <v>999</v>
      </c>
      <c r="K274" s="95">
        <f ca="1">'Planning Engine'!K990</f>
        <v>0</v>
      </c>
      <c r="L274" s="12" t="str">
        <f ca="1">'Planning Engine'!L990</f>
        <v>Overstock</v>
      </c>
      <c r="M274" s="93">
        <f>'Planning Engine'!S990</f>
        <v>48700</v>
      </c>
      <c r="N274" s="95">
        <f>'Planning Engine'!T990</f>
        <v>0</v>
      </c>
      <c r="O274" s="94" t="s">
        <v>2022</v>
      </c>
      <c r="P274" s="12" t="str">
        <f t="shared" ca="1" si="9"/>
        <v>Defer receipts</v>
      </c>
    </row>
    <row r="275" spans="1:16" ht="13" customHeight="1" x14ac:dyDescent="0.35">
      <c r="A275" s="97">
        <v>48853</v>
      </c>
      <c r="B275" s="53" t="s">
        <v>54</v>
      </c>
      <c r="C275" s="12" t="str">
        <f>'Planning Engine'!C991</f>
        <v>Raw Material</v>
      </c>
      <c r="D275" s="12" t="str">
        <f>'Planning Engine'!D991</f>
        <v>kg</v>
      </c>
      <c r="E275" s="95">
        <f>'Planning Engine'!E991</f>
        <v>177.28999999999996</v>
      </c>
      <c r="F275" s="95">
        <f>'Planning Engine'!F991</f>
        <v>0</v>
      </c>
      <c r="G275" s="95">
        <f>'Planning Engine'!G991</f>
        <v>0</v>
      </c>
      <c r="H275" s="99">
        <f t="shared" si="8"/>
        <v>0</v>
      </c>
      <c r="I275" s="95">
        <f>'Planning Engine'!H991</f>
        <v>177.28999999999996</v>
      </c>
      <c r="J275" s="96">
        <f ca="1">'Planning Engine'!J991</f>
        <v>999</v>
      </c>
      <c r="K275" s="95">
        <f ca="1">'Planning Engine'!K991</f>
        <v>0</v>
      </c>
      <c r="L275" s="12" t="str">
        <f ca="1">'Planning Engine'!L991</f>
        <v>Overstock</v>
      </c>
      <c r="M275" s="93">
        <f>'Planning Engine'!S991</f>
        <v>48731</v>
      </c>
      <c r="N275" s="95">
        <f>'Planning Engine'!T991</f>
        <v>0</v>
      </c>
      <c r="O275" s="98" t="s">
        <v>2023</v>
      </c>
      <c r="P275" s="4" t="str">
        <f t="shared" ca="1" si="9"/>
        <v>Defer receipts</v>
      </c>
    </row>
    <row r="276" spans="1:16" ht="13" customHeight="1" x14ac:dyDescent="0.35">
      <c r="A276" s="93">
        <v>48884</v>
      </c>
      <c r="B276" s="61" t="s">
        <v>54</v>
      </c>
      <c r="C276" s="12" t="str">
        <f>'Planning Engine'!C992</f>
        <v>Raw Material</v>
      </c>
      <c r="D276" s="12" t="str">
        <f>'Planning Engine'!D992</f>
        <v>kg</v>
      </c>
      <c r="E276" s="95">
        <f>'Planning Engine'!E992</f>
        <v>177.28999999999996</v>
      </c>
      <c r="F276" s="95">
        <f>'Planning Engine'!F992</f>
        <v>0</v>
      </c>
      <c r="G276" s="95">
        <f>'Planning Engine'!G992</f>
        <v>0</v>
      </c>
      <c r="H276" s="95">
        <f t="shared" si="8"/>
        <v>0</v>
      </c>
      <c r="I276" s="95">
        <f>'Planning Engine'!H992</f>
        <v>177.28999999999996</v>
      </c>
      <c r="J276" s="96">
        <f ca="1">'Planning Engine'!J992</f>
        <v>999</v>
      </c>
      <c r="K276" s="95">
        <f ca="1">'Planning Engine'!K992</f>
        <v>0</v>
      </c>
      <c r="L276" s="12" t="str">
        <f ca="1">'Planning Engine'!L992</f>
        <v>Overstock</v>
      </c>
      <c r="M276" s="93">
        <f>'Planning Engine'!S992</f>
        <v>48761</v>
      </c>
      <c r="N276" s="95">
        <f>'Planning Engine'!T992</f>
        <v>0</v>
      </c>
      <c r="O276" s="94" t="s">
        <v>2024</v>
      </c>
      <c r="P276" s="12" t="str">
        <f t="shared" ca="1" si="9"/>
        <v>Defer receipts</v>
      </c>
    </row>
    <row r="277" spans="1:16" ht="13" customHeight="1" x14ac:dyDescent="0.35">
      <c r="A277" s="97">
        <v>48914</v>
      </c>
      <c r="B277" s="53" t="s">
        <v>54</v>
      </c>
      <c r="C277" s="12" t="str">
        <f>'Planning Engine'!C993</f>
        <v>Raw Material</v>
      </c>
      <c r="D277" s="12" t="str">
        <f>'Planning Engine'!D993</f>
        <v>kg</v>
      </c>
      <c r="E277" s="95">
        <f>'Planning Engine'!E993</f>
        <v>177.28999999999996</v>
      </c>
      <c r="F277" s="95">
        <f>'Planning Engine'!F993</f>
        <v>0</v>
      </c>
      <c r="G277" s="95">
        <f>'Planning Engine'!G993</f>
        <v>0</v>
      </c>
      <c r="H277" s="99">
        <f t="shared" si="8"/>
        <v>0</v>
      </c>
      <c r="I277" s="95">
        <f>'Planning Engine'!H993</f>
        <v>177.28999999999996</v>
      </c>
      <c r="J277" s="96">
        <f ca="1">'Planning Engine'!J993</f>
        <v>999</v>
      </c>
      <c r="K277" s="95">
        <f ca="1">'Planning Engine'!K993</f>
        <v>0</v>
      </c>
      <c r="L277" s="12" t="str">
        <f ca="1">'Planning Engine'!L993</f>
        <v>Overstock</v>
      </c>
      <c r="M277" s="93">
        <f>'Planning Engine'!S993</f>
        <v>48792</v>
      </c>
      <c r="N277" s="95">
        <f>'Planning Engine'!T993</f>
        <v>0</v>
      </c>
      <c r="O277" s="98" t="s">
        <v>2025</v>
      </c>
      <c r="P277" s="4" t="str">
        <f t="shared" ca="1" si="9"/>
        <v>Defer receipts</v>
      </c>
    </row>
    <row r="278" spans="1:16" ht="13" customHeight="1" x14ac:dyDescent="0.35">
      <c r="A278" s="93">
        <v>48945</v>
      </c>
      <c r="B278" s="61" t="s">
        <v>54</v>
      </c>
      <c r="C278" s="12" t="str">
        <f>'Planning Engine'!C994</f>
        <v>Raw Material</v>
      </c>
      <c r="D278" s="12" t="str">
        <f>'Planning Engine'!D994</f>
        <v>kg</v>
      </c>
      <c r="E278" s="95">
        <f>'Planning Engine'!E994</f>
        <v>177.28999999999996</v>
      </c>
      <c r="F278" s="95">
        <f>'Planning Engine'!F994</f>
        <v>0</v>
      </c>
      <c r="G278" s="95">
        <f>'Planning Engine'!G994</f>
        <v>0</v>
      </c>
      <c r="H278" s="95">
        <f t="shared" si="8"/>
        <v>0</v>
      </c>
      <c r="I278" s="95">
        <f>'Planning Engine'!H994</f>
        <v>177.28999999999996</v>
      </c>
      <c r="J278" s="96">
        <f ca="1">'Planning Engine'!J994</f>
        <v>999</v>
      </c>
      <c r="K278" s="95">
        <f ca="1">'Planning Engine'!K994</f>
        <v>0</v>
      </c>
      <c r="L278" s="12" t="str">
        <f ca="1">'Planning Engine'!L994</f>
        <v>Overstock</v>
      </c>
      <c r="M278" s="93">
        <f>'Planning Engine'!S994</f>
        <v>48823</v>
      </c>
      <c r="N278" s="95">
        <f>'Planning Engine'!T994</f>
        <v>0</v>
      </c>
      <c r="O278" s="94" t="s">
        <v>2026</v>
      </c>
      <c r="P278" s="12" t="str">
        <f t="shared" ca="1" si="9"/>
        <v>Defer receipts</v>
      </c>
    </row>
    <row r="279" spans="1:16" ht="13" customHeight="1" x14ac:dyDescent="0.35">
      <c r="A279" s="97">
        <v>48976</v>
      </c>
      <c r="B279" s="53" t="s">
        <v>54</v>
      </c>
      <c r="C279" s="12" t="str">
        <f>'Planning Engine'!C995</f>
        <v>Raw Material</v>
      </c>
      <c r="D279" s="12" t="str">
        <f>'Planning Engine'!D995</f>
        <v>kg</v>
      </c>
      <c r="E279" s="95">
        <f>'Planning Engine'!E995</f>
        <v>177.28999999999996</v>
      </c>
      <c r="F279" s="95">
        <f>'Planning Engine'!F995</f>
        <v>0</v>
      </c>
      <c r="G279" s="95">
        <f>'Planning Engine'!G995</f>
        <v>0</v>
      </c>
      <c r="H279" s="99">
        <f t="shared" si="8"/>
        <v>0</v>
      </c>
      <c r="I279" s="95">
        <f>'Planning Engine'!H995</f>
        <v>177.28999999999996</v>
      </c>
      <c r="J279" s="96">
        <f ca="1">'Planning Engine'!J995</f>
        <v>999</v>
      </c>
      <c r="K279" s="95">
        <f ca="1">'Planning Engine'!K995</f>
        <v>0</v>
      </c>
      <c r="L279" s="12" t="str">
        <f ca="1">'Planning Engine'!L995</f>
        <v>Overstock</v>
      </c>
      <c r="M279" s="93">
        <f>'Planning Engine'!S995</f>
        <v>48853</v>
      </c>
      <c r="N279" s="95">
        <f>'Planning Engine'!T995</f>
        <v>0</v>
      </c>
      <c r="O279" s="98" t="s">
        <v>2027</v>
      </c>
      <c r="P279" s="4" t="str">
        <f t="shared" ca="1" si="9"/>
        <v>Defer receipts</v>
      </c>
    </row>
    <row r="280" spans="1:16" ht="13" customHeight="1" x14ac:dyDescent="0.35">
      <c r="A280" s="93">
        <v>49004</v>
      </c>
      <c r="B280" s="61" t="s">
        <v>54</v>
      </c>
      <c r="C280" s="12" t="str">
        <f>'Planning Engine'!C996</f>
        <v>Raw Material</v>
      </c>
      <c r="D280" s="12" t="str">
        <f>'Planning Engine'!D996</f>
        <v>kg</v>
      </c>
      <c r="E280" s="95">
        <f>'Planning Engine'!E996</f>
        <v>177.28999999999996</v>
      </c>
      <c r="F280" s="95">
        <f>'Planning Engine'!F996</f>
        <v>0</v>
      </c>
      <c r="G280" s="95">
        <f>'Planning Engine'!G996</f>
        <v>0</v>
      </c>
      <c r="H280" s="95">
        <f t="shared" si="8"/>
        <v>0</v>
      </c>
      <c r="I280" s="95">
        <f>'Planning Engine'!H996</f>
        <v>177.28999999999996</v>
      </c>
      <c r="J280" s="96">
        <f ca="1">'Planning Engine'!J996</f>
        <v>999</v>
      </c>
      <c r="K280" s="95">
        <f ca="1">'Planning Engine'!K996</f>
        <v>0</v>
      </c>
      <c r="L280" s="12" t="str">
        <f ca="1">'Planning Engine'!L996</f>
        <v>Overstock</v>
      </c>
      <c r="M280" s="93">
        <f>'Planning Engine'!S996</f>
        <v>48884</v>
      </c>
      <c r="N280" s="95">
        <f>'Planning Engine'!T996</f>
        <v>0</v>
      </c>
      <c r="O280" s="94" t="s">
        <v>2028</v>
      </c>
      <c r="P280" s="12" t="str">
        <f t="shared" ca="1" si="9"/>
        <v>Defer receipts</v>
      </c>
    </row>
    <row r="281" spans="1:16" ht="13" customHeight="1" x14ac:dyDescent="0.35">
      <c r="A281" s="97">
        <v>49035</v>
      </c>
      <c r="B281" s="53" t="s">
        <v>54</v>
      </c>
      <c r="C281" s="12" t="str">
        <f>'Planning Engine'!C997</f>
        <v>Raw Material</v>
      </c>
      <c r="D281" s="12" t="str">
        <f>'Planning Engine'!D997</f>
        <v>kg</v>
      </c>
      <c r="E281" s="95">
        <f>'Planning Engine'!E997</f>
        <v>177.28999999999996</v>
      </c>
      <c r="F281" s="95">
        <f>'Planning Engine'!F997</f>
        <v>0</v>
      </c>
      <c r="G281" s="95">
        <f>'Planning Engine'!G997</f>
        <v>0</v>
      </c>
      <c r="H281" s="99">
        <f t="shared" si="8"/>
        <v>0</v>
      </c>
      <c r="I281" s="95">
        <f>'Planning Engine'!H997</f>
        <v>177.28999999999996</v>
      </c>
      <c r="J281" s="96">
        <f ca="1">'Planning Engine'!J997</f>
        <v>999</v>
      </c>
      <c r="K281" s="95">
        <f ca="1">'Planning Engine'!K997</f>
        <v>0</v>
      </c>
      <c r="L281" s="12" t="str">
        <f ca="1">'Planning Engine'!L997</f>
        <v>Overstock</v>
      </c>
      <c r="M281" s="93">
        <f>'Planning Engine'!S997</f>
        <v>48914</v>
      </c>
      <c r="N281" s="95">
        <f>'Planning Engine'!T997</f>
        <v>0</v>
      </c>
      <c r="O281" s="98" t="s">
        <v>2029</v>
      </c>
      <c r="P281" s="4" t="str">
        <f t="shared" ca="1" si="9"/>
        <v>Defer receipts</v>
      </c>
    </row>
    <row r="282" spans="1:16" ht="13" customHeight="1" x14ac:dyDescent="0.35">
      <c r="A282" s="93">
        <v>49065</v>
      </c>
      <c r="B282" s="61" t="s">
        <v>54</v>
      </c>
      <c r="C282" s="12" t="str">
        <f>'Planning Engine'!C998</f>
        <v>Raw Material</v>
      </c>
      <c r="D282" s="12" t="str">
        <f>'Planning Engine'!D998</f>
        <v>kg</v>
      </c>
      <c r="E282" s="95">
        <f>'Planning Engine'!E998</f>
        <v>177.28999999999996</v>
      </c>
      <c r="F282" s="95">
        <f>'Planning Engine'!F998</f>
        <v>0</v>
      </c>
      <c r="G282" s="95">
        <f>'Planning Engine'!G998</f>
        <v>0</v>
      </c>
      <c r="H282" s="95">
        <f t="shared" si="8"/>
        <v>0</v>
      </c>
      <c r="I282" s="95">
        <f>'Planning Engine'!H998</f>
        <v>177.28999999999996</v>
      </c>
      <c r="J282" s="96">
        <f ca="1">'Planning Engine'!J998</f>
        <v>999</v>
      </c>
      <c r="K282" s="95">
        <f ca="1">'Planning Engine'!K998</f>
        <v>0</v>
      </c>
      <c r="L282" s="12" t="str">
        <f ca="1">'Planning Engine'!L998</f>
        <v>Overstock</v>
      </c>
      <c r="M282" s="93">
        <f>'Planning Engine'!S998</f>
        <v>48945</v>
      </c>
      <c r="N282" s="95">
        <f>'Planning Engine'!T998</f>
        <v>0</v>
      </c>
      <c r="O282" s="94" t="s">
        <v>2030</v>
      </c>
      <c r="P282" s="12" t="str">
        <f t="shared" ca="1" si="9"/>
        <v>Defer receipts</v>
      </c>
    </row>
    <row r="283" spans="1:16" ht="13" customHeight="1" x14ac:dyDescent="0.35">
      <c r="A283" s="97">
        <v>49096</v>
      </c>
      <c r="B283" s="53" t="s">
        <v>54</v>
      </c>
      <c r="C283" s="12" t="str">
        <f>'Planning Engine'!C999</f>
        <v>Raw Material</v>
      </c>
      <c r="D283" s="12" t="str">
        <f>'Planning Engine'!D999</f>
        <v>kg</v>
      </c>
      <c r="E283" s="95">
        <f>'Planning Engine'!E999</f>
        <v>177.28999999999996</v>
      </c>
      <c r="F283" s="95">
        <f>'Planning Engine'!F999</f>
        <v>0</v>
      </c>
      <c r="G283" s="95">
        <f>'Planning Engine'!G999</f>
        <v>0</v>
      </c>
      <c r="H283" s="99">
        <f t="shared" si="8"/>
        <v>0</v>
      </c>
      <c r="I283" s="95">
        <f>'Planning Engine'!H999</f>
        <v>177.28999999999996</v>
      </c>
      <c r="J283" s="96">
        <f ca="1">'Planning Engine'!J999</f>
        <v>999</v>
      </c>
      <c r="K283" s="95">
        <f ca="1">'Planning Engine'!K999</f>
        <v>0</v>
      </c>
      <c r="L283" s="12" t="str">
        <f ca="1">'Planning Engine'!L999</f>
        <v>Overstock</v>
      </c>
      <c r="M283" s="93">
        <f>'Planning Engine'!S999</f>
        <v>48976</v>
      </c>
      <c r="N283" s="95">
        <f>'Planning Engine'!T999</f>
        <v>0</v>
      </c>
      <c r="O283" s="98" t="s">
        <v>2031</v>
      </c>
      <c r="P283" s="4" t="str">
        <f t="shared" ca="1" si="9"/>
        <v>Defer receipts</v>
      </c>
    </row>
    <row r="284" spans="1:16" ht="13" customHeight="1" x14ac:dyDescent="0.35">
      <c r="A284" s="93">
        <v>49126</v>
      </c>
      <c r="B284" s="61" t="s">
        <v>54</v>
      </c>
      <c r="C284" s="12" t="str">
        <f>'Planning Engine'!C1000</f>
        <v>Raw Material</v>
      </c>
      <c r="D284" s="12" t="str">
        <f>'Planning Engine'!D1000</f>
        <v>kg</v>
      </c>
      <c r="E284" s="95">
        <f>'Planning Engine'!E1000</f>
        <v>177.28999999999996</v>
      </c>
      <c r="F284" s="95">
        <f>'Planning Engine'!F1000</f>
        <v>0</v>
      </c>
      <c r="G284" s="95">
        <f>'Planning Engine'!G1000</f>
        <v>0</v>
      </c>
      <c r="H284" s="95">
        <f t="shared" si="8"/>
        <v>0</v>
      </c>
      <c r="I284" s="95">
        <f>'Planning Engine'!H1000</f>
        <v>177.28999999999996</v>
      </c>
      <c r="J284" s="96">
        <f ca="1">'Planning Engine'!J1000</f>
        <v>999</v>
      </c>
      <c r="K284" s="95">
        <f ca="1">'Planning Engine'!K1000</f>
        <v>0</v>
      </c>
      <c r="L284" s="12" t="str">
        <f ca="1">'Planning Engine'!L1000</f>
        <v>Overstock</v>
      </c>
      <c r="M284" s="93">
        <f>'Planning Engine'!S1000</f>
        <v>49004</v>
      </c>
      <c r="N284" s="95">
        <f>'Planning Engine'!T1000</f>
        <v>0</v>
      </c>
      <c r="O284" s="94" t="s">
        <v>2032</v>
      </c>
      <c r="P284" s="12" t="str">
        <f t="shared" ca="1" si="9"/>
        <v>Defer receipts</v>
      </c>
    </row>
    <row r="285" spans="1:16" ht="13" customHeight="1" x14ac:dyDescent="0.35">
      <c r="A285" s="97">
        <v>49157</v>
      </c>
      <c r="B285" s="53" t="s">
        <v>54</v>
      </c>
      <c r="C285" s="12" t="str">
        <f>'Planning Engine'!C1001</f>
        <v>Raw Material</v>
      </c>
      <c r="D285" s="12" t="str">
        <f>'Planning Engine'!D1001</f>
        <v>kg</v>
      </c>
      <c r="E285" s="95">
        <f>'Planning Engine'!E1001</f>
        <v>177.28999999999996</v>
      </c>
      <c r="F285" s="95">
        <f>'Planning Engine'!F1001</f>
        <v>0</v>
      </c>
      <c r="G285" s="95">
        <f>'Planning Engine'!G1001</f>
        <v>0</v>
      </c>
      <c r="H285" s="99">
        <f t="shared" si="8"/>
        <v>0</v>
      </c>
      <c r="I285" s="95">
        <f>'Planning Engine'!H1001</f>
        <v>177.28999999999996</v>
      </c>
      <c r="J285" s="96">
        <f ca="1">'Planning Engine'!J1001</f>
        <v>999</v>
      </c>
      <c r="K285" s="95">
        <f ca="1">'Planning Engine'!K1001</f>
        <v>0</v>
      </c>
      <c r="L285" s="12" t="str">
        <f ca="1">'Planning Engine'!L1001</f>
        <v>Overstock</v>
      </c>
      <c r="M285" s="93">
        <f>'Planning Engine'!S1001</f>
        <v>49035</v>
      </c>
      <c r="N285" s="95">
        <f>'Planning Engine'!T1001</f>
        <v>0</v>
      </c>
      <c r="O285" s="98" t="s">
        <v>2033</v>
      </c>
      <c r="P285" s="4" t="str">
        <f t="shared" ca="1" si="9"/>
        <v>Defer receipts</v>
      </c>
    </row>
    <row r="286" spans="1:16" ht="13" customHeight="1" x14ac:dyDescent="0.35">
      <c r="A286" s="93">
        <v>49188</v>
      </c>
      <c r="B286" s="61" t="s">
        <v>54</v>
      </c>
      <c r="C286" s="12" t="str">
        <f>'Planning Engine'!C1002</f>
        <v>Raw Material</v>
      </c>
      <c r="D286" s="12" t="str">
        <f>'Planning Engine'!D1002</f>
        <v>kg</v>
      </c>
      <c r="E286" s="95">
        <f>'Planning Engine'!E1002</f>
        <v>177.28999999999996</v>
      </c>
      <c r="F286" s="95">
        <f>'Planning Engine'!F1002</f>
        <v>0</v>
      </c>
      <c r="G286" s="95">
        <f>'Planning Engine'!G1002</f>
        <v>0</v>
      </c>
      <c r="H286" s="95">
        <f t="shared" si="8"/>
        <v>0</v>
      </c>
      <c r="I286" s="95">
        <f>'Planning Engine'!H1002</f>
        <v>177.28999999999996</v>
      </c>
      <c r="J286" s="96">
        <f ca="1">'Planning Engine'!J1002</f>
        <v>999</v>
      </c>
      <c r="K286" s="95">
        <f ca="1">'Planning Engine'!K1002</f>
        <v>0</v>
      </c>
      <c r="L286" s="12" t="str">
        <f ca="1">'Planning Engine'!L1002</f>
        <v>Overstock</v>
      </c>
      <c r="M286" s="93">
        <f>'Planning Engine'!S1002</f>
        <v>49065</v>
      </c>
      <c r="N286" s="95">
        <f>'Planning Engine'!T1002</f>
        <v>0</v>
      </c>
      <c r="O286" s="94" t="s">
        <v>2034</v>
      </c>
      <c r="P286" s="12" t="str">
        <f t="shared" ca="1" si="9"/>
        <v>Defer receipts</v>
      </c>
    </row>
    <row r="287" spans="1:16" ht="13" customHeight="1" x14ac:dyDescent="0.35">
      <c r="A287" s="97">
        <v>49218</v>
      </c>
      <c r="B287" s="53" t="s">
        <v>54</v>
      </c>
      <c r="C287" s="12" t="str">
        <f>'Planning Engine'!C1003</f>
        <v>Raw Material</v>
      </c>
      <c r="D287" s="12" t="str">
        <f>'Planning Engine'!D1003</f>
        <v>kg</v>
      </c>
      <c r="E287" s="95">
        <f>'Planning Engine'!E1003</f>
        <v>177.28999999999996</v>
      </c>
      <c r="F287" s="95">
        <f>'Planning Engine'!F1003</f>
        <v>0</v>
      </c>
      <c r="G287" s="95">
        <f>'Planning Engine'!G1003</f>
        <v>0</v>
      </c>
      <c r="H287" s="99">
        <f t="shared" si="8"/>
        <v>0</v>
      </c>
      <c r="I287" s="95">
        <f>'Planning Engine'!H1003</f>
        <v>177.28999999999996</v>
      </c>
      <c r="J287" s="96">
        <f ca="1">'Planning Engine'!J1003</f>
        <v>999</v>
      </c>
      <c r="K287" s="95">
        <f ca="1">'Planning Engine'!K1003</f>
        <v>0</v>
      </c>
      <c r="L287" s="12" t="str">
        <f ca="1">'Planning Engine'!L1003</f>
        <v>Overstock</v>
      </c>
      <c r="M287" s="93">
        <f>'Planning Engine'!S1003</f>
        <v>49096</v>
      </c>
      <c r="N287" s="95">
        <f>'Planning Engine'!T1003</f>
        <v>0</v>
      </c>
      <c r="O287" s="98" t="s">
        <v>2035</v>
      </c>
      <c r="P287" s="4" t="str">
        <f t="shared" ca="1" si="9"/>
        <v>Defer receipts</v>
      </c>
    </row>
    <row r="288" spans="1:16" ht="13" customHeight="1" x14ac:dyDescent="0.35">
      <c r="A288" s="93">
        <v>49249</v>
      </c>
      <c r="B288" s="61" t="s">
        <v>54</v>
      </c>
      <c r="C288" s="12" t="str">
        <f>'Planning Engine'!C1004</f>
        <v>Raw Material</v>
      </c>
      <c r="D288" s="12" t="str">
        <f>'Planning Engine'!D1004</f>
        <v>kg</v>
      </c>
      <c r="E288" s="95">
        <f>'Planning Engine'!E1004</f>
        <v>177.28999999999996</v>
      </c>
      <c r="F288" s="95">
        <f>'Planning Engine'!F1004</f>
        <v>0</v>
      </c>
      <c r="G288" s="95">
        <f>'Planning Engine'!G1004</f>
        <v>0</v>
      </c>
      <c r="H288" s="95">
        <f t="shared" si="8"/>
        <v>0</v>
      </c>
      <c r="I288" s="95">
        <f>'Planning Engine'!H1004</f>
        <v>177.28999999999996</v>
      </c>
      <c r="J288" s="96">
        <f ca="1">'Planning Engine'!J1004</f>
        <v>999</v>
      </c>
      <c r="K288" s="95">
        <f ca="1">'Planning Engine'!K1004</f>
        <v>0</v>
      </c>
      <c r="L288" s="12" t="str">
        <f ca="1">'Planning Engine'!L1004</f>
        <v>Overstock</v>
      </c>
      <c r="M288" s="93">
        <f>'Planning Engine'!S1004</f>
        <v>49126</v>
      </c>
      <c r="N288" s="95">
        <f>'Planning Engine'!T1004</f>
        <v>0</v>
      </c>
      <c r="O288" s="94" t="s">
        <v>2036</v>
      </c>
      <c r="P288" s="12" t="str">
        <f t="shared" ca="1" si="9"/>
        <v>Defer receipts</v>
      </c>
    </row>
    <row r="289" spans="1:16" ht="13" customHeight="1" x14ac:dyDescent="0.35">
      <c r="A289" s="97">
        <v>49279</v>
      </c>
      <c r="B289" s="53" t="s">
        <v>54</v>
      </c>
      <c r="C289" s="12" t="str">
        <f>'Planning Engine'!C1005</f>
        <v>Raw Material</v>
      </c>
      <c r="D289" s="12" t="str">
        <f>'Planning Engine'!D1005</f>
        <v>kg</v>
      </c>
      <c r="E289" s="95">
        <f>'Planning Engine'!E1005</f>
        <v>177.28999999999996</v>
      </c>
      <c r="F289" s="95">
        <f>'Planning Engine'!F1005</f>
        <v>0</v>
      </c>
      <c r="G289" s="95">
        <f>'Planning Engine'!G1005</f>
        <v>0</v>
      </c>
      <c r="H289" s="99">
        <f t="shared" si="8"/>
        <v>0</v>
      </c>
      <c r="I289" s="95">
        <f>'Planning Engine'!H1005</f>
        <v>177.28999999999996</v>
      </c>
      <c r="J289" s="96">
        <f ca="1">'Planning Engine'!J1005</f>
        <v>999</v>
      </c>
      <c r="K289" s="95">
        <f ca="1">'Planning Engine'!K1005</f>
        <v>0</v>
      </c>
      <c r="L289" s="12" t="str">
        <f ca="1">'Planning Engine'!L1005</f>
        <v>Overstock</v>
      </c>
      <c r="M289" s="93">
        <f>'Planning Engine'!S1005</f>
        <v>49157</v>
      </c>
      <c r="N289" s="95">
        <f>'Planning Engine'!T1005</f>
        <v>0</v>
      </c>
      <c r="O289" s="98" t="s">
        <v>2037</v>
      </c>
      <c r="P289" s="4" t="str">
        <f t="shared" ca="1" si="9"/>
        <v>Defer receipts</v>
      </c>
    </row>
    <row r="290" spans="1:16" ht="13" customHeight="1" x14ac:dyDescent="0.35">
      <c r="A290" s="93">
        <v>49310</v>
      </c>
      <c r="B290" s="61" t="s">
        <v>54</v>
      </c>
      <c r="C290" s="12" t="str">
        <f>'Planning Engine'!C1006</f>
        <v>Raw Material</v>
      </c>
      <c r="D290" s="12" t="str">
        <f>'Planning Engine'!D1006</f>
        <v>kg</v>
      </c>
      <c r="E290" s="95">
        <f>'Planning Engine'!E1006</f>
        <v>177.28999999999996</v>
      </c>
      <c r="F290" s="95">
        <f>'Planning Engine'!F1006</f>
        <v>0</v>
      </c>
      <c r="G290" s="95">
        <f>'Planning Engine'!G1006</f>
        <v>0</v>
      </c>
      <c r="H290" s="95">
        <f t="shared" si="8"/>
        <v>0</v>
      </c>
      <c r="I290" s="95">
        <f>'Planning Engine'!H1006</f>
        <v>177.28999999999996</v>
      </c>
      <c r="J290" s="96">
        <f ca="1">'Planning Engine'!J1006</f>
        <v>999</v>
      </c>
      <c r="K290" s="95">
        <f ca="1">'Planning Engine'!K1006</f>
        <v>0</v>
      </c>
      <c r="L290" s="12" t="str">
        <f ca="1">'Planning Engine'!L1006</f>
        <v>Overstock</v>
      </c>
      <c r="M290" s="93">
        <f>'Planning Engine'!S1006</f>
        <v>49188</v>
      </c>
      <c r="N290" s="95">
        <f>'Planning Engine'!T1006</f>
        <v>0</v>
      </c>
      <c r="O290" s="94" t="s">
        <v>2038</v>
      </c>
      <c r="P290" s="12" t="str">
        <f t="shared" ca="1" si="9"/>
        <v>Defer receipts</v>
      </c>
    </row>
    <row r="291" spans="1:16" ht="13" customHeight="1" x14ac:dyDescent="0.35">
      <c r="A291" s="97">
        <v>49341</v>
      </c>
      <c r="B291" s="53" t="s">
        <v>54</v>
      </c>
      <c r="C291" s="12" t="str">
        <f>'Planning Engine'!C1007</f>
        <v>Raw Material</v>
      </c>
      <c r="D291" s="12" t="str">
        <f>'Planning Engine'!D1007</f>
        <v>kg</v>
      </c>
      <c r="E291" s="95">
        <f>'Planning Engine'!E1007</f>
        <v>177.28999999999996</v>
      </c>
      <c r="F291" s="95">
        <f>'Planning Engine'!F1007</f>
        <v>0</v>
      </c>
      <c r="G291" s="95">
        <f>'Planning Engine'!G1007</f>
        <v>0</v>
      </c>
      <c r="H291" s="99">
        <f t="shared" si="8"/>
        <v>0</v>
      </c>
      <c r="I291" s="95">
        <f>'Planning Engine'!H1007</f>
        <v>177.28999999999996</v>
      </c>
      <c r="J291" s="96">
        <f ca="1">'Planning Engine'!J1007</f>
        <v>999</v>
      </c>
      <c r="K291" s="95">
        <f ca="1">'Planning Engine'!K1007</f>
        <v>0</v>
      </c>
      <c r="L291" s="12" t="str">
        <f ca="1">'Planning Engine'!L1007</f>
        <v>Overstock</v>
      </c>
      <c r="M291" s="93">
        <f>'Planning Engine'!S1007</f>
        <v>49218</v>
      </c>
      <c r="N291" s="95">
        <f>'Planning Engine'!T1007</f>
        <v>0</v>
      </c>
      <c r="O291" s="98" t="s">
        <v>2039</v>
      </c>
      <c r="P291" s="4" t="str">
        <f t="shared" ca="1" si="9"/>
        <v>Defer receipts</v>
      </c>
    </row>
    <row r="292" spans="1:16" ht="13" customHeight="1" x14ac:dyDescent="0.35">
      <c r="A292" s="93">
        <v>49369</v>
      </c>
      <c r="B292" s="61" t="s">
        <v>54</v>
      </c>
      <c r="C292" s="12" t="str">
        <f>'Planning Engine'!C1008</f>
        <v>Raw Material</v>
      </c>
      <c r="D292" s="12" t="str">
        <f>'Planning Engine'!D1008</f>
        <v>kg</v>
      </c>
      <c r="E292" s="95">
        <f>'Planning Engine'!E1008</f>
        <v>177.28999999999996</v>
      </c>
      <c r="F292" s="95">
        <f>'Planning Engine'!F1008</f>
        <v>0</v>
      </c>
      <c r="G292" s="95">
        <f>'Planning Engine'!G1008</f>
        <v>0</v>
      </c>
      <c r="H292" s="95">
        <f t="shared" si="8"/>
        <v>0</v>
      </c>
      <c r="I292" s="95">
        <f>'Planning Engine'!H1008</f>
        <v>177.28999999999996</v>
      </c>
      <c r="J292" s="96">
        <f ca="1">'Planning Engine'!J1008</f>
        <v>999</v>
      </c>
      <c r="K292" s="95">
        <f ca="1">'Planning Engine'!K1008</f>
        <v>0</v>
      </c>
      <c r="L292" s="12" t="str">
        <f ca="1">'Planning Engine'!L1008</f>
        <v>Overstock</v>
      </c>
      <c r="M292" s="93">
        <f>'Planning Engine'!S1008</f>
        <v>49249</v>
      </c>
      <c r="N292" s="95">
        <f>'Planning Engine'!T1008</f>
        <v>0</v>
      </c>
      <c r="O292" s="94" t="s">
        <v>2040</v>
      </c>
      <c r="P292" s="12" t="str">
        <f t="shared" ca="1" si="9"/>
        <v>Defer receipts</v>
      </c>
    </row>
    <row r="293" spans="1:16" ht="13" customHeight="1" x14ac:dyDescent="0.35">
      <c r="A293" s="97">
        <v>49400</v>
      </c>
      <c r="B293" s="53" t="s">
        <v>54</v>
      </c>
      <c r="C293" s="12" t="str">
        <f>'Planning Engine'!C1009</f>
        <v>Raw Material</v>
      </c>
      <c r="D293" s="12" t="str">
        <f>'Planning Engine'!D1009</f>
        <v>kg</v>
      </c>
      <c r="E293" s="95">
        <f>'Planning Engine'!E1009</f>
        <v>177.28999999999996</v>
      </c>
      <c r="F293" s="95">
        <f>'Planning Engine'!F1009</f>
        <v>0</v>
      </c>
      <c r="G293" s="95">
        <f>'Planning Engine'!G1009</f>
        <v>0</v>
      </c>
      <c r="H293" s="99">
        <f t="shared" si="8"/>
        <v>0</v>
      </c>
      <c r="I293" s="95">
        <f>'Planning Engine'!H1009</f>
        <v>177.28999999999996</v>
      </c>
      <c r="J293" s="96">
        <f ca="1">'Planning Engine'!J1009</f>
        <v>999</v>
      </c>
      <c r="K293" s="95">
        <f ca="1">'Planning Engine'!K1009</f>
        <v>0</v>
      </c>
      <c r="L293" s="12" t="str">
        <f ca="1">'Planning Engine'!L1009</f>
        <v>Overstock</v>
      </c>
      <c r="M293" s="93">
        <f>'Planning Engine'!S1009</f>
        <v>49279</v>
      </c>
      <c r="N293" s="95">
        <f>'Planning Engine'!T1009</f>
        <v>0</v>
      </c>
      <c r="O293" s="98" t="s">
        <v>2041</v>
      </c>
      <c r="P293" s="4" t="str">
        <f t="shared" ca="1" si="9"/>
        <v>Defer receipts</v>
      </c>
    </row>
    <row r="294" spans="1:16" ht="13" customHeight="1" x14ac:dyDescent="0.35">
      <c r="A294" s="93">
        <v>49430</v>
      </c>
      <c r="B294" s="61" t="s">
        <v>54</v>
      </c>
      <c r="C294" s="12" t="str">
        <f>'Planning Engine'!C1010</f>
        <v>Raw Material</v>
      </c>
      <c r="D294" s="12" t="str">
        <f>'Planning Engine'!D1010</f>
        <v>kg</v>
      </c>
      <c r="E294" s="95">
        <f>'Planning Engine'!E1010</f>
        <v>177.28999999999996</v>
      </c>
      <c r="F294" s="95">
        <f>'Planning Engine'!F1010</f>
        <v>0</v>
      </c>
      <c r="G294" s="95">
        <f>'Planning Engine'!G1010</f>
        <v>0</v>
      </c>
      <c r="H294" s="95">
        <f t="shared" si="8"/>
        <v>0</v>
      </c>
      <c r="I294" s="95">
        <f>'Planning Engine'!H1010</f>
        <v>177.28999999999996</v>
      </c>
      <c r="J294" s="96">
        <f ca="1">'Planning Engine'!J1010</f>
        <v>999</v>
      </c>
      <c r="K294" s="95">
        <f ca="1">'Planning Engine'!K1010</f>
        <v>0</v>
      </c>
      <c r="L294" s="12" t="str">
        <f ca="1">'Planning Engine'!L1010</f>
        <v>Overstock</v>
      </c>
      <c r="M294" s="93">
        <f>'Planning Engine'!S1010</f>
        <v>49310</v>
      </c>
      <c r="N294" s="95">
        <f>'Planning Engine'!T1010</f>
        <v>0</v>
      </c>
      <c r="O294" s="94" t="s">
        <v>2042</v>
      </c>
      <c r="P294" s="12" t="str">
        <f t="shared" ca="1" si="9"/>
        <v>Defer receipts</v>
      </c>
    </row>
    <row r="295" spans="1:16" ht="13" customHeight="1" x14ac:dyDescent="0.35">
      <c r="A295" s="97">
        <v>49461</v>
      </c>
      <c r="B295" s="53" t="s">
        <v>54</v>
      </c>
      <c r="C295" s="12" t="str">
        <f>'Planning Engine'!C1011</f>
        <v>Raw Material</v>
      </c>
      <c r="D295" s="12" t="str">
        <f>'Planning Engine'!D1011</f>
        <v>kg</v>
      </c>
      <c r="E295" s="95">
        <f>'Planning Engine'!E1011</f>
        <v>177.28999999999996</v>
      </c>
      <c r="F295" s="95">
        <f>'Planning Engine'!F1011</f>
        <v>0</v>
      </c>
      <c r="G295" s="95">
        <f>'Planning Engine'!G1011</f>
        <v>0</v>
      </c>
      <c r="H295" s="99">
        <f t="shared" si="8"/>
        <v>0</v>
      </c>
      <c r="I295" s="95">
        <f>'Planning Engine'!H1011</f>
        <v>177.28999999999996</v>
      </c>
      <c r="J295" s="96">
        <f ca="1">'Planning Engine'!J1011</f>
        <v>999</v>
      </c>
      <c r="K295" s="95">
        <f ca="1">'Planning Engine'!K1011</f>
        <v>0</v>
      </c>
      <c r="L295" s="12" t="str">
        <f ca="1">'Planning Engine'!L1011</f>
        <v>Overstock</v>
      </c>
      <c r="M295" s="93">
        <f>'Planning Engine'!S1011</f>
        <v>49341</v>
      </c>
      <c r="N295" s="95">
        <f>'Planning Engine'!T1011</f>
        <v>0</v>
      </c>
      <c r="O295" s="98" t="s">
        <v>2043</v>
      </c>
      <c r="P295" s="4" t="str">
        <f t="shared" ca="1" si="9"/>
        <v>Defer receipts</v>
      </c>
    </row>
    <row r="296" spans="1:16" ht="13" customHeight="1" x14ac:dyDescent="0.35">
      <c r="A296" s="93">
        <v>49491</v>
      </c>
      <c r="B296" s="61" t="s">
        <v>54</v>
      </c>
      <c r="C296" s="12" t="str">
        <f>'Planning Engine'!C1012</f>
        <v>Raw Material</v>
      </c>
      <c r="D296" s="12" t="str">
        <f>'Planning Engine'!D1012</f>
        <v>kg</v>
      </c>
      <c r="E296" s="95">
        <f>'Planning Engine'!E1012</f>
        <v>177.28999999999996</v>
      </c>
      <c r="F296" s="95">
        <f>'Planning Engine'!F1012</f>
        <v>0</v>
      </c>
      <c r="G296" s="95">
        <f>'Planning Engine'!G1012</f>
        <v>0</v>
      </c>
      <c r="H296" s="95">
        <f t="shared" si="8"/>
        <v>0</v>
      </c>
      <c r="I296" s="95">
        <f>'Planning Engine'!H1012</f>
        <v>177.28999999999996</v>
      </c>
      <c r="J296" s="96">
        <f ca="1">'Planning Engine'!J1012</f>
        <v>999</v>
      </c>
      <c r="K296" s="95">
        <f ca="1">'Planning Engine'!K1012</f>
        <v>0</v>
      </c>
      <c r="L296" s="12" t="str">
        <f ca="1">'Planning Engine'!L1012</f>
        <v>Overstock</v>
      </c>
      <c r="M296" s="93">
        <f>'Planning Engine'!S1012</f>
        <v>49369</v>
      </c>
      <c r="N296" s="95">
        <f>'Planning Engine'!T1012</f>
        <v>0</v>
      </c>
      <c r="O296" s="94" t="s">
        <v>2044</v>
      </c>
      <c r="P296" s="12" t="str">
        <f t="shared" ca="1" si="9"/>
        <v>Defer receipts</v>
      </c>
    </row>
    <row r="297" spans="1:16" ht="13" customHeight="1" x14ac:dyDescent="0.35">
      <c r="A297" s="97">
        <v>49522</v>
      </c>
      <c r="B297" s="53" t="s">
        <v>54</v>
      </c>
      <c r="C297" s="12" t="str">
        <f>'Planning Engine'!C1013</f>
        <v>Raw Material</v>
      </c>
      <c r="D297" s="12" t="str">
        <f>'Planning Engine'!D1013</f>
        <v>kg</v>
      </c>
      <c r="E297" s="95">
        <f>'Planning Engine'!E1013</f>
        <v>177.28999999999996</v>
      </c>
      <c r="F297" s="95">
        <f>'Planning Engine'!F1013</f>
        <v>0</v>
      </c>
      <c r="G297" s="95">
        <f>'Planning Engine'!G1013</f>
        <v>0</v>
      </c>
      <c r="H297" s="99">
        <f t="shared" si="8"/>
        <v>0</v>
      </c>
      <c r="I297" s="95">
        <f>'Planning Engine'!H1013</f>
        <v>177.28999999999996</v>
      </c>
      <c r="J297" s="96">
        <f ca="1">'Planning Engine'!J1013</f>
        <v>999</v>
      </c>
      <c r="K297" s="95">
        <f ca="1">'Planning Engine'!K1013</f>
        <v>0</v>
      </c>
      <c r="L297" s="12" t="str">
        <f ca="1">'Planning Engine'!L1013</f>
        <v>Overstock</v>
      </c>
      <c r="M297" s="93">
        <f>'Planning Engine'!S1013</f>
        <v>49400</v>
      </c>
      <c r="N297" s="95">
        <f>'Planning Engine'!T1013</f>
        <v>0</v>
      </c>
      <c r="O297" s="98" t="s">
        <v>2045</v>
      </c>
      <c r="P297" s="4" t="str">
        <f t="shared" ca="1" si="9"/>
        <v>Defer receipts</v>
      </c>
    </row>
    <row r="298" spans="1:16" ht="13" customHeight="1" x14ac:dyDescent="0.35">
      <c r="A298" s="93">
        <v>49553</v>
      </c>
      <c r="B298" s="61" t="s">
        <v>54</v>
      </c>
      <c r="C298" s="12" t="str">
        <f>'Planning Engine'!C1014</f>
        <v>Raw Material</v>
      </c>
      <c r="D298" s="12" t="str">
        <f>'Planning Engine'!D1014</f>
        <v>kg</v>
      </c>
      <c r="E298" s="95">
        <f>'Planning Engine'!E1014</f>
        <v>177.28999999999996</v>
      </c>
      <c r="F298" s="95">
        <f>'Planning Engine'!F1014</f>
        <v>0</v>
      </c>
      <c r="G298" s="95">
        <f>'Planning Engine'!G1014</f>
        <v>0</v>
      </c>
      <c r="H298" s="95">
        <f t="shared" si="8"/>
        <v>0</v>
      </c>
      <c r="I298" s="95">
        <f>'Planning Engine'!H1014</f>
        <v>177.28999999999996</v>
      </c>
      <c r="J298" s="96">
        <f ca="1">'Planning Engine'!J1014</f>
        <v>999</v>
      </c>
      <c r="K298" s="95">
        <f ca="1">'Planning Engine'!K1014</f>
        <v>0</v>
      </c>
      <c r="L298" s="12" t="str">
        <f ca="1">'Planning Engine'!L1014</f>
        <v>Overstock</v>
      </c>
      <c r="M298" s="93">
        <f>'Planning Engine'!S1014</f>
        <v>49430</v>
      </c>
      <c r="N298" s="95">
        <f>'Planning Engine'!T1014</f>
        <v>0</v>
      </c>
      <c r="O298" s="94" t="s">
        <v>2046</v>
      </c>
      <c r="P298" s="12" t="str">
        <f t="shared" ca="1" si="9"/>
        <v>Defer receipts</v>
      </c>
    </row>
    <row r="299" spans="1:16" ht="13" customHeight="1" x14ac:dyDescent="0.35">
      <c r="A299" s="97">
        <v>49583</v>
      </c>
      <c r="B299" s="53" t="s">
        <v>54</v>
      </c>
      <c r="C299" s="12" t="str">
        <f>'Planning Engine'!C1015</f>
        <v>Raw Material</v>
      </c>
      <c r="D299" s="12" t="str">
        <f>'Planning Engine'!D1015</f>
        <v>kg</v>
      </c>
      <c r="E299" s="95">
        <f>'Planning Engine'!E1015</f>
        <v>177.28999999999996</v>
      </c>
      <c r="F299" s="95">
        <f>'Planning Engine'!F1015</f>
        <v>0</v>
      </c>
      <c r="G299" s="95">
        <f>'Planning Engine'!G1015</f>
        <v>0</v>
      </c>
      <c r="H299" s="99">
        <f t="shared" si="8"/>
        <v>0</v>
      </c>
      <c r="I299" s="95">
        <f>'Planning Engine'!H1015</f>
        <v>177.28999999999996</v>
      </c>
      <c r="J299" s="96">
        <f ca="1">'Planning Engine'!J1015</f>
        <v>999</v>
      </c>
      <c r="K299" s="95">
        <f ca="1">'Planning Engine'!K1015</f>
        <v>0</v>
      </c>
      <c r="L299" s="12" t="str">
        <f ca="1">'Planning Engine'!L1015</f>
        <v>Overstock</v>
      </c>
      <c r="M299" s="93">
        <f>'Planning Engine'!S1015</f>
        <v>49461</v>
      </c>
      <c r="N299" s="95">
        <f>'Planning Engine'!T1015</f>
        <v>0</v>
      </c>
      <c r="O299" s="98" t="s">
        <v>2047</v>
      </c>
      <c r="P299" s="4" t="str">
        <f t="shared" ca="1" si="9"/>
        <v>Defer receipts</v>
      </c>
    </row>
    <row r="300" spans="1:16" ht="13" customHeight="1" x14ac:dyDescent="0.35">
      <c r="A300" s="93">
        <v>49614</v>
      </c>
      <c r="B300" s="61" t="s">
        <v>54</v>
      </c>
      <c r="C300" s="12" t="str">
        <f>'Planning Engine'!C1016</f>
        <v>Raw Material</v>
      </c>
      <c r="D300" s="12" t="str">
        <f>'Planning Engine'!D1016</f>
        <v>kg</v>
      </c>
      <c r="E300" s="95">
        <f>'Planning Engine'!E1016</f>
        <v>177.28999999999996</v>
      </c>
      <c r="F300" s="95">
        <f>'Planning Engine'!F1016</f>
        <v>0</v>
      </c>
      <c r="G300" s="95">
        <f>'Planning Engine'!G1016</f>
        <v>0</v>
      </c>
      <c r="H300" s="95">
        <f t="shared" si="8"/>
        <v>0</v>
      </c>
      <c r="I300" s="95">
        <f>'Planning Engine'!H1016</f>
        <v>177.28999999999996</v>
      </c>
      <c r="J300" s="96">
        <f ca="1">'Planning Engine'!J1016</f>
        <v>999</v>
      </c>
      <c r="K300" s="95">
        <f ca="1">'Planning Engine'!K1016</f>
        <v>0</v>
      </c>
      <c r="L300" s="12" t="str">
        <f ca="1">'Planning Engine'!L1016</f>
        <v>Overstock</v>
      </c>
      <c r="M300" s="93">
        <f>'Planning Engine'!S1016</f>
        <v>49491</v>
      </c>
      <c r="N300" s="95">
        <f>'Planning Engine'!T1016</f>
        <v>0</v>
      </c>
      <c r="O300" s="94" t="s">
        <v>2048</v>
      </c>
      <c r="P300" s="12" t="str">
        <f t="shared" ca="1" si="9"/>
        <v>Defer receipts</v>
      </c>
    </row>
    <row r="301" spans="1:16" ht="13" customHeight="1" x14ac:dyDescent="0.35">
      <c r="A301" s="97">
        <v>49644</v>
      </c>
      <c r="B301" s="53" t="s">
        <v>54</v>
      </c>
      <c r="C301" s="12" t="str">
        <f>'Planning Engine'!C1017</f>
        <v>Raw Material</v>
      </c>
      <c r="D301" s="12" t="str">
        <f>'Planning Engine'!D1017</f>
        <v>kg</v>
      </c>
      <c r="E301" s="95">
        <f>'Planning Engine'!E1017</f>
        <v>177.28999999999996</v>
      </c>
      <c r="F301" s="95">
        <f>'Planning Engine'!F1017</f>
        <v>0</v>
      </c>
      <c r="G301" s="95">
        <f>'Planning Engine'!G1017</f>
        <v>0</v>
      </c>
      <c r="H301" s="99">
        <f t="shared" si="8"/>
        <v>0</v>
      </c>
      <c r="I301" s="95">
        <f>'Planning Engine'!H1017</f>
        <v>177.28999999999996</v>
      </c>
      <c r="J301" s="96">
        <f ca="1">'Planning Engine'!J1017</f>
        <v>999</v>
      </c>
      <c r="K301" s="95">
        <f ca="1">'Planning Engine'!K1017</f>
        <v>0</v>
      </c>
      <c r="L301" s="12" t="str">
        <f ca="1">'Planning Engine'!L1017</f>
        <v>Overstock</v>
      </c>
      <c r="M301" s="93">
        <f>'Planning Engine'!S1017</f>
        <v>49522</v>
      </c>
      <c r="N301" s="95">
        <f>'Planning Engine'!T1017</f>
        <v>0</v>
      </c>
      <c r="O301" s="98" t="s">
        <v>2049</v>
      </c>
      <c r="P301" s="4" t="str">
        <f t="shared" ca="1" si="9"/>
        <v>Defer receipts</v>
      </c>
    </row>
    <row r="302" spans="1:16" ht="13" customHeight="1" x14ac:dyDescent="0.35">
      <c r="A302" s="93">
        <v>49675</v>
      </c>
      <c r="B302" s="61" t="s">
        <v>54</v>
      </c>
      <c r="C302" s="12" t="str">
        <f>'Planning Engine'!C1018</f>
        <v>Raw Material</v>
      </c>
      <c r="D302" s="12" t="str">
        <f>'Planning Engine'!D1018</f>
        <v>kg</v>
      </c>
      <c r="E302" s="95">
        <f>'Planning Engine'!E1018</f>
        <v>177.28999999999996</v>
      </c>
      <c r="F302" s="95">
        <f>'Planning Engine'!F1018</f>
        <v>0</v>
      </c>
      <c r="G302" s="95">
        <f>'Planning Engine'!G1018</f>
        <v>0</v>
      </c>
      <c r="H302" s="95">
        <f t="shared" si="8"/>
        <v>0</v>
      </c>
      <c r="I302" s="95">
        <f>'Planning Engine'!H1018</f>
        <v>177.28999999999996</v>
      </c>
      <c r="J302" s="96">
        <f ca="1">'Planning Engine'!J1018</f>
        <v>999</v>
      </c>
      <c r="K302" s="95">
        <f ca="1">'Planning Engine'!K1018</f>
        <v>0</v>
      </c>
      <c r="L302" s="12" t="str">
        <f ca="1">'Planning Engine'!L1018</f>
        <v>Overstock</v>
      </c>
      <c r="M302" s="93">
        <f>'Planning Engine'!S1018</f>
        <v>49553</v>
      </c>
      <c r="N302" s="95">
        <f>'Planning Engine'!T1018</f>
        <v>0</v>
      </c>
      <c r="O302" s="94" t="s">
        <v>2050</v>
      </c>
      <c r="P302" s="12" t="str">
        <f t="shared" ca="1" si="9"/>
        <v>Defer receipts</v>
      </c>
    </row>
    <row r="303" spans="1:16" ht="13" customHeight="1" x14ac:dyDescent="0.35">
      <c r="A303" s="97">
        <v>49706</v>
      </c>
      <c r="B303" s="53" t="s">
        <v>54</v>
      </c>
      <c r="C303" s="12" t="str">
        <f>'Planning Engine'!C1019</f>
        <v>Raw Material</v>
      </c>
      <c r="D303" s="12" t="str">
        <f>'Planning Engine'!D1019</f>
        <v>kg</v>
      </c>
      <c r="E303" s="95">
        <f>'Planning Engine'!E1019</f>
        <v>177.28999999999996</v>
      </c>
      <c r="F303" s="95">
        <f>'Planning Engine'!F1019</f>
        <v>0</v>
      </c>
      <c r="G303" s="95">
        <f>'Planning Engine'!G1019</f>
        <v>0</v>
      </c>
      <c r="H303" s="99">
        <f t="shared" si="8"/>
        <v>0</v>
      </c>
      <c r="I303" s="95">
        <f>'Planning Engine'!H1019</f>
        <v>177.28999999999996</v>
      </c>
      <c r="J303" s="96">
        <f ca="1">'Planning Engine'!J1019</f>
        <v>999</v>
      </c>
      <c r="K303" s="95">
        <f ca="1">'Planning Engine'!K1019</f>
        <v>0</v>
      </c>
      <c r="L303" s="12" t="str">
        <f ca="1">'Planning Engine'!L1019</f>
        <v>Overstock</v>
      </c>
      <c r="M303" s="93">
        <f>'Planning Engine'!S1019</f>
        <v>49583</v>
      </c>
      <c r="N303" s="95">
        <f>'Planning Engine'!T1019</f>
        <v>0</v>
      </c>
      <c r="O303" s="98" t="s">
        <v>2051</v>
      </c>
      <c r="P303" s="4" t="str">
        <f t="shared" ca="1" si="9"/>
        <v>Defer receipts</v>
      </c>
    </row>
    <row r="304" spans="1:16" ht="13" customHeight="1" x14ac:dyDescent="0.35">
      <c r="A304" s="93">
        <v>49735</v>
      </c>
      <c r="B304" s="61" t="s">
        <v>54</v>
      </c>
      <c r="C304" s="12" t="str">
        <f>'Planning Engine'!C1020</f>
        <v>Raw Material</v>
      </c>
      <c r="D304" s="12" t="str">
        <f>'Planning Engine'!D1020</f>
        <v>kg</v>
      </c>
      <c r="E304" s="95">
        <f>'Planning Engine'!E1020</f>
        <v>177.28999999999996</v>
      </c>
      <c r="F304" s="95">
        <f>'Planning Engine'!F1020</f>
        <v>0</v>
      </c>
      <c r="G304" s="95">
        <f>'Planning Engine'!G1020</f>
        <v>0</v>
      </c>
      <c r="H304" s="95">
        <f t="shared" si="8"/>
        <v>0</v>
      </c>
      <c r="I304" s="95">
        <f>'Planning Engine'!H1020</f>
        <v>177.28999999999996</v>
      </c>
      <c r="J304" s="96">
        <f ca="1">'Planning Engine'!J1020</f>
        <v>999</v>
      </c>
      <c r="K304" s="95">
        <f ca="1">'Planning Engine'!K1020</f>
        <v>0</v>
      </c>
      <c r="L304" s="12" t="str">
        <f ca="1">'Planning Engine'!L1020</f>
        <v>Overstock</v>
      </c>
      <c r="M304" s="93">
        <f>'Planning Engine'!S1020</f>
        <v>49614</v>
      </c>
      <c r="N304" s="95">
        <f>'Planning Engine'!T1020</f>
        <v>0</v>
      </c>
      <c r="O304" s="94" t="s">
        <v>2052</v>
      </c>
      <c r="P304" s="12" t="str">
        <f t="shared" ca="1" si="9"/>
        <v>Defer receipts</v>
      </c>
    </row>
    <row r="305" spans="1:16" ht="13" customHeight="1" x14ac:dyDescent="0.35">
      <c r="A305" s="97">
        <v>49766</v>
      </c>
      <c r="B305" s="53" t="s">
        <v>54</v>
      </c>
      <c r="C305" s="12" t="str">
        <f>'Planning Engine'!C1021</f>
        <v>Raw Material</v>
      </c>
      <c r="D305" s="12" t="str">
        <f>'Planning Engine'!D1021</f>
        <v>kg</v>
      </c>
      <c r="E305" s="95">
        <f>'Planning Engine'!E1021</f>
        <v>177.28999999999996</v>
      </c>
      <c r="F305" s="95">
        <f>'Planning Engine'!F1021</f>
        <v>0</v>
      </c>
      <c r="G305" s="95">
        <f>'Planning Engine'!G1021</f>
        <v>0</v>
      </c>
      <c r="H305" s="99">
        <f t="shared" si="8"/>
        <v>0</v>
      </c>
      <c r="I305" s="95">
        <f>'Planning Engine'!H1021</f>
        <v>177.28999999999996</v>
      </c>
      <c r="J305" s="96">
        <f ca="1">'Planning Engine'!J1021</f>
        <v>999</v>
      </c>
      <c r="K305" s="95">
        <f ca="1">'Planning Engine'!K1021</f>
        <v>0</v>
      </c>
      <c r="L305" s="12" t="str">
        <f ca="1">'Planning Engine'!L1021</f>
        <v>Overstock</v>
      </c>
      <c r="M305" s="93">
        <f>'Planning Engine'!S1021</f>
        <v>49644</v>
      </c>
      <c r="N305" s="95">
        <f>'Planning Engine'!T1021</f>
        <v>0</v>
      </c>
      <c r="O305" s="98" t="s">
        <v>2053</v>
      </c>
      <c r="P305" s="4" t="str">
        <f t="shared" ca="1" si="9"/>
        <v>Defer receipts</v>
      </c>
    </row>
    <row r="306" spans="1:16" ht="13" customHeight="1" x14ac:dyDescent="0.35">
      <c r="A306" s="93">
        <v>49796</v>
      </c>
      <c r="B306" s="61" t="s">
        <v>54</v>
      </c>
      <c r="C306" s="12" t="str">
        <f>'Planning Engine'!C1022</f>
        <v>Raw Material</v>
      </c>
      <c r="D306" s="12" t="str">
        <f>'Planning Engine'!D1022</f>
        <v>kg</v>
      </c>
      <c r="E306" s="95">
        <f>'Planning Engine'!E1022</f>
        <v>177.28999999999996</v>
      </c>
      <c r="F306" s="95">
        <f>'Planning Engine'!F1022</f>
        <v>0</v>
      </c>
      <c r="G306" s="95">
        <f>'Planning Engine'!G1022</f>
        <v>0</v>
      </c>
      <c r="H306" s="95">
        <f t="shared" si="8"/>
        <v>0</v>
      </c>
      <c r="I306" s="95">
        <f>'Planning Engine'!H1022</f>
        <v>177.28999999999996</v>
      </c>
      <c r="J306" s="96">
        <f ca="1">'Planning Engine'!J1022</f>
        <v>999</v>
      </c>
      <c r="K306" s="95">
        <f ca="1">'Planning Engine'!K1022</f>
        <v>0</v>
      </c>
      <c r="L306" s="12" t="str">
        <f ca="1">'Planning Engine'!L1022</f>
        <v>Overstock</v>
      </c>
      <c r="M306" s="93">
        <f>'Planning Engine'!S1022</f>
        <v>49675</v>
      </c>
      <c r="N306" s="95">
        <f>'Planning Engine'!T1022</f>
        <v>0</v>
      </c>
      <c r="O306" s="94" t="s">
        <v>2054</v>
      </c>
      <c r="P306" s="12" t="str">
        <f t="shared" ca="1" si="9"/>
        <v>Defer receipts</v>
      </c>
    </row>
    <row r="307" spans="1:16" ht="13" customHeight="1" x14ac:dyDescent="0.35">
      <c r="A307" s="97">
        <v>49827</v>
      </c>
      <c r="B307" s="53" t="s">
        <v>54</v>
      </c>
      <c r="C307" s="12" t="str">
        <f>'Planning Engine'!C1023</f>
        <v>Raw Material</v>
      </c>
      <c r="D307" s="12" t="str">
        <f>'Planning Engine'!D1023</f>
        <v>kg</v>
      </c>
      <c r="E307" s="95">
        <f>'Planning Engine'!E1023</f>
        <v>177.28999999999996</v>
      </c>
      <c r="F307" s="95">
        <f>'Planning Engine'!F1023</f>
        <v>0</v>
      </c>
      <c r="G307" s="95">
        <f>'Planning Engine'!G1023</f>
        <v>0</v>
      </c>
      <c r="H307" s="99">
        <f t="shared" si="8"/>
        <v>0</v>
      </c>
      <c r="I307" s="95">
        <f>'Planning Engine'!H1023</f>
        <v>177.28999999999996</v>
      </c>
      <c r="J307" s="96">
        <f ca="1">'Planning Engine'!J1023</f>
        <v>999</v>
      </c>
      <c r="K307" s="95">
        <f ca="1">'Planning Engine'!K1023</f>
        <v>0</v>
      </c>
      <c r="L307" s="12" t="str">
        <f ca="1">'Planning Engine'!L1023</f>
        <v>Overstock</v>
      </c>
      <c r="M307" s="93">
        <f>'Planning Engine'!S1023</f>
        <v>49706</v>
      </c>
      <c r="N307" s="95">
        <f>'Planning Engine'!T1023</f>
        <v>0</v>
      </c>
      <c r="O307" s="98" t="s">
        <v>2055</v>
      </c>
      <c r="P307" s="4" t="str">
        <f t="shared" ca="1" si="9"/>
        <v>Defer receipts</v>
      </c>
    </row>
    <row r="308" spans="1:16" ht="13" customHeight="1" x14ac:dyDescent="0.35">
      <c r="A308" s="93">
        <v>49857</v>
      </c>
      <c r="B308" s="61" t="s">
        <v>54</v>
      </c>
      <c r="C308" s="12" t="str">
        <f>'Planning Engine'!C1024</f>
        <v>Raw Material</v>
      </c>
      <c r="D308" s="12" t="str">
        <f>'Planning Engine'!D1024</f>
        <v>kg</v>
      </c>
      <c r="E308" s="95">
        <f>'Planning Engine'!E1024</f>
        <v>177.28999999999996</v>
      </c>
      <c r="F308" s="95">
        <f>'Planning Engine'!F1024</f>
        <v>0</v>
      </c>
      <c r="G308" s="95">
        <f>'Planning Engine'!G1024</f>
        <v>0</v>
      </c>
      <c r="H308" s="95">
        <f t="shared" si="8"/>
        <v>0</v>
      </c>
      <c r="I308" s="95">
        <f>'Planning Engine'!H1024</f>
        <v>177.28999999999996</v>
      </c>
      <c r="J308" s="96">
        <f ca="1">'Planning Engine'!J1024</f>
        <v>999</v>
      </c>
      <c r="K308" s="95">
        <f ca="1">'Planning Engine'!K1024</f>
        <v>0</v>
      </c>
      <c r="L308" s="12" t="str">
        <f ca="1">'Planning Engine'!L1024</f>
        <v>Overstock</v>
      </c>
      <c r="M308" s="93">
        <f>'Planning Engine'!S1024</f>
        <v>49735</v>
      </c>
      <c r="N308" s="95">
        <f>'Planning Engine'!T1024</f>
        <v>0</v>
      </c>
      <c r="O308" s="94" t="s">
        <v>2056</v>
      </c>
      <c r="P308" s="12" t="str">
        <f t="shared" ca="1" si="9"/>
        <v>Defer receipts</v>
      </c>
    </row>
    <row r="309" spans="1:16" ht="13" customHeight="1" x14ac:dyDescent="0.35">
      <c r="A309" s="97">
        <v>49888</v>
      </c>
      <c r="B309" s="53" t="s">
        <v>54</v>
      </c>
      <c r="C309" s="12" t="str">
        <f>'Planning Engine'!C1025</f>
        <v>Raw Material</v>
      </c>
      <c r="D309" s="12" t="str">
        <f>'Planning Engine'!D1025</f>
        <v>kg</v>
      </c>
      <c r="E309" s="95">
        <f>'Planning Engine'!E1025</f>
        <v>177.28999999999996</v>
      </c>
      <c r="F309" s="95">
        <f>'Planning Engine'!F1025</f>
        <v>0</v>
      </c>
      <c r="G309" s="95">
        <f>'Planning Engine'!G1025</f>
        <v>0</v>
      </c>
      <c r="H309" s="99">
        <f t="shared" si="8"/>
        <v>0</v>
      </c>
      <c r="I309" s="95">
        <f>'Planning Engine'!H1025</f>
        <v>177.28999999999996</v>
      </c>
      <c r="J309" s="96">
        <f ca="1">'Planning Engine'!J1025</f>
        <v>999</v>
      </c>
      <c r="K309" s="95">
        <f ca="1">'Planning Engine'!K1025</f>
        <v>0</v>
      </c>
      <c r="L309" s="12" t="str">
        <f ca="1">'Planning Engine'!L1025</f>
        <v>Overstock</v>
      </c>
      <c r="M309" s="93">
        <f>'Planning Engine'!S1025</f>
        <v>49766</v>
      </c>
      <c r="N309" s="95">
        <f>'Planning Engine'!T1025</f>
        <v>0</v>
      </c>
      <c r="O309" s="98" t="s">
        <v>2057</v>
      </c>
      <c r="P309" s="4" t="str">
        <f t="shared" ca="1" si="9"/>
        <v>Defer receipts</v>
      </c>
    </row>
    <row r="310" spans="1:16" ht="13" customHeight="1" x14ac:dyDescent="0.35">
      <c r="A310" s="93">
        <v>49919</v>
      </c>
      <c r="B310" s="61" t="s">
        <v>54</v>
      </c>
      <c r="C310" s="12" t="str">
        <f>'Planning Engine'!C1026</f>
        <v>Raw Material</v>
      </c>
      <c r="D310" s="12" t="str">
        <f>'Planning Engine'!D1026</f>
        <v>kg</v>
      </c>
      <c r="E310" s="95">
        <f>'Planning Engine'!E1026</f>
        <v>177.28999999999996</v>
      </c>
      <c r="F310" s="95">
        <f>'Planning Engine'!F1026</f>
        <v>0</v>
      </c>
      <c r="G310" s="95">
        <f>'Planning Engine'!G1026</f>
        <v>0</v>
      </c>
      <c r="H310" s="95">
        <f t="shared" si="8"/>
        <v>0</v>
      </c>
      <c r="I310" s="95">
        <f>'Planning Engine'!H1026</f>
        <v>177.28999999999996</v>
      </c>
      <c r="J310" s="96">
        <f ca="1">'Planning Engine'!J1026</f>
        <v>999</v>
      </c>
      <c r="K310" s="95">
        <f ca="1">'Planning Engine'!K1026</f>
        <v>0</v>
      </c>
      <c r="L310" s="12" t="str">
        <f ca="1">'Planning Engine'!L1026</f>
        <v>Overstock</v>
      </c>
      <c r="M310" s="93">
        <f>'Planning Engine'!S1026</f>
        <v>49796</v>
      </c>
      <c r="N310" s="95">
        <f>'Planning Engine'!T1026</f>
        <v>0</v>
      </c>
      <c r="O310" s="94" t="s">
        <v>2058</v>
      </c>
      <c r="P310" s="12" t="str">
        <f t="shared" ca="1" si="9"/>
        <v>Defer receipts</v>
      </c>
    </row>
    <row r="311" spans="1:16" ht="13" customHeight="1" x14ac:dyDescent="0.35">
      <c r="A311" s="97">
        <v>49949</v>
      </c>
      <c r="B311" s="53" t="s">
        <v>54</v>
      </c>
      <c r="C311" s="12" t="str">
        <f>'Planning Engine'!C1027</f>
        <v>Raw Material</v>
      </c>
      <c r="D311" s="12" t="str">
        <f>'Planning Engine'!D1027</f>
        <v>kg</v>
      </c>
      <c r="E311" s="95">
        <f>'Planning Engine'!E1027</f>
        <v>177.28999999999996</v>
      </c>
      <c r="F311" s="95">
        <f>'Planning Engine'!F1027</f>
        <v>0</v>
      </c>
      <c r="G311" s="95">
        <f>'Planning Engine'!G1027</f>
        <v>0</v>
      </c>
      <c r="H311" s="99">
        <f t="shared" si="8"/>
        <v>0</v>
      </c>
      <c r="I311" s="95">
        <f>'Planning Engine'!H1027</f>
        <v>177.28999999999996</v>
      </c>
      <c r="J311" s="96">
        <f ca="1">'Planning Engine'!J1027</f>
        <v>999</v>
      </c>
      <c r="K311" s="95">
        <f ca="1">'Planning Engine'!K1027</f>
        <v>0</v>
      </c>
      <c r="L311" s="12" t="str">
        <f ca="1">'Planning Engine'!L1027</f>
        <v>Overstock</v>
      </c>
      <c r="M311" s="93">
        <f>'Planning Engine'!S1027</f>
        <v>49827</v>
      </c>
      <c r="N311" s="95">
        <f>'Planning Engine'!T1027</f>
        <v>0</v>
      </c>
      <c r="O311" s="98" t="s">
        <v>2059</v>
      </c>
      <c r="P311" s="4" t="str">
        <f t="shared" ca="1" si="9"/>
        <v>Defer receipts</v>
      </c>
    </row>
    <row r="312" spans="1:16" ht="13" customHeight="1" x14ac:dyDescent="0.35">
      <c r="A312" s="93">
        <v>49980</v>
      </c>
      <c r="B312" s="61" t="s">
        <v>54</v>
      </c>
      <c r="C312" s="12" t="str">
        <f>'Planning Engine'!C1028</f>
        <v>Raw Material</v>
      </c>
      <c r="D312" s="12" t="str">
        <f>'Planning Engine'!D1028</f>
        <v>kg</v>
      </c>
      <c r="E312" s="95">
        <f>'Planning Engine'!E1028</f>
        <v>177.28999999999996</v>
      </c>
      <c r="F312" s="95">
        <f>'Planning Engine'!F1028</f>
        <v>0</v>
      </c>
      <c r="G312" s="95">
        <f>'Planning Engine'!G1028</f>
        <v>0</v>
      </c>
      <c r="H312" s="95">
        <f t="shared" si="8"/>
        <v>0</v>
      </c>
      <c r="I312" s="95">
        <f>'Planning Engine'!H1028</f>
        <v>177.28999999999996</v>
      </c>
      <c r="J312" s="96">
        <f ca="1">'Planning Engine'!J1028</f>
        <v>999</v>
      </c>
      <c r="K312" s="95">
        <f ca="1">'Planning Engine'!K1028</f>
        <v>0</v>
      </c>
      <c r="L312" s="12" t="str">
        <f ca="1">'Planning Engine'!L1028</f>
        <v>Overstock</v>
      </c>
      <c r="M312" s="93">
        <f>'Planning Engine'!S1028</f>
        <v>49857</v>
      </c>
      <c r="N312" s="95">
        <f>'Planning Engine'!T1028</f>
        <v>0</v>
      </c>
      <c r="O312" s="94" t="s">
        <v>2060</v>
      </c>
      <c r="P312" s="12" t="str">
        <f t="shared" ca="1" si="9"/>
        <v>Defer receipts</v>
      </c>
    </row>
    <row r="313" spans="1:16" ht="13" customHeight="1" x14ac:dyDescent="0.35">
      <c r="A313" s="97">
        <v>50010</v>
      </c>
      <c r="B313" s="53" t="s">
        <v>54</v>
      </c>
      <c r="C313" s="12" t="str">
        <f>'Planning Engine'!C1029</f>
        <v>Raw Material</v>
      </c>
      <c r="D313" s="12" t="str">
        <f>'Planning Engine'!D1029</f>
        <v>kg</v>
      </c>
      <c r="E313" s="95">
        <f>'Planning Engine'!E1029</f>
        <v>177.28999999999996</v>
      </c>
      <c r="F313" s="95">
        <f>'Planning Engine'!F1029</f>
        <v>0</v>
      </c>
      <c r="G313" s="95">
        <f>'Planning Engine'!G1029</f>
        <v>0</v>
      </c>
      <c r="H313" s="99">
        <f t="shared" si="8"/>
        <v>0</v>
      </c>
      <c r="I313" s="95">
        <f>'Planning Engine'!H1029</f>
        <v>177.28999999999996</v>
      </c>
      <c r="J313" s="96">
        <f ca="1">'Planning Engine'!J1029</f>
        <v>999</v>
      </c>
      <c r="K313" s="95">
        <f ca="1">'Planning Engine'!K1029</f>
        <v>0</v>
      </c>
      <c r="L313" s="12" t="str">
        <f ca="1">'Planning Engine'!L1029</f>
        <v>Overstock</v>
      </c>
      <c r="M313" s="93">
        <f>'Planning Engine'!S1029</f>
        <v>49888</v>
      </c>
      <c r="N313" s="95">
        <f>'Planning Engine'!T1029</f>
        <v>0</v>
      </c>
      <c r="O313" s="98" t="s">
        <v>2061</v>
      </c>
      <c r="P313" s="4" t="str">
        <f t="shared" ca="1" si="9"/>
        <v>Defer receipts</v>
      </c>
    </row>
    <row r="314" spans="1:16" ht="13" customHeight="1" x14ac:dyDescent="0.35">
      <c r="A314" s="93">
        <v>50041</v>
      </c>
      <c r="B314" s="61" t="s">
        <v>54</v>
      </c>
      <c r="C314" s="12" t="str">
        <f>'Planning Engine'!C1030</f>
        <v>Raw Material</v>
      </c>
      <c r="D314" s="12" t="str">
        <f>'Planning Engine'!D1030</f>
        <v>kg</v>
      </c>
      <c r="E314" s="95">
        <f>'Planning Engine'!E1030</f>
        <v>177.28999999999996</v>
      </c>
      <c r="F314" s="95">
        <f>'Planning Engine'!F1030</f>
        <v>0</v>
      </c>
      <c r="G314" s="95">
        <f>'Planning Engine'!G1030</f>
        <v>0</v>
      </c>
      <c r="H314" s="95">
        <f t="shared" si="8"/>
        <v>0</v>
      </c>
      <c r="I314" s="95">
        <f>'Planning Engine'!H1030</f>
        <v>177.28999999999996</v>
      </c>
      <c r="J314" s="96">
        <f ca="1">'Planning Engine'!J1030</f>
        <v>999</v>
      </c>
      <c r="K314" s="95">
        <f ca="1">'Planning Engine'!K1030</f>
        <v>0</v>
      </c>
      <c r="L314" s="12" t="str">
        <f ca="1">'Planning Engine'!L1030</f>
        <v>Overstock</v>
      </c>
      <c r="M314" s="93">
        <f>'Planning Engine'!S1030</f>
        <v>49919</v>
      </c>
      <c r="N314" s="95">
        <f>'Planning Engine'!T1030</f>
        <v>0</v>
      </c>
      <c r="O314" s="94" t="s">
        <v>2062</v>
      </c>
      <c r="P314" s="12" t="str">
        <f t="shared" ca="1" si="9"/>
        <v>Defer receipts</v>
      </c>
    </row>
    <row r="315" spans="1:16" ht="13" customHeight="1" x14ac:dyDescent="0.35">
      <c r="A315" s="97">
        <v>50072</v>
      </c>
      <c r="B315" s="53" t="s">
        <v>54</v>
      </c>
      <c r="C315" s="12" t="str">
        <f>'Planning Engine'!C1031</f>
        <v>Raw Material</v>
      </c>
      <c r="D315" s="12" t="str">
        <f>'Planning Engine'!D1031</f>
        <v>kg</v>
      </c>
      <c r="E315" s="95">
        <f>'Planning Engine'!E1031</f>
        <v>177.28999999999996</v>
      </c>
      <c r="F315" s="95">
        <f>'Planning Engine'!F1031</f>
        <v>0</v>
      </c>
      <c r="G315" s="95">
        <f>'Planning Engine'!G1031</f>
        <v>0</v>
      </c>
      <c r="H315" s="99">
        <f t="shared" si="8"/>
        <v>0</v>
      </c>
      <c r="I315" s="95">
        <f>'Planning Engine'!H1031</f>
        <v>177.28999999999996</v>
      </c>
      <c r="J315" s="96">
        <f ca="1">'Planning Engine'!J1031</f>
        <v>999</v>
      </c>
      <c r="K315" s="95">
        <f ca="1">'Planning Engine'!K1031</f>
        <v>0</v>
      </c>
      <c r="L315" s="12" t="str">
        <f ca="1">'Planning Engine'!L1031</f>
        <v>Overstock</v>
      </c>
      <c r="M315" s="93">
        <f>'Planning Engine'!S1031</f>
        <v>49949</v>
      </c>
      <c r="N315" s="95">
        <f>'Planning Engine'!T1031</f>
        <v>0</v>
      </c>
      <c r="O315" s="98" t="s">
        <v>2063</v>
      </c>
      <c r="P315" s="4" t="str">
        <f t="shared" ca="1" si="9"/>
        <v>Defer receipts</v>
      </c>
    </row>
    <row r="316" spans="1:16" ht="13" customHeight="1" x14ac:dyDescent="0.35">
      <c r="A316" s="93">
        <v>50100</v>
      </c>
      <c r="B316" s="61" t="s">
        <v>54</v>
      </c>
      <c r="C316" s="12" t="str">
        <f>'Planning Engine'!C1032</f>
        <v>Raw Material</v>
      </c>
      <c r="D316" s="12" t="str">
        <f>'Planning Engine'!D1032</f>
        <v>kg</v>
      </c>
      <c r="E316" s="95">
        <f>'Planning Engine'!E1032</f>
        <v>177.28999999999996</v>
      </c>
      <c r="F316" s="95">
        <f>'Planning Engine'!F1032</f>
        <v>0</v>
      </c>
      <c r="G316" s="95">
        <f>'Planning Engine'!G1032</f>
        <v>0</v>
      </c>
      <c r="H316" s="95">
        <f t="shared" si="8"/>
        <v>0</v>
      </c>
      <c r="I316" s="95">
        <f>'Planning Engine'!H1032</f>
        <v>177.28999999999996</v>
      </c>
      <c r="J316" s="96">
        <f ca="1">'Planning Engine'!J1032</f>
        <v>999</v>
      </c>
      <c r="K316" s="95">
        <f ca="1">'Planning Engine'!K1032</f>
        <v>0</v>
      </c>
      <c r="L316" s="12" t="str">
        <f ca="1">'Planning Engine'!L1032</f>
        <v>Overstock</v>
      </c>
      <c r="M316" s="93">
        <f>'Planning Engine'!S1032</f>
        <v>49980</v>
      </c>
      <c r="N316" s="95">
        <f>'Planning Engine'!T1032</f>
        <v>0</v>
      </c>
      <c r="O316" s="94" t="s">
        <v>2064</v>
      </c>
      <c r="P316" s="12" t="str">
        <f t="shared" ca="1" si="9"/>
        <v>Defer receipts</v>
      </c>
    </row>
    <row r="317" spans="1:16" ht="13" customHeight="1" x14ac:dyDescent="0.35">
      <c r="A317" s="97">
        <v>50131</v>
      </c>
      <c r="B317" s="53" t="s">
        <v>54</v>
      </c>
      <c r="C317" s="12" t="str">
        <f>'Planning Engine'!C1033</f>
        <v>Raw Material</v>
      </c>
      <c r="D317" s="12" t="str">
        <f>'Planning Engine'!D1033</f>
        <v>kg</v>
      </c>
      <c r="E317" s="95">
        <f>'Planning Engine'!E1033</f>
        <v>177.28999999999996</v>
      </c>
      <c r="F317" s="95">
        <f>'Planning Engine'!F1033</f>
        <v>0</v>
      </c>
      <c r="G317" s="95">
        <f>'Planning Engine'!G1033</f>
        <v>0</v>
      </c>
      <c r="H317" s="99">
        <f t="shared" si="8"/>
        <v>0</v>
      </c>
      <c r="I317" s="95">
        <f>'Planning Engine'!H1033</f>
        <v>177.28999999999996</v>
      </c>
      <c r="J317" s="96">
        <f ca="1">'Planning Engine'!J1033</f>
        <v>999</v>
      </c>
      <c r="K317" s="95">
        <f ca="1">'Planning Engine'!K1033</f>
        <v>0</v>
      </c>
      <c r="L317" s="12" t="str">
        <f ca="1">'Planning Engine'!L1033</f>
        <v>Overstock</v>
      </c>
      <c r="M317" s="93">
        <f>'Planning Engine'!S1033</f>
        <v>50010</v>
      </c>
      <c r="N317" s="95">
        <f>'Planning Engine'!T1033</f>
        <v>0</v>
      </c>
      <c r="O317" s="98" t="s">
        <v>2065</v>
      </c>
      <c r="P317" s="4" t="str">
        <f t="shared" ca="1" si="9"/>
        <v>Defer receipts</v>
      </c>
    </row>
    <row r="318" spans="1:16" ht="13" customHeight="1" x14ac:dyDescent="0.35">
      <c r="A318" s="93">
        <v>50161</v>
      </c>
      <c r="B318" s="61" t="s">
        <v>54</v>
      </c>
      <c r="C318" s="12" t="str">
        <f>'Planning Engine'!C1034</f>
        <v>Raw Material</v>
      </c>
      <c r="D318" s="12" t="str">
        <f>'Planning Engine'!D1034</f>
        <v>kg</v>
      </c>
      <c r="E318" s="95">
        <f>'Planning Engine'!E1034</f>
        <v>177.28999999999996</v>
      </c>
      <c r="F318" s="95">
        <f>'Planning Engine'!F1034</f>
        <v>0</v>
      </c>
      <c r="G318" s="95">
        <f>'Planning Engine'!G1034</f>
        <v>0</v>
      </c>
      <c r="H318" s="95">
        <f t="shared" si="8"/>
        <v>0</v>
      </c>
      <c r="I318" s="95">
        <f>'Planning Engine'!H1034</f>
        <v>177.28999999999996</v>
      </c>
      <c r="J318" s="96">
        <f ca="1">'Planning Engine'!J1034</f>
        <v>999</v>
      </c>
      <c r="K318" s="95">
        <f ca="1">'Planning Engine'!K1034</f>
        <v>0</v>
      </c>
      <c r="L318" s="12" t="str">
        <f ca="1">'Planning Engine'!L1034</f>
        <v>Overstock</v>
      </c>
      <c r="M318" s="93">
        <f>'Planning Engine'!S1034</f>
        <v>50041</v>
      </c>
      <c r="N318" s="95">
        <f>'Planning Engine'!T1034</f>
        <v>0</v>
      </c>
      <c r="O318" s="94" t="s">
        <v>2066</v>
      </c>
      <c r="P318" s="12" t="str">
        <f t="shared" ca="1" si="9"/>
        <v>Defer receipts</v>
      </c>
    </row>
    <row r="319" spans="1:16" ht="13" customHeight="1" x14ac:dyDescent="0.35">
      <c r="A319" s="97">
        <v>50192</v>
      </c>
      <c r="B319" s="53" t="s">
        <v>54</v>
      </c>
      <c r="C319" s="12" t="str">
        <f>'Planning Engine'!C1035</f>
        <v>Raw Material</v>
      </c>
      <c r="D319" s="12" t="str">
        <f>'Planning Engine'!D1035</f>
        <v>kg</v>
      </c>
      <c r="E319" s="95">
        <f>'Planning Engine'!E1035</f>
        <v>177.28999999999996</v>
      </c>
      <c r="F319" s="95">
        <f>'Planning Engine'!F1035</f>
        <v>0</v>
      </c>
      <c r="G319" s="95">
        <f>'Planning Engine'!G1035</f>
        <v>0</v>
      </c>
      <c r="H319" s="99">
        <f t="shared" si="8"/>
        <v>0</v>
      </c>
      <c r="I319" s="95">
        <f>'Planning Engine'!H1035</f>
        <v>177.28999999999996</v>
      </c>
      <c r="J319" s="96">
        <f ca="1">'Planning Engine'!J1035</f>
        <v>999</v>
      </c>
      <c r="K319" s="95">
        <f ca="1">'Planning Engine'!K1035</f>
        <v>0</v>
      </c>
      <c r="L319" s="12" t="str">
        <f ca="1">'Planning Engine'!L1035</f>
        <v>Overstock</v>
      </c>
      <c r="M319" s="93">
        <f>'Planning Engine'!S1035</f>
        <v>50072</v>
      </c>
      <c r="N319" s="95">
        <f>'Planning Engine'!T1035</f>
        <v>0</v>
      </c>
      <c r="O319" s="98" t="s">
        <v>2067</v>
      </c>
      <c r="P319" s="4" t="str">
        <f t="shared" ca="1" si="9"/>
        <v>Defer receipts</v>
      </c>
    </row>
    <row r="320" spans="1:16" ht="13" customHeight="1" x14ac:dyDescent="0.35">
      <c r="A320" s="93">
        <v>50222</v>
      </c>
      <c r="B320" s="61" t="s">
        <v>54</v>
      </c>
      <c r="C320" s="12" t="str">
        <f>'Planning Engine'!C1036</f>
        <v>Raw Material</v>
      </c>
      <c r="D320" s="12" t="str">
        <f>'Planning Engine'!D1036</f>
        <v>kg</v>
      </c>
      <c r="E320" s="95">
        <f>'Planning Engine'!E1036</f>
        <v>177.28999999999996</v>
      </c>
      <c r="F320" s="95">
        <f>'Planning Engine'!F1036</f>
        <v>0</v>
      </c>
      <c r="G320" s="95">
        <f>'Planning Engine'!G1036</f>
        <v>0</v>
      </c>
      <c r="H320" s="95">
        <f t="shared" si="8"/>
        <v>0</v>
      </c>
      <c r="I320" s="95">
        <f>'Planning Engine'!H1036</f>
        <v>177.28999999999996</v>
      </c>
      <c r="J320" s="96">
        <f ca="1">'Planning Engine'!J1036</f>
        <v>999</v>
      </c>
      <c r="K320" s="95">
        <f ca="1">'Planning Engine'!K1036</f>
        <v>0</v>
      </c>
      <c r="L320" s="12" t="str">
        <f ca="1">'Planning Engine'!L1036</f>
        <v>Overstock</v>
      </c>
      <c r="M320" s="93">
        <f>'Planning Engine'!S1036</f>
        <v>50100</v>
      </c>
      <c r="N320" s="95">
        <f>'Planning Engine'!T1036</f>
        <v>0</v>
      </c>
      <c r="O320" s="94" t="s">
        <v>2068</v>
      </c>
      <c r="P320" s="12" t="str">
        <f t="shared" ca="1" si="9"/>
        <v>Defer receipts</v>
      </c>
    </row>
    <row r="321" spans="1:16" ht="13" customHeight="1" x14ac:dyDescent="0.35">
      <c r="A321" s="97">
        <v>50253</v>
      </c>
      <c r="B321" s="53" t="s">
        <v>54</v>
      </c>
      <c r="C321" s="12" t="str">
        <f>'Planning Engine'!C1037</f>
        <v>Raw Material</v>
      </c>
      <c r="D321" s="12" t="str">
        <f>'Planning Engine'!D1037</f>
        <v>kg</v>
      </c>
      <c r="E321" s="95">
        <f>'Planning Engine'!E1037</f>
        <v>177.28999999999996</v>
      </c>
      <c r="F321" s="95">
        <f>'Planning Engine'!F1037</f>
        <v>0</v>
      </c>
      <c r="G321" s="95">
        <f>'Planning Engine'!G1037</f>
        <v>0</v>
      </c>
      <c r="H321" s="99">
        <f t="shared" si="8"/>
        <v>0</v>
      </c>
      <c r="I321" s="95">
        <f>'Planning Engine'!H1037</f>
        <v>177.28999999999996</v>
      </c>
      <c r="J321" s="96">
        <f ca="1">'Planning Engine'!J1037</f>
        <v>999</v>
      </c>
      <c r="K321" s="95">
        <f ca="1">'Planning Engine'!K1037</f>
        <v>0</v>
      </c>
      <c r="L321" s="12" t="str">
        <f ca="1">'Planning Engine'!L1037</f>
        <v>Overstock</v>
      </c>
      <c r="M321" s="93">
        <f>'Planning Engine'!S1037</f>
        <v>50131</v>
      </c>
      <c r="N321" s="95">
        <f>'Planning Engine'!T1037</f>
        <v>0</v>
      </c>
      <c r="O321" s="98" t="s">
        <v>2069</v>
      </c>
      <c r="P321" s="4" t="str">
        <f t="shared" ca="1" si="9"/>
        <v>Defer receipts</v>
      </c>
    </row>
    <row r="322" spans="1:16" ht="13" customHeight="1" x14ac:dyDescent="0.35">
      <c r="A322" s="93">
        <v>50284</v>
      </c>
      <c r="B322" s="61" t="s">
        <v>54</v>
      </c>
      <c r="C322" s="12" t="str">
        <f>'Planning Engine'!C1038</f>
        <v>Raw Material</v>
      </c>
      <c r="D322" s="12" t="str">
        <f>'Planning Engine'!D1038</f>
        <v>kg</v>
      </c>
      <c r="E322" s="95">
        <f>'Planning Engine'!E1038</f>
        <v>177.28999999999996</v>
      </c>
      <c r="F322" s="95">
        <f>'Planning Engine'!F1038</f>
        <v>0</v>
      </c>
      <c r="G322" s="95">
        <f>'Planning Engine'!G1038</f>
        <v>0</v>
      </c>
      <c r="H322" s="95">
        <f t="shared" si="8"/>
        <v>0</v>
      </c>
      <c r="I322" s="95">
        <f>'Planning Engine'!H1038</f>
        <v>177.28999999999996</v>
      </c>
      <c r="J322" s="96">
        <f ca="1">'Planning Engine'!J1038</f>
        <v>999</v>
      </c>
      <c r="K322" s="95">
        <f ca="1">'Planning Engine'!K1038</f>
        <v>0</v>
      </c>
      <c r="L322" s="12" t="str">
        <f ca="1">'Planning Engine'!L1038</f>
        <v>Overstock</v>
      </c>
      <c r="M322" s="93">
        <f>'Planning Engine'!S1038</f>
        <v>50161</v>
      </c>
      <c r="N322" s="95">
        <f>'Planning Engine'!T1038</f>
        <v>0</v>
      </c>
      <c r="O322" s="94" t="s">
        <v>2070</v>
      </c>
      <c r="P322" s="12" t="str">
        <f t="shared" ca="1" si="9"/>
        <v>Defer receipts</v>
      </c>
    </row>
    <row r="323" spans="1:16" ht="13" customHeight="1" x14ac:dyDescent="0.35">
      <c r="A323" s="97">
        <v>50314</v>
      </c>
      <c r="B323" s="53" t="s">
        <v>54</v>
      </c>
      <c r="C323" s="12" t="str">
        <f>'Planning Engine'!C1039</f>
        <v>Raw Material</v>
      </c>
      <c r="D323" s="12" t="str">
        <f>'Planning Engine'!D1039</f>
        <v>kg</v>
      </c>
      <c r="E323" s="95">
        <f>'Planning Engine'!E1039</f>
        <v>177.28999999999996</v>
      </c>
      <c r="F323" s="95">
        <f>'Planning Engine'!F1039</f>
        <v>0</v>
      </c>
      <c r="G323" s="95">
        <f>'Planning Engine'!G1039</f>
        <v>0</v>
      </c>
      <c r="H323" s="99">
        <f t="shared" si="8"/>
        <v>0</v>
      </c>
      <c r="I323" s="95">
        <f>'Planning Engine'!H1039</f>
        <v>177.28999999999996</v>
      </c>
      <c r="J323" s="96">
        <f ca="1">'Planning Engine'!J1039</f>
        <v>999</v>
      </c>
      <c r="K323" s="95">
        <f ca="1">'Planning Engine'!K1039</f>
        <v>0</v>
      </c>
      <c r="L323" s="12" t="str">
        <f ca="1">'Planning Engine'!L1039</f>
        <v>Overstock</v>
      </c>
      <c r="M323" s="93">
        <f>'Planning Engine'!S1039</f>
        <v>50192</v>
      </c>
      <c r="N323" s="95">
        <f>'Planning Engine'!T1039</f>
        <v>0</v>
      </c>
      <c r="O323" s="98" t="s">
        <v>2071</v>
      </c>
      <c r="P323" s="4" t="str">
        <f t="shared" ca="1" si="9"/>
        <v>Defer receipts</v>
      </c>
    </row>
    <row r="324" spans="1:16" ht="13" customHeight="1" x14ac:dyDescent="0.35">
      <c r="A324" s="93">
        <v>50345</v>
      </c>
      <c r="B324" s="61" t="s">
        <v>54</v>
      </c>
      <c r="C324" s="12" t="str">
        <f>'Planning Engine'!C1040</f>
        <v>Raw Material</v>
      </c>
      <c r="D324" s="12" t="str">
        <f>'Planning Engine'!D1040</f>
        <v>kg</v>
      </c>
      <c r="E324" s="95">
        <f>'Planning Engine'!E1040</f>
        <v>177.28999999999996</v>
      </c>
      <c r="F324" s="95">
        <f>'Planning Engine'!F1040</f>
        <v>0</v>
      </c>
      <c r="G324" s="95">
        <f>'Planning Engine'!G1040</f>
        <v>0</v>
      </c>
      <c r="H324" s="95">
        <f t="shared" ref="H324:H387" si="10">G324-F324</f>
        <v>0</v>
      </c>
      <c r="I324" s="95">
        <f>'Planning Engine'!H1040</f>
        <v>177.28999999999996</v>
      </c>
      <c r="J324" s="96">
        <f ca="1">'Planning Engine'!J1040</f>
        <v>999</v>
      </c>
      <c r="K324" s="95">
        <f ca="1">'Planning Engine'!K1040</f>
        <v>0</v>
      </c>
      <c r="L324" s="12" t="str">
        <f ca="1">'Planning Engine'!L1040</f>
        <v>Overstock</v>
      </c>
      <c r="M324" s="93">
        <f>'Planning Engine'!S1040</f>
        <v>50222</v>
      </c>
      <c r="N324" s="95">
        <f>'Planning Engine'!T1040</f>
        <v>0</v>
      </c>
      <c r="O324" s="94" t="s">
        <v>2072</v>
      </c>
      <c r="P324" s="12" t="str">
        <f t="shared" ref="P324:P387" ca="1" si="11">IFERROR(IF(L324="High","⚠ Expedite / qualify alternate source",IF(L324="Medium","Monitor — plan additional POs",IF(L324="Overstock","Defer receipts","OK"))),"--")</f>
        <v>Defer receipts</v>
      </c>
    </row>
    <row r="325" spans="1:16" ht="13" customHeight="1" x14ac:dyDescent="0.35">
      <c r="A325" s="97">
        <v>50375</v>
      </c>
      <c r="B325" s="53" t="s">
        <v>54</v>
      </c>
      <c r="C325" s="12" t="str">
        <f>'Planning Engine'!C1041</f>
        <v>Raw Material</v>
      </c>
      <c r="D325" s="12" t="str">
        <f>'Planning Engine'!D1041</f>
        <v>kg</v>
      </c>
      <c r="E325" s="95">
        <f>'Planning Engine'!E1041</f>
        <v>177.28999999999996</v>
      </c>
      <c r="F325" s="95">
        <f>'Planning Engine'!F1041</f>
        <v>0</v>
      </c>
      <c r="G325" s="95">
        <f>'Planning Engine'!G1041</f>
        <v>0</v>
      </c>
      <c r="H325" s="99">
        <f t="shared" si="10"/>
        <v>0</v>
      </c>
      <c r="I325" s="95">
        <f>'Planning Engine'!H1041</f>
        <v>177.28999999999996</v>
      </c>
      <c r="J325" s="96">
        <f ca="1">'Planning Engine'!J1041</f>
        <v>999</v>
      </c>
      <c r="K325" s="95">
        <f ca="1">'Planning Engine'!K1041</f>
        <v>0</v>
      </c>
      <c r="L325" s="12" t="str">
        <f ca="1">'Planning Engine'!L1041</f>
        <v>Overstock</v>
      </c>
      <c r="M325" s="93">
        <f>'Planning Engine'!S1041</f>
        <v>50253</v>
      </c>
      <c r="N325" s="95">
        <f>'Planning Engine'!T1041</f>
        <v>0</v>
      </c>
      <c r="O325" s="98" t="s">
        <v>2073</v>
      </c>
      <c r="P325" s="4" t="str">
        <f t="shared" ca="1" si="11"/>
        <v>Defer receipts</v>
      </c>
    </row>
    <row r="326" spans="1:16" ht="13" customHeight="1" x14ac:dyDescent="0.35">
      <c r="A326" s="93">
        <v>50406</v>
      </c>
      <c r="B326" s="61" t="s">
        <v>54</v>
      </c>
      <c r="C326" s="12" t="str">
        <f>'Planning Engine'!C1042</f>
        <v>Raw Material</v>
      </c>
      <c r="D326" s="12" t="str">
        <f>'Planning Engine'!D1042</f>
        <v>kg</v>
      </c>
      <c r="E326" s="95">
        <f>'Planning Engine'!E1042</f>
        <v>177.28999999999996</v>
      </c>
      <c r="F326" s="95">
        <f>'Planning Engine'!F1042</f>
        <v>0</v>
      </c>
      <c r="G326" s="95">
        <f>'Planning Engine'!G1042</f>
        <v>0</v>
      </c>
      <c r="H326" s="95">
        <f t="shared" si="10"/>
        <v>0</v>
      </c>
      <c r="I326" s="95">
        <f>'Planning Engine'!H1042</f>
        <v>177.28999999999996</v>
      </c>
      <c r="J326" s="96">
        <f ca="1">'Planning Engine'!J1042</f>
        <v>999</v>
      </c>
      <c r="K326" s="95">
        <f ca="1">'Planning Engine'!K1042</f>
        <v>0</v>
      </c>
      <c r="L326" s="12" t="str">
        <f ca="1">'Planning Engine'!L1042</f>
        <v>Overstock</v>
      </c>
      <c r="M326" s="93">
        <f>'Planning Engine'!S1042</f>
        <v>50284</v>
      </c>
      <c r="N326" s="95">
        <f>'Planning Engine'!T1042</f>
        <v>0</v>
      </c>
      <c r="O326" s="94" t="s">
        <v>2074</v>
      </c>
      <c r="P326" s="12" t="str">
        <f t="shared" ca="1" si="11"/>
        <v>Defer receipts</v>
      </c>
    </row>
    <row r="327" spans="1:16" ht="13" customHeight="1" x14ac:dyDescent="0.35">
      <c r="A327" s="97">
        <v>50437</v>
      </c>
      <c r="B327" s="53" t="s">
        <v>54</v>
      </c>
      <c r="C327" s="12" t="str">
        <f>'Planning Engine'!C1043</f>
        <v>Raw Material</v>
      </c>
      <c r="D327" s="12" t="str">
        <f>'Planning Engine'!D1043</f>
        <v>kg</v>
      </c>
      <c r="E327" s="95">
        <f>'Planning Engine'!E1043</f>
        <v>177.28999999999996</v>
      </c>
      <c r="F327" s="95">
        <f>'Planning Engine'!F1043</f>
        <v>0</v>
      </c>
      <c r="G327" s="95">
        <f>'Planning Engine'!G1043</f>
        <v>0</v>
      </c>
      <c r="H327" s="99">
        <f t="shared" si="10"/>
        <v>0</v>
      </c>
      <c r="I327" s="95">
        <f>'Planning Engine'!H1043</f>
        <v>177.28999999999996</v>
      </c>
      <c r="J327" s="96">
        <f ca="1">'Planning Engine'!J1043</f>
        <v>999</v>
      </c>
      <c r="K327" s="95">
        <f ca="1">'Planning Engine'!K1043</f>
        <v>0</v>
      </c>
      <c r="L327" s="12" t="str">
        <f ca="1">'Planning Engine'!L1043</f>
        <v>Overstock</v>
      </c>
      <c r="M327" s="93">
        <f>'Planning Engine'!S1043</f>
        <v>50314</v>
      </c>
      <c r="N327" s="95">
        <f>'Planning Engine'!T1043</f>
        <v>0</v>
      </c>
      <c r="O327" s="98" t="s">
        <v>2075</v>
      </c>
      <c r="P327" s="4" t="str">
        <f t="shared" ca="1" si="11"/>
        <v>Defer receipts</v>
      </c>
    </row>
    <row r="328" spans="1:16" ht="13" customHeight="1" x14ac:dyDescent="0.35">
      <c r="A328" s="93">
        <v>50465</v>
      </c>
      <c r="B328" s="61" t="s">
        <v>54</v>
      </c>
      <c r="C328" s="12" t="str">
        <f>'Planning Engine'!C1044</f>
        <v>Raw Material</v>
      </c>
      <c r="D328" s="12" t="str">
        <f>'Planning Engine'!D1044</f>
        <v>kg</v>
      </c>
      <c r="E328" s="95">
        <f>'Planning Engine'!E1044</f>
        <v>177.28999999999996</v>
      </c>
      <c r="F328" s="95">
        <f>'Planning Engine'!F1044</f>
        <v>0</v>
      </c>
      <c r="G328" s="95">
        <f>'Planning Engine'!G1044</f>
        <v>0</v>
      </c>
      <c r="H328" s="95">
        <f t="shared" si="10"/>
        <v>0</v>
      </c>
      <c r="I328" s="95">
        <f>'Planning Engine'!H1044</f>
        <v>177.28999999999996</v>
      </c>
      <c r="J328" s="96">
        <f ca="1">'Planning Engine'!J1044</f>
        <v>999</v>
      </c>
      <c r="K328" s="95">
        <f ca="1">'Planning Engine'!K1044</f>
        <v>0</v>
      </c>
      <c r="L328" s="12" t="str">
        <f ca="1">'Planning Engine'!L1044</f>
        <v>Overstock</v>
      </c>
      <c r="M328" s="93">
        <f>'Planning Engine'!S1044</f>
        <v>50345</v>
      </c>
      <c r="N328" s="95">
        <f>'Planning Engine'!T1044</f>
        <v>0</v>
      </c>
      <c r="O328" s="94" t="s">
        <v>2076</v>
      </c>
      <c r="P328" s="12" t="str">
        <f t="shared" ca="1" si="11"/>
        <v>Defer receipts</v>
      </c>
    </row>
    <row r="329" spans="1:16" ht="13" customHeight="1" x14ac:dyDescent="0.35">
      <c r="A329" s="97">
        <v>50496</v>
      </c>
      <c r="B329" s="53" t="s">
        <v>54</v>
      </c>
      <c r="C329" s="12" t="str">
        <f>'Planning Engine'!C1045</f>
        <v>Raw Material</v>
      </c>
      <c r="D329" s="12" t="str">
        <f>'Planning Engine'!D1045</f>
        <v>kg</v>
      </c>
      <c r="E329" s="95">
        <f>'Planning Engine'!E1045</f>
        <v>177.28999999999996</v>
      </c>
      <c r="F329" s="95">
        <f>'Planning Engine'!F1045</f>
        <v>0</v>
      </c>
      <c r="G329" s="95">
        <f>'Planning Engine'!G1045</f>
        <v>0</v>
      </c>
      <c r="H329" s="99">
        <f t="shared" si="10"/>
        <v>0</v>
      </c>
      <c r="I329" s="95">
        <f>'Planning Engine'!H1045</f>
        <v>177.28999999999996</v>
      </c>
      <c r="J329" s="96">
        <f ca="1">'Planning Engine'!J1045</f>
        <v>999</v>
      </c>
      <c r="K329" s="95">
        <f ca="1">'Planning Engine'!K1045</f>
        <v>0</v>
      </c>
      <c r="L329" s="12" t="str">
        <f ca="1">'Planning Engine'!L1045</f>
        <v>Overstock</v>
      </c>
      <c r="M329" s="93">
        <f>'Planning Engine'!S1045</f>
        <v>50375</v>
      </c>
      <c r="N329" s="95">
        <f>'Planning Engine'!T1045</f>
        <v>0</v>
      </c>
      <c r="O329" s="98" t="s">
        <v>2077</v>
      </c>
      <c r="P329" s="4" t="str">
        <f t="shared" ca="1" si="11"/>
        <v>Defer receipts</v>
      </c>
    </row>
    <row r="330" spans="1:16" ht="13" customHeight="1" x14ac:dyDescent="0.35">
      <c r="A330" s="93">
        <v>50526</v>
      </c>
      <c r="B330" s="61" t="s">
        <v>54</v>
      </c>
      <c r="C330" s="12" t="str">
        <f>'Planning Engine'!C1046</f>
        <v>Raw Material</v>
      </c>
      <c r="D330" s="12" t="str">
        <f>'Planning Engine'!D1046</f>
        <v>kg</v>
      </c>
      <c r="E330" s="95">
        <f>'Planning Engine'!E1046</f>
        <v>177.28999999999996</v>
      </c>
      <c r="F330" s="95">
        <f>'Planning Engine'!F1046</f>
        <v>0</v>
      </c>
      <c r="G330" s="95">
        <f>'Planning Engine'!G1046</f>
        <v>0</v>
      </c>
      <c r="H330" s="95">
        <f t="shared" si="10"/>
        <v>0</v>
      </c>
      <c r="I330" s="95">
        <f>'Planning Engine'!H1046</f>
        <v>177.28999999999996</v>
      </c>
      <c r="J330" s="96">
        <f ca="1">'Planning Engine'!J1046</f>
        <v>999</v>
      </c>
      <c r="K330" s="95">
        <f ca="1">'Planning Engine'!K1046</f>
        <v>0</v>
      </c>
      <c r="L330" s="12" t="str">
        <f ca="1">'Planning Engine'!L1046</f>
        <v>Overstock</v>
      </c>
      <c r="M330" s="93">
        <f>'Planning Engine'!S1046</f>
        <v>50406</v>
      </c>
      <c r="N330" s="95">
        <f>'Planning Engine'!T1046</f>
        <v>0</v>
      </c>
      <c r="O330" s="94" t="s">
        <v>2078</v>
      </c>
      <c r="P330" s="12" t="str">
        <f t="shared" ca="1" si="11"/>
        <v>Defer receipts</v>
      </c>
    </row>
    <row r="331" spans="1:16" ht="13" customHeight="1" x14ac:dyDescent="0.35">
      <c r="A331" s="97">
        <v>50557</v>
      </c>
      <c r="B331" s="53" t="s">
        <v>54</v>
      </c>
      <c r="C331" s="12" t="str">
        <f>'Planning Engine'!C1047</f>
        <v>Raw Material</v>
      </c>
      <c r="D331" s="12" t="str">
        <f>'Planning Engine'!D1047</f>
        <v>kg</v>
      </c>
      <c r="E331" s="95">
        <f>'Planning Engine'!E1047</f>
        <v>177.28999999999996</v>
      </c>
      <c r="F331" s="95">
        <f>'Planning Engine'!F1047</f>
        <v>0</v>
      </c>
      <c r="G331" s="95">
        <f>'Planning Engine'!G1047</f>
        <v>0</v>
      </c>
      <c r="H331" s="99">
        <f t="shared" si="10"/>
        <v>0</v>
      </c>
      <c r="I331" s="95">
        <f>'Planning Engine'!H1047</f>
        <v>177.28999999999996</v>
      </c>
      <c r="J331" s="96">
        <f ca="1">'Planning Engine'!J1047</f>
        <v>999</v>
      </c>
      <c r="K331" s="95">
        <f ca="1">'Planning Engine'!K1047</f>
        <v>0</v>
      </c>
      <c r="L331" s="12" t="str">
        <f ca="1">'Planning Engine'!L1047</f>
        <v>Overstock</v>
      </c>
      <c r="M331" s="93">
        <f>'Planning Engine'!S1047</f>
        <v>50437</v>
      </c>
      <c r="N331" s="95">
        <f>'Planning Engine'!T1047</f>
        <v>0</v>
      </c>
      <c r="O331" s="98" t="s">
        <v>2079</v>
      </c>
      <c r="P331" s="4" t="str">
        <f t="shared" ca="1" si="11"/>
        <v>Defer receipts</v>
      </c>
    </row>
    <row r="332" spans="1:16" ht="13" customHeight="1" x14ac:dyDescent="0.35">
      <c r="A332" s="93">
        <v>50587</v>
      </c>
      <c r="B332" s="61" t="s">
        <v>54</v>
      </c>
      <c r="C332" s="12" t="str">
        <f>'Planning Engine'!C1048</f>
        <v>Raw Material</v>
      </c>
      <c r="D332" s="12" t="str">
        <f>'Planning Engine'!D1048</f>
        <v>kg</v>
      </c>
      <c r="E332" s="95">
        <f>'Planning Engine'!E1048</f>
        <v>177.28999999999996</v>
      </c>
      <c r="F332" s="95">
        <f>'Planning Engine'!F1048</f>
        <v>0</v>
      </c>
      <c r="G332" s="95">
        <f>'Planning Engine'!G1048</f>
        <v>0</v>
      </c>
      <c r="H332" s="95">
        <f t="shared" si="10"/>
        <v>0</v>
      </c>
      <c r="I332" s="95">
        <f>'Planning Engine'!H1048</f>
        <v>177.28999999999996</v>
      </c>
      <c r="J332" s="96">
        <f ca="1">'Planning Engine'!J1048</f>
        <v>999</v>
      </c>
      <c r="K332" s="95">
        <f ca="1">'Planning Engine'!K1048</f>
        <v>0</v>
      </c>
      <c r="L332" s="12" t="str">
        <f ca="1">'Planning Engine'!L1048</f>
        <v>Overstock</v>
      </c>
      <c r="M332" s="93">
        <f>'Planning Engine'!S1048</f>
        <v>50465</v>
      </c>
      <c r="N332" s="95">
        <f>'Planning Engine'!T1048</f>
        <v>0</v>
      </c>
      <c r="O332" s="94" t="s">
        <v>2080</v>
      </c>
      <c r="P332" s="12" t="str">
        <f t="shared" ca="1" si="11"/>
        <v>Defer receipts</v>
      </c>
    </row>
    <row r="333" spans="1:16" ht="13" customHeight="1" x14ac:dyDescent="0.35">
      <c r="A333" s="97">
        <v>50618</v>
      </c>
      <c r="B333" s="53" t="s">
        <v>54</v>
      </c>
      <c r="C333" s="12" t="str">
        <f>'Planning Engine'!C1049</f>
        <v>Raw Material</v>
      </c>
      <c r="D333" s="12" t="str">
        <f>'Planning Engine'!D1049</f>
        <v>kg</v>
      </c>
      <c r="E333" s="95">
        <f>'Planning Engine'!E1049</f>
        <v>177.28999999999996</v>
      </c>
      <c r="F333" s="95">
        <f>'Planning Engine'!F1049</f>
        <v>0</v>
      </c>
      <c r="G333" s="95">
        <f>'Planning Engine'!G1049</f>
        <v>0</v>
      </c>
      <c r="H333" s="99">
        <f t="shared" si="10"/>
        <v>0</v>
      </c>
      <c r="I333" s="95">
        <f>'Planning Engine'!H1049</f>
        <v>177.28999999999996</v>
      </c>
      <c r="J333" s="96">
        <f ca="1">'Planning Engine'!J1049</f>
        <v>999</v>
      </c>
      <c r="K333" s="95">
        <f ca="1">'Planning Engine'!K1049</f>
        <v>0</v>
      </c>
      <c r="L333" s="12" t="str">
        <f ca="1">'Planning Engine'!L1049</f>
        <v>Overstock</v>
      </c>
      <c r="M333" s="93">
        <f>'Planning Engine'!S1049</f>
        <v>50496</v>
      </c>
      <c r="N333" s="95">
        <f>'Planning Engine'!T1049</f>
        <v>0</v>
      </c>
      <c r="O333" s="98" t="s">
        <v>2081</v>
      </c>
      <c r="P333" s="4" t="str">
        <f t="shared" ca="1" si="11"/>
        <v>Defer receipts</v>
      </c>
    </row>
    <row r="334" spans="1:16" ht="13" customHeight="1" x14ac:dyDescent="0.35">
      <c r="A334" s="93">
        <v>50649</v>
      </c>
      <c r="B334" s="61" t="s">
        <v>54</v>
      </c>
      <c r="C334" s="12" t="str">
        <f>'Planning Engine'!C1050</f>
        <v>Raw Material</v>
      </c>
      <c r="D334" s="12" t="str">
        <f>'Planning Engine'!D1050</f>
        <v>kg</v>
      </c>
      <c r="E334" s="95">
        <f>'Planning Engine'!E1050</f>
        <v>177.28999999999996</v>
      </c>
      <c r="F334" s="95">
        <f>'Planning Engine'!F1050</f>
        <v>0</v>
      </c>
      <c r="G334" s="95">
        <f>'Planning Engine'!G1050</f>
        <v>0</v>
      </c>
      <c r="H334" s="95">
        <f t="shared" si="10"/>
        <v>0</v>
      </c>
      <c r="I334" s="95">
        <f>'Planning Engine'!H1050</f>
        <v>177.28999999999996</v>
      </c>
      <c r="J334" s="96">
        <f ca="1">'Planning Engine'!J1050</f>
        <v>999</v>
      </c>
      <c r="K334" s="95">
        <f ca="1">'Planning Engine'!K1050</f>
        <v>0</v>
      </c>
      <c r="L334" s="12" t="str">
        <f ca="1">'Planning Engine'!L1050</f>
        <v>Overstock</v>
      </c>
      <c r="M334" s="93">
        <f>'Planning Engine'!S1050</f>
        <v>50526</v>
      </c>
      <c r="N334" s="95">
        <f>'Planning Engine'!T1050</f>
        <v>0</v>
      </c>
      <c r="O334" s="94" t="s">
        <v>2082</v>
      </c>
      <c r="P334" s="12" t="str">
        <f t="shared" ca="1" si="11"/>
        <v>Defer receipts</v>
      </c>
    </row>
    <row r="335" spans="1:16" ht="13" customHeight="1" x14ac:dyDescent="0.35">
      <c r="A335" s="97">
        <v>50679</v>
      </c>
      <c r="B335" s="53" t="s">
        <v>54</v>
      </c>
      <c r="C335" s="12" t="str">
        <f>'Planning Engine'!C1051</f>
        <v>Raw Material</v>
      </c>
      <c r="D335" s="12" t="str">
        <f>'Planning Engine'!D1051</f>
        <v>kg</v>
      </c>
      <c r="E335" s="95">
        <f>'Planning Engine'!E1051</f>
        <v>177.28999999999996</v>
      </c>
      <c r="F335" s="95">
        <f>'Planning Engine'!F1051</f>
        <v>0</v>
      </c>
      <c r="G335" s="95">
        <f>'Planning Engine'!G1051</f>
        <v>0</v>
      </c>
      <c r="H335" s="99">
        <f t="shared" si="10"/>
        <v>0</v>
      </c>
      <c r="I335" s="95">
        <f>'Planning Engine'!H1051</f>
        <v>177.28999999999996</v>
      </c>
      <c r="J335" s="96">
        <f ca="1">'Planning Engine'!J1051</f>
        <v>999</v>
      </c>
      <c r="K335" s="95">
        <f ca="1">'Planning Engine'!K1051</f>
        <v>0</v>
      </c>
      <c r="L335" s="12" t="str">
        <f ca="1">'Planning Engine'!L1051</f>
        <v>Overstock</v>
      </c>
      <c r="M335" s="93">
        <f>'Planning Engine'!S1051</f>
        <v>50557</v>
      </c>
      <c r="N335" s="95">
        <f>'Planning Engine'!T1051</f>
        <v>0</v>
      </c>
      <c r="O335" s="98" t="s">
        <v>2083</v>
      </c>
      <c r="P335" s="4" t="str">
        <f t="shared" ca="1" si="11"/>
        <v>Defer receipts</v>
      </c>
    </row>
    <row r="336" spans="1:16" ht="13" customHeight="1" x14ac:dyDescent="0.35">
      <c r="A336" s="93">
        <v>50710</v>
      </c>
      <c r="B336" s="61" t="s">
        <v>54</v>
      </c>
      <c r="C336" s="12" t="str">
        <f>'Planning Engine'!C1052</f>
        <v>Raw Material</v>
      </c>
      <c r="D336" s="12" t="str">
        <f>'Planning Engine'!D1052</f>
        <v>kg</v>
      </c>
      <c r="E336" s="95">
        <f>'Planning Engine'!E1052</f>
        <v>177.28999999999996</v>
      </c>
      <c r="F336" s="95">
        <f>'Planning Engine'!F1052</f>
        <v>0</v>
      </c>
      <c r="G336" s="95">
        <f>'Planning Engine'!G1052</f>
        <v>0</v>
      </c>
      <c r="H336" s="95">
        <f t="shared" si="10"/>
        <v>0</v>
      </c>
      <c r="I336" s="95">
        <f>'Planning Engine'!H1052</f>
        <v>177.28999999999996</v>
      </c>
      <c r="J336" s="96">
        <f ca="1">'Planning Engine'!J1052</f>
        <v>999</v>
      </c>
      <c r="K336" s="95">
        <f ca="1">'Planning Engine'!K1052</f>
        <v>0</v>
      </c>
      <c r="L336" s="12" t="str">
        <f ca="1">'Planning Engine'!L1052</f>
        <v>Overstock</v>
      </c>
      <c r="M336" s="93">
        <f>'Planning Engine'!S1052</f>
        <v>50587</v>
      </c>
      <c r="N336" s="95">
        <f>'Planning Engine'!T1052</f>
        <v>0</v>
      </c>
      <c r="O336" s="94" t="s">
        <v>2084</v>
      </c>
      <c r="P336" s="12" t="str">
        <f t="shared" ca="1" si="11"/>
        <v>Defer receipts</v>
      </c>
    </row>
    <row r="337" spans="1:16" ht="13" customHeight="1" x14ac:dyDescent="0.35">
      <c r="A337" s="97">
        <v>50740</v>
      </c>
      <c r="B337" s="53" t="s">
        <v>54</v>
      </c>
      <c r="C337" s="12" t="str">
        <f>'Planning Engine'!C1053</f>
        <v>Raw Material</v>
      </c>
      <c r="D337" s="12" t="str">
        <f>'Planning Engine'!D1053</f>
        <v>kg</v>
      </c>
      <c r="E337" s="95">
        <f>'Planning Engine'!E1053</f>
        <v>177.28999999999996</v>
      </c>
      <c r="F337" s="95">
        <f>'Planning Engine'!F1053</f>
        <v>0</v>
      </c>
      <c r="G337" s="95">
        <f>'Planning Engine'!G1053</f>
        <v>0</v>
      </c>
      <c r="H337" s="99">
        <f t="shared" si="10"/>
        <v>0</v>
      </c>
      <c r="I337" s="95">
        <f>'Planning Engine'!H1053</f>
        <v>177.28999999999996</v>
      </c>
      <c r="J337" s="96">
        <f ca="1">'Planning Engine'!J1053</f>
        <v>999</v>
      </c>
      <c r="K337" s="95">
        <f ca="1">'Planning Engine'!K1053</f>
        <v>0</v>
      </c>
      <c r="L337" s="12" t="str">
        <f ca="1">'Planning Engine'!L1053</f>
        <v>Overstock</v>
      </c>
      <c r="M337" s="93">
        <f>'Planning Engine'!S1053</f>
        <v>50618</v>
      </c>
      <c r="N337" s="95">
        <f>'Planning Engine'!T1053</f>
        <v>0</v>
      </c>
      <c r="O337" s="98" t="s">
        <v>2085</v>
      </c>
      <c r="P337" s="4" t="str">
        <f t="shared" ca="1" si="11"/>
        <v>Defer receipts</v>
      </c>
    </row>
    <row r="338" spans="1:16" ht="13" customHeight="1" x14ac:dyDescent="0.35">
      <c r="A338" s="93">
        <v>50771</v>
      </c>
      <c r="B338" s="61" t="s">
        <v>54</v>
      </c>
      <c r="C338" s="12" t="str">
        <f>'Planning Engine'!C1054</f>
        <v>Raw Material</v>
      </c>
      <c r="D338" s="12" t="str">
        <f>'Planning Engine'!D1054</f>
        <v>kg</v>
      </c>
      <c r="E338" s="95">
        <f>'Planning Engine'!E1054</f>
        <v>177.28999999999996</v>
      </c>
      <c r="F338" s="95">
        <f>'Planning Engine'!F1054</f>
        <v>0</v>
      </c>
      <c r="G338" s="95">
        <f>'Planning Engine'!G1054</f>
        <v>0</v>
      </c>
      <c r="H338" s="95">
        <f t="shared" si="10"/>
        <v>0</v>
      </c>
      <c r="I338" s="95">
        <f>'Planning Engine'!H1054</f>
        <v>177.28999999999996</v>
      </c>
      <c r="J338" s="96">
        <f ca="1">'Planning Engine'!J1054</f>
        <v>999</v>
      </c>
      <c r="K338" s="95">
        <f ca="1">'Planning Engine'!K1054</f>
        <v>0</v>
      </c>
      <c r="L338" s="12" t="str">
        <f ca="1">'Planning Engine'!L1054</f>
        <v>Overstock</v>
      </c>
      <c r="M338" s="93">
        <f>'Planning Engine'!S1054</f>
        <v>50649</v>
      </c>
      <c r="N338" s="95">
        <f>'Planning Engine'!T1054</f>
        <v>0</v>
      </c>
      <c r="O338" s="94" t="s">
        <v>2086</v>
      </c>
      <c r="P338" s="12" t="str">
        <f t="shared" ca="1" si="11"/>
        <v>Defer receipts</v>
      </c>
    </row>
    <row r="339" spans="1:16" ht="13" customHeight="1" x14ac:dyDescent="0.35">
      <c r="A339" s="97">
        <v>50802</v>
      </c>
      <c r="B339" s="53" t="s">
        <v>54</v>
      </c>
      <c r="C339" s="12" t="str">
        <f>'Planning Engine'!C1055</f>
        <v>Raw Material</v>
      </c>
      <c r="D339" s="12" t="str">
        <f>'Planning Engine'!D1055</f>
        <v>kg</v>
      </c>
      <c r="E339" s="95">
        <f>'Planning Engine'!E1055</f>
        <v>177.28999999999996</v>
      </c>
      <c r="F339" s="95">
        <f>'Planning Engine'!F1055</f>
        <v>0</v>
      </c>
      <c r="G339" s="95">
        <f>'Planning Engine'!G1055</f>
        <v>0</v>
      </c>
      <c r="H339" s="99">
        <f t="shared" si="10"/>
        <v>0</v>
      </c>
      <c r="I339" s="95">
        <f>'Planning Engine'!H1055</f>
        <v>177.28999999999996</v>
      </c>
      <c r="J339" s="96">
        <f ca="1">'Planning Engine'!J1055</f>
        <v>999</v>
      </c>
      <c r="K339" s="95">
        <f ca="1">'Planning Engine'!K1055</f>
        <v>0</v>
      </c>
      <c r="L339" s="12" t="str">
        <f ca="1">'Planning Engine'!L1055</f>
        <v>Overstock</v>
      </c>
      <c r="M339" s="93">
        <f>'Planning Engine'!S1055</f>
        <v>50679</v>
      </c>
      <c r="N339" s="95">
        <f>'Planning Engine'!T1055</f>
        <v>0</v>
      </c>
      <c r="O339" s="98" t="s">
        <v>2087</v>
      </c>
      <c r="P339" s="4" t="str">
        <f t="shared" ca="1" si="11"/>
        <v>Defer receipts</v>
      </c>
    </row>
    <row r="340" spans="1:16" ht="13" customHeight="1" x14ac:dyDescent="0.35">
      <c r="A340" s="93">
        <v>50830</v>
      </c>
      <c r="B340" s="61" t="s">
        <v>54</v>
      </c>
      <c r="C340" s="12" t="str">
        <f>'Planning Engine'!C1056</f>
        <v>Raw Material</v>
      </c>
      <c r="D340" s="12" t="str">
        <f>'Planning Engine'!D1056</f>
        <v>kg</v>
      </c>
      <c r="E340" s="95">
        <f>'Planning Engine'!E1056</f>
        <v>177.28999999999996</v>
      </c>
      <c r="F340" s="95">
        <f>'Planning Engine'!F1056</f>
        <v>0</v>
      </c>
      <c r="G340" s="95">
        <f>'Planning Engine'!G1056</f>
        <v>0</v>
      </c>
      <c r="H340" s="95">
        <f t="shared" si="10"/>
        <v>0</v>
      </c>
      <c r="I340" s="95">
        <f>'Planning Engine'!H1056</f>
        <v>177.28999999999996</v>
      </c>
      <c r="J340" s="96">
        <f ca="1">'Planning Engine'!J1056</f>
        <v>999</v>
      </c>
      <c r="K340" s="95">
        <f ca="1">'Planning Engine'!K1056</f>
        <v>0</v>
      </c>
      <c r="L340" s="12" t="str">
        <f ca="1">'Planning Engine'!L1056</f>
        <v>Overstock</v>
      </c>
      <c r="M340" s="93">
        <f>'Planning Engine'!S1056</f>
        <v>50710</v>
      </c>
      <c r="N340" s="95">
        <f>'Planning Engine'!T1056</f>
        <v>0</v>
      </c>
      <c r="O340" s="94" t="s">
        <v>2088</v>
      </c>
      <c r="P340" s="12" t="str">
        <f t="shared" ca="1" si="11"/>
        <v>Defer receipts</v>
      </c>
    </row>
    <row r="341" spans="1:16" ht="13" customHeight="1" x14ac:dyDescent="0.35">
      <c r="A341" s="97">
        <v>50861</v>
      </c>
      <c r="B341" s="53" t="s">
        <v>54</v>
      </c>
      <c r="C341" s="12" t="str">
        <f>'Planning Engine'!C1057</f>
        <v>Raw Material</v>
      </c>
      <c r="D341" s="12" t="str">
        <f>'Planning Engine'!D1057</f>
        <v>kg</v>
      </c>
      <c r="E341" s="95">
        <f>'Planning Engine'!E1057</f>
        <v>177.28999999999996</v>
      </c>
      <c r="F341" s="95">
        <f>'Planning Engine'!F1057</f>
        <v>0</v>
      </c>
      <c r="G341" s="95">
        <f>'Planning Engine'!G1057</f>
        <v>0</v>
      </c>
      <c r="H341" s="99">
        <f t="shared" si="10"/>
        <v>0</v>
      </c>
      <c r="I341" s="95">
        <f>'Planning Engine'!H1057</f>
        <v>177.28999999999996</v>
      </c>
      <c r="J341" s="96">
        <f ca="1">'Planning Engine'!J1057</f>
        <v>999</v>
      </c>
      <c r="K341" s="95">
        <f ca="1">'Planning Engine'!K1057</f>
        <v>0</v>
      </c>
      <c r="L341" s="12" t="str">
        <f ca="1">'Planning Engine'!L1057</f>
        <v>Overstock</v>
      </c>
      <c r="M341" s="93">
        <f>'Planning Engine'!S1057</f>
        <v>50740</v>
      </c>
      <c r="N341" s="95">
        <f>'Planning Engine'!T1057</f>
        <v>0</v>
      </c>
      <c r="O341" s="98" t="s">
        <v>2089</v>
      </c>
      <c r="P341" s="4" t="str">
        <f t="shared" ca="1" si="11"/>
        <v>Defer receipts</v>
      </c>
    </row>
    <row r="342" spans="1:16" ht="13" customHeight="1" x14ac:dyDescent="0.35">
      <c r="A342" s="93">
        <v>50891</v>
      </c>
      <c r="B342" s="61" t="s">
        <v>54</v>
      </c>
      <c r="C342" s="12" t="str">
        <f>'Planning Engine'!C1058</f>
        <v>Raw Material</v>
      </c>
      <c r="D342" s="12" t="str">
        <f>'Planning Engine'!D1058</f>
        <v>kg</v>
      </c>
      <c r="E342" s="95">
        <f>'Planning Engine'!E1058</f>
        <v>177.28999999999996</v>
      </c>
      <c r="F342" s="95">
        <f>'Planning Engine'!F1058</f>
        <v>0</v>
      </c>
      <c r="G342" s="95">
        <f>'Planning Engine'!G1058</f>
        <v>0</v>
      </c>
      <c r="H342" s="95">
        <f t="shared" si="10"/>
        <v>0</v>
      </c>
      <c r="I342" s="95">
        <f>'Planning Engine'!H1058</f>
        <v>177.28999999999996</v>
      </c>
      <c r="J342" s="96">
        <f ca="1">'Planning Engine'!J1058</f>
        <v>999</v>
      </c>
      <c r="K342" s="95">
        <f ca="1">'Planning Engine'!K1058</f>
        <v>0</v>
      </c>
      <c r="L342" s="12" t="str">
        <f ca="1">'Planning Engine'!L1058</f>
        <v>Overstock</v>
      </c>
      <c r="M342" s="93">
        <f>'Planning Engine'!S1058</f>
        <v>50771</v>
      </c>
      <c r="N342" s="95">
        <f>'Planning Engine'!T1058</f>
        <v>0</v>
      </c>
      <c r="O342" s="94" t="s">
        <v>2090</v>
      </c>
      <c r="P342" s="12" t="str">
        <f t="shared" ca="1" si="11"/>
        <v>Defer receipts</v>
      </c>
    </row>
    <row r="343" spans="1:16" ht="13" customHeight="1" x14ac:dyDescent="0.35">
      <c r="A343" s="97">
        <v>50922</v>
      </c>
      <c r="B343" s="53" t="s">
        <v>54</v>
      </c>
      <c r="C343" s="12" t="str">
        <f>'Planning Engine'!C1059</f>
        <v>Raw Material</v>
      </c>
      <c r="D343" s="12" t="str">
        <f>'Planning Engine'!D1059</f>
        <v>kg</v>
      </c>
      <c r="E343" s="95">
        <f>'Planning Engine'!E1059</f>
        <v>177.28999999999996</v>
      </c>
      <c r="F343" s="95">
        <f>'Planning Engine'!F1059</f>
        <v>0</v>
      </c>
      <c r="G343" s="95">
        <f>'Planning Engine'!G1059</f>
        <v>0</v>
      </c>
      <c r="H343" s="99">
        <f t="shared" si="10"/>
        <v>0</v>
      </c>
      <c r="I343" s="95">
        <f>'Planning Engine'!H1059</f>
        <v>177.28999999999996</v>
      </c>
      <c r="J343" s="96">
        <f ca="1">'Planning Engine'!J1059</f>
        <v>999</v>
      </c>
      <c r="K343" s="95">
        <f ca="1">'Planning Engine'!K1059</f>
        <v>0</v>
      </c>
      <c r="L343" s="12" t="str">
        <f ca="1">'Planning Engine'!L1059</f>
        <v>Overstock</v>
      </c>
      <c r="M343" s="93">
        <f>'Planning Engine'!S1059</f>
        <v>50802</v>
      </c>
      <c r="N343" s="95">
        <f>'Planning Engine'!T1059</f>
        <v>0</v>
      </c>
      <c r="O343" s="98" t="s">
        <v>2091</v>
      </c>
      <c r="P343" s="4" t="str">
        <f t="shared" ca="1" si="11"/>
        <v>Defer receipts</v>
      </c>
    </row>
    <row r="344" spans="1:16" ht="13" customHeight="1" x14ac:dyDescent="0.35">
      <c r="A344" s="93">
        <v>50952</v>
      </c>
      <c r="B344" s="61" t="s">
        <v>54</v>
      </c>
      <c r="C344" s="12" t="str">
        <f>'Planning Engine'!C1060</f>
        <v>Raw Material</v>
      </c>
      <c r="D344" s="12" t="str">
        <f>'Planning Engine'!D1060</f>
        <v>kg</v>
      </c>
      <c r="E344" s="95">
        <f>'Planning Engine'!E1060</f>
        <v>177.28999999999996</v>
      </c>
      <c r="F344" s="95">
        <f>'Planning Engine'!F1060</f>
        <v>0</v>
      </c>
      <c r="G344" s="95">
        <f>'Planning Engine'!G1060</f>
        <v>0</v>
      </c>
      <c r="H344" s="95">
        <f t="shared" si="10"/>
        <v>0</v>
      </c>
      <c r="I344" s="95">
        <f>'Planning Engine'!H1060</f>
        <v>177.28999999999996</v>
      </c>
      <c r="J344" s="96">
        <f ca="1">'Planning Engine'!J1060</f>
        <v>999</v>
      </c>
      <c r="K344" s="95">
        <f ca="1">'Planning Engine'!K1060</f>
        <v>0</v>
      </c>
      <c r="L344" s="12" t="str">
        <f ca="1">'Planning Engine'!L1060</f>
        <v>Overstock</v>
      </c>
      <c r="M344" s="93">
        <f>'Planning Engine'!S1060</f>
        <v>50830</v>
      </c>
      <c r="N344" s="95">
        <f>'Planning Engine'!T1060</f>
        <v>0</v>
      </c>
      <c r="O344" s="94" t="s">
        <v>2092</v>
      </c>
      <c r="P344" s="12" t="str">
        <f t="shared" ca="1" si="11"/>
        <v>Defer receipts</v>
      </c>
    </row>
    <row r="345" spans="1:16" ht="13" customHeight="1" x14ac:dyDescent="0.35">
      <c r="A345" s="97">
        <v>50983</v>
      </c>
      <c r="B345" s="53" t="s">
        <v>54</v>
      </c>
      <c r="C345" s="12" t="str">
        <f>'Planning Engine'!C1061</f>
        <v>Raw Material</v>
      </c>
      <c r="D345" s="12" t="str">
        <f>'Planning Engine'!D1061</f>
        <v>kg</v>
      </c>
      <c r="E345" s="95">
        <f>'Planning Engine'!E1061</f>
        <v>177.28999999999996</v>
      </c>
      <c r="F345" s="95">
        <f>'Planning Engine'!F1061</f>
        <v>0</v>
      </c>
      <c r="G345" s="95">
        <f>'Planning Engine'!G1061</f>
        <v>0</v>
      </c>
      <c r="H345" s="99">
        <f t="shared" si="10"/>
        <v>0</v>
      </c>
      <c r="I345" s="95">
        <f>'Planning Engine'!H1061</f>
        <v>177.28999999999996</v>
      </c>
      <c r="J345" s="96">
        <f ca="1">'Planning Engine'!J1061</f>
        <v>999</v>
      </c>
      <c r="K345" s="95">
        <f ca="1">'Planning Engine'!K1061</f>
        <v>0</v>
      </c>
      <c r="L345" s="12" t="str">
        <f ca="1">'Planning Engine'!L1061</f>
        <v>Overstock</v>
      </c>
      <c r="M345" s="93">
        <f>'Planning Engine'!S1061</f>
        <v>50861</v>
      </c>
      <c r="N345" s="95">
        <f>'Planning Engine'!T1061</f>
        <v>0</v>
      </c>
      <c r="O345" s="98" t="s">
        <v>2093</v>
      </c>
      <c r="P345" s="4" t="str">
        <f t="shared" ca="1" si="11"/>
        <v>Defer receipts</v>
      </c>
    </row>
    <row r="346" spans="1:16" ht="13" customHeight="1" x14ac:dyDescent="0.35">
      <c r="A346" s="93">
        <v>51014</v>
      </c>
      <c r="B346" s="61" t="s">
        <v>54</v>
      </c>
      <c r="C346" s="12" t="str">
        <f>'Planning Engine'!C1062</f>
        <v>Raw Material</v>
      </c>
      <c r="D346" s="12" t="str">
        <f>'Planning Engine'!D1062</f>
        <v>kg</v>
      </c>
      <c r="E346" s="95">
        <f>'Planning Engine'!E1062</f>
        <v>177.28999999999996</v>
      </c>
      <c r="F346" s="95">
        <f>'Planning Engine'!F1062</f>
        <v>0</v>
      </c>
      <c r="G346" s="95">
        <f>'Planning Engine'!G1062</f>
        <v>0</v>
      </c>
      <c r="H346" s="95">
        <f t="shared" si="10"/>
        <v>0</v>
      </c>
      <c r="I346" s="95">
        <f>'Planning Engine'!H1062</f>
        <v>177.28999999999996</v>
      </c>
      <c r="J346" s="96">
        <f ca="1">'Planning Engine'!J1062</f>
        <v>999</v>
      </c>
      <c r="K346" s="95">
        <f ca="1">'Planning Engine'!K1062</f>
        <v>0</v>
      </c>
      <c r="L346" s="12" t="str">
        <f ca="1">'Planning Engine'!L1062</f>
        <v>Overstock</v>
      </c>
      <c r="M346" s="93">
        <f>'Planning Engine'!S1062</f>
        <v>50891</v>
      </c>
      <c r="N346" s="95">
        <f>'Planning Engine'!T1062</f>
        <v>0</v>
      </c>
      <c r="O346" s="94" t="s">
        <v>2094</v>
      </c>
      <c r="P346" s="12" t="str">
        <f t="shared" ca="1" si="11"/>
        <v>Defer receipts</v>
      </c>
    </row>
    <row r="347" spans="1:16" ht="13" customHeight="1" x14ac:dyDescent="0.35">
      <c r="A347" s="97">
        <v>51044</v>
      </c>
      <c r="B347" s="53" t="s">
        <v>54</v>
      </c>
      <c r="C347" s="12" t="str">
        <f>'Planning Engine'!C1063</f>
        <v>Raw Material</v>
      </c>
      <c r="D347" s="12" t="str">
        <f>'Planning Engine'!D1063</f>
        <v>kg</v>
      </c>
      <c r="E347" s="95">
        <f>'Planning Engine'!E1063</f>
        <v>177.28999999999996</v>
      </c>
      <c r="F347" s="95">
        <f>'Planning Engine'!F1063</f>
        <v>0</v>
      </c>
      <c r="G347" s="95">
        <f>'Planning Engine'!G1063</f>
        <v>0</v>
      </c>
      <c r="H347" s="99">
        <f t="shared" si="10"/>
        <v>0</v>
      </c>
      <c r="I347" s="95">
        <f>'Planning Engine'!H1063</f>
        <v>177.28999999999996</v>
      </c>
      <c r="J347" s="96">
        <f ca="1">'Planning Engine'!J1063</f>
        <v>999</v>
      </c>
      <c r="K347" s="95">
        <f ca="1">'Planning Engine'!K1063</f>
        <v>0</v>
      </c>
      <c r="L347" s="12" t="str">
        <f ca="1">'Planning Engine'!L1063</f>
        <v>Overstock</v>
      </c>
      <c r="M347" s="93">
        <f>'Planning Engine'!S1063</f>
        <v>50922</v>
      </c>
      <c r="N347" s="95">
        <f>'Planning Engine'!T1063</f>
        <v>0</v>
      </c>
      <c r="O347" s="98" t="s">
        <v>2095</v>
      </c>
      <c r="P347" s="4" t="str">
        <f t="shared" ca="1" si="11"/>
        <v>Defer receipts</v>
      </c>
    </row>
    <row r="348" spans="1:16" ht="13" customHeight="1" x14ac:dyDescent="0.35">
      <c r="A348" s="93">
        <v>51075</v>
      </c>
      <c r="B348" s="61" t="s">
        <v>54</v>
      </c>
      <c r="C348" s="12" t="str">
        <f>'Planning Engine'!C1064</f>
        <v>Raw Material</v>
      </c>
      <c r="D348" s="12" t="str">
        <f>'Planning Engine'!D1064</f>
        <v>kg</v>
      </c>
      <c r="E348" s="95">
        <f>'Planning Engine'!E1064</f>
        <v>177.28999999999996</v>
      </c>
      <c r="F348" s="95">
        <f>'Planning Engine'!F1064</f>
        <v>0</v>
      </c>
      <c r="G348" s="95">
        <f>'Planning Engine'!G1064</f>
        <v>0</v>
      </c>
      <c r="H348" s="95">
        <f t="shared" si="10"/>
        <v>0</v>
      </c>
      <c r="I348" s="95">
        <f>'Planning Engine'!H1064</f>
        <v>177.28999999999996</v>
      </c>
      <c r="J348" s="96">
        <f ca="1">'Planning Engine'!J1064</f>
        <v>999</v>
      </c>
      <c r="K348" s="95">
        <f ca="1">'Planning Engine'!K1064</f>
        <v>0</v>
      </c>
      <c r="L348" s="12" t="str">
        <f ca="1">'Planning Engine'!L1064</f>
        <v>Overstock</v>
      </c>
      <c r="M348" s="93">
        <f>'Planning Engine'!S1064</f>
        <v>50952</v>
      </c>
      <c r="N348" s="95">
        <f>'Planning Engine'!T1064</f>
        <v>0</v>
      </c>
      <c r="O348" s="94" t="s">
        <v>2096</v>
      </c>
      <c r="P348" s="12" t="str">
        <f t="shared" ca="1" si="11"/>
        <v>Defer receipts</v>
      </c>
    </row>
    <row r="349" spans="1:16" ht="13" customHeight="1" x14ac:dyDescent="0.35">
      <c r="A349" s="97">
        <v>51105</v>
      </c>
      <c r="B349" s="53" t="s">
        <v>54</v>
      </c>
      <c r="C349" s="12" t="str">
        <f>'Planning Engine'!C1065</f>
        <v>Raw Material</v>
      </c>
      <c r="D349" s="12" t="str">
        <f>'Planning Engine'!D1065</f>
        <v>kg</v>
      </c>
      <c r="E349" s="95">
        <f>'Planning Engine'!E1065</f>
        <v>177.28999999999996</v>
      </c>
      <c r="F349" s="95">
        <f>'Planning Engine'!F1065</f>
        <v>0</v>
      </c>
      <c r="G349" s="95">
        <f>'Planning Engine'!G1065</f>
        <v>0</v>
      </c>
      <c r="H349" s="99">
        <f t="shared" si="10"/>
        <v>0</v>
      </c>
      <c r="I349" s="95">
        <f>'Planning Engine'!H1065</f>
        <v>177.28999999999996</v>
      </c>
      <c r="J349" s="96">
        <f ca="1">'Planning Engine'!J1065</f>
        <v>999</v>
      </c>
      <c r="K349" s="95">
        <f ca="1">'Planning Engine'!K1065</f>
        <v>0</v>
      </c>
      <c r="L349" s="12" t="str">
        <f ca="1">'Planning Engine'!L1065</f>
        <v>Overstock</v>
      </c>
      <c r="M349" s="93">
        <f>'Planning Engine'!S1065</f>
        <v>50983</v>
      </c>
      <c r="N349" s="95">
        <f>'Planning Engine'!T1065</f>
        <v>0</v>
      </c>
      <c r="O349" s="98" t="s">
        <v>2097</v>
      </c>
      <c r="P349" s="4" t="str">
        <f t="shared" ca="1" si="11"/>
        <v>Defer receipts</v>
      </c>
    </row>
    <row r="350" spans="1:16" ht="13" customHeight="1" x14ac:dyDescent="0.35">
      <c r="A350" s="93">
        <v>51136</v>
      </c>
      <c r="B350" s="61" t="s">
        <v>54</v>
      </c>
      <c r="C350" s="12" t="str">
        <f>'Planning Engine'!C1066</f>
        <v>Raw Material</v>
      </c>
      <c r="D350" s="12" t="str">
        <f>'Planning Engine'!D1066</f>
        <v>kg</v>
      </c>
      <c r="E350" s="95">
        <f>'Planning Engine'!E1066</f>
        <v>177.28999999999996</v>
      </c>
      <c r="F350" s="95">
        <f>'Planning Engine'!F1066</f>
        <v>0</v>
      </c>
      <c r="G350" s="95">
        <f>'Planning Engine'!G1066</f>
        <v>0</v>
      </c>
      <c r="H350" s="95">
        <f t="shared" si="10"/>
        <v>0</v>
      </c>
      <c r="I350" s="95">
        <f>'Planning Engine'!H1066</f>
        <v>177.28999999999996</v>
      </c>
      <c r="J350" s="96">
        <f ca="1">'Planning Engine'!J1066</f>
        <v>999</v>
      </c>
      <c r="K350" s="95">
        <f ca="1">'Planning Engine'!K1066</f>
        <v>0</v>
      </c>
      <c r="L350" s="12" t="str">
        <f ca="1">'Planning Engine'!L1066</f>
        <v>Overstock</v>
      </c>
      <c r="M350" s="93">
        <f>'Planning Engine'!S1066</f>
        <v>51014</v>
      </c>
      <c r="N350" s="95">
        <f>'Planning Engine'!T1066</f>
        <v>0</v>
      </c>
      <c r="O350" s="94" t="s">
        <v>2098</v>
      </c>
      <c r="P350" s="12" t="str">
        <f t="shared" ca="1" si="11"/>
        <v>Defer receipts</v>
      </c>
    </row>
    <row r="351" spans="1:16" ht="13" customHeight="1" x14ac:dyDescent="0.35">
      <c r="A351" s="97">
        <v>51167</v>
      </c>
      <c r="B351" s="53" t="s">
        <v>54</v>
      </c>
      <c r="C351" s="12" t="str">
        <f>'Planning Engine'!C1067</f>
        <v>Raw Material</v>
      </c>
      <c r="D351" s="12" t="str">
        <f>'Planning Engine'!D1067</f>
        <v>kg</v>
      </c>
      <c r="E351" s="95">
        <f>'Planning Engine'!E1067</f>
        <v>177.28999999999996</v>
      </c>
      <c r="F351" s="95">
        <f>'Planning Engine'!F1067</f>
        <v>0</v>
      </c>
      <c r="G351" s="95">
        <f>'Planning Engine'!G1067</f>
        <v>0</v>
      </c>
      <c r="H351" s="99">
        <f t="shared" si="10"/>
        <v>0</v>
      </c>
      <c r="I351" s="95">
        <f>'Planning Engine'!H1067</f>
        <v>177.28999999999996</v>
      </c>
      <c r="J351" s="96">
        <f ca="1">'Planning Engine'!J1067</f>
        <v>999</v>
      </c>
      <c r="K351" s="95">
        <f ca="1">'Planning Engine'!K1067</f>
        <v>0</v>
      </c>
      <c r="L351" s="12" t="str">
        <f ca="1">'Planning Engine'!L1067</f>
        <v>Overstock</v>
      </c>
      <c r="M351" s="93">
        <f>'Planning Engine'!S1067</f>
        <v>51044</v>
      </c>
      <c r="N351" s="95">
        <f>'Planning Engine'!T1067</f>
        <v>0</v>
      </c>
      <c r="O351" s="98" t="s">
        <v>2099</v>
      </c>
      <c r="P351" s="4" t="str">
        <f t="shared" ca="1" si="11"/>
        <v>Defer receipts</v>
      </c>
    </row>
    <row r="352" spans="1:16" ht="13" customHeight="1" x14ac:dyDescent="0.35">
      <c r="A352" s="93">
        <v>51196</v>
      </c>
      <c r="B352" s="61" t="s">
        <v>54</v>
      </c>
      <c r="C352" s="12" t="str">
        <f>'Planning Engine'!C1068</f>
        <v>Raw Material</v>
      </c>
      <c r="D352" s="12" t="str">
        <f>'Planning Engine'!D1068</f>
        <v>kg</v>
      </c>
      <c r="E352" s="95">
        <f>'Planning Engine'!E1068</f>
        <v>177.28999999999996</v>
      </c>
      <c r="F352" s="95">
        <f>'Planning Engine'!F1068</f>
        <v>0</v>
      </c>
      <c r="G352" s="95">
        <f>'Planning Engine'!G1068</f>
        <v>0</v>
      </c>
      <c r="H352" s="95">
        <f t="shared" si="10"/>
        <v>0</v>
      </c>
      <c r="I352" s="95">
        <f>'Planning Engine'!H1068</f>
        <v>177.28999999999996</v>
      </c>
      <c r="J352" s="96">
        <f ca="1">'Planning Engine'!J1068</f>
        <v>999</v>
      </c>
      <c r="K352" s="95">
        <f ca="1">'Planning Engine'!K1068</f>
        <v>0</v>
      </c>
      <c r="L352" s="12" t="str">
        <f ca="1">'Planning Engine'!L1068</f>
        <v>Overstock</v>
      </c>
      <c r="M352" s="93">
        <f>'Planning Engine'!S1068</f>
        <v>51075</v>
      </c>
      <c r="N352" s="95">
        <f>'Planning Engine'!T1068</f>
        <v>0</v>
      </c>
      <c r="O352" s="94" t="s">
        <v>2100</v>
      </c>
      <c r="P352" s="12" t="str">
        <f t="shared" ca="1" si="11"/>
        <v>Defer receipts</v>
      </c>
    </row>
    <row r="353" spans="1:16" ht="13" customHeight="1" x14ac:dyDescent="0.35">
      <c r="A353" s="97">
        <v>51227</v>
      </c>
      <c r="B353" s="53" t="s">
        <v>54</v>
      </c>
      <c r="C353" s="12" t="str">
        <f>'Planning Engine'!C1069</f>
        <v>Raw Material</v>
      </c>
      <c r="D353" s="12" t="str">
        <f>'Planning Engine'!D1069</f>
        <v>kg</v>
      </c>
      <c r="E353" s="95">
        <f>'Planning Engine'!E1069</f>
        <v>177.28999999999996</v>
      </c>
      <c r="F353" s="95">
        <f>'Planning Engine'!F1069</f>
        <v>0</v>
      </c>
      <c r="G353" s="95">
        <f>'Planning Engine'!G1069</f>
        <v>0</v>
      </c>
      <c r="H353" s="99">
        <f t="shared" si="10"/>
        <v>0</v>
      </c>
      <c r="I353" s="95">
        <f>'Planning Engine'!H1069</f>
        <v>177.28999999999996</v>
      </c>
      <c r="J353" s="96">
        <f ca="1">'Planning Engine'!J1069</f>
        <v>999</v>
      </c>
      <c r="K353" s="95">
        <f ca="1">'Planning Engine'!K1069</f>
        <v>0</v>
      </c>
      <c r="L353" s="12" t="str">
        <f ca="1">'Planning Engine'!L1069</f>
        <v>Overstock</v>
      </c>
      <c r="M353" s="93">
        <f>'Planning Engine'!S1069</f>
        <v>51105</v>
      </c>
      <c r="N353" s="95">
        <f>'Planning Engine'!T1069</f>
        <v>0</v>
      </c>
      <c r="O353" s="98" t="s">
        <v>2101</v>
      </c>
      <c r="P353" s="4" t="str">
        <f t="shared" ca="1" si="11"/>
        <v>Defer receipts</v>
      </c>
    </row>
    <row r="354" spans="1:16" ht="13" customHeight="1" x14ac:dyDescent="0.35">
      <c r="A354" s="93">
        <v>51257</v>
      </c>
      <c r="B354" s="61" t="s">
        <v>54</v>
      </c>
      <c r="C354" s="12" t="str">
        <f>'Planning Engine'!C1070</f>
        <v>Raw Material</v>
      </c>
      <c r="D354" s="12" t="str">
        <f>'Planning Engine'!D1070</f>
        <v>kg</v>
      </c>
      <c r="E354" s="95">
        <f>'Planning Engine'!E1070</f>
        <v>177.28999999999996</v>
      </c>
      <c r="F354" s="95">
        <f>'Planning Engine'!F1070</f>
        <v>0</v>
      </c>
      <c r="G354" s="95">
        <f>'Planning Engine'!G1070</f>
        <v>0</v>
      </c>
      <c r="H354" s="95">
        <f t="shared" si="10"/>
        <v>0</v>
      </c>
      <c r="I354" s="95">
        <f>'Planning Engine'!H1070</f>
        <v>177.28999999999996</v>
      </c>
      <c r="J354" s="96">
        <f ca="1">'Planning Engine'!J1070</f>
        <v>999</v>
      </c>
      <c r="K354" s="95">
        <f ca="1">'Planning Engine'!K1070</f>
        <v>0</v>
      </c>
      <c r="L354" s="12" t="str">
        <f ca="1">'Planning Engine'!L1070</f>
        <v>Overstock</v>
      </c>
      <c r="M354" s="93">
        <f>'Planning Engine'!S1070</f>
        <v>51136</v>
      </c>
      <c r="N354" s="95">
        <f>'Planning Engine'!T1070</f>
        <v>0</v>
      </c>
      <c r="O354" s="94" t="s">
        <v>2102</v>
      </c>
      <c r="P354" s="12" t="str">
        <f t="shared" ca="1" si="11"/>
        <v>Defer receipts</v>
      </c>
    </row>
    <row r="355" spans="1:16" ht="13" customHeight="1" x14ac:dyDescent="0.35">
      <c r="A355" s="97">
        <v>51288</v>
      </c>
      <c r="B355" s="53" t="s">
        <v>54</v>
      </c>
      <c r="C355" s="12" t="str">
        <f>'Planning Engine'!C1071</f>
        <v>Raw Material</v>
      </c>
      <c r="D355" s="12" t="str">
        <f>'Planning Engine'!D1071</f>
        <v>kg</v>
      </c>
      <c r="E355" s="95">
        <f>'Planning Engine'!E1071</f>
        <v>177.28999999999996</v>
      </c>
      <c r="F355" s="95">
        <f>'Planning Engine'!F1071</f>
        <v>0</v>
      </c>
      <c r="G355" s="95">
        <f>'Planning Engine'!G1071</f>
        <v>0</v>
      </c>
      <c r="H355" s="99">
        <f t="shared" si="10"/>
        <v>0</v>
      </c>
      <c r="I355" s="95">
        <f>'Planning Engine'!H1071</f>
        <v>177.28999999999996</v>
      </c>
      <c r="J355" s="96">
        <f ca="1">'Planning Engine'!J1071</f>
        <v>999</v>
      </c>
      <c r="K355" s="95">
        <f ca="1">'Planning Engine'!K1071</f>
        <v>0</v>
      </c>
      <c r="L355" s="12" t="str">
        <f ca="1">'Planning Engine'!L1071</f>
        <v>Overstock</v>
      </c>
      <c r="M355" s="93">
        <f>'Planning Engine'!S1071</f>
        <v>51167</v>
      </c>
      <c r="N355" s="95">
        <f>'Planning Engine'!T1071</f>
        <v>0</v>
      </c>
      <c r="O355" s="98" t="s">
        <v>2103</v>
      </c>
      <c r="P355" s="4" t="str">
        <f t="shared" ca="1" si="11"/>
        <v>Defer receipts</v>
      </c>
    </row>
    <row r="356" spans="1:16" ht="13" customHeight="1" x14ac:dyDescent="0.35">
      <c r="A356" s="93">
        <v>51318</v>
      </c>
      <c r="B356" s="61" t="s">
        <v>54</v>
      </c>
      <c r="C356" s="12" t="str">
        <f>'Planning Engine'!C1072</f>
        <v>Raw Material</v>
      </c>
      <c r="D356" s="12" t="str">
        <f>'Planning Engine'!D1072</f>
        <v>kg</v>
      </c>
      <c r="E356" s="95">
        <f>'Planning Engine'!E1072</f>
        <v>177.28999999999996</v>
      </c>
      <c r="F356" s="95">
        <f>'Planning Engine'!F1072</f>
        <v>0</v>
      </c>
      <c r="G356" s="95">
        <f>'Planning Engine'!G1072</f>
        <v>0</v>
      </c>
      <c r="H356" s="95">
        <f t="shared" si="10"/>
        <v>0</v>
      </c>
      <c r="I356" s="95">
        <f>'Planning Engine'!H1072</f>
        <v>177.28999999999996</v>
      </c>
      <c r="J356" s="96">
        <f ca="1">'Planning Engine'!J1072</f>
        <v>999</v>
      </c>
      <c r="K356" s="95">
        <f ca="1">'Planning Engine'!K1072</f>
        <v>0</v>
      </c>
      <c r="L356" s="12" t="str">
        <f ca="1">'Planning Engine'!L1072</f>
        <v>Overstock</v>
      </c>
      <c r="M356" s="93">
        <f>'Planning Engine'!S1072</f>
        <v>51196</v>
      </c>
      <c r="N356" s="95">
        <f>'Planning Engine'!T1072</f>
        <v>0</v>
      </c>
      <c r="O356" s="94" t="s">
        <v>2104</v>
      </c>
      <c r="P356" s="12" t="str">
        <f t="shared" ca="1" si="11"/>
        <v>Defer receipts</v>
      </c>
    </row>
    <row r="357" spans="1:16" ht="13" customHeight="1" x14ac:dyDescent="0.35">
      <c r="A357" s="97">
        <v>51349</v>
      </c>
      <c r="B357" s="53" t="s">
        <v>54</v>
      </c>
      <c r="C357" s="12" t="str">
        <f>'Planning Engine'!C1073</f>
        <v>Raw Material</v>
      </c>
      <c r="D357" s="12" t="str">
        <f>'Planning Engine'!D1073</f>
        <v>kg</v>
      </c>
      <c r="E357" s="95">
        <f>'Planning Engine'!E1073</f>
        <v>177.28999999999996</v>
      </c>
      <c r="F357" s="95">
        <f>'Planning Engine'!F1073</f>
        <v>0</v>
      </c>
      <c r="G357" s="95">
        <f>'Planning Engine'!G1073</f>
        <v>0</v>
      </c>
      <c r="H357" s="99">
        <f t="shared" si="10"/>
        <v>0</v>
      </c>
      <c r="I357" s="95">
        <f>'Planning Engine'!H1073</f>
        <v>177.28999999999996</v>
      </c>
      <c r="J357" s="96">
        <f ca="1">'Planning Engine'!J1073</f>
        <v>999</v>
      </c>
      <c r="K357" s="95">
        <f ca="1">'Planning Engine'!K1073</f>
        <v>0</v>
      </c>
      <c r="L357" s="12" t="str">
        <f ca="1">'Planning Engine'!L1073</f>
        <v>Overstock</v>
      </c>
      <c r="M357" s="93">
        <f>'Planning Engine'!S1073</f>
        <v>51227</v>
      </c>
      <c r="N357" s="95">
        <f>'Planning Engine'!T1073</f>
        <v>0</v>
      </c>
      <c r="O357" s="98" t="s">
        <v>2105</v>
      </c>
      <c r="P357" s="4" t="str">
        <f t="shared" ca="1" si="11"/>
        <v>Defer receipts</v>
      </c>
    </row>
    <row r="358" spans="1:16" ht="13" customHeight="1" x14ac:dyDescent="0.35">
      <c r="A358" s="93">
        <v>51380</v>
      </c>
      <c r="B358" s="61" t="s">
        <v>54</v>
      </c>
      <c r="C358" s="12" t="str">
        <f>'Planning Engine'!C1074</f>
        <v>Raw Material</v>
      </c>
      <c r="D358" s="12" t="str">
        <f>'Planning Engine'!D1074</f>
        <v>kg</v>
      </c>
      <c r="E358" s="95">
        <f>'Planning Engine'!E1074</f>
        <v>177.28999999999996</v>
      </c>
      <c r="F358" s="95">
        <f>'Planning Engine'!F1074</f>
        <v>0</v>
      </c>
      <c r="G358" s="95">
        <f>'Planning Engine'!G1074</f>
        <v>0</v>
      </c>
      <c r="H358" s="95">
        <f t="shared" si="10"/>
        <v>0</v>
      </c>
      <c r="I358" s="95">
        <f>'Planning Engine'!H1074</f>
        <v>177.28999999999996</v>
      </c>
      <c r="J358" s="96">
        <f ca="1">'Planning Engine'!J1074</f>
        <v>999</v>
      </c>
      <c r="K358" s="95">
        <f ca="1">'Planning Engine'!K1074</f>
        <v>0</v>
      </c>
      <c r="L358" s="12" t="str">
        <f ca="1">'Planning Engine'!L1074</f>
        <v>Overstock</v>
      </c>
      <c r="M358" s="93">
        <f>'Planning Engine'!S1074</f>
        <v>51257</v>
      </c>
      <c r="N358" s="95">
        <f>'Planning Engine'!T1074</f>
        <v>0</v>
      </c>
      <c r="O358" s="94" t="s">
        <v>2106</v>
      </c>
      <c r="P358" s="12" t="str">
        <f t="shared" ca="1" si="11"/>
        <v>Defer receipts</v>
      </c>
    </row>
    <row r="359" spans="1:16" ht="13" customHeight="1" x14ac:dyDescent="0.35">
      <c r="A359" s="97">
        <v>51410</v>
      </c>
      <c r="B359" s="53" t="s">
        <v>54</v>
      </c>
      <c r="C359" s="12" t="str">
        <f>'Planning Engine'!C1075</f>
        <v>Raw Material</v>
      </c>
      <c r="D359" s="12" t="str">
        <f>'Planning Engine'!D1075</f>
        <v>kg</v>
      </c>
      <c r="E359" s="95">
        <f>'Planning Engine'!E1075</f>
        <v>177.28999999999996</v>
      </c>
      <c r="F359" s="95">
        <f>'Planning Engine'!F1075</f>
        <v>0</v>
      </c>
      <c r="G359" s="95">
        <f>'Planning Engine'!G1075</f>
        <v>0</v>
      </c>
      <c r="H359" s="99">
        <f t="shared" si="10"/>
        <v>0</v>
      </c>
      <c r="I359" s="95">
        <f>'Planning Engine'!H1075</f>
        <v>177.28999999999996</v>
      </c>
      <c r="J359" s="96">
        <f ca="1">'Planning Engine'!J1075</f>
        <v>999</v>
      </c>
      <c r="K359" s="95">
        <f ca="1">'Planning Engine'!K1075</f>
        <v>0</v>
      </c>
      <c r="L359" s="12" t="str">
        <f ca="1">'Planning Engine'!L1075</f>
        <v>Overstock</v>
      </c>
      <c r="M359" s="93">
        <f>'Planning Engine'!S1075</f>
        <v>51288</v>
      </c>
      <c r="N359" s="95">
        <f>'Planning Engine'!T1075</f>
        <v>0</v>
      </c>
      <c r="O359" s="98" t="s">
        <v>2107</v>
      </c>
      <c r="P359" s="4" t="str">
        <f t="shared" ca="1" si="11"/>
        <v>Defer receipts</v>
      </c>
    </row>
    <row r="360" spans="1:16" ht="13" customHeight="1" x14ac:dyDescent="0.35">
      <c r="A360" s="93">
        <v>51441</v>
      </c>
      <c r="B360" s="61" t="s">
        <v>54</v>
      </c>
      <c r="C360" s="12" t="str">
        <f>'Planning Engine'!C1076</f>
        <v>Raw Material</v>
      </c>
      <c r="D360" s="12" t="str">
        <f>'Planning Engine'!D1076</f>
        <v>kg</v>
      </c>
      <c r="E360" s="95">
        <f>'Planning Engine'!E1076</f>
        <v>177.28999999999996</v>
      </c>
      <c r="F360" s="95">
        <f>'Planning Engine'!F1076</f>
        <v>0</v>
      </c>
      <c r="G360" s="95">
        <f>'Planning Engine'!G1076</f>
        <v>0</v>
      </c>
      <c r="H360" s="95">
        <f t="shared" si="10"/>
        <v>0</v>
      </c>
      <c r="I360" s="95">
        <f>'Planning Engine'!H1076</f>
        <v>177.28999999999996</v>
      </c>
      <c r="J360" s="96">
        <f ca="1">'Planning Engine'!J1076</f>
        <v>999</v>
      </c>
      <c r="K360" s="95">
        <f ca="1">'Planning Engine'!K1076</f>
        <v>0</v>
      </c>
      <c r="L360" s="12" t="str">
        <f ca="1">'Planning Engine'!L1076</f>
        <v>Overstock</v>
      </c>
      <c r="M360" s="93">
        <f>'Planning Engine'!S1076</f>
        <v>51318</v>
      </c>
      <c r="N360" s="95">
        <f>'Planning Engine'!T1076</f>
        <v>0</v>
      </c>
      <c r="O360" s="94" t="s">
        <v>2108</v>
      </c>
      <c r="P360" s="12" t="str">
        <f t="shared" ca="1" si="11"/>
        <v>Defer receipts</v>
      </c>
    </row>
    <row r="361" spans="1:16" ht="13" customHeight="1" x14ac:dyDescent="0.35">
      <c r="A361" s="97">
        <v>51471</v>
      </c>
      <c r="B361" s="53" t="s">
        <v>54</v>
      </c>
      <c r="C361" s="12" t="str">
        <f>'Planning Engine'!C1077</f>
        <v>Raw Material</v>
      </c>
      <c r="D361" s="12" t="str">
        <f>'Planning Engine'!D1077</f>
        <v>kg</v>
      </c>
      <c r="E361" s="95">
        <f>'Planning Engine'!E1077</f>
        <v>177.28999999999996</v>
      </c>
      <c r="F361" s="95">
        <f>'Planning Engine'!F1077</f>
        <v>0</v>
      </c>
      <c r="G361" s="95">
        <f>'Planning Engine'!G1077</f>
        <v>0</v>
      </c>
      <c r="H361" s="99">
        <f t="shared" si="10"/>
        <v>0</v>
      </c>
      <c r="I361" s="95">
        <f>'Planning Engine'!H1077</f>
        <v>177.28999999999996</v>
      </c>
      <c r="J361" s="96">
        <f ca="1">'Planning Engine'!J1077</f>
        <v>999</v>
      </c>
      <c r="K361" s="95">
        <f ca="1">'Planning Engine'!K1077</f>
        <v>0</v>
      </c>
      <c r="L361" s="12" t="str">
        <f ca="1">'Planning Engine'!L1077</f>
        <v>Overstock</v>
      </c>
      <c r="M361" s="93">
        <f>'Planning Engine'!S1077</f>
        <v>51349</v>
      </c>
      <c r="N361" s="95">
        <f>'Planning Engine'!T1077</f>
        <v>0</v>
      </c>
      <c r="O361" s="98" t="s">
        <v>2109</v>
      </c>
      <c r="P361" s="4" t="str">
        <f t="shared" ca="1" si="11"/>
        <v>Defer receipts</v>
      </c>
    </row>
    <row r="362" spans="1:16" ht="13" customHeight="1" x14ac:dyDescent="0.35">
      <c r="A362" s="93">
        <v>46054</v>
      </c>
      <c r="B362" s="61" t="s">
        <v>56</v>
      </c>
      <c r="C362" s="12" t="str">
        <f>'Planning Engine'!C1078</f>
        <v>Raw Material</v>
      </c>
      <c r="D362" s="12" t="str">
        <f>'Planning Engine'!D1078</f>
        <v>kg</v>
      </c>
      <c r="E362" s="95">
        <f>'Planning Engine'!E1078</f>
        <v>374.84</v>
      </c>
      <c r="F362" s="95">
        <f>'Planning Engine'!F1078</f>
        <v>0</v>
      </c>
      <c r="G362" s="95">
        <f>'Planning Engine'!G1078</f>
        <v>0</v>
      </c>
      <c r="H362" s="95">
        <f t="shared" si="10"/>
        <v>0</v>
      </c>
      <c r="I362" s="95">
        <f>'Planning Engine'!H1078</f>
        <v>374.84</v>
      </c>
      <c r="J362" s="96">
        <f ca="1">'Planning Engine'!J1078</f>
        <v>6.3835149863760208</v>
      </c>
      <c r="K362" s="95">
        <f ca="1">'Planning Engine'!K1078</f>
        <v>0</v>
      </c>
      <c r="L362" s="12" t="str">
        <f ca="1">'Planning Engine'!L1078</f>
        <v>Low</v>
      </c>
      <c r="M362" s="93">
        <f>'Planning Engine'!S1078</f>
        <v>45931</v>
      </c>
      <c r="N362" s="95">
        <f>'Planning Engine'!T1078</f>
        <v>0</v>
      </c>
      <c r="O362" s="94" t="s">
        <v>2110</v>
      </c>
      <c r="P362" s="12" t="str">
        <f t="shared" ca="1" si="11"/>
        <v>OK</v>
      </c>
    </row>
    <row r="363" spans="1:16" ht="13" customHeight="1" x14ac:dyDescent="0.35">
      <c r="A363" s="97">
        <v>46082</v>
      </c>
      <c r="B363" s="53" t="s">
        <v>56</v>
      </c>
      <c r="C363" s="12" t="str">
        <f>'Planning Engine'!C1079</f>
        <v>Raw Material</v>
      </c>
      <c r="D363" s="12" t="str">
        <f>'Planning Engine'!D1079</f>
        <v>kg</v>
      </c>
      <c r="E363" s="95">
        <f>'Planning Engine'!E1079</f>
        <v>374.84</v>
      </c>
      <c r="F363" s="95">
        <f>'Planning Engine'!F1079</f>
        <v>0</v>
      </c>
      <c r="G363" s="95">
        <f>'Planning Engine'!G1079</f>
        <v>0</v>
      </c>
      <c r="H363" s="99">
        <f t="shared" si="10"/>
        <v>0</v>
      </c>
      <c r="I363" s="95">
        <f>'Planning Engine'!H1079</f>
        <v>374.84</v>
      </c>
      <c r="J363" s="96">
        <f ca="1">'Planning Engine'!J1079</f>
        <v>6.3835149863760208</v>
      </c>
      <c r="K363" s="95">
        <f ca="1">'Planning Engine'!K1079</f>
        <v>0</v>
      </c>
      <c r="L363" s="12" t="str">
        <f ca="1">'Planning Engine'!L1079</f>
        <v>Low</v>
      </c>
      <c r="M363" s="93">
        <f>'Planning Engine'!S1079</f>
        <v>45962</v>
      </c>
      <c r="N363" s="95">
        <f>'Planning Engine'!T1079</f>
        <v>0</v>
      </c>
      <c r="O363" s="98" t="s">
        <v>2111</v>
      </c>
      <c r="P363" s="4" t="str">
        <f t="shared" ca="1" si="11"/>
        <v>OK</v>
      </c>
    </row>
    <row r="364" spans="1:16" ht="13" customHeight="1" x14ac:dyDescent="0.35">
      <c r="A364" s="93">
        <v>46113</v>
      </c>
      <c r="B364" s="61" t="s">
        <v>56</v>
      </c>
      <c r="C364" s="12" t="str">
        <f>'Planning Engine'!C1080</f>
        <v>Raw Material</v>
      </c>
      <c r="D364" s="12" t="str">
        <f>'Planning Engine'!D1080</f>
        <v>kg</v>
      </c>
      <c r="E364" s="95">
        <f>'Planning Engine'!E1080</f>
        <v>374.84</v>
      </c>
      <c r="F364" s="95">
        <f>'Planning Engine'!F1080</f>
        <v>0</v>
      </c>
      <c r="G364" s="95">
        <f>'Planning Engine'!G1080</f>
        <v>0</v>
      </c>
      <c r="H364" s="95">
        <f t="shared" si="10"/>
        <v>0</v>
      </c>
      <c r="I364" s="95">
        <f>'Planning Engine'!H1080</f>
        <v>374.84</v>
      </c>
      <c r="J364" s="96">
        <f ca="1">'Planning Engine'!J1080</f>
        <v>6.3835149863760208</v>
      </c>
      <c r="K364" s="95">
        <f ca="1">'Planning Engine'!K1080</f>
        <v>0</v>
      </c>
      <c r="L364" s="12" t="str">
        <f ca="1">'Planning Engine'!L1080</f>
        <v>Low</v>
      </c>
      <c r="M364" s="93">
        <f>'Planning Engine'!S1080</f>
        <v>45992</v>
      </c>
      <c r="N364" s="95">
        <f>'Planning Engine'!T1080</f>
        <v>0</v>
      </c>
      <c r="O364" s="94" t="s">
        <v>2112</v>
      </c>
      <c r="P364" s="12" t="str">
        <f t="shared" ca="1" si="11"/>
        <v>OK</v>
      </c>
    </row>
    <row r="365" spans="1:16" ht="13" customHeight="1" x14ac:dyDescent="0.35">
      <c r="A365" s="97">
        <v>46143</v>
      </c>
      <c r="B365" s="53" t="s">
        <v>56</v>
      </c>
      <c r="C365" s="12" t="str">
        <f>'Planning Engine'!C1081</f>
        <v>Raw Material</v>
      </c>
      <c r="D365" s="12" t="str">
        <f>'Planning Engine'!D1081</f>
        <v>kg</v>
      </c>
      <c r="E365" s="95">
        <f>'Planning Engine'!E1081</f>
        <v>374.84</v>
      </c>
      <c r="F365" s="95">
        <f>'Planning Engine'!F1081</f>
        <v>58.72</v>
      </c>
      <c r="G365" s="95">
        <f>'Planning Engine'!G1081</f>
        <v>0</v>
      </c>
      <c r="H365" s="99">
        <f t="shared" si="10"/>
        <v>-58.72</v>
      </c>
      <c r="I365" s="95">
        <f>'Planning Engine'!H1081</f>
        <v>316.12</v>
      </c>
      <c r="J365" s="96">
        <f ca="1">'Planning Engine'!J1081</f>
        <v>5.3835149863760217</v>
      </c>
      <c r="K365" s="95">
        <f ca="1">'Planning Engine'!K1081</f>
        <v>0</v>
      </c>
      <c r="L365" s="12" t="str">
        <f ca="1">'Planning Engine'!L1081</f>
        <v>Low</v>
      </c>
      <c r="M365" s="93">
        <f>'Planning Engine'!S1081</f>
        <v>46023</v>
      </c>
      <c r="N365" s="95">
        <f>'Planning Engine'!T1081</f>
        <v>0</v>
      </c>
      <c r="O365" s="98" t="s">
        <v>2113</v>
      </c>
      <c r="P365" s="4" t="str">
        <f t="shared" ca="1" si="11"/>
        <v>OK</v>
      </c>
    </row>
    <row r="366" spans="1:16" ht="13" customHeight="1" x14ac:dyDescent="0.35">
      <c r="A366" s="93">
        <v>46174</v>
      </c>
      <c r="B366" s="61" t="s">
        <v>56</v>
      </c>
      <c r="C366" s="12" t="str">
        <f>'Planning Engine'!C1082</f>
        <v>Raw Material</v>
      </c>
      <c r="D366" s="12" t="str">
        <f>'Planning Engine'!D1082</f>
        <v>kg</v>
      </c>
      <c r="E366" s="95">
        <f>'Planning Engine'!E1082</f>
        <v>316.12</v>
      </c>
      <c r="F366" s="95">
        <f>'Planning Engine'!F1082</f>
        <v>88.080000000000013</v>
      </c>
      <c r="G366" s="95">
        <f>'Planning Engine'!G1082</f>
        <v>0</v>
      </c>
      <c r="H366" s="95">
        <f t="shared" si="10"/>
        <v>-88.080000000000013</v>
      </c>
      <c r="I366" s="95">
        <f>'Planning Engine'!H1082</f>
        <v>228.04</v>
      </c>
      <c r="J366" s="96">
        <f ca="1">'Planning Engine'!J1082</f>
        <v>3.8835149863760212</v>
      </c>
      <c r="K366" s="95">
        <f ca="1">'Planning Engine'!K1082</f>
        <v>0</v>
      </c>
      <c r="L366" s="12" t="str">
        <f ca="1">'Planning Engine'!L1082</f>
        <v>Medium</v>
      </c>
      <c r="M366" s="93">
        <f>'Planning Engine'!S1082</f>
        <v>46054</v>
      </c>
      <c r="N366" s="95">
        <f>'Planning Engine'!T1082</f>
        <v>0</v>
      </c>
      <c r="O366" s="94" t="s">
        <v>2114</v>
      </c>
      <c r="P366" s="12" t="str">
        <f t="shared" ca="1" si="11"/>
        <v>Monitor — plan additional POs</v>
      </c>
    </row>
    <row r="367" spans="1:16" ht="13" customHeight="1" x14ac:dyDescent="0.35">
      <c r="A367" s="97">
        <v>46204</v>
      </c>
      <c r="B367" s="53" t="s">
        <v>56</v>
      </c>
      <c r="C367" s="12" t="str">
        <f>'Planning Engine'!C1083</f>
        <v>Raw Material</v>
      </c>
      <c r="D367" s="12" t="str">
        <f>'Planning Engine'!D1083</f>
        <v>kg</v>
      </c>
      <c r="E367" s="95">
        <f>'Planning Engine'!E1083</f>
        <v>228.04</v>
      </c>
      <c r="F367" s="95">
        <f>'Planning Engine'!F1083</f>
        <v>29.36</v>
      </c>
      <c r="G367" s="95">
        <f>'Planning Engine'!G1083</f>
        <v>0</v>
      </c>
      <c r="H367" s="99">
        <f t="shared" si="10"/>
        <v>-29.36</v>
      </c>
      <c r="I367" s="95">
        <f>'Planning Engine'!H1083</f>
        <v>198.68</v>
      </c>
      <c r="J367" s="96">
        <f ca="1">'Planning Engine'!J1083</f>
        <v>6.7670299727520442</v>
      </c>
      <c r="K367" s="95">
        <f ca="1">'Planning Engine'!K1083</f>
        <v>0</v>
      </c>
      <c r="L367" s="12" t="str">
        <f ca="1">'Planning Engine'!L1083</f>
        <v>Low</v>
      </c>
      <c r="M367" s="93">
        <f>'Planning Engine'!S1083</f>
        <v>46082</v>
      </c>
      <c r="N367" s="95">
        <f>'Planning Engine'!T1083</f>
        <v>0</v>
      </c>
      <c r="O367" s="98" t="s">
        <v>2115</v>
      </c>
      <c r="P367" s="4" t="str">
        <f t="shared" ca="1" si="11"/>
        <v>OK</v>
      </c>
    </row>
    <row r="368" spans="1:16" ht="13" customHeight="1" x14ac:dyDescent="0.35">
      <c r="A368" s="93">
        <v>46235</v>
      </c>
      <c r="B368" s="61" t="s">
        <v>56</v>
      </c>
      <c r="C368" s="12" t="str">
        <f>'Planning Engine'!C1084</f>
        <v>Raw Material</v>
      </c>
      <c r="D368" s="12" t="str">
        <f>'Planning Engine'!D1084</f>
        <v>kg</v>
      </c>
      <c r="E368" s="95">
        <f>'Planning Engine'!E1084</f>
        <v>198.68</v>
      </c>
      <c r="F368" s="95">
        <f>'Planning Engine'!F1084</f>
        <v>0</v>
      </c>
      <c r="G368" s="95">
        <f>'Planning Engine'!G1084</f>
        <v>0</v>
      </c>
      <c r="H368" s="95">
        <f t="shared" si="10"/>
        <v>0</v>
      </c>
      <c r="I368" s="95">
        <f>'Planning Engine'!H1084</f>
        <v>198.68</v>
      </c>
      <c r="J368" s="96">
        <f ca="1">'Planning Engine'!J1084</f>
        <v>3.3835149863760221</v>
      </c>
      <c r="K368" s="95">
        <f ca="1">'Planning Engine'!K1084</f>
        <v>0</v>
      </c>
      <c r="L368" s="12" t="str">
        <f ca="1">'Planning Engine'!L1084</f>
        <v>Medium</v>
      </c>
      <c r="M368" s="93">
        <f>'Planning Engine'!S1084</f>
        <v>46113</v>
      </c>
      <c r="N368" s="95">
        <f>'Planning Engine'!T1084</f>
        <v>0</v>
      </c>
      <c r="O368" s="94" t="s">
        <v>2116</v>
      </c>
      <c r="P368" s="12" t="str">
        <f t="shared" ca="1" si="11"/>
        <v>Monitor — plan additional POs</v>
      </c>
    </row>
    <row r="369" spans="1:16" ht="13" customHeight="1" x14ac:dyDescent="0.35">
      <c r="A369" s="97">
        <v>46266</v>
      </c>
      <c r="B369" s="53" t="s">
        <v>56</v>
      </c>
      <c r="C369" s="12" t="str">
        <f>'Planning Engine'!C1085</f>
        <v>Raw Material</v>
      </c>
      <c r="D369" s="12" t="str">
        <f>'Planning Engine'!D1085</f>
        <v>kg</v>
      </c>
      <c r="E369" s="95">
        <f>'Planning Engine'!E1085</f>
        <v>198.68</v>
      </c>
      <c r="F369" s="95">
        <f>'Planning Engine'!F1085</f>
        <v>0</v>
      </c>
      <c r="G369" s="95">
        <f>'Planning Engine'!G1085</f>
        <v>0</v>
      </c>
      <c r="H369" s="99">
        <f t="shared" si="10"/>
        <v>0</v>
      </c>
      <c r="I369" s="95">
        <f>'Planning Engine'!H1085</f>
        <v>198.68</v>
      </c>
      <c r="J369" s="96">
        <f ca="1">'Planning Engine'!J1085</f>
        <v>3.3835149863760221</v>
      </c>
      <c r="K369" s="95">
        <f ca="1">'Planning Engine'!K1085</f>
        <v>0</v>
      </c>
      <c r="L369" s="12" t="str">
        <f ca="1">'Planning Engine'!L1085</f>
        <v>Medium</v>
      </c>
      <c r="M369" s="93">
        <f>'Planning Engine'!S1085</f>
        <v>46143</v>
      </c>
      <c r="N369" s="95">
        <f>'Planning Engine'!T1085</f>
        <v>0</v>
      </c>
      <c r="O369" s="98" t="s">
        <v>2117</v>
      </c>
      <c r="P369" s="4" t="str">
        <f t="shared" ca="1" si="11"/>
        <v>Monitor — plan additional POs</v>
      </c>
    </row>
    <row r="370" spans="1:16" ht="13" customHeight="1" x14ac:dyDescent="0.35">
      <c r="A370" s="93">
        <v>46296</v>
      </c>
      <c r="B370" s="61" t="s">
        <v>56</v>
      </c>
      <c r="C370" s="12" t="str">
        <f>'Planning Engine'!C1086</f>
        <v>Raw Material</v>
      </c>
      <c r="D370" s="12" t="str">
        <f>'Planning Engine'!D1086</f>
        <v>kg</v>
      </c>
      <c r="E370" s="95">
        <f>'Planning Engine'!E1086</f>
        <v>198.68</v>
      </c>
      <c r="F370" s="95">
        <f>'Planning Engine'!F1086</f>
        <v>0</v>
      </c>
      <c r="G370" s="95">
        <f>'Planning Engine'!G1086</f>
        <v>0</v>
      </c>
      <c r="H370" s="95">
        <f t="shared" si="10"/>
        <v>0</v>
      </c>
      <c r="I370" s="95">
        <f>'Planning Engine'!H1086</f>
        <v>198.68</v>
      </c>
      <c r="J370" s="96">
        <f ca="1">'Planning Engine'!J1086</f>
        <v>3.3835149863760221</v>
      </c>
      <c r="K370" s="95">
        <f ca="1">'Planning Engine'!K1086</f>
        <v>0</v>
      </c>
      <c r="L370" s="12" t="str">
        <f ca="1">'Planning Engine'!L1086</f>
        <v>Medium</v>
      </c>
      <c r="M370" s="93">
        <f>'Planning Engine'!S1086</f>
        <v>46174</v>
      </c>
      <c r="N370" s="95">
        <f>'Planning Engine'!T1086</f>
        <v>0</v>
      </c>
      <c r="O370" s="94" t="s">
        <v>2118</v>
      </c>
      <c r="P370" s="12" t="str">
        <f t="shared" ca="1" si="11"/>
        <v>Monitor — plan additional POs</v>
      </c>
    </row>
    <row r="371" spans="1:16" ht="13" customHeight="1" x14ac:dyDescent="0.35">
      <c r="A371" s="97">
        <v>46327</v>
      </c>
      <c r="B371" s="53" t="s">
        <v>56</v>
      </c>
      <c r="C371" s="12" t="str">
        <f>'Planning Engine'!C1087</f>
        <v>Raw Material</v>
      </c>
      <c r="D371" s="12" t="str">
        <f>'Planning Engine'!D1087</f>
        <v>kg</v>
      </c>
      <c r="E371" s="95">
        <f>'Planning Engine'!E1087</f>
        <v>198.68</v>
      </c>
      <c r="F371" s="95">
        <f>'Planning Engine'!F1087</f>
        <v>0</v>
      </c>
      <c r="G371" s="95">
        <f>'Planning Engine'!G1087</f>
        <v>0</v>
      </c>
      <c r="H371" s="99">
        <f t="shared" si="10"/>
        <v>0</v>
      </c>
      <c r="I371" s="95">
        <f>'Planning Engine'!H1087</f>
        <v>198.68</v>
      </c>
      <c r="J371" s="96">
        <f ca="1">'Planning Engine'!J1087</f>
        <v>3.3835149863760221</v>
      </c>
      <c r="K371" s="95">
        <f ca="1">'Planning Engine'!K1087</f>
        <v>0</v>
      </c>
      <c r="L371" s="12" t="str">
        <f ca="1">'Planning Engine'!L1087</f>
        <v>Medium</v>
      </c>
      <c r="M371" s="93">
        <f>'Planning Engine'!S1087</f>
        <v>46204</v>
      </c>
      <c r="N371" s="95">
        <f>'Planning Engine'!T1087</f>
        <v>0</v>
      </c>
      <c r="O371" s="98" t="s">
        <v>2119</v>
      </c>
      <c r="P371" s="4" t="str">
        <f t="shared" ca="1" si="11"/>
        <v>Monitor — plan additional POs</v>
      </c>
    </row>
    <row r="372" spans="1:16" ht="13" customHeight="1" x14ac:dyDescent="0.35">
      <c r="A372" s="93">
        <v>46357</v>
      </c>
      <c r="B372" s="61" t="s">
        <v>56</v>
      </c>
      <c r="C372" s="12" t="str">
        <f>'Planning Engine'!C1088</f>
        <v>Raw Material</v>
      </c>
      <c r="D372" s="12" t="str">
        <f>'Planning Engine'!D1088</f>
        <v>kg</v>
      </c>
      <c r="E372" s="95">
        <f>'Planning Engine'!E1088</f>
        <v>198.68</v>
      </c>
      <c r="F372" s="95">
        <f>'Planning Engine'!F1088</f>
        <v>0</v>
      </c>
      <c r="G372" s="95">
        <f>'Planning Engine'!G1088</f>
        <v>0</v>
      </c>
      <c r="H372" s="95">
        <f t="shared" si="10"/>
        <v>0</v>
      </c>
      <c r="I372" s="95">
        <f>'Planning Engine'!H1088</f>
        <v>198.68</v>
      </c>
      <c r="J372" s="96">
        <f ca="1">'Planning Engine'!J1088</f>
        <v>3.3835149863760221</v>
      </c>
      <c r="K372" s="95">
        <f ca="1">'Planning Engine'!K1088</f>
        <v>0</v>
      </c>
      <c r="L372" s="12" t="str">
        <f ca="1">'Planning Engine'!L1088</f>
        <v>Medium</v>
      </c>
      <c r="M372" s="93">
        <f>'Planning Engine'!S1088</f>
        <v>46235</v>
      </c>
      <c r="N372" s="95">
        <f>'Planning Engine'!T1088</f>
        <v>0</v>
      </c>
      <c r="O372" s="94" t="s">
        <v>2120</v>
      </c>
      <c r="P372" s="12" t="str">
        <f t="shared" ca="1" si="11"/>
        <v>Monitor — plan additional POs</v>
      </c>
    </row>
    <row r="373" spans="1:16" ht="13" customHeight="1" x14ac:dyDescent="0.35">
      <c r="A373" s="97">
        <v>46388</v>
      </c>
      <c r="B373" s="53" t="s">
        <v>56</v>
      </c>
      <c r="C373" s="12" t="str">
        <f>'Planning Engine'!C1089</f>
        <v>Raw Material</v>
      </c>
      <c r="D373" s="12" t="str">
        <f>'Planning Engine'!D1089</f>
        <v>kg</v>
      </c>
      <c r="E373" s="95">
        <f>'Planning Engine'!E1089</f>
        <v>198.68</v>
      </c>
      <c r="F373" s="95">
        <f>'Planning Engine'!F1089</f>
        <v>0</v>
      </c>
      <c r="G373" s="95">
        <f>'Planning Engine'!G1089</f>
        <v>165</v>
      </c>
      <c r="H373" s="99">
        <f t="shared" si="10"/>
        <v>165</v>
      </c>
      <c r="I373" s="95">
        <f>'Planning Engine'!H1089</f>
        <v>363.68</v>
      </c>
      <c r="J373" s="96">
        <f ca="1">'Planning Engine'!J1089</f>
        <v>6.1934604904632158</v>
      </c>
      <c r="K373" s="95">
        <f ca="1">'Planning Engine'!K1089</f>
        <v>0</v>
      </c>
      <c r="L373" s="12" t="str">
        <f ca="1">'Planning Engine'!L1089</f>
        <v>Low</v>
      </c>
      <c r="M373" s="93">
        <f>'Planning Engine'!S1089</f>
        <v>46266</v>
      </c>
      <c r="N373" s="95">
        <f>'Planning Engine'!T1089</f>
        <v>165</v>
      </c>
      <c r="O373" s="98" t="s">
        <v>2121</v>
      </c>
      <c r="P373" s="4" t="str">
        <f t="shared" ca="1" si="11"/>
        <v>OK</v>
      </c>
    </row>
    <row r="374" spans="1:16" ht="13" customHeight="1" x14ac:dyDescent="0.35">
      <c r="A374" s="93">
        <v>46419</v>
      </c>
      <c r="B374" s="61" t="s">
        <v>56</v>
      </c>
      <c r="C374" s="12" t="str">
        <f>'Planning Engine'!C1090</f>
        <v>Raw Material</v>
      </c>
      <c r="D374" s="12" t="str">
        <f>'Planning Engine'!D1090</f>
        <v>kg</v>
      </c>
      <c r="E374" s="95">
        <f>'Planning Engine'!E1090</f>
        <v>363.68</v>
      </c>
      <c r="F374" s="95">
        <f>'Planning Engine'!F1090</f>
        <v>0</v>
      </c>
      <c r="G374" s="95">
        <f>'Planning Engine'!G1090</f>
        <v>0</v>
      </c>
      <c r="H374" s="95">
        <f t="shared" si="10"/>
        <v>0</v>
      </c>
      <c r="I374" s="95">
        <f>'Planning Engine'!H1090</f>
        <v>363.68</v>
      </c>
      <c r="J374" s="96">
        <f ca="1">'Planning Engine'!J1090</f>
        <v>6.1934604904632158</v>
      </c>
      <c r="K374" s="95">
        <f ca="1">'Planning Engine'!K1090</f>
        <v>0</v>
      </c>
      <c r="L374" s="12" t="str">
        <f ca="1">'Planning Engine'!L1090</f>
        <v>Low</v>
      </c>
      <c r="M374" s="93">
        <f>'Planning Engine'!S1090</f>
        <v>46296</v>
      </c>
      <c r="N374" s="95">
        <f>'Planning Engine'!T1090</f>
        <v>0</v>
      </c>
      <c r="O374" s="94" t="s">
        <v>2122</v>
      </c>
      <c r="P374" s="12" t="str">
        <f t="shared" ca="1" si="11"/>
        <v>OK</v>
      </c>
    </row>
    <row r="375" spans="1:16" ht="13" customHeight="1" x14ac:dyDescent="0.35">
      <c r="A375" s="97">
        <v>46447</v>
      </c>
      <c r="B375" s="53" t="s">
        <v>56</v>
      </c>
      <c r="C375" s="12" t="str">
        <f>'Planning Engine'!C1091</f>
        <v>Raw Material</v>
      </c>
      <c r="D375" s="12" t="str">
        <f>'Planning Engine'!D1091</f>
        <v>kg</v>
      </c>
      <c r="E375" s="95">
        <f>'Planning Engine'!E1091</f>
        <v>363.68</v>
      </c>
      <c r="F375" s="95">
        <f>'Planning Engine'!F1091</f>
        <v>0</v>
      </c>
      <c r="G375" s="95">
        <f>'Planning Engine'!G1091</f>
        <v>0</v>
      </c>
      <c r="H375" s="99">
        <f t="shared" si="10"/>
        <v>0</v>
      </c>
      <c r="I375" s="95">
        <f>'Planning Engine'!H1091</f>
        <v>363.68</v>
      </c>
      <c r="J375" s="96">
        <f ca="1">'Planning Engine'!J1091</f>
        <v>6.1934604904632158</v>
      </c>
      <c r="K375" s="95">
        <f ca="1">'Planning Engine'!K1091</f>
        <v>0</v>
      </c>
      <c r="L375" s="12" t="str">
        <f ca="1">'Planning Engine'!L1091</f>
        <v>Low</v>
      </c>
      <c r="M375" s="93">
        <f>'Planning Engine'!S1091</f>
        <v>46327</v>
      </c>
      <c r="N375" s="95">
        <f>'Planning Engine'!T1091</f>
        <v>0</v>
      </c>
      <c r="O375" s="98" t="s">
        <v>2123</v>
      </c>
      <c r="P375" s="4" t="str">
        <f t="shared" ca="1" si="11"/>
        <v>OK</v>
      </c>
    </row>
    <row r="376" spans="1:16" ht="13" customHeight="1" x14ac:dyDescent="0.35">
      <c r="A376" s="93">
        <v>46478</v>
      </c>
      <c r="B376" s="61" t="s">
        <v>56</v>
      </c>
      <c r="C376" s="12" t="str">
        <f>'Planning Engine'!C1092</f>
        <v>Raw Material</v>
      </c>
      <c r="D376" s="12" t="str">
        <f>'Planning Engine'!D1092</f>
        <v>kg</v>
      </c>
      <c r="E376" s="95">
        <f>'Planning Engine'!E1092</f>
        <v>363.68</v>
      </c>
      <c r="F376" s="95">
        <f>'Planning Engine'!F1092</f>
        <v>58.72</v>
      </c>
      <c r="G376" s="95">
        <f>'Planning Engine'!G1092</f>
        <v>0</v>
      </c>
      <c r="H376" s="95">
        <f t="shared" si="10"/>
        <v>-58.72</v>
      </c>
      <c r="I376" s="95">
        <f>'Planning Engine'!H1092</f>
        <v>304.96000000000004</v>
      </c>
      <c r="J376" s="96">
        <f ca="1">'Planning Engine'!J1092</f>
        <v>5.1934604904632158</v>
      </c>
      <c r="K376" s="95">
        <f ca="1">'Planning Engine'!K1092</f>
        <v>0</v>
      </c>
      <c r="L376" s="12" t="str">
        <f ca="1">'Planning Engine'!L1092</f>
        <v>Low</v>
      </c>
      <c r="M376" s="93">
        <f>'Planning Engine'!S1092</f>
        <v>46357</v>
      </c>
      <c r="N376" s="95">
        <f>'Planning Engine'!T1092</f>
        <v>0</v>
      </c>
      <c r="O376" s="94" t="s">
        <v>2124</v>
      </c>
      <c r="P376" s="12" t="str">
        <f t="shared" ca="1" si="11"/>
        <v>OK</v>
      </c>
    </row>
    <row r="377" spans="1:16" ht="13" customHeight="1" x14ac:dyDescent="0.35">
      <c r="A377" s="97">
        <v>46508</v>
      </c>
      <c r="B377" s="53" t="s">
        <v>56</v>
      </c>
      <c r="C377" s="12" t="str">
        <f>'Planning Engine'!C1093</f>
        <v>Raw Material</v>
      </c>
      <c r="D377" s="12" t="str">
        <f>'Planning Engine'!D1093</f>
        <v>kg</v>
      </c>
      <c r="E377" s="95">
        <f>'Planning Engine'!E1093</f>
        <v>304.96000000000004</v>
      </c>
      <c r="F377" s="95">
        <f>'Planning Engine'!F1093</f>
        <v>58.72</v>
      </c>
      <c r="G377" s="95">
        <f>'Planning Engine'!G1093</f>
        <v>0</v>
      </c>
      <c r="H377" s="99">
        <f t="shared" si="10"/>
        <v>-58.72</v>
      </c>
      <c r="I377" s="95">
        <f>'Planning Engine'!H1093</f>
        <v>246.24000000000004</v>
      </c>
      <c r="J377" s="96">
        <f ca="1">'Planning Engine'!J1093</f>
        <v>4.1934604904632158</v>
      </c>
      <c r="K377" s="95">
        <f ca="1">'Planning Engine'!K1093</f>
        <v>0</v>
      </c>
      <c r="L377" s="12" t="str">
        <f ca="1">'Planning Engine'!L1093</f>
        <v>Low</v>
      </c>
      <c r="M377" s="93">
        <f>'Planning Engine'!S1093</f>
        <v>46388</v>
      </c>
      <c r="N377" s="95">
        <f>'Planning Engine'!T1093</f>
        <v>0</v>
      </c>
      <c r="O377" s="98" t="s">
        <v>2125</v>
      </c>
      <c r="P377" s="4" t="str">
        <f t="shared" ca="1" si="11"/>
        <v>OK</v>
      </c>
    </row>
    <row r="378" spans="1:16" ht="13" customHeight="1" x14ac:dyDescent="0.35">
      <c r="A378" s="93">
        <v>46539</v>
      </c>
      <c r="B378" s="61" t="s">
        <v>56</v>
      </c>
      <c r="C378" s="12" t="str">
        <f>'Planning Engine'!C1094</f>
        <v>Raw Material</v>
      </c>
      <c r="D378" s="12" t="str">
        <f>'Planning Engine'!D1094</f>
        <v>kg</v>
      </c>
      <c r="E378" s="95">
        <f>'Planning Engine'!E1094</f>
        <v>246.24000000000004</v>
      </c>
      <c r="F378" s="95">
        <f>'Planning Engine'!F1094</f>
        <v>58.72</v>
      </c>
      <c r="G378" s="95">
        <f>'Planning Engine'!G1094</f>
        <v>0</v>
      </c>
      <c r="H378" s="95">
        <f t="shared" si="10"/>
        <v>-58.72</v>
      </c>
      <c r="I378" s="95">
        <f>'Planning Engine'!H1094</f>
        <v>187.52000000000004</v>
      </c>
      <c r="J378" s="96">
        <f ca="1">'Planning Engine'!J1094</f>
        <v>3.1934604904632158</v>
      </c>
      <c r="K378" s="95">
        <f ca="1">'Planning Engine'!K1094</f>
        <v>0</v>
      </c>
      <c r="L378" s="12" t="str">
        <f ca="1">'Planning Engine'!L1094</f>
        <v>Medium</v>
      </c>
      <c r="M378" s="93">
        <f>'Planning Engine'!S1094</f>
        <v>46419</v>
      </c>
      <c r="N378" s="95">
        <f>'Planning Engine'!T1094</f>
        <v>0</v>
      </c>
      <c r="O378" s="94" t="s">
        <v>2126</v>
      </c>
      <c r="P378" s="12" t="str">
        <f t="shared" ca="1" si="11"/>
        <v>Monitor — plan additional POs</v>
      </c>
    </row>
    <row r="379" spans="1:16" ht="13" customHeight="1" x14ac:dyDescent="0.35">
      <c r="A379" s="97">
        <v>46569</v>
      </c>
      <c r="B379" s="53" t="s">
        <v>56</v>
      </c>
      <c r="C379" s="12" t="str">
        <f>'Planning Engine'!C1095</f>
        <v>Raw Material</v>
      </c>
      <c r="D379" s="12" t="str">
        <f>'Planning Engine'!D1095</f>
        <v>kg</v>
      </c>
      <c r="E379" s="95">
        <f>'Planning Engine'!E1095</f>
        <v>187.52000000000004</v>
      </c>
      <c r="F379" s="95">
        <f>'Planning Engine'!F1095</f>
        <v>58.72</v>
      </c>
      <c r="G379" s="95">
        <f>'Planning Engine'!G1095</f>
        <v>0</v>
      </c>
      <c r="H379" s="99">
        <f t="shared" si="10"/>
        <v>-58.72</v>
      </c>
      <c r="I379" s="95">
        <f>'Planning Engine'!H1095</f>
        <v>128.80000000000004</v>
      </c>
      <c r="J379" s="96">
        <f ca="1">'Planning Engine'!J1095</f>
        <v>2.1934604904632158</v>
      </c>
      <c r="K379" s="95">
        <f ca="1">'Planning Engine'!K1095</f>
        <v>165</v>
      </c>
      <c r="L379" s="12" t="str">
        <f ca="1">'Planning Engine'!L1095</f>
        <v>High</v>
      </c>
      <c r="M379" s="93">
        <f>'Planning Engine'!S1095</f>
        <v>46447</v>
      </c>
      <c r="N379" s="95">
        <f>'Planning Engine'!T1095</f>
        <v>0</v>
      </c>
      <c r="O379" s="98" t="s">
        <v>2127</v>
      </c>
      <c r="P379" s="4" t="str">
        <f t="shared" ca="1" si="11"/>
        <v>⚠ Expedite / qualify alternate source</v>
      </c>
    </row>
    <row r="380" spans="1:16" ht="13" customHeight="1" x14ac:dyDescent="0.35">
      <c r="A380" s="93">
        <v>46600</v>
      </c>
      <c r="B380" s="61" t="s">
        <v>56</v>
      </c>
      <c r="C380" s="12" t="str">
        <f>'Planning Engine'!C1096</f>
        <v>Raw Material</v>
      </c>
      <c r="D380" s="12" t="str">
        <f>'Planning Engine'!D1096</f>
        <v>kg</v>
      </c>
      <c r="E380" s="95">
        <f>'Planning Engine'!E1096</f>
        <v>128.80000000000004</v>
      </c>
      <c r="F380" s="95">
        <f>'Planning Engine'!F1096</f>
        <v>0</v>
      </c>
      <c r="G380" s="95">
        <f>'Planning Engine'!G1096</f>
        <v>0</v>
      </c>
      <c r="H380" s="95">
        <f t="shared" si="10"/>
        <v>0</v>
      </c>
      <c r="I380" s="95">
        <f>'Planning Engine'!H1096</f>
        <v>128.80000000000004</v>
      </c>
      <c r="J380" s="96">
        <f ca="1">'Planning Engine'!J1096</f>
        <v>999</v>
      </c>
      <c r="K380" s="95">
        <f ca="1">'Planning Engine'!K1096</f>
        <v>0</v>
      </c>
      <c r="L380" s="12" t="str">
        <f ca="1">'Planning Engine'!L1096</f>
        <v>Overstock</v>
      </c>
      <c r="M380" s="93">
        <f>'Planning Engine'!S1096</f>
        <v>46478</v>
      </c>
      <c r="N380" s="95">
        <f>'Planning Engine'!T1096</f>
        <v>0</v>
      </c>
      <c r="O380" s="94" t="s">
        <v>2128</v>
      </c>
      <c r="P380" s="12" t="str">
        <f t="shared" ca="1" si="11"/>
        <v>Defer receipts</v>
      </c>
    </row>
    <row r="381" spans="1:16" ht="13" customHeight="1" x14ac:dyDescent="0.35">
      <c r="A381" s="97">
        <v>46631</v>
      </c>
      <c r="B381" s="53" t="s">
        <v>56</v>
      </c>
      <c r="C381" s="12" t="str">
        <f>'Planning Engine'!C1097</f>
        <v>Raw Material</v>
      </c>
      <c r="D381" s="12" t="str">
        <f>'Planning Engine'!D1097</f>
        <v>kg</v>
      </c>
      <c r="E381" s="95">
        <f>'Planning Engine'!E1097</f>
        <v>128.80000000000004</v>
      </c>
      <c r="F381" s="95">
        <f>'Planning Engine'!F1097</f>
        <v>0</v>
      </c>
      <c r="G381" s="95">
        <f>'Planning Engine'!G1097</f>
        <v>0</v>
      </c>
      <c r="H381" s="99">
        <f t="shared" si="10"/>
        <v>0</v>
      </c>
      <c r="I381" s="95">
        <f>'Planning Engine'!H1097</f>
        <v>128.80000000000004</v>
      </c>
      <c r="J381" s="96">
        <f ca="1">'Planning Engine'!J1097</f>
        <v>999</v>
      </c>
      <c r="K381" s="95">
        <f ca="1">'Planning Engine'!K1097</f>
        <v>0</v>
      </c>
      <c r="L381" s="12" t="str">
        <f ca="1">'Planning Engine'!L1097</f>
        <v>Overstock</v>
      </c>
      <c r="M381" s="93">
        <f>'Planning Engine'!S1097</f>
        <v>46508</v>
      </c>
      <c r="N381" s="95">
        <f>'Planning Engine'!T1097</f>
        <v>0</v>
      </c>
      <c r="O381" s="98" t="s">
        <v>2129</v>
      </c>
      <c r="P381" s="4" t="str">
        <f t="shared" ca="1" si="11"/>
        <v>Defer receipts</v>
      </c>
    </row>
    <row r="382" spans="1:16" ht="13" customHeight="1" x14ac:dyDescent="0.35">
      <c r="A382" s="93">
        <v>46661</v>
      </c>
      <c r="B382" s="61" t="s">
        <v>56</v>
      </c>
      <c r="C382" s="12" t="str">
        <f>'Planning Engine'!C1098</f>
        <v>Raw Material</v>
      </c>
      <c r="D382" s="12" t="str">
        <f>'Planning Engine'!D1098</f>
        <v>kg</v>
      </c>
      <c r="E382" s="95">
        <f>'Planning Engine'!E1098</f>
        <v>128.80000000000004</v>
      </c>
      <c r="F382" s="95">
        <f>'Planning Engine'!F1098</f>
        <v>0</v>
      </c>
      <c r="G382" s="95">
        <f>'Planning Engine'!G1098</f>
        <v>0</v>
      </c>
      <c r="H382" s="95">
        <f t="shared" si="10"/>
        <v>0</v>
      </c>
      <c r="I382" s="95">
        <f>'Planning Engine'!H1098</f>
        <v>128.80000000000004</v>
      </c>
      <c r="J382" s="96">
        <f ca="1">'Planning Engine'!J1098</f>
        <v>999</v>
      </c>
      <c r="K382" s="95">
        <f ca="1">'Planning Engine'!K1098</f>
        <v>0</v>
      </c>
      <c r="L382" s="12" t="str">
        <f ca="1">'Planning Engine'!L1098</f>
        <v>Overstock</v>
      </c>
      <c r="M382" s="93">
        <f>'Planning Engine'!S1098</f>
        <v>46539</v>
      </c>
      <c r="N382" s="95">
        <f>'Planning Engine'!T1098</f>
        <v>0</v>
      </c>
      <c r="O382" s="94" t="s">
        <v>2130</v>
      </c>
      <c r="P382" s="12" t="str">
        <f t="shared" ca="1" si="11"/>
        <v>Defer receipts</v>
      </c>
    </row>
    <row r="383" spans="1:16" ht="13" customHeight="1" x14ac:dyDescent="0.35">
      <c r="A383" s="97">
        <v>46692</v>
      </c>
      <c r="B383" s="53" t="s">
        <v>56</v>
      </c>
      <c r="C383" s="12" t="str">
        <f>'Planning Engine'!C1099</f>
        <v>Raw Material</v>
      </c>
      <c r="D383" s="12" t="str">
        <f>'Planning Engine'!D1099</f>
        <v>kg</v>
      </c>
      <c r="E383" s="95">
        <f>'Planning Engine'!E1099</f>
        <v>128.80000000000004</v>
      </c>
      <c r="F383" s="95">
        <f>'Planning Engine'!F1099</f>
        <v>0</v>
      </c>
      <c r="G383" s="95">
        <f>'Planning Engine'!G1099</f>
        <v>0</v>
      </c>
      <c r="H383" s="99">
        <f t="shared" si="10"/>
        <v>0</v>
      </c>
      <c r="I383" s="95">
        <f>'Planning Engine'!H1099</f>
        <v>128.80000000000004</v>
      </c>
      <c r="J383" s="96">
        <f ca="1">'Planning Engine'!J1099</f>
        <v>999</v>
      </c>
      <c r="K383" s="95">
        <f ca="1">'Planning Engine'!K1099</f>
        <v>0</v>
      </c>
      <c r="L383" s="12" t="str">
        <f ca="1">'Planning Engine'!L1099</f>
        <v>Overstock</v>
      </c>
      <c r="M383" s="93">
        <f>'Planning Engine'!S1099</f>
        <v>46569</v>
      </c>
      <c r="N383" s="95">
        <f>'Planning Engine'!T1099</f>
        <v>0</v>
      </c>
      <c r="O383" s="98" t="s">
        <v>2131</v>
      </c>
      <c r="P383" s="4" t="str">
        <f t="shared" ca="1" si="11"/>
        <v>Defer receipts</v>
      </c>
    </row>
    <row r="384" spans="1:16" ht="13" customHeight="1" x14ac:dyDescent="0.35">
      <c r="A384" s="93">
        <v>46722</v>
      </c>
      <c r="B384" s="61" t="s">
        <v>56</v>
      </c>
      <c r="C384" s="12" t="str">
        <f>'Planning Engine'!C1100</f>
        <v>Raw Material</v>
      </c>
      <c r="D384" s="12" t="str">
        <f>'Planning Engine'!D1100</f>
        <v>kg</v>
      </c>
      <c r="E384" s="95">
        <f>'Planning Engine'!E1100</f>
        <v>128.80000000000004</v>
      </c>
      <c r="F384" s="95">
        <f>'Planning Engine'!F1100</f>
        <v>0</v>
      </c>
      <c r="G384" s="95">
        <f>'Planning Engine'!G1100</f>
        <v>0</v>
      </c>
      <c r="H384" s="95">
        <f t="shared" si="10"/>
        <v>0</v>
      </c>
      <c r="I384" s="95">
        <f>'Planning Engine'!H1100</f>
        <v>128.80000000000004</v>
      </c>
      <c r="J384" s="96">
        <f ca="1">'Planning Engine'!J1100</f>
        <v>999</v>
      </c>
      <c r="K384" s="95">
        <f ca="1">'Planning Engine'!K1100</f>
        <v>0</v>
      </c>
      <c r="L384" s="12" t="str">
        <f ca="1">'Planning Engine'!L1100</f>
        <v>Overstock</v>
      </c>
      <c r="M384" s="93">
        <f>'Planning Engine'!S1100</f>
        <v>46600</v>
      </c>
      <c r="N384" s="95">
        <f>'Planning Engine'!T1100</f>
        <v>0</v>
      </c>
      <c r="O384" s="94" t="s">
        <v>2132</v>
      </c>
      <c r="P384" s="12" t="str">
        <f t="shared" ca="1" si="11"/>
        <v>Defer receipts</v>
      </c>
    </row>
    <row r="385" spans="1:16" ht="13" customHeight="1" x14ac:dyDescent="0.35">
      <c r="A385" s="97">
        <v>46753</v>
      </c>
      <c r="B385" s="53" t="s">
        <v>56</v>
      </c>
      <c r="C385" s="12" t="str">
        <f>'Planning Engine'!C1101</f>
        <v>Raw Material</v>
      </c>
      <c r="D385" s="12" t="str">
        <f>'Planning Engine'!D1101</f>
        <v>kg</v>
      </c>
      <c r="E385" s="95">
        <f>'Planning Engine'!E1101</f>
        <v>128.80000000000004</v>
      </c>
      <c r="F385" s="95">
        <f>'Planning Engine'!F1101</f>
        <v>0</v>
      </c>
      <c r="G385" s="95">
        <f>'Planning Engine'!G1101</f>
        <v>0</v>
      </c>
      <c r="H385" s="99">
        <f t="shared" si="10"/>
        <v>0</v>
      </c>
      <c r="I385" s="95">
        <f>'Planning Engine'!H1101</f>
        <v>128.80000000000004</v>
      </c>
      <c r="J385" s="96">
        <f ca="1">'Planning Engine'!J1101</f>
        <v>999</v>
      </c>
      <c r="K385" s="95">
        <f ca="1">'Planning Engine'!K1101</f>
        <v>0</v>
      </c>
      <c r="L385" s="12" t="str">
        <f ca="1">'Planning Engine'!L1101</f>
        <v>Overstock</v>
      </c>
      <c r="M385" s="93">
        <f>'Planning Engine'!S1101</f>
        <v>46631</v>
      </c>
      <c r="N385" s="95">
        <f>'Planning Engine'!T1101</f>
        <v>0</v>
      </c>
      <c r="O385" s="98" t="s">
        <v>2133</v>
      </c>
      <c r="P385" s="4" t="str">
        <f t="shared" ca="1" si="11"/>
        <v>Defer receipts</v>
      </c>
    </row>
    <row r="386" spans="1:16" ht="13" customHeight="1" x14ac:dyDescent="0.35">
      <c r="A386" s="93">
        <v>46784</v>
      </c>
      <c r="B386" s="61" t="s">
        <v>56</v>
      </c>
      <c r="C386" s="12" t="str">
        <f>'Planning Engine'!C1102</f>
        <v>Raw Material</v>
      </c>
      <c r="D386" s="12" t="str">
        <f>'Planning Engine'!D1102</f>
        <v>kg</v>
      </c>
      <c r="E386" s="95">
        <f>'Planning Engine'!E1102</f>
        <v>128.80000000000004</v>
      </c>
      <c r="F386" s="95">
        <f>'Planning Engine'!F1102</f>
        <v>0</v>
      </c>
      <c r="G386" s="95">
        <f>'Planning Engine'!G1102</f>
        <v>0</v>
      </c>
      <c r="H386" s="95">
        <f t="shared" si="10"/>
        <v>0</v>
      </c>
      <c r="I386" s="95">
        <f>'Planning Engine'!H1102</f>
        <v>128.80000000000004</v>
      </c>
      <c r="J386" s="96">
        <f ca="1">'Planning Engine'!J1102</f>
        <v>999</v>
      </c>
      <c r="K386" s="95">
        <f ca="1">'Planning Engine'!K1102</f>
        <v>0</v>
      </c>
      <c r="L386" s="12" t="str">
        <f ca="1">'Planning Engine'!L1102</f>
        <v>Overstock</v>
      </c>
      <c r="M386" s="93">
        <f>'Planning Engine'!S1102</f>
        <v>46661</v>
      </c>
      <c r="N386" s="95">
        <f>'Planning Engine'!T1102</f>
        <v>0</v>
      </c>
      <c r="O386" s="94" t="s">
        <v>2134</v>
      </c>
      <c r="P386" s="12" t="str">
        <f t="shared" ca="1" si="11"/>
        <v>Defer receipts</v>
      </c>
    </row>
    <row r="387" spans="1:16" ht="13" customHeight="1" x14ac:dyDescent="0.35">
      <c r="A387" s="97">
        <v>46813</v>
      </c>
      <c r="B387" s="53" t="s">
        <v>56</v>
      </c>
      <c r="C387" s="12" t="str">
        <f>'Planning Engine'!C1103</f>
        <v>Raw Material</v>
      </c>
      <c r="D387" s="12" t="str">
        <f>'Planning Engine'!D1103</f>
        <v>kg</v>
      </c>
      <c r="E387" s="95">
        <f>'Planning Engine'!E1103</f>
        <v>128.80000000000004</v>
      </c>
      <c r="F387" s="95">
        <f>'Planning Engine'!F1103</f>
        <v>0</v>
      </c>
      <c r="G387" s="95">
        <f>'Planning Engine'!G1103</f>
        <v>0</v>
      </c>
      <c r="H387" s="99">
        <f t="shared" si="10"/>
        <v>0</v>
      </c>
      <c r="I387" s="95">
        <f>'Planning Engine'!H1103</f>
        <v>128.80000000000004</v>
      </c>
      <c r="J387" s="96">
        <f ca="1">'Planning Engine'!J1103</f>
        <v>999</v>
      </c>
      <c r="K387" s="95">
        <f ca="1">'Planning Engine'!K1103</f>
        <v>0</v>
      </c>
      <c r="L387" s="12" t="str">
        <f ca="1">'Planning Engine'!L1103</f>
        <v>Overstock</v>
      </c>
      <c r="M387" s="93">
        <f>'Planning Engine'!S1103</f>
        <v>46692</v>
      </c>
      <c r="N387" s="95">
        <f>'Planning Engine'!T1103</f>
        <v>0</v>
      </c>
      <c r="O387" s="98" t="s">
        <v>2135</v>
      </c>
      <c r="P387" s="4" t="str">
        <f t="shared" ca="1" si="11"/>
        <v>Defer receipts</v>
      </c>
    </row>
    <row r="388" spans="1:16" ht="13" customHeight="1" x14ac:dyDescent="0.35">
      <c r="A388" s="93">
        <v>46844</v>
      </c>
      <c r="B388" s="61" t="s">
        <v>56</v>
      </c>
      <c r="C388" s="12" t="str">
        <f>'Planning Engine'!C1104</f>
        <v>Raw Material</v>
      </c>
      <c r="D388" s="12" t="str">
        <f>'Planning Engine'!D1104</f>
        <v>kg</v>
      </c>
      <c r="E388" s="95">
        <f>'Planning Engine'!E1104</f>
        <v>128.80000000000004</v>
      </c>
      <c r="F388" s="95">
        <f>'Planning Engine'!F1104</f>
        <v>0</v>
      </c>
      <c r="G388" s="95">
        <f>'Planning Engine'!G1104</f>
        <v>0</v>
      </c>
      <c r="H388" s="95">
        <f t="shared" ref="H388:H451" si="12">G388-F388</f>
        <v>0</v>
      </c>
      <c r="I388" s="95">
        <f>'Planning Engine'!H1104</f>
        <v>128.80000000000004</v>
      </c>
      <c r="J388" s="96">
        <f ca="1">'Planning Engine'!J1104</f>
        <v>999</v>
      </c>
      <c r="K388" s="95">
        <f ca="1">'Planning Engine'!K1104</f>
        <v>0</v>
      </c>
      <c r="L388" s="12" t="str">
        <f ca="1">'Planning Engine'!L1104</f>
        <v>Overstock</v>
      </c>
      <c r="M388" s="93">
        <f>'Planning Engine'!S1104</f>
        <v>46722</v>
      </c>
      <c r="N388" s="95">
        <f>'Planning Engine'!T1104</f>
        <v>0</v>
      </c>
      <c r="O388" s="94" t="s">
        <v>2136</v>
      </c>
      <c r="P388" s="12" t="str">
        <f t="shared" ref="P388:P451" ca="1" si="13">IFERROR(IF(L388="High","⚠ Expedite / qualify alternate source",IF(L388="Medium","Monitor — plan additional POs",IF(L388="Overstock","Defer receipts","OK"))),"--")</f>
        <v>Defer receipts</v>
      </c>
    </row>
    <row r="389" spans="1:16" ht="13" customHeight="1" x14ac:dyDescent="0.35">
      <c r="A389" s="97">
        <v>46874</v>
      </c>
      <c r="B389" s="53" t="s">
        <v>56</v>
      </c>
      <c r="C389" s="12" t="str">
        <f>'Planning Engine'!C1105</f>
        <v>Raw Material</v>
      </c>
      <c r="D389" s="12" t="str">
        <f>'Planning Engine'!D1105</f>
        <v>kg</v>
      </c>
      <c r="E389" s="95">
        <f>'Planning Engine'!E1105</f>
        <v>128.80000000000004</v>
      </c>
      <c r="F389" s="95">
        <f>'Planning Engine'!F1105</f>
        <v>0</v>
      </c>
      <c r="G389" s="95">
        <f>'Planning Engine'!G1105</f>
        <v>0</v>
      </c>
      <c r="H389" s="99">
        <f t="shared" si="12"/>
        <v>0</v>
      </c>
      <c r="I389" s="95">
        <f>'Planning Engine'!H1105</f>
        <v>128.80000000000004</v>
      </c>
      <c r="J389" s="96">
        <f ca="1">'Planning Engine'!J1105</f>
        <v>999</v>
      </c>
      <c r="K389" s="95">
        <f ca="1">'Planning Engine'!K1105</f>
        <v>0</v>
      </c>
      <c r="L389" s="12" t="str">
        <f ca="1">'Planning Engine'!L1105</f>
        <v>Overstock</v>
      </c>
      <c r="M389" s="93">
        <f>'Planning Engine'!S1105</f>
        <v>46753</v>
      </c>
      <c r="N389" s="95">
        <f>'Planning Engine'!T1105</f>
        <v>0</v>
      </c>
      <c r="O389" s="98" t="s">
        <v>2137</v>
      </c>
      <c r="P389" s="4" t="str">
        <f t="shared" ca="1" si="13"/>
        <v>Defer receipts</v>
      </c>
    </row>
    <row r="390" spans="1:16" ht="13" customHeight="1" x14ac:dyDescent="0.35">
      <c r="A390" s="93">
        <v>46905</v>
      </c>
      <c r="B390" s="61" t="s">
        <v>56</v>
      </c>
      <c r="C390" s="12" t="str">
        <f>'Planning Engine'!C1106</f>
        <v>Raw Material</v>
      </c>
      <c r="D390" s="12" t="str">
        <f>'Planning Engine'!D1106</f>
        <v>kg</v>
      </c>
      <c r="E390" s="95">
        <f>'Planning Engine'!E1106</f>
        <v>128.80000000000004</v>
      </c>
      <c r="F390" s="95">
        <f>'Planning Engine'!F1106</f>
        <v>0</v>
      </c>
      <c r="G390" s="95">
        <f>'Planning Engine'!G1106</f>
        <v>0</v>
      </c>
      <c r="H390" s="95">
        <f t="shared" si="12"/>
        <v>0</v>
      </c>
      <c r="I390" s="95">
        <f>'Planning Engine'!H1106</f>
        <v>128.80000000000004</v>
      </c>
      <c r="J390" s="96">
        <f ca="1">'Planning Engine'!J1106</f>
        <v>999</v>
      </c>
      <c r="K390" s="95">
        <f ca="1">'Planning Engine'!K1106</f>
        <v>0</v>
      </c>
      <c r="L390" s="12" t="str">
        <f ca="1">'Planning Engine'!L1106</f>
        <v>Overstock</v>
      </c>
      <c r="M390" s="93">
        <f>'Planning Engine'!S1106</f>
        <v>46784</v>
      </c>
      <c r="N390" s="95">
        <f>'Planning Engine'!T1106</f>
        <v>0</v>
      </c>
      <c r="O390" s="94" t="s">
        <v>2138</v>
      </c>
      <c r="P390" s="12" t="str">
        <f t="shared" ca="1" si="13"/>
        <v>Defer receipts</v>
      </c>
    </row>
    <row r="391" spans="1:16" ht="13" customHeight="1" x14ac:dyDescent="0.35">
      <c r="A391" s="97">
        <v>46935</v>
      </c>
      <c r="B391" s="53" t="s">
        <v>56</v>
      </c>
      <c r="C391" s="12" t="str">
        <f>'Planning Engine'!C1107</f>
        <v>Raw Material</v>
      </c>
      <c r="D391" s="12" t="str">
        <f>'Planning Engine'!D1107</f>
        <v>kg</v>
      </c>
      <c r="E391" s="95">
        <f>'Planning Engine'!E1107</f>
        <v>128.80000000000004</v>
      </c>
      <c r="F391" s="95">
        <f>'Planning Engine'!F1107</f>
        <v>0</v>
      </c>
      <c r="G391" s="95">
        <f>'Planning Engine'!G1107</f>
        <v>0</v>
      </c>
      <c r="H391" s="99">
        <f t="shared" si="12"/>
        <v>0</v>
      </c>
      <c r="I391" s="95">
        <f>'Planning Engine'!H1107</f>
        <v>128.80000000000004</v>
      </c>
      <c r="J391" s="96">
        <f ca="1">'Planning Engine'!J1107</f>
        <v>999</v>
      </c>
      <c r="K391" s="95">
        <f ca="1">'Planning Engine'!K1107</f>
        <v>0</v>
      </c>
      <c r="L391" s="12" t="str">
        <f ca="1">'Planning Engine'!L1107</f>
        <v>Overstock</v>
      </c>
      <c r="M391" s="93">
        <f>'Planning Engine'!S1107</f>
        <v>46813</v>
      </c>
      <c r="N391" s="95">
        <f>'Planning Engine'!T1107</f>
        <v>0</v>
      </c>
      <c r="O391" s="98" t="s">
        <v>2139</v>
      </c>
      <c r="P391" s="4" t="str">
        <f t="shared" ca="1" si="13"/>
        <v>Defer receipts</v>
      </c>
    </row>
    <row r="392" spans="1:16" ht="13" customHeight="1" x14ac:dyDescent="0.35">
      <c r="A392" s="93">
        <v>46966</v>
      </c>
      <c r="B392" s="61" t="s">
        <v>56</v>
      </c>
      <c r="C392" s="12" t="str">
        <f>'Planning Engine'!C1108</f>
        <v>Raw Material</v>
      </c>
      <c r="D392" s="12" t="str">
        <f>'Planning Engine'!D1108</f>
        <v>kg</v>
      </c>
      <c r="E392" s="95">
        <f>'Planning Engine'!E1108</f>
        <v>128.80000000000004</v>
      </c>
      <c r="F392" s="95">
        <f>'Planning Engine'!F1108</f>
        <v>0</v>
      </c>
      <c r="G392" s="95">
        <f>'Planning Engine'!G1108</f>
        <v>0</v>
      </c>
      <c r="H392" s="95">
        <f t="shared" si="12"/>
        <v>0</v>
      </c>
      <c r="I392" s="95">
        <f>'Planning Engine'!H1108</f>
        <v>128.80000000000004</v>
      </c>
      <c r="J392" s="96">
        <f ca="1">'Planning Engine'!J1108</f>
        <v>999</v>
      </c>
      <c r="K392" s="95">
        <f ca="1">'Planning Engine'!K1108</f>
        <v>0</v>
      </c>
      <c r="L392" s="12" t="str">
        <f ca="1">'Planning Engine'!L1108</f>
        <v>Overstock</v>
      </c>
      <c r="M392" s="93">
        <f>'Planning Engine'!S1108</f>
        <v>46844</v>
      </c>
      <c r="N392" s="95">
        <f>'Planning Engine'!T1108</f>
        <v>0</v>
      </c>
      <c r="O392" s="94" t="s">
        <v>2140</v>
      </c>
      <c r="P392" s="12" t="str">
        <f t="shared" ca="1" si="13"/>
        <v>Defer receipts</v>
      </c>
    </row>
    <row r="393" spans="1:16" ht="13" customHeight="1" x14ac:dyDescent="0.35">
      <c r="A393" s="97">
        <v>46997</v>
      </c>
      <c r="B393" s="53" t="s">
        <v>56</v>
      </c>
      <c r="C393" s="12" t="str">
        <f>'Planning Engine'!C1109</f>
        <v>Raw Material</v>
      </c>
      <c r="D393" s="12" t="str">
        <f>'Planning Engine'!D1109</f>
        <v>kg</v>
      </c>
      <c r="E393" s="95">
        <f>'Planning Engine'!E1109</f>
        <v>128.80000000000004</v>
      </c>
      <c r="F393" s="95">
        <f>'Planning Engine'!F1109</f>
        <v>0</v>
      </c>
      <c r="G393" s="95">
        <f>'Planning Engine'!G1109</f>
        <v>0</v>
      </c>
      <c r="H393" s="99">
        <f t="shared" si="12"/>
        <v>0</v>
      </c>
      <c r="I393" s="95">
        <f>'Planning Engine'!H1109</f>
        <v>128.80000000000004</v>
      </c>
      <c r="J393" s="96">
        <f ca="1">'Planning Engine'!J1109</f>
        <v>999</v>
      </c>
      <c r="K393" s="95">
        <f ca="1">'Planning Engine'!K1109</f>
        <v>0</v>
      </c>
      <c r="L393" s="12" t="str">
        <f ca="1">'Planning Engine'!L1109</f>
        <v>Overstock</v>
      </c>
      <c r="M393" s="93">
        <f>'Planning Engine'!S1109</f>
        <v>46874</v>
      </c>
      <c r="N393" s="95">
        <f>'Planning Engine'!T1109</f>
        <v>0</v>
      </c>
      <c r="O393" s="98" t="s">
        <v>2141</v>
      </c>
      <c r="P393" s="4" t="str">
        <f t="shared" ca="1" si="13"/>
        <v>Defer receipts</v>
      </c>
    </row>
    <row r="394" spans="1:16" ht="13" customHeight="1" x14ac:dyDescent="0.35">
      <c r="A394" s="93">
        <v>47027</v>
      </c>
      <c r="B394" s="61" t="s">
        <v>56</v>
      </c>
      <c r="C394" s="12" t="str">
        <f>'Planning Engine'!C1110</f>
        <v>Raw Material</v>
      </c>
      <c r="D394" s="12" t="str">
        <f>'Planning Engine'!D1110</f>
        <v>kg</v>
      </c>
      <c r="E394" s="95">
        <f>'Planning Engine'!E1110</f>
        <v>128.80000000000004</v>
      </c>
      <c r="F394" s="95">
        <f>'Planning Engine'!F1110</f>
        <v>0</v>
      </c>
      <c r="G394" s="95">
        <f>'Planning Engine'!G1110</f>
        <v>0</v>
      </c>
      <c r="H394" s="95">
        <f t="shared" si="12"/>
        <v>0</v>
      </c>
      <c r="I394" s="95">
        <f>'Planning Engine'!H1110</f>
        <v>128.80000000000004</v>
      </c>
      <c r="J394" s="96">
        <f ca="1">'Planning Engine'!J1110</f>
        <v>999</v>
      </c>
      <c r="K394" s="95">
        <f ca="1">'Planning Engine'!K1110</f>
        <v>0</v>
      </c>
      <c r="L394" s="12" t="str">
        <f ca="1">'Planning Engine'!L1110</f>
        <v>Overstock</v>
      </c>
      <c r="M394" s="93">
        <f>'Planning Engine'!S1110</f>
        <v>46905</v>
      </c>
      <c r="N394" s="95">
        <f>'Planning Engine'!T1110</f>
        <v>0</v>
      </c>
      <c r="O394" s="94" t="s">
        <v>2142</v>
      </c>
      <c r="P394" s="12" t="str">
        <f t="shared" ca="1" si="13"/>
        <v>Defer receipts</v>
      </c>
    </row>
    <row r="395" spans="1:16" ht="13" customHeight="1" x14ac:dyDescent="0.35">
      <c r="A395" s="97">
        <v>47058</v>
      </c>
      <c r="B395" s="53" t="s">
        <v>56</v>
      </c>
      <c r="C395" s="12" t="str">
        <f>'Planning Engine'!C1111</f>
        <v>Raw Material</v>
      </c>
      <c r="D395" s="12" t="str">
        <f>'Planning Engine'!D1111</f>
        <v>kg</v>
      </c>
      <c r="E395" s="95">
        <f>'Planning Engine'!E1111</f>
        <v>128.80000000000004</v>
      </c>
      <c r="F395" s="95">
        <f>'Planning Engine'!F1111</f>
        <v>0</v>
      </c>
      <c r="G395" s="95">
        <f>'Planning Engine'!G1111</f>
        <v>0</v>
      </c>
      <c r="H395" s="99">
        <f t="shared" si="12"/>
        <v>0</v>
      </c>
      <c r="I395" s="95">
        <f>'Planning Engine'!H1111</f>
        <v>128.80000000000004</v>
      </c>
      <c r="J395" s="96">
        <f ca="1">'Planning Engine'!J1111</f>
        <v>999</v>
      </c>
      <c r="K395" s="95">
        <f ca="1">'Planning Engine'!K1111</f>
        <v>0</v>
      </c>
      <c r="L395" s="12" t="str">
        <f ca="1">'Planning Engine'!L1111</f>
        <v>Overstock</v>
      </c>
      <c r="M395" s="93">
        <f>'Planning Engine'!S1111</f>
        <v>46935</v>
      </c>
      <c r="N395" s="95">
        <f>'Planning Engine'!T1111</f>
        <v>0</v>
      </c>
      <c r="O395" s="98" t="s">
        <v>2143</v>
      </c>
      <c r="P395" s="4" t="str">
        <f t="shared" ca="1" si="13"/>
        <v>Defer receipts</v>
      </c>
    </row>
    <row r="396" spans="1:16" ht="13" customHeight="1" x14ac:dyDescent="0.35">
      <c r="A396" s="93">
        <v>47088</v>
      </c>
      <c r="B396" s="61" t="s">
        <v>56</v>
      </c>
      <c r="C396" s="12" t="str">
        <f>'Planning Engine'!C1112</f>
        <v>Raw Material</v>
      </c>
      <c r="D396" s="12" t="str">
        <f>'Planning Engine'!D1112</f>
        <v>kg</v>
      </c>
      <c r="E396" s="95">
        <f>'Planning Engine'!E1112</f>
        <v>128.80000000000004</v>
      </c>
      <c r="F396" s="95">
        <f>'Planning Engine'!F1112</f>
        <v>0</v>
      </c>
      <c r="G396" s="95">
        <f>'Planning Engine'!G1112</f>
        <v>0</v>
      </c>
      <c r="H396" s="95">
        <f t="shared" si="12"/>
        <v>0</v>
      </c>
      <c r="I396" s="95">
        <f>'Planning Engine'!H1112</f>
        <v>128.80000000000004</v>
      </c>
      <c r="J396" s="96">
        <f ca="1">'Planning Engine'!J1112</f>
        <v>999</v>
      </c>
      <c r="K396" s="95">
        <f ca="1">'Planning Engine'!K1112</f>
        <v>0</v>
      </c>
      <c r="L396" s="12" t="str">
        <f ca="1">'Planning Engine'!L1112</f>
        <v>Overstock</v>
      </c>
      <c r="M396" s="93">
        <f>'Planning Engine'!S1112</f>
        <v>46966</v>
      </c>
      <c r="N396" s="95">
        <f>'Planning Engine'!T1112</f>
        <v>0</v>
      </c>
      <c r="O396" s="94" t="s">
        <v>2144</v>
      </c>
      <c r="P396" s="12" t="str">
        <f t="shared" ca="1" si="13"/>
        <v>Defer receipts</v>
      </c>
    </row>
    <row r="397" spans="1:16" ht="13" customHeight="1" x14ac:dyDescent="0.35">
      <c r="A397" s="97">
        <v>47119</v>
      </c>
      <c r="B397" s="53" t="s">
        <v>56</v>
      </c>
      <c r="C397" s="12" t="str">
        <f>'Planning Engine'!C1113</f>
        <v>Raw Material</v>
      </c>
      <c r="D397" s="12" t="str">
        <f>'Planning Engine'!D1113</f>
        <v>kg</v>
      </c>
      <c r="E397" s="95">
        <f>'Planning Engine'!E1113</f>
        <v>128.80000000000004</v>
      </c>
      <c r="F397" s="95">
        <f>'Planning Engine'!F1113</f>
        <v>0</v>
      </c>
      <c r="G397" s="95">
        <f>'Planning Engine'!G1113</f>
        <v>0</v>
      </c>
      <c r="H397" s="99">
        <f t="shared" si="12"/>
        <v>0</v>
      </c>
      <c r="I397" s="95">
        <f>'Planning Engine'!H1113</f>
        <v>128.80000000000004</v>
      </c>
      <c r="J397" s="96">
        <f ca="1">'Planning Engine'!J1113</f>
        <v>999</v>
      </c>
      <c r="K397" s="95">
        <f ca="1">'Planning Engine'!K1113</f>
        <v>0</v>
      </c>
      <c r="L397" s="12" t="str">
        <f ca="1">'Planning Engine'!L1113</f>
        <v>Overstock</v>
      </c>
      <c r="M397" s="93">
        <f>'Planning Engine'!S1113</f>
        <v>46997</v>
      </c>
      <c r="N397" s="95">
        <f>'Planning Engine'!T1113</f>
        <v>0</v>
      </c>
      <c r="O397" s="98" t="s">
        <v>2145</v>
      </c>
      <c r="P397" s="4" t="str">
        <f t="shared" ca="1" si="13"/>
        <v>Defer receipts</v>
      </c>
    </row>
    <row r="398" spans="1:16" ht="13" customHeight="1" x14ac:dyDescent="0.35">
      <c r="A398" s="93">
        <v>47150</v>
      </c>
      <c r="B398" s="61" t="s">
        <v>56</v>
      </c>
      <c r="C398" s="12" t="str">
        <f>'Planning Engine'!C1114</f>
        <v>Raw Material</v>
      </c>
      <c r="D398" s="12" t="str">
        <f>'Planning Engine'!D1114</f>
        <v>kg</v>
      </c>
      <c r="E398" s="95">
        <f>'Planning Engine'!E1114</f>
        <v>128.80000000000004</v>
      </c>
      <c r="F398" s="95">
        <f>'Planning Engine'!F1114</f>
        <v>0</v>
      </c>
      <c r="G398" s="95">
        <f>'Planning Engine'!G1114</f>
        <v>0</v>
      </c>
      <c r="H398" s="95">
        <f t="shared" si="12"/>
        <v>0</v>
      </c>
      <c r="I398" s="95">
        <f>'Planning Engine'!H1114</f>
        <v>128.80000000000004</v>
      </c>
      <c r="J398" s="96">
        <f ca="1">'Planning Engine'!J1114</f>
        <v>999</v>
      </c>
      <c r="K398" s="95">
        <f ca="1">'Planning Engine'!K1114</f>
        <v>0</v>
      </c>
      <c r="L398" s="12" t="str">
        <f ca="1">'Planning Engine'!L1114</f>
        <v>Overstock</v>
      </c>
      <c r="M398" s="93">
        <f>'Planning Engine'!S1114</f>
        <v>47027</v>
      </c>
      <c r="N398" s="95">
        <f>'Planning Engine'!T1114</f>
        <v>0</v>
      </c>
      <c r="O398" s="94" t="s">
        <v>2146</v>
      </c>
      <c r="P398" s="12" t="str">
        <f t="shared" ca="1" si="13"/>
        <v>Defer receipts</v>
      </c>
    </row>
    <row r="399" spans="1:16" ht="13" customHeight="1" x14ac:dyDescent="0.35">
      <c r="A399" s="97">
        <v>47178</v>
      </c>
      <c r="B399" s="53" t="s">
        <v>56</v>
      </c>
      <c r="C399" s="12" t="str">
        <f>'Planning Engine'!C1115</f>
        <v>Raw Material</v>
      </c>
      <c r="D399" s="12" t="str">
        <f>'Planning Engine'!D1115</f>
        <v>kg</v>
      </c>
      <c r="E399" s="95">
        <f>'Planning Engine'!E1115</f>
        <v>128.80000000000004</v>
      </c>
      <c r="F399" s="95">
        <f>'Planning Engine'!F1115</f>
        <v>0</v>
      </c>
      <c r="G399" s="95">
        <f>'Planning Engine'!G1115</f>
        <v>0</v>
      </c>
      <c r="H399" s="99">
        <f t="shared" si="12"/>
        <v>0</v>
      </c>
      <c r="I399" s="95">
        <f>'Planning Engine'!H1115</f>
        <v>128.80000000000004</v>
      </c>
      <c r="J399" s="96">
        <f ca="1">'Planning Engine'!J1115</f>
        <v>999</v>
      </c>
      <c r="K399" s="95">
        <f ca="1">'Planning Engine'!K1115</f>
        <v>0</v>
      </c>
      <c r="L399" s="12" t="str">
        <f ca="1">'Planning Engine'!L1115</f>
        <v>Overstock</v>
      </c>
      <c r="M399" s="93">
        <f>'Planning Engine'!S1115</f>
        <v>47058</v>
      </c>
      <c r="N399" s="95">
        <f>'Planning Engine'!T1115</f>
        <v>0</v>
      </c>
      <c r="O399" s="98" t="s">
        <v>2147</v>
      </c>
      <c r="P399" s="4" t="str">
        <f t="shared" ca="1" si="13"/>
        <v>Defer receipts</v>
      </c>
    </row>
    <row r="400" spans="1:16" ht="13" customHeight="1" x14ac:dyDescent="0.35">
      <c r="A400" s="93">
        <v>47209</v>
      </c>
      <c r="B400" s="61" t="s">
        <v>56</v>
      </c>
      <c r="C400" s="12" t="str">
        <f>'Planning Engine'!C1116</f>
        <v>Raw Material</v>
      </c>
      <c r="D400" s="12" t="str">
        <f>'Planning Engine'!D1116</f>
        <v>kg</v>
      </c>
      <c r="E400" s="95">
        <f>'Planning Engine'!E1116</f>
        <v>128.80000000000004</v>
      </c>
      <c r="F400" s="95">
        <f>'Planning Engine'!F1116</f>
        <v>0</v>
      </c>
      <c r="G400" s="95">
        <f>'Planning Engine'!G1116</f>
        <v>0</v>
      </c>
      <c r="H400" s="95">
        <f t="shared" si="12"/>
        <v>0</v>
      </c>
      <c r="I400" s="95">
        <f>'Planning Engine'!H1116</f>
        <v>128.80000000000004</v>
      </c>
      <c r="J400" s="96">
        <f ca="1">'Planning Engine'!J1116</f>
        <v>999</v>
      </c>
      <c r="K400" s="95">
        <f ca="1">'Planning Engine'!K1116</f>
        <v>0</v>
      </c>
      <c r="L400" s="12" t="str">
        <f ca="1">'Planning Engine'!L1116</f>
        <v>Overstock</v>
      </c>
      <c r="M400" s="93">
        <f>'Planning Engine'!S1116</f>
        <v>47088</v>
      </c>
      <c r="N400" s="95">
        <f>'Planning Engine'!T1116</f>
        <v>0</v>
      </c>
      <c r="O400" s="94" t="s">
        <v>2148</v>
      </c>
      <c r="P400" s="12" t="str">
        <f t="shared" ca="1" si="13"/>
        <v>Defer receipts</v>
      </c>
    </row>
    <row r="401" spans="1:16" ht="13" customHeight="1" x14ac:dyDescent="0.35">
      <c r="A401" s="97">
        <v>47239</v>
      </c>
      <c r="B401" s="53" t="s">
        <v>56</v>
      </c>
      <c r="C401" s="12" t="str">
        <f>'Planning Engine'!C1117</f>
        <v>Raw Material</v>
      </c>
      <c r="D401" s="12" t="str">
        <f>'Planning Engine'!D1117</f>
        <v>kg</v>
      </c>
      <c r="E401" s="95">
        <f>'Planning Engine'!E1117</f>
        <v>128.80000000000004</v>
      </c>
      <c r="F401" s="95">
        <f>'Planning Engine'!F1117</f>
        <v>0</v>
      </c>
      <c r="G401" s="95">
        <f>'Planning Engine'!G1117</f>
        <v>0</v>
      </c>
      <c r="H401" s="99">
        <f t="shared" si="12"/>
        <v>0</v>
      </c>
      <c r="I401" s="95">
        <f>'Planning Engine'!H1117</f>
        <v>128.80000000000004</v>
      </c>
      <c r="J401" s="96">
        <f ca="1">'Planning Engine'!J1117</f>
        <v>999</v>
      </c>
      <c r="K401" s="95">
        <f ca="1">'Planning Engine'!K1117</f>
        <v>0</v>
      </c>
      <c r="L401" s="12" t="str">
        <f ca="1">'Planning Engine'!L1117</f>
        <v>Overstock</v>
      </c>
      <c r="M401" s="93">
        <f>'Planning Engine'!S1117</f>
        <v>47119</v>
      </c>
      <c r="N401" s="95">
        <f>'Planning Engine'!T1117</f>
        <v>0</v>
      </c>
      <c r="O401" s="98" t="s">
        <v>2149</v>
      </c>
      <c r="P401" s="4" t="str">
        <f t="shared" ca="1" si="13"/>
        <v>Defer receipts</v>
      </c>
    </row>
    <row r="402" spans="1:16" ht="13" customHeight="1" x14ac:dyDescent="0.35">
      <c r="A402" s="93">
        <v>47270</v>
      </c>
      <c r="B402" s="61" t="s">
        <v>56</v>
      </c>
      <c r="C402" s="12" t="str">
        <f>'Planning Engine'!C1118</f>
        <v>Raw Material</v>
      </c>
      <c r="D402" s="12" t="str">
        <f>'Planning Engine'!D1118</f>
        <v>kg</v>
      </c>
      <c r="E402" s="95">
        <f>'Planning Engine'!E1118</f>
        <v>128.80000000000004</v>
      </c>
      <c r="F402" s="95">
        <f>'Planning Engine'!F1118</f>
        <v>0</v>
      </c>
      <c r="G402" s="95">
        <f>'Planning Engine'!G1118</f>
        <v>0</v>
      </c>
      <c r="H402" s="95">
        <f t="shared" si="12"/>
        <v>0</v>
      </c>
      <c r="I402" s="95">
        <f>'Planning Engine'!H1118</f>
        <v>128.80000000000004</v>
      </c>
      <c r="J402" s="96">
        <f ca="1">'Planning Engine'!J1118</f>
        <v>999</v>
      </c>
      <c r="K402" s="95">
        <f ca="1">'Planning Engine'!K1118</f>
        <v>0</v>
      </c>
      <c r="L402" s="12" t="str">
        <f ca="1">'Planning Engine'!L1118</f>
        <v>Overstock</v>
      </c>
      <c r="M402" s="93">
        <f>'Planning Engine'!S1118</f>
        <v>47150</v>
      </c>
      <c r="N402" s="95">
        <f>'Planning Engine'!T1118</f>
        <v>0</v>
      </c>
      <c r="O402" s="94" t="s">
        <v>2150</v>
      </c>
      <c r="P402" s="12" t="str">
        <f t="shared" ca="1" si="13"/>
        <v>Defer receipts</v>
      </c>
    </row>
    <row r="403" spans="1:16" ht="13" customHeight="1" x14ac:dyDescent="0.35">
      <c r="A403" s="97">
        <v>47300</v>
      </c>
      <c r="B403" s="53" t="s">
        <v>56</v>
      </c>
      <c r="C403" s="12" t="str">
        <f>'Planning Engine'!C1119</f>
        <v>Raw Material</v>
      </c>
      <c r="D403" s="12" t="str">
        <f>'Planning Engine'!D1119</f>
        <v>kg</v>
      </c>
      <c r="E403" s="95">
        <f>'Planning Engine'!E1119</f>
        <v>128.80000000000004</v>
      </c>
      <c r="F403" s="95">
        <f>'Planning Engine'!F1119</f>
        <v>0</v>
      </c>
      <c r="G403" s="95">
        <f>'Planning Engine'!G1119</f>
        <v>0</v>
      </c>
      <c r="H403" s="99">
        <f t="shared" si="12"/>
        <v>0</v>
      </c>
      <c r="I403" s="95">
        <f>'Planning Engine'!H1119</f>
        <v>128.80000000000004</v>
      </c>
      <c r="J403" s="96">
        <f ca="1">'Planning Engine'!J1119</f>
        <v>999</v>
      </c>
      <c r="K403" s="95">
        <f ca="1">'Planning Engine'!K1119</f>
        <v>0</v>
      </c>
      <c r="L403" s="12" t="str">
        <f ca="1">'Planning Engine'!L1119</f>
        <v>Overstock</v>
      </c>
      <c r="M403" s="93">
        <f>'Planning Engine'!S1119</f>
        <v>47178</v>
      </c>
      <c r="N403" s="95">
        <f>'Planning Engine'!T1119</f>
        <v>0</v>
      </c>
      <c r="O403" s="98" t="s">
        <v>2151</v>
      </c>
      <c r="P403" s="4" t="str">
        <f t="shared" ca="1" si="13"/>
        <v>Defer receipts</v>
      </c>
    </row>
    <row r="404" spans="1:16" ht="13" customHeight="1" x14ac:dyDescent="0.35">
      <c r="A404" s="93">
        <v>47331</v>
      </c>
      <c r="B404" s="61" t="s">
        <v>56</v>
      </c>
      <c r="C404" s="12" t="str">
        <f>'Planning Engine'!C1120</f>
        <v>Raw Material</v>
      </c>
      <c r="D404" s="12" t="str">
        <f>'Planning Engine'!D1120</f>
        <v>kg</v>
      </c>
      <c r="E404" s="95">
        <f>'Planning Engine'!E1120</f>
        <v>128.80000000000004</v>
      </c>
      <c r="F404" s="95">
        <f>'Planning Engine'!F1120</f>
        <v>0</v>
      </c>
      <c r="G404" s="95">
        <f>'Planning Engine'!G1120</f>
        <v>0</v>
      </c>
      <c r="H404" s="95">
        <f t="shared" si="12"/>
        <v>0</v>
      </c>
      <c r="I404" s="95">
        <f>'Planning Engine'!H1120</f>
        <v>128.80000000000004</v>
      </c>
      <c r="J404" s="96">
        <f ca="1">'Planning Engine'!J1120</f>
        <v>999</v>
      </c>
      <c r="K404" s="95">
        <f ca="1">'Planning Engine'!K1120</f>
        <v>0</v>
      </c>
      <c r="L404" s="12" t="str">
        <f ca="1">'Planning Engine'!L1120</f>
        <v>Overstock</v>
      </c>
      <c r="M404" s="93">
        <f>'Planning Engine'!S1120</f>
        <v>47209</v>
      </c>
      <c r="N404" s="95">
        <f>'Planning Engine'!T1120</f>
        <v>0</v>
      </c>
      <c r="O404" s="94" t="s">
        <v>2152</v>
      </c>
      <c r="P404" s="12" t="str">
        <f t="shared" ca="1" si="13"/>
        <v>Defer receipts</v>
      </c>
    </row>
    <row r="405" spans="1:16" ht="13" customHeight="1" x14ac:dyDescent="0.35">
      <c r="A405" s="97">
        <v>47362</v>
      </c>
      <c r="B405" s="53" t="s">
        <v>56</v>
      </c>
      <c r="C405" s="12" t="str">
        <f>'Planning Engine'!C1121</f>
        <v>Raw Material</v>
      </c>
      <c r="D405" s="12" t="str">
        <f>'Planning Engine'!D1121</f>
        <v>kg</v>
      </c>
      <c r="E405" s="95">
        <f>'Planning Engine'!E1121</f>
        <v>128.80000000000004</v>
      </c>
      <c r="F405" s="95">
        <f>'Planning Engine'!F1121</f>
        <v>0</v>
      </c>
      <c r="G405" s="95">
        <f>'Planning Engine'!G1121</f>
        <v>0</v>
      </c>
      <c r="H405" s="99">
        <f t="shared" si="12"/>
        <v>0</v>
      </c>
      <c r="I405" s="95">
        <f>'Planning Engine'!H1121</f>
        <v>128.80000000000004</v>
      </c>
      <c r="J405" s="96">
        <f ca="1">'Planning Engine'!J1121</f>
        <v>999</v>
      </c>
      <c r="K405" s="95">
        <f ca="1">'Planning Engine'!K1121</f>
        <v>0</v>
      </c>
      <c r="L405" s="12" t="str">
        <f ca="1">'Planning Engine'!L1121</f>
        <v>Overstock</v>
      </c>
      <c r="M405" s="93">
        <f>'Planning Engine'!S1121</f>
        <v>47239</v>
      </c>
      <c r="N405" s="95">
        <f>'Planning Engine'!T1121</f>
        <v>0</v>
      </c>
      <c r="O405" s="98" t="s">
        <v>2153</v>
      </c>
      <c r="P405" s="4" t="str">
        <f t="shared" ca="1" si="13"/>
        <v>Defer receipts</v>
      </c>
    </row>
    <row r="406" spans="1:16" ht="13" customHeight="1" x14ac:dyDescent="0.35">
      <c r="A406" s="93">
        <v>47392</v>
      </c>
      <c r="B406" s="61" t="s">
        <v>56</v>
      </c>
      <c r="C406" s="12" t="str">
        <f>'Planning Engine'!C1122</f>
        <v>Raw Material</v>
      </c>
      <c r="D406" s="12" t="str">
        <f>'Planning Engine'!D1122</f>
        <v>kg</v>
      </c>
      <c r="E406" s="95">
        <f>'Planning Engine'!E1122</f>
        <v>128.80000000000004</v>
      </c>
      <c r="F406" s="95">
        <f>'Planning Engine'!F1122</f>
        <v>0</v>
      </c>
      <c r="G406" s="95">
        <f>'Planning Engine'!G1122</f>
        <v>0</v>
      </c>
      <c r="H406" s="95">
        <f t="shared" si="12"/>
        <v>0</v>
      </c>
      <c r="I406" s="95">
        <f>'Planning Engine'!H1122</f>
        <v>128.80000000000004</v>
      </c>
      <c r="J406" s="96">
        <f ca="1">'Planning Engine'!J1122</f>
        <v>999</v>
      </c>
      <c r="K406" s="95">
        <f ca="1">'Planning Engine'!K1122</f>
        <v>0</v>
      </c>
      <c r="L406" s="12" t="str">
        <f ca="1">'Planning Engine'!L1122</f>
        <v>Overstock</v>
      </c>
      <c r="M406" s="93">
        <f>'Planning Engine'!S1122</f>
        <v>47270</v>
      </c>
      <c r="N406" s="95">
        <f>'Planning Engine'!T1122</f>
        <v>0</v>
      </c>
      <c r="O406" s="94" t="s">
        <v>2154</v>
      </c>
      <c r="P406" s="12" t="str">
        <f t="shared" ca="1" si="13"/>
        <v>Defer receipts</v>
      </c>
    </row>
    <row r="407" spans="1:16" ht="13" customHeight="1" x14ac:dyDescent="0.35">
      <c r="A407" s="97">
        <v>47423</v>
      </c>
      <c r="B407" s="53" t="s">
        <v>56</v>
      </c>
      <c r="C407" s="12" t="str">
        <f>'Planning Engine'!C1123</f>
        <v>Raw Material</v>
      </c>
      <c r="D407" s="12" t="str">
        <f>'Planning Engine'!D1123</f>
        <v>kg</v>
      </c>
      <c r="E407" s="95">
        <f>'Planning Engine'!E1123</f>
        <v>128.80000000000004</v>
      </c>
      <c r="F407" s="95">
        <f>'Planning Engine'!F1123</f>
        <v>0</v>
      </c>
      <c r="G407" s="95">
        <f>'Planning Engine'!G1123</f>
        <v>0</v>
      </c>
      <c r="H407" s="99">
        <f t="shared" si="12"/>
        <v>0</v>
      </c>
      <c r="I407" s="95">
        <f>'Planning Engine'!H1123</f>
        <v>128.80000000000004</v>
      </c>
      <c r="J407" s="96">
        <f ca="1">'Planning Engine'!J1123</f>
        <v>999</v>
      </c>
      <c r="K407" s="95">
        <f ca="1">'Planning Engine'!K1123</f>
        <v>0</v>
      </c>
      <c r="L407" s="12" t="str">
        <f ca="1">'Planning Engine'!L1123</f>
        <v>Overstock</v>
      </c>
      <c r="M407" s="93">
        <f>'Planning Engine'!S1123</f>
        <v>47300</v>
      </c>
      <c r="N407" s="95">
        <f>'Planning Engine'!T1123</f>
        <v>0</v>
      </c>
      <c r="O407" s="98" t="s">
        <v>2155</v>
      </c>
      <c r="P407" s="4" t="str">
        <f t="shared" ca="1" si="13"/>
        <v>Defer receipts</v>
      </c>
    </row>
    <row r="408" spans="1:16" ht="13" customHeight="1" x14ac:dyDescent="0.35">
      <c r="A408" s="93">
        <v>47453</v>
      </c>
      <c r="B408" s="61" t="s">
        <v>56</v>
      </c>
      <c r="C408" s="12" t="str">
        <f>'Planning Engine'!C1124</f>
        <v>Raw Material</v>
      </c>
      <c r="D408" s="12" t="str">
        <f>'Planning Engine'!D1124</f>
        <v>kg</v>
      </c>
      <c r="E408" s="95">
        <f>'Planning Engine'!E1124</f>
        <v>128.80000000000004</v>
      </c>
      <c r="F408" s="95">
        <f>'Planning Engine'!F1124</f>
        <v>0</v>
      </c>
      <c r="G408" s="95">
        <f>'Planning Engine'!G1124</f>
        <v>0</v>
      </c>
      <c r="H408" s="95">
        <f t="shared" si="12"/>
        <v>0</v>
      </c>
      <c r="I408" s="95">
        <f>'Planning Engine'!H1124</f>
        <v>128.80000000000004</v>
      </c>
      <c r="J408" s="96">
        <f ca="1">'Planning Engine'!J1124</f>
        <v>999</v>
      </c>
      <c r="K408" s="95">
        <f ca="1">'Planning Engine'!K1124</f>
        <v>0</v>
      </c>
      <c r="L408" s="12" t="str">
        <f ca="1">'Planning Engine'!L1124</f>
        <v>Overstock</v>
      </c>
      <c r="M408" s="93">
        <f>'Planning Engine'!S1124</f>
        <v>47331</v>
      </c>
      <c r="N408" s="95">
        <f>'Planning Engine'!T1124</f>
        <v>0</v>
      </c>
      <c r="O408" s="94" t="s">
        <v>2156</v>
      </c>
      <c r="P408" s="12" t="str">
        <f t="shared" ca="1" si="13"/>
        <v>Defer receipts</v>
      </c>
    </row>
    <row r="409" spans="1:16" ht="13" customHeight="1" x14ac:dyDescent="0.35">
      <c r="A409" s="97">
        <v>47484</v>
      </c>
      <c r="B409" s="53" t="s">
        <v>56</v>
      </c>
      <c r="C409" s="12" t="str">
        <f>'Planning Engine'!C1125</f>
        <v>Raw Material</v>
      </c>
      <c r="D409" s="12" t="str">
        <f>'Planning Engine'!D1125</f>
        <v>kg</v>
      </c>
      <c r="E409" s="95">
        <f>'Planning Engine'!E1125</f>
        <v>128.80000000000004</v>
      </c>
      <c r="F409" s="95">
        <f>'Planning Engine'!F1125</f>
        <v>0</v>
      </c>
      <c r="G409" s="95">
        <f>'Planning Engine'!G1125</f>
        <v>0</v>
      </c>
      <c r="H409" s="99">
        <f t="shared" si="12"/>
        <v>0</v>
      </c>
      <c r="I409" s="95">
        <f>'Planning Engine'!H1125</f>
        <v>128.80000000000004</v>
      </c>
      <c r="J409" s="96">
        <f ca="1">'Planning Engine'!J1125</f>
        <v>999</v>
      </c>
      <c r="K409" s="95">
        <f ca="1">'Planning Engine'!K1125</f>
        <v>0</v>
      </c>
      <c r="L409" s="12" t="str">
        <f ca="1">'Planning Engine'!L1125</f>
        <v>Overstock</v>
      </c>
      <c r="M409" s="93">
        <f>'Planning Engine'!S1125</f>
        <v>47362</v>
      </c>
      <c r="N409" s="95">
        <f>'Planning Engine'!T1125</f>
        <v>0</v>
      </c>
      <c r="O409" s="98" t="s">
        <v>2157</v>
      </c>
      <c r="P409" s="4" t="str">
        <f t="shared" ca="1" si="13"/>
        <v>Defer receipts</v>
      </c>
    </row>
    <row r="410" spans="1:16" ht="13" customHeight="1" x14ac:dyDescent="0.35">
      <c r="A410" s="93">
        <v>47515</v>
      </c>
      <c r="B410" s="61" t="s">
        <v>56</v>
      </c>
      <c r="C410" s="12" t="str">
        <f>'Planning Engine'!C1126</f>
        <v>Raw Material</v>
      </c>
      <c r="D410" s="12" t="str">
        <f>'Planning Engine'!D1126</f>
        <v>kg</v>
      </c>
      <c r="E410" s="95">
        <f>'Planning Engine'!E1126</f>
        <v>128.80000000000004</v>
      </c>
      <c r="F410" s="95">
        <f>'Planning Engine'!F1126</f>
        <v>0</v>
      </c>
      <c r="G410" s="95">
        <f>'Planning Engine'!G1126</f>
        <v>0</v>
      </c>
      <c r="H410" s="95">
        <f t="shared" si="12"/>
        <v>0</v>
      </c>
      <c r="I410" s="95">
        <f>'Planning Engine'!H1126</f>
        <v>128.80000000000004</v>
      </c>
      <c r="J410" s="96">
        <f ca="1">'Planning Engine'!J1126</f>
        <v>999</v>
      </c>
      <c r="K410" s="95">
        <f ca="1">'Planning Engine'!K1126</f>
        <v>0</v>
      </c>
      <c r="L410" s="12" t="str">
        <f ca="1">'Planning Engine'!L1126</f>
        <v>Overstock</v>
      </c>
      <c r="M410" s="93">
        <f>'Planning Engine'!S1126</f>
        <v>47392</v>
      </c>
      <c r="N410" s="95">
        <f>'Planning Engine'!T1126</f>
        <v>0</v>
      </c>
      <c r="O410" s="94" t="s">
        <v>2158</v>
      </c>
      <c r="P410" s="12" t="str">
        <f t="shared" ca="1" si="13"/>
        <v>Defer receipts</v>
      </c>
    </row>
    <row r="411" spans="1:16" ht="13" customHeight="1" x14ac:dyDescent="0.35">
      <c r="A411" s="97">
        <v>47543</v>
      </c>
      <c r="B411" s="53" t="s">
        <v>56</v>
      </c>
      <c r="C411" s="12" t="str">
        <f>'Planning Engine'!C1127</f>
        <v>Raw Material</v>
      </c>
      <c r="D411" s="12" t="str">
        <f>'Planning Engine'!D1127</f>
        <v>kg</v>
      </c>
      <c r="E411" s="95">
        <f>'Planning Engine'!E1127</f>
        <v>128.80000000000004</v>
      </c>
      <c r="F411" s="95">
        <f>'Planning Engine'!F1127</f>
        <v>0</v>
      </c>
      <c r="G411" s="95">
        <f>'Planning Engine'!G1127</f>
        <v>0</v>
      </c>
      <c r="H411" s="99">
        <f t="shared" si="12"/>
        <v>0</v>
      </c>
      <c r="I411" s="95">
        <f>'Planning Engine'!H1127</f>
        <v>128.80000000000004</v>
      </c>
      <c r="J411" s="96">
        <f ca="1">'Planning Engine'!J1127</f>
        <v>999</v>
      </c>
      <c r="K411" s="95">
        <f ca="1">'Planning Engine'!K1127</f>
        <v>0</v>
      </c>
      <c r="L411" s="12" t="str">
        <f ca="1">'Planning Engine'!L1127</f>
        <v>Overstock</v>
      </c>
      <c r="M411" s="93">
        <f>'Planning Engine'!S1127</f>
        <v>47423</v>
      </c>
      <c r="N411" s="95">
        <f>'Planning Engine'!T1127</f>
        <v>0</v>
      </c>
      <c r="O411" s="98" t="s">
        <v>2159</v>
      </c>
      <c r="P411" s="4" t="str">
        <f t="shared" ca="1" si="13"/>
        <v>Defer receipts</v>
      </c>
    </row>
    <row r="412" spans="1:16" ht="13" customHeight="1" x14ac:dyDescent="0.35">
      <c r="A412" s="93">
        <v>47574</v>
      </c>
      <c r="B412" s="61" t="s">
        <v>56</v>
      </c>
      <c r="C412" s="12" t="str">
        <f>'Planning Engine'!C1128</f>
        <v>Raw Material</v>
      </c>
      <c r="D412" s="12" t="str">
        <f>'Planning Engine'!D1128</f>
        <v>kg</v>
      </c>
      <c r="E412" s="95">
        <f>'Planning Engine'!E1128</f>
        <v>128.80000000000004</v>
      </c>
      <c r="F412" s="95">
        <f>'Planning Engine'!F1128</f>
        <v>0</v>
      </c>
      <c r="G412" s="95">
        <f>'Planning Engine'!G1128</f>
        <v>0</v>
      </c>
      <c r="H412" s="95">
        <f t="shared" si="12"/>
        <v>0</v>
      </c>
      <c r="I412" s="95">
        <f>'Planning Engine'!H1128</f>
        <v>128.80000000000004</v>
      </c>
      <c r="J412" s="96">
        <f ca="1">'Planning Engine'!J1128</f>
        <v>999</v>
      </c>
      <c r="K412" s="95">
        <f ca="1">'Planning Engine'!K1128</f>
        <v>0</v>
      </c>
      <c r="L412" s="12" t="str">
        <f ca="1">'Planning Engine'!L1128</f>
        <v>Overstock</v>
      </c>
      <c r="M412" s="93">
        <f>'Planning Engine'!S1128</f>
        <v>47453</v>
      </c>
      <c r="N412" s="95">
        <f>'Planning Engine'!T1128</f>
        <v>0</v>
      </c>
      <c r="O412" s="94" t="s">
        <v>2160</v>
      </c>
      <c r="P412" s="12" t="str">
        <f t="shared" ca="1" si="13"/>
        <v>Defer receipts</v>
      </c>
    </row>
    <row r="413" spans="1:16" ht="13" customHeight="1" x14ac:dyDescent="0.35">
      <c r="A413" s="97">
        <v>47604</v>
      </c>
      <c r="B413" s="53" t="s">
        <v>56</v>
      </c>
      <c r="C413" s="12" t="str">
        <f>'Planning Engine'!C1129</f>
        <v>Raw Material</v>
      </c>
      <c r="D413" s="12" t="str">
        <f>'Planning Engine'!D1129</f>
        <v>kg</v>
      </c>
      <c r="E413" s="95">
        <f>'Planning Engine'!E1129</f>
        <v>128.80000000000004</v>
      </c>
      <c r="F413" s="95">
        <f>'Planning Engine'!F1129</f>
        <v>0</v>
      </c>
      <c r="G413" s="95">
        <f>'Planning Engine'!G1129</f>
        <v>0</v>
      </c>
      <c r="H413" s="99">
        <f t="shared" si="12"/>
        <v>0</v>
      </c>
      <c r="I413" s="95">
        <f>'Planning Engine'!H1129</f>
        <v>128.80000000000004</v>
      </c>
      <c r="J413" s="96">
        <f ca="1">'Planning Engine'!J1129</f>
        <v>999</v>
      </c>
      <c r="K413" s="95">
        <f ca="1">'Planning Engine'!K1129</f>
        <v>0</v>
      </c>
      <c r="L413" s="12" t="str">
        <f ca="1">'Planning Engine'!L1129</f>
        <v>Overstock</v>
      </c>
      <c r="M413" s="93">
        <f>'Planning Engine'!S1129</f>
        <v>47484</v>
      </c>
      <c r="N413" s="95">
        <f>'Planning Engine'!T1129</f>
        <v>0</v>
      </c>
      <c r="O413" s="98" t="s">
        <v>2161</v>
      </c>
      <c r="P413" s="4" t="str">
        <f t="shared" ca="1" si="13"/>
        <v>Defer receipts</v>
      </c>
    </row>
    <row r="414" spans="1:16" ht="13" customHeight="1" x14ac:dyDescent="0.35">
      <c r="A414" s="93">
        <v>47635</v>
      </c>
      <c r="B414" s="61" t="s">
        <v>56</v>
      </c>
      <c r="C414" s="12" t="str">
        <f>'Planning Engine'!C1130</f>
        <v>Raw Material</v>
      </c>
      <c r="D414" s="12" t="str">
        <f>'Planning Engine'!D1130</f>
        <v>kg</v>
      </c>
      <c r="E414" s="95">
        <f>'Planning Engine'!E1130</f>
        <v>128.80000000000004</v>
      </c>
      <c r="F414" s="95">
        <f>'Planning Engine'!F1130</f>
        <v>0</v>
      </c>
      <c r="G414" s="95">
        <f>'Planning Engine'!G1130</f>
        <v>0</v>
      </c>
      <c r="H414" s="95">
        <f t="shared" si="12"/>
        <v>0</v>
      </c>
      <c r="I414" s="95">
        <f>'Planning Engine'!H1130</f>
        <v>128.80000000000004</v>
      </c>
      <c r="J414" s="96">
        <f ca="1">'Planning Engine'!J1130</f>
        <v>999</v>
      </c>
      <c r="K414" s="95">
        <f ca="1">'Planning Engine'!K1130</f>
        <v>0</v>
      </c>
      <c r="L414" s="12" t="str">
        <f ca="1">'Planning Engine'!L1130</f>
        <v>Overstock</v>
      </c>
      <c r="M414" s="93">
        <f>'Planning Engine'!S1130</f>
        <v>47515</v>
      </c>
      <c r="N414" s="95">
        <f>'Planning Engine'!T1130</f>
        <v>0</v>
      </c>
      <c r="O414" s="94" t="s">
        <v>2162</v>
      </c>
      <c r="P414" s="12" t="str">
        <f t="shared" ca="1" si="13"/>
        <v>Defer receipts</v>
      </c>
    </row>
    <row r="415" spans="1:16" ht="13" customHeight="1" x14ac:dyDescent="0.35">
      <c r="A415" s="97">
        <v>47665</v>
      </c>
      <c r="B415" s="53" t="s">
        <v>56</v>
      </c>
      <c r="C415" s="12" t="str">
        <f>'Planning Engine'!C1131</f>
        <v>Raw Material</v>
      </c>
      <c r="D415" s="12" t="str">
        <f>'Planning Engine'!D1131</f>
        <v>kg</v>
      </c>
      <c r="E415" s="95">
        <f>'Planning Engine'!E1131</f>
        <v>128.80000000000004</v>
      </c>
      <c r="F415" s="95">
        <f>'Planning Engine'!F1131</f>
        <v>0</v>
      </c>
      <c r="G415" s="95">
        <f>'Planning Engine'!G1131</f>
        <v>0</v>
      </c>
      <c r="H415" s="99">
        <f t="shared" si="12"/>
        <v>0</v>
      </c>
      <c r="I415" s="95">
        <f>'Planning Engine'!H1131</f>
        <v>128.80000000000004</v>
      </c>
      <c r="J415" s="96">
        <f ca="1">'Planning Engine'!J1131</f>
        <v>999</v>
      </c>
      <c r="K415" s="95">
        <f ca="1">'Planning Engine'!K1131</f>
        <v>0</v>
      </c>
      <c r="L415" s="12" t="str">
        <f ca="1">'Planning Engine'!L1131</f>
        <v>Overstock</v>
      </c>
      <c r="M415" s="93">
        <f>'Planning Engine'!S1131</f>
        <v>47543</v>
      </c>
      <c r="N415" s="95">
        <f>'Planning Engine'!T1131</f>
        <v>0</v>
      </c>
      <c r="O415" s="98" t="s">
        <v>2163</v>
      </c>
      <c r="P415" s="4" t="str">
        <f t="shared" ca="1" si="13"/>
        <v>Defer receipts</v>
      </c>
    </row>
    <row r="416" spans="1:16" ht="13" customHeight="1" x14ac:dyDescent="0.35">
      <c r="A416" s="93">
        <v>47696</v>
      </c>
      <c r="B416" s="61" t="s">
        <v>56</v>
      </c>
      <c r="C416" s="12" t="str">
        <f>'Planning Engine'!C1132</f>
        <v>Raw Material</v>
      </c>
      <c r="D416" s="12" t="str">
        <f>'Planning Engine'!D1132</f>
        <v>kg</v>
      </c>
      <c r="E416" s="95">
        <f>'Planning Engine'!E1132</f>
        <v>128.80000000000004</v>
      </c>
      <c r="F416" s="95">
        <f>'Planning Engine'!F1132</f>
        <v>0</v>
      </c>
      <c r="G416" s="95">
        <f>'Planning Engine'!G1132</f>
        <v>0</v>
      </c>
      <c r="H416" s="95">
        <f t="shared" si="12"/>
        <v>0</v>
      </c>
      <c r="I416" s="95">
        <f>'Planning Engine'!H1132</f>
        <v>128.80000000000004</v>
      </c>
      <c r="J416" s="96">
        <f ca="1">'Planning Engine'!J1132</f>
        <v>999</v>
      </c>
      <c r="K416" s="95">
        <f ca="1">'Planning Engine'!K1132</f>
        <v>0</v>
      </c>
      <c r="L416" s="12" t="str">
        <f ca="1">'Planning Engine'!L1132</f>
        <v>Overstock</v>
      </c>
      <c r="M416" s="93">
        <f>'Planning Engine'!S1132</f>
        <v>47574</v>
      </c>
      <c r="N416" s="95">
        <f>'Planning Engine'!T1132</f>
        <v>0</v>
      </c>
      <c r="O416" s="94" t="s">
        <v>2164</v>
      </c>
      <c r="P416" s="12" t="str">
        <f t="shared" ca="1" si="13"/>
        <v>Defer receipts</v>
      </c>
    </row>
    <row r="417" spans="1:16" ht="13" customHeight="1" x14ac:dyDescent="0.35">
      <c r="A417" s="97">
        <v>47727</v>
      </c>
      <c r="B417" s="53" t="s">
        <v>56</v>
      </c>
      <c r="C417" s="12" t="str">
        <f>'Planning Engine'!C1133</f>
        <v>Raw Material</v>
      </c>
      <c r="D417" s="12" t="str">
        <f>'Planning Engine'!D1133</f>
        <v>kg</v>
      </c>
      <c r="E417" s="95">
        <f>'Planning Engine'!E1133</f>
        <v>128.80000000000004</v>
      </c>
      <c r="F417" s="95">
        <f>'Planning Engine'!F1133</f>
        <v>0</v>
      </c>
      <c r="G417" s="95">
        <f>'Planning Engine'!G1133</f>
        <v>0</v>
      </c>
      <c r="H417" s="99">
        <f t="shared" si="12"/>
        <v>0</v>
      </c>
      <c r="I417" s="95">
        <f>'Planning Engine'!H1133</f>
        <v>128.80000000000004</v>
      </c>
      <c r="J417" s="96">
        <f ca="1">'Planning Engine'!J1133</f>
        <v>999</v>
      </c>
      <c r="K417" s="95">
        <f ca="1">'Planning Engine'!K1133</f>
        <v>0</v>
      </c>
      <c r="L417" s="12" t="str">
        <f ca="1">'Planning Engine'!L1133</f>
        <v>Overstock</v>
      </c>
      <c r="M417" s="93">
        <f>'Planning Engine'!S1133</f>
        <v>47604</v>
      </c>
      <c r="N417" s="95">
        <f>'Planning Engine'!T1133</f>
        <v>0</v>
      </c>
      <c r="O417" s="98" t="s">
        <v>2165</v>
      </c>
      <c r="P417" s="4" t="str">
        <f t="shared" ca="1" si="13"/>
        <v>Defer receipts</v>
      </c>
    </row>
    <row r="418" spans="1:16" ht="13" customHeight="1" x14ac:dyDescent="0.35">
      <c r="A418" s="93">
        <v>47757</v>
      </c>
      <c r="B418" s="61" t="s">
        <v>56</v>
      </c>
      <c r="C418" s="12" t="str">
        <f>'Planning Engine'!C1134</f>
        <v>Raw Material</v>
      </c>
      <c r="D418" s="12" t="str">
        <f>'Planning Engine'!D1134</f>
        <v>kg</v>
      </c>
      <c r="E418" s="95">
        <f>'Planning Engine'!E1134</f>
        <v>128.80000000000004</v>
      </c>
      <c r="F418" s="95">
        <f>'Planning Engine'!F1134</f>
        <v>0</v>
      </c>
      <c r="G418" s="95">
        <f>'Planning Engine'!G1134</f>
        <v>0</v>
      </c>
      <c r="H418" s="95">
        <f t="shared" si="12"/>
        <v>0</v>
      </c>
      <c r="I418" s="95">
        <f>'Planning Engine'!H1134</f>
        <v>128.80000000000004</v>
      </c>
      <c r="J418" s="96">
        <f ca="1">'Planning Engine'!J1134</f>
        <v>999</v>
      </c>
      <c r="K418" s="95">
        <f ca="1">'Planning Engine'!K1134</f>
        <v>0</v>
      </c>
      <c r="L418" s="12" t="str">
        <f ca="1">'Planning Engine'!L1134</f>
        <v>Overstock</v>
      </c>
      <c r="M418" s="93">
        <f>'Planning Engine'!S1134</f>
        <v>47635</v>
      </c>
      <c r="N418" s="95">
        <f>'Planning Engine'!T1134</f>
        <v>0</v>
      </c>
      <c r="O418" s="94" t="s">
        <v>2166</v>
      </c>
      <c r="P418" s="12" t="str">
        <f t="shared" ca="1" si="13"/>
        <v>Defer receipts</v>
      </c>
    </row>
    <row r="419" spans="1:16" ht="13" customHeight="1" x14ac:dyDescent="0.35">
      <c r="A419" s="97">
        <v>47788</v>
      </c>
      <c r="B419" s="53" t="s">
        <v>56</v>
      </c>
      <c r="C419" s="12" t="str">
        <f>'Planning Engine'!C1135</f>
        <v>Raw Material</v>
      </c>
      <c r="D419" s="12" t="str">
        <f>'Planning Engine'!D1135</f>
        <v>kg</v>
      </c>
      <c r="E419" s="95">
        <f>'Planning Engine'!E1135</f>
        <v>128.80000000000004</v>
      </c>
      <c r="F419" s="95">
        <f>'Planning Engine'!F1135</f>
        <v>0</v>
      </c>
      <c r="G419" s="95">
        <f>'Planning Engine'!G1135</f>
        <v>0</v>
      </c>
      <c r="H419" s="99">
        <f t="shared" si="12"/>
        <v>0</v>
      </c>
      <c r="I419" s="95">
        <f>'Planning Engine'!H1135</f>
        <v>128.80000000000004</v>
      </c>
      <c r="J419" s="96">
        <f ca="1">'Planning Engine'!J1135</f>
        <v>999</v>
      </c>
      <c r="K419" s="95">
        <f ca="1">'Planning Engine'!K1135</f>
        <v>0</v>
      </c>
      <c r="L419" s="12" t="str">
        <f ca="1">'Planning Engine'!L1135</f>
        <v>Overstock</v>
      </c>
      <c r="M419" s="93">
        <f>'Planning Engine'!S1135</f>
        <v>47665</v>
      </c>
      <c r="N419" s="95">
        <f>'Planning Engine'!T1135</f>
        <v>0</v>
      </c>
      <c r="O419" s="98" t="s">
        <v>2167</v>
      </c>
      <c r="P419" s="4" t="str">
        <f t="shared" ca="1" si="13"/>
        <v>Defer receipts</v>
      </c>
    </row>
    <row r="420" spans="1:16" ht="13" customHeight="1" x14ac:dyDescent="0.35">
      <c r="A420" s="93">
        <v>47818</v>
      </c>
      <c r="B420" s="61" t="s">
        <v>56</v>
      </c>
      <c r="C420" s="12" t="str">
        <f>'Planning Engine'!C1136</f>
        <v>Raw Material</v>
      </c>
      <c r="D420" s="12" t="str">
        <f>'Planning Engine'!D1136</f>
        <v>kg</v>
      </c>
      <c r="E420" s="95">
        <f>'Planning Engine'!E1136</f>
        <v>128.80000000000004</v>
      </c>
      <c r="F420" s="95">
        <f>'Planning Engine'!F1136</f>
        <v>0</v>
      </c>
      <c r="G420" s="95">
        <f>'Planning Engine'!G1136</f>
        <v>0</v>
      </c>
      <c r="H420" s="95">
        <f t="shared" si="12"/>
        <v>0</v>
      </c>
      <c r="I420" s="95">
        <f>'Planning Engine'!H1136</f>
        <v>128.80000000000004</v>
      </c>
      <c r="J420" s="96">
        <f ca="1">'Planning Engine'!J1136</f>
        <v>999</v>
      </c>
      <c r="K420" s="95">
        <f ca="1">'Planning Engine'!K1136</f>
        <v>0</v>
      </c>
      <c r="L420" s="12" t="str">
        <f ca="1">'Planning Engine'!L1136</f>
        <v>Overstock</v>
      </c>
      <c r="M420" s="93">
        <f>'Planning Engine'!S1136</f>
        <v>47696</v>
      </c>
      <c r="N420" s="95">
        <f>'Planning Engine'!T1136</f>
        <v>0</v>
      </c>
      <c r="O420" s="94" t="s">
        <v>2168</v>
      </c>
      <c r="P420" s="12" t="str">
        <f t="shared" ca="1" si="13"/>
        <v>Defer receipts</v>
      </c>
    </row>
    <row r="421" spans="1:16" ht="13" customHeight="1" x14ac:dyDescent="0.35">
      <c r="A421" s="97">
        <v>47849</v>
      </c>
      <c r="B421" s="53" t="s">
        <v>56</v>
      </c>
      <c r="C421" s="12" t="str">
        <f>'Planning Engine'!C1137</f>
        <v>Raw Material</v>
      </c>
      <c r="D421" s="12" t="str">
        <f>'Planning Engine'!D1137</f>
        <v>kg</v>
      </c>
      <c r="E421" s="95">
        <f>'Planning Engine'!E1137</f>
        <v>128.80000000000004</v>
      </c>
      <c r="F421" s="95">
        <f>'Planning Engine'!F1137</f>
        <v>0</v>
      </c>
      <c r="G421" s="95">
        <f>'Planning Engine'!G1137</f>
        <v>0</v>
      </c>
      <c r="H421" s="99">
        <f t="shared" si="12"/>
        <v>0</v>
      </c>
      <c r="I421" s="95">
        <f>'Planning Engine'!H1137</f>
        <v>128.80000000000004</v>
      </c>
      <c r="J421" s="96">
        <f ca="1">'Planning Engine'!J1137</f>
        <v>999</v>
      </c>
      <c r="K421" s="95">
        <f ca="1">'Planning Engine'!K1137</f>
        <v>0</v>
      </c>
      <c r="L421" s="12" t="str">
        <f ca="1">'Planning Engine'!L1137</f>
        <v>Overstock</v>
      </c>
      <c r="M421" s="93">
        <f>'Planning Engine'!S1137</f>
        <v>47727</v>
      </c>
      <c r="N421" s="95">
        <f>'Planning Engine'!T1137</f>
        <v>0</v>
      </c>
      <c r="O421" s="98" t="s">
        <v>2169</v>
      </c>
      <c r="P421" s="4" t="str">
        <f t="shared" ca="1" si="13"/>
        <v>Defer receipts</v>
      </c>
    </row>
    <row r="422" spans="1:16" ht="13" customHeight="1" x14ac:dyDescent="0.35">
      <c r="A422" s="93">
        <v>47880</v>
      </c>
      <c r="B422" s="61" t="s">
        <v>56</v>
      </c>
      <c r="C422" s="12" t="str">
        <f>'Planning Engine'!C1138</f>
        <v>Raw Material</v>
      </c>
      <c r="D422" s="12" t="str">
        <f>'Planning Engine'!D1138</f>
        <v>kg</v>
      </c>
      <c r="E422" s="95">
        <f>'Planning Engine'!E1138</f>
        <v>128.80000000000004</v>
      </c>
      <c r="F422" s="95">
        <f>'Planning Engine'!F1138</f>
        <v>0</v>
      </c>
      <c r="G422" s="95">
        <f>'Planning Engine'!G1138</f>
        <v>0</v>
      </c>
      <c r="H422" s="95">
        <f t="shared" si="12"/>
        <v>0</v>
      </c>
      <c r="I422" s="95">
        <f>'Planning Engine'!H1138</f>
        <v>128.80000000000004</v>
      </c>
      <c r="J422" s="96">
        <f ca="1">'Planning Engine'!J1138</f>
        <v>999</v>
      </c>
      <c r="K422" s="95">
        <f ca="1">'Planning Engine'!K1138</f>
        <v>0</v>
      </c>
      <c r="L422" s="12" t="str">
        <f ca="1">'Planning Engine'!L1138</f>
        <v>Overstock</v>
      </c>
      <c r="M422" s="93">
        <f>'Planning Engine'!S1138</f>
        <v>47757</v>
      </c>
      <c r="N422" s="95">
        <f>'Planning Engine'!T1138</f>
        <v>0</v>
      </c>
      <c r="O422" s="94" t="s">
        <v>2170</v>
      </c>
      <c r="P422" s="12" t="str">
        <f t="shared" ca="1" si="13"/>
        <v>Defer receipts</v>
      </c>
    </row>
    <row r="423" spans="1:16" ht="13" customHeight="1" x14ac:dyDescent="0.35">
      <c r="A423" s="97">
        <v>47908</v>
      </c>
      <c r="B423" s="53" t="s">
        <v>56</v>
      </c>
      <c r="C423" s="12" t="str">
        <f>'Planning Engine'!C1139</f>
        <v>Raw Material</v>
      </c>
      <c r="D423" s="12" t="str">
        <f>'Planning Engine'!D1139</f>
        <v>kg</v>
      </c>
      <c r="E423" s="95">
        <f>'Planning Engine'!E1139</f>
        <v>128.80000000000004</v>
      </c>
      <c r="F423" s="95">
        <f>'Planning Engine'!F1139</f>
        <v>0</v>
      </c>
      <c r="G423" s="95">
        <f>'Planning Engine'!G1139</f>
        <v>0</v>
      </c>
      <c r="H423" s="99">
        <f t="shared" si="12"/>
        <v>0</v>
      </c>
      <c r="I423" s="95">
        <f>'Planning Engine'!H1139</f>
        <v>128.80000000000004</v>
      </c>
      <c r="J423" s="96">
        <f ca="1">'Planning Engine'!J1139</f>
        <v>999</v>
      </c>
      <c r="K423" s="95">
        <f ca="1">'Planning Engine'!K1139</f>
        <v>0</v>
      </c>
      <c r="L423" s="12" t="str">
        <f ca="1">'Planning Engine'!L1139</f>
        <v>Overstock</v>
      </c>
      <c r="M423" s="93">
        <f>'Planning Engine'!S1139</f>
        <v>47788</v>
      </c>
      <c r="N423" s="95">
        <f>'Planning Engine'!T1139</f>
        <v>0</v>
      </c>
      <c r="O423" s="98" t="s">
        <v>2171</v>
      </c>
      <c r="P423" s="4" t="str">
        <f t="shared" ca="1" si="13"/>
        <v>Defer receipts</v>
      </c>
    </row>
    <row r="424" spans="1:16" ht="13" customHeight="1" x14ac:dyDescent="0.35">
      <c r="A424" s="93">
        <v>47939</v>
      </c>
      <c r="B424" s="61" t="s">
        <v>56</v>
      </c>
      <c r="C424" s="12" t="str">
        <f>'Planning Engine'!C1140</f>
        <v>Raw Material</v>
      </c>
      <c r="D424" s="12" t="str">
        <f>'Planning Engine'!D1140</f>
        <v>kg</v>
      </c>
      <c r="E424" s="95">
        <f>'Planning Engine'!E1140</f>
        <v>128.80000000000004</v>
      </c>
      <c r="F424" s="95">
        <f>'Planning Engine'!F1140</f>
        <v>0</v>
      </c>
      <c r="G424" s="95">
        <f>'Planning Engine'!G1140</f>
        <v>0</v>
      </c>
      <c r="H424" s="95">
        <f t="shared" si="12"/>
        <v>0</v>
      </c>
      <c r="I424" s="95">
        <f>'Planning Engine'!H1140</f>
        <v>128.80000000000004</v>
      </c>
      <c r="J424" s="96">
        <f ca="1">'Planning Engine'!J1140</f>
        <v>999</v>
      </c>
      <c r="K424" s="95">
        <f ca="1">'Planning Engine'!K1140</f>
        <v>0</v>
      </c>
      <c r="L424" s="12" t="str">
        <f ca="1">'Planning Engine'!L1140</f>
        <v>Overstock</v>
      </c>
      <c r="M424" s="93">
        <f>'Planning Engine'!S1140</f>
        <v>47818</v>
      </c>
      <c r="N424" s="95">
        <f>'Planning Engine'!T1140</f>
        <v>0</v>
      </c>
      <c r="O424" s="94" t="s">
        <v>2172</v>
      </c>
      <c r="P424" s="12" t="str">
        <f t="shared" ca="1" si="13"/>
        <v>Defer receipts</v>
      </c>
    </row>
    <row r="425" spans="1:16" ht="13" customHeight="1" x14ac:dyDescent="0.35">
      <c r="A425" s="97">
        <v>47969</v>
      </c>
      <c r="B425" s="53" t="s">
        <v>56</v>
      </c>
      <c r="C425" s="12" t="str">
        <f>'Planning Engine'!C1141</f>
        <v>Raw Material</v>
      </c>
      <c r="D425" s="12" t="str">
        <f>'Planning Engine'!D1141</f>
        <v>kg</v>
      </c>
      <c r="E425" s="95">
        <f>'Planning Engine'!E1141</f>
        <v>128.80000000000004</v>
      </c>
      <c r="F425" s="95">
        <f>'Planning Engine'!F1141</f>
        <v>0</v>
      </c>
      <c r="G425" s="95">
        <f>'Planning Engine'!G1141</f>
        <v>0</v>
      </c>
      <c r="H425" s="99">
        <f t="shared" si="12"/>
        <v>0</v>
      </c>
      <c r="I425" s="95">
        <f>'Planning Engine'!H1141</f>
        <v>128.80000000000004</v>
      </c>
      <c r="J425" s="96">
        <f ca="1">'Planning Engine'!J1141</f>
        <v>999</v>
      </c>
      <c r="K425" s="95">
        <f ca="1">'Planning Engine'!K1141</f>
        <v>0</v>
      </c>
      <c r="L425" s="12" t="str">
        <f ca="1">'Planning Engine'!L1141</f>
        <v>Overstock</v>
      </c>
      <c r="M425" s="93">
        <f>'Planning Engine'!S1141</f>
        <v>47849</v>
      </c>
      <c r="N425" s="95">
        <f>'Planning Engine'!T1141</f>
        <v>0</v>
      </c>
      <c r="O425" s="98" t="s">
        <v>2173</v>
      </c>
      <c r="P425" s="4" t="str">
        <f t="shared" ca="1" si="13"/>
        <v>Defer receipts</v>
      </c>
    </row>
    <row r="426" spans="1:16" ht="13" customHeight="1" x14ac:dyDescent="0.35">
      <c r="A426" s="93">
        <v>48000</v>
      </c>
      <c r="B426" s="61" t="s">
        <v>56</v>
      </c>
      <c r="C426" s="12" t="str">
        <f>'Planning Engine'!C1142</f>
        <v>Raw Material</v>
      </c>
      <c r="D426" s="12" t="str">
        <f>'Planning Engine'!D1142</f>
        <v>kg</v>
      </c>
      <c r="E426" s="95">
        <f>'Planning Engine'!E1142</f>
        <v>128.80000000000004</v>
      </c>
      <c r="F426" s="95">
        <f>'Planning Engine'!F1142</f>
        <v>0</v>
      </c>
      <c r="G426" s="95">
        <f>'Planning Engine'!G1142</f>
        <v>0</v>
      </c>
      <c r="H426" s="95">
        <f t="shared" si="12"/>
        <v>0</v>
      </c>
      <c r="I426" s="95">
        <f>'Planning Engine'!H1142</f>
        <v>128.80000000000004</v>
      </c>
      <c r="J426" s="96">
        <f ca="1">'Planning Engine'!J1142</f>
        <v>999</v>
      </c>
      <c r="K426" s="95">
        <f ca="1">'Planning Engine'!K1142</f>
        <v>0</v>
      </c>
      <c r="L426" s="12" t="str">
        <f ca="1">'Planning Engine'!L1142</f>
        <v>Overstock</v>
      </c>
      <c r="M426" s="93">
        <f>'Planning Engine'!S1142</f>
        <v>47880</v>
      </c>
      <c r="N426" s="95">
        <f>'Planning Engine'!T1142</f>
        <v>0</v>
      </c>
      <c r="O426" s="94" t="s">
        <v>2174</v>
      </c>
      <c r="P426" s="12" t="str">
        <f t="shared" ca="1" si="13"/>
        <v>Defer receipts</v>
      </c>
    </row>
    <row r="427" spans="1:16" ht="13" customHeight="1" x14ac:dyDescent="0.35">
      <c r="A427" s="97">
        <v>48030</v>
      </c>
      <c r="B427" s="53" t="s">
        <v>56</v>
      </c>
      <c r="C427" s="12" t="str">
        <f>'Planning Engine'!C1143</f>
        <v>Raw Material</v>
      </c>
      <c r="D427" s="12" t="str">
        <f>'Planning Engine'!D1143</f>
        <v>kg</v>
      </c>
      <c r="E427" s="95">
        <f>'Planning Engine'!E1143</f>
        <v>128.80000000000004</v>
      </c>
      <c r="F427" s="95">
        <f>'Planning Engine'!F1143</f>
        <v>0</v>
      </c>
      <c r="G427" s="95">
        <f>'Planning Engine'!G1143</f>
        <v>0</v>
      </c>
      <c r="H427" s="99">
        <f t="shared" si="12"/>
        <v>0</v>
      </c>
      <c r="I427" s="95">
        <f>'Planning Engine'!H1143</f>
        <v>128.80000000000004</v>
      </c>
      <c r="J427" s="96">
        <f ca="1">'Planning Engine'!J1143</f>
        <v>999</v>
      </c>
      <c r="K427" s="95">
        <f ca="1">'Planning Engine'!K1143</f>
        <v>0</v>
      </c>
      <c r="L427" s="12" t="str">
        <f ca="1">'Planning Engine'!L1143</f>
        <v>Overstock</v>
      </c>
      <c r="M427" s="93">
        <f>'Planning Engine'!S1143</f>
        <v>47908</v>
      </c>
      <c r="N427" s="95">
        <f>'Planning Engine'!T1143</f>
        <v>0</v>
      </c>
      <c r="O427" s="98" t="s">
        <v>2175</v>
      </c>
      <c r="P427" s="4" t="str">
        <f t="shared" ca="1" si="13"/>
        <v>Defer receipts</v>
      </c>
    </row>
    <row r="428" spans="1:16" ht="13" customHeight="1" x14ac:dyDescent="0.35">
      <c r="A428" s="93">
        <v>48061</v>
      </c>
      <c r="B428" s="61" t="s">
        <v>56</v>
      </c>
      <c r="C428" s="12" t="str">
        <f>'Planning Engine'!C1144</f>
        <v>Raw Material</v>
      </c>
      <c r="D428" s="12" t="str">
        <f>'Planning Engine'!D1144</f>
        <v>kg</v>
      </c>
      <c r="E428" s="95">
        <f>'Planning Engine'!E1144</f>
        <v>128.80000000000004</v>
      </c>
      <c r="F428" s="95">
        <f>'Planning Engine'!F1144</f>
        <v>0</v>
      </c>
      <c r="G428" s="95">
        <f>'Planning Engine'!G1144</f>
        <v>0</v>
      </c>
      <c r="H428" s="95">
        <f t="shared" si="12"/>
        <v>0</v>
      </c>
      <c r="I428" s="95">
        <f>'Planning Engine'!H1144</f>
        <v>128.80000000000004</v>
      </c>
      <c r="J428" s="96">
        <f ca="1">'Planning Engine'!J1144</f>
        <v>999</v>
      </c>
      <c r="K428" s="95">
        <f ca="1">'Planning Engine'!K1144</f>
        <v>0</v>
      </c>
      <c r="L428" s="12" t="str">
        <f ca="1">'Planning Engine'!L1144</f>
        <v>Overstock</v>
      </c>
      <c r="M428" s="93">
        <f>'Planning Engine'!S1144</f>
        <v>47939</v>
      </c>
      <c r="N428" s="95">
        <f>'Planning Engine'!T1144</f>
        <v>0</v>
      </c>
      <c r="O428" s="94" t="s">
        <v>2176</v>
      </c>
      <c r="P428" s="12" t="str">
        <f t="shared" ca="1" si="13"/>
        <v>Defer receipts</v>
      </c>
    </row>
    <row r="429" spans="1:16" ht="13" customHeight="1" x14ac:dyDescent="0.35">
      <c r="A429" s="97">
        <v>48092</v>
      </c>
      <c r="B429" s="53" t="s">
        <v>56</v>
      </c>
      <c r="C429" s="12" t="str">
        <f>'Planning Engine'!C1145</f>
        <v>Raw Material</v>
      </c>
      <c r="D429" s="12" t="str">
        <f>'Planning Engine'!D1145</f>
        <v>kg</v>
      </c>
      <c r="E429" s="95">
        <f>'Planning Engine'!E1145</f>
        <v>128.80000000000004</v>
      </c>
      <c r="F429" s="95">
        <f>'Planning Engine'!F1145</f>
        <v>0</v>
      </c>
      <c r="G429" s="95">
        <f>'Planning Engine'!G1145</f>
        <v>0</v>
      </c>
      <c r="H429" s="99">
        <f t="shared" si="12"/>
        <v>0</v>
      </c>
      <c r="I429" s="95">
        <f>'Planning Engine'!H1145</f>
        <v>128.80000000000004</v>
      </c>
      <c r="J429" s="96">
        <f ca="1">'Planning Engine'!J1145</f>
        <v>999</v>
      </c>
      <c r="K429" s="95">
        <f ca="1">'Planning Engine'!K1145</f>
        <v>0</v>
      </c>
      <c r="L429" s="12" t="str">
        <f ca="1">'Planning Engine'!L1145</f>
        <v>Overstock</v>
      </c>
      <c r="M429" s="93">
        <f>'Planning Engine'!S1145</f>
        <v>47969</v>
      </c>
      <c r="N429" s="95">
        <f>'Planning Engine'!T1145</f>
        <v>0</v>
      </c>
      <c r="O429" s="98" t="s">
        <v>2177</v>
      </c>
      <c r="P429" s="4" t="str">
        <f t="shared" ca="1" si="13"/>
        <v>Defer receipts</v>
      </c>
    </row>
    <row r="430" spans="1:16" ht="13" customHeight="1" x14ac:dyDescent="0.35">
      <c r="A430" s="93">
        <v>48122</v>
      </c>
      <c r="B430" s="61" t="s">
        <v>56</v>
      </c>
      <c r="C430" s="12" t="str">
        <f>'Planning Engine'!C1146</f>
        <v>Raw Material</v>
      </c>
      <c r="D430" s="12" t="str">
        <f>'Planning Engine'!D1146</f>
        <v>kg</v>
      </c>
      <c r="E430" s="95">
        <f>'Planning Engine'!E1146</f>
        <v>128.80000000000004</v>
      </c>
      <c r="F430" s="95">
        <f>'Planning Engine'!F1146</f>
        <v>0</v>
      </c>
      <c r="G430" s="95">
        <f>'Planning Engine'!G1146</f>
        <v>0</v>
      </c>
      <c r="H430" s="95">
        <f t="shared" si="12"/>
        <v>0</v>
      </c>
      <c r="I430" s="95">
        <f>'Planning Engine'!H1146</f>
        <v>128.80000000000004</v>
      </c>
      <c r="J430" s="96">
        <f ca="1">'Planning Engine'!J1146</f>
        <v>999</v>
      </c>
      <c r="K430" s="95">
        <f ca="1">'Planning Engine'!K1146</f>
        <v>0</v>
      </c>
      <c r="L430" s="12" t="str">
        <f ca="1">'Planning Engine'!L1146</f>
        <v>Overstock</v>
      </c>
      <c r="M430" s="93">
        <f>'Planning Engine'!S1146</f>
        <v>48000</v>
      </c>
      <c r="N430" s="95">
        <f>'Planning Engine'!T1146</f>
        <v>0</v>
      </c>
      <c r="O430" s="94" t="s">
        <v>2178</v>
      </c>
      <c r="P430" s="12" t="str">
        <f t="shared" ca="1" si="13"/>
        <v>Defer receipts</v>
      </c>
    </row>
    <row r="431" spans="1:16" ht="13" customHeight="1" x14ac:dyDescent="0.35">
      <c r="A431" s="97">
        <v>48153</v>
      </c>
      <c r="B431" s="53" t="s">
        <v>56</v>
      </c>
      <c r="C431" s="12" t="str">
        <f>'Planning Engine'!C1147</f>
        <v>Raw Material</v>
      </c>
      <c r="D431" s="12" t="str">
        <f>'Planning Engine'!D1147</f>
        <v>kg</v>
      </c>
      <c r="E431" s="95">
        <f>'Planning Engine'!E1147</f>
        <v>128.80000000000004</v>
      </c>
      <c r="F431" s="95">
        <f>'Planning Engine'!F1147</f>
        <v>0</v>
      </c>
      <c r="G431" s="95">
        <f>'Planning Engine'!G1147</f>
        <v>0</v>
      </c>
      <c r="H431" s="99">
        <f t="shared" si="12"/>
        <v>0</v>
      </c>
      <c r="I431" s="95">
        <f>'Planning Engine'!H1147</f>
        <v>128.80000000000004</v>
      </c>
      <c r="J431" s="96">
        <f ca="1">'Planning Engine'!J1147</f>
        <v>999</v>
      </c>
      <c r="K431" s="95">
        <f ca="1">'Planning Engine'!K1147</f>
        <v>0</v>
      </c>
      <c r="L431" s="12" t="str">
        <f ca="1">'Planning Engine'!L1147</f>
        <v>Overstock</v>
      </c>
      <c r="M431" s="93">
        <f>'Planning Engine'!S1147</f>
        <v>48030</v>
      </c>
      <c r="N431" s="95">
        <f>'Planning Engine'!T1147</f>
        <v>0</v>
      </c>
      <c r="O431" s="98" t="s">
        <v>2179</v>
      </c>
      <c r="P431" s="4" t="str">
        <f t="shared" ca="1" si="13"/>
        <v>Defer receipts</v>
      </c>
    </row>
    <row r="432" spans="1:16" ht="13" customHeight="1" x14ac:dyDescent="0.35">
      <c r="A432" s="93">
        <v>48183</v>
      </c>
      <c r="B432" s="61" t="s">
        <v>56</v>
      </c>
      <c r="C432" s="12" t="str">
        <f>'Planning Engine'!C1148</f>
        <v>Raw Material</v>
      </c>
      <c r="D432" s="12" t="str">
        <f>'Planning Engine'!D1148</f>
        <v>kg</v>
      </c>
      <c r="E432" s="95">
        <f>'Planning Engine'!E1148</f>
        <v>128.80000000000004</v>
      </c>
      <c r="F432" s="95">
        <f>'Planning Engine'!F1148</f>
        <v>0</v>
      </c>
      <c r="G432" s="95">
        <f>'Planning Engine'!G1148</f>
        <v>0</v>
      </c>
      <c r="H432" s="95">
        <f t="shared" si="12"/>
        <v>0</v>
      </c>
      <c r="I432" s="95">
        <f>'Planning Engine'!H1148</f>
        <v>128.80000000000004</v>
      </c>
      <c r="J432" s="96">
        <f ca="1">'Planning Engine'!J1148</f>
        <v>999</v>
      </c>
      <c r="K432" s="95">
        <f ca="1">'Planning Engine'!K1148</f>
        <v>0</v>
      </c>
      <c r="L432" s="12" t="str">
        <f ca="1">'Planning Engine'!L1148</f>
        <v>Overstock</v>
      </c>
      <c r="M432" s="93">
        <f>'Planning Engine'!S1148</f>
        <v>48061</v>
      </c>
      <c r="N432" s="95">
        <f>'Planning Engine'!T1148</f>
        <v>0</v>
      </c>
      <c r="O432" s="94" t="s">
        <v>2180</v>
      </c>
      <c r="P432" s="12" t="str">
        <f t="shared" ca="1" si="13"/>
        <v>Defer receipts</v>
      </c>
    </row>
    <row r="433" spans="1:16" ht="13" customHeight="1" x14ac:dyDescent="0.35">
      <c r="A433" s="97">
        <v>48214</v>
      </c>
      <c r="B433" s="53" t="s">
        <v>56</v>
      </c>
      <c r="C433" s="12" t="str">
        <f>'Planning Engine'!C1149</f>
        <v>Raw Material</v>
      </c>
      <c r="D433" s="12" t="str">
        <f>'Planning Engine'!D1149</f>
        <v>kg</v>
      </c>
      <c r="E433" s="95">
        <f>'Planning Engine'!E1149</f>
        <v>128.80000000000004</v>
      </c>
      <c r="F433" s="95">
        <f>'Planning Engine'!F1149</f>
        <v>0</v>
      </c>
      <c r="G433" s="95">
        <f>'Planning Engine'!G1149</f>
        <v>0</v>
      </c>
      <c r="H433" s="99">
        <f t="shared" si="12"/>
        <v>0</v>
      </c>
      <c r="I433" s="95">
        <f>'Planning Engine'!H1149</f>
        <v>128.80000000000004</v>
      </c>
      <c r="J433" s="96">
        <f ca="1">'Planning Engine'!J1149</f>
        <v>999</v>
      </c>
      <c r="K433" s="95">
        <f ca="1">'Planning Engine'!K1149</f>
        <v>0</v>
      </c>
      <c r="L433" s="12" t="str">
        <f ca="1">'Planning Engine'!L1149</f>
        <v>Overstock</v>
      </c>
      <c r="M433" s="93">
        <f>'Planning Engine'!S1149</f>
        <v>48092</v>
      </c>
      <c r="N433" s="95">
        <f>'Planning Engine'!T1149</f>
        <v>0</v>
      </c>
      <c r="O433" s="98" t="s">
        <v>2181</v>
      </c>
      <c r="P433" s="4" t="str">
        <f t="shared" ca="1" si="13"/>
        <v>Defer receipts</v>
      </c>
    </row>
    <row r="434" spans="1:16" ht="13" customHeight="1" x14ac:dyDescent="0.35">
      <c r="A434" s="93">
        <v>48245</v>
      </c>
      <c r="B434" s="61" t="s">
        <v>56</v>
      </c>
      <c r="C434" s="12" t="str">
        <f>'Planning Engine'!C1150</f>
        <v>Raw Material</v>
      </c>
      <c r="D434" s="12" t="str">
        <f>'Planning Engine'!D1150</f>
        <v>kg</v>
      </c>
      <c r="E434" s="95">
        <f>'Planning Engine'!E1150</f>
        <v>128.80000000000004</v>
      </c>
      <c r="F434" s="95">
        <f>'Planning Engine'!F1150</f>
        <v>0</v>
      </c>
      <c r="G434" s="95">
        <f>'Planning Engine'!G1150</f>
        <v>0</v>
      </c>
      <c r="H434" s="95">
        <f t="shared" si="12"/>
        <v>0</v>
      </c>
      <c r="I434" s="95">
        <f>'Planning Engine'!H1150</f>
        <v>128.80000000000004</v>
      </c>
      <c r="J434" s="96">
        <f ca="1">'Planning Engine'!J1150</f>
        <v>999</v>
      </c>
      <c r="K434" s="95">
        <f ca="1">'Planning Engine'!K1150</f>
        <v>0</v>
      </c>
      <c r="L434" s="12" t="str">
        <f ca="1">'Planning Engine'!L1150</f>
        <v>Overstock</v>
      </c>
      <c r="M434" s="93">
        <f>'Planning Engine'!S1150</f>
        <v>48122</v>
      </c>
      <c r="N434" s="95">
        <f>'Planning Engine'!T1150</f>
        <v>0</v>
      </c>
      <c r="O434" s="94" t="s">
        <v>2182</v>
      </c>
      <c r="P434" s="12" t="str">
        <f t="shared" ca="1" si="13"/>
        <v>Defer receipts</v>
      </c>
    </row>
    <row r="435" spans="1:16" ht="13" customHeight="1" x14ac:dyDescent="0.35">
      <c r="A435" s="97">
        <v>48274</v>
      </c>
      <c r="B435" s="53" t="s">
        <v>56</v>
      </c>
      <c r="C435" s="12" t="str">
        <f>'Planning Engine'!C1151</f>
        <v>Raw Material</v>
      </c>
      <c r="D435" s="12" t="str">
        <f>'Planning Engine'!D1151</f>
        <v>kg</v>
      </c>
      <c r="E435" s="95">
        <f>'Planning Engine'!E1151</f>
        <v>128.80000000000004</v>
      </c>
      <c r="F435" s="95">
        <f>'Planning Engine'!F1151</f>
        <v>0</v>
      </c>
      <c r="G435" s="95">
        <f>'Planning Engine'!G1151</f>
        <v>0</v>
      </c>
      <c r="H435" s="99">
        <f t="shared" si="12"/>
        <v>0</v>
      </c>
      <c r="I435" s="95">
        <f>'Planning Engine'!H1151</f>
        <v>128.80000000000004</v>
      </c>
      <c r="J435" s="96">
        <f ca="1">'Planning Engine'!J1151</f>
        <v>999</v>
      </c>
      <c r="K435" s="95">
        <f ca="1">'Planning Engine'!K1151</f>
        <v>0</v>
      </c>
      <c r="L435" s="12" t="str">
        <f ca="1">'Planning Engine'!L1151</f>
        <v>Overstock</v>
      </c>
      <c r="M435" s="93">
        <f>'Planning Engine'!S1151</f>
        <v>48153</v>
      </c>
      <c r="N435" s="95">
        <f>'Planning Engine'!T1151</f>
        <v>0</v>
      </c>
      <c r="O435" s="98" t="s">
        <v>2183</v>
      </c>
      <c r="P435" s="4" t="str">
        <f t="shared" ca="1" si="13"/>
        <v>Defer receipts</v>
      </c>
    </row>
    <row r="436" spans="1:16" ht="13" customHeight="1" x14ac:dyDescent="0.35">
      <c r="A436" s="93">
        <v>48305</v>
      </c>
      <c r="B436" s="61" t="s">
        <v>56</v>
      </c>
      <c r="C436" s="12" t="str">
        <f>'Planning Engine'!C1152</f>
        <v>Raw Material</v>
      </c>
      <c r="D436" s="12" t="str">
        <f>'Planning Engine'!D1152</f>
        <v>kg</v>
      </c>
      <c r="E436" s="95">
        <f>'Planning Engine'!E1152</f>
        <v>128.80000000000004</v>
      </c>
      <c r="F436" s="95">
        <f>'Planning Engine'!F1152</f>
        <v>0</v>
      </c>
      <c r="G436" s="95">
        <f>'Planning Engine'!G1152</f>
        <v>0</v>
      </c>
      <c r="H436" s="95">
        <f t="shared" si="12"/>
        <v>0</v>
      </c>
      <c r="I436" s="95">
        <f>'Planning Engine'!H1152</f>
        <v>128.80000000000004</v>
      </c>
      <c r="J436" s="96">
        <f ca="1">'Planning Engine'!J1152</f>
        <v>999</v>
      </c>
      <c r="K436" s="95">
        <f ca="1">'Planning Engine'!K1152</f>
        <v>0</v>
      </c>
      <c r="L436" s="12" t="str">
        <f ca="1">'Planning Engine'!L1152</f>
        <v>Overstock</v>
      </c>
      <c r="M436" s="93">
        <f>'Planning Engine'!S1152</f>
        <v>48183</v>
      </c>
      <c r="N436" s="95">
        <f>'Planning Engine'!T1152</f>
        <v>0</v>
      </c>
      <c r="O436" s="94" t="s">
        <v>2184</v>
      </c>
      <c r="P436" s="12" t="str">
        <f t="shared" ca="1" si="13"/>
        <v>Defer receipts</v>
      </c>
    </row>
    <row r="437" spans="1:16" ht="13" customHeight="1" x14ac:dyDescent="0.35">
      <c r="A437" s="97">
        <v>48335</v>
      </c>
      <c r="B437" s="53" t="s">
        <v>56</v>
      </c>
      <c r="C437" s="12" t="str">
        <f>'Planning Engine'!C1153</f>
        <v>Raw Material</v>
      </c>
      <c r="D437" s="12" t="str">
        <f>'Planning Engine'!D1153</f>
        <v>kg</v>
      </c>
      <c r="E437" s="95">
        <f>'Planning Engine'!E1153</f>
        <v>128.80000000000004</v>
      </c>
      <c r="F437" s="95">
        <f>'Planning Engine'!F1153</f>
        <v>0</v>
      </c>
      <c r="G437" s="95">
        <f>'Planning Engine'!G1153</f>
        <v>0</v>
      </c>
      <c r="H437" s="99">
        <f t="shared" si="12"/>
        <v>0</v>
      </c>
      <c r="I437" s="95">
        <f>'Planning Engine'!H1153</f>
        <v>128.80000000000004</v>
      </c>
      <c r="J437" s="96">
        <f ca="1">'Planning Engine'!J1153</f>
        <v>999</v>
      </c>
      <c r="K437" s="95">
        <f ca="1">'Planning Engine'!K1153</f>
        <v>0</v>
      </c>
      <c r="L437" s="12" t="str">
        <f ca="1">'Planning Engine'!L1153</f>
        <v>Overstock</v>
      </c>
      <c r="M437" s="93">
        <f>'Planning Engine'!S1153</f>
        <v>48214</v>
      </c>
      <c r="N437" s="95">
        <f>'Planning Engine'!T1153</f>
        <v>0</v>
      </c>
      <c r="O437" s="98" t="s">
        <v>2185</v>
      </c>
      <c r="P437" s="4" t="str">
        <f t="shared" ca="1" si="13"/>
        <v>Defer receipts</v>
      </c>
    </row>
    <row r="438" spans="1:16" ht="13" customHeight="1" x14ac:dyDescent="0.35">
      <c r="A438" s="93">
        <v>48366</v>
      </c>
      <c r="B438" s="61" t="s">
        <v>56</v>
      </c>
      <c r="C438" s="12" t="str">
        <f>'Planning Engine'!C1154</f>
        <v>Raw Material</v>
      </c>
      <c r="D438" s="12" t="str">
        <f>'Planning Engine'!D1154</f>
        <v>kg</v>
      </c>
      <c r="E438" s="95">
        <f>'Planning Engine'!E1154</f>
        <v>128.80000000000004</v>
      </c>
      <c r="F438" s="95">
        <f>'Planning Engine'!F1154</f>
        <v>0</v>
      </c>
      <c r="G438" s="95">
        <f>'Planning Engine'!G1154</f>
        <v>0</v>
      </c>
      <c r="H438" s="95">
        <f t="shared" si="12"/>
        <v>0</v>
      </c>
      <c r="I438" s="95">
        <f>'Planning Engine'!H1154</f>
        <v>128.80000000000004</v>
      </c>
      <c r="J438" s="96">
        <f ca="1">'Planning Engine'!J1154</f>
        <v>999</v>
      </c>
      <c r="K438" s="95">
        <f ca="1">'Planning Engine'!K1154</f>
        <v>0</v>
      </c>
      <c r="L438" s="12" t="str">
        <f ca="1">'Planning Engine'!L1154</f>
        <v>Overstock</v>
      </c>
      <c r="M438" s="93">
        <f>'Planning Engine'!S1154</f>
        <v>48245</v>
      </c>
      <c r="N438" s="95">
        <f>'Planning Engine'!T1154</f>
        <v>0</v>
      </c>
      <c r="O438" s="94" t="s">
        <v>2186</v>
      </c>
      <c r="P438" s="12" t="str">
        <f t="shared" ca="1" si="13"/>
        <v>Defer receipts</v>
      </c>
    </row>
    <row r="439" spans="1:16" ht="13" customHeight="1" x14ac:dyDescent="0.35">
      <c r="A439" s="97">
        <v>48396</v>
      </c>
      <c r="B439" s="53" t="s">
        <v>56</v>
      </c>
      <c r="C439" s="12" t="str">
        <f>'Planning Engine'!C1155</f>
        <v>Raw Material</v>
      </c>
      <c r="D439" s="12" t="str">
        <f>'Planning Engine'!D1155</f>
        <v>kg</v>
      </c>
      <c r="E439" s="95">
        <f>'Planning Engine'!E1155</f>
        <v>128.80000000000004</v>
      </c>
      <c r="F439" s="95">
        <f>'Planning Engine'!F1155</f>
        <v>0</v>
      </c>
      <c r="G439" s="95">
        <f>'Planning Engine'!G1155</f>
        <v>0</v>
      </c>
      <c r="H439" s="99">
        <f t="shared" si="12"/>
        <v>0</v>
      </c>
      <c r="I439" s="95">
        <f>'Planning Engine'!H1155</f>
        <v>128.80000000000004</v>
      </c>
      <c r="J439" s="96">
        <f ca="1">'Planning Engine'!J1155</f>
        <v>999</v>
      </c>
      <c r="K439" s="95">
        <f ca="1">'Planning Engine'!K1155</f>
        <v>0</v>
      </c>
      <c r="L439" s="12" t="str">
        <f ca="1">'Planning Engine'!L1155</f>
        <v>Overstock</v>
      </c>
      <c r="M439" s="93">
        <f>'Planning Engine'!S1155</f>
        <v>48274</v>
      </c>
      <c r="N439" s="95">
        <f>'Planning Engine'!T1155</f>
        <v>0</v>
      </c>
      <c r="O439" s="98" t="s">
        <v>2187</v>
      </c>
      <c r="P439" s="4" t="str">
        <f t="shared" ca="1" si="13"/>
        <v>Defer receipts</v>
      </c>
    </row>
    <row r="440" spans="1:16" ht="13" customHeight="1" x14ac:dyDescent="0.35">
      <c r="A440" s="93">
        <v>48427</v>
      </c>
      <c r="B440" s="61" t="s">
        <v>56</v>
      </c>
      <c r="C440" s="12" t="str">
        <f>'Planning Engine'!C1156</f>
        <v>Raw Material</v>
      </c>
      <c r="D440" s="12" t="str">
        <f>'Planning Engine'!D1156</f>
        <v>kg</v>
      </c>
      <c r="E440" s="95">
        <f>'Planning Engine'!E1156</f>
        <v>128.80000000000004</v>
      </c>
      <c r="F440" s="95">
        <f>'Planning Engine'!F1156</f>
        <v>0</v>
      </c>
      <c r="G440" s="95">
        <f>'Planning Engine'!G1156</f>
        <v>0</v>
      </c>
      <c r="H440" s="95">
        <f t="shared" si="12"/>
        <v>0</v>
      </c>
      <c r="I440" s="95">
        <f>'Planning Engine'!H1156</f>
        <v>128.80000000000004</v>
      </c>
      <c r="J440" s="96">
        <f ca="1">'Planning Engine'!J1156</f>
        <v>999</v>
      </c>
      <c r="K440" s="95">
        <f ca="1">'Planning Engine'!K1156</f>
        <v>0</v>
      </c>
      <c r="L440" s="12" t="str">
        <f ca="1">'Planning Engine'!L1156</f>
        <v>Overstock</v>
      </c>
      <c r="M440" s="93">
        <f>'Planning Engine'!S1156</f>
        <v>48305</v>
      </c>
      <c r="N440" s="95">
        <f>'Planning Engine'!T1156</f>
        <v>0</v>
      </c>
      <c r="O440" s="94" t="s">
        <v>2188</v>
      </c>
      <c r="P440" s="12" t="str">
        <f t="shared" ca="1" si="13"/>
        <v>Defer receipts</v>
      </c>
    </row>
    <row r="441" spans="1:16" ht="13" customHeight="1" x14ac:dyDescent="0.35">
      <c r="A441" s="97">
        <v>48458</v>
      </c>
      <c r="B441" s="53" t="s">
        <v>56</v>
      </c>
      <c r="C441" s="12" t="str">
        <f>'Planning Engine'!C1157</f>
        <v>Raw Material</v>
      </c>
      <c r="D441" s="12" t="str">
        <f>'Planning Engine'!D1157</f>
        <v>kg</v>
      </c>
      <c r="E441" s="95">
        <f>'Planning Engine'!E1157</f>
        <v>128.80000000000004</v>
      </c>
      <c r="F441" s="95">
        <f>'Planning Engine'!F1157</f>
        <v>0</v>
      </c>
      <c r="G441" s="95">
        <f>'Planning Engine'!G1157</f>
        <v>0</v>
      </c>
      <c r="H441" s="99">
        <f t="shared" si="12"/>
        <v>0</v>
      </c>
      <c r="I441" s="95">
        <f>'Planning Engine'!H1157</f>
        <v>128.80000000000004</v>
      </c>
      <c r="J441" s="96">
        <f ca="1">'Planning Engine'!J1157</f>
        <v>999</v>
      </c>
      <c r="K441" s="95">
        <f ca="1">'Planning Engine'!K1157</f>
        <v>0</v>
      </c>
      <c r="L441" s="12" t="str">
        <f ca="1">'Planning Engine'!L1157</f>
        <v>Overstock</v>
      </c>
      <c r="M441" s="93">
        <f>'Planning Engine'!S1157</f>
        <v>48335</v>
      </c>
      <c r="N441" s="95">
        <f>'Planning Engine'!T1157</f>
        <v>0</v>
      </c>
      <c r="O441" s="98" t="s">
        <v>2189</v>
      </c>
      <c r="P441" s="4" t="str">
        <f t="shared" ca="1" si="13"/>
        <v>Defer receipts</v>
      </c>
    </row>
    <row r="442" spans="1:16" ht="13" customHeight="1" x14ac:dyDescent="0.35">
      <c r="A442" s="93">
        <v>48488</v>
      </c>
      <c r="B442" s="61" t="s">
        <v>56</v>
      </c>
      <c r="C442" s="12" t="str">
        <f>'Planning Engine'!C1158</f>
        <v>Raw Material</v>
      </c>
      <c r="D442" s="12" t="str">
        <f>'Planning Engine'!D1158</f>
        <v>kg</v>
      </c>
      <c r="E442" s="95">
        <f>'Planning Engine'!E1158</f>
        <v>128.80000000000004</v>
      </c>
      <c r="F442" s="95">
        <f>'Planning Engine'!F1158</f>
        <v>0</v>
      </c>
      <c r="G442" s="95">
        <f>'Planning Engine'!G1158</f>
        <v>0</v>
      </c>
      <c r="H442" s="95">
        <f t="shared" si="12"/>
        <v>0</v>
      </c>
      <c r="I442" s="95">
        <f>'Planning Engine'!H1158</f>
        <v>128.80000000000004</v>
      </c>
      <c r="J442" s="96">
        <f ca="1">'Planning Engine'!J1158</f>
        <v>999</v>
      </c>
      <c r="K442" s="95">
        <f ca="1">'Planning Engine'!K1158</f>
        <v>0</v>
      </c>
      <c r="L442" s="12" t="str">
        <f ca="1">'Planning Engine'!L1158</f>
        <v>Overstock</v>
      </c>
      <c r="M442" s="93">
        <f>'Planning Engine'!S1158</f>
        <v>48366</v>
      </c>
      <c r="N442" s="95">
        <f>'Planning Engine'!T1158</f>
        <v>0</v>
      </c>
      <c r="O442" s="94" t="s">
        <v>2190</v>
      </c>
      <c r="P442" s="12" t="str">
        <f t="shared" ca="1" si="13"/>
        <v>Defer receipts</v>
      </c>
    </row>
    <row r="443" spans="1:16" ht="13" customHeight="1" x14ac:dyDescent="0.35">
      <c r="A443" s="97">
        <v>48519</v>
      </c>
      <c r="B443" s="53" t="s">
        <v>56</v>
      </c>
      <c r="C443" s="12" t="str">
        <f>'Planning Engine'!C1159</f>
        <v>Raw Material</v>
      </c>
      <c r="D443" s="12" t="str">
        <f>'Planning Engine'!D1159</f>
        <v>kg</v>
      </c>
      <c r="E443" s="95">
        <f>'Planning Engine'!E1159</f>
        <v>128.80000000000004</v>
      </c>
      <c r="F443" s="95">
        <f>'Planning Engine'!F1159</f>
        <v>0</v>
      </c>
      <c r="G443" s="95">
        <f>'Planning Engine'!G1159</f>
        <v>0</v>
      </c>
      <c r="H443" s="99">
        <f t="shared" si="12"/>
        <v>0</v>
      </c>
      <c r="I443" s="95">
        <f>'Planning Engine'!H1159</f>
        <v>128.80000000000004</v>
      </c>
      <c r="J443" s="96">
        <f ca="1">'Planning Engine'!J1159</f>
        <v>999</v>
      </c>
      <c r="K443" s="95">
        <f ca="1">'Planning Engine'!K1159</f>
        <v>0</v>
      </c>
      <c r="L443" s="12" t="str">
        <f ca="1">'Planning Engine'!L1159</f>
        <v>Overstock</v>
      </c>
      <c r="M443" s="93">
        <f>'Planning Engine'!S1159</f>
        <v>48396</v>
      </c>
      <c r="N443" s="95">
        <f>'Planning Engine'!T1159</f>
        <v>0</v>
      </c>
      <c r="O443" s="98" t="s">
        <v>2191</v>
      </c>
      <c r="P443" s="4" t="str">
        <f t="shared" ca="1" si="13"/>
        <v>Defer receipts</v>
      </c>
    </row>
    <row r="444" spans="1:16" ht="13" customHeight="1" x14ac:dyDescent="0.35">
      <c r="A444" s="93">
        <v>48549</v>
      </c>
      <c r="B444" s="61" t="s">
        <v>56</v>
      </c>
      <c r="C444" s="12" t="str">
        <f>'Planning Engine'!C1160</f>
        <v>Raw Material</v>
      </c>
      <c r="D444" s="12" t="str">
        <f>'Planning Engine'!D1160</f>
        <v>kg</v>
      </c>
      <c r="E444" s="95">
        <f>'Planning Engine'!E1160</f>
        <v>128.80000000000004</v>
      </c>
      <c r="F444" s="95">
        <f>'Planning Engine'!F1160</f>
        <v>0</v>
      </c>
      <c r="G444" s="95">
        <f>'Planning Engine'!G1160</f>
        <v>0</v>
      </c>
      <c r="H444" s="95">
        <f t="shared" si="12"/>
        <v>0</v>
      </c>
      <c r="I444" s="95">
        <f>'Planning Engine'!H1160</f>
        <v>128.80000000000004</v>
      </c>
      <c r="J444" s="96">
        <f ca="1">'Planning Engine'!J1160</f>
        <v>999</v>
      </c>
      <c r="K444" s="95">
        <f ca="1">'Planning Engine'!K1160</f>
        <v>0</v>
      </c>
      <c r="L444" s="12" t="str">
        <f ca="1">'Planning Engine'!L1160</f>
        <v>Overstock</v>
      </c>
      <c r="M444" s="93">
        <f>'Planning Engine'!S1160</f>
        <v>48427</v>
      </c>
      <c r="N444" s="95">
        <f>'Planning Engine'!T1160</f>
        <v>0</v>
      </c>
      <c r="O444" s="94" t="s">
        <v>2192</v>
      </c>
      <c r="P444" s="12" t="str">
        <f t="shared" ca="1" si="13"/>
        <v>Defer receipts</v>
      </c>
    </row>
    <row r="445" spans="1:16" ht="13" customHeight="1" x14ac:dyDescent="0.35">
      <c r="A445" s="97">
        <v>48580</v>
      </c>
      <c r="B445" s="53" t="s">
        <v>56</v>
      </c>
      <c r="C445" s="12" t="str">
        <f>'Planning Engine'!C1161</f>
        <v>Raw Material</v>
      </c>
      <c r="D445" s="12" t="str">
        <f>'Planning Engine'!D1161</f>
        <v>kg</v>
      </c>
      <c r="E445" s="95">
        <f>'Planning Engine'!E1161</f>
        <v>128.80000000000004</v>
      </c>
      <c r="F445" s="95">
        <f>'Planning Engine'!F1161</f>
        <v>0</v>
      </c>
      <c r="G445" s="95">
        <f>'Planning Engine'!G1161</f>
        <v>0</v>
      </c>
      <c r="H445" s="99">
        <f t="shared" si="12"/>
        <v>0</v>
      </c>
      <c r="I445" s="95">
        <f>'Planning Engine'!H1161</f>
        <v>128.80000000000004</v>
      </c>
      <c r="J445" s="96">
        <f ca="1">'Planning Engine'!J1161</f>
        <v>999</v>
      </c>
      <c r="K445" s="95">
        <f ca="1">'Planning Engine'!K1161</f>
        <v>0</v>
      </c>
      <c r="L445" s="12" t="str">
        <f ca="1">'Planning Engine'!L1161</f>
        <v>Overstock</v>
      </c>
      <c r="M445" s="93">
        <f>'Planning Engine'!S1161</f>
        <v>48458</v>
      </c>
      <c r="N445" s="95">
        <f>'Planning Engine'!T1161</f>
        <v>0</v>
      </c>
      <c r="O445" s="98" t="s">
        <v>2193</v>
      </c>
      <c r="P445" s="4" t="str">
        <f t="shared" ca="1" si="13"/>
        <v>Defer receipts</v>
      </c>
    </row>
    <row r="446" spans="1:16" ht="13" customHeight="1" x14ac:dyDescent="0.35">
      <c r="A446" s="93">
        <v>48611</v>
      </c>
      <c r="B446" s="61" t="s">
        <v>56</v>
      </c>
      <c r="C446" s="12" t="str">
        <f>'Planning Engine'!C1162</f>
        <v>Raw Material</v>
      </c>
      <c r="D446" s="12" t="str">
        <f>'Planning Engine'!D1162</f>
        <v>kg</v>
      </c>
      <c r="E446" s="95">
        <f>'Planning Engine'!E1162</f>
        <v>128.80000000000004</v>
      </c>
      <c r="F446" s="95">
        <f>'Planning Engine'!F1162</f>
        <v>0</v>
      </c>
      <c r="G446" s="95">
        <f>'Planning Engine'!G1162</f>
        <v>0</v>
      </c>
      <c r="H446" s="95">
        <f t="shared" si="12"/>
        <v>0</v>
      </c>
      <c r="I446" s="95">
        <f>'Planning Engine'!H1162</f>
        <v>128.80000000000004</v>
      </c>
      <c r="J446" s="96">
        <f ca="1">'Planning Engine'!J1162</f>
        <v>999</v>
      </c>
      <c r="K446" s="95">
        <f ca="1">'Planning Engine'!K1162</f>
        <v>0</v>
      </c>
      <c r="L446" s="12" t="str">
        <f ca="1">'Planning Engine'!L1162</f>
        <v>Overstock</v>
      </c>
      <c r="M446" s="93">
        <f>'Planning Engine'!S1162</f>
        <v>48488</v>
      </c>
      <c r="N446" s="95">
        <f>'Planning Engine'!T1162</f>
        <v>0</v>
      </c>
      <c r="O446" s="94" t="s">
        <v>2194</v>
      </c>
      <c r="P446" s="12" t="str">
        <f t="shared" ca="1" si="13"/>
        <v>Defer receipts</v>
      </c>
    </row>
    <row r="447" spans="1:16" ht="13" customHeight="1" x14ac:dyDescent="0.35">
      <c r="A447" s="97">
        <v>48639</v>
      </c>
      <c r="B447" s="53" t="s">
        <v>56</v>
      </c>
      <c r="C447" s="12" t="str">
        <f>'Planning Engine'!C1163</f>
        <v>Raw Material</v>
      </c>
      <c r="D447" s="12" t="str">
        <f>'Planning Engine'!D1163</f>
        <v>kg</v>
      </c>
      <c r="E447" s="95">
        <f>'Planning Engine'!E1163</f>
        <v>128.80000000000004</v>
      </c>
      <c r="F447" s="95">
        <f>'Planning Engine'!F1163</f>
        <v>0</v>
      </c>
      <c r="G447" s="95">
        <f>'Planning Engine'!G1163</f>
        <v>0</v>
      </c>
      <c r="H447" s="99">
        <f t="shared" si="12"/>
        <v>0</v>
      </c>
      <c r="I447" s="95">
        <f>'Planning Engine'!H1163</f>
        <v>128.80000000000004</v>
      </c>
      <c r="J447" s="96">
        <f ca="1">'Planning Engine'!J1163</f>
        <v>999</v>
      </c>
      <c r="K447" s="95">
        <f ca="1">'Planning Engine'!K1163</f>
        <v>0</v>
      </c>
      <c r="L447" s="12" t="str">
        <f ca="1">'Planning Engine'!L1163</f>
        <v>Overstock</v>
      </c>
      <c r="M447" s="93">
        <f>'Planning Engine'!S1163</f>
        <v>48519</v>
      </c>
      <c r="N447" s="95">
        <f>'Planning Engine'!T1163</f>
        <v>0</v>
      </c>
      <c r="O447" s="98" t="s">
        <v>2195</v>
      </c>
      <c r="P447" s="4" t="str">
        <f t="shared" ca="1" si="13"/>
        <v>Defer receipts</v>
      </c>
    </row>
    <row r="448" spans="1:16" ht="13" customHeight="1" x14ac:dyDescent="0.35">
      <c r="A448" s="93">
        <v>48670</v>
      </c>
      <c r="B448" s="61" t="s">
        <v>56</v>
      </c>
      <c r="C448" s="12" t="str">
        <f>'Planning Engine'!C1164</f>
        <v>Raw Material</v>
      </c>
      <c r="D448" s="12" t="str">
        <f>'Planning Engine'!D1164</f>
        <v>kg</v>
      </c>
      <c r="E448" s="95">
        <f>'Planning Engine'!E1164</f>
        <v>128.80000000000004</v>
      </c>
      <c r="F448" s="95">
        <f>'Planning Engine'!F1164</f>
        <v>0</v>
      </c>
      <c r="G448" s="95">
        <f>'Planning Engine'!G1164</f>
        <v>0</v>
      </c>
      <c r="H448" s="95">
        <f t="shared" si="12"/>
        <v>0</v>
      </c>
      <c r="I448" s="95">
        <f>'Planning Engine'!H1164</f>
        <v>128.80000000000004</v>
      </c>
      <c r="J448" s="96">
        <f ca="1">'Planning Engine'!J1164</f>
        <v>999</v>
      </c>
      <c r="K448" s="95">
        <f ca="1">'Planning Engine'!K1164</f>
        <v>0</v>
      </c>
      <c r="L448" s="12" t="str">
        <f ca="1">'Planning Engine'!L1164</f>
        <v>Overstock</v>
      </c>
      <c r="M448" s="93">
        <f>'Planning Engine'!S1164</f>
        <v>48549</v>
      </c>
      <c r="N448" s="95">
        <f>'Planning Engine'!T1164</f>
        <v>0</v>
      </c>
      <c r="O448" s="94" t="s">
        <v>2196</v>
      </c>
      <c r="P448" s="12" t="str">
        <f t="shared" ca="1" si="13"/>
        <v>Defer receipts</v>
      </c>
    </row>
    <row r="449" spans="1:16" ht="13" customHeight="1" x14ac:dyDescent="0.35">
      <c r="A449" s="97">
        <v>48700</v>
      </c>
      <c r="B449" s="53" t="s">
        <v>56</v>
      </c>
      <c r="C449" s="12" t="str">
        <f>'Planning Engine'!C1165</f>
        <v>Raw Material</v>
      </c>
      <c r="D449" s="12" t="str">
        <f>'Planning Engine'!D1165</f>
        <v>kg</v>
      </c>
      <c r="E449" s="95">
        <f>'Planning Engine'!E1165</f>
        <v>128.80000000000004</v>
      </c>
      <c r="F449" s="95">
        <f>'Planning Engine'!F1165</f>
        <v>0</v>
      </c>
      <c r="G449" s="95">
        <f>'Planning Engine'!G1165</f>
        <v>0</v>
      </c>
      <c r="H449" s="99">
        <f t="shared" si="12"/>
        <v>0</v>
      </c>
      <c r="I449" s="95">
        <f>'Planning Engine'!H1165</f>
        <v>128.80000000000004</v>
      </c>
      <c r="J449" s="96">
        <f ca="1">'Planning Engine'!J1165</f>
        <v>999</v>
      </c>
      <c r="K449" s="95">
        <f ca="1">'Planning Engine'!K1165</f>
        <v>0</v>
      </c>
      <c r="L449" s="12" t="str">
        <f ca="1">'Planning Engine'!L1165</f>
        <v>Overstock</v>
      </c>
      <c r="M449" s="93">
        <f>'Planning Engine'!S1165</f>
        <v>48580</v>
      </c>
      <c r="N449" s="95">
        <f>'Planning Engine'!T1165</f>
        <v>0</v>
      </c>
      <c r="O449" s="98" t="s">
        <v>2197</v>
      </c>
      <c r="P449" s="4" t="str">
        <f t="shared" ca="1" si="13"/>
        <v>Defer receipts</v>
      </c>
    </row>
    <row r="450" spans="1:16" ht="13" customHeight="1" x14ac:dyDescent="0.35">
      <c r="A450" s="93">
        <v>48731</v>
      </c>
      <c r="B450" s="61" t="s">
        <v>56</v>
      </c>
      <c r="C450" s="12" t="str">
        <f>'Planning Engine'!C1166</f>
        <v>Raw Material</v>
      </c>
      <c r="D450" s="12" t="str">
        <f>'Planning Engine'!D1166</f>
        <v>kg</v>
      </c>
      <c r="E450" s="95">
        <f>'Planning Engine'!E1166</f>
        <v>128.80000000000004</v>
      </c>
      <c r="F450" s="95">
        <f>'Planning Engine'!F1166</f>
        <v>0</v>
      </c>
      <c r="G450" s="95">
        <f>'Planning Engine'!G1166</f>
        <v>0</v>
      </c>
      <c r="H450" s="95">
        <f t="shared" si="12"/>
        <v>0</v>
      </c>
      <c r="I450" s="95">
        <f>'Planning Engine'!H1166</f>
        <v>128.80000000000004</v>
      </c>
      <c r="J450" s="96">
        <f ca="1">'Planning Engine'!J1166</f>
        <v>999</v>
      </c>
      <c r="K450" s="95">
        <f ca="1">'Planning Engine'!K1166</f>
        <v>0</v>
      </c>
      <c r="L450" s="12" t="str">
        <f ca="1">'Planning Engine'!L1166</f>
        <v>Overstock</v>
      </c>
      <c r="M450" s="93">
        <f>'Planning Engine'!S1166</f>
        <v>48611</v>
      </c>
      <c r="N450" s="95">
        <f>'Planning Engine'!T1166</f>
        <v>0</v>
      </c>
      <c r="O450" s="94" t="s">
        <v>2198</v>
      </c>
      <c r="P450" s="12" t="str">
        <f t="shared" ca="1" si="13"/>
        <v>Defer receipts</v>
      </c>
    </row>
    <row r="451" spans="1:16" ht="13" customHeight="1" x14ac:dyDescent="0.35">
      <c r="A451" s="97">
        <v>48761</v>
      </c>
      <c r="B451" s="53" t="s">
        <v>56</v>
      </c>
      <c r="C451" s="12" t="str">
        <f>'Planning Engine'!C1167</f>
        <v>Raw Material</v>
      </c>
      <c r="D451" s="12" t="str">
        <f>'Planning Engine'!D1167</f>
        <v>kg</v>
      </c>
      <c r="E451" s="95">
        <f>'Planning Engine'!E1167</f>
        <v>128.80000000000004</v>
      </c>
      <c r="F451" s="95">
        <f>'Planning Engine'!F1167</f>
        <v>0</v>
      </c>
      <c r="G451" s="95">
        <f>'Planning Engine'!G1167</f>
        <v>0</v>
      </c>
      <c r="H451" s="99">
        <f t="shared" si="12"/>
        <v>0</v>
      </c>
      <c r="I451" s="95">
        <f>'Planning Engine'!H1167</f>
        <v>128.80000000000004</v>
      </c>
      <c r="J451" s="96">
        <f ca="1">'Planning Engine'!J1167</f>
        <v>999</v>
      </c>
      <c r="K451" s="95">
        <f ca="1">'Planning Engine'!K1167</f>
        <v>0</v>
      </c>
      <c r="L451" s="12" t="str">
        <f ca="1">'Planning Engine'!L1167</f>
        <v>Overstock</v>
      </c>
      <c r="M451" s="93">
        <f>'Planning Engine'!S1167</f>
        <v>48639</v>
      </c>
      <c r="N451" s="95">
        <f>'Planning Engine'!T1167</f>
        <v>0</v>
      </c>
      <c r="O451" s="98" t="s">
        <v>2199</v>
      </c>
      <c r="P451" s="4" t="str">
        <f t="shared" ca="1" si="13"/>
        <v>Defer receipts</v>
      </c>
    </row>
    <row r="452" spans="1:16" ht="13" customHeight="1" x14ac:dyDescent="0.35">
      <c r="A452" s="93">
        <v>48792</v>
      </c>
      <c r="B452" s="61" t="s">
        <v>56</v>
      </c>
      <c r="C452" s="12" t="str">
        <f>'Planning Engine'!C1168</f>
        <v>Raw Material</v>
      </c>
      <c r="D452" s="12" t="str">
        <f>'Planning Engine'!D1168</f>
        <v>kg</v>
      </c>
      <c r="E452" s="95">
        <f>'Planning Engine'!E1168</f>
        <v>128.80000000000004</v>
      </c>
      <c r="F452" s="95">
        <f>'Planning Engine'!F1168</f>
        <v>0</v>
      </c>
      <c r="G452" s="95">
        <f>'Planning Engine'!G1168</f>
        <v>0</v>
      </c>
      <c r="H452" s="95">
        <f t="shared" ref="H452:H515" si="14">G452-F452</f>
        <v>0</v>
      </c>
      <c r="I452" s="95">
        <f>'Planning Engine'!H1168</f>
        <v>128.80000000000004</v>
      </c>
      <c r="J452" s="96">
        <f ca="1">'Planning Engine'!J1168</f>
        <v>999</v>
      </c>
      <c r="K452" s="95">
        <f ca="1">'Planning Engine'!K1168</f>
        <v>0</v>
      </c>
      <c r="L452" s="12" t="str">
        <f ca="1">'Planning Engine'!L1168</f>
        <v>Overstock</v>
      </c>
      <c r="M452" s="93">
        <f>'Planning Engine'!S1168</f>
        <v>48670</v>
      </c>
      <c r="N452" s="95">
        <f>'Planning Engine'!T1168</f>
        <v>0</v>
      </c>
      <c r="O452" s="94" t="s">
        <v>2200</v>
      </c>
      <c r="P452" s="12" t="str">
        <f t="shared" ref="P452:P515" ca="1" si="15">IFERROR(IF(L452="High","⚠ Expedite / qualify alternate source",IF(L452="Medium","Monitor — plan additional POs",IF(L452="Overstock","Defer receipts","OK"))),"--")</f>
        <v>Defer receipts</v>
      </c>
    </row>
    <row r="453" spans="1:16" ht="13" customHeight="1" x14ac:dyDescent="0.35">
      <c r="A453" s="97">
        <v>48823</v>
      </c>
      <c r="B453" s="53" t="s">
        <v>56</v>
      </c>
      <c r="C453" s="12" t="str">
        <f>'Planning Engine'!C1169</f>
        <v>Raw Material</v>
      </c>
      <c r="D453" s="12" t="str">
        <f>'Planning Engine'!D1169</f>
        <v>kg</v>
      </c>
      <c r="E453" s="95">
        <f>'Planning Engine'!E1169</f>
        <v>128.80000000000004</v>
      </c>
      <c r="F453" s="95">
        <f>'Planning Engine'!F1169</f>
        <v>0</v>
      </c>
      <c r="G453" s="95">
        <f>'Planning Engine'!G1169</f>
        <v>0</v>
      </c>
      <c r="H453" s="99">
        <f t="shared" si="14"/>
        <v>0</v>
      </c>
      <c r="I453" s="95">
        <f>'Planning Engine'!H1169</f>
        <v>128.80000000000004</v>
      </c>
      <c r="J453" s="96">
        <f ca="1">'Planning Engine'!J1169</f>
        <v>999</v>
      </c>
      <c r="K453" s="95">
        <f ca="1">'Planning Engine'!K1169</f>
        <v>0</v>
      </c>
      <c r="L453" s="12" t="str">
        <f ca="1">'Planning Engine'!L1169</f>
        <v>Overstock</v>
      </c>
      <c r="M453" s="93">
        <f>'Planning Engine'!S1169</f>
        <v>48700</v>
      </c>
      <c r="N453" s="95">
        <f>'Planning Engine'!T1169</f>
        <v>0</v>
      </c>
      <c r="O453" s="98" t="s">
        <v>2201</v>
      </c>
      <c r="P453" s="4" t="str">
        <f t="shared" ca="1" si="15"/>
        <v>Defer receipts</v>
      </c>
    </row>
    <row r="454" spans="1:16" ht="13" customHeight="1" x14ac:dyDescent="0.35">
      <c r="A454" s="93">
        <v>48853</v>
      </c>
      <c r="B454" s="61" t="s">
        <v>56</v>
      </c>
      <c r="C454" s="12" t="str">
        <f>'Planning Engine'!C1170</f>
        <v>Raw Material</v>
      </c>
      <c r="D454" s="12" t="str">
        <f>'Planning Engine'!D1170</f>
        <v>kg</v>
      </c>
      <c r="E454" s="95">
        <f>'Planning Engine'!E1170</f>
        <v>128.80000000000004</v>
      </c>
      <c r="F454" s="95">
        <f>'Planning Engine'!F1170</f>
        <v>0</v>
      </c>
      <c r="G454" s="95">
        <f>'Planning Engine'!G1170</f>
        <v>0</v>
      </c>
      <c r="H454" s="95">
        <f t="shared" si="14"/>
        <v>0</v>
      </c>
      <c r="I454" s="95">
        <f>'Planning Engine'!H1170</f>
        <v>128.80000000000004</v>
      </c>
      <c r="J454" s="96">
        <f ca="1">'Planning Engine'!J1170</f>
        <v>999</v>
      </c>
      <c r="K454" s="95">
        <f ca="1">'Planning Engine'!K1170</f>
        <v>0</v>
      </c>
      <c r="L454" s="12" t="str">
        <f ca="1">'Planning Engine'!L1170</f>
        <v>Overstock</v>
      </c>
      <c r="M454" s="93">
        <f>'Planning Engine'!S1170</f>
        <v>48731</v>
      </c>
      <c r="N454" s="95">
        <f>'Planning Engine'!T1170</f>
        <v>0</v>
      </c>
      <c r="O454" s="94" t="s">
        <v>2202</v>
      </c>
      <c r="P454" s="12" t="str">
        <f t="shared" ca="1" si="15"/>
        <v>Defer receipts</v>
      </c>
    </row>
    <row r="455" spans="1:16" ht="13" customHeight="1" x14ac:dyDescent="0.35">
      <c r="A455" s="97">
        <v>48884</v>
      </c>
      <c r="B455" s="53" t="s">
        <v>56</v>
      </c>
      <c r="C455" s="12" t="str">
        <f>'Planning Engine'!C1171</f>
        <v>Raw Material</v>
      </c>
      <c r="D455" s="12" t="str">
        <f>'Planning Engine'!D1171</f>
        <v>kg</v>
      </c>
      <c r="E455" s="95">
        <f>'Planning Engine'!E1171</f>
        <v>128.80000000000004</v>
      </c>
      <c r="F455" s="95">
        <f>'Planning Engine'!F1171</f>
        <v>0</v>
      </c>
      <c r="G455" s="95">
        <f>'Planning Engine'!G1171</f>
        <v>0</v>
      </c>
      <c r="H455" s="99">
        <f t="shared" si="14"/>
        <v>0</v>
      </c>
      <c r="I455" s="95">
        <f>'Planning Engine'!H1171</f>
        <v>128.80000000000004</v>
      </c>
      <c r="J455" s="96">
        <f ca="1">'Planning Engine'!J1171</f>
        <v>999</v>
      </c>
      <c r="K455" s="95">
        <f ca="1">'Planning Engine'!K1171</f>
        <v>0</v>
      </c>
      <c r="L455" s="12" t="str">
        <f ca="1">'Planning Engine'!L1171</f>
        <v>Overstock</v>
      </c>
      <c r="M455" s="93">
        <f>'Planning Engine'!S1171</f>
        <v>48761</v>
      </c>
      <c r="N455" s="95">
        <f>'Planning Engine'!T1171</f>
        <v>0</v>
      </c>
      <c r="O455" s="98" t="s">
        <v>2203</v>
      </c>
      <c r="P455" s="4" t="str">
        <f t="shared" ca="1" si="15"/>
        <v>Defer receipts</v>
      </c>
    </row>
    <row r="456" spans="1:16" ht="13" customHeight="1" x14ac:dyDescent="0.35">
      <c r="A456" s="93">
        <v>48914</v>
      </c>
      <c r="B456" s="61" t="s">
        <v>56</v>
      </c>
      <c r="C456" s="12" t="str">
        <f>'Planning Engine'!C1172</f>
        <v>Raw Material</v>
      </c>
      <c r="D456" s="12" t="str">
        <f>'Planning Engine'!D1172</f>
        <v>kg</v>
      </c>
      <c r="E456" s="95">
        <f>'Planning Engine'!E1172</f>
        <v>128.80000000000004</v>
      </c>
      <c r="F456" s="95">
        <f>'Planning Engine'!F1172</f>
        <v>0</v>
      </c>
      <c r="G456" s="95">
        <f>'Planning Engine'!G1172</f>
        <v>0</v>
      </c>
      <c r="H456" s="95">
        <f t="shared" si="14"/>
        <v>0</v>
      </c>
      <c r="I456" s="95">
        <f>'Planning Engine'!H1172</f>
        <v>128.80000000000004</v>
      </c>
      <c r="J456" s="96">
        <f ca="1">'Planning Engine'!J1172</f>
        <v>999</v>
      </c>
      <c r="K456" s="95">
        <f ca="1">'Planning Engine'!K1172</f>
        <v>0</v>
      </c>
      <c r="L456" s="12" t="str">
        <f ca="1">'Planning Engine'!L1172</f>
        <v>Overstock</v>
      </c>
      <c r="M456" s="93">
        <f>'Planning Engine'!S1172</f>
        <v>48792</v>
      </c>
      <c r="N456" s="95">
        <f>'Planning Engine'!T1172</f>
        <v>0</v>
      </c>
      <c r="O456" s="94" t="s">
        <v>2204</v>
      </c>
      <c r="P456" s="12" t="str">
        <f t="shared" ca="1" si="15"/>
        <v>Defer receipts</v>
      </c>
    </row>
    <row r="457" spans="1:16" ht="13" customHeight="1" x14ac:dyDescent="0.35">
      <c r="A457" s="97">
        <v>48945</v>
      </c>
      <c r="B457" s="53" t="s">
        <v>56</v>
      </c>
      <c r="C457" s="12" t="str">
        <f>'Planning Engine'!C1173</f>
        <v>Raw Material</v>
      </c>
      <c r="D457" s="12" t="str">
        <f>'Planning Engine'!D1173</f>
        <v>kg</v>
      </c>
      <c r="E457" s="95">
        <f>'Planning Engine'!E1173</f>
        <v>128.80000000000004</v>
      </c>
      <c r="F457" s="95">
        <f>'Planning Engine'!F1173</f>
        <v>0</v>
      </c>
      <c r="G457" s="95">
        <f>'Planning Engine'!G1173</f>
        <v>0</v>
      </c>
      <c r="H457" s="99">
        <f t="shared" si="14"/>
        <v>0</v>
      </c>
      <c r="I457" s="95">
        <f>'Planning Engine'!H1173</f>
        <v>128.80000000000004</v>
      </c>
      <c r="J457" s="96">
        <f ca="1">'Planning Engine'!J1173</f>
        <v>999</v>
      </c>
      <c r="K457" s="95">
        <f ca="1">'Planning Engine'!K1173</f>
        <v>0</v>
      </c>
      <c r="L457" s="12" t="str">
        <f ca="1">'Planning Engine'!L1173</f>
        <v>Overstock</v>
      </c>
      <c r="M457" s="93">
        <f>'Planning Engine'!S1173</f>
        <v>48823</v>
      </c>
      <c r="N457" s="95">
        <f>'Planning Engine'!T1173</f>
        <v>0</v>
      </c>
      <c r="O457" s="98" t="s">
        <v>2205</v>
      </c>
      <c r="P457" s="4" t="str">
        <f t="shared" ca="1" si="15"/>
        <v>Defer receipts</v>
      </c>
    </row>
    <row r="458" spans="1:16" ht="13" customHeight="1" x14ac:dyDescent="0.35">
      <c r="A458" s="93">
        <v>48976</v>
      </c>
      <c r="B458" s="61" t="s">
        <v>56</v>
      </c>
      <c r="C458" s="12" t="str">
        <f>'Planning Engine'!C1174</f>
        <v>Raw Material</v>
      </c>
      <c r="D458" s="12" t="str">
        <f>'Planning Engine'!D1174</f>
        <v>kg</v>
      </c>
      <c r="E458" s="95">
        <f>'Planning Engine'!E1174</f>
        <v>128.80000000000004</v>
      </c>
      <c r="F458" s="95">
        <f>'Planning Engine'!F1174</f>
        <v>0</v>
      </c>
      <c r="G458" s="95">
        <f>'Planning Engine'!G1174</f>
        <v>0</v>
      </c>
      <c r="H458" s="95">
        <f t="shared" si="14"/>
        <v>0</v>
      </c>
      <c r="I458" s="95">
        <f>'Planning Engine'!H1174</f>
        <v>128.80000000000004</v>
      </c>
      <c r="J458" s="96">
        <f ca="1">'Planning Engine'!J1174</f>
        <v>999</v>
      </c>
      <c r="K458" s="95">
        <f ca="1">'Planning Engine'!K1174</f>
        <v>0</v>
      </c>
      <c r="L458" s="12" t="str">
        <f ca="1">'Planning Engine'!L1174</f>
        <v>Overstock</v>
      </c>
      <c r="M458" s="93">
        <f>'Planning Engine'!S1174</f>
        <v>48853</v>
      </c>
      <c r="N458" s="95">
        <f>'Planning Engine'!T1174</f>
        <v>0</v>
      </c>
      <c r="O458" s="94" t="s">
        <v>2206</v>
      </c>
      <c r="P458" s="12" t="str">
        <f t="shared" ca="1" si="15"/>
        <v>Defer receipts</v>
      </c>
    </row>
    <row r="459" spans="1:16" ht="13" customHeight="1" x14ac:dyDescent="0.35">
      <c r="A459" s="97">
        <v>49004</v>
      </c>
      <c r="B459" s="53" t="s">
        <v>56</v>
      </c>
      <c r="C459" s="12" t="str">
        <f>'Planning Engine'!C1175</f>
        <v>Raw Material</v>
      </c>
      <c r="D459" s="12" t="str">
        <f>'Planning Engine'!D1175</f>
        <v>kg</v>
      </c>
      <c r="E459" s="95">
        <f>'Planning Engine'!E1175</f>
        <v>128.80000000000004</v>
      </c>
      <c r="F459" s="95">
        <f>'Planning Engine'!F1175</f>
        <v>0</v>
      </c>
      <c r="G459" s="95">
        <f>'Planning Engine'!G1175</f>
        <v>0</v>
      </c>
      <c r="H459" s="99">
        <f t="shared" si="14"/>
        <v>0</v>
      </c>
      <c r="I459" s="95">
        <f>'Planning Engine'!H1175</f>
        <v>128.80000000000004</v>
      </c>
      <c r="J459" s="96">
        <f ca="1">'Planning Engine'!J1175</f>
        <v>999</v>
      </c>
      <c r="K459" s="95">
        <f ca="1">'Planning Engine'!K1175</f>
        <v>0</v>
      </c>
      <c r="L459" s="12" t="str">
        <f ca="1">'Planning Engine'!L1175</f>
        <v>Overstock</v>
      </c>
      <c r="M459" s="93">
        <f>'Planning Engine'!S1175</f>
        <v>48884</v>
      </c>
      <c r="N459" s="95">
        <f>'Planning Engine'!T1175</f>
        <v>0</v>
      </c>
      <c r="O459" s="98" t="s">
        <v>2207</v>
      </c>
      <c r="P459" s="4" t="str">
        <f t="shared" ca="1" si="15"/>
        <v>Defer receipts</v>
      </c>
    </row>
    <row r="460" spans="1:16" ht="13" customHeight="1" x14ac:dyDescent="0.35">
      <c r="A460" s="93">
        <v>49035</v>
      </c>
      <c r="B460" s="61" t="s">
        <v>56</v>
      </c>
      <c r="C460" s="12" t="str">
        <f>'Planning Engine'!C1176</f>
        <v>Raw Material</v>
      </c>
      <c r="D460" s="12" t="str">
        <f>'Planning Engine'!D1176</f>
        <v>kg</v>
      </c>
      <c r="E460" s="95">
        <f>'Planning Engine'!E1176</f>
        <v>128.80000000000004</v>
      </c>
      <c r="F460" s="95">
        <f>'Planning Engine'!F1176</f>
        <v>0</v>
      </c>
      <c r="G460" s="95">
        <f>'Planning Engine'!G1176</f>
        <v>0</v>
      </c>
      <c r="H460" s="95">
        <f t="shared" si="14"/>
        <v>0</v>
      </c>
      <c r="I460" s="95">
        <f>'Planning Engine'!H1176</f>
        <v>128.80000000000004</v>
      </c>
      <c r="J460" s="96">
        <f ca="1">'Planning Engine'!J1176</f>
        <v>999</v>
      </c>
      <c r="K460" s="95">
        <f ca="1">'Planning Engine'!K1176</f>
        <v>0</v>
      </c>
      <c r="L460" s="12" t="str">
        <f ca="1">'Planning Engine'!L1176</f>
        <v>Overstock</v>
      </c>
      <c r="M460" s="93">
        <f>'Planning Engine'!S1176</f>
        <v>48914</v>
      </c>
      <c r="N460" s="95">
        <f>'Planning Engine'!T1176</f>
        <v>0</v>
      </c>
      <c r="O460" s="94" t="s">
        <v>2208</v>
      </c>
      <c r="P460" s="12" t="str">
        <f t="shared" ca="1" si="15"/>
        <v>Defer receipts</v>
      </c>
    </row>
    <row r="461" spans="1:16" ht="13" customHeight="1" x14ac:dyDescent="0.35">
      <c r="A461" s="97">
        <v>49065</v>
      </c>
      <c r="B461" s="53" t="s">
        <v>56</v>
      </c>
      <c r="C461" s="12" t="str">
        <f>'Planning Engine'!C1177</f>
        <v>Raw Material</v>
      </c>
      <c r="D461" s="12" t="str">
        <f>'Planning Engine'!D1177</f>
        <v>kg</v>
      </c>
      <c r="E461" s="95">
        <f>'Planning Engine'!E1177</f>
        <v>128.80000000000004</v>
      </c>
      <c r="F461" s="95">
        <f>'Planning Engine'!F1177</f>
        <v>0</v>
      </c>
      <c r="G461" s="95">
        <f>'Planning Engine'!G1177</f>
        <v>0</v>
      </c>
      <c r="H461" s="99">
        <f t="shared" si="14"/>
        <v>0</v>
      </c>
      <c r="I461" s="95">
        <f>'Planning Engine'!H1177</f>
        <v>128.80000000000004</v>
      </c>
      <c r="J461" s="96">
        <f ca="1">'Planning Engine'!J1177</f>
        <v>999</v>
      </c>
      <c r="K461" s="95">
        <f ca="1">'Planning Engine'!K1177</f>
        <v>0</v>
      </c>
      <c r="L461" s="12" t="str">
        <f ca="1">'Planning Engine'!L1177</f>
        <v>Overstock</v>
      </c>
      <c r="M461" s="93">
        <f>'Planning Engine'!S1177</f>
        <v>48945</v>
      </c>
      <c r="N461" s="95">
        <f>'Planning Engine'!T1177</f>
        <v>0</v>
      </c>
      <c r="O461" s="98" t="s">
        <v>2209</v>
      </c>
      <c r="P461" s="4" t="str">
        <f t="shared" ca="1" si="15"/>
        <v>Defer receipts</v>
      </c>
    </row>
    <row r="462" spans="1:16" ht="13" customHeight="1" x14ac:dyDescent="0.35">
      <c r="A462" s="93">
        <v>49096</v>
      </c>
      <c r="B462" s="61" t="s">
        <v>56</v>
      </c>
      <c r="C462" s="12" t="str">
        <f>'Planning Engine'!C1178</f>
        <v>Raw Material</v>
      </c>
      <c r="D462" s="12" t="str">
        <f>'Planning Engine'!D1178</f>
        <v>kg</v>
      </c>
      <c r="E462" s="95">
        <f>'Planning Engine'!E1178</f>
        <v>128.80000000000004</v>
      </c>
      <c r="F462" s="95">
        <f>'Planning Engine'!F1178</f>
        <v>0</v>
      </c>
      <c r="G462" s="95">
        <f>'Planning Engine'!G1178</f>
        <v>0</v>
      </c>
      <c r="H462" s="95">
        <f t="shared" si="14"/>
        <v>0</v>
      </c>
      <c r="I462" s="95">
        <f>'Planning Engine'!H1178</f>
        <v>128.80000000000004</v>
      </c>
      <c r="J462" s="96">
        <f ca="1">'Planning Engine'!J1178</f>
        <v>999</v>
      </c>
      <c r="K462" s="95">
        <f ca="1">'Planning Engine'!K1178</f>
        <v>0</v>
      </c>
      <c r="L462" s="12" t="str">
        <f ca="1">'Planning Engine'!L1178</f>
        <v>Overstock</v>
      </c>
      <c r="M462" s="93">
        <f>'Planning Engine'!S1178</f>
        <v>48976</v>
      </c>
      <c r="N462" s="95">
        <f>'Planning Engine'!T1178</f>
        <v>0</v>
      </c>
      <c r="O462" s="94" t="s">
        <v>2210</v>
      </c>
      <c r="P462" s="12" t="str">
        <f t="shared" ca="1" si="15"/>
        <v>Defer receipts</v>
      </c>
    </row>
    <row r="463" spans="1:16" ht="13" customHeight="1" x14ac:dyDescent="0.35">
      <c r="A463" s="97">
        <v>49126</v>
      </c>
      <c r="B463" s="53" t="s">
        <v>56</v>
      </c>
      <c r="C463" s="12" t="str">
        <f>'Planning Engine'!C1179</f>
        <v>Raw Material</v>
      </c>
      <c r="D463" s="12" t="str">
        <f>'Planning Engine'!D1179</f>
        <v>kg</v>
      </c>
      <c r="E463" s="95">
        <f>'Planning Engine'!E1179</f>
        <v>128.80000000000004</v>
      </c>
      <c r="F463" s="95">
        <f>'Planning Engine'!F1179</f>
        <v>0</v>
      </c>
      <c r="G463" s="95">
        <f>'Planning Engine'!G1179</f>
        <v>0</v>
      </c>
      <c r="H463" s="99">
        <f t="shared" si="14"/>
        <v>0</v>
      </c>
      <c r="I463" s="95">
        <f>'Planning Engine'!H1179</f>
        <v>128.80000000000004</v>
      </c>
      <c r="J463" s="96">
        <f ca="1">'Planning Engine'!J1179</f>
        <v>999</v>
      </c>
      <c r="K463" s="95">
        <f ca="1">'Planning Engine'!K1179</f>
        <v>0</v>
      </c>
      <c r="L463" s="12" t="str">
        <f ca="1">'Planning Engine'!L1179</f>
        <v>Overstock</v>
      </c>
      <c r="M463" s="93">
        <f>'Planning Engine'!S1179</f>
        <v>49004</v>
      </c>
      <c r="N463" s="95">
        <f>'Planning Engine'!T1179</f>
        <v>0</v>
      </c>
      <c r="O463" s="98" t="s">
        <v>2211</v>
      </c>
      <c r="P463" s="4" t="str">
        <f t="shared" ca="1" si="15"/>
        <v>Defer receipts</v>
      </c>
    </row>
    <row r="464" spans="1:16" ht="13" customHeight="1" x14ac:dyDescent="0.35">
      <c r="A464" s="93">
        <v>49157</v>
      </c>
      <c r="B464" s="61" t="s">
        <v>56</v>
      </c>
      <c r="C464" s="12" t="str">
        <f>'Planning Engine'!C1180</f>
        <v>Raw Material</v>
      </c>
      <c r="D464" s="12" t="str">
        <f>'Planning Engine'!D1180</f>
        <v>kg</v>
      </c>
      <c r="E464" s="95">
        <f>'Planning Engine'!E1180</f>
        <v>128.80000000000004</v>
      </c>
      <c r="F464" s="95">
        <f>'Planning Engine'!F1180</f>
        <v>0</v>
      </c>
      <c r="G464" s="95">
        <f>'Planning Engine'!G1180</f>
        <v>0</v>
      </c>
      <c r="H464" s="95">
        <f t="shared" si="14"/>
        <v>0</v>
      </c>
      <c r="I464" s="95">
        <f>'Planning Engine'!H1180</f>
        <v>128.80000000000004</v>
      </c>
      <c r="J464" s="96">
        <f ca="1">'Planning Engine'!J1180</f>
        <v>999</v>
      </c>
      <c r="K464" s="95">
        <f ca="1">'Planning Engine'!K1180</f>
        <v>0</v>
      </c>
      <c r="L464" s="12" t="str">
        <f ca="1">'Planning Engine'!L1180</f>
        <v>Overstock</v>
      </c>
      <c r="M464" s="93">
        <f>'Planning Engine'!S1180</f>
        <v>49035</v>
      </c>
      <c r="N464" s="95">
        <f>'Planning Engine'!T1180</f>
        <v>0</v>
      </c>
      <c r="O464" s="94" t="s">
        <v>2212</v>
      </c>
      <c r="P464" s="12" t="str">
        <f t="shared" ca="1" si="15"/>
        <v>Defer receipts</v>
      </c>
    </row>
    <row r="465" spans="1:16" ht="13" customHeight="1" x14ac:dyDescent="0.35">
      <c r="A465" s="97">
        <v>49188</v>
      </c>
      <c r="B465" s="53" t="s">
        <v>56</v>
      </c>
      <c r="C465" s="12" t="str">
        <f>'Planning Engine'!C1181</f>
        <v>Raw Material</v>
      </c>
      <c r="D465" s="12" t="str">
        <f>'Planning Engine'!D1181</f>
        <v>kg</v>
      </c>
      <c r="E465" s="95">
        <f>'Planning Engine'!E1181</f>
        <v>128.80000000000004</v>
      </c>
      <c r="F465" s="95">
        <f>'Planning Engine'!F1181</f>
        <v>0</v>
      </c>
      <c r="G465" s="95">
        <f>'Planning Engine'!G1181</f>
        <v>0</v>
      </c>
      <c r="H465" s="99">
        <f t="shared" si="14"/>
        <v>0</v>
      </c>
      <c r="I465" s="95">
        <f>'Planning Engine'!H1181</f>
        <v>128.80000000000004</v>
      </c>
      <c r="J465" s="96">
        <f ca="1">'Planning Engine'!J1181</f>
        <v>999</v>
      </c>
      <c r="K465" s="95">
        <f ca="1">'Planning Engine'!K1181</f>
        <v>0</v>
      </c>
      <c r="L465" s="12" t="str">
        <f ca="1">'Planning Engine'!L1181</f>
        <v>Overstock</v>
      </c>
      <c r="M465" s="93">
        <f>'Planning Engine'!S1181</f>
        <v>49065</v>
      </c>
      <c r="N465" s="95">
        <f>'Planning Engine'!T1181</f>
        <v>0</v>
      </c>
      <c r="O465" s="98" t="s">
        <v>2213</v>
      </c>
      <c r="P465" s="4" t="str">
        <f t="shared" ca="1" si="15"/>
        <v>Defer receipts</v>
      </c>
    </row>
    <row r="466" spans="1:16" ht="13" customHeight="1" x14ac:dyDescent="0.35">
      <c r="A466" s="93">
        <v>49218</v>
      </c>
      <c r="B466" s="61" t="s">
        <v>56</v>
      </c>
      <c r="C466" s="12" t="str">
        <f>'Planning Engine'!C1182</f>
        <v>Raw Material</v>
      </c>
      <c r="D466" s="12" t="str">
        <f>'Planning Engine'!D1182</f>
        <v>kg</v>
      </c>
      <c r="E466" s="95">
        <f>'Planning Engine'!E1182</f>
        <v>128.80000000000004</v>
      </c>
      <c r="F466" s="95">
        <f>'Planning Engine'!F1182</f>
        <v>0</v>
      </c>
      <c r="G466" s="95">
        <f>'Planning Engine'!G1182</f>
        <v>0</v>
      </c>
      <c r="H466" s="95">
        <f t="shared" si="14"/>
        <v>0</v>
      </c>
      <c r="I466" s="95">
        <f>'Planning Engine'!H1182</f>
        <v>128.80000000000004</v>
      </c>
      <c r="J466" s="96">
        <f ca="1">'Planning Engine'!J1182</f>
        <v>999</v>
      </c>
      <c r="K466" s="95">
        <f ca="1">'Planning Engine'!K1182</f>
        <v>0</v>
      </c>
      <c r="L466" s="12" t="str">
        <f ca="1">'Planning Engine'!L1182</f>
        <v>Overstock</v>
      </c>
      <c r="M466" s="93">
        <f>'Planning Engine'!S1182</f>
        <v>49096</v>
      </c>
      <c r="N466" s="95">
        <f>'Planning Engine'!T1182</f>
        <v>0</v>
      </c>
      <c r="O466" s="94" t="s">
        <v>2214</v>
      </c>
      <c r="P466" s="12" t="str">
        <f t="shared" ca="1" si="15"/>
        <v>Defer receipts</v>
      </c>
    </row>
    <row r="467" spans="1:16" ht="13" customHeight="1" x14ac:dyDescent="0.35">
      <c r="A467" s="97">
        <v>49249</v>
      </c>
      <c r="B467" s="53" t="s">
        <v>56</v>
      </c>
      <c r="C467" s="12" t="str">
        <f>'Planning Engine'!C1183</f>
        <v>Raw Material</v>
      </c>
      <c r="D467" s="12" t="str">
        <f>'Planning Engine'!D1183</f>
        <v>kg</v>
      </c>
      <c r="E467" s="95">
        <f>'Planning Engine'!E1183</f>
        <v>128.80000000000004</v>
      </c>
      <c r="F467" s="95">
        <f>'Planning Engine'!F1183</f>
        <v>0</v>
      </c>
      <c r="G467" s="95">
        <f>'Planning Engine'!G1183</f>
        <v>0</v>
      </c>
      <c r="H467" s="99">
        <f t="shared" si="14"/>
        <v>0</v>
      </c>
      <c r="I467" s="95">
        <f>'Planning Engine'!H1183</f>
        <v>128.80000000000004</v>
      </c>
      <c r="J467" s="96">
        <f ca="1">'Planning Engine'!J1183</f>
        <v>999</v>
      </c>
      <c r="K467" s="95">
        <f ca="1">'Planning Engine'!K1183</f>
        <v>0</v>
      </c>
      <c r="L467" s="12" t="str">
        <f ca="1">'Planning Engine'!L1183</f>
        <v>Overstock</v>
      </c>
      <c r="M467" s="93">
        <f>'Planning Engine'!S1183</f>
        <v>49126</v>
      </c>
      <c r="N467" s="95">
        <f>'Planning Engine'!T1183</f>
        <v>0</v>
      </c>
      <c r="O467" s="98" t="s">
        <v>2215</v>
      </c>
      <c r="P467" s="4" t="str">
        <f t="shared" ca="1" si="15"/>
        <v>Defer receipts</v>
      </c>
    </row>
    <row r="468" spans="1:16" ht="13" customHeight="1" x14ac:dyDescent="0.35">
      <c r="A468" s="93">
        <v>49279</v>
      </c>
      <c r="B468" s="61" t="s">
        <v>56</v>
      </c>
      <c r="C468" s="12" t="str">
        <f>'Planning Engine'!C1184</f>
        <v>Raw Material</v>
      </c>
      <c r="D468" s="12" t="str">
        <f>'Planning Engine'!D1184</f>
        <v>kg</v>
      </c>
      <c r="E468" s="95">
        <f>'Planning Engine'!E1184</f>
        <v>128.80000000000004</v>
      </c>
      <c r="F468" s="95">
        <f>'Planning Engine'!F1184</f>
        <v>0</v>
      </c>
      <c r="G468" s="95">
        <f>'Planning Engine'!G1184</f>
        <v>0</v>
      </c>
      <c r="H468" s="95">
        <f t="shared" si="14"/>
        <v>0</v>
      </c>
      <c r="I468" s="95">
        <f>'Planning Engine'!H1184</f>
        <v>128.80000000000004</v>
      </c>
      <c r="J468" s="96">
        <f ca="1">'Planning Engine'!J1184</f>
        <v>999</v>
      </c>
      <c r="K468" s="95">
        <f ca="1">'Planning Engine'!K1184</f>
        <v>0</v>
      </c>
      <c r="L468" s="12" t="str">
        <f ca="1">'Planning Engine'!L1184</f>
        <v>Overstock</v>
      </c>
      <c r="M468" s="93">
        <f>'Planning Engine'!S1184</f>
        <v>49157</v>
      </c>
      <c r="N468" s="95">
        <f>'Planning Engine'!T1184</f>
        <v>0</v>
      </c>
      <c r="O468" s="94" t="s">
        <v>2216</v>
      </c>
      <c r="P468" s="12" t="str">
        <f t="shared" ca="1" si="15"/>
        <v>Defer receipts</v>
      </c>
    </row>
    <row r="469" spans="1:16" ht="13" customHeight="1" x14ac:dyDescent="0.35">
      <c r="A469" s="97">
        <v>49310</v>
      </c>
      <c r="B469" s="53" t="s">
        <v>56</v>
      </c>
      <c r="C469" s="12" t="str">
        <f>'Planning Engine'!C1185</f>
        <v>Raw Material</v>
      </c>
      <c r="D469" s="12" t="str">
        <f>'Planning Engine'!D1185</f>
        <v>kg</v>
      </c>
      <c r="E469" s="95">
        <f>'Planning Engine'!E1185</f>
        <v>128.80000000000004</v>
      </c>
      <c r="F469" s="95">
        <f>'Planning Engine'!F1185</f>
        <v>0</v>
      </c>
      <c r="G469" s="95">
        <f>'Planning Engine'!G1185</f>
        <v>0</v>
      </c>
      <c r="H469" s="99">
        <f t="shared" si="14"/>
        <v>0</v>
      </c>
      <c r="I469" s="95">
        <f>'Planning Engine'!H1185</f>
        <v>128.80000000000004</v>
      </c>
      <c r="J469" s="96">
        <f ca="1">'Planning Engine'!J1185</f>
        <v>999</v>
      </c>
      <c r="K469" s="95">
        <f ca="1">'Planning Engine'!K1185</f>
        <v>0</v>
      </c>
      <c r="L469" s="12" t="str">
        <f ca="1">'Planning Engine'!L1185</f>
        <v>Overstock</v>
      </c>
      <c r="M469" s="93">
        <f>'Planning Engine'!S1185</f>
        <v>49188</v>
      </c>
      <c r="N469" s="95">
        <f>'Planning Engine'!T1185</f>
        <v>0</v>
      </c>
      <c r="O469" s="98" t="s">
        <v>2217</v>
      </c>
      <c r="P469" s="4" t="str">
        <f t="shared" ca="1" si="15"/>
        <v>Defer receipts</v>
      </c>
    </row>
    <row r="470" spans="1:16" ht="13" customHeight="1" x14ac:dyDescent="0.35">
      <c r="A470" s="93">
        <v>49341</v>
      </c>
      <c r="B470" s="61" t="s">
        <v>56</v>
      </c>
      <c r="C470" s="12" t="str">
        <f>'Planning Engine'!C1186</f>
        <v>Raw Material</v>
      </c>
      <c r="D470" s="12" t="str">
        <f>'Planning Engine'!D1186</f>
        <v>kg</v>
      </c>
      <c r="E470" s="95">
        <f>'Planning Engine'!E1186</f>
        <v>128.80000000000004</v>
      </c>
      <c r="F470" s="95">
        <f>'Planning Engine'!F1186</f>
        <v>0</v>
      </c>
      <c r="G470" s="95">
        <f>'Planning Engine'!G1186</f>
        <v>0</v>
      </c>
      <c r="H470" s="95">
        <f t="shared" si="14"/>
        <v>0</v>
      </c>
      <c r="I470" s="95">
        <f>'Planning Engine'!H1186</f>
        <v>128.80000000000004</v>
      </c>
      <c r="J470" s="96">
        <f ca="1">'Planning Engine'!J1186</f>
        <v>999</v>
      </c>
      <c r="K470" s="95">
        <f ca="1">'Planning Engine'!K1186</f>
        <v>0</v>
      </c>
      <c r="L470" s="12" t="str">
        <f ca="1">'Planning Engine'!L1186</f>
        <v>Overstock</v>
      </c>
      <c r="M470" s="93">
        <f>'Planning Engine'!S1186</f>
        <v>49218</v>
      </c>
      <c r="N470" s="95">
        <f>'Planning Engine'!T1186</f>
        <v>0</v>
      </c>
      <c r="O470" s="94" t="s">
        <v>2218</v>
      </c>
      <c r="P470" s="12" t="str">
        <f t="shared" ca="1" si="15"/>
        <v>Defer receipts</v>
      </c>
    </row>
    <row r="471" spans="1:16" ht="13" customHeight="1" x14ac:dyDescent="0.35">
      <c r="A471" s="97">
        <v>49369</v>
      </c>
      <c r="B471" s="53" t="s">
        <v>56</v>
      </c>
      <c r="C471" s="12" t="str">
        <f>'Planning Engine'!C1187</f>
        <v>Raw Material</v>
      </c>
      <c r="D471" s="12" t="str">
        <f>'Planning Engine'!D1187</f>
        <v>kg</v>
      </c>
      <c r="E471" s="95">
        <f>'Planning Engine'!E1187</f>
        <v>128.80000000000004</v>
      </c>
      <c r="F471" s="95">
        <f>'Planning Engine'!F1187</f>
        <v>0</v>
      </c>
      <c r="G471" s="95">
        <f>'Planning Engine'!G1187</f>
        <v>0</v>
      </c>
      <c r="H471" s="99">
        <f t="shared" si="14"/>
        <v>0</v>
      </c>
      <c r="I471" s="95">
        <f>'Planning Engine'!H1187</f>
        <v>128.80000000000004</v>
      </c>
      <c r="J471" s="96">
        <f ca="1">'Planning Engine'!J1187</f>
        <v>999</v>
      </c>
      <c r="K471" s="95">
        <f ca="1">'Planning Engine'!K1187</f>
        <v>0</v>
      </c>
      <c r="L471" s="12" t="str">
        <f ca="1">'Planning Engine'!L1187</f>
        <v>Overstock</v>
      </c>
      <c r="M471" s="93">
        <f>'Planning Engine'!S1187</f>
        <v>49249</v>
      </c>
      <c r="N471" s="95">
        <f>'Planning Engine'!T1187</f>
        <v>0</v>
      </c>
      <c r="O471" s="98" t="s">
        <v>2219</v>
      </c>
      <c r="P471" s="4" t="str">
        <f t="shared" ca="1" si="15"/>
        <v>Defer receipts</v>
      </c>
    </row>
    <row r="472" spans="1:16" ht="13" customHeight="1" x14ac:dyDescent="0.35">
      <c r="A472" s="93">
        <v>49400</v>
      </c>
      <c r="B472" s="61" t="s">
        <v>56</v>
      </c>
      <c r="C472" s="12" t="str">
        <f>'Planning Engine'!C1188</f>
        <v>Raw Material</v>
      </c>
      <c r="D472" s="12" t="str">
        <f>'Planning Engine'!D1188</f>
        <v>kg</v>
      </c>
      <c r="E472" s="95">
        <f>'Planning Engine'!E1188</f>
        <v>128.80000000000004</v>
      </c>
      <c r="F472" s="95">
        <f>'Planning Engine'!F1188</f>
        <v>0</v>
      </c>
      <c r="G472" s="95">
        <f>'Planning Engine'!G1188</f>
        <v>0</v>
      </c>
      <c r="H472" s="95">
        <f t="shared" si="14"/>
        <v>0</v>
      </c>
      <c r="I472" s="95">
        <f>'Planning Engine'!H1188</f>
        <v>128.80000000000004</v>
      </c>
      <c r="J472" s="96">
        <f ca="1">'Planning Engine'!J1188</f>
        <v>999</v>
      </c>
      <c r="K472" s="95">
        <f ca="1">'Planning Engine'!K1188</f>
        <v>0</v>
      </c>
      <c r="L472" s="12" t="str">
        <f ca="1">'Planning Engine'!L1188</f>
        <v>Overstock</v>
      </c>
      <c r="M472" s="93">
        <f>'Planning Engine'!S1188</f>
        <v>49279</v>
      </c>
      <c r="N472" s="95">
        <f>'Planning Engine'!T1188</f>
        <v>0</v>
      </c>
      <c r="O472" s="94" t="s">
        <v>2220</v>
      </c>
      <c r="P472" s="12" t="str">
        <f t="shared" ca="1" si="15"/>
        <v>Defer receipts</v>
      </c>
    </row>
    <row r="473" spans="1:16" ht="13" customHeight="1" x14ac:dyDescent="0.35">
      <c r="A473" s="97">
        <v>49430</v>
      </c>
      <c r="B473" s="53" t="s">
        <v>56</v>
      </c>
      <c r="C473" s="12" t="str">
        <f>'Planning Engine'!C1189</f>
        <v>Raw Material</v>
      </c>
      <c r="D473" s="12" t="str">
        <f>'Planning Engine'!D1189</f>
        <v>kg</v>
      </c>
      <c r="E473" s="95">
        <f>'Planning Engine'!E1189</f>
        <v>128.80000000000004</v>
      </c>
      <c r="F473" s="95">
        <f>'Planning Engine'!F1189</f>
        <v>0</v>
      </c>
      <c r="G473" s="95">
        <f>'Planning Engine'!G1189</f>
        <v>0</v>
      </c>
      <c r="H473" s="99">
        <f t="shared" si="14"/>
        <v>0</v>
      </c>
      <c r="I473" s="95">
        <f>'Planning Engine'!H1189</f>
        <v>128.80000000000004</v>
      </c>
      <c r="J473" s="96">
        <f ca="1">'Planning Engine'!J1189</f>
        <v>999</v>
      </c>
      <c r="K473" s="95">
        <f ca="1">'Planning Engine'!K1189</f>
        <v>0</v>
      </c>
      <c r="L473" s="12" t="str">
        <f ca="1">'Planning Engine'!L1189</f>
        <v>Overstock</v>
      </c>
      <c r="M473" s="93">
        <f>'Planning Engine'!S1189</f>
        <v>49310</v>
      </c>
      <c r="N473" s="95">
        <f>'Planning Engine'!T1189</f>
        <v>0</v>
      </c>
      <c r="O473" s="98" t="s">
        <v>2221</v>
      </c>
      <c r="P473" s="4" t="str">
        <f t="shared" ca="1" si="15"/>
        <v>Defer receipts</v>
      </c>
    </row>
    <row r="474" spans="1:16" ht="13" customHeight="1" x14ac:dyDescent="0.35">
      <c r="A474" s="93">
        <v>49461</v>
      </c>
      <c r="B474" s="61" t="s">
        <v>56</v>
      </c>
      <c r="C474" s="12" t="str">
        <f>'Planning Engine'!C1190</f>
        <v>Raw Material</v>
      </c>
      <c r="D474" s="12" t="str">
        <f>'Planning Engine'!D1190</f>
        <v>kg</v>
      </c>
      <c r="E474" s="95">
        <f>'Planning Engine'!E1190</f>
        <v>128.80000000000004</v>
      </c>
      <c r="F474" s="95">
        <f>'Planning Engine'!F1190</f>
        <v>0</v>
      </c>
      <c r="G474" s="95">
        <f>'Planning Engine'!G1190</f>
        <v>0</v>
      </c>
      <c r="H474" s="95">
        <f t="shared" si="14"/>
        <v>0</v>
      </c>
      <c r="I474" s="95">
        <f>'Planning Engine'!H1190</f>
        <v>128.80000000000004</v>
      </c>
      <c r="J474" s="96">
        <f ca="1">'Planning Engine'!J1190</f>
        <v>999</v>
      </c>
      <c r="K474" s="95">
        <f ca="1">'Planning Engine'!K1190</f>
        <v>0</v>
      </c>
      <c r="L474" s="12" t="str">
        <f ca="1">'Planning Engine'!L1190</f>
        <v>Overstock</v>
      </c>
      <c r="M474" s="93">
        <f>'Planning Engine'!S1190</f>
        <v>49341</v>
      </c>
      <c r="N474" s="95">
        <f>'Planning Engine'!T1190</f>
        <v>0</v>
      </c>
      <c r="O474" s="94" t="s">
        <v>2222</v>
      </c>
      <c r="P474" s="12" t="str">
        <f t="shared" ca="1" si="15"/>
        <v>Defer receipts</v>
      </c>
    </row>
    <row r="475" spans="1:16" ht="13" customHeight="1" x14ac:dyDescent="0.35">
      <c r="A475" s="97">
        <v>49491</v>
      </c>
      <c r="B475" s="53" t="s">
        <v>56</v>
      </c>
      <c r="C475" s="12" t="str">
        <f>'Planning Engine'!C1191</f>
        <v>Raw Material</v>
      </c>
      <c r="D475" s="12" t="str">
        <f>'Planning Engine'!D1191</f>
        <v>kg</v>
      </c>
      <c r="E475" s="95">
        <f>'Planning Engine'!E1191</f>
        <v>128.80000000000004</v>
      </c>
      <c r="F475" s="95">
        <f>'Planning Engine'!F1191</f>
        <v>0</v>
      </c>
      <c r="G475" s="95">
        <f>'Planning Engine'!G1191</f>
        <v>0</v>
      </c>
      <c r="H475" s="99">
        <f t="shared" si="14"/>
        <v>0</v>
      </c>
      <c r="I475" s="95">
        <f>'Planning Engine'!H1191</f>
        <v>128.80000000000004</v>
      </c>
      <c r="J475" s="96">
        <f ca="1">'Planning Engine'!J1191</f>
        <v>999</v>
      </c>
      <c r="K475" s="95">
        <f ca="1">'Planning Engine'!K1191</f>
        <v>0</v>
      </c>
      <c r="L475" s="12" t="str">
        <f ca="1">'Planning Engine'!L1191</f>
        <v>Overstock</v>
      </c>
      <c r="M475" s="93">
        <f>'Planning Engine'!S1191</f>
        <v>49369</v>
      </c>
      <c r="N475" s="95">
        <f>'Planning Engine'!T1191</f>
        <v>0</v>
      </c>
      <c r="O475" s="98" t="s">
        <v>2223</v>
      </c>
      <c r="P475" s="4" t="str">
        <f t="shared" ca="1" si="15"/>
        <v>Defer receipts</v>
      </c>
    </row>
    <row r="476" spans="1:16" ht="13" customHeight="1" x14ac:dyDescent="0.35">
      <c r="A476" s="93">
        <v>49522</v>
      </c>
      <c r="B476" s="61" t="s">
        <v>56</v>
      </c>
      <c r="C476" s="12" t="str">
        <f>'Planning Engine'!C1192</f>
        <v>Raw Material</v>
      </c>
      <c r="D476" s="12" t="str">
        <f>'Planning Engine'!D1192</f>
        <v>kg</v>
      </c>
      <c r="E476" s="95">
        <f>'Planning Engine'!E1192</f>
        <v>128.80000000000004</v>
      </c>
      <c r="F476" s="95">
        <f>'Planning Engine'!F1192</f>
        <v>0</v>
      </c>
      <c r="G476" s="95">
        <f>'Planning Engine'!G1192</f>
        <v>0</v>
      </c>
      <c r="H476" s="95">
        <f t="shared" si="14"/>
        <v>0</v>
      </c>
      <c r="I476" s="95">
        <f>'Planning Engine'!H1192</f>
        <v>128.80000000000004</v>
      </c>
      <c r="J476" s="96">
        <f ca="1">'Planning Engine'!J1192</f>
        <v>999</v>
      </c>
      <c r="K476" s="95">
        <f ca="1">'Planning Engine'!K1192</f>
        <v>0</v>
      </c>
      <c r="L476" s="12" t="str">
        <f ca="1">'Planning Engine'!L1192</f>
        <v>Overstock</v>
      </c>
      <c r="M476" s="93">
        <f>'Planning Engine'!S1192</f>
        <v>49400</v>
      </c>
      <c r="N476" s="95">
        <f>'Planning Engine'!T1192</f>
        <v>0</v>
      </c>
      <c r="O476" s="94" t="s">
        <v>2224</v>
      </c>
      <c r="P476" s="12" t="str">
        <f t="shared" ca="1" si="15"/>
        <v>Defer receipts</v>
      </c>
    </row>
    <row r="477" spans="1:16" ht="13" customHeight="1" x14ac:dyDescent="0.35">
      <c r="A477" s="97">
        <v>49553</v>
      </c>
      <c r="B477" s="53" t="s">
        <v>56</v>
      </c>
      <c r="C477" s="12" t="str">
        <f>'Planning Engine'!C1193</f>
        <v>Raw Material</v>
      </c>
      <c r="D477" s="12" t="str">
        <f>'Planning Engine'!D1193</f>
        <v>kg</v>
      </c>
      <c r="E477" s="95">
        <f>'Planning Engine'!E1193</f>
        <v>128.80000000000004</v>
      </c>
      <c r="F477" s="95">
        <f>'Planning Engine'!F1193</f>
        <v>0</v>
      </c>
      <c r="G477" s="95">
        <f>'Planning Engine'!G1193</f>
        <v>0</v>
      </c>
      <c r="H477" s="99">
        <f t="shared" si="14"/>
        <v>0</v>
      </c>
      <c r="I477" s="95">
        <f>'Planning Engine'!H1193</f>
        <v>128.80000000000004</v>
      </c>
      <c r="J477" s="96">
        <f ca="1">'Planning Engine'!J1193</f>
        <v>999</v>
      </c>
      <c r="K477" s="95">
        <f ca="1">'Planning Engine'!K1193</f>
        <v>0</v>
      </c>
      <c r="L477" s="12" t="str">
        <f ca="1">'Planning Engine'!L1193</f>
        <v>Overstock</v>
      </c>
      <c r="M477" s="93">
        <f>'Planning Engine'!S1193</f>
        <v>49430</v>
      </c>
      <c r="N477" s="95">
        <f>'Planning Engine'!T1193</f>
        <v>0</v>
      </c>
      <c r="O477" s="98" t="s">
        <v>2225</v>
      </c>
      <c r="P477" s="4" t="str">
        <f t="shared" ca="1" si="15"/>
        <v>Defer receipts</v>
      </c>
    </row>
    <row r="478" spans="1:16" ht="13" customHeight="1" x14ac:dyDescent="0.35">
      <c r="A478" s="93">
        <v>49583</v>
      </c>
      <c r="B478" s="61" t="s">
        <v>56</v>
      </c>
      <c r="C478" s="12" t="str">
        <f>'Planning Engine'!C1194</f>
        <v>Raw Material</v>
      </c>
      <c r="D478" s="12" t="str">
        <f>'Planning Engine'!D1194</f>
        <v>kg</v>
      </c>
      <c r="E478" s="95">
        <f>'Planning Engine'!E1194</f>
        <v>128.80000000000004</v>
      </c>
      <c r="F478" s="95">
        <f>'Planning Engine'!F1194</f>
        <v>0</v>
      </c>
      <c r="G478" s="95">
        <f>'Planning Engine'!G1194</f>
        <v>0</v>
      </c>
      <c r="H478" s="95">
        <f t="shared" si="14"/>
        <v>0</v>
      </c>
      <c r="I478" s="95">
        <f>'Planning Engine'!H1194</f>
        <v>128.80000000000004</v>
      </c>
      <c r="J478" s="96">
        <f ca="1">'Planning Engine'!J1194</f>
        <v>999</v>
      </c>
      <c r="K478" s="95">
        <f ca="1">'Planning Engine'!K1194</f>
        <v>0</v>
      </c>
      <c r="L478" s="12" t="str">
        <f ca="1">'Planning Engine'!L1194</f>
        <v>Overstock</v>
      </c>
      <c r="M478" s="93">
        <f>'Planning Engine'!S1194</f>
        <v>49461</v>
      </c>
      <c r="N478" s="95">
        <f>'Planning Engine'!T1194</f>
        <v>0</v>
      </c>
      <c r="O478" s="94" t="s">
        <v>2226</v>
      </c>
      <c r="P478" s="12" t="str">
        <f t="shared" ca="1" si="15"/>
        <v>Defer receipts</v>
      </c>
    </row>
    <row r="479" spans="1:16" ht="13" customHeight="1" x14ac:dyDescent="0.35">
      <c r="A479" s="97">
        <v>49614</v>
      </c>
      <c r="B479" s="53" t="s">
        <v>56</v>
      </c>
      <c r="C479" s="12" t="str">
        <f>'Planning Engine'!C1195</f>
        <v>Raw Material</v>
      </c>
      <c r="D479" s="12" t="str">
        <f>'Planning Engine'!D1195</f>
        <v>kg</v>
      </c>
      <c r="E479" s="95">
        <f>'Planning Engine'!E1195</f>
        <v>128.80000000000004</v>
      </c>
      <c r="F479" s="95">
        <f>'Planning Engine'!F1195</f>
        <v>0</v>
      </c>
      <c r="G479" s="95">
        <f>'Planning Engine'!G1195</f>
        <v>0</v>
      </c>
      <c r="H479" s="99">
        <f t="shared" si="14"/>
        <v>0</v>
      </c>
      <c r="I479" s="95">
        <f>'Planning Engine'!H1195</f>
        <v>128.80000000000004</v>
      </c>
      <c r="J479" s="96">
        <f ca="1">'Planning Engine'!J1195</f>
        <v>999</v>
      </c>
      <c r="K479" s="95">
        <f ca="1">'Planning Engine'!K1195</f>
        <v>0</v>
      </c>
      <c r="L479" s="12" t="str">
        <f ca="1">'Planning Engine'!L1195</f>
        <v>Overstock</v>
      </c>
      <c r="M479" s="93">
        <f>'Planning Engine'!S1195</f>
        <v>49491</v>
      </c>
      <c r="N479" s="95">
        <f>'Planning Engine'!T1195</f>
        <v>0</v>
      </c>
      <c r="O479" s="98" t="s">
        <v>2227</v>
      </c>
      <c r="P479" s="4" t="str">
        <f t="shared" ca="1" si="15"/>
        <v>Defer receipts</v>
      </c>
    </row>
    <row r="480" spans="1:16" ht="13" customHeight="1" x14ac:dyDescent="0.35">
      <c r="A480" s="93">
        <v>49644</v>
      </c>
      <c r="B480" s="61" t="s">
        <v>56</v>
      </c>
      <c r="C480" s="12" t="str">
        <f>'Planning Engine'!C1196</f>
        <v>Raw Material</v>
      </c>
      <c r="D480" s="12" t="str">
        <f>'Planning Engine'!D1196</f>
        <v>kg</v>
      </c>
      <c r="E480" s="95">
        <f>'Planning Engine'!E1196</f>
        <v>128.80000000000004</v>
      </c>
      <c r="F480" s="95">
        <f>'Planning Engine'!F1196</f>
        <v>0</v>
      </c>
      <c r="G480" s="95">
        <f>'Planning Engine'!G1196</f>
        <v>0</v>
      </c>
      <c r="H480" s="95">
        <f t="shared" si="14"/>
        <v>0</v>
      </c>
      <c r="I480" s="95">
        <f>'Planning Engine'!H1196</f>
        <v>128.80000000000004</v>
      </c>
      <c r="J480" s="96">
        <f ca="1">'Planning Engine'!J1196</f>
        <v>999</v>
      </c>
      <c r="K480" s="95">
        <f ca="1">'Planning Engine'!K1196</f>
        <v>0</v>
      </c>
      <c r="L480" s="12" t="str">
        <f ca="1">'Planning Engine'!L1196</f>
        <v>Overstock</v>
      </c>
      <c r="M480" s="93">
        <f>'Planning Engine'!S1196</f>
        <v>49522</v>
      </c>
      <c r="N480" s="95">
        <f>'Planning Engine'!T1196</f>
        <v>0</v>
      </c>
      <c r="O480" s="94" t="s">
        <v>2228</v>
      </c>
      <c r="P480" s="12" t="str">
        <f t="shared" ca="1" si="15"/>
        <v>Defer receipts</v>
      </c>
    </row>
    <row r="481" spans="1:16" ht="13" customHeight="1" x14ac:dyDescent="0.35">
      <c r="A481" s="97">
        <v>49675</v>
      </c>
      <c r="B481" s="53" t="s">
        <v>56</v>
      </c>
      <c r="C481" s="12" t="str">
        <f>'Planning Engine'!C1197</f>
        <v>Raw Material</v>
      </c>
      <c r="D481" s="12" t="str">
        <f>'Planning Engine'!D1197</f>
        <v>kg</v>
      </c>
      <c r="E481" s="95">
        <f>'Planning Engine'!E1197</f>
        <v>128.80000000000004</v>
      </c>
      <c r="F481" s="95">
        <f>'Planning Engine'!F1197</f>
        <v>0</v>
      </c>
      <c r="G481" s="95">
        <f>'Planning Engine'!G1197</f>
        <v>0</v>
      </c>
      <c r="H481" s="99">
        <f t="shared" si="14"/>
        <v>0</v>
      </c>
      <c r="I481" s="95">
        <f>'Planning Engine'!H1197</f>
        <v>128.80000000000004</v>
      </c>
      <c r="J481" s="96">
        <f ca="1">'Planning Engine'!J1197</f>
        <v>999</v>
      </c>
      <c r="K481" s="95">
        <f ca="1">'Planning Engine'!K1197</f>
        <v>0</v>
      </c>
      <c r="L481" s="12" t="str">
        <f ca="1">'Planning Engine'!L1197</f>
        <v>Overstock</v>
      </c>
      <c r="M481" s="93">
        <f>'Planning Engine'!S1197</f>
        <v>49553</v>
      </c>
      <c r="N481" s="95">
        <f>'Planning Engine'!T1197</f>
        <v>0</v>
      </c>
      <c r="O481" s="98" t="s">
        <v>2229</v>
      </c>
      <c r="P481" s="4" t="str">
        <f t="shared" ca="1" si="15"/>
        <v>Defer receipts</v>
      </c>
    </row>
    <row r="482" spans="1:16" ht="13" customHeight="1" x14ac:dyDescent="0.35">
      <c r="A482" s="93">
        <v>49706</v>
      </c>
      <c r="B482" s="61" t="s">
        <v>56</v>
      </c>
      <c r="C482" s="12" t="str">
        <f>'Planning Engine'!C1198</f>
        <v>Raw Material</v>
      </c>
      <c r="D482" s="12" t="str">
        <f>'Planning Engine'!D1198</f>
        <v>kg</v>
      </c>
      <c r="E482" s="95">
        <f>'Planning Engine'!E1198</f>
        <v>128.80000000000004</v>
      </c>
      <c r="F482" s="95">
        <f>'Planning Engine'!F1198</f>
        <v>0</v>
      </c>
      <c r="G482" s="95">
        <f>'Planning Engine'!G1198</f>
        <v>0</v>
      </c>
      <c r="H482" s="95">
        <f t="shared" si="14"/>
        <v>0</v>
      </c>
      <c r="I482" s="95">
        <f>'Planning Engine'!H1198</f>
        <v>128.80000000000004</v>
      </c>
      <c r="J482" s="96">
        <f ca="1">'Planning Engine'!J1198</f>
        <v>999</v>
      </c>
      <c r="K482" s="95">
        <f ca="1">'Planning Engine'!K1198</f>
        <v>0</v>
      </c>
      <c r="L482" s="12" t="str">
        <f ca="1">'Planning Engine'!L1198</f>
        <v>Overstock</v>
      </c>
      <c r="M482" s="93">
        <f>'Planning Engine'!S1198</f>
        <v>49583</v>
      </c>
      <c r="N482" s="95">
        <f>'Planning Engine'!T1198</f>
        <v>0</v>
      </c>
      <c r="O482" s="94" t="s">
        <v>2230</v>
      </c>
      <c r="P482" s="12" t="str">
        <f t="shared" ca="1" si="15"/>
        <v>Defer receipts</v>
      </c>
    </row>
    <row r="483" spans="1:16" ht="13" customHeight="1" x14ac:dyDescent="0.35">
      <c r="A483" s="97">
        <v>49735</v>
      </c>
      <c r="B483" s="53" t="s">
        <v>56</v>
      </c>
      <c r="C483" s="12" t="str">
        <f>'Planning Engine'!C1199</f>
        <v>Raw Material</v>
      </c>
      <c r="D483" s="12" t="str">
        <f>'Planning Engine'!D1199</f>
        <v>kg</v>
      </c>
      <c r="E483" s="95">
        <f>'Planning Engine'!E1199</f>
        <v>128.80000000000004</v>
      </c>
      <c r="F483" s="95">
        <f>'Planning Engine'!F1199</f>
        <v>0</v>
      </c>
      <c r="G483" s="95">
        <f>'Planning Engine'!G1199</f>
        <v>0</v>
      </c>
      <c r="H483" s="99">
        <f t="shared" si="14"/>
        <v>0</v>
      </c>
      <c r="I483" s="95">
        <f>'Planning Engine'!H1199</f>
        <v>128.80000000000004</v>
      </c>
      <c r="J483" s="96">
        <f ca="1">'Planning Engine'!J1199</f>
        <v>999</v>
      </c>
      <c r="K483" s="95">
        <f ca="1">'Planning Engine'!K1199</f>
        <v>0</v>
      </c>
      <c r="L483" s="12" t="str">
        <f ca="1">'Planning Engine'!L1199</f>
        <v>Overstock</v>
      </c>
      <c r="M483" s="93">
        <f>'Planning Engine'!S1199</f>
        <v>49614</v>
      </c>
      <c r="N483" s="95">
        <f>'Planning Engine'!T1199</f>
        <v>0</v>
      </c>
      <c r="O483" s="98" t="s">
        <v>2231</v>
      </c>
      <c r="P483" s="4" t="str">
        <f t="shared" ca="1" si="15"/>
        <v>Defer receipts</v>
      </c>
    </row>
    <row r="484" spans="1:16" ht="13" customHeight="1" x14ac:dyDescent="0.35">
      <c r="A484" s="93">
        <v>49766</v>
      </c>
      <c r="B484" s="61" t="s">
        <v>56</v>
      </c>
      <c r="C484" s="12" t="str">
        <f>'Planning Engine'!C1200</f>
        <v>Raw Material</v>
      </c>
      <c r="D484" s="12" t="str">
        <f>'Planning Engine'!D1200</f>
        <v>kg</v>
      </c>
      <c r="E484" s="95">
        <f>'Planning Engine'!E1200</f>
        <v>128.80000000000004</v>
      </c>
      <c r="F484" s="95">
        <f>'Planning Engine'!F1200</f>
        <v>0</v>
      </c>
      <c r="G484" s="95">
        <f>'Planning Engine'!G1200</f>
        <v>0</v>
      </c>
      <c r="H484" s="95">
        <f t="shared" si="14"/>
        <v>0</v>
      </c>
      <c r="I484" s="95">
        <f>'Planning Engine'!H1200</f>
        <v>128.80000000000004</v>
      </c>
      <c r="J484" s="96">
        <f ca="1">'Planning Engine'!J1200</f>
        <v>999</v>
      </c>
      <c r="K484" s="95">
        <f ca="1">'Planning Engine'!K1200</f>
        <v>0</v>
      </c>
      <c r="L484" s="12" t="str">
        <f ca="1">'Planning Engine'!L1200</f>
        <v>Overstock</v>
      </c>
      <c r="M484" s="93">
        <f>'Planning Engine'!S1200</f>
        <v>49644</v>
      </c>
      <c r="N484" s="95">
        <f>'Planning Engine'!T1200</f>
        <v>0</v>
      </c>
      <c r="O484" s="94" t="s">
        <v>2232</v>
      </c>
      <c r="P484" s="12" t="str">
        <f t="shared" ca="1" si="15"/>
        <v>Defer receipts</v>
      </c>
    </row>
    <row r="485" spans="1:16" ht="13" customHeight="1" x14ac:dyDescent="0.35">
      <c r="A485" s="97">
        <v>49796</v>
      </c>
      <c r="B485" s="53" t="s">
        <v>56</v>
      </c>
      <c r="C485" s="12" t="str">
        <f>'Planning Engine'!C1201</f>
        <v>Raw Material</v>
      </c>
      <c r="D485" s="12" t="str">
        <f>'Planning Engine'!D1201</f>
        <v>kg</v>
      </c>
      <c r="E485" s="95">
        <f>'Planning Engine'!E1201</f>
        <v>128.80000000000004</v>
      </c>
      <c r="F485" s="95">
        <f>'Planning Engine'!F1201</f>
        <v>0</v>
      </c>
      <c r="G485" s="95">
        <f>'Planning Engine'!G1201</f>
        <v>0</v>
      </c>
      <c r="H485" s="99">
        <f t="shared" si="14"/>
        <v>0</v>
      </c>
      <c r="I485" s="95">
        <f>'Planning Engine'!H1201</f>
        <v>128.80000000000004</v>
      </c>
      <c r="J485" s="96">
        <f ca="1">'Planning Engine'!J1201</f>
        <v>999</v>
      </c>
      <c r="K485" s="95">
        <f ca="1">'Planning Engine'!K1201</f>
        <v>0</v>
      </c>
      <c r="L485" s="12" t="str">
        <f ca="1">'Planning Engine'!L1201</f>
        <v>Overstock</v>
      </c>
      <c r="M485" s="93">
        <f>'Planning Engine'!S1201</f>
        <v>49675</v>
      </c>
      <c r="N485" s="95">
        <f>'Planning Engine'!T1201</f>
        <v>0</v>
      </c>
      <c r="O485" s="98" t="s">
        <v>2233</v>
      </c>
      <c r="P485" s="4" t="str">
        <f t="shared" ca="1" si="15"/>
        <v>Defer receipts</v>
      </c>
    </row>
    <row r="486" spans="1:16" ht="13" customHeight="1" x14ac:dyDescent="0.35">
      <c r="A486" s="93">
        <v>49827</v>
      </c>
      <c r="B486" s="61" t="s">
        <v>56</v>
      </c>
      <c r="C486" s="12" t="str">
        <f>'Planning Engine'!C1202</f>
        <v>Raw Material</v>
      </c>
      <c r="D486" s="12" t="str">
        <f>'Planning Engine'!D1202</f>
        <v>kg</v>
      </c>
      <c r="E486" s="95">
        <f>'Planning Engine'!E1202</f>
        <v>128.80000000000004</v>
      </c>
      <c r="F486" s="95">
        <f>'Planning Engine'!F1202</f>
        <v>0</v>
      </c>
      <c r="G486" s="95">
        <f>'Planning Engine'!G1202</f>
        <v>0</v>
      </c>
      <c r="H486" s="95">
        <f t="shared" si="14"/>
        <v>0</v>
      </c>
      <c r="I486" s="95">
        <f>'Planning Engine'!H1202</f>
        <v>128.80000000000004</v>
      </c>
      <c r="J486" s="96">
        <f ca="1">'Planning Engine'!J1202</f>
        <v>999</v>
      </c>
      <c r="K486" s="95">
        <f ca="1">'Planning Engine'!K1202</f>
        <v>0</v>
      </c>
      <c r="L486" s="12" t="str">
        <f ca="1">'Planning Engine'!L1202</f>
        <v>Overstock</v>
      </c>
      <c r="M486" s="93">
        <f>'Planning Engine'!S1202</f>
        <v>49706</v>
      </c>
      <c r="N486" s="95">
        <f>'Planning Engine'!T1202</f>
        <v>0</v>
      </c>
      <c r="O486" s="94" t="s">
        <v>2234</v>
      </c>
      <c r="P486" s="12" t="str">
        <f t="shared" ca="1" si="15"/>
        <v>Defer receipts</v>
      </c>
    </row>
    <row r="487" spans="1:16" ht="13" customHeight="1" x14ac:dyDescent="0.35">
      <c r="A487" s="97">
        <v>49857</v>
      </c>
      <c r="B487" s="53" t="s">
        <v>56</v>
      </c>
      <c r="C487" s="12" t="str">
        <f>'Planning Engine'!C1203</f>
        <v>Raw Material</v>
      </c>
      <c r="D487" s="12" t="str">
        <f>'Planning Engine'!D1203</f>
        <v>kg</v>
      </c>
      <c r="E487" s="95">
        <f>'Planning Engine'!E1203</f>
        <v>128.80000000000004</v>
      </c>
      <c r="F487" s="95">
        <f>'Planning Engine'!F1203</f>
        <v>0</v>
      </c>
      <c r="G487" s="95">
        <f>'Planning Engine'!G1203</f>
        <v>0</v>
      </c>
      <c r="H487" s="99">
        <f t="shared" si="14"/>
        <v>0</v>
      </c>
      <c r="I487" s="95">
        <f>'Planning Engine'!H1203</f>
        <v>128.80000000000004</v>
      </c>
      <c r="J487" s="96">
        <f ca="1">'Planning Engine'!J1203</f>
        <v>999</v>
      </c>
      <c r="K487" s="95">
        <f ca="1">'Planning Engine'!K1203</f>
        <v>0</v>
      </c>
      <c r="L487" s="12" t="str">
        <f ca="1">'Planning Engine'!L1203</f>
        <v>Overstock</v>
      </c>
      <c r="M487" s="93">
        <f>'Planning Engine'!S1203</f>
        <v>49735</v>
      </c>
      <c r="N487" s="95">
        <f>'Planning Engine'!T1203</f>
        <v>0</v>
      </c>
      <c r="O487" s="98" t="s">
        <v>2235</v>
      </c>
      <c r="P487" s="4" t="str">
        <f t="shared" ca="1" si="15"/>
        <v>Defer receipts</v>
      </c>
    </row>
    <row r="488" spans="1:16" ht="13" customHeight="1" x14ac:dyDescent="0.35">
      <c r="A488" s="93">
        <v>49888</v>
      </c>
      <c r="B488" s="61" t="s">
        <v>56</v>
      </c>
      <c r="C488" s="12" t="str">
        <f>'Planning Engine'!C1204</f>
        <v>Raw Material</v>
      </c>
      <c r="D488" s="12" t="str">
        <f>'Planning Engine'!D1204</f>
        <v>kg</v>
      </c>
      <c r="E488" s="95">
        <f>'Planning Engine'!E1204</f>
        <v>128.80000000000004</v>
      </c>
      <c r="F488" s="95">
        <f>'Planning Engine'!F1204</f>
        <v>0</v>
      </c>
      <c r="G488" s="95">
        <f>'Planning Engine'!G1204</f>
        <v>0</v>
      </c>
      <c r="H488" s="95">
        <f t="shared" si="14"/>
        <v>0</v>
      </c>
      <c r="I488" s="95">
        <f>'Planning Engine'!H1204</f>
        <v>128.80000000000004</v>
      </c>
      <c r="J488" s="96">
        <f ca="1">'Planning Engine'!J1204</f>
        <v>999</v>
      </c>
      <c r="K488" s="95">
        <f ca="1">'Planning Engine'!K1204</f>
        <v>0</v>
      </c>
      <c r="L488" s="12" t="str">
        <f ca="1">'Planning Engine'!L1204</f>
        <v>Overstock</v>
      </c>
      <c r="M488" s="93">
        <f>'Planning Engine'!S1204</f>
        <v>49766</v>
      </c>
      <c r="N488" s="95">
        <f>'Planning Engine'!T1204</f>
        <v>0</v>
      </c>
      <c r="O488" s="94" t="s">
        <v>2236</v>
      </c>
      <c r="P488" s="12" t="str">
        <f t="shared" ca="1" si="15"/>
        <v>Defer receipts</v>
      </c>
    </row>
    <row r="489" spans="1:16" ht="13" customHeight="1" x14ac:dyDescent="0.35">
      <c r="A489" s="97">
        <v>49919</v>
      </c>
      <c r="B489" s="53" t="s">
        <v>56</v>
      </c>
      <c r="C489" s="12" t="str">
        <f>'Planning Engine'!C1205</f>
        <v>Raw Material</v>
      </c>
      <c r="D489" s="12" t="str">
        <f>'Planning Engine'!D1205</f>
        <v>kg</v>
      </c>
      <c r="E489" s="95">
        <f>'Planning Engine'!E1205</f>
        <v>128.80000000000004</v>
      </c>
      <c r="F489" s="95">
        <f>'Planning Engine'!F1205</f>
        <v>0</v>
      </c>
      <c r="G489" s="95">
        <f>'Planning Engine'!G1205</f>
        <v>0</v>
      </c>
      <c r="H489" s="99">
        <f t="shared" si="14"/>
        <v>0</v>
      </c>
      <c r="I489" s="95">
        <f>'Planning Engine'!H1205</f>
        <v>128.80000000000004</v>
      </c>
      <c r="J489" s="96">
        <f ca="1">'Planning Engine'!J1205</f>
        <v>999</v>
      </c>
      <c r="K489" s="95">
        <f ca="1">'Planning Engine'!K1205</f>
        <v>0</v>
      </c>
      <c r="L489" s="12" t="str">
        <f ca="1">'Planning Engine'!L1205</f>
        <v>Overstock</v>
      </c>
      <c r="M489" s="93">
        <f>'Planning Engine'!S1205</f>
        <v>49796</v>
      </c>
      <c r="N489" s="95">
        <f>'Planning Engine'!T1205</f>
        <v>0</v>
      </c>
      <c r="O489" s="98" t="s">
        <v>2237</v>
      </c>
      <c r="P489" s="4" t="str">
        <f t="shared" ca="1" si="15"/>
        <v>Defer receipts</v>
      </c>
    </row>
    <row r="490" spans="1:16" ht="13" customHeight="1" x14ac:dyDescent="0.35">
      <c r="A490" s="93">
        <v>49949</v>
      </c>
      <c r="B490" s="61" t="s">
        <v>56</v>
      </c>
      <c r="C490" s="12" t="str">
        <f>'Planning Engine'!C1206</f>
        <v>Raw Material</v>
      </c>
      <c r="D490" s="12" t="str">
        <f>'Planning Engine'!D1206</f>
        <v>kg</v>
      </c>
      <c r="E490" s="95">
        <f>'Planning Engine'!E1206</f>
        <v>128.80000000000004</v>
      </c>
      <c r="F490" s="95">
        <f>'Planning Engine'!F1206</f>
        <v>0</v>
      </c>
      <c r="G490" s="95">
        <f>'Planning Engine'!G1206</f>
        <v>0</v>
      </c>
      <c r="H490" s="95">
        <f t="shared" si="14"/>
        <v>0</v>
      </c>
      <c r="I490" s="95">
        <f>'Planning Engine'!H1206</f>
        <v>128.80000000000004</v>
      </c>
      <c r="J490" s="96">
        <f ca="1">'Planning Engine'!J1206</f>
        <v>999</v>
      </c>
      <c r="K490" s="95">
        <f ca="1">'Planning Engine'!K1206</f>
        <v>0</v>
      </c>
      <c r="L490" s="12" t="str">
        <f ca="1">'Planning Engine'!L1206</f>
        <v>Overstock</v>
      </c>
      <c r="M490" s="93">
        <f>'Planning Engine'!S1206</f>
        <v>49827</v>
      </c>
      <c r="N490" s="95">
        <f>'Planning Engine'!T1206</f>
        <v>0</v>
      </c>
      <c r="O490" s="94" t="s">
        <v>2238</v>
      </c>
      <c r="P490" s="12" t="str">
        <f t="shared" ca="1" si="15"/>
        <v>Defer receipts</v>
      </c>
    </row>
    <row r="491" spans="1:16" ht="13" customHeight="1" x14ac:dyDescent="0.35">
      <c r="A491" s="97">
        <v>49980</v>
      </c>
      <c r="B491" s="53" t="s">
        <v>56</v>
      </c>
      <c r="C491" s="12" t="str">
        <f>'Planning Engine'!C1207</f>
        <v>Raw Material</v>
      </c>
      <c r="D491" s="12" t="str">
        <f>'Planning Engine'!D1207</f>
        <v>kg</v>
      </c>
      <c r="E491" s="95">
        <f>'Planning Engine'!E1207</f>
        <v>128.80000000000004</v>
      </c>
      <c r="F491" s="95">
        <f>'Planning Engine'!F1207</f>
        <v>0</v>
      </c>
      <c r="G491" s="95">
        <f>'Planning Engine'!G1207</f>
        <v>0</v>
      </c>
      <c r="H491" s="99">
        <f t="shared" si="14"/>
        <v>0</v>
      </c>
      <c r="I491" s="95">
        <f>'Planning Engine'!H1207</f>
        <v>128.80000000000004</v>
      </c>
      <c r="J491" s="96">
        <f ca="1">'Planning Engine'!J1207</f>
        <v>999</v>
      </c>
      <c r="K491" s="95">
        <f ca="1">'Planning Engine'!K1207</f>
        <v>0</v>
      </c>
      <c r="L491" s="12" t="str">
        <f ca="1">'Planning Engine'!L1207</f>
        <v>Overstock</v>
      </c>
      <c r="M491" s="93">
        <f>'Planning Engine'!S1207</f>
        <v>49857</v>
      </c>
      <c r="N491" s="95">
        <f>'Planning Engine'!T1207</f>
        <v>0</v>
      </c>
      <c r="O491" s="98" t="s">
        <v>2239</v>
      </c>
      <c r="P491" s="4" t="str">
        <f t="shared" ca="1" si="15"/>
        <v>Defer receipts</v>
      </c>
    </row>
    <row r="492" spans="1:16" ht="13" customHeight="1" x14ac:dyDescent="0.35">
      <c r="A492" s="93">
        <v>50010</v>
      </c>
      <c r="B492" s="61" t="s">
        <v>56</v>
      </c>
      <c r="C492" s="12" t="str">
        <f>'Planning Engine'!C1208</f>
        <v>Raw Material</v>
      </c>
      <c r="D492" s="12" t="str">
        <f>'Planning Engine'!D1208</f>
        <v>kg</v>
      </c>
      <c r="E492" s="95">
        <f>'Planning Engine'!E1208</f>
        <v>128.80000000000004</v>
      </c>
      <c r="F492" s="95">
        <f>'Planning Engine'!F1208</f>
        <v>0</v>
      </c>
      <c r="G492" s="95">
        <f>'Planning Engine'!G1208</f>
        <v>0</v>
      </c>
      <c r="H492" s="95">
        <f t="shared" si="14"/>
        <v>0</v>
      </c>
      <c r="I492" s="95">
        <f>'Planning Engine'!H1208</f>
        <v>128.80000000000004</v>
      </c>
      <c r="J492" s="96">
        <f ca="1">'Planning Engine'!J1208</f>
        <v>999</v>
      </c>
      <c r="K492" s="95">
        <f ca="1">'Planning Engine'!K1208</f>
        <v>0</v>
      </c>
      <c r="L492" s="12" t="str">
        <f ca="1">'Planning Engine'!L1208</f>
        <v>Overstock</v>
      </c>
      <c r="M492" s="93">
        <f>'Planning Engine'!S1208</f>
        <v>49888</v>
      </c>
      <c r="N492" s="95">
        <f>'Planning Engine'!T1208</f>
        <v>0</v>
      </c>
      <c r="O492" s="94" t="s">
        <v>2240</v>
      </c>
      <c r="P492" s="12" t="str">
        <f t="shared" ca="1" si="15"/>
        <v>Defer receipts</v>
      </c>
    </row>
    <row r="493" spans="1:16" ht="13" customHeight="1" x14ac:dyDescent="0.35">
      <c r="A493" s="97">
        <v>50041</v>
      </c>
      <c r="B493" s="53" t="s">
        <v>56</v>
      </c>
      <c r="C493" s="12" t="str">
        <f>'Planning Engine'!C1209</f>
        <v>Raw Material</v>
      </c>
      <c r="D493" s="12" t="str">
        <f>'Planning Engine'!D1209</f>
        <v>kg</v>
      </c>
      <c r="E493" s="95">
        <f>'Planning Engine'!E1209</f>
        <v>128.80000000000004</v>
      </c>
      <c r="F493" s="95">
        <f>'Planning Engine'!F1209</f>
        <v>0</v>
      </c>
      <c r="G493" s="95">
        <f>'Planning Engine'!G1209</f>
        <v>0</v>
      </c>
      <c r="H493" s="99">
        <f t="shared" si="14"/>
        <v>0</v>
      </c>
      <c r="I493" s="95">
        <f>'Planning Engine'!H1209</f>
        <v>128.80000000000004</v>
      </c>
      <c r="J493" s="96">
        <f ca="1">'Planning Engine'!J1209</f>
        <v>999</v>
      </c>
      <c r="K493" s="95">
        <f ca="1">'Planning Engine'!K1209</f>
        <v>0</v>
      </c>
      <c r="L493" s="12" t="str">
        <f ca="1">'Planning Engine'!L1209</f>
        <v>Overstock</v>
      </c>
      <c r="M493" s="93">
        <f>'Planning Engine'!S1209</f>
        <v>49919</v>
      </c>
      <c r="N493" s="95">
        <f>'Planning Engine'!T1209</f>
        <v>0</v>
      </c>
      <c r="O493" s="98" t="s">
        <v>2241</v>
      </c>
      <c r="P493" s="4" t="str">
        <f t="shared" ca="1" si="15"/>
        <v>Defer receipts</v>
      </c>
    </row>
    <row r="494" spans="1:16" ht="13" customHeight="1" x14ac:dyDescent="0.35">
      <c r="A494" s="93">
        <v>50072</v>
      </c>
      <c r="B494" s="61" t="s">
        <v>56</v>
      </c>
      <c r="C494" s="12" t="str">
        <f>'Planning Engine'!C1210</f>
        <v>Raw Material</v>
      </c>
      <c r="D494" s="12" t="str">
        <f>'Planning Engine'!D1210</f>
        <v>kg</v>
      </c>
      <c r="E494" s="95">
        <f>'Planning Engine'!E1210</f>
        <v>128.80000000000004</v>
      </c>
      <c r="F494" s="95">
        <f>'Planning Engine'!F1210</f>
        <v>0</v>
      </c>
      <c r="G494" s="95">
        <f>'Planning Engine'!G1210</f>
        <v>0</v>
      </c>
      <c r="H494" s="95">
        <f t="shared" si="14"/>
        <v>0</v>
      </c>
      <c r="I494" s="95">
        <f>'Planning Engine'!H1210</f>
        <v>128.80000000000004</v>
      </c>
      <c r="J494" s="96">
        <f ca="1">'Planning Engine'!J1210</f>
        <v>999</v>
      </c>
      <c r="K494" s="95">
        <f ca="1">'Planning Engine'!K1210</f>
        <v>0</v>
      </c>
      <c r="L494" s="12" t="str">
        <f ca="1">'Planning Engine'!L1210</f>
        <v>Overstock</v>
      </c>
      <c r="M494" s="93">
        <f>'Planning Engine'!S1210</f>
        <v>49949</v>
      </c>
      <c r="N494" s="95">
        <f>'Planning Engine'!T1210</f>
        <v>0</v>
      </c>
      <c r="O494" s="94" t="s">
        <v>2242</v>
      </c>
      <c r="P494" s="12" t="str">
        <f t="shared" ca="1" si="15"/>
        <v>Defer receipts</v>
      </c>
    </row>
    <row r="495" spans="1:16" ht="13" customHeight="1" x14ac:dyDescent="0.35">
      <c r="A495" s="97">
        <v>50100</v>
      </c>
      <c r="B495" s="53" t="s">
        <v>56</v>
      </c>
      <c r="C495" s="12" t="str">
        <f>'Planning Engine'!C1211</f>
        <v>Raw Material</v>
      </c>
      <c r="D495" s="12" t="str">
        <f>'Planning Engine'!D1211</f>
        <v>kg</v>
      </c>
      <c r="E495" s="95">
        <f>'Planning Engine'!E1211</f>
        <v>128.80000000000004</v>
      </c>
      <c r="F495" s="95">
        <f>'Planning Engine'!F1211</f>
        <v>0</v>
      </c>
      <c r="G495" s="95">
        <f>'Planning Engine'!G1211</f>
        <v>0</v>
      </c>
      <c r="H495" s="99">
        <f t="shared" si="14"/>
        <v>0</v>
      </c>
      <c r="I495" s="95">
        <f>'Planning Engine'!H1211</f>
        <v>128.80000000000004</v>
      </c>
      <c r="J495" s="96">
        <f ca="1">'Planning Engine'!J1211</f>
        <v>999</v>
      </c>
      <c r="K495" s="95">
        <f ca="1">'Planning Engine'!K1211</f>
        <v>0</v>
      </c>
      <c r="L495" s="12" t="str">
        <f ca="1">'Planning Engine'!L1211</f>
        <v>Overstock</v>
      </c>
      <c r="M495" s="93">
        <f>'Planning Engine'!S1211</f>
        <v>49980</v>
      </c>
      <c r="N495" s="95">
        <f>'Planning Engine'!T1211</f>
        <v>0</v>
      </c>
      <c r="O495" s="98" t="s">
        <v>2243</v>
      </c>
      <c r="P495" s="4" t="str">
        <f t="shared" ca="1" si="15"/>
        <v>Defer receipts</v>
      </c>
    </row>
    <row r="496" spans="1:16" ht="13" customHeight="1" x14ac:dyDescent="0.35">
      <c r="A496" s="93">
        <v>50131</v>
      </c>
      <c r="B496" s="61" t="s">
        <v>56</v>
      </c>
      <c r="C496" s="12" t="str">
        <f>'Planning Engine'!C1212</f>
        <v>Raw Material</v>
      </c>
      <c r="D496" s="12" t="str">
        <f>'Planning Engine'!D1212</f>
        <v>kg</v>
      </c>
      <c r="E496" s="95">
        <f>'Planning Engine'!E1212</f>
        <v>128.80000000000004</v>
      </c>
      <c r="F496" s="95">
        <f>'Planning Engine'!F1212</f>
        <v>0</v>
      </c>
      <c r="G496" s="95">
        <f>'Planning Engine'!G1212</f>
        <v>0</v>
      </c>
      <c r="H496" s="95">
        <f t="shared" si="14"/>
        <v>0</v>
      </c>
      <c r="I496" s="95">
        <f>'Planning Engine'!H1212</f>
        <v>128.80000000000004</v>
      </c>
      <c r="J496" s="96">
        <f ca="1">'Planning Engine'!J1212</f>
        <v>999</v>
      </c>
      <c r="K496" s="95">
        <f ca="1">'Planning Engine'!K1212</f>
        <v>0</v>
      </c>
      <c r="L496" s="12" t="str">
        <f ca="1">'Planning Engine'!L1212</f>
        <v>Overstock</v>
      </c>
      <c r="M496" s="93">
        <f>'Planning Engine'!S1212</f>
        <v>50010</v>
      </c>
      <c r="N496" s="95">
        <f>'Planning Engine'!T1212</f>
        <v>0</v>
      </c>
      <c r="O496" s="94" t="s">
        <v>2244</v>
      </c>
      <c r="P496" s="12" t="str">
        <f t="shared" ca="1" si="15"/>
        <v>Defer receipts</v>
      </c>
    </row>
    <row r="497" spans="1:16" ht="13" customHeight="1" x14ac:dyDescent="0.35">
      <c r="A497" s="97">
        <v>50161</v>
      </c>
      <c r="B497" s="53" t="s">
        <v>56</v>
      </c>
      <c r="C497" s="12" t="str">
        <f>'Planning Engine'!C1213</f>
        <v>Raw Material</v>
      </c>
      <c r="D497" s="12" t="str">
        <f>'Planning Engine'!D1213</f>
        <v>kg</v>
      </c>
      <c r="E497" s="95">
        <f>'Planning Engine'!E1213</f>
        <v>128.80000000000004</v>
      </c>
      <c r="F497" s="95">
        <f>'Planning Engine'!F1213</f>
        <v>0</v>
      </c>
      <c r="G497" s="95">
        <f>'Planning Engine'!G1213</f>
        <v>0</v>
      </c>
      <c r="H497" s="99">
        <f t="shared" si="14"/>
        <v>0</v>
      </c>
      <c r="I497" s="95">
        <f>'Planning Engine'!H1213</f>
        <v>128.80000000000004</v>
      </c>
      <c r="J497" s="96">
        <f ca="1">'Planning Engine'!J1213</f>
        <v>999</v>
      </c>
      <c r="K497" s="95">
        <f ca="1">'Planning Engine'!K1213</f>
        <v>0</v>
      </c>
      <c r="L497" s="12" t="str">
        <f ca="1">'Planning Engine'!L1213</f>
        <v>Overstock</v>
      </c>
      <c r="M497" s="93">
        <f>'Planning Engine'!S1213</f>
        <v>50041</v>
      </c>
      <c r="N497" s="95">
        <f>'Planning Engine'!T1213</f>
        <v>0</v>
      </c>
      <c r="O497" s="98" t="s">
        <v>2245</v>
      </c>
      <c r="P497" s="4" t="str">
        <f t="shared" ca="1" si="15"/>
        <v>Defer receipts</v>
      </c>
    </row>
    <row r="498" spans="1:16" ht="13" customHeight="1" x14ac:dyDescent="0.35">
      <c r="A498" s="93">
        <v>50192</v>
      </c>
      <c r="B498" s="61" t="s">
        <v>56</v>
      </c>
      <c r="C498" s="12" t="str">
        <f>'Planning Engine'!C1214</f>
        <v>Raw Material</v>
      </c>
      <c r="D498" s="12" t="str">
        <f>'Planning Engine'!D1214</f>
        <v>kg</v>
      </c>
      <c r="E498" s="95">
        <f>'Planning Engine'!E1214</f>
        <v>128.80000000000004</v>
      </c>
      <c r="F498" s="95">
        <f>'Planning Engine'!F1214</f>
        <v>0</v>
      </c>
      <c r="G498" s="95">
        <f>'Planning Engine'!G1214</f>
        <v>0</v>
      </c>
      <c r="H498" s="95">
        <f t="shared" si="14"/>
        <v>0</v>
      </c>
      <c r="I498" s="95">
        <f>'Planning Engine'!H1214</f>
        <v>128.80000000000004</v>
      </c>
      <c r="J498" s="96">
        <f ca="1">'Planning Engine'!J1214</f>
        <v>999</v>
      </c>
      <c r="K498" s="95">
        <f ca="1">'Planning Engine'!K1214</f>
        <v>0</v>
      </c>
      <c r="L498" s="12" t="str">
        <f ca="1">'Planning Engine'!L1214</f>
        <v>Overstock</v>
      </c>
      <c r="M498" s="93">
        <f>'Planning Engine'!S1214</f>
        <v>50072</v>
      </c>
      <c r="N498" s="95">
        <f>'Planning Engine'!T1214</f>
        <v>0</v>
      </c>
      <c r="O498" s="94" t="s">
        <v>2246</v>
      </c>
      <c r="P498" s="12" t="str">
        <f t="shared" ca="1" si="15"/>
        <v>Defer receipts</v>
      </c>
    </row>
    <row r="499" spans="1:16" ht="13" customHeight="1" x14ac:dyDescent="0.35">
      <c r="A499" s="97">
        <v>50222</v>
      </c>
      <c r="B499" s="53" t="s">
        <v>56</v>
      </c>
      <c r="C499" s="12" t="str">
        <f>'Planning Engine'!C1215</f>
        <v>Raw Material</v>
      </c>
      <c r="D499" s="12" t="str">
        <f>'Planning Engine'!D1215</f>
        <v>kg</v>
      </c>
      <c r="E499" s="95">
        <f>'Planning Engine'!E1215</f>
        <v>128.80000000000004</v>
      </c>
      <c r="F499" s="95">
        <f>'Planning Engine'!F1215</f>
        <v>0</v>
      </c>
      <c r="G499" s="95">
        <f>'Planning Engine'!G1215</f>
        <v>0</v>
      </c>
      <c r="H499" s="99">
        <f t="shared" si="14"/>
        <v>0</v>
      </c>
      <c r="I499" s="95">
        <f>'Planning Engine'!H1215</f>
        <v>128.80000000000004</v>
      </c>
      <c r="J499" s="96">
        <f ca="1">'Planning Engine'!J1215</f>
        <v>999</v>
      </c>
      <c r="K499" s="95">
        <f ca="1">'Planning Engine'!K1215</f>
        <v>0</v>
      </c>
      <c r="L499" s="12" t="str">
        <f ca="1">'Planning Engine'!L1215</f>
        <v>Overstock</v>
      </c>
      <c r="M499" s="93">
        <f>'Planning Engine'!S1215</f>
        <v>50100</v>
      </c>
      <c r="N499" s="95">
        <f>'Planning Engine'!T1215</f>
        <v>0</v>
      </c>
      <c r="O499" s="98" t="s">
        <v>2247</v>
      </c>
      <c r="P499" s="4" t="str">
        <f t="shared" ca="1" si="15"/>
        <v>Defer receipts</v>
      </c>
    </row>
    <row r="500" spans="1:16" ht="13" customHeight="1" x14ac:dyDescent="0.35">
      <c r="A500" s="93">
        <v>50253</v>
      </c>
      <c r="B500" s="61" t="s">
        <v>56</v>
      </c>
      <c r="C500" s="12" t="str">
        <f>'Planning Engine'!C1216</f>
        <v>Raw Material</v>
      </c>
      <c r="D500" s="12" t="str">
        <f>'Planning Engine'!D1216</f>
        <v>kg</v>
      </c>
      <c r="E500" s="95">
        <f>'Planning Engine'!E1216</f>
        <v>128.80000000000004</v>
      </c>
      <c r="F500" s="95">
        <f>'Planning Engine'!F1216</f>
        <v>0</v>
      </c>
      <c r="G500" s="95">
        <f>'Planning Engine'!G1216</f>
        <v>0</v>
      </c>
      <c r="H500" s="95">
        <f t="shared" si="14"/>
        <v>0</v>
      </c>
      <c r="I500" s="95">
        <f>'Planning Engine'!H1216</f>
        <v>128.80000000000004</v>
      </c>
      <c r="J500" s="96">
        <f ca="1">'Planning Engine'!J1216</f>
        <v>999</v>
      </c>
      <c r="K500" s="95">
        <f ca="1">'Planning Engine'!K1216</f>
        <v>0</v>
      </c>
      <c r="L500" s="12" t="str">
        <f ca="1">'Planning Engine'!L1216</f>
        <v>Overstock</v>
      </c>
      <c r="M500" s="93">
        <f>'Planning Engine'!S1216</f>
        <v>50131</v>
      </c>
      <c r="N500" s="95">
        <f>'Planning Engine'!T1216</f>
        <v>0</v>
      </c>
      <c r="O500" s="94" t="s">
        <v>2248</v>
      </c>
      <c r="P500" s="12" t="str">
        <f t="shared" ca="1" si="15"/>
        <v>Defer receipts</v>
      </c>
    </row>
    <row r="501" spans="1:16" ht="13" customHeight="1" x14ac:dyDescent="0.35">
      <c r="A501" s="97">
        <v>50284</v>
      </c>
      <c r="B501" s="53" t="s">
        <v>56</v>
      </c>
      <c r="C501" s="12" t="str">
        <f>'Planning Engine'!C1217</f>
        <v>Raw Material</v>
      </c>
      <c r="D501" s="12" t="str">
        <f>'Planning Engine'!D1217</f>
        <v>kg</v>
      </c>
      <c r="E501" s="95">
        <f>'Planning Engine'!E1217</f>
        <v>128.80000000000004</v>
      </c>
      <c r="F501" s="95">
        <f>'Planning Engine'!F1217</f>
        <v>0</v>
      </c>
      <c r="G501" s="95">
        <f>'Planning Engine'!G1217</f>
        <v>0</v>
      </c>
      <c r="H501" s="99">
        <f t="shared" si="14"/>
        <v>0</v>
      </c>
      <c r="I501" s="95">
        <f>'Planning Engine'!H1217</f>
        <v>128.80000000000004</v>
      </c>
      <c r="J501" s="96">
        <f ca="1">'Planning Engine'!J1217</f>
        <v>999</v>
      </c>
      <c r="K501" s="95">
        <f ca="1">'Planning Engine'!K1217</f>
        <v>0</v>
      </c>
      <c r="L501" s="12" t="str">
        <f ca="1">'Planning Engine'!L1217</f>
        <v>Overstock</v>
      </c>
      <c r="M501" s="93">
        <f>'Planning Engine'!S1217</f>
        <v>50161</v>
      </c>
      <c r="N501" s="95">
        <f>'Planning Engine'!T1217</f>
        <v>0</v>
      </c>
      <c r="O501" s="98" t="s">
        <v>2249</v>
      </c>
      <c r="P501" s="4" t="str">
        <f t="shared" ca="1" si="15"/>
        <v>Defer receipts</v>
      </c>
    </row>
    <row r="502" spans="1:16" ht="13" customHeight="1" x14ac:dyDescent="0.35">
      <c r="A502" s="93">
        <v>50314</v>
      </c>
      <c r="B502" s="61" t="s">
        <v>56</v>
      </c>
      <c r="C502" s="12" t="str">
        <f>'Planning Engine'!C1218</f>
        <v>Raw Material</v>
      </c>
      <c r="D502" s="12" t="str">
        <f>'Planning Engine'!D1218</f>
        <v>kg</v>
      </c>
      <c r="E502" s="95">
        <f>'Planning Engine'!E1218</f>
        <v>128.80000000000004</v>
      </c>
      <c r="F502" s="95">
        <f>'Planning Engine'!F1218</f>
        <v>0</v>
      </c>
      <c r="G502" s="95">
        <f>'Planning Engine'!G1218</f>
        <v>0</v>
      </c>
      <c r="H502" s="95">
        <f t="shared" si="14"/>
        <v>0</v>
      </c>
      <c r="I502" s="95">
        <f>'Planning Engine'!H1218</f>
        <v>128.80000000000004</v>
      </c>
      <c r="J502" s="96">
        <f ca="1">'Planning Engine'!J1218</f>
        <v>999</v>
      </c>
      <c r="K502" s="95">
        <f ca="1">'Planning Engine'!K1218</f>
        <v>0</v>
      </c>
      <c r="L502" s="12" t="str">
        <f ca="1">'Planning Engine'!L1218</f>
        <v>Overstock</v>
      </c>
      <c r="M502" s="93">
        <f>'Planning Engine'!S1218</f>
        <v>50192</v>
      </c>
      <c r="N502" s="95">
        <f>'Planning Engine'!T1218</f>
        <v>0</v>
      </c>
      <c r="O502" s="94" t="s">
        <v>2250</v>
      </c>
      <c r="P502" s="12" t="str">
        <f t="shared" ca="1" si="15"/>
        <v>Defer receipts</v>
      </c>
    </row>
    <row r="503" spans="1:16" ht="13" customHeight="1" x14ac:dyDescent="0.35">
      <c r="A503" s="97">
        <v>50345</v>
      </c>
      <c r="B503" s="53" t="s">
        <v>56</v>
      </c>
      <c r="C503" s="12" t="str">
        <f>'Planning Engine'!C1219</f>
        <v>Raw Material</v>
      </c>
      <c r="D503" s="12" t="str">
        <f>'Planning Engine'!D1219</f>
        <v>kg</v>
      </c>
      <c r="E503" s="95">
        <f>'Planning Engine'!E1219</f>
        <v>128.80000000000004</v>
      </c>
      <c r="F503" s="95">
        <f>'Planning Engine'!F1219</f>
        <v>0</v>
      </c>
      <c r="G503" s="95">
        <f>'Planning Engine'!G1219</f>
        <v>0</v>
      </c>
      <c r="H503" s="99">
        <f t="shared" si="14"/>
        <v>0</v>
      </c>
      <c r="I503" s="95">
        <f>'Planning Engine'!H1219</f>
        <v>128.80000000000004</v>
      </c>
      <c r="J503" s="96">
        <f ca="1">'Planning Engine'!J1219</f>
        <v>999</v>
      </c>
      <c r="K503" s="95">
        <f ca="1">'Planning Engine'!K1219</f>
        <v>0</v>
      </c>
      <c r="L503" s="12" t="str">
        <f ca="1">'Planning Engine'!L1219</f>
        <v>Overstock</v>
      </c>
      <c r="M503" s="93">
        <f>'Planning Engine'!S1219</f>
        <v>50222</v>
      </c>
      <c r="N503" s="95">
        <f>'Planning Engine'!T1219</f>
        <v>0</v>
      </c>
      <c r="O503" s="98" t="s">
        <v>2251</v>
      </c>
      <c r="P503" s="4" t="str">
        <f t="shared" ca="1" si="15"/>
        <v>Defer receipts</v>
      </c>
    </row>
    <row r="504" spans="1:16" ht="13" customHeight="1" x14ac:dyDescent="0.35">
      <c r="A504" s="93">
        <v>50375</v>
      </c>
      <c r="B504" s="61" t="s">
        <v>56</v>
      </c>
      <c r="C504" s="12" t="str">
        <f>'Planning Engine'!C1220</f>
        <v>Raw Material</v>
      </c>
      <c r="D504" s="12" t="str">
        <f>'Planning Engine'!D1220</f>
        <v>kg</v>
      </c>
      <c r="E504" s="95">
        <f>'Planning Engine'!E1220</f>
        <v>128.80000000000004</v>
      </c>
      <c r="F504" s="95">
        <f>'Planning Engine'!F1220</f>
        <v>0</v>
      </c>
      <c r="G504" s="95">
        <f>'Planning Engine'!G1220</f>
        <v>0</v>
      </c>
      <c r="H504" s="95">
        <f t="shared" si="14"/>
        <v>0</v>
      </c>
      <c r="I504" s="95">
        <f>'Planning Engine'!H1220</f>
        <v>128.80000000000004</v>
      </c>
      <c r="J504" s="96">
        <f ca="1">'Planning Engine'!J1220</f>
        <v>999</v>
      </c>
      <c r="K504" s="95">
        <f ca="1">'Planning Engine'!K1220</f>
        <v>0</v>
      </c>
      <c r="L504" s="12" t="str">
        <f ca="1">'Planning Engine'!L1220</f>
        <v>Overstock</v>
      </c>
      <c r="M504" s="93">
        <f>'Planning Engine'!S1220</f>
        <v>50253</v>
      </c>
      <c r="N504" s="95">
        <f>'Planning Engine'!T1220</f>
        <v>0</v>
      </c>
      <c r="O504" s="94" t="s">
        <v>2252</v>
      </c>
      <c r="P504" s="12" t="str">
        <f t="shared" ca="1" si="15"/>
        <v>Defer receipts</v>
      </c>
    </row>
    <row r="505" spans="1:16" ht="13" customHeight="1" x14ac:dyDescent="0.35">
      <c r="A505" s="97">
        <v>50406</v>
      </c>
      <c r="B505" s="53" t="s">
        <v>56</v>
      </c>
      <c r="C505" s="12" t="str">
        <f>'Planning Engine'!C1221</f>
        <v>Raw Material</v>
      </c>
      <c r="D505" s="12" t="str">
        <f>'Planning Engine'!D1221</f>
        <v>kg</v>
      </c>
      <c r="E505" s="95">
        <f>'Planning Engine'!E1221</f>
        <v>128.80000000000004</v>
      </c>
      <c r="F505" s="95">
        <f>'Planning Engine'!F1221</f>
        <v>0</v>
      </c>
      <c r="G505" s="95">
        <f>'Planning Engine'!G1221</f>
        <v>0</v>
      </c>
      <c r="H505" s="99">
        <f t="shared" si="14"/>
        <v>0</v>
      </c>
      <c r="I505" s="95">
        <f>'Planning Engine'!H1221</f>
        <v>128.80000000000004</v>
      </c>
      <c r="J505" s="96">
        <f ca="1">'Planning Engine'!J1221</f>
        <v>999</v>
      </c>
      <c r="K505" s="95">
        <f ca="1">'Planning Engine'!K1221</f>
        <v>0</v>
      </c>
      <c r="L505" s="12" t="str">
        <f ca="1">'Planning Engine'!L1221</f>
        <v>Overstock</v>
      </c>
      <c r="M505" s="93">
        <f>'Planning Engine'!S1221</f>
        <v>50284</v>
      </c>
      <c r="N505" s="95">
        <f>'Planning Engine'!T1221</f>
        <v>0</v>
      </c>
      <c r="O505" s="98" t="s">
        <v>2253</v>
      </c>
      <c r="P505" s="4" t="str">
        <f t="shared" ca="1" si="15"/>
        <v>Defer receipts</v>
      </c>
    </row>
    <row r="506" spans="1:16" ht="13" customHeight="1" x14ac:dyDescent="0.35">
      <c r="A506" s="93">
        <v>50437</v>
      </c>
      <c r="B506" s="61" t="s">
        <v>56</v>
      </c>
      <c r="C506" s="12" t="str">
        <f>'Planning Engine'!C1222</f>
        <v>Raw Material</v>
      </c>
      <c r="D506" s="12" t="str">
        <f>'Planning Engine'!D1222</f>
        <v>kg</v>
      </c>
      <c r="E506" s="95">
        <f>'Planning Engine'!E1222</f>
        <v>128.80000000000004</v>
      </c>
      <c r="F506" s="95">
        <f>'Planning Engine'!F1222</f>
        <v>0</v>
      </c>
      <c r="G506" s="95">
        <f>'Planning Engine'!G1222</f>
        <v>0</v>
      </c>
      <c r="H506" s="95">
        <f t="shared" si="14"/>
        <v>0</v>
      </c>
      <c r="I506" s="95">
        <f>'Planning Engine'!H1222</f>
        <v>128.80000000000004</v>
      </c>
      <c r="J506" s="96">
        <f ca="1">'Planning Engine'!J1222</f>
        <v>999</v>
      </c>
      <c r="K506" s="95">
        <f ca="1">'Planning Engine'!K1222</f>
        <v>0</v>
      </c>
      <c r="L506" s="12" t="str">
        <f ca="1">'Planning Engine'!L1222</f>
        <v>Overstock</v>
      </c>
      <c r="M506" s="93">
        <f>'Planning Engine'!S1222</f>
        <v>50314</v>
      </c>
      <c r="N506" s="95">
        <f>'Planning Engine'!T1222</f>
        <v>0</v>
      </c>
      <c r="O506" s="94" t="s">
        <v>2254</v>
      </c>
      <c r="P506" s="12" t="str">
        <f t="shared" ca="1" si="15"/>
        <v>Defer receipts</v>
      </c>
    </row>
    <row r="507" spans="1:16" ht="13" customHeight="1" x14ac:dyDescent="0.35">
      <c r="A507" s="97">
        <v>50465</v>
      </c>
      <c r="B507" s="53" t="s">
        <v>56</v>
      </c>
      <c r="C507" s="12" t="str">
        <f>'Planning Engine'!C1223</f>
        <v>Raw Material</v>
      </c>
      <c r="D507" s="12" t="str">
        <f>'Planning Engine'!D1223</f>
        <v>kg</v>
      </c>
      <c r="E507" s="95">
        <f>'Planning Engine'!E1223</f>
        <v>128.80000000000004</v>
      </c>
      <c r="F507" s="95">
        <f>'Planning Engine'!F1223</f>
        <v>0</v>
      </c>
      <c r="G507" s="95">
        <f>'Planning Engine'!G1223</f>
        <v>0</v>
      </c>
      <c r="H507" s="99">
        <f t="shared" si="14"/>
        <v>0</v>
      </c>
      <c r="I507" s="95">
        <f>'Planning Engine'!H1223</f>
        <v>128.80000000000004</v>
      </c>
      <c r="J507" s="96">
        <f ca="1">'Planning Engine'!J1223</f>
        <v>999</v>
      </c>
      <c r="K507" s="95">
        <f ca="1">'Planning Engine'!K1223</f>
        <v>0</v>
      </c>
      <c r="L507" s="12" t="str">
        <f ca="1">'Planning Engine'!L1223</f>
        <v>Overstock</v>
      </c>
      <c r="M507" s="93">
        <f>'Planning Engine'!S1223</f>
        <v>50345</v>
      </c>
      <c r="N507" s="95">
        <f>'Planning Engine'!T1223</f>
        <v>0</v>
      </c>
      <c r="O507" s="98" t="s">
        <v>2255</v>
      </c>
      <c r="P507" s="4" t="str">
        <f t="shared" ca="1" si="15"/>
        <v>Defer receipts</v>
      </c>
    </row>
    <row r="508" spans="1:16" ht="13" customHeight="1" x14ac:dyDescent="0.35">
      <c r="A508" s="93">
        <v>50496</v>
      </c>
      <c r="B508" s="61" t="s">
        <v>56</v>
      </c>
      <c r="C508" s="12" t="str">
        <f>'Planning Engine'!C1224</f>
        <v>Raw Material</v>
      </c>
      <c r="D508" s="12" t="str">
        <f>'Planning Engine'!D1224</f>
        <v>kg</v>
      </c>
      <c r="E508" s="95">
        <f>'Planning Engine'!E1224</f>
        <v>128.80000000000004</v>
      </c>
      <c r="F508" s="95">
        <f>'Planning Engine'!F1224</f>
        <v>0</v>
      </c>
      <c r="G508" s="95">
        <f>'Planning Engine'!G1224</f>
        <v>0</v>
      </c>
      <c r="H508" s="95">
        <f t="shared" si="14"/>
        <v>0</v>
      </c>
      <c r="I508" s="95">
        <f>'Planning Engine'!H1224</f>
        <v>128.80000000000004</v>
      </c>
      <c r="J508" s="96">
        <f ca="1">'Planning Engine'!J1224</f>
        <v>999</v>
      </c>
      <c r="K508" s="95">
        <f ca="1">'Planning Engine'!K1224</f>
        <v>0</v>
      </c>
      <c r="L508" s="12" t="str">
        <f ca="1">'Planning Engine'!L1224</f>
        <v>Overstock</v>
      </c>
      <c r="M508" s="93">
        <f>'Planning Engine'!S1224</f>
        <v>50375</v>
      </c>
      <c r="N508" s="95">
        <f>'Planning Engine'!T1224</f>
        <v>0</v>
      </c>
      <c r="O508" s="94" t="s">
        <v>2256</v>
      </c>
      <c r="P508" s="12" t="str">
        <f t="shared" ca="1" si="15"/>
        <v>Defer receipts</v>
      </c>
    </row>
    <row r="509" spans="1:16" ht="13" customHeight="1" x14ac:dyDescent="0.35">
      <c r="A509" s="97">
        <v>50526</v>
      </c>
      <c r="B509" s="53" t="s">
        <v>56</v>
      </c>
      <c r="C509" s="12" t="str">
        <f>'Planning Engine'!C1225</f>
        <v>Raw Material</v>
      </c>
      <c r="D509" s="12" t="str">
        <f>'Planning Engine'!D1225</f>
        <v>kg</v>
      </c>
      <c r="E509" s="95">
        <f>'Planning Engine'!E1225</f>
        <v>128.80000000000004</v>
      </c>
      <c r="F509" s="95">
        <f>'Planning Engine'!F1225</f>
        <v>0</v>
      </c>
      <c r="G509" s="95">
        <f>'Planning Engine'!G1225</f>
        <v>0</v>
      </c>
      <c r="H509" s="99">
        <f t="shared" si="14"/>
        <v>0</v>
      </c>
      <c r="I509" s="95">
        <f>'Planning Engine'!H1225</f>
        <v>128.80000000000004</v>
      </c>
      <c r="J509" s="96">
        <f ca="1">'Planning Engine'!J1225</f>
        <v>999</v>
      </c>
      <c r="K509" s="95">
        <f ca="1">'Planning Engine'!K1225</f>
        <v>0</v>
      </c>
      <c r="L509" s="12" t="str">
        <f ca="1">'Planning Engine'!L1225</f>
        <v>Overstock</v>
      </c>
      <c r="M509" s="93">
        <f>'Planning Engine'!S1225</f>
        <v>50406</v>
      </c>
      <c r="N509" s="95">
        <f>'Planning Engine'!T1225</f>
        <v>0</v>
      </c>
      <c r="O509" s="98" t="s">
        <v>2257</v>
      </c>
      <c r="P509" s="4" t="str">
        <f t="shared" ca="1" si="15"/>
        <v>Defer receipts</v>
      </c>
    </row>
    <row r="510" spans="1:16" ht="13" customHeight="1" x14ac:dyDescent="0.35">
      <c r="A510" s="93">
        <v>50557</v>
      </c>
      <c r="B510" s="61" t="s">
        <v>56</v>
      </c>
      <c r="C510" s="12" t="str">
        <f>'Planning Engine'!C1226</f>
        <v>Raw Material</v>
      </c>
      <c r="D510" s="12" t="str">
        <f>'Planning Engine'!D1226</f>
        <v>kg</v>
      </c>
      <c r="E510" s="95">
        <f>'Planning Engine'!E1226</f>
        <v>128.80000000000004</v>
      </c>
      <c r="F510" s="95">
        <f>'Planning Engine'!F1226</f>
        <v>0</v>
      </c>
      <c r="G510" s="95">
        <f>'Planning Engine'!G1226</f>
        <v>0</v>
      </c>
      <c r="H510" s="95">
        <f t="shared" si="14"/>
        <v>0</v>
      </c>
      <c r="I510" s="95">
        <f>'Planning Engine'!H1226</f>
        <v>128.80000000000004</v>
      </c>
      <c r="J510" s="96">
        <f ca="1">'Planning Engine'!J1226</f>
        <v>999</v>
      </c>
      <c r="K510" s="95">
        <f ca="1">'Planning Engine'!K1226</f>
        <v>0</v>
      </c>
      <c r="L510" s="12" t="str">
        <f ca="1">'Planning Engine'!L1226</f>
        <v>Overstock</v>
      </c>
      <c r="M510" s="93">
        <f>'Planning Engine'!S1226</f>
        <v>50437</v>
      </c>
      <c r="N510" s="95">
        <f>'Planning Engine'!T1226</f>
        <v>0</v>
      </c>
      <c r="O510" s="94" t="s">
        <v>2258</v>
      </c>
      <c r="P510" s="12" t="str">
        <f t="shared" ca="1" si="15"/>
        <v>Defer receipts</v>
      </c>
    </row>
    <row r="511" spans="1:16" ht="13" customHeight="1" x14ac:dyDescent="0.35">
      <c r="A511" s="97">
        <v>50587</v>
      </c>
      <c r="B511" s="53" t="s">
        <v>56</v>
      </c>
      <c r="C511" s="12" t="str">
        <f>'Planning Engine'!C1227</f>
        <v>Raw Material</v>
      </c>
      <c r="D511" s="12" t="str">
        <f>'Planning Engine'!D1227</f>
        <v>kg</v>
      </c>
      <c r="E511" s="95">
        <f>'Planning Engine'!E1227</f>
        <v>128.80000000000004</v>
      </c>
      <c r="F511" s="95">
        <f>'Planning Engine'!F1227</f>
        <v>0</v>
      </c>
      <c r="G511" s="95">
        <f>'Planning Engine'!G1227</f>
        <v>0</v>
      </c>
      <c r="H511" s="99">
        <f t="shared" si="14"/>
        <v>0</v>
      </c>
      <c r="I511" s="95">
        <f>'Planning Engine'!H1227</f>
        <v>128.80000000000004</v>
      </c>
      <c r="J511" s="96">
        <f ca="1">'Planning Engine'!J1227</f>
        <v>999</v>
      </c>
      <c r="K511" s="95">
        <f ca="1">'Planning Engine'!K1227</f>
        <v>0</v>
      </c>
      <c r="L511" s="12" t="str">
        <f ca="1">'Planning Engine'!L1227</f>
        <v>Overstock</v>
      </c>
      <c r="M511" s="93">
        <f>'Planning Engine'!S1227</f>
        <v>50465</v>
      </c>
      <c r="N511" s="95">
        <f>'Planning Engine'!T1227</f>
        <v>0</v>
      </c>
      <c r="O511" s="98" t="s">
        <v>2259</v>
      </c>
      <c r="P511" s="4" t="str">
        <f t="shared" ca="1" si="15"/>
        <v>Defer receipts</v>
      </c>
    </row>
    <row r="512" spans="1:16" ht="13" customHeight="1" x14ac:dyDescent="0.35">
      <c r="A512" s="93">
        <v>50618</v>
      </c>
      <c r="B512" s="61" t="s">
        <v>56</v>
      </c>
      <c r="C512" s="12" t="str">
        <f>'Planning Engine'!C1228</f>
        <v>Raw Material</v>
      </c>
      <c r="D512" s="12" t="str">
        <f>'Planning Engine'!D1228</f>
        <v>kg</v>
      </c>
      <c r="E512" s="95">
        <f>'Planning Engine'!E1228</f>
        <v>128.80000000000004</v>
      </c>
      <c r="F512" s="95">
        <f>'Planning Engine'!F1228</f>
        <v>0</v>
      </c>
      <c r="G512" s="95">
        <f>'Planning Engine'!G1228</f>
        <v>0</v>
      </c>
      <c r="H512" s="95">
        <f t="shared" si="14"/>
        <v>0</v>
      </c>
      <c r="I512" s="95">
        <f>'Planning Engine'!H1228</f>
        <v>128.80000000000004</v>
      </c>
      <c r="J512" s="96">
        <f ca="1">'Planning Engine'!J1228</f>
        <v>999</v>
      </c>
      <c r="K512" s="95">
        <f ca="1">'Planning Engine'!K1228</f>
        <v>0</v>
      </c>
      <c r="L512" s="12" t="str">
        <f ca="1">'Planning Engine'!L1228</f>
        <v>Overstock</v>
      </c>
      <c r="M512" s="93">
        <f>'Planning Engine'!S1228</f>
        <v>50496</v>
      </c>
      <c r="N512" s="95">
        <f>'Planning Engine'!T1228</f>
        <v>0</v>
      </c>
      <c r="O512" s="94" t="s">
        <v>2260</v>
      </c>
      <c r="P512" s="12" t="str">
        <f t="shared" ca="1" si="15"/>
        <v>Defer receipts</v>
      </c>
    </row>
    <row r="513" spans="1:16" ht="13" customHeight="1" x14ac:dyDescent="0.35">
      <c r="A513" s="97">
        <v>50649</v>
      </c>
      <c r="B513" s="53" t="s">
        <v>56</v>
      </c>
      <c r="C513" s="12" t="str">
        <f>'Planning Engine'!C1229</f>
        <v>Raw Material</v>
      </c>
      <c r="D513" s="12" t="str">
        <f>'Planning Engine'!D1229</f>
        <v>kg</v>
      </c>
      <c r="E513" s="95">
        <f>'Planning Engine'!E1229</f>
        <v>128.80000000000004</v>
      </c>
      <c r="F513" s="95">
        <f>'Planning Engine'!F1229</f>
        <v>0</v>
      </c>
      <c r="G513" s="95">
        <f>'Planning Engine'!G1229</f>
        <v>0</v>
      </c>
      <c r="H513" s="99">
        <f t="shared" si="14"/>
        <v>0</v>
      </c>
      <c r="I513" s="95">
        <f>'Planning Engine'!H1229</f>
        <v>128.80000000000004</v>
      </c>
      <c r="J513" s="96">
        <f ca="1">'Planning Engine'!J1229</f>
        <v>999</v>
      </c>
      <c r="K513" s="95">
        <f ca="1">'Planning Engine'!K1229</f>
        <v>0</v>
      </c>
      <c r="L513" s="12" t="str">
        <f ca="1">'Planning Engine'!L1229</f>
        <v>Overstock</v>
      </c>
      <c r="M513" s="93">
        <f>'Planning Engine'!S1229</f>
        <v>50526</v>
      </c>
      <c r="N513" s="95">
        <f>'Planning Engine'!T1229</f>
        <v>0</v>
      </c>
      <c r="O513" s="98" t="s">
        <v>2261</v>
      </c>
      <c r="P513" s="4" t="str">
        <f t="shared" ca="1" si="15"/>
        <v>Defer receipts</v>
      </c>
    </row>
    <row r="514" spans="1:16" ht="13" customHeight="1" x14ac:dyDescent="0.35">
      <c r="A514" s="93">
        <v>50679</v>
      </c>
      <c r="B514" s="61" t="s">
        <v>56</v>
      </c>
      <c r="C514" s="12" t="str">
        <f>'Planning Engine'!C1230</f>
        <v>Raw Material</v>
      </c>
      <c r="D514" s="12" t="str">
        <f>'Planning Engine'!D1230</f>
        <v>kg</v>
      </c>
      <c r="E514" s="95">
        <f>'Planning Engine'!E1230</f>
        <v>128.80000000000004</v>
      </c>
      <c r="F514" s="95">
        <f>'Planning Engine'!F1230</f>
        <v>0</v>
      </c>
      <c r="G514" s="95">
        <f>'Planning Engine'!G1230</f>
        <v>0</v>
      </c>
      <c r="H514" s="95">
        <f t="shared" si="14"/>
        <v>0</v>
      </c>
      <c r="I514" s="95">
        <f>'Planning Engine'!H1230</f>
        <v>128.80000000000004</v>
      </c>
      <c r="J514" s="96">
        <f ca="1">'Planning Engine'!J1230</f>
        <v>999</v>
      </c>
      <c r="K514" s="95">
        <f ca="1">'Planning Engine'!K1230</f>
        <v>0</v>
      </c>
      <c r="L514" s="12" t="str">
        <f ca="1">'Planning Engine'!L1230</f>
        <v>Overstock</v>
      </c>
      <c r="M514" s="93">
        <f>'Planning Engine'!S1230</f>
        <v>50557</v>
      </c>
      <c r="N514" s="95">
        <f>'Planning Engine'!T1230</f>
        <v>0</v>
      </c>
      <c r="O514" s="94" t="s">
        <v>2262</v>
      </c>
      <c r="P514" s="12" t="str">
        <f t="shared" ca="1" si="15"/>
        <v>Defer receipts</v>
      </c>
    </row>
    <row r="515" spans="1:16" ht="13" customHeight="1" x14ac:dyDescent="0.35">
      <c r="A515" s="97">
        <v>50710</v>
      </c>
      <c r="B515" s="53" t="s">
        <v>56</v>
      </c>
      <c r="C515" s="12" t="str">
        <f>'Planning Engine'!C1231</f>
        <v>Raw Material</v>
      </c>
      <c r="D515" s="12" t="str">
        <f>'Planning Engine'!D1231</f>
        <v>kg</v>
      </c>
      <c r="E515" s="95">
        <f>'Planning Engine'!E1231</f>
        <v>128.80000000000004</v>
      </c>
      <c r="F515" s="95">
        <f>'Planning Engine'!F1231</f>
        <v>0</v>
      </c>
      <c r="G515" s="95">
        <f>'Planning Engine'!G1231</f>
        <v>0</v>
      </c>
      <c r="H515" s="99">
        <f t="shared" si="14"/>
        <v>0</v>
      </c>
      <c r="I515" s="95">
        <f>'Planning Engine'!H1231</f>
        <v>128.80000000000004</v>
      </c>
      <c r="J515" s="96">
        <f ca="1">'Planning Engine'!J1231</f>
        <v>999</v>
      </c>
      <c r="K515" s="95">
        <f ca="1">'Planning Engine'!K1231</f>
        <v>0</v>
      </c>
      <c r="L515" s="12" t="str">
        <f ca="1">'Planning Engine'!L1231</f>
        <v>Overstock</v>
      </c>
      <c r="M515" s="93">
        <f>'Planning Engine'!S1231</f>
        <v>50587</v>
      </c>
      <c r="N515" s="95">
        <f>'Planning Engine'!T1231</f>
        <v>0</v>
      </c>
      <c r="O515" s="98" t="s">
        <v>2263</v>
      </c>
      <c r="P515" s="4" t="str">
        <f t="shared" ca="1" si="15"/>
        <v>Defer receipts</v>
      </c>
    </row>
    <row r="516" spans="1:16" ht="13" customHeight="1" x14ac:dyDescent="0.35">
      <c r="A516" s="93">
        <v>50740</v>
      </c>
      <c r="B516" s="61" t="s">
        <v>56</v>
      </c>
      <c r="C516" s="12" t="str">
        <f>'Planning Engine'!C1232</f>
        <v>Raw Material</v>
      </c>
      <c r="D516" s="12" t="str">
        <f>'Planning Engine'!D1232</f>
        <v>kg</v>
      </c>
      <c r="E516" s="95">
        <f>'Planning Engine'!E1232</f>
        <v>128.80000000000004</v>
      </c>
      <c r="F516" s="95">
        <f>'Planning Engine'!F1232</f>
        <v>0</v>
      </c>
      <c r="G516" s="95">
        <f>'Planning Engine'!G1232</f>
        <v>0</v>
      </c>
      <c r="H516" s="95">
        <f t="shared" ref="H516:H579" si="16">G516-F516</f>
        <v>0</v>
      </c>
      <c r="I516" s="95">
        <f>'Planning Engine'!H1232</f>
        <v>128.80000000000004</v>
      </c>
      <c r="J516" s="96">
        <f ca="1">'Planning Engine'!J1232</f>
        <v>999</v>
      </c>
      <c r="K516" s="95">
        <f ca="1">'Planning Engine'!K1232</f>
        <v>0</v>
      </c>
      <c r="L516" s="12" t="str">
        <f ca="1">'Planning Engine'!L1232</f>
        <v>Overstock</v>
      </c>
      <c r="M516" s="93">
        <f>'Planning Engine'!S1232</f>
        <v>50618</v>
      </c>
      <c r="N516" s="95">
        <f>'Planning Engine'!T1232</f>
        <v>0</v>
      </c>
      <c r="O516" s="94" t="s">
        <v>2264</v>
      </c>
      <c r="P516" s="12" t="str">
        <f t="shared" ref="P516:P579" ca="1" si="17">IFERROR(IF(L516="High","⚠ Expedite / qualify alternate source",IF(L516="Medium","Monitor — plan additional POs",IF(L516="Overstock","Defer receipts","OK"))),"--")</f>
        <v>Defer receipts</v>
      </c>
    </row>
    <row r="517" spans="1:16" ht="13" customHeight="1" x14ac:dyDescent="0.35">
      <c r="A517" s="97">
        <v>50771</v>
      </c>
      <c r="B517" s="53" t="s">
        <v>56</v>
      </c>
      <c r="C517" s="12" t="str">
        <f>'Planning Engine'!C1233</f>
        <v>Raw Material</v>
      </c>
      <c r="D517" s="12" t="str">
        <f>'Planning Engine'!D1233</f>
        <v>kg</v>
      </c>
      <c r="E517" s="95">
        <f>'Planning Engine'!E1233</f>
        <v>128.80000000000004</v>
      </c>
      <c r="F517" s="95">
        <f>'Planning Engine'!F1233</f>
        <v>0</v>
      </c>
      <c r="G517" s="95">
        <f>'Planning Engine'!G1233</f>
        <v>0</v>
      </c>
      <c r="H517" s="99">
        <f t="shared" si="16"/>
        <v>0</v>
      </c>
      <c r="I517" s="95">
        <f>'Planning Engine'!H1233</f>
        <v>128.80000000000004</v>
      </c>
      <c r="J517" s="96">
        <f ca="1">'Planning Engine'!J1233</f>
        <v>999</v>
      </c>
      <c r="K517" s="95">
        <f ca="1">'Planning Engine'!K1233</f>
        <v>0</v>
      </c>
      <c r="L517" s="12" t="str">
        <f ca="1">'Planning Engine'!L1233</f>
        <v>Overstock</v>
      </c>
      <c r="M517" s="93">
        <f>'Planning Engine'!S1233</f>
        <v>50649</v>
      </c>
      <c r="N517" s="95">
        <f>'Planning Engine'!T1233</f>
        <v>0</v>
      </c>
      <c r="O517" s="98" t="s">
        <v>2265</v>
      </c>
      <c r="P517" s="4" t="str">
        <f t="shared" ca="1" si="17"/>
        <v>Defer receipts</v>
      </c>
    </row>
    <row r="518" spans="1:16" ht="13" customHeight="1" x14ac:dyDescent="0.35">
      <c r="A518" s="93">
        <v>50802</v>
      </c>
      <c r="B518" s="61" t="s">
        <v>56</v>
      </c>
      <c r="C518" s="12" t="str">
        <f>'Planning Engine'!C1234</f>
        <v>Raw Material</v>
      </c>
      <c r="D518" s="12" t="str">
        <f>'Planning Engine'!D1234</f>
        <v>kg</v>
      </c>
      <c r="E518" s="95">
        <f>'Planning Engine'!E1234</f>
        <v>128.80000000000004</v>
      </c>
      <c r="F518" s="95">
        <f>'Planning Engine'!F1234</f>
        <v>0</v>
      </c>
      <c r="G518" s="95">
        <f>'Planning Engine'!G1234</f>
        <v>0</v>
      </c>
      <c r="H518" s="95">
        <f t="shared" si="16"/>
        <v>0</v>
      </c>
      <c r="I518" s="95">
        <f>'Planning Engine'!H1234</f>
        <v>128.80000000000004</v>
      </c>
      <c r="J518" s="96">
        <f ca="1">'Planning Engine'!J1234</f>
        <v>999</v>
      </c>
      <c r="K518" s="95">
        <f ca="1">'Planning Engine'!K1234</f>
        <v>0</v>
      </c>
      <c r="L518" s="12" t="str">
        <f ca="1">'Planning Engine'!L1234</f>
        <v>Overstock</v>
      </c>
      <c r="M518" s="93">
        <f>'Planning Engine'!S1234</f>
        <v>50679</v>
      </c>
      <c r="N518" s="95">
        <f>'Planning Engine'!T1234</f>
        <v>0</v>
      </c>
      <c r="O518" s="94" t="s">
        <v>2266</v>
      </c>
      <c r="P518" s="12" t="str">
        <f t="shared" ca="1" si="17"/>
        <v>Defer receipts</v>
      </c>
    </row>
    <row r="519" spans="1:16" ht="13" customHeight="1" x14ac:dyDescent="0.35">
      <c r="A519" s="97">
        <v>50830</v>
      </c>
      <c r="B519" s="53" t="s">
        <v>56</v>
      </c>
      <c r="C519" s="12" t="str">
        <f>'Planning Engine'!C1235</f>
        <v>Raw Material</v>
      </c>
      <c r="D519" s="12" t="str">
        <f>'Planning Engine'!D1235</f>
        <v>kg</v>
      </c>
      <c r="E519" s="95">
        <f>'Planning Engine'!E1235</f>
        <v>128.80000000000004</v>
      </c>
      <c r="F519" s="95">
        <f>'Planning Engine'!F1235</f>
        <v>0</v>
      </c>
      <c r="G519" s="95">
        <f>'Planning Engine'!G1235</f>
        <v>0</v>
      </c>
      <c r="H519" s="99">
        <f t="shared" si="16"/>
        <v>0</v>
      </c>
      <c r="I519" s="95">
        <f>'Planning Engine'!H1235</f>
        <v>128.80000000000004</v>
      </c>
      <c r="J519" s="96">
        <f ca="1">'Planning Engine'!J1235</f>
        <v>999</v>
      </c>
      <c r="K519" s="95">
        <f ca="1">'Planning Engine'!K1235</f>
        <v>0</v>
      </c>
      <c r="L519" s="12" t="str">
        <f ca="1">'Planning Engine'!L1235</f>
        <v>Overstock</v>
      </c>
      <c r="M519" s="93">
        <f>'Planning Engine'!S1235</f>
        <v>50710</v>
      </c>
      <c r="N519" s="95">
        <f>'Planning Engine'!T1235</f>
        <v>0</v>
      </c>
      <c r="O519" s="98" t="s">
        <v>2267</v>
      </c>
      <c r="P519" s="4" t="str">
        <f t="shared" ca="1" si="17"/>
        <v>Defer receipts</v>
      </c>
    </row>
    <row r="520" spans="1:16" ht="13" customHeight="1" x14ac:dyDescent="0.35">
      <c r="A520" s="93">
        <v>50861</v>
      </c>
      <c r="B520" s="61" t="s">
        <v>56</v>
      </c>
      <c r="C520" s="12" t="str">
        <f>'Planning Engine'!C1236</f>
        <v>Raw Material</v>
      </c>
      <c r="D520" s="12" t="str">
        <f>'Planning Engine'!D1236</f>
        <v>kg</v>
      </c>
      <c r="E520" s="95">
        <f>'Planning Engine'!E1236</f>
        <v>128.80000000000004</v>
      </c>
      <c r="F520" s="95">
        <f>'Planning Engine'!F1236</f>
        <v>0</v>
      </c>
      <c r="G520" s="95">
        <f>'Planning Engine'!G1236</f>
        <v>0</v>
      </c>
      <c r="H520" s="95">
        <f t="shared" si="16"/>
        <v>0</v>
      </c>
      <c r="I520" s="95">
        <f>'Planning Engine'!H1236</f>
        <v>128.80000000000004</v>
      </c>
      <c r="J520" s="96">
        <f ca="1">'Planning Engine'!J1236</f>
        <v>999</v>
      </c>
      <c r="K520" s="95">
        <f ca="1">'Planning Engine'!K1236</f>
        <v>0</v>
      </c>
      <c r="L520" s="12" t="str">
        <f ca="1">'Planning Engine'!L1236</f>
        <v>Overstock</v>
      </c>
      <c r="M520" s="93">
        <f>'Planning Engine'!S1236</f>
        <v>50740</v>
      </c>
      <c r="N520" s="95">
        <f>'Planning Engine'!T1236</f>
        <v>0</v>
      </c>
      <c r="O520" s="94" t="s">
        <v>2268</v>
      </c>
      <c r="P520" s="12" t="str">
        <f t="shared" ca="1" si="17"/>
        <v>Defer receipts</v>
      </c>
    </row>
    <row r="521" spans="1:16" ht="13" customHeight="1" x14ac:dyDescent="0.35">
      <c r="A521" s="97">
        <v>50891</v>
      </c>
      <c r="B521" s="53" t="s">
        <v>56</v>
      </c>
      <c r="C521" s="12" t="str">
        <f>'Planning Engine'!C1237</f>
        <v>Raw Material</v>
      </c>
      <c r="D521" s="12" t="str">
        <f>'Planning Engine'!D1237</f>
        <v>kg</v>
      </c>
      <c r="E521" s="95">
        <f>'Planning Engine'!E1237</f>
        <v>128.80000000000004</v>
      </c>
      <c r="F521" s="95">
        <f>'Planning Engine'!F1237</f>
        <v>0</v>
      </c>
      <c r="G521" s="95">
        <f>'Planning Engine'!G1237</f>
        <v>0</v>
      </c>
      <c r="H521" s="99">
        <f t="shared" si="16"/>
        <v>0</v>
      </c>
      <c r="I521" s="95">
        <f>'Planning Engine'!H1237</f>
        <v>128.80000000000004</v>
      </c>
      <c r="J521" s="96">
        <f ca="1">'Planning Engine'!J1237</f>
        <v>999</v>
      </c>
      <c r="K521" s="95">
        <f ca="1">'Planning Engine'!K1237</f>
        <v>0</v>
      </c>
      <c r="L521" s="12" t="str">
        <f ca="1">'Planning Engine'!L1237</f>
        <v>Overstock</v>
      </c>
      <c r="M521" s="93">
        <f>'Planning Engine'!S1237</f>
        <v>50771</v>
      </c>
      <c r="N521" s="95">
        <f>'Planning Engine'!T1237</f>
        <v>0</v>
      </c>
      <c r="O521" s="98" t="s">
        <v>2269</v>
      </c>
      <c r="P521" s="4" t="str">
        <f t="shared" ca="1" si="17"/>
        <v>Defer receipts</v>
      </c>
    </row>
    <row r="522" spans="1:16" ht="13" customHeight="1" x14ac:dyDescent="0.35">
      <c r="A522" s="93">
        <v>50922</v>
      </c>
      <c r="B522" s="61" t="s">
        <v>56</v>
      </c>
      <c r="C522" s="12" t="str">
        <f>'Planning Engine'!C1238</f>
        <v>Raw Material</v>
      </c>
      <c r="D522" s="12" t="str">
        <f>'Planning Engine'!D1238</f>
        <v>kg</v>
      </c>
      <c r="E522" s="95">
        <f>'Planning Engine'!E1238</f>
        <v>128.80000000000004</v>
      </c>
      <c r="F522" s="95">
        <f>'Planning Engine'!F1238</f>
        <v>0</v>
      </c>
      <c r="G522" s="95">
        <f>'Planning Engine'!G1238</f>
        <v>0</v>
      </c>
      <c r="H522" s="95">
        <f t="shared" si="16"/>
        <v>0</v>
      </c>
      <c r="I522" s="95">
        <f>'Planning Engine'!H1238</f>
        <v>128.80000000000004</v>
      </c>
      <c r="J522" s="96">
        <f ca="1">'Planning Engine'!J1238</f>
        <v>999</v>
      </c>
      <c r="K522" s="95">
        <f ca="1">'Planning Engine'!K1238</f>
        <v>0</v>
      </c>
      <c r="L522" s="12" t="str">
        <f ca="1">'Planning Engine'!L1238</f>
        <v>Overstock</v>
      </c>
      <c r="M522" s="93">
        <f>'Planning Engine'!S1238</f>
        <v>50802</v>
      </c>
      <c r="N522" s="95">
        <f>'Planning Engine'!T1238</f>
        <v>0</v>
      </c>
      <c r="O522" s="94" t="s">
        <v>2270</v>
      </c>
      <c r="P522" s="12" t="str">
        <f t="shared" ca="1" si="17"/>
        <v>Defer receipts</v>
      </c>
    </row>
    <row r="523" spans="1:16" ht="13" customHeight="1" x14ac:dyDescent="0.35">
      <c r="A523" s="97">
        <v>50952</v>
      </c>
      <c r="B523" s="53" t="s">
        <v>56</v>
      </c>
      <c r="C523" s="12" t="str">
        <f>'Planning Engine'!C1239</f>
        <v>Raw Material</v>
      </c>
      <c r="D523" s="12" t="str">
        <f>'Planning Engine'!D1239</f>
        <v>kg</v>
      </c>
      <c r="E523" s="95">
        <f>'Planning Engine'!E1239</f>
        <v>128.80000000000004</v>
      </c>
      <c r="F523" s="95">
        <f>'Planning Engine'!F1239</f>
        <v>0</v>
      </c>
      <c r="G523" s="95">
        <f>'Planning Engine'!G1239</f>
        <v>0</v>
      </c>
      <c r="H523" s="99">
        <f t="shared" si="16"/>
        <v>0</v>
      </c>
      <c r="I523" s="95">
        <f>'Planning Engine'!H1239</f>
        <v>128.80000000000004</v>
      </c>
      <c r="J523" s="96">
        <f ca="1">'Planning Engine'!J1239</f>
        <v>999</v>
      </c>
      <c r="K523" s="95">
        <f ca="1">'Planning Engine'!K1239</f>
        <v>0</v>
      </c>
      <c r="L523" s="12" t="str">
        <f ca="1">'Planning Engine'!L1239</f>
        <v>Overstock</v>
      </c>
      <c r="M523" s="93">
        <f>'Planning Engine'!S1239</f>
        <v>50830</v>
      </c>
      <c r="N523" s="95">
        <f>'Planning Engine'!T1239</f>
        <v>0</v>
      </c>
      <c r="O523" s="98" t="s">
        <v>2271</v>
      </c>
      <c r="P523" s="4" t="str">
        <f t="shared" ca="1" si="17"/>
        <v>Defer receipts</v>
      </c>
    </row>
    <row r="524" spans="1:16" ht="13" customHeight="1" x14ac:dyDescent="0.35">
      <c r="A524" s="93">
        <v>50983</v>
      </c>
      <c r="B524" s="61" t="s">
        <v>56</v>
      </c>
      <c r="C524" s="12" t="str">
        <f>'Planning Engine'!C1240</f>
        <v>Raw Material</v>
      </c>
      <c r="D524" s="12" t="str">
        <f>'Planning Engine'!D1240</f>
        <v>kg</v>
      </c>
      <c r="E524" s="95">
        <f>'Planning Engine'!E1240</f>
        <v>128.80000000000004</v>
      </c>
      <c r="F524" s="95">
        <f>'Planning Engine'!F1240</f>
        <v>0</v>
      </c>
      <c r="G524" s="95">
        <f>'Planning Engine'!G1240</f>
        <v>0</v>
      </c>
      <c r="H524" s="95">
        <f t="shared" si="16"/>
        <v>0</v>
      </c>
      <c r="I524" s="95">
        <f>'Planning Engine'!H1240</f>
        <v>128.80000000000004</v>
      </c>
      <c r="J524" s="96">
        <f ca="1">'Planning Engine'!J1240</f>
        <v>999</v>
      </c>
      <c r="K524" s="95">
        <f ca="1">'Planning Engine'!K1240</f>
        <v>0</v>
      </c>
      <c r="L524" s="12" t="str">
        <f ca="1">'Planning Engine'!L1240</f>
        <v>Overstock</v>
      </c>
      <c r="M524" s="93">
        <f>'Planning Engine'!S1240</f>
        <v>50861</v>
      </c>
      <c r="N524" s="95">
        <f>'Planning Engine'!T1240</f>
        <v>0</v>
      </c>
      <c r="O524" s="94" t="s">
        <v>2272</v>
      </c>
      <c r="P524" s="12" t="str">
        <f t="shared" ca="1" si="17"/>
        <v>Defer receipts</v>
      </c>
    </row>
    <row r="525" spans="1:16" ht="13" customHeight="1" x14ac:dyDescent="0.35">
      <c r="A525" s="97">
        <v>51014</v>
      </c>
      <c r="B525" s="53" t="s">
        <v>56</v>
      </c>
      <c r="C525" s="12" t="str">
        <f>'Planning Engine'!C1241</f>
        <v>Raw Material</v>
      </c>
      <c r="D525" s="12" t="str">
        <f>'Planning Engine'!D1241</f>
        <v>kg</v>
      </c>
      <c r="E525" s="95">
        <f>'Planning Engine'!E1241</f>
        <v>128.80000000000004</v>
      </c>
      <c r="F525" s="95">
        <f>'Planning Engine'!F1241</f>
        <v>0</v>
      </c>
      <c r="G525" s="95">
        <f>'Planning Engine'!G1241</f>
        <v>0</v>
      </c>
      <c r="H525" s="99">
        <f t="shared" si="16"/>
        <v>0</v>
      </c>
      <c r="I525" s="95">
        <f>'Planning Engine'!H1241</f>
        <v>128.80000000000004</v>
      </c>
      <c r="J525" s="96">
        <f ca="1">'Planning Engine'!J1241</f>
        <v>999</v>
      </c>
      <c r="K525" s="95">
        <f ca="1">'Planning Engine'!K1241</f>
        <v>0</v>
      </c>
      <c r="L525" s="12" t="str">
        <f ca="1">'Planning Engine'!L1241</f>
        <v>Overstock</v>
      </c>
      <c r="M525" s="93">
        <f>'Planning Engine'!S1241</f>
        <v>50891</v>
      </c>
      <c r="N525" s="95">
        <f>'Planning Engine'!T1241</f>
        <v>0</v>
      </c>
      <c r="O525" s="98" t="s">
        <v>2273</v>
      </c>
      <c r="P525" s="4" t="str">
        <f t="shared" ca="1" si="17"/>
        <v>Defer receipts</v>
      </c>
    </row>
    <row r="526" spans="1:16" ht="13" customHeight="1" x14ac:dyDescent="0.35">
      <c r="A526" s="93">
        <v>51044</v>
      </c>
      <c r="B526" s="61" t="s">
        <v>56</v>
      </c>
      <c r="C526" s="12" t="str">
        <f>'Planning Engine'!C1242</f>
        <v>Raw Material</v>
      </c>
      <c r="D526" s="12" t="str">
        <f>'Planning Engine'!D1242</f>
        <v>kg</v>
      </c>
      <c r="E526" s="95">
        <f>'Planning Engine'!E1242</f>
        <v>128.80000000000004</v>
      </c>
      <c r="F526" s="95">
        <f>'Planning Engine'!F1242</f>
        <v>0</v>
      </c>
      <c r="G526" s="95">
        <f>'Planning Engine'!G1242</f>
        <v>0</v>
      </c>
      <c r="H526" s="95">
        <f t="shared" si="16"/>
        <v>0</v>
      </c>
      <c r="I526" s="95">
        <f>'Planning Engine'!H1242</f>
        <v>128.80000000000004</v>
      </c>
      <c r="J526" s="96">
        <f ca="1">'Planning Engine'!J1242</f>
        <v>999</v>
      </c>
      <c r="K526" s="95">
        <f ca="1">'Planning Engine'!K1242</f>
        <v>0</v>
      </c>
      <c r="L526" s="12" t="str">
        <f ca="1">'Planning Engine'!L1242</f>
        <v>Overstock</v>
      </c>
      <c r="M526" s="93">
        <f>'Planning Engine'!S1242</f>
        <v>50922</v>
      </c>
      <c r="N526" s="95">
        <f>'Planning Engine'!T1242</f>
        <v>0</v>
      </c>
      <c r="O526" s="94" t="s">
        <v>2274</v>
      </c>
      <c r="P526" s="12" t="str">
        <f t="shared" ca="1" si="17"/>
        <v>Defer receipts</v>
      </c>
    </row>
    <row r="527" spans="1:16" ht="13" customHeight="1" x14ac:dyDescent="0.35">
      <c r="A527" s="97">
        <v>51075</v>
      </c>
      <c r="B527" s="53" t="s">
        <v>56</v>
      </c>
      <c r="C527" s="12" t="str">
        <f>'Planning Engine'!C1243</f>
        <v>Raw Material</v>
      </c>
      <c r="D527" s="12" t="str">
        <f>'Planning Engine'!D1243</f>
        <v>kg</v>
      </c>
      <c r="E527" s="95">
        <f>'Planning Engine'!E1243</f>
        <v>128.80000000000004</v>
      </c>
      <c r="F527" s="95">
        <f>'Planning Engine'!F1243</f>
        <v>0</v>
      </c>
      <c r="G527" s="95">
        <f>'Planning Engine'!G1243</f>
        <v>0</v>
      </c>
      <c r="H527" s="99">
        <f t="shared" si="16"/>
        <v>0</v>
      </c>
      <c r="I527" s="95">
        <f>'Planning Engine'!H1243</f>
        <v>128.80000000000004</v>
      </c>
      <c r="J527" s="96">
        <f ca="1">'Planning Engine'!J1243</f>
        <v>999</v>
      </c>
      <c r="K527" s="95">
        <f ca="1">'Planning Engine'!K1243</f>
        <v>0</v>
      </c>
      <c r="L527" s="12" t="str">
        <f ca="1">'Planning Engine'!L1243</f>
        <v>Overstock</v>
      </c>
      <c r="M527" s="93">
        <f>'Planning Engine'!S1243</f>
        <v>50952</v>
      </c>
      <c r="N527" s="95">
        <f>'Planning Engine'!T1243</f>
        <v>0</v>
      </c>
      <c r="O527" s="98" t="s">
        <v>2275</v>
      </c>
      <c r="P527" s="4" t="str">
        <f t="shared" ca="1" si="17"/>
        <v>Defer receipts</v>
      </c>
    </row>
    <row r="528" spans="1:16" ht="13" customHeight="1" x14ac:dyDescent="0.35">
      <c r="A528" s="93">
        <v>51105</v>
      </c>
      <c r="B528" s="61" t="s">
        <v>56</v>
      </c>
      <c r="C528" s="12" t="str">
        <f>'Planning Engine'!C1244</f>
        <v>Raw Material</v>
      </c>
      <c r="D528" s="12" t="str">
        <f>'Planning Engine'!D1244</f>
        <v>kg</v>
      </c>
      <c r="E528" s="95">
        <f>'Planning Engine'!E1244</f>
        <v>128.80000000000004</v>
      </c>
      <c r="F528" s="95">
        <f>'Planning Engine'!F1244</f>
        <v>0</v>
      </c>
      <c r="G528" s="95">
        <f>'Planning Engine'!G1244</f>
        <v>0</v>
      </c>
      <c r="H528" s="95">
        <f t="shared" si="16"/>
        <v>0</v>
      </c>
      <c r="I528" s="95">
        <f>'Planning Engine'!H1244</f>
        <v>128.80000000000004</v>
      </c>
      <c r="J528" s="96">
        <f ca="1">'Planning Engine'!J1244</f>
        <v>999</v>
      </c>
      <c r="K528" s="95">
        <f ca="1">'Planning Engine'!K1244</f>
        <v>0</v>
      </c>
      <c r="L528" s="12" t="str">
        <f ca="1">'Planning Engine'!L1244</f>
        <v>Overstock</v>
      </c>
      <c r="M528" s="93">
        <f>'Planning Engine'!S1244</f>
        <v>50983</v>
      </c>
      <c r="N528" s="95">
        <f>'Planning Engine'!T1244</f>
        <v>0</v>
      </c>
      <c r="O528" s="94" t="s">
        <v>2276</v>
      </c>
      <c r="P528" s="12" t="str">
        <f t="shared" ca="1" si="17"/>
        <v>Defer receipts</v>
      </c>
    </row>
    <row r="529" spans="1:16" ht="13" customHeight="1" x14ac:dyDescent="0.35">
      <c r="A529" s="97">
        <v>51136</v>
      </c>
      <c r="B529" s="53" t="s">
        <v>56</v>
      </c>
      <c r="C529" s="12" t="str">
        <f>'Planning Engine'!C1245</f>
        <v>Raw Material</v>
      </c>
      <c r="D529" s="12" t="str">
        <f>'Planning Engine'!D1245</f>
        <v>kg</v>
      </c>
      <c r="E529" s="95">
        <f>'Planning Engine'!E1245</f>
        <v>128.80000000000004</v>
      </c>
      <c r="F529" s="95">
        <f>'Planning Engine'!F1245</f>
        <v>0</v>
      </c>
      <c r="G529" s="95">
        <f>'Planning Engine'!G1245</f>
        <v>0</v>
      </c>
      <c r="H529" s="99">
        <f t="shared" si="16"/>
        <v>0</v>
      </c>
      <c r="I529" s="95">
        <f>'Planning Engine'!H1245</f>
        <v>128.80000000000004</v>
      </c>
      <c r="J529" s="96">
        <f ca="1">'Planning Engine'!J1245</f>
        <v>999</v>
      </c>
      <c r="K529" s="95">
        <f ca="1">'Planning Engine'!K1245</f>
        <v>0</v>
      </c>
      <c r="L529" s="12" t="str">
        <f ca="1">'Planning Engine'!L1245</f>
        <v>Overstock</v>
      </c>
      <c r="M529" s="93">
        <f>'Planning Engine'!S1245</f>
        <v>51014</v>
      </c>
      <c r="N529" s="95">
        <f>'Planning Engine'!T1245</f>
        <v>0</v>
      </c>
      <c r="O529" s="98" t="s">
        <v>2277</v>
      </c>
      <c r="P529" s="4" t="str">
        <f t="shared" ca="1" si="17"/>
        <v>Defer receipts</v>
      </c>
    </row>
    <row r="530" spans="1:16" ht="13" customHeight="1" x14ac:dyDescent="0.35">
      <c r="A530" s="93">
        <v>51167</v>
      </c>
      <c r="B530" s="61" t="s">
        <v>56</v>
      </c>
      <c r="C530" s="12" t="str">
        <f>'Planning Engine'!C1246</f>
        <v>Raw Material</v>
      </c>
      <c r="D530" s="12" t="str">
        <f>'Planning Engine'!D1246</f>
        <v>kg</v>
      </c>
      <c r="E530" s="95">
        <f>'Planning Engine'!E1246</f>
        <v>128.80000000000004</v>
      </c>
      <c r="F530" s="95">
        <f>'Planning Engine'!F1246</f>
        <v>0</v>
      </c>
      <c r="G530" s="95">
        <f>'Planning Engine'!G1246</f>
        <v>0</v>
      </c>
      <c r="H530" s="95">
        <f t="shared" si="16"/>
        <v>0</v>
      </c>
      <c r="I530" s="95">
        <f>'Planning Engine'!H1246</f>
        <v>128.80000000000004</v>
      </c>
      <c r="J530" s="96">
        <f ca="1">'Planning Engine'!J1246</f>
        <v>999</v>
      </c>
      <c r="K530" s="95">
        <f ca="1">'Planning Engine'!K1246</f>
        <v>0</v>
      </c>
      <c r="L530" s="12" t="str">
        <f ca="1">'Planning Engine'!L1246</f>
        <v>Overstock</v>
      </c>
      <c r="M530" s="93">
        <f>'Planning Engine'!S1246</f>
        <v>51044</v>
      </c>
      <c r="N530" s="95">
        <f>'Planning Engine'!T1246</f>
        <v>0</v>
      </c>
      <c r="O530" s="94" t="s">
        <v>2278</v>
      </c>
      <c r="P530" s="12" t="str">
        <f t="shared" ca="1" si="17"/>
        <v>Defer receipts</v>
      </c>
    </row>
    <row r="531" spans="1:16" ht="13" customHeight="1" x14ac:dyDescent="0.35">
      <c r="A531" s="97">
        <v>51196</v>
      </c>
      <c r="B531" s="53" t="s">
        <v>56</v>
      </c>
      <c r="C531" s="12" t="str">
        <f>'Planning Engine'!C1247</f>
        <v>Raw Material</v>
      </c>
      <c r="D531" s="12" t="str">
        <f>'Planning Engine'!D1247</f>
        <v>kg</v>
      </c>
      <c r="E531" s="95">
        <f>'Planning Engine'!E1247</f>
        <v>128.80000000000004</v>
      </c>
      <c r="F531" s="95">
        <f>'Planning Engine'!F1247</f>
        <v>0</v>
      </c>
      <c r="G531" s="95">
        <f>'Planning Engine'!G1247</f>
        <v>0</v>
      </c>
      <c r="H531" s="99">
        <f t="shared" si="16"/>
        <v>0</v>
      </c>
      <c r="I531" s="95">
        <f>'Planning Engine'!H1247</f>
        <v>128.80000000000004</v>
      </c>
      <c r="J531" s="96">
        <f ca="1">'Planning Engine'!J1247</f>
        <v>999</v>
      </c>
      <c r="K531" s="95">
        <f ca="1">'Planning Engine'!K1247</f>
        <v>0</v>
      </c>
      <c r="L531" s="12" t="str">
        <f ca="1">'Planning Engine'!L1247</f>
        <v>Overstock</v>
      </c>
      <c r="M531" s="93">
        <f>'Planning Engine'!S1247</f>
        <v>51075</v>
      </c>
      <c r="N531" s="95">
        <f>'Planning Engine'!T1247</f>
        <v>0</v>
      </c>
      <c r="O531" s="98" t="s">
        <v>2279</v>
      </c>
      <c r="P531" s="4" t="str">
        <f t="shared" ca="1" si="17"/>
        <v>Defer receipts</v>
      </c>
    </row>
    <row r="532" spans="1:16" ht="13" customHeight="1" x14ac:dyDescent="0.35">
      <c r="A532" s="93">
        <v>51227</v>
      </c>
      <c r="B532" s="61" t="s">
        <v>56</v>
      </c>
      <c r="C532" s="12" t="str">
        <f>'Planning Engine'!C1248</f>
        <v>Raw Material</v>
      </c>
      <c r="D532" s="12" t="str">
        <f>'Planning Engine'!D1248</f>
        <v>kg</v>
      </c>
      <c r="E532" s="95">
        <f>'Planning Engine'!E1248</f>
        <v>128.80000000000004</v>
      </c>
      <c r="F532" s="95">
        <f>'Planning Engine'!F1248</f>
        <v>0</v>
      </c>
      <c r="G532" s="95">
        <f>'Planning Engine'!G1248</f>
        <v>0</v>
      </c>
      <c r="H532" s="95">
        <f t="shared" si="16"/>
        <v>0</v>
      </c>
      <c r="I532" s="95">
        <f>'Planning Engine'!H1248</f>
        <v>128.80000000000004</v>
      </c>
      <c r="J532" s="96">
        <f ca="1">'Planning Engine'!J1248</f>
        <v>999</v>
      </c>
      <c r="K532" s="95">
        <f ca="1">'Planning Engine'!K1248</f>
        <v>0</v>
      </c>
      <c r="L532" s="12" t="str">
        <f ca="1">'Planning Engine'!L1248</f>
        <v>Overstock</v>
      </c>
      <c r="M532" s="93">
        <f>'Planning Engine'!S1248</f>
        <v>51105</v>
      </c>
      <c r="N532" s="95">
        <f>'Planning Engine'!T1248</f>
        <v>0</v>
      </c>
      <c r="O532" s="94" t="s">
        <v>2280</v>
      </c>
      <c r="P532" s="12" t="str">
        <f t="shared" ca="1" si="17"/>
        <v>Defer receipts</v>
      </c>
    </row>
    <row r="533" spans="1:16" ht="13" customHeight="1" x14ac:dyDescent="0.35">
      <c r="A533" s="97">
        <v>51257</v>
      </c>
      <c r="B533" s="53" t="s">
        <v>56</v>
      </c>
      <c r="C533" s="12" t="str">
        <f>'Planning Engine'!C1249</f>
        <v>Raw Material</v>
      </c>
      <c r="D533" s="12" t="str">
        <f>'Planning Engine'!D1249</f>
        <v>kg</v>
      </c>
      <c r="E533" s="95">
        <f>'Planning Engine'!E1249</f>
        <v>128.80000000000004</v>
      </c>
      <c r="F533" s="95">
        <f>'Planning Engine'!F1249</f>
        <v>0</v>
      </c>
      <c r="G533" s="95">
        <f>'Planning Engine'!G1249</f>
        <v>0</v>
      </c>
      <c r="H533" s="99">
        <f t="shared" si="16"/>
        <v>0</v>
      </c>
      <c r="I533" s="95">
        <f>'Planning Engine'!H1249</f>
        <v>128.80000000000004</v>
      </c>
      <c r="J533" s="96">
        <f ca="1">'Planning Engine'!J1249</f>
        <v>999</v>
      </c>
      <c r="K533" s="95">
        <f ca="1">'Planning Engine'!K1249</f>
        <v>0</v>
      </c>
      <c r="L533" s="12" t="str">
        <f ca="1">'Planning Engine'!L1249</f>
        <v>Overstock</v>
      </c>
      <c r="M533" s="93">
        <f>'Planning Engine'!S1249</f>
        <v>51136</v>
      </c>
      <c r="N533" s="95">
        <f>'Planning Engine'!T1249</f>
        <v>0</v>
      </c>
      <c r="O533" s="98" t="s">
        <v>2281</v>
      </c>
      <c r="P533" s="4" t="str">
        <f t="shared" ca="1" si="17"/>
        <v>Defer receipts</v>
      </c>
    </row>
    <row r="534" spans="1:16" ht="13" customHeight="1" x14ac:dyDescent="0.35">
      <c r="A534" s="93">
        <v>51288</v>
      </c>
      <c r="B534" s="61" t="s">
        <v>56</v>
      </c>
      <c r="C534" s="12" t="str">
        <f>'Planning Engine'!C1250</f>
        <v>Raw Material</v>
      </c>
      <c r="D534" s="12" t="str">
        <f>'Planning Engine'!D1250</f>
        <v>kg</v>
      </c>
      <c r="E534" s="95">
        <f>'Planning Engine'!E1250</f>
        <v>128.80000000000004</v>
      </c>
      <c r="F534" s="95">
        <f>'Planning Engine'!F1250</f>
        <v>0</v>
      </c>
      <c r="G534" s="95">
        <f>'Planning Engine'!G1250</f>
        <v>0</v>
      </c>
      <c r="H534" s="95">
        <f t="shared" si="16"/>
        <v>0</v>
      </c>
      <c r="I534" s="95">
        <f>'Planning Engine'!H1250</f>
        <v>128.80000000000004</v>
      </c>
      <c r="J534" s="96">
        <f ca="1">'Planning Engine'!J1250</f>
        <v>999</v>
      </c>
      <c r="K534" s="95">
        <f ca="1">'Planning Engine'!K1250</f>
        <v>0</v>
      </c>
      <c r="L534" s="12" t="str">
        <f ca="1">'Planning Engine'!L1250</f>
        <v>Overstock</v>
      </c>
      <c r="M534" s="93">
        <f>'Planning Engine'!S1250</f>
        <v>51167</v>
      </c>
      <c r="N534" s="95">
        <f>'Planning Engine'!T1250</f>
        <v>0</v>
      </c>
      <c r="O534" s="94" t="s">
        <v>2282</v>
      </c>
      <c r="P534" s="12" t="str">
        <f t="shared" ca="1" si="17"/>
        <v>Defer receipts</v>
      </c>
    </row>
    <row r="535" spans="1:16" ht="13" customHeight="1" x14ac:dyDescent="0.35">
      <c r="A535" s="97">
        <v>51318</v>
      </c>
      <c r="B535" s="53" t="s">
        <v>56</v>
      </c>
      <c r="C535" s="12" t="str">
        <f>'Planning Engine'!C1251</f>
        <v>Raw Material</v>
      </c>
      <c r="D535" s="12" t="str">
        <f>'Planning Engine'!D1251</f>
        <v>kg</v>
      </c>
      <c r="E535" s="95">
        <f>'Planning Engine'!E1251</f>
        <v>128.80000000000004</v>
      </c>
      <c r="F535" s="95">
        <f>'Planning Engine'!F1251</f>
        <v>0</v>
      </c>
      <c r="G535" s="95">
        <f>'Planning Engine'!G1251</f>
        <v>0</v>
      </c>
      <c r="H535" s="99">
        <f t="shared" si="16"/>
        <v>0</v>
      </c>
      <c r="I535" s="95">
        <f>'Planning Engine'!H1251</f>
        <v>128.80000000000004</v>
      </c>
      <c r="J535" s="96">
        <f ca="1">'Planning Engine'!J1251</f>
        <v>999</v>
      </c>
      <c r="K535" s="95">
        <f ca="1">'Planning Engine'!K1251</f>
        <v>0</v>
      </c>
      <c r="L535" s="12" t="str">
        <f ca="1">'Planning Engine'!L1251</f>
        <v>Overstock</v>
      </c>
      <c r="M535" s="93">
        <f>'Planning Engine'!S1251</f>
        <v>51196</v>
      </c>
      <c r="N535" s="95">
        <f>'Planning Engine'!T1251</f>
        <v>0</v>
      </c>
      <c r="O535" s="98" t="s">
        <v>2283</v>
      </c>
      <c r="P535" s="4" t="str">
        <f t="shared" ca="1" si="17"/>
        <v>Defer receipts</v>
      </c>
    </row>
    <row r="536" spans="1:16" ht="13" customHeight="1" x14ac:dyDescent="0.35">
      <c r="A536" s="93">
        <v>51349</v>
      </c>
      <c r="B536" s="61" t="s">
        <v>56</v>
      </c>
      <c r="C536" s="12" t="str">
        <f>'Planning Engine'!C1252</f>
        <v>Raw Material</v>
      </c>
      <c r="D536" s="12" t="str">
        <f>'Planning Engine'!D1252</f>
        <v>kg</v>
      </c>
      <c r="E536" s="95">
        <f>'Planning Engine'!E1252</f>
        <v>128.80000000000004</v>
      </c>
      <c r="F536" s="95">
        <f>'Planning Engine'!F1252</f>
        <v>0</v>
      </c>
      <c r="G536" s="95">
        <f>'Planning Engine'!G1252</f>
        <v>0</v>
      </c>
      <c r="H536" s="95">
        <f t="shared" si="16"/>
        <v>0</v>
      </c>
      <c r="I536" s="95">
        <f>'Planning Engine'!H1252</f>
        <v>128.80000000000004</v>
      </c>
      <c r="J536" s="96">
        <f ca="1">'Planning Engine'!J1252</f>
        <v>999</v>
      </c>
      <c r="K536" s="95">
        <f ca="1">'Planning Engine'!K1252</f>
        <v>0</v>
      </c>
      <c r="L536" s="12" t="str">
        <f ca="1">'Planning Engine'!L1252</f>
        <v>Overstock</v>
      </c>
      <c r="M536" s="93">
        <f>'Planning Engine'!S1252</f>
        <v>51227</v>
      </c>
      <c r="N536" s="95">
        <f>'Planning Engine'!T1252</f>
        <v>0</v>
      </c>
      <c r="O536" s="94" t="s">
        <v>2284</v>
      </c>
      <c r="P536" s="12" t="str">
        <f t="shared" ca="1" si="17"/>
        <v>Defer receipts</v>
      </c>
    </row>
    <row r="537" spans="1:16" ht="13" customHeight="1" x14ac:dyDescent="0.35">
      <c r="A537" s="97">
        <v>51380</v>
      </c>
      <c r="B537" s="53" t="s">
        <v>56</v>
      </c>
      <c r="C537" s="12" t="str">
        <f>'Planning Engine'!C1253</f>
        <v>Raw Material</v>
      </c>
      <c r="D537" s="12" t="str">
        <f>'Planning Engine'!D1253</f>
        <v>kg</v>
      </c>
      <c r="E537" s="95">
        <f>'Planning Engine'!E1253</f>
        <v>128.80000000000004</v>
      </c>
      <c r="F537" s="95">
        <f>'Planning Engine'!F1253</f>
        <v>0</v>
      </c>
      <c r="G537" s="95">
        <f>'Planning Engine'!G1253</f>
        <v>0</v>
      </c>
      <c r="H537" s="99">
        <f t="shared" si="16"/>
        <v>0</v>
      </c>
      <c r="I537" s="95">
        <f>'Planning Engine'!H1253</f>
        <v>128.80000000000004</v>
      </c>
      <c r="J537" s="96">
        <f ca="1">'Planning Engine'!J1253</f>
        <v>999</v>
      </c>
      <c r="K537" s="95">
        <f ca="1">'Planning Engine'!K1253</f>
        <v>0</v>
      </c>
      <c r="L537" s="12" t="str">
        <f ca="1">'Planning Engine'!L1253</f>
        <v>Overstock</v>
      </c>
      <c r="M537" s="93">
        <f>'Planning Engine'!S1253</f>
        <v>51257</v>
      </c>
      <c r="N537" s="95">
        <f>'Planning Engine'!T1253</f>
        <v>0</v>
      </c>
      <c r="O537" s="98" t="s">
        <v>2285</v>
      </c>
      <c r="P537" s="4" t="str">
        <f t="shared" ca="1" si="17"/>
        <v>Defer receipts</v>
      </c>
    </row>
    <row r="538" spans="1:16" ht="13" customHeight="1" x14ac:dyDescent="0.35">
      <c r="A538" s="93">
        <v>51410</v>
      </c>
      <c r="B538" s="61" t="s">
        <v>56</v>
      </c>
      <c r="C538" s="12" t="str">
        <f>'Planning Engine'!C1254</f>
        <v>Raw Material</v>
      </c>
      <c r="D538" s="12" t="str">
        <f>'Planning Engine'!D1254</f>
        <v>kg</v>
      </c>
      <c r="E538" s="95">
        <f>'Planning Engine'!E1254</f>
        <v>128.80000000000004</v>
      </c>
      <c r="F538" s="95">
        <f>'Planning Engine'!F1254</f>
        <v>0</v>
      </c>
      <c r="G538" s="95">
        <f>'Planning Engine'!G1254</f>
        <v>0</v>
      </c>
      <c r="H538" s="95">
        <f t="shared" si="16"/>
        <v>0</v>
      </c>
      <c r="I538" s="95">
        <f>'Planning Engine'!H1254</f>
        <v>128.80000000000004</v>
      </c>
      <c r="J538" s="96">
        <f ca="1">'Planning Engine'!J1254</f>
        <v>999</v>
      </c>
      <c r="K538" s="95">
        <f ca="1">'Planning Engine'!K1254</f>
        <v>0</v>
      </c>
      <c r="L538" s="12" t="str">
        <f ca="1">'Planning Engine'!L1254</f>
        <v>Overstock</v>
      </c>
      <c r="M538" s="93">
        <f>'Planning Engine'!S1254</f>
        <v>51288</v>
      </c>
      <c r="N538" s="95">
        <f>'Planning Engine'!T1254</f>
        <v>0</v>
      </c>
      <c r="O538" s="94" t="s">
        <v>2286</v>
      </c>
      <c r="P538" s="12" t="str">
        <f t="shared" ca="1" si="17"/>
        <v>Defer receipts</v>
      </c>
    </row>
    <row r="539" spans="1:16" ht="13" customHeight="1" x14ac:dyDescent="0.35">
      <c r="A539" s="97">
        <v>51441</v>
      </c>
      <c r="B539" s="53" t="s">
        <v>56</v>
      </c>
      <c r="C539" s="12" t="str">
        <f>'Planning Engine'!C1255</f>
        <v>Raw Material</v>
      </c>
      <c r="D539" s="12" t="str">
        <f>'Planning Engine'!D1255</f>
        <v>kg</v>
      </c>
      <c r="E539" s="95">
        <f>'Planning Engine'!E1255</f>
        <v>128.80000000000004</v>
      </c>
      <c r="F539" s="95">
        <f>'Planning Engine'!F1255</f>
        <v>0</v>
      </c>
      <c r="G539" s="95">
        <f>'Planning Engine'!G1255</f>
        <v>0</v>
      </c>
      <c r="H539" s="99">
        <f t="shared" si="16"/>
        <v>0</v>
      </c>
      <c r="I539" s="95">
        <f>'Planning Engine'!H1255</f>
        <v>128.80000000000004</v>
      </c>
      <c r="J539" s="96">
        <f ca="1">'Planning Engine'!J1255</f>
        <v>999</v>
      </c>
      <c r="K539" s="95">
        <f ca="1">'Planning Engine'!K1255</f>
        <v>0</v>
      </c>
      <c r="L539" s="12" t="str">
        <f ca="1">'Planning Engine'!L1255</f>
        <v>Overstock</v>
      </c>
      <c r="M539" s="93">
        <f>'Planning Engine'!S1255</f>
        <v>51318</v>
      </c>
      <c r="N539" s="95">
        <f>'Planning Engine'!T1255</f>
        <v>0</v>
      </c>
      <c r="O539" s="98" t="s">
        <v>2287</v>
      </c>
      <c r="P539" s="4" t="str">
        <f t="shared" ca="1" si="17"/>
        <v>Defer receipts</v>
      </c>
    </row>
    <row r="540" spans="1:16" ht="13" customHeight="1" x14ac:dyDescent="0.35">
      <c r="A540" s="93">
        <v>51471</v>
      </c>
      <c r="B540" s="61" t="s">
        <v>56</v>
      </c>
      <c r="C540" s="12" t="str">
        <f>'Planning Engine'!C1256</f>
        <v>Raw Material</v>
      </c>
      <c r="D540" s="12" t="str">
        <f>'Planning Engine'!D1256</f>
        <v>kg</v>
      </c>
      <c r="E540" s="95">
        <f>'Planning Engine'!E1256</f>
        <v>128.80000000000004</v>
      </c>
      <c r="F540" s="95">
        <f>'Planning Engine'!F1256</f>
        <v>0</v>
      </c>
      <c r="G540" s="95">
        <f>'Planning Engine'!G1256</f>
        <v>0</v>
      </c>
      <c r="H540" s="95">
        <f t="shared" si="16"/>
        <v>0</v>
      </c>
      <c r="I540" s="95">
        <f>'Planning Engine'!H1256</f>
        <v>128.80000000000004</v>
      </c>
      <c r="J540" s="96">
        <f ca="1">'Planning Engine'!J1256</f>
        <v>999</v>
      </c>
      <c r="K540" s="95">
        <f ca="1">'Planning Engine'!K1256</f>
        <v>0</v>
      </c>
      <c r="L540" s="12" t="str">
        <f ca="1">'Planning Engine'!L1256</f>
        <v>Overstock</v>
      </c>
      <c r="M540" s="93">
        <f>'Planning Engine'!S1256</f>
        <v>51349</v>
      </c>
      <c r="N540" s="95">
        <f>'Planning Engine'!T1256</f>
        <v>0</v>
      </c>
      <c r="O540" s="94" t="s">
        <v>2288</v>
      </c>
      <c r="P540" s="12" t="str">
        <f t="shared" ca="1" si="17"/>
        <v>Defer receipts</v>
      </c>
    </row>
    <row r="541" spans="1:16" ht="13" customHeight="1" x14ac:dyDescent="0.35">
      <c r="A541" s="97">
        <v>46054</v>
      </c>
      <c r="B541" s="53" t="s">
        <v>57</v>
      </c>
      <c r="C541" s="12" t="str">
        <f>'Planning Engine'!C1257</f>
        <v>Raw Material</v>
      </c>
      <c r="D541" s="12" t="str">
        <f>'Planning Engine'!D1257</f>
        <v>kg</v>
      </c>
      <c r="E541" s="95">
        <f>'Planning Engine'!E1257</f>
        <v>78.92</v>
      </c>
      <c r="F541" s="95">
        <f>'Planning Engine'!F1257</f>
        <v>0</v>
      </c>
      <c r="G541" s="95">
        <f>'Planning Engine'!G1257</f>
        <v>0</v>
      </c>
      <c r="H541" s="99">
        <f t="shared" si="16"/>
        <v>0</v>
      </c>
      <c r="I541" s="95">
        <f>'Planning Engine'!H1257</f>
        <v>78.92</v>
      </c>
      <c r="J541" s="96">
        <f ca="1">'Planning Engine'!J1257</f>
        <v>6.4058441558441546</v>
      </c>
      <c r="K541" s="95">
        <f ca="1">'Planning Engine'!K1257</f>
        <v>0</v>
      </c>
      <c r="L541" s="12" t="str">
        <f ca="1">'Planning Engine'!L1257</f>
        <v>Low</v>
      </c>
      <c r="M541" s="93">
        <f>'Planning Engine'!S1257</f>
        <v>45931</v>
      </c>
      <c r="N541" s="95">
        <f>'Planning Engine'!T1257</f>
        <v>0</v>
      </c>
      <c r="O541" s="98" t="s">
        <v>2289</v>
      </c>
      <c r="P541" s="4" t="str">
        <f t="shared" ca="1" si="17"/>
        <v>OK</v>
      </c>
    </row>
    <row r="542" spans="1:16" ht="13" customHeight="1" x14ac:dyDescent="0.35">
      <c r="A542" s="93">
        <v>46082</v>
      </c>
      <c r="B542" s="61" t="s">
        <v>57</v>
      </c>
      <c r="C542" s="12" t="str">
        <f>'Planning Engine'!C1258</f>
        <v>Raw Material</v>
      </c>
      <c r="D542" s="12" t="str">
        <f>'Planning Engine'!D1258</f>
        <v>kg</v>
      </c>
      <c r="E542" s="95">
        <f>'Planning Engine'!E1258</f>
        <v>78.92</v>
      </c>
      <c r="F542" s="95">
        <f>'Planning Engine'!F1258</f>
        <v>0</v>
      </c>
      <c r="G542" s="95">
        <f>'Planning Engine'!G1258</f>
        <v>0</v>
      </c>
      <c r="H542" s="95">
        <f t="shared" si="16"/>
        <v>0</v>
      </c>
      <c r="I542" s="95">
        <f>'Planning Engine'!H1258</f>
        <v>78.92</v>
      </c>
      <c r="J542" s="96">
        <f ca="1">'Planning Engine'!J1258</f>
        <v>6.4058441558441546</v>
      </c>
      <c r="K542" s="95">
        <f ca="1">'Planning Engine'!K1258</f>
        <v>0</v>
      </c>
      <c r="L542" s="12" t="str">
        <f ca="1">'Planning Engine'!L1258</f>
        <v>Low</v>
      </c>
      <c r="M542" s="93">
        <f>'Planning Engine'!S1258</f>
        <v>45962</v>
      </c>
      <c r="N542" s="95">
        <f>'Planning Engine'!T1258</f>
        <v>0</v>
      </c>
      <c r="O542" s="94" t="s">
        <v>2290</v>
      </c>
      <c r="P542" s="12" t="str">
        <f t="shared" ca="1" si="17"/>
        <v>OK</v>
      </c>
    </row>
    <row r="543" spans="1:16" ht="13" customHeight="1" x14ac:dyDescent="0.35">
      <c r="A543" s="97">
        <v>46113</v>
      </c>
      <c r="B543" s="53" t="s">
        <v>57</v>
      </c>
      <c r="C543" s="12" t="str">
        <f>'Planning Engine'!C1259</f>
        <v>Raw Material</v>
      </c>
      <c r="D543" s="12" t="str">
        <f>'Planning Engine'!D1259</f>
        <v>kg</v>
      </c>
      <c r="E543" s="95">
        <f>'Planning Engine'!E1259</f>
        <v>78.92</v>
      </c>
      <c r="F543" s="95">
        <f>'Planning Engine'!F1259</f>
        <v>0</v>
      </c>
      <c r="G543" s="95">
        <f>'Planning Engine'!G1259</f>
        <v>0</v>
      </c>
      <c r="H543" s="99">
        <f t="shared" si="16"/>
        <v>0</v>
      </c>
      <c r="I543" s="95">
        <f>'Planning Engine'!H1259</f>
        <v>78.92</v>
      </c>
      <c r="J543" s="96">
        <f ca="1">'Planning Engine'!J1259</f>
        <v>6.4058441558441546</v>
      </c>
      <c r="K543" s="95">
        <f ca="1">'Planning Engine'!K1259</f>
        <v>0</v>
      </c>
      <c r="L543" s="12" t="str">
        <f ca="1">'Planning Engine'!L1259</f>
        <v>Low</v>
      </c>
      <c r="M543" s="93">
        <f>'Planning Engine'!S1259</f>
        <v>45992</v>
      </c>
      <c r="N543" s="95">
        <f>'Planning Engine'!T1259</f>
        <v>0</v>
      </c>
      <c r="O543" s="98" t="s">
        <v>2291</v>
      </c>
      <c r="P543" s="4" t="str">
        <f t="shared" ca="1" si="17"/>
        <v>OK</v>
      </c>
    </row>
    <row r="544" spans="1:16" ht="13" customHeight="1" x14ac:dyDescent="0.35">
      <c r="A544" s="93">
        <v>46143</v>
      </c>
      <c r="B544" s="61" t="s">
        <v>57</v>
      </c>
      <c r="C544" s="12" t="str">
        <f>'Planning Engine'!C1260</f>
        <v>Raw Material</v>
      </c>
      <c r="D544" s="12" t="str">
        <f>'Planning Engine'!D1260</f>
        <v>kg</v>
      </c>
      <c r="E544" s="95">
        <f>'Planning Engine'!E1260</f>
        <v>78.92</v>
      </c>
      <c r="F544" s="95">
        <f>'Planning Engine'!F1260</f>
        <v>12.32</v>
      </c>
      <c r="G544" s="95">
        <f>'Planning Engine'!G1260</f>
        <v>0</v>
      </c>
      <c r="H544" s="95">
        <f t="shared" si="16"/>
        <v>-12.32</v>
      </c>
      <c r="I544" s="95">
        <f>'Planning Engine'!H1260</f>
        <v>66.599999999999994</v>
      </c>
      <c r="J544" s="96">
        <f ca="1">'Planning Engine'!J1260</f>
        <v>5.4058441558441546</v>
      </c>
      <c r="K544" s="95">
        <f ca="1">'Planning Engine'!K1260</f>
        <v>0</v>
      </c>
      <c r="L544" s="12" t="str">
        <f ca="1">'Planning Engine'!L1260</f>
        <v>Low</v>
      </c>
      <c r="M544" s="93">
        <f>'Planning Engine'!S1260</f>
        <v>46023</v>
      </c>
      <c r="N544" s="95">
        <f>'Planning Engine'!T1260</f>
        <v>0</v>
      </c>
      <c r="O544" s="94" t="s">
        <v>2292</v>
      </c>
      <c r="P544" s="12" t="str">
        <f t="shared" ca="1" si="17"/>
        <v>OK</v>
      </c>
    </row>
    <row r="545" spans="1:16" ht="13" customHeight="1" x14ac:dyDescent="0.35">
      <c r="A545" s="97">
        <v>46174</v>
      </c>
      <c r="B545" s="53" t="s">
        <v>57</v>
      </c>
      <c r="C545" s="12" t="str">
        <f>'Planning Engine'!C1261</f>
        <v>Raw Material</v>
      </c>
      <c r="D545" s="12" t="str">
        <f>'Planning Engine'!D1261</f>
        <v>kg</v>
      </c>
      <c r="E545" s="95">
        <f>'Planning Engine'!E1261</f>
        <v>66.599999999999994</v>
      </c>
      <c r="F545" s="95">
        <f>'Planning Engine'!F1261</f>
        <v>18.480000000000004</v>
      </c>
      <c r="G545" s="95">
        <f>'Planning Engine'!G1261</f>
        <v>0</v>
      </c>
      <c r="H545" s="99">
        <f t="shared" si="16"/>
        <v>-18.480000000000004</v>
      </c>
      <c r="I545" s="95">
        <f>'Planning Engine'!H1261</f>
        <v>48.11999999999999</v>
      </c>
      <c r="J545" s="96">
        <f ca="1">'Planning Engine'!J1261</f>
        <v>3.9058441558441546</v>
      </c>
      <c r="K545" s="95">
        <f ca="1">'Planning Engine'!K1261</f>
        <v>0</v>
      </c>
      <c r="L545" s="12" t="str">
        <f ca="1">'Planning Engine'!L1261</f>
        <v>Medium</v>
      </c>
      <c r="M545" s="93">
        <f>'Planning Engine'!S1261</f>
        <v>46054</v>
      </c>
      <c r="N545" s="95">
        <f>'Planning Engine'!T1261</f>
        <v>0</v>
      </c>
      <c r="O545" s="98" t="s">
        <v>2293</v>
      </c>
      <c r="P545" s="4" t="str">
        <f t="shared" ca="1" si="17"/>
        <v>Monitor — plan additional POs</v>
      </c>
    </row>
    <row r="546" spans="1:16" ht="13" customHeight="1" x14ac:dyDescent="0.35">
      <c r="A546" s="93">
        <v>46204</v>
      </c>
      <c r="B546" s="61" t="s">
        <v>57</v>
      </c>
      <c r="C546" s="12" t="str">
        <f>'Planning Engine'!C1262</f>
        <v>Raw Material</v>
      </c>
      <c r="D546" s="12" t="str">
        <f>'Planning Engine'!D1262</f>
        <v>kg</v>
      </c>
      <c r="E546" s="95">
        <f>'Planning Engine'!E1262</f>
        <v>48.11999999999999</v>
      </c>
      <c r="F546" s="95">
        <f>'Planning Engine'!F1262</f>
        <v>6.16</v>
      </c>
      <c r="G546" s="95">
        <f>'Planning Engine'!G1262</f>
        <v>0</v>
      </c>
      <c r="H546" s="95">
        <f t="shared" si="16"/>
        <v>-6.16</v>
      </c>
      <c r="I546" s="95">
        <f>'Planning Engine'!H1262</f>
        <v>41.959999999999994</v>
      </c>
      <c r="J546" s="96">
        <f ca="1">'Planning Engine'!J1262</f>
        <v>6.8116883116883109</v>
      </c>
      <c r="K546" s="95">
        <f ca="1">'Planning Engine'!K1262</f>
        <v>0</v>
      </c>
      <c r="L546" s="12" t="str">
        <f ca="1">'Planning Engine'!L1262</f>
        <v>Low</v>
      </c>
      <c r="M546" s="93">
        <f>'Planning Engine'!S1262</f>
        <v>46082</v>
      </c>
      <c r="N546" s="95">
        <f>'Planning Engine'!T1262</f>
        <v>0</v>
      </c>
      <c r="O546" s="94" t="s">
        <v>2294</v>
      </c>
      <c r="P546" s="12" t="str">
        <f t="shared" ca="1" si="17"/>
        <v>OK</v>
      </c>
    </row>
    <row r="547" spans="1:16" ht="13" customHeight="1" x14ac:dyDescent="0.35">
      <c r="A547" s="97">
        <v>46235</v>
      </c>
      <c r="B547" s="53" t="s">
        <v>57</v>
      </c>
      <c r="C547" s="12" t="str">
        <f>'Planning Engine'!C1263</f>
        <v>Raw Material</v>
      </c>
      <c r="D547" s="12" t="str">
        <f>'Planning Engine'!D1263</f>
        <v>kg</v>
      </c>
      <c r="E547" s="95">
        <f>'Planning Engine'!E1263</f>
        <v>41.959999999999994</v>
      </c>
      <c r="F547" s="95">
        <f>'Planning Engine'!F1263</f>
        <v>0</v>
      </c>
      <c r="G547" s="95">
        <f>'Planning Engine'!G1263</f>
        <v>0</v>
      </c>
      <c r="H547" s="99">
        <f t="shared" si="16"/>
        <v>0</v>
      </c>
      <c r="I547" s="95">
        <f>'Planning Engine'!H1263</f>
        <v>41.959999999999994</v>
      </c>
      <c r="J547" s="96">
        <f ca="1">'Planning Engine'!J1263</f>
        <v>3.4058441558441555</v>
      </c>
      <c r="K547" s="95">
        <f ca="1">'Planning Engine'!K1263</f>
        <v>0</v>
      </c>
      <c r="L547" s="12" t="str">
        <f ca="1">'Planning Engine'!L1263</f>
        <v>Medium</v>
      </c>
      <c r="M547" s="93">
        <f>'Planning Engine'!S1263</f>
        <v>46113</v>
      </c>
      <c r="N547" s="95">
        <f>'Planning Engine'!T1263</f>
        <v>0</v>
      </c>
      <c r="O547" s="98" t="s">
        <v>2295</v>
      </c>
      <c r="P547" s="4" t="str">
        <f t="shared" ca="1" si="17"/>
        <v>Monitor — plan additional POs</v>
      </c>
    </row>
    <row r="548" spans="1:16" ht="13" customHeight="1" x14ac:dyDescent="0.35">
      <c r="A548" s="93">
        <v>46266</v>
      </c>
      <c r="B548" s="61" t="s">
        <v>57</v>
      </c>
      <c r="C548" s="12" t="str">
        <f>'Planning Engine'!C1264</f>
        <v>Raw Material</v>
      </c>
      <c r="D548" s="12" t="str">
        <f>'Planning Engine'!D1264</f>
        <v>kg</v>
      </c>
      <c r="E548" s="95">
        <f>'Planning Engine'!E1264</f>
        <v>41.959999999999994</v>
      </c>
      <c r="F548" s="95">
        <f>'Planning Engine'!F1264</f>
        <v>0</v>
      </c>
      <c r="G548" s="95">
        <f>'Planning Engine'!G1264</f>
        <v>0</v>
      </c>
      <c r="H548" s="95">
        <f t="shared" si="16"/>
        <v>0</v>
      </c>
      <c r="I548" s="95">
        <f>'Planning Engine'!H1264</f>
        <v>41.959999999999994</v>
      </c>
      <c r="J548" s="96">
        <f ca="1">'Planning Engine'!J1264</f>
        <v>3.4058441558441555</v>
      </c>
      <c r="K548" s="95">
        <f ca="1">'Planning Engine'!K1264</f>
        <v>0</v>
      </c>
      <c r="L548" s="12" t="str">
        <f ca="1">'Planning Engine'!L1264</f>
        <v>Medium</v>
      </c>
      <c r="M548" s="93">
        <f>'Planning Engine'!S1264</f>
        <v>46143</v>
      </c>
      <c r="N548" s="95">
        <f>'Planning Engine'!T1264</f>
        <v>0</v>
      </c>
      <c r="O548" s="94" t="s">
        <v>2296</v>
      </c>
      <c r="P548" s="12" t="str">
        <f t="shared" ca="1" si="17"/>
        <v>Monitor — plan additional POs</v>
      </c>
    </row>
    <row r="549" spans="1:16" ht="13" customHeight="1" x14ac:dyDescent="0.35">
      <c r="A549" s="97">
        <v>46296</v>
      </c>
      <c r="B549" s="53" t="s">
        <v>57</v>
      </c>
      <c r="C549" s="12" t="str">
        <f>'Planning Engine'!C1265</f>
        <v>Raw Material</v>
      </c>
      <c r="D549" s="12" t="str">
        <f>'Planning Engine'!D1265</f>
        <v>kg</v>
      </c>
      <c r="E549" s="95">
        <f>'Planning Engine'!E1265</f>
        <v>41.959999999999994</v>
      </c>
      <c r="F549" s="95">
        <f>'Planning Engine'!F1265</f>
        <v>0</v>
      </c>
      <c r="G549" s="95">
        <f>'Planning Engine'!G1265</f>
        <v>0</v>
      </c>
      <c r="H549" s="99">
        <f t="shared" si="16"/>
        <v>0</v>
      </c>
      <c r="I549" s="95">
        <f>'Planning Engine'!H1265</f>
        <v>41.959999999999994</v>
      </c>
      <c r="J549" s="96">
        <f ca="1">'Planning Engine'!J1265</f>
        <v>3.4058441558441555</v>
      </c>
      <c r="K549" s="95">
        <f ca="1">'Planning Engine'!K1265</f>
        <v>0</v>
      </c>
      <c r="L549" s="12" t="str">
        <f ca="1">'Planning Engine'!L1265</f>
        <v>Medium</v>
      </c>
      <c r="M549" s="93">
        <f>'Planning Engine'!S1265</f>
        <v>46174</v>
      </c>
      <c r="N549" s="95">
        <f>'Planning Engine'!T1265</f>
        <v>0</v>
      </c>
      <c r="O549" s="98" t="s">
        <v>2297</v>
      </c>
      <c r="P549" s="4" t="str">
        <f t="shared" ca="1" si="17"/>
        <v>Monitor — plan additional POs</v>
      </c>
    </row>
    <row r="550" spans="1:16" ht="13" customHeight="1" x14ac:dyDescent="0.35">
      <c r="A550" s="93">
        <v>46327</v>
      </c>
      <c r="B550" s="61" t="s">
        <v>57</v>
      </c>
      <c r="C550" s="12" t="str">
        <f>'Planning Engine'!C1266</f>
        <v>Raw Material</v>
      </c>
      <c r="D550" s="12" t="str">
        <f>'Planning Engine'!D1266</f>
        <v>kg</v>
      </c>
      <c r="E550" s="95">
        <f>'Planning Engine'!E1266</f>
        <v>41.959999999999994</v>
      </c>
      <c r="F550" s="95">
        <f>'Planning Engine'!F1266</f>
        <v>0</v>
      </c>
      <c r="G550" s="95">
        <f>'Planning Engine'!G1266</f>
        <v>0</v>
      </c>
      <c r="H550" s="95">
        <f t="shared" si="16"/>
        <v>0</v>
      </c>
      <c r="I550" s="95">
        <f>'Planning Engine'!H1266</f>
        <v>41.959999999999994</v>
      </c>
      <c r="J550" s="96">
        <f ca="1">'Planning Engine'!J1266</f>
        <v>3.4058441558441555</v>
      </c>
      <c r="K550" s="95">
        <f ca="1">'Planning Engine'!K1266</f>
        <v>0</v>
      </c>
      <c r="L550" s="12" t="str">
        <f ca="1">'Planning Engine'!L1266</f>
        <v>Medium</v>
      </c>
      <c r="M550" s="93">
        <f>'Planning Engine'!S1266</f>
        <v>46204</v>
      </c>
      <c r="N550" s="95">
        <f>'Planning Engine'!T1266</f>
        <v>0</v>
      </c>
      <c r="O550" s="94" t="s">
        <v>2298</v>
      </c>
      <c r="P550" s="12" t="str">
        <f t="shared" ca="1" si="17"/>
        <v>Monitor — plan additional POs</v>
      </c>
    </row>
    <row r="551" spans="1:16" ht="13" customHeight="1" x14ac:dyDescent="0.35">
      <c r="A551" s="97">
        <v>46357</v>
      </c>
      <c r="B551" s="53" t="s">
        <v>57</v>
      </c>
      <c r="C551" s="12" t="str">
        <f>'Planning Engine'!C1267</f>
        <v>Raw Material</v>
      </c>
      <c r="D551" s="12" t="str">
        <f>'Planning Engine'!D1267</f>
        <v>kg</v>
      </c>
      <c r="E551" s="95">
        <f>'Planning Engine'!E1267</f>
        <v>41.959999999999994</v>
      </c>
      <c r="F551" s="95">
        <f>'Planning Engine'!F1267</f>
        <v>0</v>
      </c>
      <c r="G551" s="95">
        <f>'Planning Engine'!G1267</f>
        <v>0</v>
      </c>
      <c r="H551" s="99">
        <f t="shared" si="16"/>
        <v>0</v>
      </c>
      <c r="I551" s="95">
        <f>'Planning Engine'!H1267</f>
        <v>41.959999999999994</v>
      </c>
      <c r="J551" s="96">
        <f ca="1">'Planning Engine'!J1267</f>
        <v>3.4058441558441555</v>
      </c>
      <c r="K551" s="95">
        <f ca="1">'Planning Engine'!K1267</f>
        <v>0</v>
      </c>
      <c r="L551" s="12" t="str">
        <f ca="1">'Planning Engine'!L1267</f>
        <v>Medium</v>
      </c>
      <c r="M551" s="93">
        <f>'Planning Engine'!S1267</f>
        <v>46235</v>
      </c>
      <c r="N551" s="95">
        <f>'Planning Engine'!T1267</f>
        <v>0</v>
      </c>
      <c r="O551" s="98" t="s">
        <v>2299</v>
      </c>
      <c r="P551" s="4" t="str">
        <f t="shared" ca="1" si="17"/>
        <v>Monitor — plan additional POs</v>
      </c>
    </row>
    <row r="552" spans="1:16" ht="13" customHeight="1" x14ac:dyDescent="0.35">
      <c r="A552" s="93">
        <v>46388</v>
      </c>
      <c r="B552" s="61" t="s">
        <v>57</v>
      </c>
      <c r="C552" s="12" t="str">
        <f>'Planning Engine'!C1268</f>
        <v>Raw Material</v>
      </c>
      <c r="D552" s="12" t="str">
        <f>'Planning Engine'!D1268</f>
        <v>kg</v>
      </c>
      <c r="E552" s="95">
        <f>'Planning Engine'!E1268</f>
        <v>41.959999999999994</v>
      </c>
      <c r="F552" s="95">
        <f>'Planning Engine'!F1268</f>
        <v>0</v>
      </c>
      <c r="G552" s="95">
        <f>'Planning Engine'!G1268</f>
        <v>40</v>
      </c>
      <c r="H552" s="95">
        <f t="shared" si="16"/>
        <v>40</v>
      </c>
      <c r="I552" s="95">
        <f>'Planning Engine'!H1268</f>
        <v>81.96</v>
      </c>
      <c r="J552" s="96">
        <f ca="1">'Planning Engine'!J1268</f>
        <v>6.6525974025974017</v>
      </c>
      <c r="K552" s="95">
        <f ca="1">'Planning Engine'!K1268</f>
        <v>0</v>
      </c>
      <c r="L552" s="12" t="str">
        <f ca="1">'Planning Engine'!L1268</f>
        <v>Low</v>
      </c>
      <c r="M552" s="93">
        <f>'Planning Engine'!S1268</f>
        <v>46266</v>
      </c>
      <c r="N552" s="95">
        <f>'Planning Engine'!T1268</f>
        <v>40</v>
      </c>
      <c r="O552" s="94" t="s">
        <v>2300</v>
      </c>
      <c r="P552" s="12" t="str">
        <f t="shared" ca="1" si="17"/>
        <v>OK</v>
      </c>
    </row>
    <row r="553" spans="1:16" ht="13" customHeight="1" x14ac:dyDescent="0.35">
      <c r="A553" s="97">
        <v>46419</v>
      </c>
      <c r="B553" s="53" t="s">
        <v>57</v>
      </c>
      <c r="C553" s="12" t="str">
        <f>'Planning Engine'!C1269</f>
        <v>Raw Material</v>
      </c>
      <c r="D553" s="12" t="str">
        <f>'Planning Engine'!D1269</f>
        <v>kg</v>
      </c>
      <c r="E553" s="95">
        <f>'Planning Engine'!E1269</f>
        <v>81.96</v>
      </c>
      <c r="F553" s="95">
        <f>'Planning Engine'!F1269</f>
        <v>0</v>
      </c>
      <c r="G553" s="95">
        <f>'Planning Engine'!G1269</f>
        <v>0</v>
      </c>
      <c r="H553" s="99">
        <f t="shared" si="16"/>
        <v>0</v>
      </c>
      <c r="I553" s="95">
        <f>'Planning Engine'!H1269</f>
        <v>81.96</v>
      </c>
      <c r="J553" s="96">
        <f ca="1">'Planning Engine'!J1269</f>
        <v>6.6525974025974017</v>
      </c>
      <c r="K553" s="95">
        <f ca="1">'Planning Engine'!K1269</f>
        <v>0</v>
      </c>
      <c r="L553" s="12" t="str">
        <f ca="1">'Planning Engine'!L1269</f>
        <v>Low</v>
      </c>
      <c r="M553" s="93">
        <f>'Planning Engine'!S1269</f>
        <v>46296</v>
      </c>
      <c r="N553" s="95">
        <f>'Planning Engine'!T1269</f>
        <v>0</v>
      </c>
      <c r="O553" s="98" t="s">
        <v>2301</v>
      </c>
      <c r="P553" s="4" t="str">
        <f t="shared" ca="1" si="17"/>
        <v>OK</v>
      </c>
    </row>
    <row r="554" spans="1:16" ht="13" customHeight="1" x14ac:dyDescent="0.35">
      <c r="A554" s="93">
        <v>46447</v>
      </c>
      <c r="B554" s="61" t="s">
        <v>57</v>
      </c>
      <c r="C554" s="12" t="str">
        <f>'Planning Engine'!C1270</f>
        <v>Raw Material</v>
      </c>
      <c r="D554" s="12" t="str">
        <f>'Planning Engine'!D1270</f>
        <v>kg</v>
      </c>
      <c r="E554" s="95">
        <f>'Planning Engine'!E1270</f>
        <v>81.96</v>
      </c>
      <c r="F554" s="95">
        <f>'Planning Engine'!F1270</f>
        <v>0</v>
      </c>
      <c r="G554" s="95">
        <f>'Planning Engine'!G1270</f>
        <v>0</v>
      </c>
      <c r="H554" s="95">
        <f t="shared" si="16"/>
        <v>0</v>
      </c>
      <c r="I554" s="95">
        <f>'Planning Engine'!H1270</f>
        <v>81.96</v>
      </c>
      <c r="J554" s="96">
        <f ca="1">'Planning Engine'!J1270</f>
        <v>6.6525974025974017</v>
      </c>
      <c r="K554" s="95">
        <f ca="1">'Planning Engine'!K1270</f>
        <v>0</v>
      </c>
      <c r="L554" s="12" t="str">
        <f ca="1">'Planning Engine'!L1270</f>
        <v>Low</v>
      </c>
      <c r="M554" s="93">
        <f>'Planning Engine'!S1270</f>
        <v>46327</v>
      </c>
      <c r="N554" s="95">
        <f>'Planning Engine'!T1270</f>
        <v>0</v>
      </c>
      <c r="O554" s="94" t="s">
        <v>2302</v>
      </c>
      <c r="P554" s="12" t="str">
        <f t="shared" ca="1" si="17"/>
        <v>OK</v>
      </c>
    </row>
    <row r="555" spans="1:16" ht="13" customHeight="1" x14ac:dyDescent="0.35">
      <c r="A555" s="97">
        <v>46478</v>
      </c>
      <c r="B555" s="53" t="s">
        <v>57</v>
      </c>
      <c r="C555" s="12" t="str">
        <f>'Planning Engine'!C1271</f>
        <v>Raw Material</v>
      </c>
      <c r="D555" s="12" t="str">
        <f>'Planning Engine'!D1271</f>
        <v>kg</v>
      </c>
      <c r="E555" s="95">
        <f>'Planning Engine'!E1271</f>
        <v>81.96</v>
      </c>
      <c r="F555" s="95">
        <f>'Planning Engine'!F1271</f>
        <v>12.32</v>
      </c>
      <c r="G555" s="95">
        <f>'Planning Engine'!G1271</f>
        <v>0</v>
      </c>
      <c r="H555" s="99">
        <f t="shared" si="16"/>
        <v>-12.32</v>
      </c>
      <c r="I555" s="95">
        <f>'Planning Engine'!H1271</f>
        <v>69.639999999999986</v>
      </c>
      <c r="J555" s="96">
        <f ca="1">'Planning Engine'!J1271</f>
        <v>5.6525974025974017</v>
      </c>
      <c r="K555" s="95">
        <f ca="1">'Planning Engine'!K1271</f>
        <v>0</v>
      </c>
      <c r="L555" s="12" t="str">
        <f ca="1">'Planning Engine'!L1271</f>
        <v>Low</v>
      </c>
      <c r="M555" s="93">
        <f>'Planning Engine'!S1271</f>
        <v>46357</v>
      </c>
      <c r="N555" s="95">
        <f>'Planning Engine'!T1271</f>
        <v>0</v>
      </c>
      <c r="O555" s="98" t="s">
        <v>2303</v>
      </c>
      <c r="P555" s="4" t="str">
        <f t="shared" ca="1" si="17"/>
        <v>OK</v>
      </c>
    </row>
    <row r="556" spans="1:16" ht="13" customHeight="1" x14ac:dyDescent="0.35">
      <c r="A556" s="93">
        <v>46508</v>
      </c>
      <c r="B556" s="61" t="s">
        <v>57</v>
      </c>
      <c r="C556" s="12" t="str">
        <f>'Planning Engine'!C1272</f>
        <v>Raw Material</v>
      </c>
      <c r="D556" s="12" t="str">
        <f>'Planning Engine'!D1272</f>
        <v>kg</v>
      </c>
      <c r="E556" s="95">
        <f>'Planning Engine'!E1272</f>
        <v>69.639999999999986</v>
      </c>
      <c r="F556" s="95">
        <f>'Planning Engine'!F1272</f>
        <v>12.32</v>
      </c>
      <c r="G556" s="95">
        <f>'Planning Engine'!G1272</f>
        <v>0</v>
      </c>
      <c r="H556" s="95">
        <f t="shared" si="16"/>
        <v>-12.32</v>
      </c>
      <c r="I556" s="95">
        <f>'Planning Engine'!H1272</f>
        <v>57.319999999999986</v>
      </c>
      <c r="J556" s="96">
        <f ca="1">'Planning Engine'!J1272</f>
        <v>4.6525974025974017</v>
      </c>
      <c r="K556" s="95">
        <f ca="1">'Planning Engine'!K1272</f>
        <v>0</v>
      </c>
      <c r="L556" s="12" t="str">
        <f ca="1">'Planning Engine'!L1272</f>
        <v>Low</v>
      </c>
      <c r="M556" s="93">
        <f>'Planning Engine'!S1272</f>
        <v>46388</v>
      </c>
      <c r="N556" s="95">
        <f>'Planning Engine'!T1272</f>
        <v>0</v>
      </c>
      <c r="O556" s="94" t="s">
        <v>2304</v>
      </c>
      <c r="P556" s="12" t="str">
        <f t="shared" ca="1" si="17"/>
        <v>OK</v>
      </c>
    </row>
    <row r="557" spans="1:16" ht="13" customHeight="1" x14ac:dyDescent="0.35">
      <c r="A557" s="97">
        <v>46539</v>
      </c>
      <c r="B557" s="53" t="s">
        <v>57</v>
      </c>
      <c r="C557" s="12" t="str">
        <f>'Planning Engine'!C1273</f>
        <v>Raw Material</v>
      </c>
      <c r="D557" s="12" t="str">
        <f>'Planning Engine'!D1273</f>
        <v>kg</v>
      </c>
      <c r="E557" s="95">
        <f>'Planning Engine'!E1273</f>
        <v>57.319999999999986</v>
      </c>
      <c r="F557" s="95">
        <f>'Planning Engine'!F1273</f>
        <v>12.32</v>
      </c>
      <c r="G557" s="95">
        <f>'Planning Engine'!G1273</f>
        <v>0</v>
      </c>
      <c r="H557" s="99">
        <f t="shared" si="16"/>
        <v>-12.32</v>
      </c>
      <c r="I557" s="95">
        <f>'Planning Engine'!H1273</f>
        <v>44.999999999999986</v>
      </c>
      <c r="J557" s="96">
        <f ca="1">'Planning Engine'!J1273</f>
        <v>3.6525974025974013</v>
      </c>
      <c r="K557" s="95">
        <f ca="1">'Planning Engine'!K1273</f>
        <v>0</v>
      </c>
      <c r="L557" s="12" t="str">
        <f ca="1">'Planning Engine'!L1273</f>
        <v>Medium</v>
      </c>
      <c r="M557" s="93">
        <f>'Planning Engine'!S1273</f>
        <v>46419</v>
      </c>
      <c r="N557" s="95">
        <f>'Planning Engine'!T1273</f>
        <v>0</v>
      </c>
      <c r="O557" s="98" t="s">
        <v>2305</v>
      </c>
      <c r="P557" s="4" t="str">
        <f t="shared" ca="1" si="17"/>
        <v>Monitor — plan additional POs</v>
      </c>
    </row>
    <row r="558" spans="1:16" ht="13" customHeight="1" x14ac:dyDescent="0.35">
      <c r="A558" s="93">
        <v>46569</v>
      </c>
      <c r="B558" s="61" t="s">
        <v>57</v>
      </c>
      <c r="C558" s="12" t="str">
        <f>'Planning Engine'!C1274</f>
        <v>Raw Material</v>
      </c>
      <c r="D558" s="12" t="str">
        <f>'Planning Engine'!D1274</f>
        <v>kg</v>
      </c>
      <c r="E558" s="95">
        <f>'Planning Engine'!E1274</f>
        <v>44.999999999999986</v>
      </c>
      <c r="F558" s="95">
        <f>'Planning Engine'!F1274</f>
        <v>12.32</v>
      </c>
      <c r="G558" s="95">
        <f>'Planning Engine'!G1274</f>
        <v>0</v>
      </c>
      <c r="H558" s="95">
        <f t="shared" si="16"/>
        <v>-12.32</v>
      </c>
      <c r="I558" s="95">
        <f>'Planning Engine'!H1274</f>
        <v>32.679999999999986</v>
      </c>
      <c r="J558" s="96">
        <f ca="1">'Planning Engine'!J1274</f>
        <v>2.6525974025974013</v>
      </c>
      <c r="K558" s="95">
        <f ca="1">'Planning Engine'!K1274</f>
        <v>0</v>
      </c>
      <c r="L558" s="12" t="str">
        <f ca="1">'Planning Engine'!L1274</f>
        <v>High</v>
      </c>
      <c r="M558" s="93">
        <f>'Planning Engine'!S1274</f>
        <v>46447</v>
      </c>
      <c r="N558" s="95">
        <f>'Planning Engine'!T1274</f>
        <v>0</v>
      </c>
      <c r="O558" s="94" t="s">
        <v>2306</v>
      </c>
      <c r="P558" s="12" t="str">
        <f t="shared" ca="1" si="17"/>
        <v>⚠ Expedite / qualify alternate source</v>
      </c>
    </row>
    <row r="559" spans="1:16" ht="13" customHeight="1" x14ac:dyDescent="0.35">
      <c r="A559" s="97">
        <v>46600</v>
      </c>
      <c r="B559" s="53" t="s">
        <v>57</v>
      </c>
      <c r="C559" s="12" t="str">
        <f>'Planning Engine'!C1275</f>
        <v>Raw Material</v>
      </c>
      <c r="D559" s="12" t="str">
        <f>'Planning Engine'!D1275</f>
        <v>kg</v>
      </c>
      <c r="E559" s="95">
        <f>'Planning Engine'!E1275</f>
        <v>32.679999999999986</v>
      </c>
      <c r="F559" s="95">
        <f>'Planning Engine'!F1275</f>
        <v>0</v>
      </c>
      <c r="G559" s="95">
        <f>'Planning Engine'!G1275</f>
        <v>0</v>
      </c>
      <c r="H559" s="99">
        <f t="shared" si="16"/>
        <v>0</v>
      </c>
      <c r="I559" s="95">
        <f>'Planning Engine'!H1275</f>
        <v>32.679999999999986</v>
      </c>
      <c r="J559" s="96">
        <f ca="1">'Planning Engine'!J1275</f>
        <v>999</v>
      </c>
      <c r="K559" s="95">
        <f ca="1">'Planning Engine'!K1275</f>
        <v>0</v>
      </c>
      <c r="L559" s="12" t="str">
        <f ca="1">'Planning Engine'!L1275</f>
        <v>Overstock</v>
      </c>
      <c r="M559" s="93">
        <f>'Planning Engine'!S1275</f>
        <v>46478</v>
      </c>
      <c r="N559" s="95">
        <f>'Planning Engine'!T1275</f>
        <v>0</v>
      </c>
      <c r="O559" s="98" t="s">
        <v>2307</v>
      </c>
      <c r="P559" s="4" t="str">
        <f t="shared" ca="1" si="17"/>
        <v>Defer receipts</v>
      </c>
    </row>
    <row r="560" spans="1:16" ht="13" customHeight="1" x14ac:dyDescent="0.35">
      <c r="A560" s="93">
        <v>46631</v>
      </c>
      <c r="B560" s="61" t="s">
        <v>57</v>
      </c>
      <c r="C560" s="12" t="str">
        <f>'Planning Engine'!C1276</f>
        <v>Raw Material</v>
      </c>
      <c r="D560" s="12" t="str">
        <f>'Planning Engine'!D1276</f>
        <v>kg</v>
      </c>
      <c r="E560" s="95">
        <f>'Planning Engine'!E1276</f>
        <v>32.679999999999986</v>
      </c>
      <c r="F560" s="95">
        <f>'Planning Engine'!F1276</f>
        <v>0</v>
      </c>
      <c r="G560" s="95">
        <f>'Planning Engine'!G1276</f>
        <v>0</v>
      </c>
      <c r="H560" s="95">
        <f t="shared" si="16"/>
        <v>0</v>
      </c>
      <c r="I560" s="95">
        <f>'Planning Engine'!H1276</f>
        <v>32.679999999999986</v>
      </c>
      <c r="J560" s="96">
        <f ca="1">'Planning Engine'!J1276</f>
        <v>999</v>
      </c>
      <c r="K560" s="95">
        <f ca="1">'Planning Engine'!K1276</f>
        <v>0</v>
      </c>
      <c r="L560" s="12" t="str">
        <f ca="1">'Planning Engine'!L1276</f>
        <v>Overstock</v>
      </c>
      <c r="M560" s="93">
        <f>'Planning Engine'!S1276</f>
        <v>46508</v>
      </c>
      <c r="N560" s="95">
        <f>'Planning Engine'!T1276</f>
        <v>0</v>
      </c>
      <c r="O560" s="94" t="s">
        <v>2308</v>
      </c>
      <c r="P560" s="12" t="str">
        <f t="shared" ca="1" si="17"/>
        <v>Defer receipts</v>
      </c>
    </row>
    <row r="561" spans="1:16" ht="13" customHeight="1" x14ac:dyDescent="0.35">
      <c r="A561" s="97">
        <v>46661</v>
      </c>
      <c r="B561" s="53" t="s">
        <v>57</v>
      </c>
      <c r="C561" s="12" t="str">
        <f>'Planning Engine'!C1277</f>
        <v>Raw Material</v>
      </c>
      <c r="D561" s="12" t="str">
        <f>'Planning Engine'!D1277</f>
        <v>kg</v>
      </c>
      <c r="E561" s="95">
        <f>'Planning Engine'!E1277</f>
        <v>32.679999999999986</v>
      </c>
      <c r="F561" s="95">
        <f>'Planning Engine'!F1277</f>
        <v>0</v>
      </c>
      <c r="G561" s="95">
        <f>'Planning Engine'!G1277</f>
        <v>0</v>
      </c>
      <c r="H561" s="99">
        <f t="shared" si="16"/>
        <v>0</v>
      </c>
      <c r="I561" s="95">
        <f>'Planning Engine'!H1277</f>
        <v>32.679999999999986</v>
      </c>
      <c r="J561" s="96">
        <f ca="1">'Planning Engine'!J1277</f>
        <v>999</v>
      </c>
      <c r="K561" s="95">
        <f ca="1">'Planning Engine'!K1277</f>
        <v>0</v>
      </c>
      <c r="L561" s="12" t="str">
        <f ca="1">'Planning Engine'!L1277</f>
        <v>Overstock</v>
      </c>
      <c r="M561" s="93">
        <f>'Planning Engine'!S1277</f>
        <v>46539</v>
      </c>
      <c r="N561" s="95">
        <f>'Planning Engine'!T1277</f>
        <v>0</v>
      </c>
      <c r="O561" s="98" t="s">
        <v>2309</v>
      </c>
      <c r="P561" s="4" t="str">
        <f t="shared" ca="1" si="17"/>
        <v>Defer receipts</v>
      </c>
    </row>
    <row r="562" spans="1:16" ht="13" customHeight="1" x14ac:dyDescent="0.35">
      <c r="A562" s="93">
        <v>46692</v>
      </c>
      <c r="B562" s="61" t="s">
        <v>57</v>
      </c>
      <c r="C562" s="12" t="str">
        <f>'Planning Engine'!C1278</f>
        <v>Raw Material</v>
      </c>
      <c r="D562" s="12" t="str">
        <f>'Planning Engine'!D1278</f>
        <v>kg</v>
      </c>
      <c r="E562" s="95">
        <f>'Planning Engine'!E1278</f>
        <v>32.679999999999986</v>
      </c>
      <c r="F562" s="95">
        <f>'Planning Engine'!F1278</f>
        <v>0</v>
      </c>
      <c r="G562" s="95">
        <f>'Planning Engine'!G1278</f>
        <v>0</v>
      </c>
      <c r="H562" s="95">
        <f t="shared" si="16"/>
        <v>0</v>
      </c>
      <c r="I562" s="95">
        <f>'Planning Engine'!H1278</f>
        <v>32.679999999999986</v>
      </c>
      <c r="J562" s="96">
        <f ca="1">'Planning Engine'!J1278</f>
        <v>999</v>
      </c>
      <c r="K562" s="95">
        <f ca="1">'Planning Engine'!K1278</f>
        <v>0</v>
      </c>
      <c r="L562" s="12" t="str">
        <f ca="1">'Planning Engine'!L1278</f>
        <v>Overstock</v>
      </c>
      <c r="M562" s="93">
        <f>'Planning Engine'!S1278</f>
        <v>46569</v>
      </c>
      <c r="N562" s="95">
        <f>'Planning Engine'!T1278</f>
        <v>0</v>
      </c>
      <c r="O562" s="94" t="s">
        <v>2310</v>
      </c>
      <c r="P562" s="12" t="str">
        <f t="shared" ca="1" si="17"/>
        <v>Defer receipts</v>
      </c>
    </row>
    <row r="563" spans="1:16" ht="13" customHeight="1" x14ac:dyDescent="0.35">
      <c r="A563" s="97">
        <v>46722</v>
      </c>
      <c r="B563" s="53" t="s">
        <v>57</v>
      </c>
      <c r="C563" s="12" t="str">
        <f>'Planning Engine'!C1279</f>
        <v>Raw Material</v>
      </c>
      <c r="D563" s="12" t="str">
        <f>'Planning Engine'!D1279</f>
        <v>kg</v>
      </c>
      <c r="E563" s="95">
        <f>'Planning Engine'!E1279</f>
        <v>32.679999999999986</v>
      </c>
      <c r="F563" s="95">
        <f>'Planning Engine'!F1279</f>
        <v>0</v>
      </c>
      <c r="G563" s="95">
        <f>'Planning Engine'!G1279</f>
        <v>0</v>
      </c>
      <c r="H563" s="99">
        <f t="shared" si="16"/>
        <v>0</v>
      </c>
      <c r="I563" s="95">
        <f>'Planning Engine'!H1279</f>
        <v>32.679999999999986</v>
      </c>
      <c r="J563" s="96">
        <f ca="1">'Planning Engine'!J1279</f>
        <v>999</v>
      </c>
      <c r="K563" s="95">
        <f ca="1">'Planning Engine'!K1279</f>
        <v>0</v>
      </c>
      <c r="L563" s="12" t="str">
        <f ca="1">'Planning Engine'!L1279</f>
        <v>Overstock</v>
      </c>
      <c r="M563" s="93">
        <f>'Planning Engine'!S1279</f>
        <v>46600</v>
      </c>
      <c r="N563" s="95">
        <f>'Planning Engine'!T1279</f>
        <v>0</v>
      </c>
      <c r="O563" s="98" t="s">
        <v>2311</v>
      </c>
      <c r="P563" s="4" t="str">
        <f t="shared" ca="1" si="17"/>
        <v>Defer receipts</v>
      </c>
    </row>
    <row r="564" spans="1:16" ht="13" customHeight="1" x14ac:dyDescent="0.35">
      <c r="A564" s="93">
        <v>46753</v>
      </c>
      <c r="B564" s="61" t="s">
        <v>57</v>
      </c>
      <c r="C564" s="12" t="str">
        <f>'Planning Engine'!C1280</f>
        <v>Raw Material</v>
      </c>
      <c r="D564" s="12" t="str">
        <f>'Planning Engine'!D1280</f>
        <v>kg</v>
      </c>
      <c r="E564" s="95">
        <f>'Planning Engine'!E1280</f>
        <v>32.679999999999986</v>
      </c>
      <c r="F564" s="95">
        <f>'Planning Engine'!F1280</f>
        <v>0</v>
      </c>
      <c r="G564" s="95">
        <f>'Planning Engine'!G1280</f>
        <v>0</v>
      </c>
      <c r="H564" s="95">
        <f t="shared" si="16"/>
        <v>0</v>
      </c>
      <c r="I564" s="95">
        <f>'Planning Engine'!H1280</f>
        <v>32.679999999999986</v>
      </c>
      <c r="J564" s="96">
        <f ca="1">'Planning Engine'!J1280</f>
        <v>999</v>
      </c>
      <c r="K564" s="95">
        <f ca="1">'Planning Engine'!K1280</f>
        <v>0</v>
      </c>
      <c r="L564" s="12" t="str">
        <f ca="1">'Planning Engine'!L1280</f>
        <v>Overstock</v>
      </c>
      <c r="M564" s="93">
        <f>'Planning Engine'!S1280</f>
        <v>46631</v>
      </c>
      <c r="N564" s="95">
        <f>'Planning Engine'!T1280</f>
        <v>0</v>
      </c>
      <c r="O564" s="94" t="s">
        <v>2312</v>
      </c>
      <c r="P564" s="12" t="str">
        <f t="shared" ca="1" si="17"/>
        <v>Defer receipts</v>
      </c>
    </row>
    <row r="565" spans="1:16" ht="13" customHeight="1" x14ac:dyDescent="0.35">
      <c r="A565" s="97">
        <v>46784</v>
      </c>
      <c r="B565" s="53" t="s">
        <v>57</v>
      </c>
      <c r="C565" s="12" t="str">
        <f>'Planning Engine'!C1281</f>
        <v>Raw Material</v>
      </c>
      <c r="D565" s="12" t="str">
        <f>'Planning Engine'!D1281</f>
        <v>kg</v>
      </c>
      <c r="E565" s="95">
        <f>'Planning Engine'!E1281</f>
        <v>32.679999999999986</v>
      </c>
      <c r="F565" s="95">
        <f>'Planning Engine'!F1281</f>
        <v>0</v>
      </c>
      <c r="G565" s="95">
        <f>'Planning Engine'!G1281</f>
        <v>0</v>
      </c>
      <c r="H565" s="99">
        <f t="shared" si="16"/>
        <v>0</v>
      </c>
      <c r="I565" s="95">
        <f>'Planning Engine'!H1281</f>
        <v>32.679999999999986</v>
      </c>
      <c r="J565" s="96">
        <f ca="1">'Planning Engine'!J1281</f>
        <v>999</v>
      </c>
      <c r="K565" s="95">
        <f ca="1">'Planning Engine'!K1281</f>
        <v>0</v>
      </c>
      <c r="L565" s="12" t="str">
        <f ca="1">'Planning Engine'!L1281</f>
        <v>Overstock</v>
      </c>
      <c r="M565" s="93">
        <f>'Planning Engine'!S1281</f>
        <v>46661</v>
      </c>
      <c r="N565" s="95">
        <f>'Planning Engine'!T1281</f>
        <v>0</v>
      </c>
      <c r="O565" s="98" t="s">
        <v>2313</v>
      </c>
      <c r="P565" s="4" t="str">
        <f t="shared" ca="1" si="17"/>
        <v>Defer receipts</v>
      </c>
    </row>
    <row r="566" spans="1:16" ht="13" customHeight="1" x14ac:dyDescent="0.35">
      <c r="A566" s="93">
        <v>46813</v>
      </c>
      <c r="B566" s="61" t="s">
        <v>57</v>
      </c>
      <c r="C566" s="12" t="str">
        <f>'Planning Engine'!C1282</f>
        <v>Raw Material</v>
      </c>
      <c r="D566" s="12" t="str">
        <f>'Planning Engine'!D1282</f>
        <v>kg</v>
      </c>
      <c r="E566" s="95">
        <f>'Planning Engine'!E1282</f>
        <v>32.679999999999986</v>
      </c>
      <c r="F566" s="95">
        <f>'Planning Engine'!F1282</f>
        <v>0</v>
      </c>
      <c r="G566" s="95">
        <f>'Planning Engine'!G1282</f>
        <v>0</v>
      </c>
      <c r="H566" s="95">
        <f t="shared" si="16"/>
        <v>0</v>
      </c>
      <c r="I566" s="95">
        <f>'Planning Engine'!H1282</f>
        <v>32.679999999999986</v>
      </c>
      <c r="J566" s="96">
        <f ca="1">'Planning Engine'!J1282</f>
        <v>999</v>
      </c>
      <c r="K566" s="95">
        <f ca="1">'Planning Engine'!K1282</f>
        <v>0</v>
      </c>
      <c r="L566" s="12" t="str">
        <f ca="1">'Planning Engine'!L1282</f>
        <v>Overstock</v>
      </c>
      <c r="M566" s="93">
        <f>'Planning Engine'!S1282</f>
        <v>46692</v>
      </c>
      <c r="N566" s="95">
        <f>'Planning Engine'!T1282</f>
        <v>0</v>
      </c>
      <c r="O566" s="94" t="s">
        <v>2314</v>
      </c>
      <c r="P566" s="12" t="str">
        <f t="shared" ca="1" si="17"/>
        <v>Defer receipts</v>
      </c>
    </row>
    <row r="567" spans="1:16" ht="13" customHeight="1" x14ac:dyDescent="0.35">
      <c r="A567" s="97">
        <v>46844</v>
      </c>
      <c r="B567" s="53" t="s">
        <v>57</v>
      </c>
      <c r="C567" s="12" t="str">
        <f>'Planning Engine'!C1283</f>
        <v>Raw Material</v>
      </c>
      <c r="D567" s="12" t="str">
        <f>'Planning Engine'!D1283</f>
        <v>kg</v>
      </c>
      <c r="E567" s="95">
        <f>'Planning Engine'!E1283</f>
        <v>32.679999999999986</v>
      </c>
      <c r="F567" s="95">
        <f>'Planning Engine'!F1283</f>
        <v>0</v>
      </c>
      <c r="G567" s="95">
        <f>'Planning Engine'!G1283</f>
        <v>0</v>
      </c>
      <c r="H567" s="99">
        <f t="shared" si="16"/>
        <v>0</v>
      </c>
      <c r="I567" s="95">
        <f>'Planning Engine'!H1283</f>
        <v>32.679999999999986</v>
      </c>
      <c r="J567" s="96">
        <f ca="1">'Planning Engine'!J1283</f>
        <v>999</v>
      </c>
      <c r="K567" s="95">
        <f ca="1">'Planning Engine'!K1283</f>
        <v>0</v>
      </c>
      <c r="L567" s="12" t="str">
        <f ca="1">'Planning Engine'!L1283</f>
        <v>Overstock</v>
      </c>
      <c r="M567" s="93">
        <f>'Planning Engine'!S1283</f>
        <v>46722</v>
      </c>
      <c r="N567" s="95">
        <f>'Planning Engine'!T1283</f>
        <v>0</v>
      </c>
      <c r="O567" s="98" t="s">
        <v>2315</v>
      </c>
      <c r="P567" s="4" t="str">
        <f t="shared" ca="1" si="17"/>
        <v>Defer receipts</v>
      </c>
    </row>
    <row r="568" spans="1:16" ht="13" customHeight="1" x14ac:dyDescent="0.35">
      <c r="A568" s="93">
        <v>46874</v>
      </c>
      <c r="B568" s="61" t="s">
        <v>57</v>
      </c>
      <c r="C568" s="12" t="str">
        <f>'Planning Engine'!C1284</f>
        <v>Raw Material</v>
      </c>
      <c r="D568" s="12" t="str">
        <f>'Planning Engine'!D1284</f>
        <v>kg</v>
      </c>
      <c r="E568" s="95">
        <f>'Planning Engine'!E1284</f>
        <v>32.679999999999986</v>
      </c>
      <c r="F568" s="95">
        <f>'Planning Engine'!F1284</f>
        <v>0</v>
      </c>
      <c r="G568" s="95">
        <f>'Planning Engine'!G1284</f>
        <v>0</v>
      </c>
      <c r="H568" s="95">
        <f t="shared" si="16"/>
        <v>0</v>
      </c>
      <c r="I568" s="95">
        <f>'Planning Engine'!H1284</f>
        <v>32.679999999999986</v>
      </c>
      <c r="J568" s="96">
        <f ca="1">'Planning Engine'!J1284</f>
        <v>999</v>
      </c>
      <c r="K568" s="95">
        <f ca="1">'Planning Engine'!K1284</f>
        <v>0</v>
      </c>
      <c r="L568" s="12" t="str">
        <f ca="1">'Planning Engine'!L1284</f>
        <v>Overstock</v>
      </c>
      <c r="M568" s="93">
        <f>'Planning Engine'!S1284</f>
        <v>46753</v>
      </c>
      <c r="N568" s="95">
        <f>'Planning Engine'!T1284</f>
        <v>0</v>
      </c>
      <c r="O568" s="94" t="s">
        <v>2316</v>
      </c>
      <c r="P568" s="12" t="str">
        <f t="shared" ca="1" si="17"/>
        <v>Defer receipts</v>
      </c>
    </row>
    <row r="569" spans="1:16" ht="13" customHeight="1" x14ac:dyDescent="0.35">
      <c r="A569" s="97">
        <v>46905</v>
      </c>
      <c r="B569" s="53" t="s">
        <v>57</v>
      </c>
      <c r="C569" s="12" t="str">
        <f>'Planning Engine'!C1285</f>
        <v>Raw Material</v>
      </c>
      <c r="D569" s="12" t="str">
        <f>'Planning Engine'!D1285</f>
        <v>kg</v>
      </c>
      <c r="E569" s="95">
        <f>'Planning Engine'!E1285</f>
        <v>32.679999999999986</v>
      </c>
      <c r="F569" s="95">
        <f>'Planning Engine'!F1285</f>
        <v>0</v>
      </c>
      <c r="G569" s="95">
        <f>'Planning Engine'!G1285</f>
        <v>0</v>
      </c>
      <c r="H569" s="99">
        <f t="shared" si="16"/>
        <v>0</v>
      </c>
      <c r="I569" s="95">
        <f>'Planning Engine'!H1285</f>
        <v>32.679999999999986</v>
      </c>
      <c r="J569" s="96">
        <f ca="1">'Planning Engine'!J1285</f>
        <v>999</v>
      </c>
      <c r="K569" s="95">
        <f ca="1">'Planning Engine'!K1285</f>
        <v>0</v>
      </c>
      <c r="L569" s="12" t="str">
        <f ca="1">'Planning Engine'!L1285</f>
        <v>Overstock</v>
      </c>
      <c r="M569" s="93">
        <f>'Planning Engine'!S1285</f>
        <v>46784</v>
      </c>
      <c r="N569" s="95">
        <f>'Planning Engine'!T1285</f>
        <v>0</v>
      </c>
      <c r="O569" s="98" t="s">
        <v>2317</v>
      </c>
      <c r="P569" s="4" t="str">
        <f t="shared" ca="1" si="17"/>
        <v>Defer receipts</v>
      </c>
    </row>
    <row r="570" spans="1:16" ht="13" customHeight="1" x14ac:dyDescent="0.35">
      <c r="A570" s="93">
        <v>46935</v>
      </c>
      <c r="B570" s="61" t="s">
        <v>57</v>
      </c>
      <c r="C570" s="12" t="str">
        <f>'Planning Engine'!C1286</f>
        <v>Raw Material</v>
      </c>
      <c r="D570" s="12" t="str">
        <f>'Planning Engine'!D1286</f>
        <v>kg</v>
      </c>
      <c r="E570" s="95">
        <f>'Planning Engine'!E1286</f>
        <v>32.679999999999986</v>
      </c>
      <c r="F570" s="95">
        <f>'Planning Engine'!F1286</f>
        <v>0</v>
      </c>
      <c r="G570" s="95">
        <f>'Planning Engine'!G1286</f>
        <v>0</v>
      </c>
      <c r="H570" s="95">
        <f t="shared" si="16"/>
        <v>0</v>
      </c>
      <c r="I570" s="95">
        <f>'Planning Engine'!H1286</f>
        <v>32.679999999999986</v>
      </c>
      <c r="J570" s="96">
        <f ca="1">'Planning Engine'!J1286</f>
        <v>999</v>
      </c>
      <c r="K570" s="95">
        <f ca="1">'Planning Engine'!K1286</f>
        <v>0</v>
      </c>
      <c r="L570" s="12" t="str">
        <f ca="1">'Planning Engine'!L1286</f>
        <v>Overstock</v>
      </c>
      <c r="M570" s="93">
        <f>'Planning Engine'!S1286</f>
        <v>46813</v>
      </c>
      <c r="N570" s="95">
        <f>'Planning Engine'!T1286</f>
        <v>0</v>
      </c>
      <c r="O570" s="94" t="s">
        <v>2318</v>
      </c>
      <c r="P570" s="12" t="str">
        <f t="shared" ca="1" si="17"/>
        <v>Defer receipts</v>
      </c>
    </row>
    <row r="571" spans="1:16" ht="13" customHeight="1" x14ac:dyDescent="0.35">
      <c r="A571" s="97">
        <v>46966</v>
      </c>
      <c r="B571" s="53" t="s">
        <v>57</v>
      </c>
      <c r="C571" s="12" t="str">
        <f>'Planning Engine'!C1287</f>
        <v>Raw Material</v>
      </c>
      <c r="D571" s="12" t="str">
        <f>'Planning Engine'!D1287</f>
        <v>kg</v>
      </c>
      <c r="E571" s="95">
        <f>'Planning Engine'!E1287</f>
        <v>32.679999999999986</v>
      </c>
      <c r="F571" s="95">
        <f>'Planning Engine'!F1287</f>
        <v>0</v>
      </c>
      <c r="G571" s="95">
        <f>'Planning Engine'!G1287</f>
        <v>0</v>
      </c>
      <c r="H571" s="99">
        <f t="shared" si="16"/>
        <v>0</v>
      </c>
      <c r="I571" s="95">
        <f>'Planning Engine'!H1287</f>
        <v>32.679999999999986</v>
      </c>
      <c r="J571" s="96">
        <f ca="1">'Planning Engine'!J1287</f>
        <v>999</v>
      </c>
      <c r="K571" s="95">
        <f ca="1">'Planning Engine'!K1287</f>
        <v>0</v>
      </c>
      <c r="L571" s="12" t="str">
        <f ca="1">'Planning Engine'!L1287</f>
        <v>Overstock</v>
      </c>
      <c r="M571" s="93">
        <f>'Planning Engine'!S1287</f>
        <v>46844</v>
      </c>
      <c r="N571" s="95">
        <f>'Planning Engine'!T1287</f>
        <v>0</v>
      </c>
      <c r="O571" s="98" t="s">
        <v>2319</v>
      </c>
      <c r="P571" s="4" t="str">
        <f t="shared" ca="1" si="17"/>
        <v>Defer receipts</v>
      </c>
    </row>
    <row r="572" spans="1:16" ht="13" customHeight="1" x14ac:dyDescent="0.35">
      <c r="A572" s="93">
        <v>46997</v>
      </c>
      <c r="B572" s="61" t="s">
        <v>57</v>
      </c>
      <c r="C572" s="12" t="str">
        <f>'Planning Engine'!C1288</f>
        <v>Raw Material</v>
      </c>
      <c r="D572" s="12" t="str">
        <f>'Planning Engine'!D1288</f>
        <v>kg</v>
      </c>
      <c r="E572" s="95">
        <f>'Planning Engine'!E1288</f>
        <v>32.679999999999986</v>
      </c>
      <c r="F572" s="95">
        <f>'Planning Engine'!F1288</f>
        <v>0</v>
      </c>
      <c r="G572" s="95">
        <f>'Planning Engine'!G1288</f>
        <v>0</v>
      </c>
      <c r="H572" s="95">
        <f t="shared" si="16"/>
        <v>0</v>
      </c>
      <c r="I572" s="95">
        <f>'Planning Engine'!H1288</f>
        <v>32.679999999999986</v>
      </c>
      <c r="J572" s="96">
        <f ca="1">'Planning Engine'!J1288</f>
        <v>999</v>
      </c>
      <c r="K572" s="95">
        <f ca="1">'Planning Engine'!K1288</f>
        <v>0</v>
      </c>
      <c r="L572" s="12" t="str">
        <f ca="1">'Planning Engine'!L1288</f>
        <v>Overstock</v>
      </c>
      <c r="M572" s="93">
        <f>'Planning Engine'!S1288</f>
        <v>46874</v>
      </c>
      <c r="N572" s="95">
        <f>'Planning Engine'!T1288</f>
        <v>0</v>
      </c>
      <c r="O572" s="94" t="s">
        <v>2320</v>
      </c>
      <c r="P572" s="12" t="str">
        <f t="shared" ca="1" si="17"/>
        <v>Defer receipts</v>
      </c>
    </row>
    <row r="573" spans="1:16" ht="13" customHeight="1" x14ac:dyDescent="0.35">
      <c r="A573" s="97">
        <v>47027</v>
      </c>
      <c r="B573" s="53" t="s">
        <v>57</v>
      </c>
      <c r="C573" s="12" t="str">
        <f>'Planning Engine'!C1289</f>
        <v>Raw Material</v>
      </c>
      <c r="D573" s="12" t="str">
        <f>'Planning Engine'!D1289</f>
        <v>kg</v>
      </c>
      <c r="E573" s="95">
        <f>'Planning Engine'!E1289</f>
        <v>32.679999999999986</v>
      </c>
      <c r="F573" s="95">
        <f>'Planning Engine'!F1289</f>
        <v>0</v>
      </c>
      <c r="G573" s="95">
        <f>'Planning Engine'!G1289</f>
        <v>0</v>
      </c>
      <c r="H573" s="99">
        <f t="shared" si="16"/>
        <v>0</v>
      </c>
      <c r="I573" s="95">
        <f>'Planning Engine'!H1289</f>
        <v>32.679999999999986</v>
      </c>
      <c r="J573" s="96">
        <f ca="1">'Planning Engine'!J1289</f>
        <v>999</v>
      </c>
      <c r="K573" s="95">
        <f ca="1">'Planning Engine'!K1289</f>
        <v>0</v>
      </c>
      <c r="L573" s="12" t="str">
        <f ca="1">'Planning Engine'!L1289</f>
        <v>Overstock</v>
      </c>
      <c r="M573" s="93">
        <f>'Planning Engine'!S1289</f>
        <v>46905</v>
      </c>
      <c r="N573" s="95">
        <f>'Planning Engine'!T1289</f>
        <v>0</v>
      </c>
      <c r="O573" s="98" t="s">
        <v>2321</v>
      </c>
      <c r="P573" s="4" t="str">
        <f t="shared" ca="1" si="17"/>
        <v>Defer receipts</v>
      </c>
    </row>
    <row r="574" spans="1:16" ht="13" customHeight="1" x14ac:dyDescent="0.35">
      <c r="A574" s="93">
        <v>47058</v>
      </c>
      <c r="B574" s="61" t="s">
        <v>57</v>
      </c>
      <c r="C574" s="12" t="str">
        <f>'Planning Engine'!C1290</f>
        <v>Raw Material</v>
      </c>
      <c r="D574" s="12" t="str">
        <f>'Planning Engine'!D1290</f>
        <v>kg</v>
      </c>
      <c r="E574" s="95">
        <f>'Planning Engine'!E1290</f>
        <v>32.679999999999986</v>
      </c>
      <c r="F574" s="95">
        <f>'Planning Engine'!F1290</f>
        <v>0</v>
      </c>
      <c r="G574" s="95">
        <f>'Planning Engine'!G1290</f>
        <v>0</v>
      </c>
      <c r="H574" s="95">
        <f t="shared" si="16"/>
        <v>0</v>
      </c>
      <c r="I574" s="95">
        <f>'Planning Engine'!H1290</f>
        <v>32.679999999999986</v>
      </c>
      <c r="J574" s="96">
        <f ca="1">'Planning Engine'!J1290</f>
        <v>999</v>
      </c>
      <c r="K574" s="95">
        <f ca="1">'Planning Engine'!K1290</f>
        <v>0</v>
      </c>
      <c r="L574" s="12" t="str">
        <f ca="1">'Planning Engine'!L1290</f>
        <v>Overstock</v>
      </c>
      <c r="M574" s="93">
        <f>'Planning Engine'!S1290</f>
        <v>46935</v>
      </c>
      <c r="N574" s="95">
        <f>'Planning Engine'!T1290</f>
        <v>0</v>
      </c>
      <c r="O574" s="94" t="s">
        <v>2322</v>
      </c>
      <c r="P574" s="12" t="str">
        <f t="shared" ca="1" si="17"/>
        <v>Defer receipts</v>
      </c>
    </row>
    <row r="575" spans="1:16" ht="13" customHeight="1" x14ac:dyDescent="0.35">
      <c r="A575" s="97">
        <v>47088</v>
      </c>
      <c r="B575" s="53" t="s">
        <v>57</v>
      </c>
      <c r="C575" s="12" t="str">
        <f>'Planning Engine'!C1291</f>
        <v>Raw Material</v>
      </c>
      <c r="D575" s="12" t="str">
        <f>'Planning Engine'!D1291</f>
        <v>kg</v>
      </c>
      <c r="E575" s="95">
        <f>'Planning Engine'!E1291</f>
        <v>32.679999999999986</v>
      </c>
      <c r="F575" s="95">
        <f>'Planning Engine'!F1291</f>
        <v>0</v>
      </c>
      <c r="G575" s="95">
        <f>'Planning Engine'!G1291</f>
        <v>0</v>
      </c>
      <c r="H575" s="99">
        <f t="shared" si="16"/>
        <v>0</v>
      </c>
      <c r="I575" s="95">
        <f>'Planning Engine'!H1291</f>
        <v>32.679999999999986</v>
      </c>
      <c r="J575" s="96">
        <f ca="1">'Planning Engine'!J1291</f>
        <v>999</v>
      </c>
      <c r="K575" s="95">
        <f ca="1">'Planning Engine'!K1291</f>
        <v>0</v>
      </c>
      <c r="L575" s="12" t="str">
        <f ca="1">'Planning Engine'!L1291</f>
        <v>Overstock</v>
      </c>
      <c r="M575" s="93">
        <f>'Planning Engine'!S1291</f>
        <v>46966</v>
      </c>
      <c r="N575" s="95">
        <f>'Planning Engine'!T1291</f>
        <v>0</v>
      </c>
      <c r="O575" s="98" t="s">
        <v>2323</v>
      </c>
      <c r="P575" s="4" t="str">
        <f t="shared" ca="1" si="17"/>
        <v>Defer receipts</v>
      </c>
    </row>
    <row r="576" spans="1:16" ht="13" customHeight="1" x14ac:dyDescent="0.35">
      <c r="A576" s="93">
        <v>47119</v>
      </c>
      <c r="B576" s="61" t="s">
        <v>57</v>
      </c>
      <c r="C576" s="12" t="str">
        <f>'Planning Engine'!C1292</f>
        <v>Raw Material</v>
      </c>
      <c r="D576" s="12" t="str">
        <f>'Planning Engine'!D1292</f>
        <v>kg</v>
      </c>
      <c r="E576" s="95">
        <f>'Planning Engine'!E1292</f>
        <v>32.679999999999986</v>
      </c>
      <c r="F576" s="95">
        <f>'Planning Engine'!F1292</f>
        <v>0</v>
      </c>
      <c r="G576" s="95">
        <f>'Planning Engine'!G1292</f>
        <v>0</v>
      </c>
      <c r="H576" s="95">
        <f t="shared" si="16"/>
        <v>0</v>
      </c>
      <c r="I576" s="95">
        <f>'Planning Engine'!H1292</f>
        <v>32.679999999999986</v>
      </c>
      <c r="J576" s="96">
        <f ca="1">'Planning Engine'!J1292</f>
        <v>999</v>
      </c>
      <c r="K576" s="95">
        <f ca="1">'Planning Engine'!K1292</f>
        <v>0</v>
      </c>
      <c r="L576" s="12" t="str">
        <f ca="1">'Planning Engine'!L1292</f>
        <v>Overstock</v>
      </c>
      <c r="M576" s="93">
        <f>'Planning Engine'!S1292</f>
        <v>46997</v>
      </c>
      <c r="N576" s="95">
        <f>'Planning Engine'!T1292</f>
        <v>0</v>
      </c>
      <c r="O576" s="94" t="s">
        <v>2324</v>
      </c>
      <c r="P576" s="12" t="str">
        <f t="shared" ca="1" si="17"/>
        <v>Defer receipts</v>
      </c>
    </row>
    <row r="577" spans="1:16" ht="13" customHeight="1" x14ac:dyDescent="0.35">
      <c r="A577" s="97">
        <v>47150</v>
      </c>
      <c r="B577" s="53" t="s">
        <v>57</v>
      </c>
      <c r="C577" s="12" t="str">
        <f>'Planning Engine'!C1293</f>
        <v>Raw Material</v>
      </c>
      <c r="D577" s="12" t="str">
        <f>'Planning Engine'!D1293</f>
        <v>kg</v>
      </c>
      <c r="E577" s="95">
        <f>'Planning Engine'!E1293</f>
        <v>32.679999999999986</v>
      </c>
      <c r="F577" s="95">
        <f>'Planning Engine'!F1293</f>
        <v>0</v>
      </c>
      <c r="G577" s="95">
        <f>'Planning Engine'!G1293</f>
        <v>0</v>
      </c>
      <c r="H577" s="99">
        <f t="shared" si="16"/>
        <v>0</v>
      </c>
      <c r="I577" s="95">
        <f>'Planning Engine'!H1293</f>
        <v>32.679999999999986</v>
      </c>
      <c r="J577" s="96">
        <f ca="1">'Planning Engine'!J1293</f>
        <v>999</v>
      </c>
      <c r="K577" s="95">
        <f ca="1">'Planning Engine'!K1293</f>
        <v>0</v>
      </c>
      <c r="L577" s="12" t="str">
        <f ca="1">'Planning Engine'!L1293</f>
        <v>Overstock</v>
      </c>
      <c r="M577" s="93">
        <f>'Planning Engine'!S1293</f>
        <v>47027</v>
      </c>
      <c r="N577" s="95">
        <f>'Planning Engine'!T1293</f>
        <v>0</v>
      </c>
      <c r="O577" s="98" t="s">
        <v>2325</v>
      </c>
      <c r="P577" s="4" t="str">
        <f t="shared" ca="1" si="17"/>
        <v>Defer receipts</v>
      </c>
    </row>
    <row r="578" spans="1:16" ht="13" customHeight="1" x14ac:dyDescent="0.35">
      <c r="A578" s="93">
        <v>47178</v>
      </c>
      <c r="B578" s="61" t="s">
        <v>57</v>
      </c>
      <c r="C578" s="12" t="str">
        <f>'Planning Engine'!C1294</f>
        <v>Raw Material</v>
      </c>
      <c r="D578" s="12" t="str">
        <f>'Planning Engine'!D1294</f>
        <v>kg</v>
      </c>
      <c r="E578" s="95">
        <f>'Planning Engine'!E1294</f>
        <v>32.679999999999986</v>
      </c>
      <c r="F578" s="95">
        <f>'Planning Engine'!F1294</f>
        <v>0</v>
      </c>
      <c r="G578" s="95">
        <f>'Planning Engine'!G1294</f>
        <v>0</v>
      </c>
      <c r="H578" s="95">
        <f t="shared" si="16"/>
        <v>0</v>
      </c>
      <c r="I578" s="95">
        <f>'Planning Engine'!H1294</f>
        <v>32.679999999999986</v>
      </c>
      <c r="J578" s="96">
        <f ca="1">'Planning Engine'!J1294</f>
        <v>999</v>
      </c>
      <c r="K578" s="95">
        <f ca="1">'Planning Engine'!K1294</f>
        <v>0</v>
      </c>
      <c r="L578" s="12" t="str">
        <f ca="1">'Planning Engine'!L1294</f>
        <v>Overstock</v>
      </c>
      <c r="M578" s="93">
        <f>'Planning Engine'!S1294</f>
        <v>47058</v>
      </c>
      <c r="N578" s="95">
        <f>'Planning Engine'!T1294</f>
        <v>0</v>
      </c>
      <c r="O578" s="94" t="s">
        <v>2326</v>
      </c>
      <c r="P578" s="12" t="str">
        <f t="shared" ca="1" si="17"/>
        <v>Defer receipts</v>
      </c>
    </row>
    <row r="579" spans="1:16" ht="13" customHeight="1" x14ac:dyDescent="0.35">
      <c r="A579" s="97">
        <v>47209</v>
      </c>
      <c r="B579" s="53" t="s">
        <v>57</v>
      </c>
      <c r="C579" s="12" t="str">
        <f>'Planning Engine'!C1295</f>
        <v>Raw Material</v>
      </c>
      <c r="D579" s="12" t="str">
        <f>'Planning Engine'!D1295</f>
        <v>kg</v>
      </c>
      <c r="E579" s="95">
        <f>'Planning Engine'!E1295</f>
        <v>32.679999999999986</v>
      </c>
      <c r="F579" s="95">
        <f>'Planning Engine'!F1295</f>
        <v>0</v>
      </c>
      <c r="G579" s="95">
        <f>'Planning Engine'!G1295</f>
        <v>0</v>
      </c>
      <c r="H579" s="99">
        <f t="shared" si="16"/>
        <v>0</v>
      </c>
      <c r="I579" s="95">
        <f>'Planning Engine'!H1295</f>
        <v>32.679999999999986</v>
      </c>
      <c r="J579" s="96">
        <f ca="1">'Planning Engine'!J1295</f>
        <v>999</v>
      </c>
      <c r="K579" s="95">
        <f ca="1">'Planning Engine'!K1295</f>
        <v>0</v>
      </c>
      <c r="L579" s="12" t="str">
        <f ca="1">'Planning Engine'!L1295</f>
        <v>Overstock</v>
      </c>
      <c r="M579" s="93">
        <f>'Planning Engine'!S1295</f>
        <v>47088</v>
      </c>
      <c r="N579" s="95">
        <f>'Planning Engine'!T1295</f>
        <v>0</v>
      </c>
      <c r="O579" s="98" t="s">
        <v>2327</v>
      </c>
      <c r="P579" s="4" t="str">
        <f t="shared" ca="1" si="17"/>
        <v>Defer receipts</v>
      </c>
    </row>
    <row r="580" spans="1:16" ht="13" customHeight="1" x14ac:dyDescent="0.35">
      <c r="A580" s="93">
        <v>47239</v>
      </c>
      <c r="B580" s="61" t="s">
        <v>57</v>
      </c>
      <c r="C580" s="12" t="str">
        <f>'Planning Engine'!C1296</f>
        <v>Raw Material</v>
      </c>
      <c r="D580" s="12" t="str">
        <f>'Planning Engine'!D1296</f>
        <v>kg</v>
      </c>
      <c r="E580" s="95">
        <f>'Planning Engine'!E1296</f>
        <v>32.679999999999986</v>
      </c>
      <c r="F580" s="95">
        <f>'Planning Engine'!F1296</f>
        <v>0</v>
      </c>
      <c r="G580" s="95">
        <f>'Planning Engine'!G1296</f>
        <v>0</v>
      </c>
      <c r="H580" s="95">
        <f t="shared" ref="H580:H643" si="18">G580-F580</f>
        <v>0</v>
      </c>
      <c r="I580" s="95">
        <f>'Planning Engine'!H1296</f>
        <v>32.679999999999986</v>
      </c>
      <c r="J580" s="96">
        <f ca="1">'Planning Engine'!J1296</f>
        <v>999</v>
      </c>
      <c r="K580" s="95">
        <f ca="1">'Planning Engine'!K1296</f>
        <v>0</v>
      </c>
      <c r="L580" s="12" t="str">
        <f ca="1">'Planning Engine'!L1296</f>
        <v>Overstock</v>
      </c>
      <c r="M580" s="93">
        <f>'Planning Engine'!S1296</f>
        <v>47119</v>
      </c>
      <c r="N580" s="95">
        <f>'Planning Engine'!T1296</f>
        <v>0</v>
      </c>
      <c r="O580" s="94" t="s">
        <v>2328</v>
      </c>
      <c r="P580" s="12" t="str">
        <f t="shared" ref="P580:P643" ca="1" si="19">IFERROR(IF(L580="High","⚠ Expedite / qualify alternate source",IF(L580="Medium","Monitor — plan additional POs",IF(L580="Overstock","Defer receipts","OK"))),"--")</f>
        <v>Defer receipts</v>
      </c>
    </row>
    <row r="581" spans="1:16" ht="13" customHeight="1" x14ac:dyDescent="0.35">
      <c r="A581" s="97">
        <v>47270</v>
      </c>
      <c r="B581" s="53" t="s">
        <v>57</v>
      </c>
      <c r="C581" s="12" t="str">
        <f>'Planning Engine'!C1297</f>
        <v>Raw Material</v>
      </c>
      <c r="D581" s="12" t="str">
        <f>'Planning Engine'!D1297</f>
        <v>kg</v>
      </c>
      <c r="E581" s="95">
        <f>'Planning Engine'!E1297</f>
        <v>32.679999999999986</v>
      </c>
      <c r="F581" s="95">
        <f>'Planning Engine'!F1297</f>
        <v>0</v>
      </c>
      <c r="G581" s="95">
        <f>'Planning Engine'!G1297</f>
        <v>0</v>
      </c>
      <c r="H581" s="99">
        <f t="shared" si="18"/>
        <v>0</v>
      </c>
      <c r="I581" s="95">
        <f>'Planning Engine'!H1297</f>
        <v>32.679999999999986</v>
      </c>
      <c r="J581" s="96">
        <f ca="1">'Planning Engine'!J1297</f>
        <v>999</v>
      </c>
      <c r="K581" s="95">
        <f ca="1">'Planning Engine'!K1297</f>
        <v>0</v>
      </c>
      <c r="L581" s="12" t="str">
        <f ca="1">'Planning Engine'!L1297</f>
        <v>Overstock</v>
      </c>
      <c r="M581" s="93">
        <f>'Planning Engine'!S1297</f>
        <v>47150</v>
      </c>
      <c r="N581" s="95">
        <f>'Planning Engine'!T1297</f>
        <v>0</v>
      </c>
      <c r="O581" s="98" t="s">
        <v>2329</v>
      </c>
      <c r="P581" s="4" t="str">
        <f t="shared" ca="1" si="19"/>
        <v>Defer receipts</v>
      </c>
    </row>
    <row r="582" spans="1:16" ht="13" customHeight="1" x14ac:dyDescent="0.35">
      <c r="A582" s="93">
        <v>47300</v>
      </c>
      <c r="B582" s="61" t="s">
        <v>57</v>
      </c>
      <c r="C582" s="12" t="str">
        <f>'Planning Engine'!C1298</f>
        <v>Raw Material</v>
      </c>
      <c r="D582" s="12" t="str">
        <f>'Planning Engine'!D1298</f>
        <v>kg</v>
      </c>
      <c r="E582" s="95">
        <f>'Planning Engine'!E1298</f>
        <v>32.679999999999986</v>
      </c>
      <c r="F582" s="95">
        <f>'Planning Engine'!F1298</f>
        <v>0</v>
      </c>
      <c r="G582" s="95">
        <f>'Planning Engine'!G1298</f>
        <v>0</v>
      </c>
      <c r="H582" s="95">
        <f t="shared" si="18"/>
        <v>0</v>
      </c>
      <c r="I582" s="95">
        <f>'Planning Engine'!H1298</f>
        <v>32.679999999999986</v>
      </c>
      <c r="J582" s="96">
        <f ca="1">'Planning Engine'!J1298</f>
        <v>999</v>
      </c>
      <c r="K582" s="95">
        <f ca="1">'Planning Engine'!K1298</f>
        <v>0</v>
      </c>
      <c r="L582" s="12" t="str">
        <f ca="1">'Planning Engine'!L1298</f>
        <v>Overstock</v>
      </c>
      <c r="M582" s="93">
        <f>'Planning Engine'!S1298</f>
        <v>47178</v>
      </c>
      <c r="N582" s="95">
        <f>'Planning Engine'!T1298</f>
        <v>0</v>
      </c>
      <c r="O582" s="94" t="s">
        <v>2330</v>
      </c>
      <c r="P582" s="12" t="str">
        <f t="shared" ca="1" si="19"/>
        <v>Defer receipts</v>
      </c>
    </row>
    <row r="583" spans="1:16" ht="13" customHeight="1" x14ac:dyDescent="0.35">
      <c r="A583" s="97">
        <v>47331</v>
      </c>
      <c r="B583" s="53" t="s">
        <v>57</v>
      </c>
      <c r="C583" s="12" t="str">
        <f>'Planning Engine'!C1299</f>
        <v>Raw Material</v>
      </c>
      <c r="D583" s="12" t="str">
        <f>'Planning Engine'!D1299</f>
        <v>kg</v>
      </c>
      <c r="E583" s="95">
        <f>'Planning Engine'!E1299</f>
        <v>32.679999999999986</v>
      </c>
      <c r="F583" s="95">
        <f>'Planning Engine'!F1299</f>
        <v>0</v>
      </c>
      <c r="G583" s="95">
        <f>'Planning Engine'!G1299</f>
        <v>0</v>
      </c>
      <c r="H583" s="99">
        <f t="shared" si="18"/>
        <v>0</v>
      </c>
      <c r="I583" s="95">
        <f>'Planning Engine'!H1299</f>
        <v>32.679999999999986</v>
      </c>
      <c r="J583" s="96">
        <f ca="1">'Planning Engine'!J1299</f>
        <v>999</v>
      </c>
      <c r="K583" s="95">
        <f ca="1">'Planning Engine'!K1299</f>
        <v>0</v>
      </c>
      <c r="L583" s="12" t="str">
        <f ca="1">'Planning Engine'!L1299</f>
        <v>Overstock</v>
      </c>
      <c r="M583" s="93">
        <f>'Planning Engine'!S1299</f>
        <v>47209</v>
      </c>
      <c r="N583" s="95">
        <f>'Planning Engine'!T1299</f>
        <v>0</v>
      </c>
      <c r="O583" s="98" t="s">
        <v>2331</v>
      </c>
      <c r="P583" s="4" t="str">
        <f t="shared" ca="1" si="19"/>
        <v>Defer receipts</v>
      </c>
    </row>
    <row r="584" spans="1:16" ht="13" customHeight="1" x14ac:dyDescent="0.35">
      <c r="A584" s="93">
        <v>47362</v>
      </c>
      <c r="B584" s="61" t="s">
        <v>57</v>
      </c>
      <c r="C584" s="12" t="str">
        <f>'Planning Engine'!C1300</f>
        <v>Raw Material</v>
      </c>
      <c r="D584" s="12" t="str">
        <f>'Planning Engine'!D1300</f>
        <v>kg</v>
      </c>
      <c r="E584" s="95">
        <f>'Planning Engine'!E1300</f>
        <v>32.679999999999986</v>
      </c>
      <c r="F584" s="95">
        <f>'Planning Engine'!F1300</f>
        <v>0</v>
      </c>
      <c r="G584" s="95">
        <f>'Planning Engine'!G1300</f>
        <v>0</v>
      </c>
      <c r="H584" s="95">
        <f t="shared" si="18"/>
        <v>0</v>
      </c>
      <c r="I584" s="95">
        <f>'Planning Engine'!H1300</f>
        <v>32.679999999999986</v>
      </c>
      <c r="J584" s="96">
        <f ca="1">'Planning Engine'!J1300</f>
        <v>999</v>
      </c>
      <c r="K584" s="95">
        <f ca="1">'Planning Engine'!K1300</f>
        <v>0</v>
      </c>
      <c r="L584" s="12" t="str">
        <f ca="1">'Planning Engine'!L1300</f>
        <v>Overstock</v>
      </c>
      <c r="M584" s="93">
        <f>'Planning Engine'!S1300</f>
        <v>47239</v>
      </c>
      <c r="N584" s="95">
        <f>'Planning Engine'!T1300</f>
        <v>0</v>
      </c>
      <c r="O584" s="94" t="s">
        <v>2332</v>
      </c>
      <c r="P584" s="12" t="str">
        <f t="shared" ca="1" si="19"/>
        <v>Defer receipts</v>
      </c>
    </row>
    <row r="585" spans="1:16" ht="13" customHeight="1" x14ac:dyDescent="0.35">
      <c r="A585" s="97">
        <v>47392</v>
      </c>
      <c r="B585" s="53" t="s">
        <v>57</v>
      </c>
      <c r="C585" s="12" t="str">
        <f>'Planning Engine'!C1301</f>
        <v>Raw Material</v>
      </c>
      <c r="D585" s="12" t="str">
        <f>'Planning Engine'!D1301</f>
        <v>kg</v>
      </c>
      <c r="E585" s="95">
        <f>'Planning Engine'!E1301</f>
        <v>32.679999999999986</v>
      </c>
      <c r="F585" s="95">
        <f>'Planning Engine'!F1301</f>
        <v>0</v>
      </c>
      <c r="G585" s="95">
        <f>'Planning Engine'!G1301</f>
        <v>0</v>
      </c>
      <c r="H585" s="99">
        <f t="shared" si="18"/>
        <v>0</v>
      </c>
      <c r="I585" s="95">
        <f>'Planning Engine'!H1301</f>
        <v>32.679999999999986</v>
      </c>
      <c r="J585" s="96">
        <f ca="1">'Planning Engine'!J1301</f>
        <v>999</v>
      </c>
      <c r="K585" s="95">
        <f ca="1">'Planning Engine'!K1301</f>
        <v>0</v>
      </c>
      <c r="L585" s="12" t="str">
        <f ca="1">'Planning Engine'!L1301</f>
        <v>Overstock</v>
      </c>
      <c r="M585" s="93">
        <f>'Planning Engine'!S1301</f>
        <v>47270</v>
      </c>
      <c r="N585" s="95">
        <f>'Planning Engine'!T1301</f>
        <v>0</v>
      </c>
      <c r="O585" s="98" t="s">
        <v>2333</v>
      </c>
      <c r="P585" s="4" t="str">
        <f t="shared" ca="1" si="19"/>
        <v>Defer receipts</v>
      </c>
    </row>
    <row r="586" spans="1:16" ht="13" customHeight="1" x14ac:dyDescent="0.35">
      <c r="A586" s="93">
        <v>47423</v>
      </c>
      <c r="B586" s="61" t="s">
        <v>57</v>
      </c>
      <c r="C586" s="12" t="str">
        <f>'Planning Engine'!C1302</f>
        <v>Raw Material</v>
      </c>
      <c r="D586" s="12" t="str">
        <f>'Planning Engine'!D1302</f>
        <v>kg</v>
      </c>
      <c r="E586" s="95">
        <f>'Planning Engine'!E1302</f>
        <v>32.679999999999986</v>
      </c>
      <c r="F586" s="95">
        <f>'Planning Engine'!F1302</f>
        <v>0</v>
      </c>
      <c r="G586" s="95">
        <f>'Planning Engine'!G1302</f>
        <v>0</v>
      </c>
      <c r="H586" s="95">
        <f t="shared" si="18"/>
        <v>0</v>
      </c>
      <c r="I586" s="95">
        <f>'Planning Engine'!H1302</f>
        <v>32.679999999999986</v>
      </c>
      <c r="J586" s="96">
        <f ca="1">'Planning Engine'!J1302</f>
        <v>999</v>
      </c>
      <c r="K586" s="95">
        <f ca="1">'Planning Engine'!K1302</f>
        <v>0</v>
      </c>
      <c r="L586" s="12" t="str">
        <f ca="1">'Planning Engine'!L1302</f>
        <v>Overstock</v>
      </c>
      <c r="M586" s="93">
        <f>'Planning Engine'!S1302</f>
        <v>47300</v>
      </c>
      <c r="N586" s="95">
        <f>'Planning Engine'!T1302</f>
        <v>0</v>
      </c>
      <c r="O586" s="94" t="s">
        <v>2334</v>
      </c>
      <c r="P586" s="12" t="str">
        <f t="shared" ca="1" si="19"/>
        <v>Defer receipts</v>
      </c>
    </row>
    <row r="587" spans="1:16" ht="13" customHeight="1" x14ac:dyDescent="0.35">
      <c r="A587" s="97">
        <v>47453</v>
      </c>
      <c r="B587" s="53" t="s">
        <v>57</v>
      </c>
      <c r="C587" s="12" t="str">
        <f>'Planning Engine'!C1303</f>
        <v>Raw Material</v>
      </c>
      <c r="D587" s="12" t="str">
        <f>'Planning Engine'!D1303</f>
        <v>kg</v>
      </c>
      <c r="E587" s="95">
        <f>'Planning Engine'!E1303</f>
        <v>32.679999999999986</v>
      </c>
      <c r="F587" s="95">
        <f>'Planning Engine'!F1303</f>
        <v>0</v>
      </c>
      <c r="G587" s="95">
        <f>'Planning Engine'!G1303</f>
        <v>0</v>
      </c>
      <c r="H587" s="99">
        <f t="shared" si="18"/>
        <v>0</v>
      </c>
      <c r="I587" s="95">
        <f>'Planning Engine'!H1303</f>
        <v>32.679999999999986</v>
      </c>
      <c r="J587" s="96">
        <f ca="1">'Planning Engine'!J1303</f>
        <v>999</v>
      </c>
      <c r="K587" s="95">
        <f ca="1">'Planning Engine'!K1303</f>
        <v>0</v>
      </c>
      <c r="L587" s="12" t="str">
        <f ca="1">'Planning Engine'!L1303</f>
        <v>Overstock</v>
      </c>
      <c r="M587" s="93">
        <f>'Planning Engine'!S1303</f>
        <v>47331</v>
      </c>
      <c r="N587" s="95">
        <f>'Planning Engine'!T1303</f>
        <v>0</v>
      </c>
      <c r="O587" s="98" t="s">
        <v>2335</v>
      </c>
      <c r="P587" s="4" t="str">
        <f t="shared" ca="1" si="19"/>
        <v>Defer receipts</v>
      </c>
    </row>
    <row r="588" spans="1:16" ht="13" customHeight="1" x14ac:dyDescent="0.35">
      <c r="A588" s="93">
        <v>47484</v>
      </c>
      <c r="B588" s="61" t="s">
        <v>57</v>
      </c>
      <c r="C588" s="12" t="str">
        <f>'Planning Engine'!C1304</f>
        <v>Raw Material</v>
      </c>
      <c r="D588" s="12" t="str">
        <f>'Planning Engine'!D1304</f>
        <v>kg</v>
      </c>
      <c r="E588" s="95">
        <f>'Planning Engine'!E1304</f>
        <v>32.679999999999986</v>
      </c>
      <c r="F588" s="95">
        <f>'Planning Engine'!F1304</f>
        <v>0</v>
      </c>
      <c r="G588" s="95">
        <f>'Planning Engine'!G1304</f>
        <v>0</v>
      </c>
      <c r="H588" s="95">
        <f t="shared" si="18"/>
        <v>0</v>
      </c>
      <c r="I588" s="95">
        <f>'Planning Engine'!H1304</f>
        <v>32.679999999999986</v>
      </c>
      <c r="J588" s="96">
        <f ca="1">'Planning Engine'!J1304</f>
        <v>999</v>
      </c>
      <c r="K588" s="95">
        <f ca="1">'Planning Engine'!K1304</f>
        <v>0</v>
      </c>
      <c r="L588" s="12" t="str">
        <f ca="1">'Planning Engine'!L1304</f>
        <v>Overstock</v>
      </c>
      <c r="M588" s="93">
        <f>'Planning Engine'!S1304</f>
        <v>47362</v>
      </c>
      <c r="N588" s="95">
        <f>'Planning Engine'!T1304</f>
        <v>0</v>
      </c>
      <c r="O588" s="94" t="s">
        <v>2336</v>
      </c>
      <c r="P588" s="12" t="str">
        <f t="shared" ca="1" si="19"/>
        <v>Defer receipts</v>
      </c>
    </row>
    <row r="589" spans="1:16" ht="13" customHeight="1" x14ac:dyDescent="0.35">
      <c r="A589" s="97">
        <v>47515</v>
      </c>
      <c r="B589" s="53" t="s">
        <v>57</v>
      </c>
      <c r="C589" s="12" t="str">
        <f>'Planning Engine'!C1305</f>
        <v>Raw Material</v>
      </c>
      <c r="D589" s="12" t="str">
        <f>'Planning Engine'!D1305</f>
        <v>kg</v>
      </c>
      <c r="E589" s="95">
        <f>'Planning Engine'!E1305</f>
        <v>32.679999999999986</v>
      </c>
      <c r="F589" s="95">
        <f>'Planning Engine'!F1305</f>
        <v>0</v>
      </c>
      <c r="G589" s="95">
        <f>'Planning Engine'!G1305</f>
        <v>0</v>
      </c>
      <c r="H589" s="99">
        <f t="shared" si="18"/>
        <v>0</v>
      </c>
      <c r="I589" s="95">
        <f>'Planning Engine'!H1305</f>
        <v>32.679999999999986</v>
      </c>
      <c r="J589" s="96">
        <f ca="1">'Planning Engine'!J1305</f>
        <v>999</v>
      </c>
      <c r="K589" s="95">
        <f ca="1">'Planning Engine'!K1305</f>
        <v>0</v>
      </c>
      <c r="L589" s="12" t="str">
        <f ca="1">'Planning Engine'!L1305</f>
        <v>Overstock</v>
      </c>
      <c r="M589" s="93">
        <f>'Planning Engine'!S1305</f>
        <v>47392</v>
      </c>
      <c r="N589" s="95">
        <f>'Planning Engine'!T1305</f>
        <v>0</v>
      </c>
      <c r="O589" s="98" t="s">
        <v>2337</v>
      </c>
      <c r="P589" s="4" t="str">
        <f t="shared" ca="1" si="19"/>
        <v>Defer receipts</v>
      </c>
    </row>
    <row r="590" spans="1:16" ht="13" customHeight="1" x14ac:dyDescent="0.35">
      <c r="A590" s="93">
        <v>47543</v>
      </c>
      <c r="B590" s="61" t="s">
        <v>57</v>
      </c>
      <c r="C590" s="12" t="str">
        <f>'Planning Engine'!C1306</f>
        <v>Raw Material</v>
      </c>
      <c r="D590" s="12" t="str">
        <f>'Planning Engine'!D1306</f>
        <v>kg</v>
      </c>
      <c r="E590" s="95">
        <f>'Planning Engine'!E1306</f>
        <v>32.679999999999986</v>
      </c>
      <c r="F590" s="95">
        <f>'Planning Engine'!F1306</f>
        <v>0</v>
      </c>
      <c r="G590" s="95">
        <f>'Planning Engine'!G1306</f>
        <v>0</v>
      </c>
      <c r="H590" s="95">
        <f t="shared" si="18"/>
        <v>0</v>
      </c>
      <c r="I590" s="95">
        <f>'Planning Engine'!H1306</f>
        <v>32.679999999999986</v>
      </c>
      <c r="J590" s="96">
        <f ca="1">'Planning Engine'!J1306</f>
        <v>999</v>
      </c>
      <c r="K590" s="95">
        <f ca="1">'Planning Engine'!K1306</f>
        <v>0</v>
      </c>
      <c r="L590" s="12" t="str">
        <f ca="1">'Planning Engine'!L1306</f>
        <v>Overstock</v>
      </c>
      <c r="M590" s="93">
        <f>'Planning Engine'!S1306</f>
        <v>47423</v>
      </c>
      <c r="N590" s="95">
        <f>'Planning Engine'!T1306</f>
        <v>0</v>
      </c>
      <c r="O590" s="94" t="s">
        <v>2338</v>
      </c>
      <c r="P590" s="12" t="str">
        <f t="shared" ca="1" si="19"/>
        <v>Defer receipts</v>
      </c>
    </row>
    <row r="591" spans="1:16" ht="13" customHeight="1" x14ac:dyDescent="0.35">
      <c r="A591" s="97">
        <v>47574</v>
      </c>
      <c r="B591" s="53" t="s">
        <v>57</v>
      </c>
      <c r="C591" s="12" t="str">
        <f>'Planning Engine'!C1307</f>
        <v>Raw Material</v>
      </c>
      <c r="D591" s="12" t="str">
        <f>'Planning Engine'!D1307</f>
        <v>kg</v>
      </c>
      <c r="E591" s="95">
        <f>'Planning Engine'!E1307</f>
        <v>32.679999999999986</v>
      </c>
      <c r="F591" s="95">
        <f>'Planning Engine'!F1307</f>
        <v>0</v>
      </c>
      <c r="G591" s="95">
        <f>'Planning Engine'!G1307</f>
        <v>0</v>
      </c>
      <c r="H591" s="99">
        <f t="shared" si="18"/>
        <v>0</v>
      </c>
      <c r="I591" s="95">
        <f>'Planning Engine'!H1307</f>
        <v>32.679999999999986</v>
      </c>
      <c r="J591" s="96">
        <f ca="1">'Planning Engine'!J1307</f>
        <v>999</v>
      </c>
      <c r="K591" s="95">
        <f ca="1">'Planning Engine'!K1307</f>
        <v>0</v>
      </c>
      <c r="L591" s="12" t="str">
        <f ca="1">'Planning Engine'!L1307</f>
        <v>Overstock</v>
      </c>
      <c r="M591" s="93">
        <f>'Planning Engine'!S1307</f>
        <v>47453</v>
      </c>
      <c r="N591" s="95">
        <f>'Planning Engine'!T1307</f>
        <v>0</v>
      </c>
      <c r="O591" s="98" t="s">
        <v>2339</v>
      </c>
      <c r="P591" s="4" t="str">
        <f t="shared" ca="1" si="19"/>
        <v>Defer receipts</v>
      </c>
    </row>
    <row r="592" spans="1:16" ht="13" customHeight="1" x14ac:dyDescent="0.35">
      <c r="A592" s="93">
        <v>47604</v>
      </c>
      <c r="B592" s="61" t="s">
        <v>57</v>
      </c>
      <c r="C592" s="12" t="str">
        <f>'Planning Engine'!C1308</f>
        <v>Raw Material</v>
      </c>
      <c r="D592" s="12" t="str">
        <f>'Planning Engine'!D1308</f>
        <v>kg</v>
      </c>
      <c r="E592" s="95">
        <f>'Planning Engine'!E1308</f>
        <v>32.679999999999986</v>
      </c>
      <c r="F592" s="95">
        <f>'Planning Engine'!F1308</f>
        <v>0</v>
      </c>
      <c r="G592" s="95">
        <f>'Planning Engine'!G1308</f>
        <v>0</v>
      </c>
      <c r="H592" s="95">
        <f t="shared" si="18"/>
        <v>0</v>
      </c>
      <c r="I592" s="95">
        <f>'Planning Engine'!H1308</f>
        <v>32.679999999999986</v>
      </c>
      <c r="J592" s="96">
        <f ca="1">'Planning Engine'!J1308</f>
        <v>999</v>
      </c>
      <c r="K592" s="95">
        <f ca="1">'Planning Engine'!K1308</f>
        <v>0</v>
      </c>
      <c r="L592" s="12" t="str">
        <f ca="1">'Planning Engine'!L1308</f>
        <v>Overstock</v>
      </c>
      <c r="M592" s="93">
        <f>'Planning Engine'!S1308</f>
        <v>47484</v>
      </c>
      <c r="N592" s="95">
        <f>'Planning Engine'!T1308</f>
        <v>0</v>
      </c>
      <c r="O592" s="94" t="s">
        <v>2340</v>
      </c>
      <c r="P592" s="12" t="str">
        <f t="shared" ca="1" si="19"/>
        <v>Defer receipts</v>
      </c>
    </row>
    <row r="593" spans="1:16" ht="13" customHeight="1" x14ac:dyDescent="0.35">
      <c r="A593" s="97">
        <v>47635</v>
      </c>
      <c r="B593" s="53" t="s">
        <v>57</v>
      </c>
      <c r="C593" s="12" t="str">
        <f>'Planning Engine'!C1309</f>
        <v>Raw Material</v>
      </c>
      <c r="D593" s="12" t="str">
        <f>'Planning Engine'!D1309</f>
        <v>kg</v>
      </c>
      <c r="E593" s="95">
        <f>'Planning Engine'!E1309</f>
        <v>32.679999999999986</v>
      </c>
      <c r="F593" s="95">
        <f>'Planning Engine'!F1309</f>
        <v>0</v>
      </c>
      <c r="G593" s="95">
        <f>'Planning Engine'!G1309</f>
        <v>0</v>
      </c>
      <c r="H593" s="99">
        <f t="shared" si="18"/>
        <v>0</v>
      </c>
      <c r="I593" s="95">
        <f>'Planning Engine'!H1309</f>
        <v>32.679999999999986</v>
      </c>
      <c r="J593" s="96">
        <f ca="1">'Planning Engine'!J1309</f>
        <v>999</v>
      </c>
      <c r="K593" s="95">
        <f ca="1">'Planning Engine'!K1309</f>
        <v>0</v>
      </c>
      <c r="L593" s="12" t="str">
        <f ca="1">'Planning Engine'!L1309</f>
        <v>Overstock</v>
      </c>
      <c r="M593" s="93">
        <f>'Planning Engine'!S1309</f>
        <v>47515</v>
      </c>
      <c r="N593" s="95">
        <f>'Planning Engine'!T1309</f>
        <v>0</v>
      </c>
      <c r="O593" s="98" t="s">
        <v>2341</v>
      </c>
      <c r="P593" s="4" t="str">
        <f t="shared" ca="1" si="19"/>
        <v>Defer receipts</v>
      </c>
    </row>
    <row r="594" spans="1:16" ht="13" customHeight="1" x14ac:dyDescent="0.35">
      <c r="A594" s="93">
        <v>47665</v>
      </c>
      <c r="B594" s="61" t="s">
        <v>57</v>
      </c>
      <c r="C594" s="12" t="str">
        <f>'Planning Engine'!C1310</f>
        <v>Raw Material</v>
      </c>
      <c r="D594" s="12" t="str">
        <f>'Planning Engine'!D1310</f>
        <v>kg</v>
      </c>
      <c r="E594" s="95">
        <f>'Planning Engine'!E1310</f>
        <v>32.679999999999986</v>
      </c>
      <c r="F594" s="95">
        <f>'Planning Engine'!F1310</f>
        <v>0</v>
      </c>
      <c r="G594" s="95">
        <f>'Planning Engine'!G1310</f>
        <v>0</v>
      </c>
      <c r="H594" s="95">
        <f t="shared" si="18"/>
        <v>0</v>
      </c>
      <c r="I594" s="95">
        <f>'Planning Engine'!H1310</f>
        <v>32.679999999999986</v>
      </c>
      <c r="J594" s="96">
        <f ca="1">'Planning Engine'!J1310</f>
        <v>999</v>
      </c>
      <c r="K594" s="95">
        <f ca="1">'Planning Engine'!K1310</f>
        <v>0</v>
      </c>
      <c r="L594" s="12" t="str">
        <f ca="1">'Planning Engine'!L1310</f>
        <v>Overstock</v>
      </c>
      <c r="M594" s="93">
        <f>'Planning Engine'!S1310</f>
        <v>47543</v>
      </c>
      <c r="N594" s="95">
        <f>'Planning Engine'!T1310</f>
        <v>0</v>
      </c>
      <c r="O594" s="94" t="s">
        <v>2342</v>
      </c>
      <c r="P594" s="12" t="str">
        <f t="shared" ca="1" si="19"/>
        <v>Defer receipts</v>
      </c>
    </row>
    <row r="595" spans="1:16" ht="13" customHeight="1" x14ac:dyDescent="0.35">
      <c r="A595" s="97">
        <v>47696</v>
      </c>
      <c r="B595" s="53" t="s">
        <v>57</v>
      </c>
      <c r="C595" s="12" t="str">
        <f>'Planning Engine'!C1311</f>
        <v>Raw Material</v>
      </c>
      <c r="D595" s="12" t="str">
        <f>'Planning Engine'!D1311</f>
        <v>kg</v>
      </c>
      <c r="E595" s="95">
        <f>'Planning Engine'!E1311</f>
        <v>32.679999999999986</v>
      </c>
      <c r="F595" s="95">
        <f>'Planning Engine'!F1311</f>
        <v>0</v>
      </c>
      <c r="G595" s="95">
        <f>'Planning Engine'!G1311</f>
        <v>0</v>
      </c>
      <c r="H595" s="99">
        <f t="shared" si="18"/>
        <v>0</v>
      </c>
      <c r="I595" s="95">
        <f>'Planning Engine'!H1311</f>
        <v>32.679999999999986</v>
      </c>
      <c r="J595" s="96">
        <f ca="1">'Planning Engine'!J1311</f>
        <v>999</v>
      </c>
      <c r="K595" s="95">
        <f ca="1">'Planning Engine'!K1311</f>
        <v>0</v>
      </c>
      <c r="L595" s="12" t="str">
        <f ca="1">'Planning Engine'!L1311</f>
        <v>Overstock</v>
      </c>
      <c r="M595" s="93">
        <f>'Planning Engine'!S1311</f>
        <v>47574</v>
      </c>
      <c r="N595" s="95">
        <f>'Planning Engine'!T1311</f>
        <v>0</v>
      </c>
      <c r="O595" s="98" t="s">
        <v>2343</v>
      </c>
      <c r="P595" s="4" t="str">
        <f t="shared" ca="1" si="19"/>
        <v>Defer receipts</v>
      </c>
    </row>
    <row r="596" spans="1:16" ht="13" customHeight="1" x14ac:dyDescent="0.35">
      <c r="A596" s="93">
        <v>47727</v>
      </c>
      <c r="B596" s="61" t="s">
        <v>57</v>
      </c>
      <c r="C596" s="12" t="str">
        <f>'Planning Engine'!C1312</f>
        <v>Raw Material</v>
      </c>
      <c r="D596" s="12" t="str">
        <f>'Planning Engine'!D1312</f>
        <v>kg</v>
      </c>
      <c r="E596" s="95">
        <f>'Planning Engine'!E1312</f>
        <v>32.679999999999986</v>
      </c>
      <c r="F596" s="95">
        <f>'Planning Engine'!F1312</f>
        <v>0</v>
      </c>
      <c r="G596" s="95">
        <f>'Planning Engine'!G1312</f>
        <v>0</v>
      </c>
      <c r="H596" s="95">
        <f t="shared" si="18"/>
        <v>0</v>
      </c>
      <c r="I596" s="95">
        <f>'Planning Engine'!H1312</f>
        <v>32.679999999999986</v>
      </c>
      <c r="J596" s="96">
        <f ca="1">'Planning Engine'!J1312</f>
        <v>999</v>
      </c>
      <c r="K596" s="95">
        <f ca="1">'Planning Engine'!K1312</f>
        <v>0</v>
      </c>
      <c r="L596" s="12" t="str">
        <f ca="1">'Planning Engine'!L1312</f>
        <v>Overstock</v>
      </c>
      <c r="M596" s="93">
        <f>'Planning Engine'!S1312</f>
        <v>47604</v>
      </c>
      <c r="N596" s="95">
        <f>'Planning Engine'!T1312</f>
        <v>0</v>
      </c>
      <c r="O596" s="94" t="s">
        <v>2344</v>
      </c>
      <c r="P596" s="12" t="str">
        <f t="shared" ca="1" si="19"/>
        <v>Defer receipts</v>
      </c>
    </row>
    <row r="597" spans="1:16" ht="13" customHeight="1" x14ac:dyDescent="0.35">
      <c r="A597" s="97">
        <v>47757</v>
      </c>
      <c r="B597" s="53" t="s">
        <v>57</v>
      </c>
      <c r="C597" s="12" t="str">
        <f>'Planning Engine'!C1313</f>
        <v>Raw Material</v>
      </c>
      <c r="D597" s="12" t="str">
        <f>'Planning Engine'!D1313</f>
        <v>kg</v>
      </c>
      <c r="E597" s="95">
        <f>'Planning Engine'!E1313</f>
        <v>32.679999999999986</v>
      </c>
      <c r="F597" s="95">
        <f>'Planning Engine'!F1313</f>
        <v>0</v>
      </c>
      <c r="G597" s="95">
        <f>'Planning Engine'!G1313</f>
        <v>0</v>
      </c>
      <c r="H597" s="99">
        <f t="shared" si="18"/>
        <v>0</v>
      </c>
      <c r="I597" s="95">
        <f>'Planning Engine'!H1313</f>
        <v>32.679999999999986</v>
      </c>
      <c r="J597" s="96">
        <f ca="1">'Planning Engine'!J1313</f>
        <v>999</v>
      </c>
      <c r="K597" s="95">
        <f ca="1">'Planning Engine'!K1313</f>
        <v>0</v>
      </c>
      <c r="L597" s="12" t="str">
        <f ca="1">'Planning Engine'!L1313</f>
        <v>Overstock</v>
      </c>
      <c r="M597" s="93">
        <f>'Planning Engine'!S1313</f>
        <v>47635</v>
      </c>
      <c r="N597" s="95">
        <f>'Planning Engine'!T1313</f>
        <v>0</v>
      </c>
      <c r="O597" s="98" t="s">
        <v>2345</v>
      </c>
      <c r="P597" s="4" t="str">
        <f t="shared" ca="1" si="19"/>
        <v>Defer receipts</v>
      </c>
    </row>
    <row r="598" spans="1:16" ht="13" customHeight="1" x14ac:dyDescent="0.35">
      <c r="A598" s="93">
        <v>47788</v>
      </c>
      <c r="B598" s="61" t="s">
        <v>57</v>
      </c>
      <c r="C598" s="12" t="str">
        <f>'Planning Engine'!C1314</f>
        <v>Raw Material</v>
      </c>
      <c r="D598" s="12" t="str">
        <f>'Planning Engine'!D1314</f>
        <v>kg</v>
      </c>
      <c r="E598" s="95">
        <f>'Planning Engine'!E1314</f>
        <v>32.679999999999986</v>
      </c>
      <c r="F598" s="95">
        <f>'Planning Engine'!F1314</f>
        <v>0</v>
      </c>
      <c r="G598" s="95">
        <f>'Planning Engine'!G1314</f>
        <v>0</v>
      </c>
      <c r="H598" s="95">
        <f t="shared" si="18"/>
        <v>0</v>
      </c>
      <c r="I598" s="95">
        <f>'Planning Engine'!H1314</f>
        <v>32.679999999999986</v>
      </c>
      <c r="J598" s="96">
        <f ca="1">'Planning Engine'!J1314</f>
        <v>999</v>
      </c>
      <c r="K598" s="95">
        <f ca="1">'Planning Engine'!K1314</f>
        <v>0</v>
      </c>
      <c r="L598" s="12" t="str">
        <f ca="1">'Planning Engine'!L1314</f>
        <v>Overstock</v>
      </c>
      <c r="M598" s="93">
        <f>'Planning Engine'!S1314</f>
        <v>47665</v>
      </c>
      <c r="N598" s="95">
        <f>'Planning Engine'!T1314</f>
        <v>0</v>
      </c>
      <c r="O598" s="94" t="s">
        <v>2346</v>
      </c>
      <c r="P598" s="12" t="str">
        <f t="shared" ca="1" si="19"/>
        <v>Defer receipts</v>
      </c>
    </row>
    <row r="599" spans="1:16" ht="13" customHeight="1" x14ac:dyDescent="0.35">
      <c r="A599" s="97">
        <v>47818</v>
      </c>
      <c r="B599" s="53" t="s">
        <v>57</v>
      </c>
      <c r="C599" s="12" t="str">
        <f>'Planning Engine'!C1315</f>
        <v>Raw Material</v>
      </c>
      <c r="D599" s="12" t="str">
        <f>'Planning Engine'!D1315</f>
        <v>kg</v>
      </c>
      <c r="E599" s="95">
        <f>'Planning Engine'!E1315</f>
        <v>32.679999999999986</v>
      </c>
      <c r="F599" s="95">
        <f>'Planning Engine'!F1315</f>
        <v>0</v>
      </c>
      <c r="G599" s="95">
        <f>'Planning Engine'!G1315</f>
        <v>0</v>
      </c>
      <c r="H599" s="99">
        <f t="shared" si="18"/>
        <v>0</v>
      </c>
      <c r="I599" s="95">
        <f>'Planning Engine'!H1315</f>
        <v>32.679999999999986</v>
      </c>
      <c r="J599" s="96">
        <f ca="1">'Planning Engine'!J1315</f>
        <v>999</v>
      </c>
      <c r="K599" s="95">
        <f ca="1">'Planning Engine'!K1315</f>
        <v>0</v>
      </c>
      <c r="L599" s="12" t="str">
        <f ca="1">'Planning Engine'!L1315</f>
        <v>Overstock</v>
      </c>
      <c r="M599" s="93">
        <f>'Planning Engine'!S1315</f>
        <v>47696</v>
      </c>
      <c r="N599" s="95">
        <f>'Planning Engine'!T1315</f>
        <v>0</v>
      </c>
      <c r="O599" s="98" t="s">
        <v>2347</v>
      </c>
      <c r="P599" s="4" t="str">
        <f t="shared" ca="1" si="19"/>
        <v>Defer receipts</v>
      </c>
    </row>
    <row r="600" spans="1:16" ht="13" customHeight="1" x14ac:dyDescent="0.35">
      <c r="A600" s="93">
        <v>47849</v>
      </c>
      <c r="B600" s="61" t="s">
        <v>57</v>
      </c>
      <c r="C600" s="12" t="str">
        <f>'Planning Engine'!C1316</f>
        <v>Raw Material</v>
      </c>
      <c r="D600" s="12" t="str">
        <f>'Planning Engine'!D1316</f>
        <v>kg</v>
      </c>
      <c r="E600" s="95">
        <f>'Planning Engine'!E1316</f>
        <v>32.679999999999986</v>
      </c>
      <c r="F600" s="95">
        <f>'Planning Engine'!F1316</f>
        <v>0</v>
      </c>
      <c r="G600" s="95">
        <f>'Planning Engine'!G1316</f>
        <v>0</v>
      </c>
      <c r="H600" s="95">
        <f t="shared" si="18"/>
        <v>0</v>
      </c>
      <c r="I600" s="95">
        <f>'Planning Engine'!H1316</f>
        <v>32.679999999999986</v>
      </c>
      <c r="J600" s="96">
        <f ca="1">'Planning Engine'!J1316</f>
        <v>999</v>
      </c>
      <c r="K600" s="95">
        <f ca="1">'Planning Engine'!K1316</f>
        <v>0</v>
      </c>
      <c r="L600" s="12" t="str">
        <f ca="1">'Planning Engine'!L1316</f>
        <v>Overstock</v>
      </c>
      <c r="M600" s="93">
        <f>'Planning Engine'!S1316</f>
        <v>47727</v>
      </c>
      <c r="N600" s="95">
        <f>'Planning Engine'!T1316</f>
        <v>0</v>
      </c>
      <c r="O600" s="94" t="s">
        <v>2348</v>
      </c>
      <c r="P600" s="12" t="str">
        <f t="shared" ca="1" si="19"/>
        <v>Defer receipts</v>
      </c>
    </row>
    <row r="601" spans="1:16" ht="13" customHeight="1" x14ac:dyDescent="0.35">
      <c r="A601" s="97">
        <v>47880</v>
      </c>
      <c r="B601" s="53" t="s">
        <v>57</v>
      </c>
      <c r="C601" s="12" t="str">
        <f>'Planning Engine'!C1317</f>
        <v>Raw Material</v>
      </c>
      <c r="D601" s="12" t="str">
        <f>'Planning Engine'!D1317</f>
        <v>kg</v>
      </c>
      <c r="E601" s="95">
        <f>'Planning Engine'!E1317</f>
        <v>32.679999999999986</v>
      </c>
      <c r="F601" s="95">
        <f>'Planning Engine'!F1317</f>
        <v>0</v>
      </c>
      <c r="G601" s="95">
        <f>'Planning Engine'!G1317</f>
        <v>0</v>
      </c>
      <c r="H601" s="99">
        <f t="shared" si="18"/>
        <v>0</v>
      </c>
      <c r="I601" s="95">
        <f>'Planning Engine'!H1317</f>
        <v>32.679999999999986</v>
      </c>
      <c r="J601" s="96">
        <f ca="1">'Planning Engine'!J1317</f>
        <v>999</v>
      </c>
      <c r="K601" s="95">
        <f ca="1">'Planning Engine'!K1317</f>
        <v>0</v>
      </c>
      <c r="L601" s="12" t="str">
        <f ca="1">'Planning Engine'!L1317</f>
        <v>Overstock</v>
      </c>
      <c r="M601" s="93">
        <f>'Planning Engine'!S1317</f>
        <v>47757</v>
      </c>
      <c r="N601" s="95">
        <f>'Planning Engine'!T1317</f>
        <v>0</v>
      </c>
      <c r="O601" s="98" t="s">
        <v>2349</v>
      </c>
      <c r="P601" s="4" t="str">
        <f t="shared" ca="1" si="19"/>
        <v>Defer receipts</v>
      </c>
    </row>
    <row r="602" spans="1:16" ht="13" customHeight="1" x14ac:dyDescent="0.35">
      <c r="A602" s="93">
        <v>47908</v>
      </c>
      <c r="B602" s="61" t="s">
        <v>57</v>
      </c>
      <c r="C602" s="12" t="str">
        <f>'Planning Engine'!C1318</f>
        <v>Raw Material</v>
      </c>
      <c r="D602" s="12" t="str">
        <f>'Planning Engine'!D1318</f>
        <v>kg</v>
      </c>
      <c r="E602" s="95">
        <f>'Planning Engine'!E1318</f>
        <v>32.679999999999986</v>
      </c>
      <c r="F602" s="95">
        <f>'Planning Engine'!F1318</f>
        <v>0</v>
      </c>
      <c r="G602" s="95">
        <f>'Planning Engine'!G1318</f>
        <v>0</v>
      </c>
      <c r="H602" s="95">
        <f t="shared" si="18"/>
        <v>0</v>
      </c>
      <c r="I602" s="95">
        <f>'Planning Engine'!H1318</f>
        <v>32.679999999999986</v>
      </c>
      <c r="J602" s="96">
        <f ca="1">'Planning Engine'!J1318</f>
        <v>999</v>
      </c>
      <c r="K602" s="95">
        <f ca="1">'Planning Engine'!K1318</f>
        <v>0</v>
      </c>
      <c r="L602" s="12" t="str">
        <f ca="1">'Planning Engine'!L1318</f>
        <v>Overstock</v>
      </c>
      <c r="M602" s="93">
        <f>'Planning Engine'!S1318</f>
        <v>47788</v>
      </c>
      <c r="N602" s="95">
        <f>'Planning Engine'!T1318</f>
        <v>0</v>
      </c>
      <c r="O602" s="94" t="s">
        <v>2350</v>
      </c>
      <c r="P602" s="12" t="str">
        <f t="shared" ca="1" si="19"/>
        <v>Defer receipts</v>
      </c>
    </row>
    <row r="603" spans="1:16" ht="13" customHeight="1" x14ac:dyDescent="0.35">
      <c r="A603" s="97">
        <v>47939</v>
      </c>
      <c r="B603" s="53" t="s">
        <v>57</v>
      </c>
      <c r="C603" s="12" t="str">
        <f>'Planning Engine'!C1319</f>
        <v>Raw Material</v>
      </c>
      <c r="D603" s="12" t="str">
        <f>'Planning Engine'!D1319</f>
        <v>kg</v>
      </c>
      <c r="E603" s="95">
        <f>'Planning Engine'!E1319</f>
        <v>32.679999999999986</v>
      </c>
      <c r="F603" s="95">
        <f>'Planning Engine'!F1319</f>
        <v>0</v>
      </c>
      <c r="G603" s="95">
        <f>'Planning Engine'!G1319</f>
        <v>0</v>
      </c>
      <c r="H603" s="99">
        <f t="shared" si="18"/>
        <v>0</v>
      </c>
      <c r="I603" s="95">
        <f>'Planning Engine'!H1319</f>
        <v>32.679999999999986</v>
      </c>
      <c r="J603" s="96">
        <f ca="1">'Planning Engine'!J1319</f>
        <v>999</v>
      </c>
      <c r="K603" s="95">
        <f ca="1">'Planning Engine'!K1319</f>
        <v>0</v>
      </c>
      <c r="L603" s="12" t="str">
        <f ca="1">'Planning Engine'!L1319</f>
        <v>Overstock</v>
      </c>
      <c r="M603" s="93">
        <f>'Planning Engine'!S1319</f>
        <v>47818</v>
      </c>
      <c r="N603" s="95">
        <f>'Planning Engine'!T1319</f>
        <v>0</v>
      </c>
      <c r="O603" s="98" t="s">
        <v>2351</v>
      </c>
      <c r="P603" s="4" t="str">
        <f t="shared" ca="1" si="19"/>
        <v>Defer receipts</v>
      </c>
    </row>
    <row r="604" spans="1:16" ht="13" customHeight="1" x14ac:dyDescent="0.35">
      <c r="A604" s="93">
        <v>47969</v>
      </c>
      <c r="B604" s="61" t="s">
        <v>57</v>
      </c>
      <c r="C604" s="12" t="str">
        <f>'Planning Engine'!C1320</f>
        <v>Raw Material</v>
      </c>
      <c r="D604" s="12" t="str">
        <f>'Planning Engine'!D1320</f>
        <v>kg</v>
      </c>
      <c r="E604" s="95">
        <f>'Planning Engine'!E1320</f>
        <v>32.679999999999986</v>
      </c>
      <c r="F604" s="95">
        <f>'Planning Engine'!F1320</f>
        <v>0</v>
      </c>
      <c r="G604" s="95">
        <f>'Planning Engine'!G1320</f>
        <v>0</v>
      </c>
      <c r="H604" s="95">
        <f t="shared" si="18"/>
        <v>0</v>
      </c>
      <c r="I604" s="95">
        <f>'Planning Engine'!H1320</f>
        <v>32.679999999999986</v>
      </c>
      <c r="J604" s="96">
        <f ca="1">'Planning Engine'!J1320</f>
        <v>999</v>
      </c>
      <c r="K604" s="95">
        <f ca="1">'Planning Engine'!K1320</f>
        <v>0</v>
      </c>
      <c r="L604" s="12" t="str">
        <f ca="1">'Planning Engine'!L1320</f>
        <v>Overstock</v>
      </c>
      <c r="M604" s="93">
        <f>'Planning Engine'!S1320</f>
        <v>47849</v>
      </c>
      <c r="N604" s="95">
        <f>'Planning Engine'!T1320</f>
        <v>0</v>
      </c>
      <c r="O604" s="94" t="s">
        <v>2352</v>
      </c>
      <c r="P604" s="12" t="str">
        <f t="shared" ca="1" si="19"/>
        <v>Defer receipts</v>
      </c>
    </row>
    <row r="605" spans="1:16" ht="13" customHeight="1" x14ac:dyDescent="0.35">
      <c r="A605" s="97">
        <v>48000</v>
      </c>
      <c r="B605" s="53" t="s">
        <v>57</v>
      </c>
      <c r="C605" s="12" t="str">
        <f>'Planning Engine'!C1321</f>
        <v>Raw Material</v>
      </c>
      <c r="D605" s="12" t="str">
        <f>'Planning Engine'!D1321</f>
        <v>kg</v>
      </c>
      <c r="E605" s="95">
        <f>'Planning Engine'!E1321</f>
        <v>32.679999999999986</v>
      </c>
      <c r="F605" s="95">
        <f>'Planning Engine'!F1321</f>
        <v>0</v>
      </c>
      <c r="G605" s="95">
        <f>'Planning Engine'!G1321</f>
        <v>0</v>
      </c>
      <c r="H605" s="99">
        <f t="shared" si="18"/>
        <v>0</v>
      </c>
      <c r="I605" s="95">
        <f>'Planning Engine'!H1321</f>
        <v>32.679999999999986</v>
      </c>
      <c r="J605" s="96">
        <f ca="1">'Planning Engine'!J1321</f>
        <v>999</v>
      </c>
      <c r="K605" s="95">
        <f ca="1">'Planning Engine'!K1321</f>
        <v>0</v>
      </c>
      <c r="L605" s="12" t="str">
        <f ca="1">'Planning Engine'!L1321</f>
        <v>Overstock</v>
      </c>
      <c r="M605" s="93">
        <f>'Planning Engine'!S1321</f>
        <v>47880</v>
      </c>
      <c r="N605" s="95">
        <f>'Planning Engine'!T1321</f>
        <v>0</v>
      </c>
      <c r="O605" s="98" t="s">
        <v>2353</v>
      </c>
      <c r="P605" s="4" t="str">
        <f t="shared" ca="1" si="19"/>
        <v>Defer receipts</v>
      </c>
    </row>
    <row r="606" spans="1:16" ht="13" customHeight="1" x14ac:dyDescent="0.35">
      <c r="A606" s="93">
        <v>48030</v>
      </c>
      <c r="B606" s="61" t="s">
        <v>57</v>
      </c>
      <c r="C606" s="12" t="str">
        <f>'Planning Engine'!C1322</f>
        <v>Raw Material</v>
      </c>
      <c r="D606" s="12" t="str">
        <f>'Planning Engine'!D1322</f>
        <v>kg</v>
      </c>
      <c r="E606" s="95">
        <f>'Planning Engine'!E1322</f>
        <v>32.679999999999986</v>
      </c>
      <c r="F606" s="95">
        <f>'Planning Engine'!F1322</f>
        <v>0</v>
      </c>
      <c r="G606" s="95">
        <f>'Planning Engine'!G1322</f>
        <v>0</v>
      </c>
      <c r="H606" s="95">
        <f t="shared" si="18"/>
        <v>0</v>
      </c>
      <c r="I606" s="95">
        <f>'Planning Engine'!H1322</f>
        <v>32.679999999999986</v>
      </c>
      <c r="J606" s="96">
        <f ca="1">'Planning Engine'!J1322</f>
        <v>999</v>
      </c>
      <c r="K606" s="95">
        <f ca="1">'Planning Engine'!K1322</f>
        <v>0</v>
      </c>
      <c r="L606" s="12" t="str">
        <f ca="1">'Planning Engine'!L1322</f>
        <v>Overstock</v>
      </c>
      <c r="M606" s="93">
        <f>'Planning Engine'!S1322</f>
        <v>47908</v>
      </c>
      <c r="N606" s="95">
        <f>'Planning Engine'!T1322</f>
        <v>0</v>
      </c>
      <c r="O606" s="94" t="s">
        <v>2354</v>
      </c>
      <c r="P606" s="12" t="str">
        <f t="shared" ca="1" si="19"/>
        <v>Defer receipts</v>
      </c>
    </row>
    <row r="607" spans="1:16" ht="13" customHeight="1" x14ac:dyDescent="0.35">
      <c r="A607" s="97">
        <v>48061</v>
      </c>
      <c r="B607" s="53" t="s">
        <v>57</v>
      </c>
      <c r="C607" s="12" t="str">
        <f>'Planning Engine'!C1323</f>
        <v>Raw Material</v>
      </c>
      <c r="D607" s="12" t="str">
        <f>'Planning Engine'!D1323</f>
        <v>kg</v>
      </c>
      <c r="E607" s="95">
        <f>'Planning Engine'!E1323</f>
        <v>32.679999999999986</v>
      </c>
      <c r="F607" s="95">
        <f>'Planning Engine'!F1323</f>
        <v>0</v>
      </c>
      <c r="G607" s="95">
        <f>'Planning Engine'!G1323</f>
        <v>0</v>
      </c>
      <c r="H607" s="99">
        <f t="shared" si="18"/>
        <v>0</v>
      </c>
      <c r="I607" s="95">
        <f>'Planning Engine'!H1323</f>
        <v>32.679999999999986</v>
      </c>
      <c r="J607" s="96">
        <f ca="1">'Planning Engine'!J1323</f>
        <v>999</v>
      </c>
      <c r="K607" s="95">
        <f ca="1">'Planning Engine'!K1323</f>
        <v>0</v>
      </c>
      <c r="L607" s="12" t="str">
        <f ca="1">'Planning Engine'!L1323</f>
        <v>Overstock</v>
      </c>
      <c r="M607" s="93">
        <f>'Planning Engine'!S1323</f>
        <v>47939</v>
      </c>
      <c r="N607" s="95">
        <f>'Planning Engine'!T1323</f>
        <v>0</v>
      </c>
      <c r="O607" s="98" t="s">
        <v>2355</v>
      </c>
      <c r="P607" s="4" t="str">
        <f t="shared" ca="1" si="19"/>
        <v>Defer receipts</v>
      </c>
    </row>
    <row r="608" spans="1:16" ht="13" customHeight="1" x14ac:dyDescent="0.35">
      <c r="A608" s="93">
        <v>48092</v>
      </c>
      <c r="B608" s="61" t="s">
        <v>57</v>
      </c>
      <c r="C608" s="12" t="str">
        <f>'Planning Engine'!C1324</f>
        <v>Raw Material</v>
      </c>
      <c r="D608" s="12" t="str">
        <f>'Planning Engine'!D1324</f>
        <v>kg</v>
      </c>
      <c r="E608" s="95">
        <f>'Planning Engine'!E1324</f>
        <v>32.679999999999986</v>
      </c>
      <c r="F608" s="95">
        <f>'Planning Engine'!F1324</f>
        <v>0</v>
      </c>
      <c r="G608" s="95">
        <f>'Planning Engine'!G1324</f>
        <v>0</v>
      </c>
      <c r="H608" s="95">
        <f t="shared" si="18"/>
        <v>0</v>
      </c>
      <c r="I608" s="95">
        <f>'Planning Engine'!H1324</f>
        <v>32.679999999999986</v>
      </c>
      <c r="J608" s="96">
        <f ca="1">'Planning Engine'!J1324</f>
        <v>999</v>
      </c>
      <c r="K608" s="95">
        <f ca="1">'Planning Engine'!K1324</f>
        <v>0</v>
      </c>
      <c r="L608" s="12" t="str">
        <f ca="1">'Planning Engine'!L1324</f>
        <v>Overstock</v>
      </c>
      <c r="M608" s="93">
        <f>'Planning Engine'!S1324</f>
        <v>47969</v>
      </c>
      <c r="N608" s="95">
        <f>'Planning Engine'!T1324</f>
        <v>0</v>
      </c>
      <c r="O608" s="94" t="s">
        <v>2356</v>
      </c>
      <c r="P608" s="12" t="str">
        <f t="shared" ca="1" si="19"/>
        <v>Defer receipts</v>
      </c>
    </row>
    <row r="609" spans="1:16" ht="13" customHeight="1" x14ac:dyDescent="0.35">
      <c r="A609" s="97">
        <v>48122</v>
      </c>
      <c r="B609" s="53" t="s">
        <v>57</v>
      </c>
      <c r="C609" s="12" t="str">
        <f>'Planning Engine'!C1325</f>
        <v>Raw Material</v>
      </c>
      <c r="D609" s="12" t="str">
        <f>'Planning Engine'!D1325</f>
        <v>kg</v>
      </c>
      <c r="E609" s="95">
        <f>'Planning Engine'!E1325</f>
        <v>32.679999999999986</v>
      </c>
      <c r="F609" s="95">
        <f>'Planning Engine'!F1325</f>
        <v>0</v>
      </c>
      <c r="G609" s="95">
        <f>'Planning Engine'!G1325</f>
        <v>0</v>
      </c>
      <c r="H609" s="99">
        <f t="shared" si="18"/>
        <v>0</v>
      </c>
      <c r="I609" s="95">
        <f>'Planning Engine'!H1325</f>
        <v>32.679999999999986</v>
      </c>
      <c r="J609" s="96">
        <f ca="1">'Planning Engine'!J1325</f>
        <v>999</v>
      </c>
      <c r="K609" s="95">
        <f ca="1">'Planning Engine'!K1325</f>
        <v>0</v>
      </c>
      <c r="L609" s="12" t="str">
        <f ca="1">'Planning Engine'!L1325</f>
        <v>Overstock</v>
      </c>
      <c r="M609" s="93">
        <f>'Planning Engine'!S1325</f>
        <v>48000</v>
      </c>
      <c r="N609" s="95">
        <f>'Planning Engine'!T1325</f>
        <v>0</v>
      </c>
      <c r="O609" s="98" t="s">
        <v>2357</v>
      </c>
      <c r="P609" s="4" t="str">
        <f t="shared" ca="1" si="19"/>
        <v>Defer receipts</v>
      </c>
    </row>
    <row r="610" spans="1:16" ht="13" customHeight="1" x14ac:dyDescent="0.35">
      <c r="A610" s="93">
        <v>48153</v>
      </c>
      <c r="B610" s="61" t="s">
        <v>57</v>
      </c>
      <c r="C610" s="12" t="str">
        <f>'Planning Engine'!C1326</f>
        <v>Raw Material</v>
      </c>
      <c r="D610" s="12" t="str">
        <f>'Planning Engine'!D1326</f>
        <v>kg</v>
      </c>
      <c r="E610" s="95">
        <f>'Planning Engine'!E1326</f>
        <v>32.679999999999986</v>
      </c>
      <c r="F610" s="95">
        <f>'Planning Engine'!F1326</f>
        <v>0</v>
      </c>
      <c r="G610" s="95">
        <f>'Planning Engine'!G1326</f>
        <v>0</v>
      </c>
      <c r="H610" s="95">
        <f t="shared" si="18"/>
        <v>0</v>
      </c>
      <c r="I610" s="95">
        <f>'Planning Engine'!H1326</f>
        <v>32.679999999999986</v>
      </c>
      <c r="J610" s="96">
        <f ca="1">'Planning Engine'!J1326</f>
        <v>999</v>
      </c>
      <c r="K610" s="95">
        <f ca="1">'Planning Engine'!K1326</f>
        <v>0</v>
      </c>
      <c r="L610" s="12" t="str">
        <f ca="1">'Planning Engine'!L1326</f>
        <v>Overstock</v>
      </c>
      <c r="M610" s="93">
        <f>'Planning Engine'!S1326</f>
        <v>48030</v>
      </c>
      <c r="N610" s="95">
        <f>'Planning Engine'!T1326</f>
        <v>0</v>
      </c>
      <c r="O610" s="94" t="s">
        <v>2358</v>
      </c>
      <c r="P610" s="12" t="str">
        <f t="shared" ca="1" si="19"/>
        <v>Defer receipts</v>
      </c>
    </row>
    <row r="611" spans="1:16" ht="13" customHeight="1" x14ac:dyDescent="0.35">
      <c r="A611" s="97">
        <v>48183</v>
      </c>
      <c r="B611" s="53" t="s">
        <v>57</v>
      </c>
      <c r="C611" s="12" t="str">
        <f>'Planning Engine'!C1327</f>
        <v>Raw Material</v>
      </c>
      <c r="D611" s="12" t="str">
        <f>'Planning Engine'!D1327</f>
        <v>kg</v>
      </c>
      <c r="E611" s="95">
        <f>'Planning Engine'!E1327</f>
        <v>32.679999999999986</v>
      </c>
      <c r="F611" s="95">
        <f>'Planning Engine'!F1327</f>
        <v>0</v>
      </c>
      <c r="G611" s="95">
        <f>'Planning Engine'!G1327</f>
        <v>0</v>
      </c>
      <c r="H611" s="99">
        <f t="shared" si="18"/>
        <v>0</v>
      </c>
      <c r="I611" s="95">
        <f>'Planning Engine'!H1327</f>
        <v>32.679999999999986</v>
      </c>
      <c r="J611" s="96">
        <f ca="1">'Planning Engine'!J1327</f>
        <v>999</v>
      </c>
      <c r="K611" s="95">
        <f ca="1">'Planning Engine'!K1327</f>
        <v>0</v>
      </c>
      <c r="L611" s="12" t="str">
        <f ca="1">'Planning Engine'!L1327</f>
        <v>Overstock</v>
      </c>
      <c r="M611" s="93">
        <f>'Planning Engine'!S1327</f>
        <v>48061</v>
      </c>
      <c r="N611" s="95">
        <f>'Planning Engine'!T1327</f>
        <v>0</v>
      </c>
      <c r="O611" s="98" t="s">
        <v>2359</v>
      </c>
      <c r="P611" s="4" t="str">
        <f t="shared" ca="1" si="19"/>
        <v>Defer receipts</v>
      </c>
    </row>
    <row r="612" spans="1:16" ht="13" customHeight="1" x14ac:dyDescent="0.35">
      <c r="A612" s="93">
        <v>48214</v>
      </c>
      <c r="B612" s="61" t="s">
        <v>57</v>
      </c>
      <c r="C612" s="12" t="str">
        <f>'Planning Engine'!C1328</f>
        <v>Raw Material</v>
      </c>
      <c r="D612" s="12" t="str">
        <f>'Planning Engine'!D1328</f>
        <v>kg</v>
      </c>
      <c r="E612" s="95">
        <f>'Planning Engine'!E1328</f>
        <v>32.679999999999986</v>
      </c>
      <c r="F612" s="95">
        <f>'Planning Engine'!F1328</f>
        <v>0</v>
      </c>
      <c r="G612" s="95">
        <f>'Planning Engine'!G1328</f>
        <v>0</v>
      </c>
      <c r="H612" s="95">
        <f t="shared" si="18"/>
        <v>0</v>
      </c>
      <c r="I612" s="95">
        <f>'Planning Engine'!H1328</f>
        <v>32.679999999999986</v>
      </c>
      <c r="J612" s="96">
        <f ca="1">'Planning Engine'!J1328</f>
        <v>999</v>
      </c>
      <c r="K612" s="95">
        <f ca="1">'Planning Engine'!K1328</f>
        <v>0</v>
      </c>
      <c r="L612" s="12" t="str">
        <f ca="1">'Planning Engine'!L1328</f>
        <v>Overstock</v>
      </c>
      <c r="M612" s="93">
        <f>'Planning Engine'!S1328</f>
        <v>48092</v>
      </c>
      <c r="N612" s="95">
        <f>'Planning Engine'!T1328</f>
        <v>0</v>
      </c>
      <c r="O612" s="94" t="s">
        <v>2360</v>
      </c>
      <c r="P612" s="12" t="str">
        <f t="shared" ca="1" si="19"/>
        <v>Defer receipts</v>
      </c>
    </row>
    <row r="613" spans="1:16" ht="13" customHeight="1" x14ac:dyDescent="0.35">
      <c r="A613" s="97">
        <v>48245</v>
      </c>
      <c r="B613" s="53" t="s">
        <v>57</v>
      </c>
      <c r="C613" s="12" t="str">
        <f>'Planning Engine'!C1329</f>
        <v>Raw Material</v>
      </c>
      <c r="D613" s="12" t="str">
        <f>'Planning Engine'!D1329</f>
        <v>kg</v>
      </c>
      <c r="E613" s="95">
        <f>'Planning Engine'!E1329</f>
        <v>32.679999999999986</v>
      </c>
      <c r="F613" s="95">
        <f>'Planning Engine'!F1329</f>
        <v>0</v>
      </c>
      <c r="G613" s="95">
        <f>'Planning Engine'!G1329</f>
        <v>0</v>
      </c>
      <c r="H613" s="99">
        <f t="shared" si="18"/>
        <v>0</v>
      </c>
      <c r="I613" s="95">
        <f>'Planning Engine'!H1329</f>
        <v>32.679999999999986</v>
      </c>
      <c r="J613" s="96">
        <f ca="1">'Planning Engine'!J1329</f>
        <v>999</v>
      </c>
      <c r="K613" s="95">
        <f ca="1">'Planning Engine'!K1329</f>
        <v>0</v>
      </c>
      <c r="L613" s="12" t="str">
        <f ca="1">'Planning Engine'!L1329</f>
        <v>Overstock</v>
      </c>
      <c r="M613" s="93">
        <f>'Planning Engine'!S1329</f>
        <v>48122</v>
      </c>
      <c r="N613" s="95">
        <f>'Planning Engine'!T1329</f>
        <v>0</v>
      </c>
      <c r="O613" s="98" t="s">
        <v>2361</v>
      </c>
      <c r="P613" s="4" t="str">
        <f t="shared" ca="1" si="19"/>
        <v>Defer receipts</v>
      </c>
    </row>
    <row r="614" spans="1:16" ht="13" customHeight="1" x14ac:dyDescent="0.35">
      <c r="A614" s="93">
        <v>48274</v>
      </c>
      <c r="B614" s="61" t="s">
        <v>57</v>
      </c>
      <c r="C614" s="12" t="str">
        <f>'Planning Engine'!C1330</f>
        <v>Raw Material</v>
      </c>
      <c r="D614" s="12" t="str">
        <f>'Planning Engine'!D1330</f>
        <v>kg</v>
      </c>
      <c r="E614" s="95">
        <f>'Planning Engine'!E1330</f>
        <v>32.679999999999986</v>
      </c>
      <c r="F614" s="95">
        <f>'Planning Engine'!F1330</f>
        <v>0</v>
      </c>
      <c r="G614" s="95">
        <f>'Planning Engine'!G1330</f>
        <v>0</v>
      </c>
      <c r="H614" s="95">
        <f t="shared" si="18"/>
        <v>0</v>
      </c>
      <c r="I614" s="95">
        <f>'Planning Engine'!H1330</f>
        <v>32.679999999999986</v>
      </c>
      <c r="J614" s="96">
        <f ca="1">'Planning Engine'!J1330</f>
        <v>999</v>
      </c>
      <c r="K614" s="95">
        <f ca="1">'Planning Engine'!K1330</f>
        <v>0</v>
      </c>
      <c r="L614" s="12" t="str">
        <f ca="1">'Planning Engine'!L1330</f>
        <v>Overstock</v>
      </c>
      <c r="M614" s="93">
        <f>'Planning Engine'!S1330</f>
        <v>48153</v>
      </c>
      <c r="N614" s="95">
        <f>'Planning Engine'!T1330</f>
        <v>0</v>
      </c>
      <c r="O614" s="94" t="s">
        <v>2362</v>
      </c>
      <c r="P614" s="12" t="str">
        <f t="shared" ca="1" si="19"/>
        <v>Defer receipts</v>
      </c>
    </row>
    <row r="615" spans="1:16" ht="13" customHeight="1" x14ac:dyDescent="0.35">
      <c r="A615" s="97">
        <v>48305</v>
      </c>
      <c r="B615" s="53" t="s">
        <v>57</v>
      </c>
      <c r="C615" s="12" t="str">
        <f>'Planning Engine'!C1331</f>
        <v>Raw Material</v>
      </c>
      <c r="D615" s="12" t="str">
        <f>'Planning Engine'!D1331</f>
        <v>kg</v>
      </c>
      <c r="E615" s="95">
        <f>'Planning Engine'!E1331</f>
        <v>32.679999999999986</v>
      </c>
      <c r="F615" s="95">
        <f>'Planning Engine'!F1331</f>
        <v>0</v>
      </c>
      <c r="G615" s="95">
        <f>'Planning Engine'!G1331</f>
        <v>0</v>
      </c>
      <c r="H615" s="99">
        <f t="shared" si="18"/>
        <v>0</v>
      </c>
      <c r="I615" s="95">
        <f>'Planning Engine'!H1331</f>
        <v>32.679999999999986</v>
      </c>
      <c r="J615" s="96">
        <f ca="1">'Planning Engine'!J1331</f>
        <v>999</v>
      </c>
      <c r="K615" s="95">
        <f ca="1">'Planning Engine'!K1331</f>
        <v>0</v>
      </c>
      <c r="L615" s="12" t="str">
        <f ca="1">'Planning Engine'!L1331</f>
        <v>Overstock</v>
      </c>
      <c r="M615" s="93">
        <f>'Planning Engine'!S1331</f>
        <v>48183</v>
      </c>
      <c r="N615" s="95">
        <f>'Planning Engine'!T1331</f>
        <v>0</v>
      </c>
      <c r="O615" s="98" t="s">
        <v>2363</v>
      </c>
      <c r="P615" s="4" t="str">
        <f t="shared" ca="1" si="19"/>
        <v>Defer receipts</v>
      </c>
    </row>
    <row r="616" spans="1:16" ht="13" customHeight="1" x14ac:dyDescent="0.35">
      <c r="A616" s="93">
        <v>48335</v>
      </c>
      <c r="B616" s="61" t="s">
        <v>57</v>
      </c>
      <c r="C616" s="12" t="str">
        <f>'Planning Engine'!C1332</f>
        <v>Raw Material</v>
      </c>
      <c r="D616" s="12" t="str">
        <f>'Planning Engine'!D1332</f>
        <v>kg</v>
      </c>
      <c r="E616" s="95">
        <f>'Planning Engine'!E1332</f>
        <v>32.679999999999986</v>
      </c>
      <c r="F616" s="95">
        <f>'Planning Engine'!F1332</f>
        <v>0</v>
      </c>
      <c r="G616" s="95">
        <f>'Planning Engine'!G1332</f>
        <v>0</v>
      </c>
      <c r="H616" s="95">
        <f t="shared" si="18"/>
        <v>0</v>
      </c>
      <c r="I616" s="95">
        <f>'Planning Engine'!H1332</f>
        <v>32.679999999999986</v>
      </c>
      <c r="J616" s="96">
        <f ca="1">'Planning Engine'!J1332</f>
        <v>999</v>
      </c>
      <c r="K616" s="95">
        <f ca="1">'Planning Engine'!K1332</f>
        <v>0</v>
      </c>
      <c r="L616" s="12" t="str">
        <f ca="1">'Planning Engine'!L1332</f>
        <v>Overstock</v>
      </c>
      <c r="M616" s="93">
        <f>'Planning Engine'!S1332</f>
        <v>48214</v>
      </c>
      <c r="N616" s="95">
        <f>'Planning Engine'!T1332</f>
        <v>0</v>
      </c>
      <c r="O616" s="94" t="s">
        <v>2364</v>
      </c>
      <c r="P616" s="12" t="str">
        <f t="shared" ca="1" si="19"/>
        <v>Defer receipts</v>
      </c>
    </row>
    <row r="617" spans="1:16" ht="13" customHeight="1" x14ac:dyDescent="0.35">
      <c r="A617" s="97">
        <v>48366</v>
      </c>
      <c r="B617" s="53" t="s">
        <v>57</v>
      </c>
      <c r="C617" s="12" t="str">
        <f>'Planning Engine'!C1333</f>
        <v>Raw Material</v>
      </c>
      <c r="D617" s="12" t="str">
        <f>'Planning Engine'!D1333</f>
        <v>kg</v>
      </c>
      <c r="E617" s="95">
        <f>'Planning Engine'!E1333</f>
        <v>32.679999999999986</v>
      </c>
      <c r="F617" s="95">
        <f>'Planning Engine'!F1333</f>
        <v>0</v>
      </c>
      <c r="G617" s="95">
        <f>'Planning Engine'!G1333</f>
        <v>0</v>
      </c>
      <c r="H617" s="99">
        <f t="shared" si="18"/>
        <v>0</v>
      </c>
      <c r="I617" s="95">
        <f>'Planning Engine'!H1333</f>
        <v>32.679999999999986</v>
      </c>
      <c r="J617" s="96">
        <f ca="1">'Planning Engine'!J1333</f>
        <v>999</v>
      </c>
      <c r="K617" s="95">
        <f ca="1">'Planning Engine'!K1333</f>
        <v>0</v>
      </c>
      <c r="L617" s="12" t="str">
        <f ca="1">'Planning Engine'!L1333</f>
        <v>Overstock</v>
      </c>
      <c r="M617" s="93">
        <f>'Planning Engine'!S1333</f>
        <v>48245</v>
      </c>
      <c r="N617" s="95">
        <f>'Planning Engine'!T1333</f>
        <v>0</v>
      </c>
      <c r="O617" s="98" t="s">
        <v>2365</v>
      </c>
      <c r="P617" s="4" t="str">
        <f t="shared" ca="1" si="19"/>
        <v>Defer receipts</v>
      </c>
    </row>
    <row r="618" spans="1:16" ht="13" customHeight="1" x14ac:dyDescent="0.35">
      <c r="A618" s="93">
        <v>48396</v>
      </c>
      <c r="B618" s="61" t="s">
        <v>57</v>
      </c>
      <c r="C618" s="12" t="str">
        <f>'Planning Engine'!C1334</f>
        <v>Raw Material</v>
      </c>
      <c r="D618" s="12" t="str">
        <f>'Planning Engine'!D1334</f>
        <v>kg</v>
      </c>
      <c r="E618" s="95">
        <f>'Planning Engine'!E1334</f>
        <v>32.679999999999986</v>
      </c>
      <c r="F618" s="95">
        <f>'Planning Engine'!F1334</f>
        <v>0</v>
      </c>
      <c r="G618" s="95">
        <f>'Planning Engine'!G1334</f>
        <v>0</v>
      </c>
      <c r="H618" s="95">
        <f t="shared" si="18"/>
        <v>0</v>
      </c>
      <c r="I618" s="95">
        <f>'Planning Engine'!H1334</f>
        <v>32.679999999999986</v>
      </c>
      <c r="J618" s="96">
        <f ca="1">'Planning Engine'!J1334</f>
        <v>999</v>
      </c>
      <c r="K618" s="95">
        <f ca="1">'Planning Engine'!K1334</f>
        <v>0</v>
      </c>
      <c r="L618" s="12" t="str">
        <f ca="1">'Planning Engine'!L1334</f>
        <v>Overstock</v>
      </c>
      <c r="M618" s="93">
        <f>'Planning Engine'!S1334</f>
        <v>48274</v>
      </c>
      <c r="N618" s="95">
        <f>'Planning Engine'!T1334</f>
        <v>0</v>
      </c>
      <c r="O618" s="94" t="s">
        <v>2366</v>
      </c>
      <c r="P618" s="12" t="str">
        <f t="shared" ca="1" si="19"/>
        <v>Defer receipts</v>
      </c>
    </row>
    <row r="619" spans="1:16" ht="13" customHeight="1" x14ac:dyDescent="0.35">
      <c r="A619" s="97">
        <v>48427</v>
      </c>
      <c r="B619" s="53" t="s">
        <v>57</v>
      </c>
      <c r="C619" s="12" t="str">
        <f>'Planning Engine'!C1335</f>
        <v>Raw Material</v>
      </c>
      <c r="D619" s="12" t="str">
        <f>'Planning Engine'!D1335</f>
        <v>kg</v>
      </c>
      <c r="E619" s="95">
        <f>'Planning Engine'!E1335</f>
        <v>32.679999999999986</v>
      </c>
      <c r="F619" s="95">
        <f>'Planning Engine'!F1335</f>
        <v>0</v>
      </c>
      <c r="G619" s="95">
        <f>'Planning Engine'!G1335</f>
        <v>0</v>
      </c>
      <c r="H619" s="99">
        <f t="shared" si="18"/>
        <v>0</v>
      </c>
      <c r="I619" s="95">
        <f>'Planning Engine'!H1335</f>
        <v>32.679999999999986</v>
      </c>
      <c r="J619" s="96">
        <f ca="1">'Planning Engine'!J1335</f>
        <v>999</v>
      </c>
      <c r="K619" s="95">
        <f ca="1">'Planning Engine'!K1335</f>
        <v>0</v>
      </c>
      <c r="L619" s="12" t="str">
        <f ca="1">'Planning Engine'!L1335</f>
        <v>Overstock</v>
      </c>
      <c r="M619" s="93">
        <f>'Planning Engine'!S1335</f>
        <v>48305</v>
      </c>
      <c r="N619" s="95">
        <f>'Planning Engine'!T1335</f>
        <v>0</v>
      </c>
      <c r="O619" s="98" t="s">
        <v>2367</v>
      </c>
      <c r="P619" s="4" t="str">
        <f t="shared" ca="1" si="19"/>
        <v>Defer receipts</v>
      </c>
    </row>
    <row r="620" spans="1:16" ht="13" customHeight="1" x14ac:dyDescent="0.35">
      <c r="A620" s="93">
        <v>48458</v>
      </c>
      <c r="B620" s="61" t="s">
        <v>57</v>
      </c>
      <c r="C620" s="12" t="str">
        <f>'Planning Engine'!C1336</f>
        <v>Raw Material</v>
      </c>
      <c r="D620" s="12" t="str">
        <f>'Planning Engine'!D1336</f>
        <v>kg</v>
      </c>
      <c r="E620" s="95">
        <f>'Planning Engine'!E1336</f>
        <v>32.679999999999986</v>
      </c>
      <c r="F620" s="95">
        <f>'Planning Engine'!F1336</f>
        <v>0</v>
      </c>
      <c r="G620" s="95">
        <f>'Planning Engine'!G1336</f>
        <v>0</v>
      </c>
      <c r="H620" s="95">
        <f t="shared" si="18"/>
        <v>0</v>
      </c>
      <c r="I620" s="95">
        <f>'Planning Engine'!H1336</f>
        <v>32.679999999999986</v>
      </c>
      <c r="J620" s="96">
        <f ca="1">'Planning Engine'!J1336</f>
        <v>999</v>
      </c>
      <c r="K620" s="95">
        <f ca="1">'Planning Engine'!K1336</f>
        <v>0</v>
      </c>
      <c r="L620" s="12" t="str">
        <f ca="1">'Planning Engine'!L1336</f>
        <v>Overstock</v>
      </c>
      <c r="M620" s="93">
        <f>'Planning Engine'!S1336</f>
        <v>48335</v>
      </c>
      <c r="N620" s="95">
        <f>'Planning Engine'!T1336</f>
        <v>0</v>
      </c>
      <c r="O620" s="94" t="s">
        <v>2368</v>
      </c>
      <c r="P620" s="12" t="str">
        <f t="shared" ca="1" si="19"/>
        <v>Defer receipts</v>
      </c>
    </row>
    <row r="621" spans="1:16" ht="13" customHeight="1" x14ac:dyDescent="0.35">
      <c r="A621" s="97">
        <v>48488</v>
      </c>
      <c r="B621" s="53" t="s">
        <v>57</v>
      </c>
      <c r="C621" s="12" t="str">
        <f>'Planning Engine'!C1337</f>
        <v>Raw Material</v>
      </c>
      <c r="D621" s="12" t="str">
        <f>'Planning Engine'!D1337</f>
        <v>kg</v>
      </c>
      <c r="E621" s="95">
        <f>'Planning Engine'!E1337</f>
        <v>32.679999999999986</v>
      </c>
      <c r="F621" s="95">
        <f>'Planning Engine'!F1337</f>
        <v>0</v>
      </c>
      <c r="G621" s="95">
        <f>'Planning Engine'!G1337</f>
        <v>0</v>
      </c>
      <c r="H621" s="99">
        <f t="shared" si="18"/>
        <v>0</v>
      </c>
      <c r="I621" s="95">
        <f>'Planning Engine'!H1337</f>
        <v>32.679999999999986</v>
      </c>
      <c r="J621" s="96">
        <f ca="1">'Planning Engine'!J1337</f>
        <v>999</v>
      </c>
      <c r="K621" s="95">
        <f ca="1">'Planning Engine'!K1337</f>
        <v>0</v>
      </c>
      <c r="L621" s="12" t="str">
        <f ca="1">'Planning Engine'!L1337</f>
        <v>Overstock</v>
      </c>
      <c r="M621" s="93">
        <f>'Planning Engine'!S1337</f>
        <v>48366</v>
      </c>
      <c r="N621" s="95">
        <f>'Planning Engine'!T1337</f>
        <v>0</v>
      </c>
      <c r="O621" s="98" t="s">
        <v>2369</v>
      </c>
      <c r="P621" s="4" t="str">
        <f t="shared" ca="1" si="19"/>
        <v>Defer receipts</v>
      </c>
    </row>
    <row r="622" spans="1:16" ht="13" customHeight="1" x14ac:dyDescent="0.35">
      <c r="A622" s="93">
        <v>48519</v>
      </c>
      <c r="B622" s="61" t="s">
        <v>57</v>
      </c>
      <c r="C622" s="12" t="str">
        <f>'Planning Engine'!C1338</f>
        <v>Raw Material</v>
      </c>
      <c r="D622" s="12" t="str">
        <f>'Planning Engine'!D1338</f>
        <v>kg</v>
      </c>
      <c r="E622" s="95">
        <f>'Planning Engine'!E1338</f>
        <v>32.679999999999986</v>
      </c>
      <c r="F622" s="95">
        <f>'Planning Engine'!F1338</f>
        <v>0</v>
      </c>
      <c r="G622" s="95">
        <f>'Planning Engine'!G1338</f>
        <v>0</v>
      </c>
      <c r="H622" s="95">
        <f t="shared" si="18"/>
        <v>0</v>
      </c>
      <c r="I622" s="95">
        <f>'Planning Engine'!H1338</f>
        <v>32.679999999999986</v>
      </c>
      <c r="J622" s="96">
        <f ca="1">'Planning Engine'!J1338</f>
        <v>999</v>
      </c>
      <c r="K622" s="95">
        <f ca="1">'Planning Engine'!K1338</f>
        <v>0</v>
      </c>
      <c r="L622" s="12" t="str">
        <f ca="1">'Planning Engine'!L1338</f>
        <v>Overstock</v>
      </c>
      <c r="M622" s="93">
        <f>'Planning Engine'!S1338</f>
        <v>48396</v>
      </c>
      <c r="N622" s="95">
        <f>'Planning Engine'!T1338</f>
        <v>0</v>
      </c>
      <c r="O622" s="94" t="s">
        <v>2370</v>
      </c>
      <c r="P622" s="12" t="str">
        <f t="shared" ca="1" si="19"/>
        <v>Defer receipts</v>
      </c>
    </row>
    <row r="623" spans="1:16" ht="13" customHeight="1" x14ac:dyDescent="0.35">
      <c r="A623" s="97">
        <v>48549</v>
      </c>
      <c r="B623" s="53" t="s">
        <v>57</v>
      </c>
      <c r="C623" s="12" t="str">
        <f>'Planning Engine'!C1339</f>
        <v>Raw Material</v>
      </c>
      <c r="D623" s="12" t="str">
        <f>'Planning Engine'!D1339</f>
        <v>kg</v>
      </c>
      <c r="E623" s="95">
        <f>'Planning Engine'!E1339</f>
        <v>32.679999999999986</v>
      </c>
      <c r="F623" s="95">
        <f>'Planning Engine'!F1339</f>
        <v>0</v>
      </c>
      <c r="G623" s="95">
        <f>'Planning Engine'!G1339</f>
        <v>0</v>
      </c>
      <c r="H623" s="99">
        <f t="shared" si="18"/>
        <v>0</v>
      </c>
      <c r="I623" s="95">
        <f>'Planning Engine'!H1339</f>
        <v>32.679999999999986</v>
      </c>
      <c r="J623" s="96">
        <f ca="1">'Planning Engine'!J1339</f>
        <v>999</v>
      </c>
      <c r="K623" s="95">
        <f ca="1">'Planning Engine'!K1339</f>
        <v>0</v>
      </c>
      <c r="L623" s="12" t="str">
        <f ca="1">'Planning Engine'!L1339</f>
        <v>Overstock</v>
      </c>
      <c r="M623" s="93">
        <f>'Planning Engine'!S1339</f>
        <v>48427</v>
      </c>
      <c r="N623" s="95">
        <f>'Planning Engine'!T1339</f>
        <v>0</v>
      </c>
      <c r="O623" s="98" t="s">
        <v>2371</v>
      </c>
      <c r="P623" s="4" t="str">
        <f t="shared" ca="1" si="19"/>
        <v>Defer receipts</v>
      </c>
    </row>
    <row r="624" spans="1:16" ht="13" customHeight="1" x14ac:dyDescent="0.35">
      <c r="A624" s="93">
        <v>48580</v>
      </c>
      <c r="B624" s="61" t="s">
        <v>57</v>
      </c>
      <c r="C624" s="12" t="str">
        <f>'Planning Engine'!C1340</f>
        <v>Raw Material</v>
      </c>
      <c r="D624" s="12" t="str">
        <f>'Planning Engine'!D1340</f>
        <v>kg</v>
      </c>
      <c r="E624" s="95">
        <f>'Planning Engine'!E1340</f>
        <v>32.679999999999986</v>
      </c>
      <c r="F624" s="95">
        <f>'Planning Engine'!F1340</f>
        <v>0</v>
      </c>
      <c r="G624" s="95">
        <f>'Planning Engine'!G1340</f>
        <v>0</v>
      </c>
      <c r="H624" s="95">
        <f t="shared" si="18"/>
        <v>0</v>
      </c>
      <c r="I624" s="95">
        <f>'Planning Engine'!H1340</f>
        <v>32.679999999999986</v>
      </c>
      <c r="J624" s="96">
        <f ca="1">'Planning Engine'!J1340</f>
        <v>999</v>
      </c>
      <c r="K624" s="95">
        <f ca="1">'Planning Engine'!K1340</f>
        <v>0</v>
      </c>
      <c r="L624" s="12" t="str">
        <f ca="1">'Planning Engine'!L1340</f>
        <v>Overstock</v>
      </c>
      <c r="M624" s="93">
        <f>'Planning Engine'!S1340</f>
        <v>48458</v>
      </c>
      <c r="N624" s="95">
        <f>'Planning Engine'!T1340</f>
        <v>0</v>
      </c>
      <c r="O624" s="94" t="s">
        <v>2372</v>
      </c>
      <c r="P624" s="12" t="str">
        <f t="shared" ca="1" si="19"/>
        <v>Defer receipts</v>
      </c>
    </row>
    <row r="625" spans="1:16" ht="13" customHeight="1" x14ac:dyDescent="0.35">
      <c r="A625" s="97">
        <v>48611</v>
      </c>
      <c r="B625" s="53" t="s">
        <v>57</v>
      </c>
      <c r="C625" s="12" t="str">
        <f>'Planning Engine'!C1341</f>
        <v>Raw Material</v>
      </c>
      <c r="D625" s="12" t="str">
        <f>'Planning Engine'!D1341</f>
        <v>kg</v>
      </c>
      <c r="E625" s="95">
        <f>'Planning Engine'!E1341</f>
        <v>32.679999999999986</v>
      </c>
      <c r="F625" s="95">
        <f>'Planning Engine'!F1341</f>
        <v>0</v>
      </c>
      <c r="G625" s="95">
        <f>'Planning Engine'!G1341</f>
        <v>0</v>
      </c>
      <c r="H625" s="99">
        <f t="shared" si="18"/>
        <v>0</v>
      </c>
      <c r="I625" s="95">
        <f>'Planning Engine'!H1341</f>
        <v>32.679999999999986</v>
      </c>
      <c r="J625" s="96">
        <f ca="1">'Planning Engine'!J1341</f>
        <v>999</v>
      </c>
      <c r="K625" s="95">
        <f ca="1">'Planning Engine'!K1341</f>
        <v>0</v>
      </c>
      <c r="L625" s="12" t="str">
        <f ca="1">'Planning Engine'!L1341</f>
        <v>Overstock</v>
      </c>
      <c r="M625" s="93">
        <f>'Planning Engine'!S1341</f>
        <v>48488</v>
      </c>
      <c r="N625" s="95">
        <f>'Planning Engine'!T1341</f>
        <v>0</v>
      </c>
      <c r="O625" s="98" t="s">
        <v>2373</v>
      </c>
      <c r="P625" s="4" t="str">
        <f t="shared" ca="1" si="19"/>
        <v>Defer receipts</v>
      </c>
    </row>
    <row r="626" spans="1:16" ht="13" customHeight="1" x14ac:dyDescent="0.35">
      <c r="A626" s="93">
        <v>48639</v>
      </c>
      <c r="B626" s="61" t="s">
        <v>57</v>
      </c>
      <c r="C626" s="12" t="str">
        <f>'Planning Engine'!C1342</f>
        <v>Raw Material</v>
      </c>
      <c r="D626" s="12" t="str">
        <f>'Planning Engine'!D1342</f>
        <v>kg</v>
      </c>
      <c r="E626" s="95">
        <f>'Planning Engine'!E1342</f>
        <v>32.679999999999986</v>
      </c>
      <c r="F626" s="95">
        <f>'Planning Engine'!F1342</f>
        <v>0</v>
      </c>
      <c r="G626" s="95">
        <f>'Planning Engine'!G1342</f>
        <v>0</v>
      </c>
      <c r="H626" s="95">
        <f t="shared" si="18"/>
        <v>0</v>
      </c>
      <c r="I626" s="95">
        <f>'Planning Engine'!H1342</f>
        <v>32.679999999999986</v>
      </c>
      <c r="J626" s="96">
        <f ca="1">'Planning Engine'!J1342</f>
        <v>999</v>
      </c>
      <c r="K626" s="95">
        <f ca="1">'Planning Engine'!K1342</f>
        <v>0</v>
      </c>
      <c r="L626" s="12" t="str">
        <f ca="1">'Planning Engine'!L1342</f>
        <v>Overstock</v>
      </c>
      <c r="M626" s="93">
        <f>'Planning Engine'!S1342</f>
        <v>48519</v>
      </c>
      <c r="N626" s="95">
        <f>'Planning Engine'!T1342</f>
        <v>0</v>
      </c>
      <c r="O626" s="94" t="s">
        <v>2374</v>
      </c>
      <c r="P626" s="12" t="str">
        <f t="shared" ca="1" si="19"/>
        <v>Defer receipts</v>
      </c>
    </row>
    <row r="627" spans="1:16" ht="13" customHeight="1" x14ac:dyDescent="0.35">
      <c r="A627" s="97">
        <v>48670</v>
      </c>
      <c r="B627" s="53" t="s">
        <v>57</v>
      </c>
      <c r="C627" s="12" t="str">
        <f>'Planning Engine'!C1343</f>
        <v>Raw Material</v>
      </c>
      <c r="D627" s="12" t="str">
        <f>'Planning Engine'!D1343</f>
        <v>kg</v>
      </c>
      <c r="E627" s="95">
        <f>'Planning Engine'!E1343</f>
        <v>32.679999999999986</v>
      </c>
      <c r="F627" s="95">
        <f>'Planning Engine'!F1343</f>
        <v>0</v>
      </c>
      <c r="G627" s="95">
        <f>'Planning Engine'!G1343</f>
        <v>0</v>
      </c>
      <c r="H627" s="99">
        <f t="shared" si="18"/>
        <v>0</v>
      </c>
      <c r="I627" s="95">
        <f>'Planning Engine'!H1343</f>
        <v>32.679999999999986</v>
      </c>
      <c r="J627" s="96">
        <f ca="1">'Planning Engine'!J1343</f>
        <v>999</v>
      </c>
      <c r="K627" s="95">
        <f ca="1">'Planning Engine'!K1343</f>
        <v>0</v>
      </c>
      <c r="L627" s="12" t="str">
        <f ca="1">'Planning Engine'!L1343</f>
        <v>Overstock</v>
      </c>
      <c r="M627" s="93">
        <f>'Planning Engine'!S1343</f>
        <v>48549</v>
      </c>
      <c r="N627" s="95">
        <f>'Planning Engine'!T1343</f>
        <v>0</v>
      </c>
      <c r="O627" s="98" t="s">
        <v>2375</v>
      </c>
      <c r="P627" s="4" t="str">
        <f t="shared" ca="1" si="19"/>
        <v>Defer receipts</v>
      </c>
    </row>
    <row r="628" spans="1:16" ht="13" customHeight="1" x14ac:dyDescent="0.35">
      <c r="A628" s="93">
        <v>48700</v>
      </c>
      <c r="B628" s="61" t="s">
        <v>57</v>
      </c>
      <c r="C628" s="12" t="str">
        <f>'Planning Engine'!C1344</f>
        <v>Raw Material</v>
      </c>
      <c r="D628" s="12" t="str">
        <f>'Planning Engine'!D1344</f>
        <v>kg</v>
      </c>
      <c r="E628" s="95">
        <f>'Planning Engine'!E1344</f>
        <v>32.679999999999986</v>
      </c>
      <c r="F628" s="95">
        <f>'Planning Engine'!F1344</f>
        <v>0</v>
      </c>
      <c r="G628" s="95">
        <f>'Planning Engine'!G1344</f>
        <v>0</v>
      </c>
      <c r="H628" s="95">
        <f t="shared" si="18"/>
        <v>0</v>
      </c>
      <c r="I628" s="95">
        <f>'Planning Engine'!H1344</f>
        <v>32.679999999999986</v>
      </c>
      <c r="J628" s="96">
        <f ca="1">'Planning Engine'!J1344</f>
        <v>999</v>
      </c>
      <c r="K628" s="95">
        <f ca="1">'Planning Engine'!K1344</f>
        <v>0</v>
      </c>
      <c r="L628" s="12" t="str">
        <f ca="1">'Planning Engine'!L1344</f>
        <v>Overstock</v>
      </c>
      <c r="M628" s="93">
        <f>'Planning Engine'!S1344</f>
        <v>48580</v>
      </c>
      <c r="N628" s="95">
        <f>'Planning Engine'!T1344</f>
        <v>0</v>
      </c>
      <c r="O628" s="94" t="s">
        <v>2376</v>
      </c>
      <c r="P628" s="12" t="str">
        <f t="shared" ca="1" si="19"/>
        <v>Defer receipts</v>
      </c>
    </row>
    <row r="629" spans="1:16" ht="13" customHeight="1" x14ac:dyDescent="0.35">
      <c r="A629" s="97">
        <v>48731</v>
      </c>
      <c r="B629" s="53" t="s">
        <v>57</v>
      </c>
      <c r="C629" s="12" t="str">
        <f>'Planning Engine'!C1345</f>
        <v>Raw Material</v>
      </c>
      <c r="D629" s="12" t="str">
        <f>'Planning Engine'!D1345</f>
        <v>kg</v>
      </c>
      <c r="E629" s="95">
        <f>'Planning Engine'!E1345</f>
        <v>32.679999999999986</v>
      </c>
      <c r="F629" s="95">
        <f>'Planning Engine'!F1345</f>
        <v>0</v>
      </c>
      <c r="G629" s="95">
        <f>'Planning Engine'!G1345</f>
        <v>0</v>
      </c>
      <c r="H629" s="99">
        <f t="shared" si="18"/>
        <v>0</v>
      </c>
      <c r="I629" s="95">
        <f>'Planning Engine'!H1345</f>
        <v>32.679999999999986</v>
      </c>
      <c r="J629" s="96">
        <f ca="1">'Planning Engine'!J1345</f>
        <v>999</v>
      </c>
      <c r="K629" s="95">
        <f ca="1">'Planning Engine'!K1345</f>
        <v>0</v>
      </c>
      <c r="L629" s="12" t="str">
        <f ca="1">'Planning Engine'!L1345</f>
        <v>Overstock</v>
      </c>
      <c r="M629" s="93">
        <f>'Planning Engine'!S1345</f>
        <v>48611</v>
      </c>
      <c r="N629" s="95">
        <f>'Planning Engine'!T1345</f>
        <v>0</v>
      </c>
      <c r="O629" s="98" t="s">
        <v>2377</v>
      </c>
      <c r="P629" s="4" t="str">
        <f t="shared" ca="1" si="19"/>
        <v>Defer receipts</v>
      </c>
    </row>
    <row r="630" spans="1:16" ht="13" customHeight="1" x14ac:dyDescent="0.35">
      <c r="A630" s="93">
        <v>48761</v>
      </c>
      <c r="B630" s="61" t="s">
        <v>57</v>
      </c>
      <c r="C630" s="12" t="str">
        <f>'Planning Engine'!C1346</f>
        <v>Raw Material</v>
      </c>
      <c r="D630" s="12" t="str">
        <f>'Planning Engine'!D1346</f>
        <v>kg</v>
      </c>
      <c r="E630" s="95">
        <f>'Planning Engine'!E1346</f>
        <v>32.679999999999986</v>
      </c>
      <c r="F630" s="95">
        <f>'Planning Engine'!F1346</f>
        <v>0</v>
      </c>
      <c r="G630" s="95">
        <f>'Planning Engine'!G1346</f>
        <v>0</v>
      </c>
      <c r="H630" s="95">
        <f t="shared" si="18"/>
        <v>0</v>
      </c>
      <c r="I630" s="95">
        <f>'Planning Engine'!H1346</f>
        <v>32.679999999999986</v>
      </c>
      <c r="J630" s="96">
        <f ca="1">'Planning Engine'!J1346</f>
        <v>999</v>
      </c>
      <c r="K630" s="95">
        <f ca="1">'Planning Engine'!K1346</f>
        <v>0</v>
      </c>
      <c r="L630" s="12" t="str">
        <f ca="1">'Planning Engine'!L1346</f>
        <v>Overstock</v>
      </c>
      <c r="M630" s="93">
        <f>'Planning Engine'!S1346</f>
        <v>48639</v>
      </c>
      <c r="N630" s="95">
        <f>'Planning Engine'!T1346</f>
        <v>0</v>
      </c>
      <c r="O630" s="94" t="s">
        <v>2378</v>
      </c>
      <c r="P630" s="12" t="str">
        <f t="shared" ca="1" si="19"/>
        <v>Defer receipts</v>
      </c>
    </row>
    <row r="631" spans="1:16" ht="13" customHeight="1" x14ac:dyDescent="0.35">
      <c r="A631" s="97">
        <v>48792</v>
      </c>
      <c r="B631" s="53" t="s">
        <v>57</v>
      </c>
      <c r="C631" s="12" t="str">
        <f>'Planning Engine'!C1347</f>
        <v>Raw Material</v>
      </c>
      <c r="D631" s="12" t="str">
        <f>'Planning Engine'!D1347</f>
        <v>kg</v>
      </c>
      <c r="E631" s="95">
        <f>'Planning Engine'!E1347</f>
        <v>32.679999999999986</v>
      </c>
      <c r="F631" s="95">
        <f>'Planning Engine'!F1347</f>
        <v>0</v>
      </c>
      <c r="G631" s="95">
        <f>'Planning Engine'!G1347</f>
        <v>0</v>
      </c>
      <c r="H631" s="99">
        <f t="shared" si="18"/>
        <v>0</v>
      </c>
      <c r="I631" s="95">
        <f>'Planning Engine'!H1347</f>
        <v>32.679999999999986</v>
      </c>
      <c r="J631" s="96">
        <f ca="1">'Planning Engine'!J1347</f>
        <v>999</v>
      </c>
      <c r="K631" s="95">
        <f ca="1">'Planning Engine'!K1347</f>
        <v>0</v>
      </c>
      <c r="L631" s="12" t="str">
        <f ca="1">'Planning Engine'!L1347</f>
        <v>Overstock</v>
      </c>
      <c r="M631" s="93">
        <f>'Planning Engine'!S1347</f>
        <v>48670</v>
      </c>
      <c r="N631" s="95">
        <f>'Planning Engine'!T1347</f>
        <v>0</v>
      </c>
      <c r="O631" s="98" t="s">
        <v>2379</v>
      </c>
      <c r="P631" s="4" t="str">
        <f t="shared" ca="1" si="19"/>
        <v>Defer receipts</v>
      </c>
    </row>
    <row r="632" spans="1:16" ht="13" customHeight="1" x14ac:dyDescent="0.35">
      <c r="A632" s="93">
        <v>48823</v>
      </c>
      <c r="B632" s="61" t="s">
        <v>57</v>
      </c>
      <c r="C632" s="12" t="str">
        <f>'Planning Engine'!C1348</f>
        <v>Raw Material</v>
      </c>
      <c r="D632" s="12" t="str">
        <f>'Planning Engine'!D1348</f>
        <v>kg</v>
      </c>
      <c r="E632" s="95">
        <f>'Planning Engine'!E1348</f>
        <v>32.679999999999986</v>
      </c>
      <c r="F632" s="95">
        <f>'Planning Engine'!F1348</f>
        <v>0</v>
      </c>
      <c r="G632" s="95">
        <f>'Planning Engine'!G1348</f>
        <v>0</v>
      </c>
      <c r="H632" s="95">
        <f t="shared" si="18"/>
        <v>0</v>
      </c>
      <c r="I632" s="95">
        <f>'Planning Engine'!H1348</f>
        <v>32.679999999999986</v>
      </c>
      <c r="J632" s="96">
        <f ca="1">'Planning Engine'!J1348</f>
        <v>999</v>
      </c>
      <c r="K632" s="95">
        <f ca="1">'Planning Engine'!K1348</f>
        <v>0</v>
      </c>
      <c r="L632" s="12" t="str">
        <f ca="1">'Planning Engine'!L1348</f>
        <v>Overstock</v>
      </c>
      <c r="M632" s="93">
        <f>'Planning Engine'!S1348</f>
        <v>48700</v>
      </c>
      <c r="N632" s="95">
        <f>'Planning Engine'!T1348</f>
        <v>0</v>
      </c>
      <c r="O632" s="94" t="s">
        <v>2380</v>
      </c>
      <c r="P632" s="12" t="str">
        <f t="shared" ca="1" si="19"/>
        <v>Defer receipts</v>
      </c>
    </row>
    <row r="633" spans="1:16" ht="13" customHeight="1" x14ac:dyDescent="0.35">
      <c r="A633" s="97">
        <v>48853</v>
      </c>
      <c r="B633" s="53" t="s">
        <v>57</v>
      </c>
      <c r="C633" s="12" t="str">
        <f>'Planning Engine'!C1349</f>
        <v>Raw Material</v>
      </c>
      <c r="D633" s="12" t="str">
        <f>'Planning Engine'!D1349</f>
        <v>kg</v>
      </c>
      <c r="E633" s="95">
        <f>'Planning Engine'!E1349</f>
        <v>32.679999999999986</v>
      </c>
      <c r="F633" s="95">
        <f>'Planning Engine'!F1349</f>
        <v>0</v>
      </c>
      <c r="G633" s="95">
        <f>'Planning Engine'!G1349</f>
        <v>0</v>
      </c>
      <c r="H633" s="99">
        <f t="shared" si="18"/>
        <v>0</v>
      </c>
      <c r="I633" s="95">
        <f>'Planning Engine'!H1349</f>
        <v>32.679999999999986</v>
      </c>
      <c r="J633" s="96">
        <f ca="1">'Planning Engine'!J1349</f>
        <v>999</v>
      </c>
      <c r="K633" s="95">
        <f ca="1">'Planning Engine'!K1349</f>
        <v>0</v>
      </c>
      <c r="L633" s="12" t="str">
        <f ca="1">'Planning Engine'!L1349</f>
        <v>Overstock</v>
      </c>
      <c r="M633" s="93">
        <f>'Planning Engine'!S1349</f>
        <v>48731</v>
      </c>
      <c r="N633" s="95">
        <f>'Planning Engine'!T1349</f>
        <v>0</v>
      </c>
      <c r="O633" s="98" t="s">
        <v>2381</v>
      </c>
      <c r="P633" s="4" t="str">
        <f t="shared" ca="1" si="19"/>
        <v>Defer receipts</v>
      </c>
    </row>
    <row r="634" spans="1:16" ht="13" customHeight="1" x14ac:dyDescent="0.35">
      <c r="A634" s="93">
        <v>48884</v>
      </c>
      <c r="B634" s="61" t="s">
        <v>57</v>
      </c>
      <c r="C634" s="12" t="str">
        <f>'Planning Engine'!C1350</f>
        <v>Raw Material</v>
      </c>
      <c r="D634" s="12" t="str">
        <f>'Planning Engine'!D1350</f>
        <v>kg</v>
      </c>
      <c r="E634" s="95">
        <f>'Planning Engine'!E1350</f>
        <v>32.679999999999986</v>
      </c>
      <c r="F634" s="95">
        <f>'Planning Engine'!F1350</f>
        <v>0</v>
      </c>
      <c r="G634" s="95">
        <f>'Planning Engine'!G1350</f>
        <v>0</v>
      </c>
      <c r="H634" s="95">
        <f t="shared" si="18"/>
        <v>0</v>
      </c>
      <c r="I634" s="95">
        <f>'Planning Engine'!H1350</f>
        <v>32.679999999999986</v>
      </c>
      <c r="J634" s="96">
        <f ca="1">'Planning Engine'!J1350</f>
        <v>999</v>
      </c>
      <c r="K634" s="95">
        <f ca="1">'Planning Engine'!K1350</f>
        <v>0</v>
      </c>
      <c r="L634" s="12" t="str">
        <f ca="1">'Planning Engine'!L1350</f>
        <v>Overstock</v>
      </c>
      <c r="M634" s="93">
        <f>'Planning Engine'!S1350</f>
        <v>48761</v>
      </c>
      <c r="N634" s="95">
        <f>'Planning Engine'!T1350</f>
        <v>0</v>
      </c>
      <c r="O634" s="94" t="s">
        <v>2382</v>
      </c>
      <c r="P634" s="12" t="str">
        <f t="shared" ca="1" si="19"/>
        <v>Defer receipts</v>
      </c>
    </row>
    <row r="635" spans="1:16" ht="13" customHeight="1" x14ac:dyDescent="0.35">
      <c r="A635" s="97">
        <v>48914</v>
      </c>
      <c r="B635" s="53" t="s">
        <v>57</v>
      </c>
      <c r="C635" s="12" t="str">
        <f>'Planning Engine'!C1351</f>
        <v>Raw Material</v>
      </c>
      <c r="D635" s="12" t="str">
        <f>'Planning Engine'!D1351</f>
        <v>kg</v>
      </c>
      <c r="E635" s="95">
        <f>'Planning Engine'!E1351</f>
        <v>32.679999999999986</v>
      </c>
      <c r="F635" s="95">
        <f>'Planning Engine'!F1351</f>
        <v>0</v>
      </c>
      <c r="G635" s="95">
        <f>'Planning Engine'!G1351</f>
        <v>0</v>
      </c>
      <c r="H635" s="99">
        <f t="shared" si="18"/>
        <v>0</v>
      </c>
      <c r="I635" s="95">
        <f>'Planning Engine'!H1351</f>
        <v>32.679999999999986</v>
      </c>
      <c r="J635" s="96">
        <f ca="1">'Planning Engine'!J1351</f>
        <v>999</v>
      </c>
      <c r="K635" s="95">
        <f ca="1">'Planning Engine'!K1351</f>
        <v>0</v>
      </c>
      <c r="L635" s="12" t="str">
        <f ca="1">'Planning Engine'!L1351</f>
        <v>Overstock</v>
      </c>
      <c r="M635" s="93">
        <f>'Planning Engine'!S1351</f>
        <v>48792</v>
      </c>
      <c r="N635" s="95">
        <f>'Planning Engine'!T1351</f>
        <v>0</v>
      </c>
      <c r="O635" s="98" t="s">
        <v>2383</v>
      </c>
      <c r="P635" s="4" t="str">
        <f t="shared" ca="1" si="19"/>
        <v>Defer receipts</v>
      </c>
    </row>
    <row r="636" spans="1:16" ht="13" customHeight="1" x14ac:dyDescent="0.35">
      <c r="A636" s="93">
        <v>48945</v>
      </c>
      <c r="B636" s="61" t="s">
        <v>57</v>
      </c>
      <c r="C636" s="12" t="str">
        <f>'Planning Engine'!C1352</f>
        <v>Raw Material</v>
      </c>
      <c r="D636" s="12" t="str">
        <f>'Planning Engine'!D1352</f>
        <v>kg</v>
      </c>
      <c r="E636" s="95">
        <f>'Planning Engine'!E1352</f>
        <v>32.679999999999986</v>
      </c>
      <c r="F636" s="95">
        <f>'Planning Engine'!F1352</f>
        <v>0</v>
      </c>
      <c r="G636" s="95">
        <f>'Planning Engine'!G1352</f>
        <v>0</v>
      </c>
      <c r="H636" s="95">
        <f t="shared" si="18"/>
        <v>0</v>
      </c>
      <c r="I636" s="95">
        <f>'Planning Engine'!H1352</f>
        <v>32.679999999999986</v>
      </c>
      <c r="J636" s="96">
        <f ca="1">'Planning Engine'!J1352</f>
        <v>999</v>
      </c>
      <c r="K636" s="95">
        <f ca="1">'Planning Engine'!K1352</f>
        <v>0</v>
      </c>
      <c r="L636" s="12" t="str">
        <f ca="1">'Planning Engine'!L1352</f>
        <v>Overstock</v>
      </c>
      <c r="M636" s="93">
        <f>'Planning Engine'!S1352</f>
        <v>48823</v>
      </c>
      <c r="N636" s="95">
        <f>'Planning Engine'!T1352</f>
        <v>0</v>
      </c>
      <c r="O636" s="94" t="s">
        <v>2384</v>
      </c>
      <c r="P636" s="12" t="str">
        <f t="shared" ca="1" si="19"/>
        <v>Defer receipts</v>
      </c>
    </row>
    <row r="637" spans="1:16" ht="13" customHeight="1" x14ac:dyDescent="0.35">
      <c r="A637" s="97">
        <v>48976</v>
      </c>
      <c r="B637" s="53" t="s">
        <v>57</v>
      </c>
      <c r="C637" s="12" t="str">
        <f>'Planning Engine'!C1353</f>
        <v>Raw Material</v>
      </c>
      <c r="D637" s="12" t="str">
        <f>'Planning Engine'!D1353</f>
        <v>kg</v>
      </c>
      <c r="E637" s="95">
        <f>'Planning Engine'!E1353</f>
        <v>32.679999999999986</v>
      </c>
      <c r="F637" s="95">
        <f>'Planning Engine'!F1353</f>
        <v>0</v>
      </c>
      <c r="G637" s="95">
        <f>'Planning Engine'!G1353</f>
        <v>0</v>
      </c>
      <c r="H637" s="99">
        <f t="shared" si="18"/>
        <v>0</v>
      </c>
      <c r="I637" s="95">
        <f>'Planning Engine'!H1353</f>
        <v>32.679999999999986</v>
      </c>
      <c r="J637" s="96">
        <f ca="1">'Planning Engine'!J1353</f>
        <v>999</v>
      </c>
      <c r="K637" s="95">
        <f ca="1">'Planning Engine'!K1353</f>
        <v>0</v>
      </c>
      <c r="L637" s="12" t="str">
        <f ca="1">'Planning Engine'!L1353</f>
        <v>Overstock</v>
      </c>
      <c r="M637" s="93">
        <f>'Planning Engine'!S1353</f>
        <v>48853</v>
      </c>
      <c r="N637" s="95">
        <f>'Planning Engine'!T1353</f>
        <v>0</v>
      </c>
      <c r="O637" s="98" t="s">
        <v>2385</v>
      </c>
      <c r="P637" s="4" t="str">
        <f t="shared" ca="1" si="19"/>
        <v>Defer receipts</v>
      </c>
    </row>
    <row r="638" spans="1:16" ht="13" customHeight="1" x14ac:dyDescent="0.35">
      <c r="A638" s="93">
        <v>49004</v>
      </c>
      <c r="B638" s="61" t="s">
        <v>57</v>
      </c>
      <c r="C638" s="12" t="str">
        <f>'Planning Engine'!C1354</f>
        <v>Raw Material</v>
      </c>
      <c r="D638" s="12" t="str">
        <f>'Planning Engine'!D1354</f>
        <v>kg</v>
      </c>
      <c r="E638" s="95">
        <f>'Planning Engine'!E1354</f>
        <v>32.679999999999986</v>
      </c>
      <c r="F638" s="95">
        <f>'Planning Engine'!F1354</f>
        <v>0</v>
      </c>
      <c r="G638" s="95">
        <f>'Planning Engine'!G1354</f>
        <v>0</v>
      </c>
      <c r="H638" s="95">
        <f t="shared" si="18"/>
        <v>0</v>
      </c>
      <c r="I638" s="95">
        <f>'Planning Engine'!H1354</f>
        <v>32.679999999999986</v>
      </c>
      <c r="J638" s="96">
        <f ca="1">'Planning Engine'!J1354</f>
        <v>999</v>
      </c>
      <c r="K638" s="95">
        <f ca="1">'Planning Engine'!K1354</f>
        <v>0</v>
      </c>
      <c r="L638" s="12" t="str">
        <f ca="1">'Planning Engine'!L1354</f>
        <v>Overstock</v>
      </c>
      <c r="M638" s="93">
        <f>'Planning Engine'!S1354</f>
        <v>48884</v>
      </c>
      <c r="N638" s="95">
        <f>'Planning Engine'!T1354</f>
        <v>0</v>
      </c>
      <c r="O638" s="94" t="s">
        <v>2386</v>
      </c>
      <c r="P638" s="12" t="str">
        <f t="shared" ca="1" si="19"/>
        <v>Defer receipts</v>
      </c>
    </row>
    <row r="639" spans="1:16" ht="13" customHeight="1" x14ac:dyDescent="0.35">
      <c r="A639" s="97">
        <v>49035</v>
      </c>
      <c r="B639" s="53" t="s">
        <v>57</v>
      </c>
      <c r="C639" s="12" t="str">
        <f>'Planning Engine'!C1355</f>
        <v>Raw Material</v>
      </c>
      <c r="D639" s="12" t="str">
        <f>'Planning Engine'!D1355</f>
        <v>kg</v>
      </c>
      <c r="E639" s="95">
        <f>'Planning Engine'!E1355</f>
        <v>32.679999999999986</v>
      </c>
      <c r="F639" s="95">
        <f>'Planning Engine'!F1355</f>
        <v>0</v>
      </c>
      <c r="G639" s="95">
        <f>'Planning Engine'!G1355</f>
        <v>0</v>
      </c>
      <c r="H639" s="99">
        <f t="shared" si="18"/>
        <v>0</v>
      </c>
      <c r="I639" s="95">
        <f>'Planning Engine'!H1355</f>
        <v>32.679999999999986</v>
      </c>
      <c r="J639" s="96">
        <f ca="1">'Planning Engine'!J1355</f>
        <v>999</v>
      </c>
      <c r="K639" s="95">
        <f ca="1">'Planning Engine'!K1355</f>
        <v>0</v>
      </c>
      <c r="L639" s="12" t="str">
        <f ca="1">'Planning Engine'!L1355</f>
        <v>Overstock</v>
      </c>
      <c r="M639" s="93">
        <f>'Planning Engine'!S1355</f>
        <v>48914</v>
      </c>
      <c r="N639" s="95">
        <f>'Planning Engine'!T1355</f>
        <v>0</v>
      </c>
      <c r="O639" s="98" t="s">
        <v>2387</v>
      </c>
      <c r="P639" s="4" t="str">
        <f t="shared" ca="1" si="19"/>
        <v>Defer receipts</v>
      </c>
    </row>
    <row r="640" spans="1:16" ht="13" customHeight="1" x14ac:dyDescent="0.35">
      <c r="A640" s="93">
        <v>49065</v>
      </c>
      <c r="B640" s="61" t="s">
        <v>57</v>
      </c>
      <c r="C640" s="12" t="str">
        <f>'Planning Engine'!C1356</f>
        <v>Raw Material</v>
      </c>
      <c r="D640" s="12" t="str">
        <f>'Planning Engine'!D1356</f>
        <v>kg</v>
      </c>
      <c r="E640" s="95">
        <f>'Planning Engine'!E1356</f>
        <v>32.679999999999986</v>
      </c>
      <c r="F640" s="95">
        <f>'Planning Engine'!F1356</f>
        <v>0</v>
      </c>
      <c r="G640" s="95">
        <f>'Planning Engine'!G1356</f>
        <v>0</v>
      </c>
      <c r="H640" s="95">
        <f t="shared" si="18"/>
        <v>0</v>
      </c>
      <c r="I640" s="95">
        <f>'Planning Engine'!H1356</f>
        <v>32.679999999999986</v>
      </c>
      <c r="J640" s="96">
        <f ca="1">'Planning Engine'!J1356</f>
        <v>999</v>
      </c>
      <c r="K640" s="95">
        <f ca="1">'Planning Engine'!K1356</f>
        <v>0</v>
      </c>
      <c r="L640" s="12" t="str">
        <f ca="1">'Planning Engine'!L1356</f>
        <v>Overstock</v>
      </c>
      <c r="M640" s="93">
        <f>'Planning Engine'!S1356</f>
        <v>48945</v>
      </c>
      <c r="N640" s="95">
        <f>'Planning Engine'!T1356</f>
        <v>0</v>
      </c>
      <c r="O640" s="94" t="s">
        <v>2388</v>
      </c>
      <c r="P640" s="12" t="str">
        <f t="shared" ca="1" si="19"/>
        <v>Defer receipts</v>
      </c>
    </row>
    <row r="641" spans="1:16" ht="13" customHeight="1" x14ac:dyDescent="0.35">
      <c r="A641" s="97">
        <v>49096</v>
      </c>
      <c r="B641" s="53" t="s">
        <v>57</v>
      </c>
      <c r="C641" s="12" t="str">
        <f>'Planning Engine'!C1357</f>
        <v>Raw Material</v>
      </c>
      <c r="D641" s="12" t="str">
        <f>'Planning Engine'!D1357</f>
        <v>kg</v>
      </c>
      <c r="E641" s="95">
        <f>'Planning Engine'!E1357</f>
        <v>32.679999999999986</v>
      </c>
      <c r="F641" s="95">
        <f>'Planning Engine'!F1357</f>
        <v>0</v>
      </c>
      <c r="G641" s="95">
        <f>'Planning Engine'!G1357</f>
        <v>0</v>
      </c>
      <c r="H641" s="99">
        <f t="shared" si="18"/>
        <v>0</v>
      </c>
      <c r="I641" s="95">
        <f>'Planning Engine'!H1357</f>
        <v>32.679999999999986</v>
      </c>
      <c r="J641" s="96">
        <f ca="1">'Planning Engine'!J1357</f>
        <v>999</v>
      </c>
      <c r="K641" s="95">
        <f ca="1">'Planning Engine'!K1357</f>
        <v>0</v>
      </c>
      <c r="L641" s="12" t="str">
        <f ca="1">'Planning Engine'!L1357</f>
        <v>Overstock</v>
      </c>
      <c r="M641" s="93">
        <f>'Planning Engine'!S1357</f>
        <v>48976</v>
      </c>
      <c r="N641" s="95">
        <f>'Planning Engine'!T1357</f>
        <v>0</v>
      </c>
      <c r="O641" s="98" t="s">
        <v>2389</v>
      </c>
      <c r="P641" s="4" t="str">
        <f t="shared" ca="1" si="19"/>
        <v>Defer receipts</v>
      </c>
    </row>
    <row r="642" spans="1:16" ht="13" customHeight="1" x14ac:dyDescent="0.35">
      <c r="A642" s="93">
        <v>49126</v>
      </c>
      <c r="B642" s="61" t="s">
        <v>57</v>
      </c>
      <c r="C642" s="12" t="str">
        <f>'Planning Engine'!C1358</f>
        <v>Raw Material</v>
      </c>
      <c r="D642" s="12" t="str">
        <f>'Planning Engine'!D1358</f>
        <v>kg</v>
      </c>
      <c r="E642" s="95">
        <f>'Planning Engine'!E1358</f>
        <v>32.679999999999986</v>
      </c>
      <c r="F642" s="95">
        <f>'Planning Engine'!F1358</f>
        <v>0</v>
      </c>
      <c r="G642" s="95">
        <f>'Planning Engine'!G1358</f>
        <v>0</v>
      </c>
      <c r="H642" s="95">
        <f t="shared" si="18"/>
        <v>0</v>
      </c>
      <c r="I642" s="95">
        <f>'Planning Engine'!H1358</f>
        <v>32.679999999999986</v>
      </c>
      <c r="J642" s="96">
        <f ca="1">'Planning Engine'!J1358</f>
        <v>999</v>
      </c>
      <c r="K642" s="95">
        <f ca="1">'Planning Engine'!K1358</f>
        <v>0</v>
      </c>
      <c r="L642" s="12" t="str">
        <f ca="1">'Planning Engine'!L1358</f>
        <v>Overstock</v>
      </c>
      <c r="M642" s="93">
        <f>'Planning Engine'!S1358</f>
        <v>49004</v>
      </c>
      <c r="N642" s="95">
        <f>'Planning Engine'!T1358</f>
        <v>0</v>
      </c>
      <c r="O642" s="94" t="s">
        <v>2390</v>
      </c>
      <c r="P642" s="12" t="str">
        <f t="shared" ca="1" si="19"/>
        <v>Defer receipts</v>
      </c>
    </row>
    <row r="643" spans="1:16" ht="13" customHeight="1" x14ac:dyDescent="0.35">
      <c r="A643" s="97">
        <v>49157</v>
      </c>
      <c r="B643" s="53" t="s">
        <v>57</v>
      </c>
      <c r="C643" s="12" t="str">
        <f>'Planning Engine'!C1359</f>
        <v>Raw Material</v>
      </c>
      <c r="D643" s="12" t="str">
        <f>'Planning Engine'!D1359</f>
        <v>kg</v>
      </c>
      <c r="E643" s="95">
        <f>'Planning Engine'!E1359</f>
        <v>32.679999999999986</v>
      </c>
      <c r="F643" s="95">
        <f>'Planning Engine'!F1359</f>
        <v>0</v>
      </c>
      <c r="G643" s="95">
        <f>'Planning Engine'!G1359</f>
        <v>0</v>
      </c>
      <c r="H643" s="99">
        <f t="shared" si="18"/>
        <v>0</v>
      </c>
      <c r="I643" s="95">
        <f>'Planning Engine'!H1359</f>
        <v>32.679999999999986</v>
      </c>
      <c r="J643" s="96">
        <f ca="1">'Planning Engine'!J1359</f>
        <v>999</v>
      </c>
      <c r="K643" s="95">
        <f ca="1">'Planning Engine'!K1359</f>
        <v>0</v>
      </c>
      <c r="L643" s="12" t="str">
        <f ca="1">'Planning Engine'!L1359</f>
        <v>Overstock</v>
      </c>
      <c r="M643" s="93">
        <f>'Planning Engine'!S1359</f>
        <v>49035</v>
      </c>
      <c r="N643" s="95">
        <f>'Planning Engine'!T1359</f>
        <v>0</v>
      </c>
      <c r="O643" s="98" t="s">
        <v>2391</v>
      </c>
      <c r="P643" s="4" t="str">
        <f t="shared" ca="1" si="19"/>
        <v>Defer receipts</v>
      </c>
    </row>
    <row r="644" spans="1:16" ht="13" customHeight="1" x14ac:dyDescent="0.35">
      <c r="A644" s="93">
        <v>49188</v>
      </c>
      <c r="B644" s="61" t="s">
        <v>57</v>
      </c>
      <c r="C644" s="12" t="str">
        <f>'Planning Engine'!C1360</f>
        <v>Raw Material</v>
      </c>
      <c r="D644" s="12" t="str">
        <f>'Planning Engine'!D1360</f>
        <v>kg</v>
      </c>
      <c r="E644" s="95">
        <f>'Planning Engine'!E1360</f>
        <v>32.679999999999986</v>
      </c>
      <c r="F644" s="95">
        <f>'Planning Engine'!F1360</f>
        <v>0</v>
      </c>
      <c r="G644" s="95">
        <f>'Planning Engine'!G1360</f>
        <v>0</v>
      </c>
      <c r="H644" s="95">
        <f t="shared" ref="H644:H707" si="20">G644-F644</f>
        <v>0</v>
      </c>
      <c r="I644" s="95">
        <f>'Planning Engine'!H1360</f>
        <v>32.679999999999986</v>
      </c>
      <c r="J644" s="96">
        <f ca="1">'Planning Engine'!J1360</f>
        <v>999</v>
      </c>
      <c r="K644" s="95">
        <f ca="1">'Planning Engine'!K1360</f>
        <v>0</v>
      </c>
      <c r="L644" s="12" t="str">
        <f ca="1">'Planning Engine'!L1360</f>
        <v>Overstock</v>
      </c>
      <c r="M644" s="93">
        <f>'Planning Engine'!S1360</f>
        <v>49065</v>
      </c>
      <c r="N644" s="95">
        <f>'Planning Engine'!T1360</f>
        <v>0</v>
      </c>
      <c r="O644" s="94" t="s">
        <v>2392</v>
      </c>
      <c r="P644" s="12" t="str">
        <f t="shared" ref="P644:P707" ca="1" si="21">IFERROR(IF(L644="High","⚠ Expedite / qualify alternate source",IF(L644="Medium","Monitor — plan additional POs",IF(L644="Overstock","Defer receipts","OK"))),"--")</f>
        <v>Defer receipts</v>
      </c>
    </row>
    <row r="645" spans="1:16" ht="13" customHeight="1" x14ac:dyDescent="0.35">
      <c r="A645" s="97">
        <v>49218</v>
      </c>
      <c r="B645" s="53" t="s">
        <v>57</v>
      </c>
      <c r="C645" s="12" t="str">
        <f>'Planning Engine'!C1361</f>
        <v>Raw Material</v>
      </c>
      <c r="D645" s="12" t="str">
        <f>'Planning Engine'!D1361</f>
        <v>kg</v>
      </c>
      <c r="E645" s="95">
        <f>'Planning Engine'!E1361</f>
        <v>32.679999999999986</v>
      </c>
      <c r="F645" s="95">
        <f>'Planning Engine'!F1361</f>
        <v>0</v>
      </c>
      <c r="G645" s="95">
        <f>'Planning Engine'!G1361</f>
        <v>0</v>
      </c>
      <c r="H645" s="99">
        <f t="shared" si="20"/>
        <v>0</v>
      </c>
      <c r="I645" s="95">
        <f>'Planning Engine'!H1361</f>
        <v>32.679999999999986</v>
      </c>
      <c r="J645" s="96">
        <f ca="1">'Planning Engine'!J1361</f>
        <v>999</v>
      </c>
      <c r="K645" s="95">
        <f ca="1">'Planning Engine'!K1361</f>
        <v>0</v>
      </c>
      <c r="L645" s="12" t="str">
        <f ca="1">'Planning Engine'!L1361</f>
        <v>Overstock</v>
      </c>
      <c r="M645" s="93">
        <f>'Planning Engine'!S1361</f>
        <v>49096</v>
      </c>
      <c r="N645" s="95">
        <f>'Planning Engine'!T1361</f>
        <v>0</v>
      </c>
      <c r="O645" s="98" t="s">
        <v>2393</v>
      </c>
      <c r="P645" s="4" t="str">
        <f t="shared" ca="1" si="21"/>
        <v>Defer receipts</v>
      </c>
    </row>
    <row r="646" spans="1:16" ht="13" customHeight="1" x14ac:dyDescent="0.35">
      <c r="A646" s="93">
        <v>49249</v>
      </c>
      <c r="B646" s="61" t="s">
        <v>57</v>
      </c>
      <c r="C646" s="12" t="str">
        <f>'Planning Engine'!C1362</f>
        <v>Raw Material</v>
      </c>
      <c r="D646" s="12" t="str">
        <f>'Planning Engine'!D1362</f>
        <v>kg</v>
      </c>
      <c r="E646" s="95">
        <f>'Planning Engine'!E1362</f>
        <v>32.679999999999986</v>
      </c>
      <c r="F646" s="95">
        <f>'Planning Engine'!F1362</f>
        <v>0</v>
      </c>
      <c r="G646" s="95">
        <f>'Planning Engine'!G1362</f>
        <v>0</v>
      </c>
      <c r="H646" s="95">
        <f t="shared" si="20"/>
        <v>0</v>
      </c>
      <c r="I646" s="95">
        <f>'Planning Engine'!H1362</f>
        <v>32.679999999999986</v>
      </c>
      <c r="J646" s="96">
        <f ca="1">'Planning Engine'!J1362</f>
        <v>999</v>
      </c>
      <c r="K646" s="95">
        <f ca="1">'Planning Engine'!K1362</f>
        <v>0</v>
      </c>
      <c r="L646" s="12" t="str">
        <f ca="1">'Planning Engine'!L1362</f>
        <v>Overstock</v>
      </c>
      <c r="M646" s="93">
        <f>'Planning Engine'!S1362</f>
        <v>49126</v>
      </c>
      <c r="N646" s="95">
        <f>'Planning Engine'!T1362</f>
        <v>0</v>
      </c>
      <c r="O646" s="94" t="s">
        <v>2394</v>
      </c>
      <c r="P646" s="12" t="str">
        <f t="shared" ca="1" si="21"/>
        <v>Defer receipts</v>
      </c>
    </row>
    <row r="647" spans="1:16" ht="13" customHeight="1" x14ac:dyDescent="0.35">
      <c r="A647" s="97">
        <v>49279</v>
      </c>
      <c r="B647" s="53" t="s">
        <v>57</v>
      </c>
      <c r="C647" s="12" t="str">
        <f>'Planning Engine'!C1363</f>
        <v>Raw Material</v>
      </c>
      <c r="D647" s="12" t="str">
        <f>'Planning Engine'!D1363</f>
        <v>kg</v>
      </c>
      <c r="E647" s="95">
        <f>'Planning Engine'!E1363</f>
        <v>32.679999999999986</v>
      </c>
      <c r="F647" s="95">
        <f>'Planning Engine'!F1363</f>
        <v>0</v>
      </c>
      <c r="G647" s="95">
        <f>'Planning Engine'!G1363</f>
        <v>0</v>
      </c>
      <c r="H647" s="99">
        <f t="shared" si="20"/>
        <v>0</v>
      </c>
      <c r="I647" s="95">
        <f>'Planning Engine'!H1363</f>
        <v>32.679999999999986</v>
      </c>
      <c r="J647" s="96">
        <f ca="1">'Planning Engine'!J1363</f>
        <v>999</v>
      </c>
      <c r="K647" s="95">
        <f ca="1">'Planning Engine'!K1363</f>
        <v>0</v>
      </c>
      <c r="L647" s="12" t="str">
        <f ca="1">'Planning Engine'!L1363</f>
        <v>Overstock</v>
      </c>
      <c r="M647" s="93">
        <f>'Planning Engine'!S1363</f>
        <v>49157</v>
      </c>
      <c r="N647" s="95">
        <f>'Planning Engine'!T1363</f>
        <v>0</v>
      </c>
      <c r="O647" s="98" t="s">
        <v>2395</v>
      </c>
      <c r="P647" s="4" t="str">
        <f t="shared" ca="1" si="21"/>
        <v>Defer receipts</v>
      </c>
    </row>
    <row r="648" spans="1:16" ht="13" customHeight="1" x14ac:dyDescent="0.35">
      <c r="A648" s="93">
        <v>49310</v>
      </c>
      <c r="B648" s="61" t="s">
        <v>57</v>
      </c>
      <c r="C648" s="12" t="str">
        <f>'Planning Engine'!C1364</f>
        <v>Raw Material</v>
      </c>
      <c r="D648" s="12" t="str">
        <f>'Planning Engine'!D1364</f>
        <v>kg</v>
      </c>
      <c r="E648" s="95">
        <f>'Planning Engine'!E1364</f>
        <v>32.679999999999986</v>
      </c>
      <c r="F648" s="95">
        <f>'Planning Engine'!F1364</f>
        <v>0</v>
      </c>
      <c r="G648" s="95">
        <f>'Planning Engine'!G1364</f>
        <v>0</v>
      </c>
      <c r="H648" s="95">
        <f t="shared" si="20"/>
        <v>0</v>
      </c>
      <c r="I648" s="95">
        <f>'Planning Engine'!H1364</f>
        <v>32.679999999999986</v>
      </c>
      <c r="J648" s="96">
        <f ca="1">'Planning Engine'!J1364</f>
        <v>999</v>
      </c>
      <c r="K648" s="95">
        <f ca="1">'Planning Engine'!K1364</f>
        <v>0</v>
      </c>
      <c r="L648" s="12" t="str">
        <f ca="1">'Planning Engine'!L1364</f>
        <v>Overstock</v>
      </c>
      <c r="M648" s="93">
        <f>'Planning Engine'!S1364</f>
        <v>49188</v>
      </c>
      <c r="N648" s="95">
        <f>'Planning Engine'!T1364</f>
        <v>0</v>
      </c>
      <c r="O648" s="94" t="s">
        <v>2396</v>
      </c>
      <c r="P648" s="12" t="str">
        <f t="shared" ca="1" si="21"/>
        <v>Defer receipts</v>
      </c>
    </row>
    <row r="649" spans="1:16" ht="13" customHeight="1" x14ac:dyDescent="0.35">
      <c r="A649" s="97">
        <v>49341</v>
      </c>
      <c r="B649" s="53" t="s">
        <v>57</v>
      </c>
      <c r="C649" s="12" t="str">
        <f>'Planning Engine'!C1365</f>
        <v>Raw Material</v>
      </c>
      <c r="D649" s="12" t="str">
        <f>'Planning Engine'!D1365</f>
        <v>kg</v>
      </c>
      <c r="E649" s="95">
        <f>'Planning Engine'!E1365</f>
        <v>32.679999999999986</v>
      </c>
      <c r="F649" s="95">
        <f>'Planning Engine'!F1365</f>
        <v>0</v>
      </c>
      <c r="G649" s="95">
        <f>'Planning Engine'!G1365</f>
        <v>0</v>
      </c>
      <c r="H649" s="99">
        <f t="shared" si="20"/>
        <v>0</v>
      </c>
      <c r="I649" s="95">
        <f>'Planning Engine'!H1365</f>
        <v>32.679999999999986</v>
      </c>
      <c r="J649" s="96">
        <f ca="1">'Planning Engine'!J1365</f>
        <v>999</v>
      </c>
      <c r="K649" s="95">
        <f ca="1">'Planning Engine'!K1365</f>
        <v>0</v>
      </c>
      <c r="L649" s="12" t="str">
        <f ca="1">'Planning Engine'!L1365</f>
        <v>Overstock</v>
      </c>
      <c r="M649" s="93">
        <f>'Planning Engine'!S1365</f>
        <v>49218</v>
      </c>
      <c r="N649" s="95">
        <f>'Planning Engine'!T1365</f>
        <v>0</v>
      </c>
      <c r="O649" s="98" t="s">
        <v>2397</v>
      </c>
      <c r="P649" s="4" t="str">
        <f t="shared" ca="1" si="21"/>
        <v>Defer receipts</v>
      </c>
    </row>
    <row r="650" spans="1:16" ht="13" customHeight="1" x14ac:dyDescent="0.35">
      <c r="A650" s="93">
        <v>49369</v>
      </c>
      <c r="B650" s="61" t="s">
        <v>57</v>
      </c>
      <c r="C650" s="12" t="str">
        <f>'Planning Engine'!C1366</f>
        <v>Raw Material</v>
      </c>
      <c r="D650" s="12" t="str">
        <f>'Planning Engine'!D1366</f>
        <v>kg</v>
      </c>
      <c r="E650" s="95">
        <f>'Planning Engine'!E1366</f>
        <v>32.679999999999986</v>
      </c>
      <c r="F650" s="95">
        <f>'Planning Engine'!F1366</f>
        <v>0</v>
      </c>
      <c r="G650" s="95">
        <f>'Planning Engine'!G1366</f>
        <v>0</v>
      </c>
      <c r="H650" s="95">
        <f t="shared" si="20"/>
        <v>0</v>
      </c>
      <c r="I650" s="95">
        <f>'Planning Engine'!H1366</f>
        <v>32.679999999999986</v>
      </c>
      <c r="J650" s="96">
        <f ca="1">'Planning Engine'!J1366</f>
        <v>999</v>
      </c>
      <c r="K650" s="95">
        <f ca="1">'Planning Engine'!K1366</f>
        <v>0</v>
      </c>
      <c r="L650" s="12" t="str">
        <f ca="1">'Planning Engine'!L1366</f>
        <v>Overstock</v>
      </c>
      <c r="M650" s="93">
        <f>'Planning Engine'!S1366</f>
        <v>49249</v>
      </c>
      <c r="N650" s="95">
        <f>'Planning Engine'!T1366</f>
        <v>0</v>
      </c>
      <c r="O650" s="94" t="s">
        <v>2398</v>
      </c>
      <c r="P650" s="12" t="str">
        <f t="shared" ca="1" si="21"/>
        <v>Defer receipts</v>
      </c>
    </row>
    <row r="651" spans="1:16" ht="13" customHeight="1" x14ac:dyDescent="0.35">
      <c r="A651" s="97">
        <v>49400</v>
      </c>
      <c r="B651" s="53" t="s">
        <v>57</v>
      </c>
      <c r="C651" s="12" t="str">
        <f>'Planning Engine'!C1367</f>
        <v>Raw Material</v>
      </c>
      <c r="D651" s="12" t="str">
        <f>'Planning Engine'!D1367</f>
        <v>kg</v>
      </c>
      <c r="E651" s="95">
        <f>'Planning Engine'!E1367</f>
        <v>32.679999999999986</v>
      </c>
      <c r="F651" s="95">
        <f>'Planning Engine'!F1367</f>
        <v>0</v>
      </c>
      <c r="G651" s="95">
        <f>'Planning Engine'!G1367</f>
        <v>0</v>
      </c>
      <c r="H651" s="99">
        <f t="shared" si="20"/>
        <v>0</v>
      </c>
      <c r="I651" s="95">
        <f>'Planning Engine'!H1367</f>
        <v>32.679999999999986</v>
      </c>
      <c r="J651" s="96">
        <f ca="1">'Planning Engine'!J1367</f>
        <v>999</v>
      </c>
      <c r="K651" s="95">
        <f ca="1">'Planning Engine'!K1367</f>
        <v>0</v>
      </c>
      <c r="L651" s="12" t="str">
        <f ca="1">'Planning Engine'!L1367</f>
        <v>Overstock</v>
      </c>
      <c r="M651" s="93">
        <f>'Planning Engine'!S1367</f>
        <v>49279</v>
      </c>
      <c r="N651" s="95">
        <f>'Planning Engine'!T1367</f>
        <v>0</v>
      </c>
      <c r="O651" s="98" t="s">
        <v>2399</v>
      </c>
      <c r="P651" s="4" t="str">
        <f t="shared" ca="1" si="21"/>
        <v>Defer receipts</v>
      </c>
    </row>
    <row r="652" spans="1:16" ht="13" customHeight="1" x14ac:dyDescent="0.35">
      <c r="A652" s="93">
        <v>49430</v>
      </c>
      <c r="B652" s="61" t="s">
        <v>57</v>
      </c>
      <c r="C652" s="12" t="str">
        <f>'Planning Engine'!C1368</f>
        <v>Raw Material</v>
      </c>
      <c r="D652" s="12" t="str">
        <f>'Planning Engine'!D1368</f>
        <v>kg</v>
      </c>
      <c r="E652" s="95">
        <f>'Planning Engine'!E1368</f>
        <v>32.679999999999986</v>
      </c>
      <c r="F652" s="95">
        <f>'Planning Engine'!F1368</f>
        <v>0</v>
      </c>
      <c r="G652" s="95">
        <f>'Planning Engine'!G1368</f>
        <v>0</v>
      </c>
      <c r="H652" s="95">
        <f t="shared" si="20"/>
        <v>0</v>
      </c>
      <c r="I652" s="95">
        <f>'Planning Engine'!H1368</f>
        <v>32.679999999999986</v>
      </c>
      <c r="J652" s="96">
        <f ca="1">'Planning Engine'!J1368</f>
        <v>999</v>
      </c>
      <c r="K652" s="95">
        <f ca="1">'Planning Engine'!K1368</f>
        <v>0</v>
      </c>
      <c r="L652" s="12" t="str">
        <f ca="1">'Planning Engine'!L1368</f>
        <v>Overstock</v>
      </c>
      <c r="M652" s="93">
        <f>'Planning Engine'!S1368</f>
        <v>49310</v>
      </c>
      <c r="N652" s="95">
        <f>'Planning Engine'!T1368</f>
        <v>0</v>
      </c>
      <c r="O652" s="94" t="s">
        <v>2400</v>
      </c>
      <c r="P652" s="12" t="str">
        <f t="shared" ca="1" si="21"/>
        <v>Defer receipts</v>
      </c>
    </row>
    <row r="653" spans="1:16" ht="13" customHeight="1" x14ac:dyDescent="0.35">
      <c r="A653" s="97">
        <v>49461</v>
      </c>
      <c r="B653" s="53" t="s">
        <v>57</v>
      </c>
      <c r="C653" s="12" t="str">
        <f>'Planning Engine'!C1369</f>
        <v>Raw Material</v>
      </c>
      <c r="D653" s="12" t="str">
        <f>'Planning Engine'!D1369</f>
        <v>kg</v>
      </c>
      <c r="E653" s="95">
        <f>'Planning Engine'!E1369</f>
        <v>32.679999999999986</v>
      </c>
      <c r="F653" s="95">
        <f>'Planning Engine'!F1369</f>
        <v>0</v>
      </c>
      <c r="G653" s="95">
        <f>'Planning Engine'!G1369</f>
        <v>0</v>
      </c>
      <c r="H653" s="99">
        <f t="shared" si="20"/>
        <v>0</v>
      </c>
      <c r="I653" s="95">
        <f>'Planning Engine'!H1369</f>
        <v>32.679999999999986</v>
      </c>
      <c r="J653" s="96">
        <f ca="1">'Planning Engine'!J1369</f>
        <v>999</v>
      </c>
      <c r="K653" s="95">
        <f ca="1">'Planning Engine'!K1369</f>
        <v>0</v>
      </c>
      <c r="L653" s="12" t="str">
        <f ca="1">'Planning Engine'!L1369</f>
        <v>Overstock</v>
      </c>
      <c r="M653" s="93">
        <f>'Planning Engine'!S1369</f>
        <v>49341</v>
      </c>
      <c r="N653" s="95">
        <f>'Planning Engine'!T1369</f>
        <v>0</v>
      </c>
      <c r="O653" s="98" t="s">
        <v>2401</v>
      </c>
      <c r="P653" s="4" t="str">
        <f t="shared" ca="1" si="21"/>
        <v>Defer receipts</v>
      </c>
    </row>
    <row r="654" spans="1:16" ht="13" customHeight="1" x14ac:dyDescent="0.35">
      <c r="A654" s="93">
        <v>49491</v>
      </c>
      <c r="B654" s="61" t="s">
        <v>57</v>
      </c>
      <c r="C654" s="12" t="str">
        <f>'Planning Engine'!C1370</f>
        <v>Raw Material</v>
      </c>
      <c r="D654" s="12" t="str">
        <f>'Planning Engine'!D1370</f>
        <v>kg</v>
      </c>
      <c r="E654" s="95">
        <f>'Planning Engine'!E1370</f>
        <v>32.679999999999986</v>
      </c>
      <c r="F654" s="95">
        <f>'Planning Engine'!F1370</f>
        <v>0</v>
      </c>
      <c r="G654" s="95">
        <f>'Planning Engine'!G1370</f>
        <v>0</v>
      </c>
      <c r="H654" s="95">
        <f t="shared" si="20"/>
        <v>0</v>
      </c>
      <c r="I654" s="95">
        <f>'Planning Engine'!H1370</f>
        <v>32.679999999999986</v>
      </c>
      <c r="J654" s="96">
        <f ca="1">'Planning Engine'!J1370</f>
        <v>999</v>
      </c>
      <c r="K654" s="95">
        <f ca="1">'Planning Engine'!K1370</f>
        <v>0</v>
      </c>
      <c r="L654" s="12" t="str">
        <f ca="1">'Planning Engine'!L1370</f>
        <v>Overstock</v>
      </c>
      <c r="M654" s="93">
        <f>'Planning Engine'!S1370</f>
        <v>49369</v>
      </c>
      <c r="N654" s="95">
        <f>'Planning Engine'!T1370</f>
        <v>0</v>
      </c>
      <c r="O654" s="94" t="s">
        <v>2402</v>
      </c>
      <c r="P654" s="12" t="str">
        <f t="shared" ca="1" si="21"/>
        <v>Defer receipts</v>
      </c>
    </row>
    <row r="655" spans="1:16" ht="13" customHeight="1" x14ac:dyDescent="0.35">
      <c r="A655" s="97">
        <v>49522</v>
      </c>
      <c r="B655" s="53" t="s">
        <v>57</v>
      </c>
      <c r="C655" s="12" t="str">
        <f>'Planning Engine'!C1371</f>
        <v>Raw Material</v>
      </c>
      <c r="D655" s="12" t="str">
        <f>'Planning Engine'!D1371</f>
        <v>kg</v>
      </c>
      <c r="E655" s="95">
        <f>'Planning Engine'!E1371</f>
        <v>32.679999999999986</v>
      </c>
      <c r="F655" s="95">
        <f>'Planning Engine'!F1371</f>
        <v>0</v>
      </c>
      <c r="G655" s="95">
        <f>'Planning Engine'!G1371</f>
        <v>0</v>
      </c>
      <c r="H655" s="99">
        <f t="shared" si="20"/>
        <v>0</v>
      </c>
      <c r="I655" s="95">
        <f>'Planning Engine'!H1371</f>
        <v>32.679999999999986</v>
      </c>
      <c r="J655" s="96">
        <f ca="1">'Planning Engine'!J1371</f>
        <v>999</v>
      </c>
      <c r="K655" s="95">
        <f ca="1">'Planning Engine'!K1371</f>
        <v>0</v>
      </c>
      <c r="L655" s="12" t="str">
        <f ca="1">'Planning Engine'!L1371</f>
        <v>Overstock</v>
      </c>
      <c r="M655" s="93">
        <f>'Planning Engine'!S1371</f>
        <v>49400</v>
      </c>
      <c r="N655" s="95">
        <f>'Planning Engine'!T1371</f>
        <v>0</v>
      </c>
      <c r="O655" s="98" t="s">
        <v>2403</v>
      </c>
      <c r="P655" s="4" t="str">
        <f t="shared" ca="1" si="21"/>
        <v>Defer receipts</v>
      </c>
    </row>
    <row r="656" spans="1:16" ht="13" customHeight="1" x14ac:dyDescent="0.35">
      <c r="A656" s="93">
        <v>49553</v>
      </c>
      <c r="B656" s="61" t="s">
        <v>57</v>
      </c>
      <c r="C656" s="12" t="str">
        <f>'Planning Engine'!C1372</f>
        <v>Raw Material</v>
      </c>
      <c r="D656" s="12" t="str">
        <f>'Planning Engine'!D1372</f>
        <v>kg</v>
      </c>
      <c r="E656" s="95">
        <f>'Planning Engine'!E1372</f>
        <v>32.679999999999986</v>
      </c>
      <c r="F656" s="95">
        <f>'Planning Engine'!F1372</f>
        <v>0</v>
      </c>
      <c r="G656" s="95">
        <f>'Planning Engine'!G1372</f>
        <v>0</v>
      </c>
      <c r="H656" s="95">
        <f t="shared" si="20"/>
        <v>0</v>
      </c>
      <c r="I656" s="95">
        <f>'Planning Engine'!H1372</f>
        <v>32.679999999999986</v>
      </c>
      <c r="J656" s="96">
        <f ca="1">'Planning Engine'!J1372</f>
        <v>999</v>
      </c>
      <c r="K656" s="95">
        <f ca="1">'Planning Engine'!K1372</f>
        <v>0</v>
      </c>
      <c r="L656" s="12" t="str">
        <f ca="1">'Planning Engine'!L1372</f>
        <v>Overstock</v>
      </c>
      <c r="M656" s="93">
        <f>'Planning Engine'!S1372</f>
        <v>49430</v>
      </c>
      <c r="N656" s="95">
        <f>'Planning Engine'!T1372</f>
        <v>0</v>
      </c>
      <c r="O656" s="94" t="s">
        <v>2404</v>
      </c>
      <c r="P656" s="12" t="str">
        <f t="shared" ca="1" si="21"/>
        <v>Defer receipts</v>
      </c>
    </row>
    <row r="657" spans="1:16" ht="13" customHeight="1" x14ac:dyDescent="0.35">
      <c r="A657" s="97">
        <v>49583</v>
      </c>
      <c r="B657" s="53" t="s">
        <v>57</v>
      </c>
      <c r="C657" s="12" t="str">
        <f>'Planning Engine'!C1373</f>
        <v>Raw Material</v>
      </c>
      <c r="D657" s="12" t="str">
        <f>'Planning Engine'!D1373</f>
        <v>kg</v>
      </c>
      <c r="E657" s="95">
        <f>'Planning Engine'!E1373</f>
        <v>32.679999999999986</v>
      </c>
      <c r="F657" s="95">
        <f>'Planning Engine'!F1373</f>
        <v>0</v>
      </c>
      <c r="G657" s="95">
        <f>'Planning Engine'!G1373</f>
        <v>0</v>
      </c>
      <c r="H657" s="99">
        <f t="shared" si="20"/>
        <v>0</v>
      </c>
      <c r="I657" s="95">
        <f>'Planning Engine'!H1373</f>
        <v>32.679999999999986</v>
      </c>
      <c r="J657" s="96">
        <f ca="1">'Planning Engine'!J1373</f>
        <v>999</v>
      </c>
      <c r="K657" s="95">
        <f ca="1">'Planning Engine'!K1373</f>
        <v>0</v>
      </c>
      <c r="L657" s="12" t="str">
        <f ca="1">'Planning Engine'!L1373</f>
        <v>Overstock</v>
      </c>
      <c r="M657" s="93">
        <f>'Planning Engine'!S1373</f>
        <v>49461</v>
      </c>
      <c r="N657" s="95">
        <f>'Planning Engine'!T1373</f>
        <v>0</v>
      </c>
      <c r="O657" s="98" t="s">
        <v>2405</v>
      </c>
      <c r="P657" s="4" t="str">
        <f t="shared" ca="1" si="21"/>
        <v>Defer receipts</v>
      </c>
    </row>
    <row r="658" spans="1:16" ht="13" customHeight="1" x14ac:dyDescent="0.35">
      <c r="A658" s="93">
        <v>49614</v>
      </c>
      <c r="B658" s="61" t="s">
        <v>57</v>
      </c>
      <c r="C658" s="12" t="str">
        <f>'Planning Engine'!C1374</f>
        <v>Raw Material</v>
      </c>
      <c r="D658" s="12" t="str">
        <f>'Planning Engine'!D1374</f>
        <v>kg</v>
      </c>
      <c r="E658" s="95">
        <f>'Planning Engine'!E1374</f>
        <v>32.679999999999986</v>
      </c>
      <c r="F658" s="95">
        <f>'Planning Engine'!F1374</f>
        <v>0</v>
      </c>
      <c r="G658" s="95">
        <f>'Planning Engine'!G1374</f>
        <v>0</v>
      </c>
      <c r="H658" s="95">
        <f t="shared" si="20"/>
        <v>0</v>
      </c>
      <c r="I658" s="95">
        <f>'Planning Engine'!H1374</f>
        <v>32.679999999999986</v>
      </c>
      <c r="J658" s="96">
        <f ca="1">'Planning Engine'!J1374</f>
        <v>999</v>
      </c>
      <c r="K658" s="95">
        <f ca="1">'Planning Engine'!K1374</f>
        <v>0</v>
      </c>
      <c r="L658" s="12" t="str">
        <f ca="1">'Planning Engine'!L1374</f>
        <v>Overstock</v>
      </c>
      <c r="M658" s="93">
        <f>'Planning Engine'!S1374</f>
        <v>49491</v>
      </c>
      <c r="N658" s="95">
        <f>'Planning Engine'!T1374</f>
        <v>0</v>
      </c>
      <c r="O658" s="94" t="s">
        <v>2406</v>
      </c>
      <c r="P658" s="12" t="str">
        <f t="shared" ca="1" si="21"/>
        <v>Defer receipts</v>
      </c>
    </row>
    <row r="659" spans="1:16" ht="13" customHeight="1" x14ac:dyDescent="0.35">
      <c r="A659" s="97">
        <v>49644</v>
      </c>
      <c r="B659" s="53" t="s">
        <v>57</v>
      </c>
      <c r="C659" s="12" t="str">
        <f>'Planning Engine'!C1375</f>
        <v>Raw Material</v>
      </c>
      <c r="D659" s="12" t="str">
        <f>'Planning Engine'!D1375</f>
        <v>kg</v>
      </c>
      <c r="E659" s="95">
        <f>'Planning Engine'!E1375</f>
        <v>32.679999999999986</v>
      </c>
      <c r="F659" s="95">
        <f>'Planning Engine'!F1375</f>
        <v>0</v>
      </c>
      <c r="G659" s="95">
        <f>'Planning Engine'!G1375</f>
        <v>0</v>
      </c>
      <c r="H659" s="99">
        <f t="shared" si="20"/>
        <v>0</v>
      </c>
      <c r="I659" s="95">
        <f>'Planning Engine'!H1375</f>
        <v>32.679999999999986</v>
      </c>
      <c r="J659" s="96">
        <f ca="1">'Planning Engine'!J1375</f>
        <v>999</v>
      </c>
      <c r="K659" s="95">
        <f ca="1">'Planning Engine'!K1375</f>
        <v>0</v>
      </c>
      <c r="L659" s="12" t="str">
        <f ca="1">'Planning Engine'!L1375</f>
        <v>Overstock</v>
      </c>
      <c r="M659" s="93">
        <f>'Planning Engine'!S1375</f>
        <v>49522</v>
      </c>
      <c r="N659" s="95">
        <f>'Planning Engine'!T1375</f>
        <v>0</v>
      </c>
      <c r="O659" s="98" t="s">
        <v>2407</v>
      </c>
      <c r="P659" s="4" t="str">
        <f t="shared" ca="1" si="21"/>
        <v>Defer receipts</v>
      </c>
    </row>
    <row r="660" spans="1:16" ht="13" customHeight="1" x14ac:dyDescent="0.35">
      <c r="A660" s="93">
        <v>49675</v>
      </c>
      <c r="B660" s="61" t="s">
        <v>57</v>
      </c>
      <c r="C660" s="12" t="str">
        <f>'Planning Engine'!C1376</f>
        <v>Raw Material</v>
      </c>
      <c r="D660" s="12" t="str">
        <f>'Planning Engine'!D1376</f>
        <v>kg</v>
      </c>
      <c r="E660" s="95">
        <f>'Planning Engine'!E1376</f>
        <v>32.679999999999986</v>
      </c>
      <c r="F660" s="95">
        <f>'Planning Engine'!F1376</f>
        <v>0</v>
      </c>
      <c r="G660" s="95">
        <f>'Planning Engine'!G1376</f>
        <v>0</v>
      </c>
      <c r="H660" s="95">
        <f t="shared" si="20"/>
        <v>0</v>
      </c>
      <c r="I660" s="95">
        <f>'Planning Engine'!H1376</f>
        <v>32.679999999999986</v>
      </c>
      <c r="J660" s="96">
        <f ca="1">'Planning Engine'!J1376</f>
        <v>999</v>
      </c>
      <c r="K660" s="95">
        <f ca="1">'Planning Engine'!K1376</f>
        <v>0</v>
      </c>
      <c r="L660" s="12" t="str">
        <f ca="1">'Planning Engine'!L1376</f>
        <v>Overstock</v>
      </c>
      <c r="M660" s="93">
        <f>'Planning Engine'!S1376</f>
        <v>49553</v>
      </c>
      <c r="N660" s="95">
        <f>'Planning Engine'!T1376</f>
        <v>0</v>
      </c>
      <c r="O660" s="94" t="s">
        <v>2408</v>
      </c>
      <c r="P660" s="12" t="str">
        <f t="shared" ca="1" si="21"/>
        <v>Defer receipts</v>
      </c>
    </row>
    <row r="661" spans="1:16" ht="13" customHeight="1" x14ac:dyDescent="0.35">
      <c r="A661" s="97">
        <v>49706</v>
      </c>
      <c r="B661" s="53" t="s">
        <v>57</v>
      </c>
      <c r="C661" s="12" t="str">
        <f>'Planning Engine'!C1377</f>
        <v>Raw Material</v>
      </c>
      <c r="D661" s="12" t="str">
        <f>'Planning Engine'!D1377</f>
        <v>kg</v>
      </c>
      <c r="E661" s="95">
        <f>'Planning Engine'!E1377</f>
        <v>32.679999999999986</v>
      </c>
      <c r="F661" s="95">
        <f>'Planning Engine'!F1377</f>
        <v>0</v>
      </c>
      <c r="G661" s="95">
        <f>'Planning Engine'!G1377</f>
        <v>0</v>
      </c>
      <c r="H661" s="99">
        <f t="shared" si="20"/>
        <v>0</v>
      </c>
      <c r="I661" s="95">
        <f>'Planning Engine'!H1377</f>
        <v>32.679999999999986</v>
      </c>
      <c r="J661" s="96">
        <f ca="1">'Planning Engine'!J1377</f>
        <v>999</v>
      </c>
      <c r="K661" s="95">
        <f ca="1">'Planning Engine'!K1377</f>
        <v>0</v>
      </c>
      <c r="L661" s="12" t="str">
        <f ca="1">'Planning Engine'!L1377</f>
        <v>Overstock</v>
      </c>
      <c r="M661" s="93">
        <f>'Planning Engine'!S1377</f>
        <v>49583</v>
      </c>
      <c r="N661" s="95">
        <f>'Planning Engine'!T1377</f>
        <v>0</v>
      </c>
      <c r="O661" s="98" t="s">
        <v>2409</v>
      </c>
      <c r="P661" s="4" t="str">
        <f t="shared" ca="1" si="21"/>
        <v>Defer receipts</v>
      </c>
    </row>
    <row r="662" spans="1:16" ht="13" customHeight="1" x14ac:dyDescent="0.35">
      <c r="A662" s="93">
        <v>49735</v>
      </c>
      <c r="B662" s="61" t="s">
        <v>57</v>
      </c>
      <c r="C662" s="12" t="str">
        <f>'Planning Engine'!C1378</f>
        <v>Raw Material</v>
      </c>
      <c r="D662" s="12" t="str">
        <f>'Planning Engine'!D1378</f>
        <v>kg</v>
      </c>
      <c r="E662" s="95">
        <f>'Planning Engine'!E1378</f>
        <v>32.679999999999986</v>
      </c>
      <c r="F662" s="95">
        <f>'Planning Engine'!F1378</f>
        <v>0</v>
      </c>
      <c r="G662" s="95">
        <f>'Planning Engine'!G1378</f>
        <v>0</v>
      </c>
      <c r="H662" s="95">
        <f t="shared" si="20"/>
        <v>0</v>
      </c>
      <c r="I662" s="95">
        <f>'Planning Engine'!H1378</f>
        <v>32.679999999999986</v>
      </c>
      <c r="J662" s="96">
        <f ca="1">'Planning Engine'!J1378</f>
        <v>999</v>
      </c>
      <c r="K662" s="95">
        <f ca="1">'Planning Engine'!K1378</f>
        <v>0</v>
      </c>
      <c r="L662" s="12" t="str">
        <f ca="1">'Planning Engine'!L1378</f>
        <v>Overstock</v>
      </c>
      <c r="M662" s="93">
        <f>'Planning Engine'!S1378</f>
        <v>49614</v>
      </c>
      <c r="N662" s="95">
        <f>'Planning Engine'!T1378</f>
        <v>0</v>
      </c>
      <c r="O662" s="94" t="s">
        <v>2410</v>
      </c>
      <c r="P662" s="12" t="str">
        <f t="shared" ca="1" si="21"/>
        <v>Defer receipts</v>
      </c>
    </row>
    <row r="663" spans="1:16" ht="13" customHeight="1" x14ac:dyDescent="0.35">
      <c r="A663" s="97">
        <v>49766</v>
      </c>
      <c r="B663" s="53" t="s">
        <v>57</v>
      </c>
      <c r="C663" s="12" t="str">
        <f>'Planning Engine'!C1379</f>
        <v>Raw Material</v>
      </c>
      <c r="D663" s="12" t="str">
        <f>'Planning Engine'!D1379</f>
        <v>kg</v>
      </c>
      <c r="E663" s="95">
        <f>'Planning Engine'!E1379</f>
        <v>32.679999999999986</v>
      </c>
      <c r="F663" s="95">
        <f>'Planning Engine'!F1379</f>
        <v>0</v>
      </c>
      <c r="G663" s="95">
        <f>'Planning Engine'!G1379</f>
        <v>0</v>
      </c>
      <c r="H663" s="99">
        <f t="shared" si="20"/>
        <v>0</v>
      </c>
      <c r="I663" s="95">
        <f>'Planning Engine'!H1379</f>
        <v>32.679999999999986</v>
      </c>
      <c r="J663" s="96">
        <f ca="1">'Planning Engine'!J1379</f>
        <v>999</v>
      </c>
      <c r="K663" s="95">
        <f ca="1">'Planning Engine'!K1379</f>
        <v>0</v>
      </c>
      <c r="L663" s="12" t="str">
        <f ca="1">'Planning Engine'!L1379</f>
        <v>Overstock</v>
      </c>
      <c r="M663" s="93">
        <f>'Planning Engine'!S1379</f>
        <v>49644</v>
      </c>
      <c r="N663" s="95">
        <f>'Planning Engine'!T1379</f>
        <v>0</v>
      </c>
      <c r="O663" s="98" t="s">
        <v>2411</v>
      </c>
      <c r="P663" s="4" t="str">
        <f t="shared" ca="1" si="21"/>
        <v>Defer receipts</v>
      </c>
    </row>
    <row r="664" spans="1:16" ht="13" customHeight="1" x14ac:dyDescent="0.35">
      <c r="A664" s="93">
        <v>49796</v>
      </c>
      <c r="B664" s="61" t="s">
        <v>57</v>
      </c>
      <c r="C664" s="12" t="str">
        <f>'Planning Engine'!C1380</f>
        <v>Raw Material</v>
      </c>
      <c r="D664" s="12" t="str">
        <f>'Planning Engine'!D1380</f>
        <v>kg</v>
      </c>
      <c r="E664" s="95">
        <f>'Planning Engine'!E1380</f>
        <v>32.679999999999986</v>
      </c>
      <c r="F664" s="95">
        <f>'Planning Engine'!F1380</f>
        <v>0</v>
      </c>
      <c r="G664" s="95">
        <f>'Planning Engine'!G1380</f>
        <v>0</v>
      </c>
      <c r="H664" s="95">
        <f t="shared" si="20"/>
        <v>0</v>
      </c>
      <c r="I664" s="95">
        <f>'Planning Engine'!H1380</f>
        <v>32.679999999999986</v>
      </c>
      <c r="J664" s="96">
        <f ca="1">'Planning Engine'!J1380</f>
        <v>999</v>
      </c>
      <c r="K664" s="95">
        <f ca="1">'Planning Engine'!K1380</f>
        <v>0</v>
      </c>
      <c r="L664" s="12" t="str">
        <f ca="1">'Planning Engine'!L1380</f>
        <v>Overstock</v>
      </c>
      <c r="M664" s="93">
        <f>'Planning Engine'!S1380</f>
        <v>49675</v>
      </c>
      <c r="N664" s="95">
        <f>'Planning Engine'!T1380</f>
        <v>0</v>
      </c>
      <c r="O664" s="94" t="s">
        <v>2412</v>
      </c>
      <c r="P664" s="12" t="str">
        <f t="shared" ca="1" si="21"/>
        <v>Defer receipts</v>
      </c>
    </row>
    <row r="665" spans="1:16" ht="13" customHeight="1" x14ac:dyDescent="0.35">
      <c r="A665" s="97">
        <v>49827</v>
      </c>
      <c r="B665" s="53" t="s">
        <v>57</v>
      </c>
      <c r="C665" s="12" t="str">
        <f>'Planning Engine'!C1381</f>
        <v>Raw Material</v>
      </c>
      <c r="D665" s="12" t="str">
        <f>'Planning Engine'!D1381</f>
        <v>kg</v>
      </c>
      <c r="E665" s="95">
        <f>'Planning Engine'!E1381</f>
        <v>32.679999999999986</v>
      </c>
      <c r="F665" s="95">
        <f>'Planning Engine'!F1381</f>
        <v>0</v>
      </c>
      <c r="G665" s="95">
        <f>'Planning Engine'!G1381</f>
        <v>0</v>
      </c>
      <c r="H665" s="99">
        <f t="shared" si="20"/>
        <v>0</v>
      </c>
      <c r="I665" s="95">
        <f>'Planning Engine'!H1381</f>
        <v>32.679999999999986</v>
      </c>
      <c r="J665" s="96">
        <f ca="1">'Planning Engine'!J1381</f>
        <v>999</v>
      </c>
      <c r="K665" s="95">
        <f ca="1">'Planning Engine'!K1381</f>
        <v>0</v>
      </c>
      <c r="L665" s="12" t="str">
        <f ca="1">'Planning Engine'!L1381</f>
        <v>Overstock</v>
      </c>
      <c r="M665" s="93">
        <f>'Planning Engine'!S1381</f>
        <v>49706</v>
      </c>
      <c r="N665" s="95">
        <f>'Planning Engine'!T1381</f>
        <v>0</v>
      </c>
      <c r="O665" s="98" t="s">
        <v>2413</v>
      </c>
      <c r="P665" s="4" t="str">
        <f t="shared" ca="1" si="21"/>
        <v>Defer receipts</v>
      </c>
    </row>
    <row r="666" spans="1:16" ht="13" customHeight="1" x14ac:dyDescent="0.35">
      <c r="A666" s="93">
        <v>49857</v>
      </c>
      <c r="B666" s="61" t="s">
        <v>57</v>
      </c>
      <c r="C666" s="12" t="str">
        <f>'Planning Engine'!C1382</f>
        <v>Raw Material</v>
      </c>
      <c r="D666" s="12" t="str">
        <f>'Planning Engine'!D1382</f>
        <v>kg</v>
      </c>
      <c r="E666" s="95">
        <f>'Planning Engine'!E1382</f>
        <v>32.679999999999986</v>
      </c>
      <c r="F666" s="95">
        <f>'Planning Engine'!F1382</f>
        <v>0</v>
      </c>
      <c r="G666" s="95">
        <f>'Planning Engine'!G1382</f>
        <v>0</v>
      </c>
      <c r="H666" s="95">
        <f t="shared" si="20"/>
        <v>0</v>
      </c>
      <c r="I666" s="95">
        <f>'Planning Engine'!H1382</f>
        <v>32.679999999999986</v>
      </c>
      <c r="J666" s="96">
        <f ca="1">'Planning Engine'!J1382</f>
        <v>999</v>
      </c>
      <c r="K666" s="95">
        <f ca="1">'Planning Engine'!K1382</f>
        <v>0</v>
      </c>
      <c r="L666" s="12" t="str">
        <f ca="1">'Planning Engine'!L1382</f>
        <v>Overstock</v>
      </c>
      <c r="M666" s="93">
        <f>'Planning Engine'!S1382</f>
        <v>49735</v>
      </c>
      <c r="N666" s="95">
        <f>'Planning Engine'!T1382</f>
        <v>0</v>
      </c>
      <c r="O666" s="94" t="s">
        <v>2414</v>
      </c>
      <c r="P666" s="12" t="str">
        <f t="shared" ca="1" si="21"/>
        <v>Defer receipts</v>
      </c>
    </row>
    <row r="667" spans="1:16" ht="13" customHeight="1" x14ac:dyDescent="0.35">
      <c r="A667" s="97">
        <v>49888</v>
      </c>
      <c r="B667" s="53" t="s">
        <v>57</v>
      </c>
      <c r="C667" s="12" t="str">
        <f>'Planning Engine'!C1383</f>
        <v>Raw Material</v>
      </c>
      <c r="D667" s="12" t="str">
        <f>'Planning Engine'!D1383</f>
        <v>kg</v>
      </c>
      <c r="E667" s="95">
        <f>'Planning Engine'!E1383</f>
        <v>32.679999999999986</v>
      </c>
      <c r="F667" s="95">
        <f>'Planning Engine'!F1383</f>
        <v>0</v>
      </c>
      <c r="G667" s="95">
        <f>'Planning Engine'!G1383</f>
        <v>0</v>
      </c>
      <c r="H667" s="99">
        <f t="shared" si="20"/>
        <v>0</v>
      </c>
      <c r="I667" s="95">
        <f>'Planning Engine'!H1383</f>
        <v>32.679999999999986</v>
      </c>
      <c r="J667" s="96">
        <f ca="1">'Planning Engine'!J1383</f>
        <v>999</v>
      </c>
      <c r="K667" s="95">
        <f ca="1">'Planning Engine'!K1383</f>
        <v>0</v>
      </c>
      <c r="L667" s="12" t="str">
        <f ca="1">'Planning Engine'!L1383</f>
        <v>Overstock</v>
      </c>
      <c r="M667" s="93">
        <f>'Planning Engine'!S1383</f>
        <v>49766</v>
      </c>
      <c r="N667" s="95">
        <f>'Planning Engine'!T1383</f>
        <v>0</v>
      </c>
      <c r="O667" s="98" t="s">
        <v>2415</v>
      </c>
      <c r="P667" s="4" t="str">
        <f t="shared" ca="1" si="21"/>
        <v>Defer receipts</v>
      </c>
    </row>
    <row r="668" spans="1:16" ht="13" customHeight="1" x14ac:dyDescent="0.35">
      <c r="A668" s="93">
        <v>49919</v>
      </c>
      <c r="B668" s="61" t="s">
        <v>57</v>
      </c>
      <c r="C668" s="12" t="str">
        <f>'Planning Engine'!C1384</f>
        <v>Raw Material</v>
      </c>
      <c r="D668" s="12" t="str">
        <f>'Planning Engine'!D1384</f>
        <v>kg</v>
      </c>
      <c r="E668" s="95">
        <f>'Planning Engine'!E1384</f>
        <v>32.679999999999986</v>
      </c>
      <c r="F668" s="95">
        <f>'Planning Engine'!F1384</f>
        <v>0</v>
      </c>
      <c r="G668" s="95">
        <f>'Planning Engine'!G1384</f>
        <v>0</v>
      </c>
      <c r="H668" s="95">
        <f t="shared" si="20"/>
        <v>0</v>
      </c>
      <c r="I668" s="95">
        <f>'Planning Engine'!H1384</f>
        <v>32.679999999999986</v>
      </c>
      <c r="J668" s="96">
        <f ca="1">'Planning Engine'!J1384</f>
        <v>999</v>
      </c>
      <c r="K668" s="95">
        <f ca="1">'Planning Engine'!K1384</f>
        <v>0</v>
      </c>
      <c r="L668" s="12" t="str">
        <f ca="1">'Planning Engine'!L1384</f>
        <v>Overstock</v>
      </c>
      <c r="M668" s="93">
        <f>'Planning Engine'!S1384</f>
        <v>49796</v>
      </c>
      <c r="N668" s="95">
        <f>'Planning Engine'!T1384</f>
        <v>0</v>
      </c>
      <c r="O668" s="94" t="s">
        <v>2416</v>
      </c>
      <c r="P668" s="12" t="str">
        <f t="shared" ca="1" si="21"/>
        <v>Defer receipts</v>
      </c>
    </row>
    <row r="669" spans="1:16" ht="13" customHeight="1" x14ac:dyDescent="0.35">
      <c r="A669" s="97">
        <v>49949</v>
      </c>
      <c r="B669" s="53" t="s">
        <v>57</v>
      </c>
      <c r="C669" s="12" t="str">
        <f>'Planning Engine'!C1385</f>
        <v>Raw Material</v>
      </c>
      <c r="D669" s="12" t="str">
        <f>'Planning Engine'!D1385</f>
        <v>kg</v>
      </c>
      <c r="E669" s="95">
        <f>'Planning Engine'!E1385</f>
        <v>32.679999999999986</v>
      </c>
      <c r="F669" s="95">
        <f>'Planning Engine'!F1385</f>
        <v>0</v>
      </c>
      <c r="G669" s="95">
        <f>'Planning Engine'!G1385</f>
        <v>0</v>
      </c>
      <c r="H669" s="99">
        <f t="shared" si="20"/>
        <v>0</v>
      </c>
      <c r="I669" s="95">
        <f>'Planning Engine'!H1385</f>
        <v>32.679999999999986</v>
      </c>
      <c r="J669" s="96">
        <f ca="1">'Planning Engine'!J1385</f>
        <v>999</v>
      </c>
      <c r="K669" s="95">
        <f ca="1">'Planning Engine'!K1385</f>
        <v>0</v>
      </c>
      <c r="L669" s="12" t="str">
        <f ca="1">'Planning Engine'!L1385</f>
        <v>Overstock</v>
      </c>
      <c r="M669" s="93">
        <f>'Planning Engine'!S1385</f>
        <v>49827</v>
      </c>
      <c r="N669" s="95">
        <f>'Planning Engine'!T1385</f>
        <v>0</v>
      </c>
      <c r="O669" s="98" t="s">
        <v>2417</v>
      </c>
      <c r="P669" s="4" t="str">
        <f t="shared" ca="1" si="21"/>
        <v>Defer receipts</v>
      </c>
    </row>
    <row r="670" spans="1:16" ht="13" customHeight="1" x14ac:dyDescent="0.35">
      <c r="A670" s="93">
        <v>49980</v>
      </c>
      <c r="B670" s="61" t="s">
        <v>57</v>
      </c>
      <c r="C670" s="12" t="str">
        <f>'Planning Engine'!C1386</f>
        <v>Raw Material</v>
      </c>
      <c r="D670" s="12" t="str">
        <f>'Planning Engine'!D1386</f>
        <v>kg</v>
      </c>
      <c r="E670" s="95">
        <f>'Planning Engine'!E1386</f>
        <v>32.679999999999986</v>
      </c>
      <c r="F670" s="95">
        <f>'Planning Engine'!F1386</f>
        <v>0</v>
      </c>
      <c r="G670" s="95">
        <f>'Planning Engine'!G1386</f>
        <v>0</v>
      </c>
      <c r="H670" s="95">
        <f t="shared" si="20"/>
        <v>0</v>
      </c>
      <c r="I670" s="95">
        <f>'Planning Engine'!H1386</f>
        <v>32.679999999999986</v>
      </c>
      <c r="J670" s="96">
        <f ca="1">'Planning Engine'!J1386</f>
        <v>999</v>
      </c>
      <c r="K670" s="95">
        <f ca="1">'Planning Engine'!K1386</f>
        <v>0</v>
      </c>
      <c r="L670" s="12" t="str">
        <f ca="1">'Planning Engine'!L1386</f>
        <v>Overstock</v>
      </c>
      <c r="M670" s="93">
        <f>'Planning Engine'!S1386</f>
        <v>49857</v>
      </c>
      <c r="N670" s="95">
        <f>'Planning Engine'!T1386</f>
        <v>0</v>
      </c>
      <c r="O670" s="94" t="s">
        <v>2418</v>
      </c>
      <c r="P670" s="12" t="str">
        <f t="shared" ca="1" si="21"/>
        <v>Defer receipts</v>
      </c>
    </row>
    <row r="671" spans="1:16" ht="13" customHeight="1" x14ac:dyDescent="0.35">
      <c r="A671" s="97">
        <v>50010</v>
      </c>
      <c r="B671" s="53" t="s">
        <v>57</v>
      </c>
      <c r="C671" s="12" t="str">
        <f>'Planning Engine'!C1387</f>
        <v>Raw Material</v>
      </c>
      <c r="D671" s="12" t="str">
        <f>'Planning Engine'!D1387</f>
        <v>kg</v>
      </c>
      <c r="E671" s="95">
        <f>'Planning Engine'!E1387</f>
        <v>32.679999999999986</v>
      </c>
      <c r="F671" s="95">
        <f>'Planning Engine'!F1387</f>
        <v>0</v>
      </c>
      <c r="G671" s="95">
        <f>'Planning Engine'!G1387</f>
        <v>0</v>
      </c>
      <c r="H671" s="99">
        <f t="shared" si="20"/>
        <v>0</v>
      </c>
      <c r="I671" s="95">
        <f>'Planning Engine'!H1387</f>
        <v>32.679999999999986</v>
      </c>
      <c r="J671" s="96">
        <f ca="1">'Planning Engine'!J1387</f>
        <v>999</v>
      </c>
      <c r="K671" s="95">
        <f ca="1">'Planning Engine'!K1387</f>
        <v>0</v>
      </c>
      <c r="L671" s="12" t="str">
        <f ca="1">'Planning Engine'!L1387</f>
        <v>Overstock</v>
      </c>
      <c r="M671" s="93">
        <f>'Planning Engine'!S1387</f>
        <v>49888</v>
      </c>
      <c r="N671" s="95">
        <f>'Planning Engine'!T1387</f>
        <v>0</v>
      </c>
      <c r="O671" s="98" t="s">
        <v>2419</v>
      </c>
      <c r="P671" s="4" t="str">
        <f t="shared" ca="1" si="21"/>
        <v>Defer receipts</v>
      </c>
    </row>
    <row r="672" spans="1:16" ht="13" customHeight="1" x14ac:dyDescent="0.35">
      <c r="A672" s="93">
        <v>50041</v>
      </c>
      <c r="B672" s="61" t="s">
        <v>57</v>
      </c>
      <c r="C672" s="12" t="str">
        <f>'Planning Engine'!C1388</f>
        <v>Raw Material</v>
      </c>
      <c r="D672" s="12" t="str">
        <f>'Planning Engine'!D1388</f>
        <v>kg</v>
      </c>
      <c r="E672" s="95">
        <f>'Planning Engine'!E1388</f>
        <v>32.679999999999986</v>
      </c>
      <c r="F672" s="95">
        <f>'Planning Engine'!F1388</f>
        <v>0</v>
      </c>
      <c r="G672" s="95">
        <f>'Planning Engine'!G1388</f>
        <v>0</v>
      </c>
      <c r="H672" s="95">
        <f t="shared" si="20"/>
        <v>0</v>
      </c>
      <c r="I672" s="95">
        <f>'Planning Engine'!H1388</f>
        <v>32.679999999999986</v>
      </c>
      <c r="J672" s="96">
        <f ca="1">'Planning Engine'!J1388</f>
        <v>999</v>
      </c>
      <c r="K672" s="95">
        <f ca="1">'Planning Engine'!K1388</f>
        <v>0</v>
      </c>
      <c r="L672" s="12" t="str">
        <f ca="1">'Planning Engine'!L1388</f>
        <v>Overstock</v>
      </c>
      <c r="M672" s="93">
        <f>'Planning Engine'!S1388</f>
        <v>49919</v>
      </c>
      <c r="N672" s="95">
        <f>'Planning Engine'!T1388</f>
        <v>0</v>
      </c>
      <c r="O672" s="94" t="s">
        <v>2420</v>
      </c>
      <c r="P672" s="12" t="str">
        <f t="shared" ca="1" si="21"/>
        <v>Defer receipts</v>
      </c>
    </row>
    <row r="673" spans="1:16" ht="13" customHeight="1" x14ac:dyDescent="0.35">
      <c r="A673" s="97">
        <v>50072</v>
      </c>
      <c r="B673" s="53" t="s">
        <v>57</v>
      </c>
      <c r="C673" s="12" t="str">
        <f>'Planning Engine'!C1389</f>
        <v>Raw Material</v>
      </c>
      <c r="D673" s="12" t="str">
        <f>'Planning Engine'!D1389</f>
        <v>kg</v>
      </c>
      <c r="E673" s="95">
        <f>'Planning Engine'!E1389</f>
        <v>32.679999999999986</v>
      </c>
      <c r="F673" s="95">
        <f>'Planning Engine'!F1389</f>
        <v>0</v>
      </c>
      <c r="G673" s="95">
        <f>'Planning Engine'!G1389</f>
        <v>0</v>
      </c>
      <c r="H673" s="99">
        <f t="shared" si="20"/>
        <v>0</v>
      </c>
      <c r="I673" s="95">
        <f>'Planning Engine'!H1389</f>
        <v>32.679999999999986</v>
      </c>
      <c r="J673" s="96">
        <f ca="1">'Planning Engine'!J1389</f>
        <v>999</v>
      </c>
      <c r="K673" s="95">
        <f ca="1">'Planning Engine'!K1389</f>
        <v>0</v>
      </c>
      <c r="L673" s="12" t="str">
        <f ca="1">'Planning Engine'!L1389</f>
        <v>Overstock</v>
      </c>
      <c r="M673" s="93">
        <f>'Planning Engine'!S1389</f>
        <v>49949</v>
      </c>
      <c r="N673" s="95">
        <f>'Planning Engine'!T1389</f>
        <v>0</v>
      </c>
      <c r="O673" s="98" t="s">
        <v>2421</v>
      </c>
      <c r="P673" s="4" t="str">
        <f t="shared" ca="1" si="21"/>
        <v>Defer receipts</v>
      </c>
    </row>
    <row r="674" spans="1:16" ht="13" customHeight="1" x14ac:dyDescent="0.35">
      <c r="A674" s="93">
        <v>50100</v>
      </c>
      <c r="B674" s="61" t="s">
        <v>57</v>
      </c>
      <c r="C674" s="12" t="str">
        <f>'Planning Engine'!C1390</f>
        <v>Raw Material</v>
      </c>
      <c r="D674" s="12" t="str">
        <f>'Planning Engine'!D1390</f>
        <v>kg</v>
      </c>
      <c r="E674" s="95">
        <f>'Planning Engine'!E1390</f>
        <v>32.679999999999986</v>
      </c>
      <c r="F674" s="95">
        <f>'Planning Engine'!F1390</f>
        <v>0</v>
      </c>
      <c r="G674" s="95">
        <f>'Planning Engine'!G1390</f>
        <v>0</v>
      </c>
      <c r="H674" s="95">
        <f t="shared" si="20"/>
        <v>0</v>
      </c>
      <c r="I674" s="95">
        <f>'Planning Engine'!H1390</f>
        <v>32.679999999999986</v>
      </c>
      <c r="J674" s="96">
        <f ca="1">'Planning Engine'!J1390</f>
        <v>999</v>
      </c>
      <c r="K674" s="95">
        <f ca="1">'Planning Engine'!K1390</f>
        <v>0</v>
      </c>
      <c r="L674" s="12" t="str">
        <f ca="1">'Planning Engine'!L1390</f>
        <v>Overstock</v>
      </c>
      <c r="M674" s="93">
        <f>'Planning Engine'!S1390</f>
        <v>49980</v>
      </c>
      <c r="N674" s="95">
        <f>'Planning Engine'!T1390</f>
        <v>0</v>
      </c>
      <c r="O674" s="94" t="s">
        <v>2422</v>
      </c>
      <c r="P674" s="12" t="str">
        <f t="shared" ca="1" si="21"/>
        <v>Defer receipts</v>
      </c>
    </row>
    <row r="675" spans="1:16" ht="13" customHeight="1" x14ac:dyDescent="0.35">
      <c r="A675" s="97">
        <v>50131</v>
      </c>
      <c r="B675" s="53" t="s">
        <v>57</v>
      </c>
      <c r="C675" s="12" t="str">
        <f>'Planning Engine'!C1391</f>
        <v>Raw Material</v>
      </c>
      <c r="D675" s="12" t="str">
        <f>'Planning Engine'!D1391</f>
        <v>kg</v>
      </c>
      <c r="E675" s="95">
        <f>'Planning Engine'!E1391</f>
        <v>32.679999999999986</v>
      </c>
      <c r="F675" s="95">
        <f>'Planning Engine'!F1391</f>
        <v>0</v>
      </c>
      <c r="G675" s="95">
        <f>'Planning Engine'!G1391</f>
        <v>0</v>
      </c>
      <c r="H675" s="99">
        <f t="shared" si="20"/>
        <v>0</v>
      </c>
      <c r="I675" s="95">
        <f>'Planning Engine'!H1391</f>
        <v>32.679999999999986</v>
      </c>
      <c r="J675" s="96">
        <f ca="1">'Planning Engine'!J1391</f>
        <v>999</v>
      </c>
      <c r="K675" s="95">
        <f ca="1">'Planning Engine'!K1391</f>
        <v>0</v>
      </c>
      <c r="L675" s="12" t="str">
        <f ca="1">'Planning Engine'!L1391</f>
        <v>Overstock</v>
      </c>
      <c r="M675" s="93">
        <f>'Planning Engine'!S1391</f>
        <v>50010</v>
      </c>
      <c r="N675" s="95">
        <f>'Planning Engine'!T1391</f>
        <v>0</v>
      </c>
      <c r="O675" s="98" t="s">
        <v>2423</v>
      </c>
      <c r="P675" s="4" t="str">
        <f t="shared" ca="1" si="21"/>
        <v>Defer receipts</v>
      </c>
    </row>
    <row r="676" spans="1:16" ht="13" customHeight="1" x14ac:dyDescent="0.35">
      <c r="A676" s="93">
        <v>50161</v>
      </c>
      <c r="B676" s="61" t="s">
        <v>57</v>
      </c>
      <c r="C676" s="12" t="str">
        <f>'Planning Engine'!C1392</f>
        <v>Raw Material</v>
      </c>
      <c r="D676" s="12" t="str">
        <f>'Planning Engine'!D1392</f>
        <v>kg</v>
      </c>
      <c r="E676" s="95">
        <f>'Planning Engine'!E1392</f>
        <v>32.679999999999986</v>
      </c>
      <c r="F676" s="95">
        <f>'Planning Engine'!F1392</f>
        <v>0</v>
      </c>
      <c r="G676" s="95">
        <f>'Planning Engine'!G1392</f>
        <v>0</v>
      </c>
      <c r="H676" s="95">
        <f t="shared" si="20"/>
        <v>0</v>
      </c>
      <c r="I676" s="95">
        <f>'Planning Engine'!H1392</f>
        <v>32.679999999999986</v>
      </c>
      <c r="J676" s="96">
        <f ca="1">'Planning Engine'!J1392</f>
        <v>999</v>
      </c>
      <c r="K676" s="95">
        <f ca="1">'Planning Engine'!K1392</f>
        <v>0</v>
      </c>
      <c r="L676" s="12" t="str">
        <f ca="1">'Planning Engine'!L1392</f>
        <v>Overstock</v>
      </c>
      <c r="M676" s="93">
        <f>'Planning Engine'!S1392</f>
        <v>50041</v>
      </c>
      <c r="N676" s="95">
        <f>'Planning Engine'!T1392</f>
        <v>0</v>
      </c>
      <c r="O676" s="94" t="s">
        <v>2424</v>
      </c>
      <c r="P676" s="12" t="str">
        <f t="shared" ca="1" si="21"/>
        <v>Defer receipts</v>
      </c>
    </row>
    <row r="677" spans="1:16" ht="13" customHeight="1" x14ac:dyDescent="0.35">
      <c r="A677" s="97">
        <v>50192</v>
      </c>
      <c r="B677" s="53" t="s">
        <v>57</v>
      </c>
      <c r="C677" s="12" t="str">
        <f>'Planning Engine'!C1393</f>
        <v>Raw Material</v>
      </c>
      <c r="D677" s="12" t="str">
        <f>'Planning Engine'!D1393</f>
        <v>kg</v>
      </c>
      <c r="E677" s="95">
        <f>'Planning Engine'!E1393</f>
        <v>32.679999999999986</v>
      </c>
      <c r="F677" s="95">
        <f>'Planning Engine'!F1393</f>
        <v>0</v>
      </c>
      <c r="G677" s="95">
        <f>'Planning Engine'!G1393</f>
        <v>0</v>
      </c>
      <c r="H677" s="99">
        <f t="shared" si="20"/>
        <v>0</v>
      </c>
      <c r="I677" s="95">
        <f>'Planning Engine'!H1393</f>
        <v>32.679999999999986</v>
      </c>
      <c r="J677" s="96">
        <f ca="1">'Planning Engine'!J1393</f>
        <v>999</v>
      </c>
      <c r="K677" s="95">
        <f ca="1">'Planning Engine'!K1393</f>
        <v>0</v>
      </c>
      <c r="L677" s="12" t="str">
        <f ca="1">'Planning Engine'!L1393</f>
        <v>Overstock</v>
      </c>
      <c r="M677" s="93">
        <f>'Planning Engine'!S1393</f>
        <v>50072</v>
      </c>
      <c r="N677" s="95">
        <f>'Planning Engine'!T1393</f>
        <v>0</v>
      </c>
      <c r="O677" s="98" t="s">
        <v>2425</v>
      </c>
      <c r="P677" s="4" t="str">
        <f t="shared" ca="1" si="21"/>
        <v>Defer receipts</v>
      </c>
    </row>
    <row r="678" spans="1:16" ht="13" customHeight="1" x14ac:dyDescent="0.35">
      <c r="A678" s="93">
        <v>50222</v>
      </c>
      <c r="B678" s="61" t="s">
        <v>57</v>
      </c>
      <c r="C678" s="12" t="str">
        <f>'Planning Engine'!C1394</f>
        <v>Raw Material</v>
      </c>
      <c r="D678" s="12" t="str">
        <f>'Planning Engine'!D1394</f>
        <v>kg</v>
      </c>
      <c r="E678" s="95">
        <f>'Planning Engine'!E1394</f>
        <v>32.679999999999986</v>
      </c>
      <c r="F678" s="95">
        <f>'Planning Engine'!F1394</f>
        <v>0</v>
      </c>
      <c r="G678" s="95">
        <f>'Planning Engine'!G1394</f>
        <v>0</v>
      </c>
      <c r="H678" s="95">
        <f t="shared" si="20"/>
        <v>0</v>
      </c>
      <c r="I678" s="95">
        <f>'Planning Engine'!H1394</f>
        <v>32.679999999999986</v>
      </c>
      <c r="J678" s="96">
        <f ca="1">'Planning Engine'!J1394</f>
        <v>999</v>
      </c>
      <c r="K678" s="95">
        <f ca="1">'Planning Engine'!K1394</f>
        <v>0</v>
      </c>
      <c r="L678" s="12" t="str">
        <f ca="1">'Planning Engine'!L1394</f>
        <v>Overstock</v>
      </c>
      <c r="M678" s="93">
        <f>'Planning Engine'!S1394</f>
        <v>50100</v>
      </c>
      <c r="N678" s="95">
        <f>'Planning Engine'!T1394</f>
        <v>0</v>
      </c>
      <c r="O678" s="94" t="s">
        <v>2426</v>
      </c>
      <c r="P678" s="12" t="str">
        <f t="shared" ca="1" si="21"/>
        <v>Defer receipts</v>
      </c>
    </row>
    <row r="679" spans="1:16" ht="13" customHeight="1" x14ac:dyDescent="0.35">
      <c r="A679" s="97">
        <v>50253</v>
      </c>
      <c r="B679" s="53" t="s">
        <v>57</v>
      </c>
      <c r="C679" s="12" t="str">
        <f>'Planning Engine'!C1395</f>
        <v>Raw Material</v>
      </c>
      <c r="D679" s="12" t="str">
        <f>'Planning Engine'!D1395</f>
        <v>kg</v>
      </c>
      <c r="E679" s="95">
        <f>'Planning Engine'!E1395</f>
        <v>32.679999999999986</v>
      </c>
      <c r="F679" s="95">
        <f>'Planning Engine'!F1395</f>
        <v>0</v>
      </c>
      <c r="G679" s="95">
        <f>'Planning Engine'!G1395</f>
        <v>0</v>
      </c>
      <c r="H679" s="99">
        <f t="shared" si="20"/>
        <v>0</v>
      </c>
      <c r="I679" s="95">
        <f>'Planning Engine'!H1395</f>
        <v>32.679999999999986</v>
      </c>
      <c r="J679" s="96">
        <f ca="1">'Planning Engine'!J1395</f>
        <v>999</v>
      </c>
      <c r="K679" s="95">
        <f ca="1">'Planning Engine'!K1395</f>
        <v>0</v>
      </c>
      <c r="L679" s="12" t="str">
        <f ca="1">'Planning Engine'!L1395</f>
        <v>Overstock</v>
      </c>
      <c r="M679" s="93">
        <f>'Planning Engine'!S1395</f>
        <v>50131</v>
      </c>
      <c r="N679" s="95">
        <f>'Planning Engine'!T1395</f>
        <v>0</v>
      </c>
      <c r="O679" s="98" t="s">
        <v>2427</v>
      </c>
      <c r="P679" s="4" t="str">
        <f t="shared" ca="1" si="21"/>
        <v>Defer receipts</v>
      </c>
    </row>
    <row r="680" spans="1:16" ht="13" customHeight="1" x14ac:dyDescent="0.35">
      <c r="A680" s="93">
        <v>50284</v>
      </c>
      <c r="B680" s="61" t="s">
        <v>57</v>
      </c>
      <c r="C680" s="12" t="str">
        <f>'Planning Engine'!C1396</f>
        <v>Raw Material</v>
      </c>
      <c r="D680" s="12" t="str">
        <f>'Planning Engine'!D1396</f>
        <v>kg</v>
      </c>
      <c r="E680" s="95">
        <f>'Planning Engine'!E1396</f>
        <v>32.679999999999986</v>
      </c>
      <c r="F680" s="95">
        <f>'Planning Engine'!F1396</f>
        <v>0</v>
      </c>
      <c r="G680" s="95">
        <f>'Planning Engine'!G1396</f>
        <v>0</v>
      </c>
      <c r="H680" s="95">
        <f t="shared" si="20"/>
        <v>0</v>
      </c>
      <c r="I680" s="95">
        <f>'Planning Engine'!H1396</f>
        <v>32.679999999999986</v>
      </c>
      <c r="J680" s="96">
        <f ca="1">'Planning Engine'!J1396</f>
        <v>999</v>
      </c>
      <c r="K680" s="95">
        <f ca="1">'Planning Engine'!K1396</f>
        <v>0</v>
      </c>
      <c r="L680" s="12" t="str">
        <f ca="1">'Planning Engine'!L1396</f>
        <v>Overstock</v>
      </c>
      <c r="M680" s="93">
        <f>'Planning Engine'!S1396</f>
        <v>50161</v>
      </c>
      <c r="N680" s="95">
        <f>'Planning Engine'!T1396</f>
        <v>0</v>
      </c>
      <c r="O680" s="94" t="s">
        <v>2428</v>
      </c>
      <c r="P680" s="12" t="str">
        <f t="shared" ca="1" si="21"/>
        <v>Defer receipts</v>
      </c>
    </row>
    <row r="681" spans="1:16" ht="13" customHeight="1" x14ac:dyDescent="0.35">
      <c r="A681" s="97">
        <v>50314</v>
      </c>
      <c r="B681" s="53" t="s">
        <v>57</v>
      </c>
      <c r="C681" s="12" t="str">
        <f>'Planning Engine'!C1397</f>
        <v>Raw Material</v>
      </c>
      <c r="D681" s="12" t="str">
        <f>'Planning Engine'!D1397</f>
        <v>kg</v>
      </c>
      <c r="E681" s="95">
        <f>'Planning Engine'!E1397</f>
        <v>32.679999999999986</v>
      </c>
      <c r="F681" s="95">
        <f>'Planning Engine'!F1397</f>
        <v>0</v>
      </c>
      <c r="G681" s="95">
        <f>'Planning Engine'!G1397</f>
        <v>0</v>
      </c>
      <c r="H681" s="99">
        <f t="shared" si="20"/>
        <v>0</v>
      </c>
      <c r="I681" s="95">
        <f>'Planning Engine'!H1397</f>
        <v>32.679999999999986</v>
      </c>
      <c r="J681" s="96">
        <f ca="1">'Planning Engine'!J1397</f>
        <v>999</v>
      </c>
      <c r="K681" s="95">
        <f ca="1">'Planning Engine'!K1397</f>
        <v>0</v>
      </c>
      <c r="L681" s="12" t="str">
        <f ca="1">'Planning Engine'!L1397</f>
        <v>Overstock</v>
      </c>
      <c r="M681" s="93">
        <f>'Planning Engine'!S1397</f>
        <v>50192</v>
      </c>
      <c r="N681" s="95">
        <f>'Planning Engine'!T1397</f>
        <v>0</v>
      </c>
      <c r="O681" s="98" t="s">
        <v>2429</v>
      </c>
      <c r="P681" s="4" t="str">
        <f t="shared" ca="1" si="21"/>
        <v>Defer receipts</v>
      </c>
    </row>
    <row r="682" spans="1:16" ht="13" customHeight="1" x14ac:dyDescent="0.35">
      <c r="A682" s="93">
        <v>50345</v>
      </c>
      <c r="B682" s="61" t="s">
        <v>57</v>
      </c>
      <c r="C682" s="12" t="str">
        <f>'Planning Engine'!C1398</f>
        <v>Raw Material</v>
      </c>
      <c r="D682" s="12" t="str">
        <f>'Planning Engine'!D1398</f>
        <v>kg</v>
      </c>
      <c r="E682" s="95">
        <f>'Planning Engine'!E1398</f>
        <v>32.679999999999986</v>
      </c>
      <c r="F682" s="95">
        <f>'Planning Engine'!F1398</f>
        <v>0</v>
      </c>
      <c r="G682" s="95">
        <f>'Planning Engine'!G1398</f>
        <v>0</v>
      </c>
      <c r="H682" s="95">
        <f t="shared" si="20"/>
        <v>0</v>
      </c>
      <c r="I682" s="95">
        <f>'Planning Engine'!H1398</f>
        <v>32.679999999999986</v>
      </c>
      <c r="J682" s="96">
        <f ca="1">'Planning Engine'!J1398</f>
        <v>999</v>
      </c>
      <c r="K682" s="95">
        <f ca="1">'Planning Engine'!K1398</f>
        <v>0</v>
      </c>
      <c r="L682" s="12" t="str">
        <f ca="1">'Planning Engine'!L1398</f>
        <v>Overstock</v>
      </c>
      <c r="M682" s="93">
        <f>'Planning Engine'!S1398</f>
        <v>50222</v>
      </c>
      <c r="N682" s="95">
        <f>'Planning Engine'!T1398</f>
        <v>0</v>
      </c>
      <c r="O682" s="94" t="s">
        <v>2430</v>
      </c>
      <c r="P682" s="12" t="str">
        <f t="shared" ca="1" si="21"/>
        <v>Defer receipts</v>
      </c>
    </row>
    <row r="683" spans="1:16" ht="13" customHeight="1" x14ac:dyDescent="0.35">
      <c r="A683" s="97">
        <v>50375</v>
      </c>
      <c r="B683" s="53" t="s">
        <v>57</v>
      </c>
      <c r="C683" s="12" t="str">
        <f>'Planning Engine'!C1399</f>
        <v>Raw Material</v>
      </c>
      <c r="D683" s="12" t="str">
        <f>'Planning Engine'!D1399</f>
        <v>kg</v>
      </c>
      <c r="E683" s="95">
        <f>'Planning Engine'!E1399</f>
        <v>32.679999999999986</v>
      </c>
      <c r="F683" s="95">
        <f>'Planning Engine'!F1399</f>
        <v>0</v>
      </c>
      <c r="G683" s="95">
        <f>'Planning Engine'!G1399</f>
        <v>0</v>
      </c>
      <c r="H683" s="99">
        <f t="shared" si="20"/>
        <v>0</v>
      </c>
      <c r="I683" s="95">
        <f>'Planning Engine'!H1399</f>
        <v>32.679999999999986</v>
      </c>
      <c r="J683" s="96">
        <f ca="1">'Planning Engine'!J1399</f>
        <v>999</v>
      </c>
      <c r="K683" s="95">
        <f ca="1">'Planning Engine'!K1399</f>
        <v>0</v>
      </c>
      <c r="L683" s="12" t="str">
        <f ca="1">'Planning Engine'!L1399</f>
        <v>Overstock</v>
      </c>
      <c r="M683" s="93">
        <f>'Planning Engine'!S1399</f>
        <v>50253</v>
      </c>
      <c r="N683" s="95">
        <f>'Planning Engine'!T1399</f>
        <v>0</v>
      </c>
      <c r="O683" s="98" t="s">
        <v>2431</v>
      </c>
      <c r="P683" s="4" t="str">
        <f t="shared" ca="1" si="21"/>
        <v>Defer receipts</v>
      </c>
    </row>
    <row r="684" spans="1:16" ht="13" customHeight="1" x14ac:dyDescent="0.35">
      <c r="A684" s="93">
        <v>50406</v>
      </c>
      <c r="B684" s="61" t="s">
        <v>57</v>
      </c>
      <c r="C684" s="12" t="str">
        <f>'Planning Engine'!C1400</f>
        <v>Raw Material</v>
      </c>
      <c r="D684" s="12" t="str">
        <f>'Planning Engine'!D1400</f>
        <v>kg</v>
      </c>
      <c r="E684" s="95">
        <f>'Planning Engine'!E1400</f>
        <v>32.679999999999986</v>
      </c>
      <c r="F684" s="95">
        <f>'Planning Engine'!F1400</f>
        <v>0</v>
      </c>
      <c r="G684" s="95">
        <f>'Planning Engine'!G1400</f>
        <v>0</v>
      </c>
      <c r="H684" s="95">
        <f t="shared" si="20"/>
        <v>0</v>
      </c>
      <c r="I684" s="95">
        <f>'Planning Engine'!H1400</f>
        <v>32.679999999999986</v>
      </c>
      <c r="J684" s="96">
        <f ca="1">'Planning Engine'!J1400</f>
        <v>999</v>
      </c>
      <c r="K684" s="95">
        <f ca="1">'Planning Engine'!K1400</f>
        <v>0</v>
      </c>
      <c r="L684" s="12" t="str">
        <f ca="1">'Planning Engine'!L1400</f>
        <v>Overstock</v>
      </c>
      <c r="M684" s="93">
        <f>'Planning Engine'!S1400</f>
        <v>50284</v>
      </c>
      <c r="N684" s="95">
        <f>'Planning Engine'!T1400</f>
        <v>0</v>
      </c>
      <c r="O684" s="94" t="s">
        <v>2432</v>
      </c>
      <c r="P684" s="12" t="str">
        <f t="shared" ca="1" si="21"/>
        <v>Defer receipts</v>
      </c>
    </row>
    <row r="685" spans="1:16" ht="13" customHeight="1" x14ac:dyDescent="0.35">
      <c r="A685" s="97">
        <v>50437</v>
      </c>
      <c r="B685" s="53" t="s">
        <v>57</v>
      </c>
      <c r="C685" s="12" t="str">
        <f>'Planning Engine'!C1401</f>
        <v>Raw Material</v>
      </c>
      <c r="D685" s="12" t="str">
        <f>'Planning Engine'!D1401</f>
        <v>kg</v>
      </c>
      <c r="E685" s="95">
        <f>'Planning Engine'!E1401</f>
        <v>32.679999999999986</v>
      </c>
      <c r="F685" s="95">
        <f>'Planning Engine'!F1401</f>
        <v>0</v>
      </c>
      <c r="G685" s="95">
        <f>'Planning Engine'!G1401</f>
        <v>0</v>
      </c>
      <c r="H685" s="99">
        <f t="shared" si="20"/>
        <v>0</v>
      </c>
      <c r="I685" s="95">
        <f>'Planning Engine'!H1401</f>
        <v>32.679999999999986</v>
      </c>
      <c r="J685" s="96">
        <f ca="1">'Planning Engine'!J1401</f>
        <v>999</v>
      </c>
      <c r="K685" s="95">
        <f ca="1">'Planning Engine'!K1401</f>
        <v>0</v>
      </c>
      <c r="L685" s="12" t="str">
        <f ca="1">'Planning Engine'!L1401</f>
        <v>Overstock</v>
      </c>
      <c r="M685" s="93">
        <f>'Planning Engine'!S1401</f>
        <v>50314</v>
      </c>
      <c r="N685" s="95">
        <f>'Planning Engine'!T1401</f>
        <v>0</v>
      </c>
      <c r="O685" s="98" t="s">
        <v>2433</v>
      </c>
      <c r="P685" s="4" t="str">
        <f t="shared" ca="1" si="21"/>
        <v>Defer receipts</v>
      </c>
    </row>
    <row r="686" spans="1:16" ht="13" customHeight="1" x14ac:dyDescent="0.35">
      <c r="A686" s="93">
        <v>50465</v>
      </c>
      <c r="B686" s="61" t="s">
        <v>57</v>
      </c>
      <c r="C686" s="12" t="str">
        <f>'Planning Engine'!C1402</f>
        <v>Raw Material</v>
      </c>
      <c r="D686" s="12" t="str">
        <f>'Planning Engine'!D1402</f>
        <v>kg</v>
      </c>
      <c r="E686" s="95">
        <f>'Planning Engine'!E1402</f>
        <v>32.679999999999986</v>
      </c>
      <c r="F686" s="95">
        <f>'Planning Engine'!F1402</f>
        <v>0</v>
      </c>
      <c r="G686" s="95">
        <f>'Planning Engine'!G1402</f>
        <v>0</v>
      </c>
      <c r="H686" s="95">
        <f t="shared" si="20"/>
        <v>0</v>
      </c>
      <c r="I686" s="95">
        <f>'Planning Engine'!H1402</f>
        <v>32.679999999999986</v>
      </c>
      <c r="J686" s="96">
        <f ca="1">'Planning Engine'!J1402</f>
        <v>999</v>
      </c>
      <c r="K686" s="95">
        <f ca="1">'Planning Engine'!K1402</f>
        <v>0</v>
      </c>
      <c r="L686" s="12" t="str">
        <f ca="1">'Planning Engine'!L1402</f>
        <v>Overstock</v>
      </c>
      <c r="M686" s="93">
        <f>'Planning Engine'!S1402</f>
        <v>50345</v>
      </c>
      <c r="N686" s="95">
        <f>'Planning Engine'!T1402</f>
        <v>0</v>
      </c>
      <c r="O686" s="94" t="s">
        <v>2434</v>
      </c>
      <c r="P686" s="12" t="str">
        <f t="shared" ca="1" si="21"/>
        <v>Defer receipts</v>
      </c>
    </row>
    <row r="687" spans="1:16" ht="13" customHeight="1" x14ac:dyDescent="0.35">
      <c r="A687" s="97">
        <v>50496</v>
      </c>
      <c r="B687" s="53" t="s">
        <v>57</v>
      </c>
      <c r="C687" s="12" t="str">
        <f>'Planning Engine'!C1403</f>
        <v>Raw Material</v>
      </c>
      <c r="D687" s="12" t="str">
        <f>'Planning Engine'!D1403</f>
        <v>kg</v>
      </c>
      <c r="E687" s="95">
        <f>'Planning Engine'!E1403</f>
        <v>32.679999999999986</v>
      </c>
      <c r="F687" s="95">
        <f>'Planning Engine'!F1403</f>
        <v>0</v>
      </c>
      <c r="G687" s="95">
        <f>'Planning Engine'!G1403</f>
        <v>0</v>
      </c>
      <c r="H687" s="99">
        <f t="shared" si="20"/>
        <v>0</v>
      </c>
      <c r="I687" s="95">
        <f>'Planning Engine'!H1403</f>
        <v>32.679999999999986</v>
      </c>
      <c r="J687" s="96">
        <f ca="1">'Planning Engine'!J1403</f>
        <v>999</v>
      </c>
      <c r="K687" s="95">
        <f ca="1">'Planning Engine'!K1403</f>
        <v>0</v>
      </c>
      <c r="L687" s="12" t="str">
        <f ca="1">'Planning Engine'!L1403</f>
        <v>Overstock</v>
      </c>
      <c r="M687" s="93">
        <f>'Planning Engine'!S1403</f>
        <v>50375</v>
      </c>
      <c r="N687" s="95">
        <f>'Planning Engine'!T1403</f>
        <v>0</v>
      </c>
      <c r="O687" s="98" t="s">
        <v>2435</v>
      </c>
      <c r="P687" s="4" t="str">
        <f t="shared" ca="1" si="21"/>
        <v>Defer receipts</v>
      </c>
    </row>
    <row r="688" spans="1:16" ht="13" customHeight="1" x14ac:dyDescent="0.35">
      <c r="A688" s="93">
        <v>50526</v>
      </c>
      <c r="B688" s="61" t="s">
        <v>57</v>
      </c>
      <c r="C688" s="12" t="str">
        <f>'Planning Engine'!C1404</f>
        <v>Raw Material</v>
      </c>
      <c r="D688" s="12" t="str">
        <f>'Planning Engine'!D1404</f>
        <v>kg</v>
      </c>
      <c r="E688" s="95">
        <f>'Planning Engine'!E1404</f>
        <v>32.679999999999986</v>
      </c>
      <c r="F688" s="95">
        <f>'Planning Engine'!F1404</f>
        <v>0</v>
      </c>
      <c r="G688" s="95">
        <f>'Planning Engine'!G1404</f>
        <v>0</v>
      </c>
      <c r="H688" s="95">
        <f t="shared" si="20"/>
        <v>0</v>
      </c>
      <c r="I688" s="95">
        <f>'Planning Engine'!H1404</f>
        <v>32.679999999999986</v>
      </c>
      <c r="J688" s="96">
        <f ca="1">'Planning Engine'!J1404</f>
        <v>999</v>
      </c>
      <c r="K688" s="95">
        <f ca="1">'Planning Engine'!K1404</f>
        <v>0</v>
      </c>
      <c r="L688" s="12" t="str">
        <f ca="1">'Planning Engine'!L1404</f>
        <v>Overstock</v>
      </c>
      <c r="M688" s="93">
        <f>'Planning Engine'!S1404</f>
        <v>50406</v>
      </c>
      <c r="N688" s="95">
        <f>'Planning Engine'!T1404</f>
        <v>0</v>
      </c>
      <c r="O688" s="94" t="s">
        <v>2436</v>
      </c>
      <c r="P688" s="12" t="str">
        <f t="shared" ca="1" si="21"/>
        <v>Defer receipts</v>
      </c>
    </row>
    <row r="689" spans="1:16" ht="13" customHeight="1" x14ac:dyDescent="0.35">
      <c r="A689" s="97">
        <v>50557</v>
      </c>
      <c r="B689" s="53" t="s">
        <v>57</v>
      </c>
      <c r="C689" s="12" t="str">
        <f>'Planning Engine'!C1405</f>
        <v>Raw Material</v>
      </c>
      <c r="D689" s="12" t="str">
        <f>'Planning Engine'!D1405</f>
        <v>kg</v>
      </c>
      <c r="E689" s="95">
        <f>'Planning Engine'!E1405</f>
        <v>32.679999999999986</v>
      </c>
      <c r="F689" s="95">
        <f>'Planning Engine'!F1405</f>
        <v>0</v>
      </c>
      <c r="G689" s="95">
        <f>'Planning Engine'!G1405</f>
        <v>0</v>
      </c>
      <c r="H689" s="99">
        <f t="shared" si="20"/>
        <v>0</v>
      </c>
      <c r="I689" s="95">
        <f>'Planning Engine'!H1405</f>
        <v>32.679999999999986</v>
      </c>
      <c r="J689" s="96">
        <f ca="1">'Planning Engine'!J1405</f>
        <v>999</v>
      </c>
      <c r="K689" s="95">
        <f ca="1">'Planning Engine'!K1405</f>
        <v>0</v>
      </c>
      <c r="L689" s="12" t="str">
        <f ca="1">'Planning Engine'!L1405</f>
        <v>Overstock</v>
      </c>
      <c r="M689" s="93">
        <f>'Planning Engine'!S1405</f>
        <v>50437</v>
      </c>
      <c r="N689" s="95">
        <f>'Planning Engine'!T1405</f>
        <v>0</v>
      </c>
      <c r="O689" s="98" t="s">
        <v>2437</v>
      </c>
      <c r="P689" s="4" t="str">
        <f t="shared" ca="1" si="21"/>
        <v>Defer receipts</v>
      </c>
    </row>
    <row r="690" spans="1:16" ht="13" customHeight="1" x14ac:dyDescent="0.35">
      <c r="A690" s="93">
        <v>50587</v>
      </c>
      <c r="B690" s="61" t="s">
        <v>57</v>
      </c>
      <c r="C690" s="12" t="str">
        <f>'Planning Engine'!C1406</f>
        <v>Raw Material</v>
      </c>
      <c r="D690" s="12" t="str">
        <f>'Planning Engine'!D1406</f>
        <v>kg</v>
      </c>
      <c r="E690" s="95">
        <f>'Planning Engine'!E1406</f>
        <v>32.679999999999986</v>
      </c>
      <c r="F690" s="95">
        <f>'Planning Engine'!F1406</f>
        <v>0</v>
      </c>
      <c r="G690" s="95">
        <f>'Planning Engine'!G1406</f>
        <v>0</v>
      </c>
      <c r="H690" s="95">
        <f t="shared" si="20"/>
        <v>0</v>
      </c>
      <c r="I690" s="95">
        <f>'Planning Engine'!H1406</f>
        <v>32.679999999999986</v>
      </c>
      <c r="J690" s="96">
        <f ca="1">'Planning Engine'!J1406</f>
        <v>999</v>
      </c>
      <c r="K690" s="95">
        <f ca="1">'Planning Engine'!K1406</f>
        <v>0</v>
      </c>
      <c r="L690" s="12" t="str">
        <f ca="1">'Planning Engine'!L1406</f>
        <v>Overstock</v>
      </c>
      <c r="M690" s="93">
        <f>'Planning Engine'!S1406</f>
        <v>50465</v>
      </c>
      <c r="N690" s="95">
        <f>'Planning Engine'!T1406</f>
        <v>0</v>
      </c>
      <c r="O690" s="94" t="s">
        <v>2438</v>
      </c>
      <c r="P690" s="12" t="str">
        <f t="shared" ca="1" si="21"/>
        <v>Defer receipts</v>
      </c>
    </row>
    <row r="691" spans="1:16" ht="13" customHeight="1" x14ac:dyDescent="0.35">
      <c r="A691" s="97">
        <v>50618</v>
      </c>
      <c r="B691" s="53" t="s">
        <v>57</v>
      </c>
      <c r="C691" s="12" t="str">
        <f>'Planning Engine'!C1407</f>
        <v>Raw Material</v>
      </c>
      <c r="D691" s="12" t="str">
        <f>'Planning Engine'!D1407</f>
        <v>kg</v>
      </c>
      <c r="E691" s="95">
        <f>'Planning Engine'!E1407</f>
        <v>32.679999999999986</v>
      </c>
      <c r="F691" s="95">
        <f>'Planning Engine'!F1407</f>
        <v>0</v>
      </c>
      <c r="G691" s="95">
        <f>'Planning Engine'!G1407</f>
        <v>0</v>
      </c>
      <c r="H691" s="99">
        <f t="shared" si="20"/>
        <v>0</v>
      </c>
      <c r="I691" s="95">
        <f>'Planning Engine'!H1407</f>
        <v>32.679999999999986</v>
      </c>
      <c r="J691" s="96">
        <f ca="1">'Planning Engine'!J1407</f>
        <v>999</v>
      </c>
      <c r="K691" s="95">
        <f ca="1">'Planning Engine'!K1407</f>
        <v>0</v>
      </c>
      <c r="L691" s="12" t="str">
        <f ca="1">'Planning Engine'!L1407</f>
        <v>Overstock</v>
      </c>
      <c r="M691" s="93">
        <f>'Planning Engine'!S1407</f>
        <v>50496</v>
      </c>
      <c r="N691" s="95">
        <f>'Planning Engine'!T1407</f>
        <v>0</v>
      </c>
      <c r="O691" s="98" t="s">
        <v>2439</v>
      </c>
      <c r="P691" s="4" t="str">
        <f t="shared" ca="1" si="21"/>
        <v>Defer receipts</v>
      </c>
    </row>
    <row r="692" spans="1:16" ht="13" customHeight="1" x14ac:dyDescent="0.35">
      <c r="A692" s="93">
        <v>50649</v>
      </c>
      <c r="B692" s="61" t="s">
        <v>57</v>
      </c>
      <c r="C692" s="12" t="str">
        <f>'Planning Engine'!C1408</f>
        <v>Raw Material</v>
      </c>
      <c r="D692" s="12" t="str">
        <f>'Planning Engine'!D1408</f>
        <v>kg</v>
      </c>
      <c r="E692" s="95">
        <f>'Planning Engine'!E1408</f>
        <v>32.679999999999986</v>
      </c>
      <c r="F692" s="95">
        <f>'Planning Engine'!F1408</f>
        <v>0</v>
      </c>
      <c r="G692" s="95">
        <f>'Planning Engine'!G1408</f>
        <v>0</v>
      </c>
      <c r="H692" s="95">
        <f t="shared" si="20"/>
        <v>0</v>
      </c>
      <c r="I692" s="95">
        <f>'Planning Engine'!H1408</f>
        <v>32.679999999999986</v>
      </c>
      <c r="J692" s="96">
        <f ca="1">'Planning Engine'!J1408</f>
        <v>999</v>
      </c>
      <c r="K692" s="95">
        <f ca="1">'Planning Engine'!K1408</f>
        <v>0</v>
      </c>
      <c r="L692" s="12" t="str">
        <f ca="1">'Planning Engine'!L1408</f>
        <v>Overstock</v>
      </c>
      <c r="M692" s="93">
        <f>'Planning Engine'!S1408</f>
        <v>50526</v>
      </c>
      <c r="N692" s="95">
        <f>'Planning Engine'!T1408</f>
        <v>0</v>
      </c>
      <c r="O692" s="94" t="s">
        <v>2440</v>
      </c>
      <c r="P692" s="12" t="str">
        <f t="shared" ca="1" si="21"/>
        <v>Defer receipts</v>
      </c>
    </row>
    <row r="693" spans="1:16" ht="13" customHeight="1" x14ac:dyDescent="0.35">
      <c r="A693" s="97">
        <v>50679</v>
      </c>
      <c r="B693" s="53" t="s">
        <v>57</v>
      </c>
      <c r="C693" s="12" t="str">
        <f>'Planning Engine'!C1409</f>
        <v>Raw Material</v>
      </c>
      <c r="D693" s="12" t="str">
        <f>'Planning Engine'!D1409</f>
        <v>kg</v>
      </c>
      <c r="E693" s="95">
        <f>'Planning Engine'!E1409</f>
        <v>32.679999999999986</v>
      </c>
      <c r="F693" s="95">
        <f>'Planning Engine'!F1409</f>
        <v>0</v>
      </c>
      <c r="G693" s="95">
        <f>'Planning Engine'!G1409</f>
        <v>0</v>
      </c>
      <c r="H693" s="99">
        <f t="shared" si="20"/>
        <v>0</v>
      </c>
      <c r="I693" s="95">
        <f>'Planning Engine'!H1409</f>
        <v>32.679999999999986</v>
      </c>
      <c r="J693" s="96">
        <f ca="1">'Planning Engine'!J1409</f>
        <v>999</v>
      </c>
      <c r="K693" s="95">
        <f ca="1">'Planning Engine'!K1409</f>
        <v>0</v>
      </c>
      <c r="L693" s="12" t="str">
        <f ca="1">'Planning Engine'!L1409</f>
        <v>Overstock</v>
      </c>
      <c r="M693" s="93">
        <f>'Planning Engine'!S1409</f>
        <v>50557</v>
      </c>
      <c r="N693" s="95">
        <f>'Planning Engine'!T1409</f>
        <v>0</v>
      </c>
      <c r="O693" s="98" t="s">
        <v>2441</v>
      </c>
      <c r="P693" s="4" t="str">
        <f t="shared" ca="1" si="21"/>
        <v>Defer receipts</v>
      </c>
    </row>
    <row r="694" spans="1:16" ht="13" customHeight="1" x14ac:dyDescent="0.35">
      <c r="A694" s="93">
        <v>50710</v>
      </c>
      <c r="B694" s="61" t="s">
        <v>57</v>
      </c>
      <c r="C694" s="12" t="str">
        <f>'Planning Engine'!C1410</f>
        <v>Raw Material</v>
      </c>
      <c r="D694" s="12" t="str">
        <f>'Planning Engine'!D1410</f>
        <v>kg</v>
      </c>
      <c r="E694" s="95">
        <f>'Planning Engine'!E1410</f>
        <v>32.679999999999986</v>
      </c>
      <c r="F694" s="95">
        <f>'Planning Engine'!F1410</f>
        <v>0</v>
      </c>
      <c r="G694" s="95">
        <f>'Planning Engine'!G1410</f>
        <v>0</v>
      </c>
      <c r="H694" s="95">
        <f t="shared" si="20"/>
        <v>0</v>
      </c>
      <c r="I694" s="95">
        <f>'Planning Engine'!H1410</f>
        <v>32.679999999999986</v>
      </c>
      <c r="J694" s="96">
        <f ca="1">'Planning Engine'!J1410</f>
        <v>999</v>
      </c>
      <c r="K694" s="95">
        <f ca="1">'Planning Engine'!K1410</f>
        <v>0</v>
      </c>
      <c r="L694" s="12" t="str">
        <f ca="1">'Planning Engine'!L1410</f>
        <v>Overstock</v>
      </c>
      <c r="M694" s="93">
        <f>'Planning Engine'!S1410</f>
        <v>50587</v>
      </c>
      <c r="N694" s="95">
        <f>'Planning Engine'!T1410</f>
        <v>0</v>
      </c>
      <c r="O694" s="94" t="s">
        <v>2442</v>
      </c>
      <c r="P694" s="12" t="str">
        <f t="shared" ca="1" si="21"/>
        <v>Defer receipts</v>
      </c>
    </row>
    <row r="695" spans="1:16" ht="13" customHeight="1" x14ac:dyDescent="0.35">
      <c r="A695" s="97">
        <v>50740</v>
      </c>
      <c r="B695" s="53" t="s">
        <v>57</v>
      </c>
      <c r="C695" s="12" t="str">
        <f>'Planning Engine'!C1411</f>
        <v>Raw Material</v>
      </c>
      <c r="D695" s="12" t="str">
        <f>'Planning Engine'!D1411</f>
        <v>kg</v>
      </c>
      <c r="E695" s="95">
        <f>'Planning Engine'!E1411</f>
        <v>32.679999999999986</v>
      </c>
      <c r="F695" s="95">
        <f>'Planning Engine'!F1411</f>
        <v>0</v>
      </c>
      <c r="G695" s="95">
        <f>'Planning Engine'!G1411</f>
        <v>0</v>
      </c>
      <c r="H695" s="99">
        <f t="shared" si="20"/>
        <v>0</v>
      </c>
      <c r="I695" s="95">
        <f>'Planning Engine'!H1411</f>
        <v>32.679999999999986</v>
      </c>
      <c r="J695" s="96">
        <f ca="1">'Planning Engine'!J1411</f>
        <v>999</v>
      </c>
      <c r="K695" s="95">
        <f ca="1">'Planning Engine'!K1411</f>
        <v>0</v>
      </c>
      <c r="L695" s="12" t="str">
        <f ca="1">'Planning Engine'!L1411</f>
        <v>Overstock</v>
      </c>
      <c r="M695" s="93">
        <f>'Planning Engine'!S1411</f>
        <v>50618</v>
      </c>
      <c r="N695" s="95">
        <f>'Planning Engine'!T1411</f>
        <v>0</v>
      </c>
      <c r="O695" s="98" t="s">
        <v>2443</v>
      </c>
      <c r="P695" s="4" t="str">
        <f t="shared" ca="1" si="21"/>
        <v>Defer receipts</v>
      </c>
    </row>
    <row r="696" spans="1:16" ht="13" customHeight="1" x14ac:dyDescent="0.35">
      <c r="A696" s="93">
        <v>50771</v>
      </c>
      <c r="B696" s="61" t="s">
        <v>57</v>
      </c>
      <c r="C696" s="12" t="str">
        <f>'Planning Engine'!C1412</f>
        <v>Raw Material</v>
      </c>
      <c r="D696" s="12" t="str">
        <f>'Planning Engine'!D1412</f>
        <v>kg</v>
      </c>
      <c r="E696" s="95">
        <f>'Planning Engine'!E1412</f>
        <v>32.679999999999986</v>
      </c>
      <c r="F696" s="95">
        <f>'Planning Engine'!F1412</f>
        <v>0</v>
      </c>
      <c r="G696" s="95">
        <f>'Planning Engine'!G1412</f>
        <v>0</v>
      </c>
      <c r="H696" s="95">
        <f t="shared" si="20"/>
        <v>0</v>
      </c>
      <c r="I696" s="95">
        <f>'Planning Engine'!H1412</f>
        <v>32.679999999999986</v>
      </c>
      <c r="J696" s="96">
        <f ca="1">'Planning Engine'!J1412</f>
        <v>999</v>
      </c>
      <c r="K696" s="95">
        <f ca="1">'Planning Engine'!K1412</f>
        <v>0</v>
      </c>
      <c r="L696" s="12" t="str">
        <f ca="1">'Planning Engine'!L1412</f>
        <v>Overstock</v>
      </c>
      <c r="M696" s="93">
        <f>'Planning Engine'!S1412</f>
        <v>50649</v>
      </c>
      <c r="N696" s="95">
        <f>'Planning Engine'!T1412</f>
        <v>0</v>
      </c>
      <c r="O696" s="94" t="s">
        <v>2444</v>
      </c>
      <c r="P696" s="12" t="str">
        <f t="shared" ca="1" si="21"/>
        <v>Defer receipts</v>
      </c>
    </row>
    <row r="697" spans="1:16" ht="13" customHeight="1" x14ac:dyDescent="0.35">
      <c r="A697" s="97">
        <v>50802</v>
      </c>
      <c r="B697" s="53" t="s">
        <v>57</v>
      </c>
      <c r="C697" s="12" t="str">
        <f>'Planning Engine'!C1413</f>
        <v>Raw Material</v>
      </c>
      <c r="D697" s="12" t="str">
        <f>'Planning Engine'!D1413</f>
        <v>kg</v>
      </c>
      <c r="E697" s="95">
        <f>'Planning Engine'!E1413</f>
        <v>32.679999999999986</v>
      </c>
      <c r="F697" s="95">
        <f>'Planning Engine'!F1413</f>
        <v>0</v>
      </c>
      <c r="G697" s="95">
        <f>'Planning Engine'!G1413</f>
        <v>0</v>
      </c>
      <c r="H697" s="99">
        <f t="shared" si="20"/>
        <v>0</v>
      </c>
      <c r="I697" s="95">
        <f>'Planning Engine'!H1413</f>
        <v>32.679999999999986</v>
      </c>
      <c r="J697" s="96">
        <f ca="1">'Planning Engine'!J1413</f>
        <v>999</v>
      </c>
      <c r="K697" s="95">
        <f ca="1">'Planning Engine'!K1413</f>
        <v>0</v>
      </c>
      <c r="L697" s="12" t="str">
        <f ca="1">'Planning Engine'!L1413</f>
        <v>Overstock</v>
      </c>
      <c r="M697" s="93">
        <f>'Planning Engine'!S1413</f>
        <v>50679</v>
      </c>
      <c r="N697" s="95">
        <f>'Planning Engine'!T1413</f>
        <v>0</v>
      </c>
      <c r="O697" s="98" t="s">
        <v>2445</v>
      </c>
      <c r="P697" s="4" t="str">
        <f t="shared" ca="1" si="21"/>
        <v>Defer receipts</v>
      </c>
    </row>
    <row r="698" spans="1:16" ht="13" customHeight="1" x14ac:dyDescent="0.35">
      <c r="A698" s="93">
        <v>50830</v>
      </c>
      <c r="B698" s="61" t="s">
        <v>57</v>
      </c>
      <c r="C698" s="12" t="str">
        <f>'Planning Engine'!C1414</f>
        <v>Raw Material</v>
      </c>
      <c r="D698" s="12" t="str">
        <f>'Planning Engine'!D1414</f>
        <v>kg</v>
      </c>
      <c r="E698" s="95">
        <f>'Planning Engine'!E1414</f>
        <v>32.679999999999986</v>
      </c>
      <c r="F698" s="95">
        <f>'Planning Engine'!F1414</f>
        <v>0</v>
      </c>
      <c r="G698" s="95">
        <f>'Planning Engine'!G1414</f>
        <v>0</v>
      </c>
      <c r="H698" s="95">
        <f t="shared" si="20"/>
        <v>0</v>
      </c>
      <c r="I698" s="95">
        <f>'Planning Engine'!H1414</f>
        <v>32.679999999999986</v>
      </c>
      <c r="J698" s="96">
        <f ca="1">'Planning Engine'!J1414</f>
        <v>999</v>
      </c>
      <c r="K698" s="95">
        <f ca="1">'Planning Engine'!K1414</f>
        <v>0</v>
      </c>
      <c r="L698" s="12" t="str">
        <f ca="1">'Planning Engine'!L1414</f>
        <v>Overstock</v>
      </c>
      <c r="M698" s="93">
        <f>'Planning Engine'!S1414</f>
        <v>50710</v>
      </c>
      <c r="N698" s="95">
        <f>'Planning Engine'!T1414</f>
        <v>0</v>
      </c>
      <c r="O698" s="94" t="s">
        <v>2446</v>
      </c>
      <c r="P698" s="12" t="str">
        <f t="shared" ca="1" si="21"/>
        <v>Defer receipts</v>
      </c>
    </row>
    <row r="699" spans="1:16" ht="13" customHeight="1" x14ac:dyDescent="0.35">
      <c r="A699" s="97">
        <v>50861</v>
      </c>
      <c r="B699" s="53" t="s">
        <v>57</v>
      </c>
      <c r="C699" s="12" t="str">
        <f>'Planning Engine'!C1415</f>
        <v>Raw Material</v>
      </c>
      <c r="D699" s="12" t="str">
        <f>'Planning Engine'!D1415</f>
        <v>kg</v>
      </c>
      <c r="E699" s="95">
        <f>'Planning Engine'!E1415</f>
        <v>32.679999999999986</v>
      </c>
      <c r="F699" s="95">
        <f>'Planning Engine'!F1415</f>
        <v>0</v>
      </c>
      <c r="G699" s="95">
        <f>'Planning Engine'!G1415</f>
        <v>0</v>
      </c>
      <c r="H699" s="99">
        <f t="shared" si="20"/>
        <v>0</v>
      </c>
      <c r="I699" s="95">
        <f>'Planning Engine'!H1415</f>
        <v>32.679999999999986</v>
      </c>
      <c r="J699" s="96">
        <f ca="1">'Planning Engine'!J1415</f>
        <v>999</v>
      </c>
      <c r="K699" s="95">
        <f ca="1">'Planning Engine'!K1415</f>
        <v>0</v>
      </c>
      <c r="L699" s="12" t="str">
        <f ca="1">'Planning Engine'!L1415</f>
        <v>Overstock</v>
      </c>
      <c r="M699" s="93">
        <f>'Planning Engine'!S1415</f>
        <v>50740</v>
      </c>
      <c r="N699" s="95">
        <f>'Planning Engine'!T1415</f>
        <v>0</v>
      </c>
      <c r="O699" s="98" t="s">
        <v>2447</v>
      </c>
      <c r="P699" s="4" t="str">
        <f t="shared" ca="1" si="21"/>
        <v>Defer receipts</v>
      </c>
    </row>
    <row r="700" spans="1:16" ht="13" customHeight="1" x14ac:dyDescent="0.35">
      <c r="A700" s="93">
        <v>50891</v>
      </c>
      <c r="B700" s="61" t="s">
        <v>57</v>
      </c>
      <c r="C700" s="12" t="str">
        <f>'Planning Engine'!C1416</f>
        <v>Raw Material</v>
      </c>
      <c r="D700" s="12" t="str">
        <f>'Planning Engine'!D1416</f>
        <v>kg</v>
      </c>
      <c r="E700" s="95">
        <f>'Planning Engine'!E1416</f>
        <v>32.679999999999986</v>
      </c>
      <c r="F700" s="95">
        <f>'Planning Engine'!F1416</f>
        <v>0</v>
      </c>
      <c r="G700" s="95">
        <f>'Planning Engine'!G1416</f>
        <v>0</v>
      </c>
      <c r="H700" s="95">
        <f t="shared" si="20"/>
        <v>0</v>
      </c>
      <c r="I700" s="95">
        <f>'Planning Engine'!H1416</f>
        <v>32.679999999999986</v>
      </c>
      <c r="J700" s="96">
        <f ca="1">'Planning Engine'!J1416</f>
        <v>999</v>
      </c>
      <c r="K700" s="95">
        <f ca="1">'Planning Engine'!K1416</f>
        <v>0</v>
      </c>
      <c r="L700" s="12" t="str">
        <f ca="1">'Planning Engine'!L1416</f>
        <v>Overstock</v>
      </c>
      <c r="M700" s="93">
        <f>'Planning Engine'!S1416</f>
        <v>50771</v>
      </c>
      <c r="N700" s="95">
        <f>'Planning Engine'!T1416</f>
        <v>0</v>
      </c>
      <c r="O700" s="94" t="s">
        <v>2448</v>
      </c>
      <c r="P700" s="12" t="str">
        <f t="shared" ca="1" si="21"/>
        <v>Defer receipts</v>
      </c>
    </row>
    <row r="701" spans="1:16" ht="13" customHeight="1" x14ac:dyDescent="0.35">
      <c r="A701" s="97">
        <v>50922</v>
      </c>
      <c r="B701" s="53" t="s">
        <v>57</v>
      </c>
      <c r="C701" s="12" t="str">
        <f>'Planning Engine'!C1417</f>
        <v>Raw Material</v>
      </c>
      <c r="D701" s="12" t="str">
        <f>'Planning Engine'!D1417</f>
        <v>kg</v>
      </c>
      <c r="E701" s="95">
        <f>'Planning Engine'!E1417</f>
        <v>32.679999999999986</v>
      </c>
      <c r="F701" s="95">
        <f>'Planning Engine'!F1417</f>
        <v>0</v>
      </c>
      <c r="G701" s="95">
        <f>'Planning Engine'!G1417</f>
        <v>0</v>
      </c>
      <c r="H701" s="99">
        <f t="shared" si="20"/>
        <v>0</v>
      </c>
      <c r="I701" s="95">
        <f>'Planning Engine'!H1417</f>
        <v>32.679999999999986</v>
      </c>
      <c r="J701" s="96">
        <f ca="1">'Planning Engine'!J1417</f>
        <v>999</v>
      </c>
      <c r="K701" s="95">
        <f ca="1">'Planning Engine'!K1417</f>
        <v>0</v>
      </c>
      <c r="L701" s="12" t="str">
        <f ca="1">'Planning Engine'!L1417</f>
        <v>Overstock</v>
      </c>
      <c r="M701" s="93">
        <f>'Planning Engine'!S1417</f>
        <v>50802</v>
      </c>
      <c r="N701" s="95">
        <f>'Planning Engine'!T1417</f>
        <v>0</v>
      </c>
      <c r="O701" s="98" t="s">
        <v>2449</v>
      </c>
      <c r="P701" s="4" t="str">
        <f t="shared" ca="1" si="21"/>
        <v>Defer receipts</v>
      </c>
    </row>
    <row r="702" spans="1:16" ht="13" customHeight="1" x14ac:dyDescent="0.35">
      <c r="A702" s="93">
        <v>50952</v>
      </c>
      <c r="B702" s="61" t="s">
        <v>57</v>
      </c>
      <c r="C702" s="12" t="str">
        <f>'Planning Engine'!C1418</f>
        <v>Raw Material</v>
      </c>
      <c r="D702" s="12" t="str">
        <f>'Planning Engine'!D1418</f>
        <v>kg</v>
      </c>
      <c r="E702" s="95">
        <f>'Planning Engine'!E1418</f>
        <v>32.679999999999986</v>
      </c>
      <c r="F702" s="95">
        <f>'Planning Engine'!F1418</f>
        <v>0</v>
      </c>
      <c r="G702" s="95">
        <f>'Planning Engine'!G1418</f>
        <v>0</v>
      </c>
      <c r="H702" s="95">
        <f t="shared" si="20"/>
        <v>0</v>
      </c>
      <c r="I702" s="95">
        <f>'Planning Engine'!H1418</f>
        <v>32.679999999999986</v>
      </c>
      <c r="J702" s="96">
        <f ca="1">'Planning Engine'!J1418</f>
        <v>999</v>
      </c>
      <c r="K702" s="95">
        <f ca="1">'Planning Engine'!K1418</f>
        <v>0</v>
      </c>
      <c r="L702" s="12" t="str">
        <f ca="1">'Planning Engine'!L1418</f>
        <v>Overstock</v>
      </c>
      <c r="M702" s="93">
        <f>'Planning Engine'!S1418</f>
        <v>50830</v>
      </c>
      <c r="N702" s="95">
        <f>'Planning Engine'!T1418</f>
        <v>0</v>
      </c>
      <c r="O702" s="94" t="s">
        <v>2450</v>
      </c>
      <c r="P702" s="12" t="str">
        <f t="shared" ca="1" si="21"/>
        <v>Defer receipts</v>
      </c>
    </row>
    <row r="703" spans="1:16" ht="13" customHeight="1" x14ac:dyDescent="0.35">
      <c r="A703" s="97">
        <v>50983</v>
      </c>
      <c r="B703" s="53" t="s">
        <v>57</v>
      </c>
      <c r="C703" s="12" t="str">
        <f>'Planning Engine'!C1419</f>
        <v>Raw Material</v>
      </c>
      <c r="D703" s="12" t="str">
        <f>'Planning Engine'!D1419</f>
        <v>kg</v>
      </c>
      <c r="E703" s="95">
        <f>'Planning Engine'!E1419</f>
        <v>32.679999999999986</v>
      </c>
      <c r="F703" s="95">
        <f>'Planning Engine'!F1419</f>
        <v>0</v>
      </c>
      <c r="G703" s="95">
        <f>'Planning Engine'!G1419</f>
        <v>0</v>
      </c>
      <c r="H703" s="99">
        <f t="shared" si="20"/>
        <v>0</v>
      </c>
      <c r="I703" s="95">
        <f>'Planning Engine'!H1419</f>
        <v>32.679999999999986</v>
      </c>
      <c r="J703" s="96">
        <f ca="1">'Planning Engine'!J1419</f>
        <v>999</v>
      </c>
      <c r="K703" s="95">
        <f ca="1">'Planning Engine'!K1419</f>
        <v>0</v>
      </c>
      <c r="L703" s="12" t="str">
        <f ca="1">'Planning Engine'!L1419</f>
        <v>Overstock</v>
      </c>
      <c r="M703" s="93">
        <f>'Planning Engine'!S1419</f>
        <v>50861</v>
      </c>
      <c r="N703" s="95">
        <f>'Planning Engine'!T1419</f>
        <v>0</v>
      </c>
      <c r="O703" s="98" t="s">
        <v>2451</v>
      </c>
      <c r="P703" s="4" t="str">
        <f t="shared" ca="1" si="21"/>
        <v>Defer receipts</v>
      </c>
    </row>
    <row r="704" spans="1:16" ht="13" customHeight="1" x14ac:dyDescent="0.35">
      <c r="A704" s="93">
        <v>51014</v>
      </c>
      <c r="B704" s="61" t="s">
        <v>57</v>
      </c>
      <c r="C704" s="12" t="str">
        <f>'Planning Engine'!C1420</f>
        <v>Raw Material</v>
      </c>
      <c r="D704" s="12" t="str">
        <f>'Planning Engine'!D1420</f>
        <v>kg</v>
      </c>
      <c r="E704" s="95">
        <f>'Planning Engine'!E1420</f>
        <v>32.679999999999986</v>
      </c>
      <c r="F704" s="95">
        <f>'Planning Engine'!F1420</f>
        <v>0</v>
      </c>
      <c r="G704" s="95">
        <f>'Planning Engine'!G1420</f>
        <v>0</v>
      </c>
      <c r="H704" s="95">
        <f t="shared" si="20"/>
        <v>0</v>
      </c>
      <c r="I704" s="95">
        <f>'Planning Engine'!H1420</f>
        <v>32.679999999999986</v>
      </c>
      <c r="J704" s="96">
        <f ca="1">'Planning Engine'!J1420</f>
        <v>999</v>
      </c>
      <c r="K704" s="95">
        <f ca="1">'Planning Engine'!K1420</f>
        <v>0</v>
      </c>
      <c r="L704" s="12" t="str">
        <f ca="1">'Planning Engine'!L1420</f>
        <v>Overstock</v>
      </c>
      <c r="M704" s="93">
        <f>'Planning Engine'!S1420</f>
        <v>50891</v>
      </c>
      <c r="N704" s="95">
        <f>'Planning Engine'!T1420</f>
        <v>0</v>
      </c>
      <c r="O704" s="94" t="s">
        <v>2452</v>
      </c>
      <c r="P704" s="12" t="str">
        <f t="shared" ca="1" si="21"/>
        <v>Defer receipts</v>
      </c>
    </row>
    <row r="705" spans="1:16" ht="13" customHeight="1" x14ac:dyDescent="0.35">
      <c r="A705" s="97">
        <v>51044</v>
      </c>
      <c r="B705" s="53" t="s">
        <v>57</v>
      </c>
      <c r="C705" s="12" t="str">
        <f>'Planning Engine'!C1421</f>
        <v>Raw Material</v>
      </c>
      <c r="D705" s="12" t="str">
        <f>'Planning Engine'!D1421</f>
        <v>kg</v>
      </c>
      <c r="E705" s="95">
        <f>'Planning Engine'!E1421</f>
        <v>32.679999999999986</v>
      </c>
      <c r="F705" s="95">
        <f>'Planning Engine'!F1421</f>
        <v>0</v>
      </c>
      <c r="G705" s="95">
        <f>'Planning Engine'!G1421</f>
        <v>0</v>
      </c>
      <c r="H705" s="99">
        <f t="shared" si="20"/>
        <v>0</v>
      </c>
      <c r="I705" s="95">
        <f>'Planning Engine'!H1421</f>
        <v>32.679999999999986</v>
      </c>
      <c r="J705" s="96">
        <f ca="1">'Planning Engine'!J1421</f>
        <v>999</v>
      </c>
      <c r="K705" s="95">
        <f ca="1">'Planning Engine'!K1421</f>
        <v>0</v>
      </c>
      <c r="L705" s="12" t="str">
        <f ca="1">'Planning Engine'!L1421</f>
        <v>Overstock</v>
      </c>
      <c r="M705" s="93">
        <f>'Planning Engine'!S1421</f>
        <v>50922</v>
      </c>
      <c r="N705" s="95">
        <f>'Planning Engine'!T1421</f>
        <v>0</v>
      </c>
      <c r="O705" s="98" t="s">
        <v>2453</v>
      </c>
      <c r="P705" s="4" t="str">
        <f t="shared" ca="1" si="21"/>
        <v>Defer receipts</v>
      </c>
    </row>
    <row r="706" spans="1:16" ht="13" customHeight="1" x14ac:dyDescent="0.35">
      <c r="A706" s="93">
        <v>51075</v>
      </c>
      <c r="B706" s="61" t="s">
        <v>57</v>
      </c>
      <c r="C706" s="12" t="str">
        <f>'Planning Engine'!C1422</f>
        <v>Raw Material</v>
      </c>
      <c r="D706" s="12" t="str">
        <f>'Planning Engine'!D1422</f>
        <v>kg</v>
      </c>
      <c r="E706" s="95">
        <f>'Planning Engine'!E1422</f>
        <v>32.679999999999986</v>
      </c>
      <c r="F706" s="95">
        <f>'Planning Engine'!F1422</f>
        <v>0</v>
      </c>
      <c r="G706" s="95">
        <f>'Planning Engine'!G1422</f>
        <v>0</v>
      </c>
      <c r="H706" s="95">
        <f t="shared" si="20"/>
        <v>0</v>
      </c>
      <c r="I706" s="95">
        <f>'Planning Engine'!H1422</f>
        <v>32.679999999999986</v>
      </c>
      <c r="J706" s="96">
        <f ca="1">'Planning Engine'!J1422</f>
        <v>999</v>
      </c>
      <c r="K706" s="95">
        <f ca="1">'Planning Engine'!K1422</f>
        <v>0</v>
      </c>
      <c r="L706" s="12" t="str">
        <f ca="1">'Planning Engine'!L1422</f>
        <v>Overstock</v>
      </c>
      <c r="M706" s="93">
        <f>'Planning Engine'!S1422</f>
        <v>50952</v>
      </c>
      <c r="N706" s="95">
        <f>'Planning Engine'!T1422</f>
        <v>0</v>
      </c>
      <c r="O706" s="94" t="s">
        <v>2454</v>
      </c>
      <c r="P706" s="12" t="str">
        <f t="shared" ca="1" si="21"/>
        <v>Defer receipts</v>
      </c>
    </row>
    <row r="707" spans="1:16" ht="13" customHeight="1" x14ac:dyDescent="0.35">
      <c r="A707" s="97">
        <v>51105</v>
      </c>
      <c r="B707" s="53" t="s">
        <v>57</v>
      </c>
      <c r="C707" s="12" t="str">
        <f>'Planning Engine'!C1423</f>
        <v>Raw Material</v>
      </c>
      <c r="D707" s="12" t="str">
        <f>'Planning Engine'!D1423</f>
        <v>kg</v>
      </c>
      <c r="E707" s="95">
        <f>'Planning Engine'!E1423</f>
        <v>32.679999999999986</v>
      </c>
      <c r="F707" s="95">
        <f>'Planning Engine'!F1423</f>
        <v>0</v>
      </c>
      <c r="G707" s="95">
        <f>'Planning Engine'!G1423</f>
        <v>0</v>
      </c>
      <c r="H707" s="99">
        <f t="shared" si="20"/>
        <v>0</v>
      </c>
      <c r="I707" s="95">
        <f>'Planning Engine'!H1423</f>
        <v>32.679999999999986</v>
      </c>
      <c r="J707" s="96">
        <f ca="1">'Planning Engine'!J1423</f>
        <v>999</v>
      </c>
      <c r="K707" s="95">
        <f ca="1">'Planning Engine'!K1423</f>
        <v>0</v>
      </c>
      <c r="L707" s="12" t="str">
        <f ca="1">'Planning Engine'!L1423</f>
        <v>Overstock</v>
      </c>
      <c r="M707" s="93">
        <f>'Planning Engine'!S1423</f>
        <v>50983</v>
      </c>
      <c r="N707" s="95">
        <f>'Planning Engine'!T1423</f>
        <v>0</v>
      </c>
      <c r="O707" s="98" t="s">
        <v>2455</v>
      </c>
      <c r="P707" s="4" t="str">
        <f t="shared" ca="1" si="21"/>
        <v>Defer receipts</v>
      </c>
    </row>
    <row r="708" spans="1:16" ht="13" customHeight="1" x14ac:dyDescent="0.35">
      <c r="A708" s="93">
        <v>51136</v>
      </c>
      <c r="B708" s="61" t="s">
        <v>57</v>
      </c>
      <c r="C708" s="12" t="str">
        <f>'Planning Engine'!C1424</f>
        <v>Raw Material</v>
      </c>
      <c r="D708" s="12" t="str">
        <f>'Planning Engine'!D1424</f>
        <v>kg</v>
      </c>
      <c r="E708" s="95">
        <f>'Planning Engine'!E1424</f>
        <v>32.679999999999986</v>
      </c>
      <c r="F708" s="95">
        <f>'Planning Engine'!F1424</f>
        <v>0</v>
      </c>
      <c r="G708" s="95">
        <f>'Planning Engine'!G1424</f>
        <v>0</v>
      </c>
      <c r="H708" s="95">
        <f t="shared" ref="H708:H771" si="22">G708-F708</f>
        <v>0</v>
      </c>
      <c r="I708" s="95">
        <f>'Planning Engine'!H1424</f>
        <v>32.679999999999986</v>
      </c>
      <c r="J708" s="96">
        <f ca="1">'Planning Engine'!J1424</f>
        <v>999</v>
      </c>
      <c r="K708" s="95">
        <f ca="1">'Planning Engine'!K1424</f>
        <v>0</v>
      </c>
      <c r="L708" s="12" t="str">
        <f ca="1">'Planning Engine'!L1424</f>
        <v>Overstock</v>
      </c>
      <c r="M708" s="93">
        <f>'Planning Engine'!S1424</f>
        <v>51014</v>
      </c>
      <c r="N708" s="95">
        <f>'Planning Engine'!T1424</f>
        <v>0</v>
      </c>
      <c r="O708" s="94" t="s">
        <v>2456</v>
      </c>
      <c r="P708" s="12" t="str">
        <f t="shared" ref="P708:P771" ca="1" si="23">IFERROR(IF(L708="High","⚠ Expedite / qualify alternate source",IF(L708="Medium","Monitor — plan additional POs",IF(L708="Overstock","Defer receipts","OK"))),"--")</f>
        <v>Defer receipts</v>
      </c>
    </row>
    <row r="709" spans="1:16" ht="13" customHeight="1" x14ac:dyDescent="0.35">
      <c r="A709" s="97">
        <v>51167</v>
      </c>
      <c r="B709" s="53" t="s">
        <v>57</v>
      </c>
      <c r="C709" s="12" t="str">
        <f>'Planning Engine'!C1425</f>
        <v>Raw Material</v>
      </c>
      <c r="D709" s="12" t="str">
        <f>'Planning Engine'!D1425</f>
        <v>kg</v>
      </c>
      <c r="E709" s="95">
        <f>'Planning Engine'!E1425</f>
        <v>32.679999999999986</v>
      </c>
      <c r="F709" s="95">
        <f>'Planning Engine'!F1425</f>
        <v>0</v>
      </c>
      <c r="G709" s="95">
        <f>'Planning Engine'!G1425</f>
        <v>0</v>
      </c>
      <c r="H709" s="99">
        <f t="shared" si="22"/>
        <v>0</v>
      </c>
      <c r="I709" s="95">
        <f>'Planning Engine'!H1425</f>
        <v>32.679999999999986</v>
      </c>
      <c r="J709" s="96">
        <f ca="1">'Planning Engine'!J1425</f>
        <v>999</v>
      </c>
      <c r="K709" s="95">
        <f ca="1">'Planning Engine'!K1425</f>
        <v>0</v>
      </c>
      <c r="L709" s="12" t="str">
        <f ca="1">'Planning Engine'!L1425</f>
        <v>Overstock</v>
      </c>
      <c r="M709" s="93">
        <f>'Planning Engine'!S1425</f>
        <v>51044</v>
      </c>
      <c r="N709" s="95">
        <f>'Planning Engine'!T1425</f>
        <v>0</v>
      </c>
      <c r="O709" s="98" t="s">
        <v>2457</v>
      </c>
      <c r="P709" s="4" t="str">
        <f t="shared" ca="1" si="23"/>
        <v>Defer receipts</v>
      </c>
    </row>
    <row r="710" spans="1:16" ht="13" customHeight="1" x14ac:dyDescent="0.35">
      <c r="A710" s="93">
        <v>51196</v>
      </c>
      <c r="B710" s="61" t="s">
        <v>57</v>
      </c>
      <c r="C710" s="12" t="str">
        <f>'Planning Engine'!C1426</f>
        <v>Raw Material</v>
      </c>
      <c r="D710" s="12" t="str">
        <f>'Planning Engine'!D1426</f>
        <v>kg</v>
      </c>
      <c r="E710" s="95">
        <f>'Planning Engine'!E1426</f>
        <v>32.679999999999986</v>
      </c>
      <c r="F710" s="95">
        <f>'Planning Engine'!F1426</f>
        <v>0</v>
      </c>
      <c r="G710" s="95">
        <f>'Planning Engine'!G1426</f>
        <v>0</v>
      </c>
      <c r="H710" s="95">
        <f t="shared" si="22"/>
        <v>0</v>
      </c>
      <c r="I710" s="95">
        <f>'Planning Engine'!H1426</f>
        <v>32.679999999999986</v>
      </c>
      <c r="J710" s="96">
        <f ca="1">'Planning Engine'!J1426</f>
        <v>999</v>
      </c>
      <c r="K710" s="95">
        <f ca="1">'Planning Engine'!K1426</f>
        <v>0</v>
      </c>
      <c r="L710" s="12" t="str">
        <f ca="1">'Planning Engine'!L1426</f>
        <v>Overstock</v>
      </c>
      <c r="M710" s="93">
        <f>'Planning Engine'!S1426</f>
        <v>51075</v>
      </c>
      <c r="N710" s="95">
        <f>'Planning Engine'!T1426</f>
        <v>0</v>
      </c>
      <c r="O710" s="94" t="s">
        <v>2458</v>
      </c>
      <c r="P710" s="12" t="str">
        <f t="shared" ca="1" si="23"/>
        <v>Defer receipts</v>
      </c>
    </row>
    <row r="711" spans="1:16" ht="13" customHeight="1" x14ac:dyDescent="0.35">
      <c r="A711" s="97">
        <v>51227</v>
      </c>
      <c r="B711" s="53" t="s">
        <v>57</v>
      </c>
      <c r="C711" s="12" t="str">
        <f>'Planning Engine'!C1427</f>
        <v>Raw Material</v>
      </c>
      <c r="D711" s="12" t="str">
        <f>'Planning Engine'!D1427</f>
        <v>kg</v>
      </c>
      <c r="E711" s="95">
        <f>'Planning Engine'!E1427</f>
        <v>32.679999999999986</v>
      </c>
      <c r="F711" s="95">
        <f>'Planning Engine'!F1427</f>
        <v>0</v>
      </c>
      <c r="G711" s="95">
        <f>'Planning Engine'!G1427</f>
        <v>0</v>
      </c>
      <c r="H711" s="99">
        <f t="shared" si="22"/>
        <v>0</v>
      </c>
      <c r="I711" s="95">
        <f>'Planning Engine'!H1427</f>
        <v>32.679999999999986</v>
      </c>
      <c r="J711" s="96">
        <f ca="1">'Planning Engine'!J1427</f>
        <v>999</v>
      </c>
      <c r="K711" s="95">
        <f ca="1">'Planning Engine'!K1427</f>
        <v>0</v>
      </c>
      <c r="L711" s="12" t="str">
        <f ca="1">'Planning Engine'!L1427</f>
        <v>Overstock</v>
      </c>
      <c r="M711" s="93">
        <f>'Planning Engine'!S1427</f>
        <v>51105</v>
      </c>
      <c r="N711" s="95">
        <f>'Planning Engine'!T1427</f>
        <v>0</v>
      </c>
      <c r="O711" s="98" t="s">
        <v>2459</v>
      </c>
      <c r="P711" s="4" t="str">
        <f t="shared" ca="1" si="23"/>
        <v>Defer receipts</v>
      </c>
    </row>
    <row r="712" spans="1:16" ht="13" customHeight="1" x14ac:dyDescent="0.35">
      <c r="A712" s="93">
        <v>51257</v>
      </c>
      <c r="B712" s="61" t="s">
        <v>57</v>
      </c>
      <c r="C712" s="12" t="str">
        <f>'Planning Engine'!C1428</f>
        <v>Raw Material</v>
      </c>
      <c r="D712" s="12" t="str">
        <f>'Planning Engine'!D1428</f>
        <v>kg</v>
      </c>
      <c r="E712" s="95">
        <f>'Planning Engine'!E1428</f>
        <v>32.679999999999986</v>
      </c>
      <c r="F712" s="95">
        <f>'Planning Engine'!F1428</f>
        <v>0</v>
      </c>
      <c r="G712" s="95">
        <f>'Planning Engine'!G1428</f>
        <v>0</v>
      </c>
      <c r="H712" s="95">
        <f t="shared" si="22"/>
        <v>0</v>
      </c>
      <c r="I712" s="95">
        <f>'Planning Engine'!H1428</f>
        <v>32.679999999999986</v>
      </c>
      <c r="J712" s="96">
        <f ca="1">'Planning Engine'!J1428</f>
        <v>999</v>
      </c>
      <c r="K712" s="95">
        <f ca="1">'Planning Engine'!K1428</f>
        <v>0</v>
      </c>
      <c r="L712" s="12" t="str">
        <f ca="1">'Planning Engine'!L1428</f>
        <v>Overstock</v>
      </c>
      <c r="M712" s="93">
        <f>'Planning Engine'!S1428</f>
        <v>51136</v>
      </c>
      <c r="N712" s="95">
        <f>'Planning Engine'!T1428</f>
        <v>0</v>
      </c>
      <c r="O712" s="94" t="s">
        <v>2460</v>
      </c>
      <c r="P712" s="12" t="str">
        <f t="shared" ca="1" si="23"/>
        <v>Defer receipts</v>
      </c>
    </row>
    <row r="713" spans="1:16" ht="13" customHeight="1" x14ac:dyDescent="0.35">
      <c r="A713" s="97">
        <v>51288</v>
      </c>
      <c r="B713" s="53" t="s">
        <v>57</v>
      </c>
      <c r="C713" s="12" t="str">
        <f>'Planning Engine'!C1429</f>
        <v>Raw Material</v>
      </c>
      <c r="D713" s="12" t="str">
        <f>'Planning Engine'!D1429</f>
        <v>kg</v>
      </c>
      <c r="E713" s="95">
        <f>'Planning Engine'!E1429</f>
        <v>32.679999999999986</v>
      </c>
      <c r="F713" s="95">
        <f>'Planning Engine'!F1429</f>
        <v>0</v>
      </c>
      <c r="G713" s="95">
        <f>'Planning Engine'!G1429</f>
        <v>0</v>
      </c>
      <c r="H713" s="99">
        <f t="shared" si="22"/>
        <v>0</v>
      </c>
      <c r="I713" s="95">
        <f>'Planning Engine'!H1429</f>
        <v>32.679999999999986</v>
      </c>
      <c r="J713" s="96">
        <f ca="1">'Planning Engine'!J1429</f>
        <v>999</v>
      </c>
      <c r="K713" s="95">
        <f ca="1">'Planning Engine'!K1429</f>
        <v>0</v>
      </c>
      <c r="L713" s="12" t="str">
        <f ca="1">'Planning Engine'!L1429</f>
        <v>Overstock</v>
      </c>
      <c r="M713" s="93">
        <f>'Planning Engine'!S1429</f>
        <v>51167</v>
      </c>
      <c r="N713" s="95">
        <f>'Planning Engine'!T1429</f>
        <v>0</v>
      </c>
      <c r="O713" s="98" t="s">
        <v>2461</v>
      </c>
      <c r="P713" s="4" t="str">
        <f t="shared" ca="1" si="23"/>
        <v>Defer receipts</v>
      </c>
    </row>
    <row r="714" spans="1:16" ht="13" customHeight="1" x14ac:dyDescent="0.35">
      <c r="A714" s="93">
        <v>51318</v>
      </c>
      <c r="B714" s="61" t="s">
        <v>57</v>
      </c>
      <c r="C714" s="12" t="str">
        <f>'Planning Engine'!C1430</f>
        <v>Raw Material</v>
      </c>
      <c r="D714" s="12" t="str">
        <f>'Planning Engine'!D1430</f>
        <v>kg</v>
      </c>
      <c r="E714" s="95">
        <f>'Planning Engine'!E1430</f>
        <v>32.679999999999986</v>
      </c>
      <c r="F714" s="95">
        <f>'Planning Engine'!F1430</f>
        <v>0</v>
      </c>
      <c r="G714" s="95">
        <f>'Planning Engine'!G1430</f>
        <v>0</v>
      </c>
      <c r="H714" s="95">
        <f t="shared" si="22"/>
        <v>0</v>
      </c>
      <c r="I714" s="95">
        <f>'Planning Engine'!H1430</f>
        <v>32.679999999999986</v>
      </c>
      <c r="J714" s="96">
        <f ca="1">'Planning Engine'!J1430</f>
        <v>999</v>
      </c>
      <c r="K714" s="95">
        <f ca="1">'Planning Engine'!K1430</f>
        <v>0</v>
      </c>
      <c r="L714" s="12" t="str">
        <f ca="1">'Planning Engine'!L1430</f>
        <v>Overstock</v>
      </c>
      <c r="M714" s="93">
        <f>'Planning Engine'!S1430</f>
        <v>51196</v>
      </c>
      <c r="N714" s="95">
        <f>'Planning Engine'!T1430</f>
        <v>0</v>
      </c>
      <c r="O714" s="94" t="s">
        <v>2462</v>
      </c>
      <c r="P714" s="12" t="str">
        <f t="shared" ca="1" si="23"/>
        <v>Defer receipts</v>
      </c>
    </row>
    <row r="715" spans="1:16" ht="13" customHeight="1" x14ac:dyDescent="0.35">
      <c r="A715" s="97">
        <v>51349</v>
      </c>
      <c r="B715" s="53" t="s">
        <v>57</v>
      </c>
      <c r="C715" s="12" t="str">
        <f>'Planning Engine'!C1431</f>
        <v>Raw Material</v>
      </c>
      <c r="D715" s="12" t="str">
        <f>'Planning Engine'!D1431</f>
        <v>kg</v>
      </c>
      <c r="E715" s="95">
        <f>'Planning Engine'!E1431</f>
        <v>32.679999999999986</v>
      </c>
      <c r="F715" s="95">
        <f>'Planning Engine'!F1431</f>
        <v>0</v>
      </c>
      <c r="G715" s="95">
        <f>'Planning Engine'!G1431</f>
        <v>0</v>
      </c>
      <c r="H715" s="99">
        <f t="shared" si="22"/>
        <v>0</v>
      </c>
      <c r="I715" s="95">
        <f>'Planning Engine'!H1431</f>
        <v>32.679999999999986</v>
      </c>
      <c r="J715" s="96">
        <f ca="1">'Planning Engine'!J1431</f>
        <v>999</v>
      </c>
      <c r="K715" s="95">
        <f ca="1">'Planning Engine'!K1431</f>
        <v>0</v>
      </c>
      <c r="L715" s="12" t="str">
        <f ca="1">'Planning Engine'!L1431</f>
        <v>Overstock</v>
      </c>
      <c r="M715" s="93">
        <f>'Planning Engine'!S1431</f>
        <v>51227</v>
      </c>
      <c r="N715" s="95">
        <f>'Planning Engine'!T1431</f>
        <v>0</v>
      </c>
      <c r="O715" s="98" t="s">
        <v>2463</v>
      </c>
      <c r="P715" s="4" t="str">
        <f t="shared" ca="1" si="23"/>
        <v>Defer receipts</v>
      </c>
    </row>
    <row r="716" spans="1:16" ht="13" customHeight="1" x14ac:dyDescent="0.35">
      <c r="A716" s="93">
        <v>51380</v>
      </c>
      <c r="B716" s="61" t="s">
        <v>57</v>
      </c>
      <c r="C716" s="12" t="str">
        <f>'Planning Engine'!C1432</f>
        <v>Raw Material</v>
      </c>
      <c r="D716" s="12" t="str">
        <f>'Planning Engine'!D1432</f>
        <v>kg</v>
      </c>
      <c r="E716" s="95">
        <f>'Planning Engine'!E1432</f>
        <v>32.679999999999986</v>
      </c>
      <c r="F716" s="95">
        <f>'Planning Engine'!F1432</f>
        <v>0</v>
      </c>
      <c r="G716" s="95">
        <f>'Planning Engine'!G1432</f>
        <v>0</v>
      </c>
      <c r="H716" s="95">
        <f t="shared" si="22"/>
        <v>0</v>
      </c>
      <c r="I716" s="95">
        <f>'Planning Engine'!H1432</f>
        <v>32.679999999999986</v>
      </c>
      <c r="J716" s="96">
        <f ca="1">'Planning Engine'!J1432</f>
        <v>999</v>
      </c>
      <c r="K716" s="95">
        <f ca="1">'Planning Engine'!K1432</f>
        <v>0</v>
      </c>
      <c r="L716" s="12" t="str">
        <f ca="1">'Planning Engine'!L1432</f>
        <v>Overstock</v>
      </c>
      <c r="M716" s="93">
        <f>'Planning Engine'!S1432</f>
        <v>51257</v>
      </c>
      <c r="N716" s="95">
        <f>'Planning Engine'!T1432</f>
        <v>0</v>
      </c>
      <c r="O716" s="94" t="s">
        <v>2464</v>
      </c>
      <c r="P716" s="12" t="str">
        <f t="shared" ca="1" si="23"/>
        <v>Defer receipts</v>
      </c>
    </row>
    <row r="717" spans="1:16" ht="13" customHeight="1" x14ac:dyDescent="0.35">
      <c r="A717" s="97">
        <v>51410</v>
      </c>
      <c r="B717" s="53" t="s">
        <v>57</v>
      </c>
      <c r="C717" s="12" t="str">
        <f>'Planning Engine'!C1433</f>
        <v>Raw Material</v>
      </c>
      <c r="D717" s="12" t="str">
        <f>'Planning Engine'!D1433</f>
        <v>kg</v>
      </c>
      <c r="E717" s="95">
        <f>'Planning Engine'!E1433</f>
        <v>32.679999999999986</v>
      </c>
      <c r="F717" s="95">
        <f>'Planning Engine'!F1433</f>
        <v>0</v>
      </c>
      <c r="G717" s="95">
        <f>'Planning Engine'!G1433</f>
        <v>0</v>
      </c>
      <c r="H717" s="99">
        <f t="shared" si="22"/>
        <v>0</v>
      </c>
      <c r="I717" s="95">
        <f>'Planning Engine'!H1433</f>
        <v>32.679999999999986</v>
      </c>
      <c r="J717" s="96">
        <f ca="1">'Planning Engine'!J1433</f>
        <v>999</v>
      </c>
      <c r="K717" s="95">
        <f ca="1">'Planning Engine'!K1433</f>
        <v>0</v>
      </c>
      <c r="L717" s="12" t="str">
        <f ca="1">'Planning Engine'!L1433</f>
        <v>Overstock</v>
      </c>
      <c r="M717" s="93">
        <f>'Planning Engine'!S1433</f>
        <v>51288</v>
      </c>
      <c r="N717" s="95">
        <f>'Planning Engine'!T1433</f>
        <v>0</v>
      </c>
      <c r="O717" s="98" t="s">
        <v>2465</v>
      </c>
      <c r="P717" s="4" t="str">
        <f t="shared" ca="1" si="23"/>
        <v>Defer receipts</v>
      </c>
    </row>
    <row r="718" spans="1:16" ht="13" customHeight="1" x14ac:dyDescent="0.35">
      <c r="A718" s="93">
        <v>51441</v>
      </c>
      <c r="B718" s="61" t="s">
        <v>57</v>
      </c>
      <c r="C718" s="12" t="str">
        <f>'Planning Engine'!C1434</f>
        <v>Raw Material</v>
      </c>
      <c r="D718" s="12" t="str">
        <f>'Planning Engine'!D1434</f>
        <v>kg</v>
      </c>
      <c r="E718" s="95">
        <f>'Planning Engine'!E1434</f>
        <v>32.679999999999986</v>
      </c>
      <c r="F718" s="95">
        <f>'Planning Engine'!F1434</f>
        <v>0</v>
      </c>
      <c r="G718" s="95">
        <f>'Planning Engine'!G1434</f>
        <v>0</v>
      </c>
      <c r="H718" s="95">
        <f t="shared" si="22"/>
        <v>0</v>
      </c>
      <c r="I718" s="95">
        <f>'Planning Engine'!H1434</f>
        <v>32.679999999999986</v>
      </c>
      <c r="J718" s="96">
        <f ca="1">'Planning Engine'!J1434</f>
        <v>999</v>
      </c>
      <c r="K718" s="95">
        <f ca="1">'Planning Engine'!K1434</f>
        <v>0</v>
      </c>
      <c r="L718" s="12" t="str">
        <f ca="1">'Planning Engine'!L1434</f>
        <v>Overstock</v>
      </c>
      <c r="M718" s="93">
        <f>'Planning Engine'!S1434</f>
        <v>51318</v>
      </c>
      <c r="N718" s="95">
        <f>'Planning Engine'!T1434</f>
        <v>0</v>
      </c>
      <c r="O718" s="94" t="s">
        <v>2466</v>
      </c>
      <c r="P718" s="12" t="str">
        <f t="shared" ca="1" si="23"/>
        <v>Defer receipts</v>
      </c>
    </row>
    <row r="719" spans="1:16" ht="13" customHeight="1" x14ac:dyDescent="0.35">
      <c r="A719" s="97">
        <v>51471</v>
      </c>
      <c r="B719" s="53" t="s">
        <v>57</v>
      </c>
      <c r="C719" s="12" t="str">
        <f>'Planning Engine'!C1435</f>
        <v>Raw Material</v>
      </c>
      <c r="D719" s="12" t="str">
        <f>'Planning Engine'!D1435</f>
        <v>kg</v>
      </c>
      <c r="E719" s="95">
        <f>'Planning Engine'!E1435</f>
        <v>32.679999999999986</v>
      </c>
      <c r="F719" s="95">
        <f>'Planning Engine'!F1435</f>
        <v>0</v>
      </c>
      <c r="G719" s="95">
        <f>'Planning Engine'!G1435</f>
        <v>0</v>
      </c>
      <c r="H719" s="99">
        <f t="shared" si="22"/>
        <v>0</v>
      </c>
      <c r="I719" s="95">
        <f>'Planning Engine'!H1435</f>
        <v>32.679999999999986</v>
      </c>
      <c r="J719" s="96">
        <f ca="1">'Planning Engine'!J1435</f>
        <v>999</v>
      </c>
      <c r="K719" s="95">
        <f ca="1">'Planning Engine'!K1435</f>
        <v>0</v>
      </c>
      <c r="L719" s="12" t="str">
        <f ca="1">'Planning Engine'!L1435</f>
        <v>Overstock</v>
      </c>
      <c r="M719" s="93">
        <f>'Planning Engine'!S1435</f>
        <v>51349</v>
      </c>
      <c r="N719" s="95">
        <f>'Planning Engine'!T1435</f>
        <v>0</v>
      </c>
      <c r="O719" s="98" t="s">
        <v>2467</v>
      </c>
      <c r="P719" s="4" t="str">
        <f t="shared" ca="1" si="23"/>
        <v>Defer receipts</v>
      </c>
    </row>
    <row r="720" spans="1:16" ht="13" customHeight="1" x14ac:dyDescent="0.35">
      <c r="A720" s="93">
        <v>46054</v>
      </c>
      <c r="B720" s="61" t="s">
        <v>58</v>
      </c>
      <c r="C720" s="12" t="str">
        <f>'Planning Engine'!C1436</f>
        <v>Raw Material</v>
      </c>
      <c r="D720" s="12" t="str">
        <f>'Planning Engine'!D1436</f>
        <v>kg</v>
      </c>
      <c r="E720" s="95">
        <f>'Planning Engine'!E1436</f>
        <v>315.512</v>
      </c>
      <c r="F720" s="95">
        <f>'Planning Engine'!F1436</f>
        <v>0</v>
      </c>
      <c r="G720" s="95">
        <f>'Planning Engine'!G1436</f>
        <v>0</v>
      </c>
      <c r="H720" s="95">
        <f t="shared" si="22"/>
        <v>0</v>
      </c>
      <c r="I720" s="95">
        <f>'Planning Engine'!H1436</f>
        <v>315.512</v>
      </c>
      <c r="J720" s="96">
        <f ca="1">'Planning Engine'!J1436</f>
        <v>7.1512239347234807</v>
      </c>
      <c r="K720" s="95">
        <f ca="1">'Planning Engine'!K1436</f>
        <v>0</v>
      </c>
      <c r="L720" s="12" t="str">
        <f ca="1">'Planning Engine'!L1436</f>
        <v>Low</v>
      </c>
      <c r="M720" s="93">
        <f>'Planning Engine'!S1436</f>
        <v>45931</v>
      </c>
      <c r="N720" s="95">
        <f>'Planning Engine'!T1436</f>
        <v>0</v>
      </c>
      <c r="O720" s="94" t="s">
        <v>2468</v>
      </c>
      <c r="P720" s="12" t="str">
        <f t="shared" ca="1" si="23"/>
        <v>OK</v>
      </c>
    </row>
    <row r="721" spans="1:16" ht="13" customHeight="1" x14ac:dyDescent="0.35">
      <c r="A721" s="97">
        <v>46082</v>
      </c>
      <c r="B721" s="53" t="s">
        <v>58</v>
      </c>
      <c r="C721" s="12" t="str">
        <f>'Planning Engine'!C1437</f>
        <v>Raw Material</v>
      </c>
      <c r="D721" s="12" t="str">
        <f>'Planning Engine'!D1437</f>
        <v>kg</v>
      </c>
      <c r="E721" s="95">
        <f>'Planning Engine'!E1437</f>
        <v>315.512</v>
      </c>
      <c r="F721" s="95">
        <f>'Planning Engine'!F1437</f>
        <v>0</v>
      </c>
      <c r="G721" s="95">
        <f>'Planning Engine'!G1437</f>
        <v>0</v>
      </c>
      <c r="H721" s="99">
        <f t="shared" si="22"/>
        <v>0</v>
      </c>
      <c r="I721" s="95">
        <f>'Planning Engine'!H1437</f>
        <v>315.512</v>
      </c>
      <c r="J721" s="96">
        <f ca="1">'Planning Engine'!J1437</f>
        <v>7.1512239347234807</v>
      </c>
      <c r="K721" s="95">
        <f ca="1">'Planning Engine'!K1437</f>
        <v>0</v>
      </c>
      <c r="L721" s="12" t="str">
        <f ca="1">'Planning Engine'!L1437</f>
        <v>Low</v>
      </c>
      <c r="M721" s="93">
        <f>'Planning Engine'!S1437</f>
        <v>45962</v>
      </c>
      <c r="N721" s="95">
        <f>'Planning Engine'!T1437</f>
        <v>0</v>
      </c>
      <c r="O721" s="98" t="s">
        <v>2469</v>
      </c>
      <c r="P721" s="4" t="str">
        <f t="shared" ca="1" si="23"/>
        <v>OK</v>
      </c>
    </row>
    <row r="722" spans="1:16" ht="13" customHeight="1" x14ac:dyDescent="0.35">
      <c r="A722" s="93">
        <v>46113</v>
      </c>
      <c r="B722" s="61" t="s">
        <v>58</v>
      </c>
      <c r="C722" s="12" t="str">
        <f>'Planning Engine'!C1438</f>
        <v>Raw Material</v>
      </c>
      <c r="D722" s="12" t="str">
        <f>'Planning Engine'!D1438</f>
        <v>kg</v>
      </c>
      <c r="E722" s="95">
        <f>'Planning Engine'!E1438</f>
        <v>315.512</v>
      </c>
      <c r="F722" s="95">
        <f>'Planning Engine'!F1438</f>
        <v>0</v>
      </c>
      <c r="G722" s="95">
        <f>'Planning Engine'!G1438</f>
        <v>0</v>
      </c>
      <c r="H722" s="95">
        <f t="shared" si="22"/>
        <v>0</v>
      </c>
      <c r="I722" s="95">
        <f>'Planning Engine'!H1438</f>
        <v>315.512</v>
      </c>
      <c r="J722" s="96">
        <f ca="1">'Planning Engine'!J1438</f>
        <v>7.1512239347234807</v>
      </c>
      <c r="K722" s="95">
        <f ca="1">'Planning Engine'!K1438</f>
        <v>0</v>
      </c>
      <c r="L722" s="12" t="str">
        <f ca="1">'Planning Engine'!L1438</f>
        <v>Low</v>
      </c>
      <c r="M722" s="93">
        <f>'Planning Engine'!S1438</f>
        <v>45992</v>
      </c>
      <c r="N722" s="95">
        <f>'Planning Engine'!T1438</f>
        <v>0</v>
      </c>
      <c r="O722" s="94" t="s">
        <v>2470</v>
      </c>
      <c r="P722" s="12" t="str">
        <f t="shared" ca="1" si="23"/>
        <v>OK</v>
      </c>
    </row>
    <row r="723" spans="1:16" ht="13" customHeight="1" x14ac:dyDescent="0.35">
      <c r="A723" s="97">
        <v>46143</v>
      </c>
      <c r="B723" s="53" t="s">
        <v>58</v>
      </c>
      <c r="C723" s="12" t="str">
        <f>'Planning Engine'!C1439</f>
        <v>Raw Material</v>
      </c>
      <c r="D723" s="12" t="str">
        <f>'Planning Engine'!D1439</f>
        <v>kg</v>
      </c>
      <c r="E723" s="95">
        <f>'Planning Engine'!E1439</f>
        <v>315.512</v>
      </c>
      <c r="F723" s="95">
        <f>'Planning Engine'!F1439</f>
        <v>44.12</v>
      </c>
      <c r="G723" s="95">
        <f>'Planning Engine'!G1439</f>
        <v>0</v>
      </c>
      <c r="H723" s="99">
        <f t="shared" si="22"/>
        <v>-44.12</v>
      </c>
      <c r="I723" s="95">
        <f>'Planning Engine'!H1439</f>
        <v>271.392</v>
      </c>
      <c r="J723" s="96">
        <f ca="1">'Planning Engine'!J1439</f>
        <v>6.1512239347234807</v>
      </c>
      <c r="K723" s="95">
        <f ca="1">'Planning Engine'!K1439</f>
        <v>0</v>
      </c>
      <c r="L723" s="12" t="str">
        <f ca="1">'Planning Engine'!L1439</f>
        <v>Low</v>
      </c>
      <c r="M723" s="93">
        <f>'Planning Engine'!S1439</f>
        <v>46023</v>
      </c>
      <c r="N723" s="95">
        <f>'Planning Engine'!T1439</f>
        <v>0</v>
      </c>
      <c r="O723" s="98" t="s">
        <v>2471</v>
      </c>
      <c r="P723" s="4" t="str">
        <f t="shared" ca="1" si="23"/>
        <v>OK</v>
      </c>
    </row>
    <row r="724" spans="1:16" ht="13" customHeight="1" x14ac:dyDescent="0.35">
      <c r="A724" s="93">
        <v>46174</v>
      </c>
      <c r="B724" s="61" t="s">
        <v>58</v>
      </c>
      <c r="C724" s="12" t="str">
        <f>'Planning Engine'!C1440</f>
        <v>Raw Material</v>
      </c>
      <c r="D724" s="12" t="str">
        <f>'Planning Engine'!D1440</f>
        <v>kg</v>
      </c>
      <c r="E724" s="95">
        <f>'Planning Engine'!E1440</f>
        <v>271.392</v>
      </c>
      <c r="F724" s="95">
        <f>'Planning Engine'!F1440</f>
        <v>66.180000000000007</v>
      </c>
      <c r="G724" s="95">
        <f>'Planning Engine'!G1440</f>
        <v>0</v>
      </c>
      <c r="H724" s="95">
        <f t="shared" si="22"/>
        <v>-66.180000000000007</v>
      </c>
      <c r="I724" s="95">
        <f>'Planning Engine'!H1440</f>
        <v>205.21199999999999</v>
      </c>
      <c r="J724" s="96">
        <f ca="1">'Planning Engine'!J1440</f>
        <v>4.6512239347234807</v>
      </c>
      <c r="K724" s="95">
        <f ca="1">'Planning Engine'!K1440</f>
        <v>0</v>
      </c>
      <c r="L724" s="12" t="str">
        <f ca="1">'Planning Engine'!L1440</f>
        <v>Low</v>
      </c>
      <c r="M724" s="93">
        <f>'Planning Engine'!S1440</f>
        <v>46054</v>
      </c>
      <c r="N724" s="95">
        <f>'Planning Engine'!T1440</f>
        <v>0</v>
      </c>
      <c r="O724" s="94" t="s">
        <v>2472</v>
      </c>
      <c r="P724" s="12" t="str">
        <f t="shared" ca="1" si="23"/>
        <v>OK</v>
      </c>
    </row>
    <row r="725" spans="1:16" ht="13" customHeight="1" x14ac:dyDescent="0.35">
      <c r="A725" s="97">
        <v>46204</v>
      </c>
      <c r="B725" s="53" t="s">
        <v>58</v>
      </c>
      <c r="C725" s="12" t="str">
        <f>'Planning Engine'!C1441</f>
        <v>Raw Material</v>
      </c>
      <c r="D725" s="12" t="str">
        <f>'Planning Engine'!D1441</f>
        <v>kg</v>
      </c>
      <c r="E725" s="95">
        <f>'Planning Engine'!E1441</f>
        <v>205.21199999999999</v>
      </c>
      <c r="F725" s="95">
        <f>'Planning Engine'!F1441</f>
        <v>22.06</v>
      </c>
      <c r="G725" s="95">
        <f>'Planning Engine'!G1441</f>
        <v>0</v>
      </c>
      <c r="H725" s="99">
        <f t="shared" si="22"/>
        <v>-22.06</v>
      </c>
      <c r="I725" s="95">
        <f>'Planning Engine'!H1441</f>
        <v>183.15199999999999</v>
      </c>
      <c r="J725" s="96">
        <f ca="1">'Planning Engine'!J1441</f>
        <v>8.3024478694469632</v>
      </c>
      <c r="K725" s="95">
        <f ca="1">'Planning Engine'!K1441</f>
        <v>0</v>
      </c>
      <c r="L725" s="12" t="str">
        <f ca="1">'Planning Engine'!L1441</f>
        <v>Low</v>
      </c>
      <c r="M725" s="93">
        <f>'Planning Engine'!S1441</f>
        <v>46082</v>
      </c>
      <c r="N725" s="95">
        <f>'Planning Engine'!T1441</f>
        <v>0</v>
      </c>
      <c r="O725" s="98" t="s">
        <v>2473</v>
      </c>
      <c r="P725" s="4" t="str">
        <f t="shared" ca="1" si="23"/>
        <v>OK</v>
      </c>
    </row>
    <row r="726" spans="1:16" ht="13" customHeight="1" x14ac:dyDescent="0.35">
      <c r="A726" s="93">
        <v>46235</v>
      </c>
      <c r="B726" s="61" t="s">
        <v>58</v>
      </c>
      <c r="C726" s="12" t="str">
        <f>'Planning Engine'!C1442</f>
        <v>Raw Material</v>
      </c>
      <c r="D726" s="12" t="str">
        <f>'Planning Engine'!D1442</f>
        <v>kg</v>
      </c>
      <c r="E726" s="95">
        <f>'Planning Engine'!E1442</f>
        <v>183.15199999999999</v>
      </c>
      <c r="F726" s="95">
        <f>'Planning Engine'!F1442</f>
        <v>0</v>
      </c>
      <c r="G726" s="95">
        <f>'Planning Engine'!G1442</f>
        <v>0</v>
      </c>
      <c r="H726" s="95">
        <f t="shared" si="22"/>
        <v>0</v>
      </c>
      <c r="I726" s="95">
        <f>'Planning Engine'!H1442</f>
        <v>183.15199999999999</v>
      </c>
      <c r="J726" s="96">
        <f ca="1">'Planning Engine'!J1442</f>
        <v>4.1512239347234816</v>
      </c>
      <c r="K726" s="95">
        <f ca="1">'Planning Engine'!K1442</f>
        <v>0</v>
      </c>
      <c r="L726" s="12" t="str">
        <f ca="1">'Planning Engine'!L1442</f>
        <v>Low</v>
      </c>
      <c r="M726" s="93">
        <f>'Planning Engine'!S1442</f>
        <v>46113</v>
      </c>
      <c r="N726" s="95">
        <f>'Planning Engine'!T1442</f>
        <v>0</v>
      </c>
      <c r="O726" s="94" t="s">
        <v>2474</v>
      </c>
      <c r="P726" s="12" t="str">
        <f t="shared" ca="1" si="23"/>
        <v>OK</v>
      </c>
    </row>
    <row r="727" spans="1:16" ht="13" customHeight="1" x14ac:dyDescent="0.35">
      <c r="A727" s="97">
        <v>46266</v>
      </c>
      <c r="B727" s="53" t="s">
        <v>58</v>
      </c>
      <c r="C727" s="12" t="str">
        <f>'Planning Engine'!C1443</f>
        <v>Raw Material</v>
      </c>
      <c r="D727" s="12" t="str">
        <f>'Planning Engine'!D1443</f>
        <v>kg</v>
      </c>
      <c r="E727" s="95">
        <f>'Planning Engine'!E1443</f>
        <v>183.15199999999999</v>
      </c>
      <c r="F727" s="95">
        <f>'Planning Engine'!F1443</f>
        <v>0</v>
      </c>
      <c r="G727" s="95">
        <f>'Planning Engine'!G1443</f>
        <v>0</v>
      </c>
      <c r="H727" s="99">
        <f t="shared" si="22"/>
        <v>0</v>
      </c>
      <c r="I727" s="95">
        <f>'Planning Engine'!H1443</f>
        <v>183.15199999999999</v>
      </c>
      <c r="J727" s="96">
        <f ca="1">'Planning Engine'!J1443</f>
        <v>4.1512239347234816</v>
      </c>
      <c r="K727" s="95">
        <f ca="1">'Planning Engine'!K1443</f>
        <v>0</v>
      </c>
      <c r="L727" s="12" t="str">
        <f ca="1">'Planning Engine'!L1443</f>
        <v>Low</v>
      </c>
      <c r="M727" s="93">
        <f>'Planning Engine'!S1443</f>
        <v>46143</v>
      </c>
      <c r="N727" s="95">
        <f>'Planning Engine'!T1443</f>
        <v>0</v>
      </c>
      <c r="O727" s="98" t="s">
        <v>2475</v>
      </c>
      <c r="P727" s="4" t="str">
        <f t="shared" ca="1" si="23"/>
        <v>OK</v>
      </c>
    </row>
    <row r="728" spans="1:16" ht="13" customHeight="1" x14ac:dyDescent="0.35">
      <c r="A728" s="93">
        <v>46296</v>
      </c>
      <c r="B728" s="61" t="s">
        <v>58</v>
      </c>
      <c r="C728" s="12" t="str">
        <f>'Planning Engine'!C1444</f>
        <v>Raw Material</v>
      </c>
      <c r="D728" s="12" t="str">
        <f>'Planning Engine'!D1444</f>
        <v>kg</v>
      </c>
      <c r="E728" s="95">
        <f>'Planning Engine'!E1444</f>
        <v>183.15199999999999</v>
      </c>
      <c r="F728" s="95">
        <f>'Planning Engine'!F1444</f>
        <v>0</v>
      </c>
      <c r="G728" s="95">
        <f>'Planning Engine'!G1444</f>
        <v>0</v>
      </c>
      <c r="H728" s="95">
        <f t="shared" si="22"/>
        <v>0</v>
      </c>
      <c r="I728" s="95">
        <f>'Planning Engine'!H1444</f>
        <v>183.15199999999999</v>
      </c>
      <c r="J728" s="96">
        <f ca="1">'Planning Engine'!J1444</f>
        <v>4.1512239347234816</v>
      </c>
      <c r="K728" s="95">
        <f ca="1">'Planning Engine'!K1444</f>
        <v>0</v>
      </c>
      <c r="L728" s="12" t="str">
        <f ca="1">'Planning Engine'!L1444</f>
        <v>Low</v>
      </c>
      <c r="M728" s="93">
        <f>'Planning Engine'!S1444</f>
        <v>46174</v>
      </c>
      <c r="N728" s="95">
        <f>'Planning Engine'!T1444</f>
        <v>0</v>
      </c>
      <c r="O728" s="94" t="s">
        <v>2476</v>
      </c>
      <c r="P728" s="12" t="str">
        <f t="shared" ca="1" si="23"/>
        <v>OK</v>
      </c>
    </row>
    <row r="729" spans="1:16" ht="13" customHeight="1" x14ac:dyDescent="0.35">
      <c r="A729" s="97">
        <v>46327</v>
      </c>
      <c r="B729" s="53" t="s">
        <v>58</v>
      </c>
      <c r="C729" s="12" t="str">
        <f>'Planning Engine'!C1445</f>
        <v>Raw Material</v>
      </c>
      <c r="D729" s="12" t="str">
        <f>'Planning Engine'!D1445</f>
        <v>kg</v>
      </c>
      <c r="E729" s="95">
        <f>'Planning Engine'!E1445</f>
        <v>183.15199999999999</v>
      </c>
      <c r="F729" s="95">
        <f>'Planning Engine'!F1445</f>
        <v>0</v>
      </c>
      <c r="G729" s="95">
        <f>'Planning Engine'!G1445</f>
        <v>0</v>
      </c>
      <c r="H729" s="99">
        <f t="shared" si="22"/>
        <v>0</v>
      </c>
      <c r="I729" s="95">
        <f>'Planning Engine'!H1445</f>
        <v>183.15199999999999</v>
      </c>
      <c r="J729" s="96">
        <f ca="1">'Planning Engine'!J1445</f>
        <v>4.1512239347234816</v>
      </c>
      <c r="K729" s="95">
        <f ca="1">'Planning Engine'!K1445</f>
        <v>0</v>
      </c>
      <c r="L729" s="12" t="str">
        <f ca="1">'Planning Engine'!L1445</f>
        <v>Low</v>
      </c>
      <c r="M729" s="93">
        <f>'Planning Engine'!S1445</f>
        <v>46204</v>
      </c>
      <c r="N729" s="95">
        <f>'Planning Engine'!T1445</f>
        <v>0</v>
      </c>
      <c r="O729" s="98" t="s">
        <v>2477</v>
      </c>
      <c r="P729" s="4" t="str">
        <f t="shared" ca="1" si="23"/>
        <v>OK</v>
      </c>
    </row>
    <row r="730" spans="1:16" ht="13" customHeight="1" x14ac:dyDescent="0.35">
      <c r="A730" s="93">
        <v>46357</v>
      </c>
      <c r="B730" s="61" t="s">
        <v>58</v>
      </c>
      <c r="C730" s="12" t="str">
        <f>'Planning Engine'!C1446</f>
        <v>Raw Material</v>
      </c>
      <c r="D730" s="12" t="str">
        <f>'Planning Engine'!D1446</f>
        <v>kg</v>
      </c>
      <c r="E730" s="95">
        <f>'Planning Engine'!E1446</f>
        <v>183.15199999999999</v>
      </c>
      <c r="F730" s="95">
        <f>'Planning Engine'!F1446</f>
        <v>0</v>
      </c>
      <c r="G730" s="95">
        <f>'Planning Engine'!G1446</f>
        <v>0</v>
      </c>
      <c r="H730" s="95">
        <f t="shared" si="22"/>
        <v>0</v>
      </c>
      <c r="I730" s="95">
        <f>'Planning Engine'!H1446</f>
        <v>183.15199999999999</v>
      </c>
      <c r="J730" s="96">
        <f ca="1">'Planning Engine'!J1446</f>
        <v>4.1512239347234816</v>
      </c>
      <c r="K730" s="95">
        <f ca="1">'Planning Engine'!K1446</f>
        <v>0</v>
      </c>
      <c r="L730" s="12" t="str">
        <f ca="1">'Planning Engine'!L1446</f>
        <v>Low</v>
      </c>
      <c r="M730" s="93">
        <f>'Planning Engine'!S1446</f>
        <v>46235</v>
      </c>
      <c r="N730" s="95">
        <f>'Planning Engine'!T1446</f>
        <v>0</v>
      </c>
      <c r="O730" s="94" t="s">
        <v>2478</v>
      </c>
      <c r="P730" s="12" t="str">
        <f t="shared" ca="1" si="23"/>
        <v>OK</v>
      </c>
    </row>
    <row r="731" spans="1:16" ht="13" customHeight="1" x14ac:dyDescent="0.35">
      <c r="A731" s="97">
        <v>46388</v>
      </c>
      <c r="B731" s="53" t="s">
        <v>58</v>
      </c>
      <c r="C731" s="12" t="str">
        <f>'Planning Engine'!C1447</f>
        <v>Raw Material</v>
      </c>
      <c r="D731" s="12" t="str">
        <f>'Planning Engine'!D1447</f>
        <v>kg</v>
      </c>
      <c r="E731" s="95">
        <f>'Planning Engine'!E1447</f>
        <v>183.15199999999999</v>
      </c>
      <c r="F731" s="95">
        <f>'Planning Engine'!F1447</f>
        <v>0</v>
      </c>
      <c r="G731" s="95">
        <f>'Planning Engine'!G1447</f>
        <v>100</v>
      </c>
      <c r="H731" s="99">
        <f t="shared" si="22"/>
        <v>100</v>
      </c>
      <c r="I731" s="95">
        <f>'Planning Engine'!H1447</f>
        <v>283.15199999999999</v>
      </c>
      <c r="J731" s="96">
        <f ca="1">'Planning Engine'!J1447</f>
        <v>6.4177697189483229</v>
      </c>
      <c r="K731" s="95">
        <f ca="1">'Planning Engine'!K1447</f>
        <v>0</v>
      </c>
      <c r="L731" s="12" t="str">
        <f ca="1">'Planning Engine'!L1447</f>
        <v>Low</v>
      </c>
      <c r="M731" s="93">
        <f>'Planning Engine'!S1447</f>
        <v>46266</v>
      </c>
      <c r="N731" s="95">
        <f>'Planning Engine'!T1447</f>
        <v>100</v>
      </c>
      <c r="O731" s="98" t="s">
        <v>2479</v>
      </c>
      <c r="P731" s="4" t="str">
        <f t="shared" ca="1" si="23"/>
        <v>OK</v>
      </c>
    </row>
    <row r="732" spans="1:16" ht="13" customHeight="1" x14ac:dyDescent="0.35">
      <c r="A732" s="93">
        <v>46419</v>
      </c>
      <c r="B732" s="61" t="s">
        <v>58</v>
      </c>
      <c r="C732" s="12" t="str">
        <f>'Planning Engine'!C1448</f>
        <v>Raw Material</v>
      </c>
      <c r="D732" s="12" t="str">
        <f>'Planning Engine'!D1448</f>
        <v>kg</v>
      </c>
      <c r="E732" s="95">
        <f>'Planning Engine'!E1448</f>
        <v>283.15199999999999</v>
      </c>
      <c r="F732" s="95">
        <f>'Planning Engine'!F1448</f>
        <v>0</v>
      </c>
      <c r="G732" s="95">
        <f>'Planning Engine'!G1448</f>
        <v>0</v>
      </c>
      <c r="H732" s="95">
        <f t="shared" si="22"/>
        <v>0</v>
      </c>
      <c r="I732" s="95">
        <f>'Planning Engine'!H1448</f>
        <v>283.15199999999999</v>
      </c>
      <c r="J732" s="96">
        <f ca="1">'Planning Engine'!J1448</f>
        <v>6.4177697189483229</v>
      </c>
      <c r="K732" s="95">
        <f ca="1">'Planning Engine'!K1448</f>
        <v>0</v>
      </c>
      <c r="L732" s="12" t="str">
        <f ca="1">'Planning Engine'!L1448</f>
        <v>Low</v>
      </c>
      <c r="M732" s="93">
        <f>'Planning Engine'!S1448</f>
        <v>46296</v>
      </c>
      <c r="N732" s="95">
        <f>'Planning Engine'!T1448</f>
        <v>0</v>
      </c>
      <c r="O732" s="94" t="s">
        <v>2480</v>
      </c>
      <c r="P732" s="12" t="str">
        <f t="shared" ca="1" si="23"/>
        <v>OK</v>
      </c>
    </row>
    <row r="733" spans="1:16" ht="13" customHeight="1" x14ac:dyDescent="0.35">
      <c r="A733" s="97">
        <v>46447</v>
      </c>
      <c r="B733" s="53" t="s">
        <v>58</v>
      </c>
      <c r="C733" s="12" t="str">
        <f>'Planning Engine'!C1449</f>
        <v>Raw Material</v>
      </c>
      <c r="D733" s="12" t="str">
        <f>'Planning Engine'!D1449</f>
        <v>kg</v>
      </c>
      <c r="E733" s="95">
        <f>'Planning Engine'!E1449</f>
        <v>283.15199999999999</v>
      </c>
      <c r="F733" s="95">
        <f>'Planning Engine'!F1449</f>
        <v>0</v>
      </c>
      <c r="G733" s="95">
        <f>'Planning Engine'!G1449</f>
        <v>0</v>
      </c>
      <c r="H733" s="99">
        <f t="shared" si="22"/>
        <v>0</v>
      </c>
      <c r="I733" s="95">
        <f>'Planning Engine'!H1449</f>
        <v>283.15199999999999</v>
      </c>
      <c r="J733" s="96">
        <f ca="1">'Planning Engine'!J1449</f>
        <v>6.4177697189483229</v>
      </c>
      <c r="K733" s="95">
        <f ca="1">'Planning Engine'!K1449</f>
        <v>0</v>
      </c>
      <c r="L733" s="12" t="str">
        <f ca="1">'Planning Engine'!L1449</f>
        <v>Low</v>
      </c>
      <c r="M733" s="93">
        <f>'Planning Engine'!S1449</f>
        <v>46327</v>
      </c>
      <c r="N733" s="95">
        <f>'Planning Engine'!T1449</f>
        <v>0</v>
      </c>
      <c r="O733" s="98" t="s">
        <v>2481</v>
      </c>
      <c r="P733" s="4" t="str">
        <f t="shared" ca="1" si="23"/>
        <v>OK</v>
      </c>
    </row>
    <row r="734" spans="1:16" ht="13" customHeight="1" x14ac:dyDescent="0.35">
      <c r="A734" s="93">
        <v>46478</v>
      </c>
      <c r="B734" s="61" t="s">
        <v>58</v>
      </c>
      <c r="C734" s="12" t="str">
        <f>'Planning Engine'!C1450</f>
        <v>Raw Material</v>
      </c>
      <c r="D734" s="12" t="str">
        <f>'Planning Engine'!D1450</f>
        <v>kg</v>
      </c>
      <c r="E734" s="95">
        <f>'Planning Engine'!E1450</f>
        <v>283.15199999999999</v>
      </c>
      <c r="F734" s="95">
        <f>'Planning Engine'!F1450</f>
        <v>44.12</v>
      </c>
      <c r="G734" s="95">
        <f>'Planning Engine'!G1450</f>
        <v>0</v>
      </c>
      <c r="H734" s="95">
        <f t="shared" si="22"/>
        <v>-44.12</v>
      </c>
      <c r="I734" s="95">
        <f>'Planning Engine'!H1450</f>
        <v>239.03199999999998</v>
      </c>
      <c r="J734" s="96">
        <f ca="1">'Planning Engine'!J1450</f>
        <v>5.4177697189483229</v>
      </c>
      <c r="K734" s="95">
        <f ca="1">'Planning Engine'!K1450</f>
        <v>0</v>
      </c>
      <c r="L734" s="12" t="str">
        <f ca="1">'Planning Engine'!L1450</f>
        <v>Low</v>
      </c>
      <c r="M734" s="93">
        <f>'Planning Engine'!S1450</f>
        <v>46357</v>
      </c>
      <c r="N734" s="95">
        <f>'Planning Engine'!T1450</f>
        <v>0</v>
      </c>
      <c r="O734" s="94" t="s">
        <v>2482</v>
      </c>
      <c r="P734" s="12" t="str">
        <f t="shared" ca="1" si="23"/>
        <v>OK</v>
      </c>
    </row>
    <row r="735" spans="1:16" ht="13" customHeight="1" x14ac:dyDescent="0.35">
      <c r="A735" s="97">
        <v>46508</v>
      </c>
      <c r="B735" s="53" t="s">
        <v>58</v>
      </c>
      <c r="C735" s="12" t="str">
        <f>'Planning Engine'!C1451</f>
        <v>Raw Material</v>
      </c>
      <c r="D735" s="12" t="str">
        <f>'Planning Engine'!D1451</f>
        <v>kg</v>
      </c>
      <c r="E735" s="95">
        <f>'Planning Engine'!E1451</f>
        <v>239.03199999999998</v>
      </c>
      <c r="F735" s="95">
        <f>'Planning Engine'!F1451</f>
        <v>44.12</v>
      </c>
      <c r="G735" s="95">
        <f>'Planning Engine'!G1451</f>
        <v>0</v>
      </c>
      <c r="H735" s="99">
        <f t="shared" si="22"/>
        <v>-44.12</v>
      </c>
      <c r="I735" s="95">
        <f>'Planning Engine'!H1451</f>
        <v>194.91199999999998</v>
      </c>
      <c r="J735" s="96">
        <f ca="1">'Planning Engine'!J1451</f>
        <v>4.4177697189483229</v>
      </c>
      <c r="K735" s="95">
        <f ca="1">'Planning Engine'!K1451</f>
        <v>0</v>
      </c>
      <c r="L735" s="12" t="str">
        <f ca="1">'Planning Engine'!L1451</f>
        <v>Low</v>
      </c>
      <c r="M735" s="93">
        <f>'Planning Engine'!S1451</f>
        <v>46388</v>
      </c>
      <c r="N735" s="95">
        <f>'Planning Engine'!T1451</f>
        <v>0</v>
      </c>
      <c r="O735" s="98" t="s">
        <v>2483</v>
      </c>
      <c r="P735" s="4" t="str">
        <f t="shared" ca="1" si="23"/>
        <v>OK</v>
      </c>
    </row>
    <row r="736" spans="1:16" ht="13" customHeight="1" x14ac:dyDescent="0.35">
      <c r="A736" s="93">
        <v>46539</v>
      </c>
      <c r="B736" s="61" t="s">
        <v>58</v>
      </c>
      <c r="C736" s="12" t="str">
        <f>'Planning Engine'!C1452</f>
        <v>Raw Material</v>
      </c>
      <c r="D736" s="12" t="str">
        <f>'Planning Engine'!D1452</f>
        <v>kg</v>
      </c>
      <c r="E736" s="95">
        <f>'Planning Engine'!E1452</f>
        <v>194.91199999999998</v>
      </c>
      <c r="F736" s="95">
        <f>'Planning Engine'!F1452</f>
        <v>44.12</v>
      </c>
      <c r="G736" s="95">
        <f>'Planning Engine'!G1452</f>
        <v>0</v>
      </c>
      <c r="H736" s="95">
        <f t="shared" si="22"/>
        <v>-44.12</v>
      </c>
      <c r="I736" s="95">
        <f>'Planning Engine'!H1452</f>
        <v>150.79199999999997</v>
      </c>
      <c r="J736" s="96">
        <f ca="1">'Planning Engine'!J1452</f>
        <v>3.4177697189483225</v>
      </c>
      <c r="K736" s="95">
        <f ca="1">'Planning Engine'!K1452</f>
        <v>0</v>
      </c>
      <c r="L736" s="12" t="str">
        <f ca="1">'Planning Engine'!L1452</f>
        <v>Medium</v>
      </c>
      <c r="M736" s="93">
        <f>'Planning Engine'!S1452</f>
        <v>46419</v>
      </c>
      <c r="N736" s="95">
        <f>'Planning Engine'!T1452</f>
        <v>0</v>
      </c>
      <c r="O736" s="94" t="s">
        <v>2484</v>
      </c>
      <c r="P736" s="12" t="str">
        <f t="shared" ca="1" si="23"/>
        <v>Monitor — plan additional POs</v>
      </c>
    </row>
    <row r="737" spans="1:16" ht="13" customHeight="1" x14ac:dyDescent="0.35">
      <c r="A737" s="97">
        <v>46569</v>
      </c>
      <c r="B737" s="53" t="s">
        <v>58</v>
      </c>
      <c r="C737" s="12" t="str">
        <f>'Planning Engine'!C1453</f>
        <v>Raw Material</v>
      </c>
      <c r="D737" s="12" t="str">
        <f>'Planning Engine'!D1453</f>
        <v>kg</v>
      </c>
      <c r="E737" s="95">
        <f>'Planning Engine'!E1453</f>
        <v>150.79199999999997</v>
      </c>
      <c r="F737" s="95">
        <f>'Planning Engine'!F1453</f>
        <v>44.12</v>
      </c>
      <c r="G737" s="95">
        <f>'Planning Engine'!G1453</f>
        <v>0</v>
      </c>
      <c r="H737" s="99">
        <f t="shared" si="22"/>
        <v>-44.12</v>
      </c>
      <c r="I737" s="95">
        <f>'Planning Engine'!H1453</f>
        <v>106.67199999999997</v>
      </c>
      <c r="J737" s="96">
        <f ca="1">'Planning Engine'!J1453</f>
        <v>2.417769718948322</v>
      </c>
      <c r="K737" s="95">
        <f ca="1">'Planning Engine'!K1453</f>
        <v>95</v>
      </c>
      <c r="L737" s="12" t="str">
        <f ca="1">'Planning Engine'!L1453</f>
        <v>High</v>
      </c>
      <c r="M737" s="93">
        <f>'Planning Engine'!S1453</f>
        <v>46447</v>
      </c>
      <c r="N737" s="95">
        <f>'Planning Engine'!T1453</f>
        <v>0</v>
      </c>
      <c r="O737" s="98" t="s">
        <v>2485</v>
      </c>
      <c r="P737" s="4" t="str">
        <f t="shared" ca="1" si="23"/>
        <v>⚠ Expedite / qualify alternate source</v>
      </c>
    </row>
    <row r="738" spans="1:16" ht="13" customHeight="1" x14ac:dyDescent="0.35">
      <c r="A738" s="93">
        <v>46600</v>
      </c>
      <c r="B738" s="61" t="s">
        <v>58</v>
      </c>
      <c r="C738" s="12" t="str">
        <f>'Planning Engine'!C1454</f>
        <v>Raw Material</v>
      </c>
      <c r="D738" s="12" t="str">
        <f>'Planning Engine'!D1454</f>
        <v>kg</v>
      </c>
      <c r="E738" s="95">
        <f>'Planning Engine'!E1454</f>
        <v>106.67199999999997</v>
      </c>
      <c r="F738" s="95">
        <f>'Planning Engine'!F1454</f>
        <v>0</v>
      </c>
      <c r="G738" s="95">
        <f>'Planning Engine'!G1454</f>
        <v>0</v>
      </c>
      <c r="H738" s="95">
        <f t="shared" si="22"/>
        <v>0</v>
      </c>
      <c r="I738" s="95">
        <f>'Planning Engine'!H1454</f>
        <v>106.67199999999997</v>
      </c>
      <c r="J738" s="96">
        <f ca="1">'Planning Engine'!J1454</f>
        <v>999</v>
      </c>
      <c r="K738" s="95">
        <f ca="1">'Planning Engine'!K1454</f>
        <v>0</v>
      </c>
      <c r="L738" s="12" t="str">
        <f ca="1">'Planning Engine'!L1454</f>
        <v>Overstock</v>
      </c>
      <c r="M738" s="93">
        <f>'Planning Engine'!S1454</f>
        <v>46478</v>
      </c>
      <c r="N738" s="95">
        <f>'Planning Engine'!T1454</f>
        <v>0</v>
      </c>
      <c r="O738" s="94" t="s">
        <v>2486</v>
      </c>
      <c r="P738" s="12" t="str">
        <f t="shared" ca="1" si="23"/>
        <v>Defer receipts</v>
      </c>
    </row>
    <row r="739" spans="1:16" ht="13" customHeight="1" x14ac:dyDescent="0.35">
      <c r="A739" s="97">
        <v>46631</v>
      </c>
      <c r="B739" s="53" t="s">
        <v>58</v>
      </c>
      <c r="C739" s="12" t="str">
        <f>'Planning Engine'!C1455</f>
        <v>Raw Material</v>
      </c>
      <c r="D739" s="12" t="str">
        <f>'Planning Engine'!D1455</f>
        <v>kg</v>
      </c>
      <c r="E739" s="95">
        <f>'Planning Engine'!E1455</f>
        <v>106.67199999999997</v>
      </c>
      <c r="F739" s="95">
        <f>'Planning Engine'!F1455</f>
        <v>0</v>
      </c>
      <c r="G739" s="95">
        <f>'Planning Engine'!G1455</f>
        <v>0</v>
      </c>
      <c r="H739" s="99">
        <f t="shared" si="22"/>
        <v>0</v>
      </c>
      <c r="I739" s="95">
        <f>'Planning Engine'!H1455</f>
        <v>106.67199999999997</v>
      </c>
      <c r="J739" s="96">
        <f ca="1">'Planning Engine'!J1455</f>
        <v>999</v>
      </c>
      <c r="K739" s="95">
        <f ca="1">'Planning Engine'!K1455</f>
        <v>0</v>
      </c>
      <c r="L739" s="12" t="str">
        <f ca="1">'Planning Engine'!L1455</f>
        <v>Overstock</v>
      </c>
      <c r="M739" s="93">
        <f>'Planning Engine'!S1455</f>
        <v>46508</v>
      </c>
      <c r="N739" s="95">
        <f>'Planning Engine'!T1455</f>
        <v>0</v>
      </c>
      <c r="O739" s="98" t="s">
        <v>2487</v>
      </c>
      <c r="P739" s="4" t="str">
        <f t="shared" ca="1" si="23"/>
        <v>Defer receipts</v>
      </c>
    </row>
    <row r="740" spans="1:16" ht="13" customHeight="1" x14ac:dyDescent="0.35">
      <c r="A740" s="93">
        <v>46661</v>
      </c>
      <c r="B740" s="61" t="s">
        <v>58</v>
      </c>
      <c r="C740" s="12" t="str">
        <f>'Planning Engine'!C1456</f>
        <v>Raw Material</v>
      </c>
      <c r="D740" s="12" t="str">
        <f>'Planning Engine'!D1456</f>
        <v>kg</v>
      </c>
      <c r="E740" s="95">
        <f>'Planning Engine'!E1456</f>
        <v>106.67199999999997</v>
      </c>
      <c r="F740" s="95">
        <f>'Planning Engine'!F1456</f>
        <v>0</v>
      </c>
      <c r="G740" s="95">
        <f>'Planning Engine'!G1456</f>
        <v>0</v>
      </c>
      <c r="H740" s="95">
        <f t="shared" si="22"/>
        <v>0</v>
      </c>
      <c r="I740" s="95">
        <f>'Planning Engine'!H1456</f>
        <v>106.67199999999997</v>
      </c>
      <c r="J740" s="96">
        <f ca="1">'Planning Engine'!J1456</f>
        <v>999</v>
      </c>
      <c r="K740" s="95">
        <f ca="1">'Planning Engine'!K1456</f>
        <v>0</v>
      </c>
      <c r="L740" s="12" t="str">
        <f ca="1">'Planning Engine'!L1456</f>
        <v>Overstock</v>
      </c>
      <c r="M740" s="93">
        <f>'Planning Engine'!S1456</f>
        <v>46539</v>
      </c>
      <c r="N740" s="95">
        <f>'Planning Engine'!T1456</f>
        <v>0</v>
      </c>
      <c r="O740" s="94" t="s">
        <v>2488</v>
      </c>
      <c r="P740" s="12" t="str">
        <f t="shared" ca="1" si="23"/>
        <v>Defer receipts</v>
      </c>
    </row>
    <row r="741" spans="1:16" ht="13" customHeight="1" x14ac:dyDescent="0.35">
      <c r="A741" s="97">
        <v>46692</v>
      </c>
      <c r="B741" s="53" t="s">
        <v>58</v>
      </c>
      <c r="C741" s="12" t="str">
        <f>'Planning Engine'!C1457</f>
        <v>Raw Material</v>
      </c>
      <c r="D741" s="12" t="str">
        <f>'Planning Engine'!D1457</f>
        <v>kg</v>
      </c>
      <c r="E741" s="95">
        <f>'Planning Engine'!E1457</f>
        <v>106.67199999999997</v>
      </c>
      <c r="F741" s="95">
        <f>'Planning Engine'!F1457</f>
        <v>0</v>
      </c>
      <c r="G741" s="95">
        <f>'Planning Engine'!G1457</f>
        <v>0</v>
      </c>
      <c r="H741" s="99">
        <f t="shared" si="22"/>
        <v>0</v>
      </c>
      <c r="I741" s="95">
        <f>'Planning Engine'!H1457</f>
        <v>106.67199999999997</v>
      </c>
      <c r="J741" s="96">
        <f ca="1">'Planning Engine'!J1457</f>
        <v>999</v>
      </c>
      <c r="K741" s="95">
        <f ca="1">'Planning Engine'!K1457</f>
        <v>0</v>
      </c>
      <c r="L741" s="12" t="str">
        <f ca="1">'Planning Engine'!L1457</f>
        <v>Overstock</v>
      </c>
      <c r="M741" s="93">
        <f>'Planning Engine'!S1457</f>
        <v>46569</v>
      </c>
      <c r="N741" s="95">
        <f>'Planning Engine'!T1457</f>
        <v>0</v>
      </c>
      <c r="O741" s="98" t="s">
        <v>2489</v>
      </c>
      <c r="P741" s="4" t="str">
        <f t="shared" ca="1" si="23"/>
        <v>Defer receipts</v>
      </c>
    </row>
    <row r="742" spans="1:16" ht="13" customHeight="1" x14ac:dyDescent="0.35">
      <c r="A742" s="93">
        <v>46722</v>
      </c>
      <c r="B742" s="61" t="s">
        <v>58</v>
      </c>
      <c r="C742" s="12" t="str">
        <f>'Planning Engine'!C1458</f>
        <v>Raw Material</v>
      </c>
      <c r="D742" s="12" t="str">
        <f>'Planning Engine'!D1458</f>
        <v>kg</v>
      </c>
      <c r="E742" s="95">
        <f>'Planning Engine'!E1458</f>
        <v>106.67199999999997</v>
      </c>
      <c r="F742" s="95">
        <f>'Planning Engine'!F1458</f>
        <v>0</v>
      </c>
      <c r="G742" s="95">
        <f>'Planning Engine'!G1458</f>
        <v>0</v>
      </c>
      <c r="H742" s="95">
        <f t="shared" si="22"/>
        <v>0</v>
      </c>
      <c r="I742" s="95">
        <f>'Planning Engine'!H1458</f>
        <v>106.67199999999997</v>
      </c>
      <c r="J742" s="96">
        <f ca="1">'Planning Engine'!J1458</f>
        <v>999</v>
      </c>
      <c r="K742" s="95">
        <f ca="1">'Planning Engine'!K1458</f>
        <v>0</v>
      </c>
      <c r="L742" s="12" t="str">
        <f ca="1">'Planning Engine'!L1458</f>
        <v>Overstock</v>
      </c>
      <c r="M742" s="93">
        <f>'Planning Engine'!S1458</f>
        <v>46600</v>
      </c>
      <c r="N742" s="95">
        <f>'Planning Engine'!T1458</f>
        <v>0</v>
      </c>
      <c r="O742" s="94" t="s">
        <v>2490</v>
      </c>
      <c r="P742" s="12" t="str">
        <f t="shared" ca="1" si="23"/>
        <v>Defer receipts</v>
      </c>
    </row>
    <row r="743" spans="1:16" ht="13" customHeight="1" x14ac:dyDescent="0.35">
      <c r="A743" s="97">
        <v>46753</v>
      </c>
      <c r="B743" s="53" t="s">
        <v>58</v>
      </c>
      <c r="C743" s="12" t="str">
        <f>'Planning Engine'!C1459</f>
        <v>Raw Material</v>
      </c>
      <c r="D743" s="12" t="str">
        <f>'Planning Engine'!D1459</f>
        <v>kg</v>
      </c>
      <c r="E743" s="95">
        <f>'Planning Engine'!E1459</f>
        <v>106.67199999999997</v>
      </c>
      <c r="F743" s="95">
        <f>'Planning Engine'!F1459</f>
        <v>0</v>
      </c>
      <c r="G743" s="95">
        <f>'Planning Engine'!G1459</f>
        <v>0</v>
      </c>
      <c r="H743" s="99">
        <f t="shared" si="22"/>
        <v>0</v>
      </c>
      <c r="I743" s="95">
        <f>'Planning Engine'!H1459</f>
        <v>106.67199999999997</v>
      </c>
      <c r="J743" s="96">
        <f ca="1">'Planning Engine'!J1459</f>
        <v>999</v>
      </c>
      <c r="K743" s="95">
        <f ca="1">'Planning Engine'!K1459</f>
        <v>0</v>
      </c>
      <c r="L743" s="12" t="str">
        <f ca="1">'Planning Engine'!L1459</f>
        <v>Overstock</v>
      </c>
      <c r="M743" s="93">
        <f>'Planning Engine'!S1459</f>
        <v>46631</v>
      </c>
      <c r="N743" s="95">
        <f>'Planning Engine'!T1459</f>
        <v>0</v>
      </c>
      <c r="O743" s="98" t="s">
        <v>2491</v>
      </c>
      <c r="P743" s="4" t="str">
        <f t="shared" ca="1" si="23"/>
        <v>Defer receipts</v>
      </c>
    </row>
    <row r="744" spans="1:16" ht="13" customHeight="1" x14ac:dyDescent="0.35">
      <c r="A744" s="93">
        <v>46784</v>
      </c>
      <c r="B744" s="61" t="s">
        <v>58</v>
      </c>
      <c r="C744" s="12" t="str">
        <f>'Planning Engine'!C1460</f>
        <v>Raw Material</v>
      </c>
      <c r="D744" s="12" t="str">
        <f>'Planning Engine'!D1460</f>
        <v>kg</v>
      </c>
      <c r="E744" s="95">
        <f>'Planning Engine'!E1460</f>
        <v>106.67199999999997</v>
      </c>
      <c r="F744" s="95">
        <f>'Planning Engine'!F1460</f>
        <v>0</v>
      </c>
      <c r="G744" s="95">
        <f>'Planning Engine'!G1460</f>
        <v>0</v>
      </c>
      <c r="H744" s="95">
        <f t="shared" si="22"/>
        <v>0</v>
      </c>
      <c r="I744" s="95">
        <f>'Planning Engine'!H1460</f>
        <v>106.67199999999997</v>
      </c>
      <c r="J744" s="96">
        <f ca="1">'Planning Engine'!J1460</f>
        <v>999</v>
      </c>
      <c r="K744" s="95">
        <f ca="1">'Planning Engine'!K1460</f>
        <v>0</v>
      </c>
      <c r="L744" s="12" t="str">
        <f ca="1">'Planning Engine'!L1460</f>
        <v>Overstock</v>
      </c>
      <c r="M744" s="93">
        <f>'Planning Engine'!S1460</f>
        <v>46661</v>
      </c>
      <c r="N744" s="95">
        <f>'Planning Engine'!T1460</f>
        <v>0</v>
      </c>
      <c r="O744" s="94" t="s">
        <v>2492</v>
      </c>
      <c r="P744" s="12" t="str">
        <f t="shared" ca="1" si="23"/>
        <v>Defer receipts</v>
      </c>
    </row>
    <row r="745" spans="1:16" ht="13" customHeight="1" x14ac:dyDescent="0.35">
      <c r="A745" s="97">
        <v>46813</v>
      </c>
      <c r="B745" s="53" t="s">
        <v>58</v>
      </c>
      <c r="C745" s="12" t="str">
        <f>'Planning Engine'!C1461</f>
        <v>Raw Material</v>
      </c>
      <c r="D745" s="12" t="str">
        <f>'Planning Engine'!D1461</f>
        <v>kg</v>
      </c>
      <c r="E745" s="95">
        <f>'Planning Engine'!E1461</f>
        <v>106.67199999999997</v>
      </c>
      <c r="F745" s="95">
        <f>'Planning Engine'!F1461</f>
        <v>0</v>
      </c>
      <c r="G745" s="95">
        <f>'Planning Engine'!G1461</f>
        <v>0</v>
      </c>
      <c r="H745" s="99">
        <f t="shared" si="22"/>
        <v>0</v>
      </c>
      <c r="I745" s="95">
        <f>'Planning Engine'!H1461</f>
        <v>106.67199999999997</v>
      </c>
      <c r="J745" s="96">
        <f ca="1">'Planning Engine'!J1461</f>
        <v>999</v>
      </c>
      <c r="K745" s="95">
        <f ca="1">'Planning Engine'!K1461</f>
        <v>0</v>
      </c>
      <c r="L745" s="12" t="str">
        <f ca="1">'Planning Engine'!L1461</f>
        <v>Overstock</v>
      </c>
      <c r="M745" s="93">
        <f>'Planning Engine'!S1461</f>
        <v>46692</v>
      </c>
      <c r="N745" s="95">
        <f>'Planning Engine'!T1461</f>
        <v>0</v>
      </c>
      <c r="O745" s="98" t="s">
        <v>2493</v>
      </c>
      <c r="P745" s="4" t="str">
        <f t="shared" ca="1" si="23"/>
        <v>Defer receipts</v>
      </c>
    </row>
    <row r="746" spans="1:16" ht="13" customHeight="1" x14ac:dyDescent="0.35">
      <c r="A746" s="93">
        <v>46844</v>
      </c>
      <c r="B746" s="61" t="s">
        <v>58</v>
      </c>
      <c r="C746" s="12" t="str">
        <f>'Planning Engine'!C1462</f>
        <v>Raw Material</v>
      </c>
      <c r="D746" s="12" t="str">
        <f>'Planning Engine'!D1462</f>
        <v>kg</v>
      </c>
      <c r="E746" s="95">
        <f>'Planning Engine'!E1462</f>
        <v>106.67199999999997</v>
      </c>
      <c r="F746" s="95">
        <f>'Planning Engine'!F1462</f>
        <v>0</v>
      </c>
      <c r="G746" s="95">
        <f>'Planning Engine'!G1462</f>
        <v>0</v>
      </c>
      <c r="H746" s="95">
        <f t="shared" si="22"/>
        <v>0</v>
      </c>
      <c r="I746" s="95">
        <f>'Planning Engine'!H1462</f>
        <v>106.67199999999997</v>
      </c>
      <c r="J746" s="96">
        <f ca="1">'Planning Engine'!J1462</f>
        <v>999</v>
      </c>
      <c r="K746" s="95">
        <f ca="1">'Planning Engine'!K1462</f>
        <v>0</v>
      </c>
      <c r="L746" s="12" t="str">
        <f ca="1">'Planning Engine'!L1462</f>
        <v>Overstock</v>
      </c>
      <c r="M746" s="93">
        <f>'Planning Engine'!S1462</f>
        <v>46722</v>
      </c>
      <c r="N746" s="95">
        <f>'Planning Engine'!T1462</f>
        <v>0</v>
      </c>
      <c r="O746" s="94" t="s">
        <v>2494</v>
      </c>
      <c r="P746" s="12" t="str">
        <f t="shared" ca="1" si="23"/>
        <v>Defer receipts</v>
      </c>
    </row>
    <row r="747" spans="1:16" ht="13" customHeight="1" x14ac:dyDescent="0.35">
      <c r="A747" s="97">
        <v>46874</v>
      </c>
      <c r="B747" s="53" t="s">
        <v>58</v>
      </c>
      <c r="C747" s="12" t="str">
        <f>'Planning Engine'!C1463</f>
        <v>Raw Material</v>
      </c>
      <c r="D747" s="12" t="str">
        <f>'Planning Engine'!D1463</f>
        <v>kg</v>
      </c>
      <c r="E747" s="95">
        <f>'Planning Engine'!E1463</f>
        <v>106.67199999999997</v>
      </c>
      <c r="F747" s="95">
        <f>'Planning Engine'!F1463</f>
        <v>0</v>
      </c>
      <c r="G747" s="95">
        <f>'Planning Engine'!G1463</f>
        <v>0</v>
      </c>
      <c r="H747" s="99">
        <f t="shared" si="22"/>
        <v>0</v>
      </c>
      <c r="I747" s="95">
        <f>'Planning Engine'!H1463</f>
        <v>106.67199999999997</v>
      </c>
      <c r="J747" s="96">
        <f ca="1">'Planning Engine'!J1463</f>
        <v>999</v>
      </c>
      <c r="K747" s="95">
        <f ca="1">'Planning Engine'!K1463</f>
        <v>0</v>
      </c>
      <c r="L747" s="12" t="str">
        <f ca="1">'Planning Engine'!L1463</f>
        <v>Overstock</v>
      </c>
      <c r="M747" s="93">
        <f>'Planning Engine'!S1463</f>
        <v>46753</v>
      </c>
      <c r="N747" s="95">
        <f>'Planning Engine'!T1463</f>
        <v>0</v>
      </c>
      <c r="O747" s="98" t="s">
        <v>2495</v>
      </c>
      <c r="P747" s="4" t="str">
        <f t="shared" ca="1" si="23"/>
        <v>Defer receipts</v>
      </c>
    </row>
    <row r="748" spans="1:16" ht="13" customHeight="1" x14ac:dyDescent="0.35">
      <c r="A748" s="93">
        <v>46905</v>
      </c>
      <c r="B748" s="61" t="s">
        <v>58</v>
      </c>
      <c r="C748" s="12" t="str">
        <f>'Planning Engine'!C1464</f>
        <v>Raw Material</v>
      </c>
      <c r="D748" s="12" t="str">
        <f>'Planning Engine'!D1464</f>
        <v>kg</v>
      </c>
      <c r="E748" s="95">
        <f>'Planning Engine'!E1464</f>
        <v>106.67199999999997</v>
      </c>
      <c r="F748" s="95">
        <f>'Planning Engine'!F1464</f>
        <v>0</v>
      </c>
      <c r="G748" s="95">
        <f>'Planning Engine'!G1464</f>
        <v>0</v>
      </c>
      <c r="H748" s="95">
        <f t="shared" si="22"/>
        <v>0</v>
      </c>
      <c r="I748" s="95">
        <f>'Planning Engine'!H1464</f>
        <v>106.67199999999997</v>
      </c>
      <c r="J748" s="96">
        <f ca="1">'Planning Engine'!J1464</f>
        <v>999</v>
      </c>
      <c r="K748" s="95">
        <f ca="1">'Planning Engine'!K1464</f>
        <v>0</v>
      </c>
      <c r="L748" s="12" t="str">
        <f ca="1">'Planning Engine'!L1464</f>
        <v>Overstock</v>
      </c>
      <c r="M748" s="93">
        <f>'Planning Engine'!S1464</f>
        <v>46784</v>
      </c>
      <c r="N748" s="95">
        <f>'Planning Engine'!T1464</f>
        <v>0</v>
      </c>
      <c r="O748" s="94" t="s">
        <v>2496</v>
      </c>
      <c r="P748" s="12" t="str">
        <f t="shared" ca="1" si="23"/>
        <v>Defer receipts</v>
      </c>
    </row>
    <row r="749" spans="1:16" ht="13" customHeight="1" x14ac:dyDescent="0.35">
      <c r="A749" s="97">
        <v>46935</v>
      </c>
      <c r="B749" s="53" t="s">
        <v>58</v>
      </c>
      <c r="C749" s="12" t="str">
        <f>'Planning Engine'!C1465</f>
        <v>Raw Material</v>
      </c>
      <c r="D749" s="12" t="str">
        <f>'Planning Engine'!D1465</f>
        <v>kg</v>
      </c>
      <c r="E749" s="95">
        <f>'Planning Engine'!E1465</f>
        <v>106.67199999999997</v>
      </c>
      <c r="F749" s="95">
        <f>'Planning Engine'!F1465</f>
        <v>0</v>
      </c>
      <c r="G749" s="95">
        <f>'Planning Engine'!G1465</f>
        <v>0</v>
      </c>
      <c r="H749" s="99">
        <f t="shared" si="22"/>
        <v>0</v>
      </c>
      <c r="I749" s="95">
        <f>'Planning Engine'!H1465</f>
        <v>106.67199999999997</v>
      </c>
      <c r="J749" s="96">
        <f ca="1">'Planning Engine'!J1465</f>
        <v>999</v>
      </c>
      <c r="K749" s="95">
        <f ca="1">'Planning Engine'!K1465</f>
        <v>0</v>
      </c>
      <c r="L749" s="12" t="str">
        <f ca="1">'Planning Engine'!L1465</f>
        <v>Overstock</v>
      </c>
      <c r="M749" s="93">
        <f>'Planning Engine'!S1465</f>
        <v>46813</v>
      </c>
      <c r="N749" s="95">
        <f>'Planning Engine'!T1465</f>
        <v>0</v>
      </c>
      <c r="O749" s="98" t="s">
        <v>2497</v>
      </c>
      <c r="P749" s="4" t="str">
        <f t="shared" ca="1" si="23"/>
        <v>Defer receipts</v>
      </c>
    </row>
    <row r="750" spans="1:16" ht="13" customHeight="1" x14ac:dyDescent="0.35">
      <c r="A750" s="93">
        <v>46966</v>
      </c>
      <c r="B750" s="61" t="s">
        <v>58</v>
      </c>
      <c r="C750" s="12" t="str">
        <f>'Planning Engine'!C1466</f>
        <v>Raw Material</v>
      </c>
      <c r="D750" s="12" t="str">
        <f>'Planning Engine'!D1466</f>
        <v>kg</v>
      </c>
      <c r="E750" s="95">
        <f>'Planning Engine'!E1466</f>
        <v>106.67199999999997</v>
      </c>
      <c r="F750" s="95">
        <f>'Planning Engine'!F1466</f>
        <v>0</v>
      </c>
      <c r="G750" s="95">
        <f>'Planning Engine'!G1466</f>
        <v>0</v>
      </c>
      <c r="H750" s="95">
        <f t="shared" si="22"/>
        <v>0</v>
      </c>
      <c r="I750" s="95">
        <f>'Planning Engine'!H1466</f>
        <v>106.67199999999997</v>
      </c>
      <c r="J750" s="96">
        <f ca="1">'Planning Engine'!J1466</f>
        <v>999</v>
      </c>
      <c r="K750" s="95">
        <f ca="1">'Planning Engine'!K1466</f>
        <v>0</v>
      </c>
      <c r="L750" s="12" t="str">
        <f ca="1">'Planning Engine'!L1466</f>
        <v>Overstock</v>
      </c>
      <c r="M750" s="93">
        <f>'Planning Engine'!S1466</f>
        <v>46844</v>
      </c>
      <c r="N750" s="95">
        <f>'Planning Engine'!T1466</f>
        <v>0</v>
      </c>
      <c r="O750" s="94" t="s">
        <v>2498</v>
      </c>
      <c r="P750" s="12" t="str">
        <f t="shared" ca="1" si="23"/>
        <v>Defer receipts</v>
      </c>
    </row>
    <row r="751" spans="1:16" ht="13" customHeight="1" x14ac:dyDescent="0.35">
      <c r="A751" s="97">
        <v>46997</v>
      </c>
      <c r="B751" s="53" t="s">
        <v>58</v>
      </c>
      <c r="C751" s="12" t="str">
        <f>'Planning Engine'!C1467</f>
        <v>Raw Material</v>
      </c>
      <c r="D751" s="12" t="str">
        <f>'Planning Engine'!D1467</f>
        <v>kg</v>
      </c>
      <c r="E751" s="95">
        <f>'Planning Engine'!E1467</f>
        <v>106.67199999999997</v>
      </c>
      <c r="F751" s="95">
        <f>'Planning Engine'!F1467</f>
        <v>0</v>
      </c>
      <c r="G751" s="95">
        <f>'Planning Engine'!G1467</f>
        <v>0</v>
      </c>
      <c r="H751" s="99">
        <f t="shared" si="22"/>
        <v>0</v>
      </c>
      <c r="I751" s="95">
        <f>'Planning Engine'!H1467</f>
        <v>106.67199999999997</v>
      </c>
      <c r="J751" s="96">
        <f ca="1">'Planning Engine'!J1467</f>
        <v>999</v>
      </c>
      <c r="K751" s="95">
        <f ca="1">'Planning Engine'!K1467</f>
        <v>0</v>
      </c>
      <c r="L751" s="12" t="str">
        <f ca="1">'Planning Engine'!L1467</f>
        <v>Overstock</v>
      </c>
      <c r="M751" s="93">
        <f>'Planning Engine'!S1467</f>
        <v>46874</v>
      </c>
      <c r="N751" s="95">
        <f>'Planning Engine'!T1467</f>
        <v>0</v>
      </c>
      <c r="O751" s="98" t="s">
        <v>2499</v>
      </c>
      <c r="P751" s="4" t="str">
        <f t="shared" ca="1" si="23"/>
        <v>Defer receipts</v>
      </c>
    </row>
    <row r="752" spans="1:16" ht="13" customHeight="1" x14ac:dyDescent="0.35">
      <c r="A752" s="93">
        <v>47027</v>
      </c>
      <c r="B752" s="61" t="s">
        <v>58</v>
      </c>
      <c r="C752" s="12" t="str">
        <f>'Planning Engine'!C1468</f>
        <v>Raw Material</v>
      </c>
      <c r="D752" s="12" t="str">
        <f>'Planning Engine'!D1468</f>
        <v>kg</v>
      </c>
      <c r="E752" s="95">
        <f>'Planning Engine'!E1468</f>
        <v>106.67199999999997</v>
      </c>
      <c r="F752" s="95">
        <f>'Planning Engine'!F1468</f>
        <v>0</v>
      </c>
      <c r="G752" s="95">
        <f>'Planning Engine'!G1468</f>
        <v>0</v>
      </c>
      <c r="H752" s="95">
        <f t="shared" si="22"/>
        <v>0</v>
      </c>
      <c r="I752" s="95">
        <f>'Planning Engine'!H1468</f>
        <v>106.67199999999997</v>
      </c>
      <c r="J752" s="96">
        <f ca="1">'Planning Engine'!J1468</f>
        <v>999</v>
      </c>
      <c r="K752" s="95">
        <f ca="1">'Planning Engine'!K1468</f>
        <v>0</v>
      </c>
      <c r="L752" s="12" t="str">
        <f ca="1">'Planning Engine'!L1468</f>
        <v>Overstock</v>
      </c>
      <c r="M752" s="93">
        <f>'Planning Engine'!S1468</f>
        <v>46905</v>
      </c>
      <c r="N752" s="95">
        <f>'Planning Engine'!T1468</f>
        <v>0</v>
      </c>
      <c r="O752" s="94" t="s">
        <v>2500</v>
      </c>
      <c r="P752" s="12" t="str">
        <f t="shared" ca="1" si="23"/>
        <v>Defer receipts</v>
      </c>
    </row>
    <row r="753" spans="1:16" ht="13" customHeight="1" x14ac:dyDescent="0.35">
      <c r="A753" s="97">
        <v>47058</v>
      </c>
      <c r="B753" s="53" t="s">
        <v>58</v>
      </c>
      <c r="C753" s="12" t="str">
        <f>'Planning Engine'!C1469</f>
        <v>Raw Material</v>
      </c>
      <c r="D753" s="12" t="str">
        <f>'Planning Engine'!D1469</f>
        <v>kg</v>
      </c>
      <c r="E753" s="95">
        <f>'Planning Engine'!E1469</f>
        <v>106.67199999999997</v>
      </c>
      <c r="F753" s="95">
        <f>'Planning Engine'!F1469</f>
        <v>0</v>
      </c>
      <c r="G753" s="95">
        <f>'Planning Engine'!G1469</f>
        <v>0</v>
      </c>
      <c r="H753" s="99">
        <f t="shared" si="22"/>
        <v>0</v>
      </c>
      <c r="I753" s="95">
        <f>'Planning Engine'!H1469</f>
        <v>106.67199999999997</v>
      </c>
      <c r="J753" s="96">
        <f ca="1">'Planning Engine'!J1469</f>
        <v>999</v>
      </c>
      <c r="K753" s="95">
        <f ca="1">'Planning Engine'!K1469</f>
        <v>0</v>
      </c>
      <c r="L753" s="12" t="str">
        <f ca="1">'Planning Engine'!L1469</f>
        <v>Overstock</v>
      </c>
      <c r="M753" s="93">
        <f>'Planning Engine'!S1469</f>
        <v>46935</v>
      </c>
      <c r="N753" s="95">
        <f>'Planning Engine'!T1469</f>
        <v>0</v>
      </c>
      <c r="O753" s="98" t="s">
        <v>2501</v>
      </c>
      <c r="P753" s="4" t="str">
        <f t="shared" ca="1" si="23"/>
        <v>Defer receipts</v>
      </c>
    </row>
    <row r="754" spans="1:16" ht="13" customHeight="1" x14ac:dyDescent="0.35">
      <c r="A754" s="93">
        <v>47088</v>
      </c>
      <c r="B754" s="61" t="s">
        <v>58</v>
      </c>
      <c r="C754" s="12" t="str">
        <f>'Planning Engine'!C1470</f>
        <v>Raw Material</v>
      </c>
      <c r="D754" s="12" t="str">
        <f>'Planning Engine'!D1470</f>
        <v>kg</v>
      </c>
      <c r="E754" s="95">
        <f>'Planning Engine'!E1470</f>
        <v>106.67199999999997</v>
      </c>
      <c r="F754" s="95">
        <f>'Planning Engine'!F1470</f>
        <v>0</v>
      </c>
      <c r="G754" s="95">
        <f>'Planning Engine'!G1470</f>
        <v>0</v>
      </c>
      <c r="H754" s="95">
        <f t="shared" si="22"/>
        <v>0</v>
      </c>
      <c r="I754" s="95">
        <f>'Planning Engine'!H1470</f>
        <v>106.67199999999997</v>
      </c>
      <c r="J754" s="96">
        <f ca="1">'Planning Engine'!J1470</f>
        <v>999</v>
      </c>
      <c r="K754" s="95">
        <f ca="1">'Planning Engine'!K1470</f>
        <v>0</v>
      </c>
      <c r="L754" s="12" t="str">
        <f ca="1">'Planning Engine'!L1470</f>
        <v>Overstock</v>
      </c>
      <c r="M754" s="93">
        <f>'Planning Engine'!S1470</f>
        <v>46966</v>
      </c>
      <c r="N754" s="95">
        <f>'Planning Engine'!T1470</f>
        <v>0</v>
      </c>
      <c r="O754" s="94" t="s">
        <v>2502</v>
      </c>
      <c r="P754" s="12" t="str">
        <f t="shared" ca="1" si="23"/>
        <v>Defer receipts</v>
      </c>
    </row>
    <row r="755" spans="1:16" ht="13" customHeight="1" x14ac:dyDescent="0.35">
      <c r="A755" s="97">
        <v>47119</v>
      </c>
      <c r="B755" s="53" t="s">
        <v>58</v>
      </c>
      <c r="C755" s="12" t="str">
        <f>'Planning Engine'!C1471</f>
        <v>Raw Material</v>
      </c>
      <c r="D755" s="12" t="str">
        <f>'Planning Engine'!D1471</f>
        <v>kg</v>
      </c>
      <c r="E755" s="95">
        <f>'Planning Engine'!E1471</f>
        <v>106.67199999999997</v>
      </c>
      <c r="F755" s="95">
        <f>'Planning Engine'!F1471</f>
        <v>0</v>
      </c>
      <c r="G755" s="95">
        <f>'Planning Engine'!G1471</f>
        <v>0</v>
      </c>
      <c r="H755" s="99">
        <f t="shared" si="22"/>
        <v>0</v>
      </c>
      <c r="I755" s="95">
        <f>'Planning Engine'!H1471</f>
        <v>106.67199999999997</v>
      </c>
      <c r="J755" s="96">
        <f ca="1">'Planning Engine'!J1471</f>
        <v>999</v>
      </c>
      <c r="K755" s="95">
        <f ca="1">'Planning Engine'!K1471</f>
        <v>0</v>
      </c>
      <c r="L755" s="12" t="str">
        <f ca="1">'Planning Engine'!L1471</f>
        <v>Overstock</v>
      </c>
      <c r="M755" s="93">
        <f>'Planning Engine'!S1471</f>
        <v>46997</v>
      </c>
      <c r="N755" s="95">
        <f>'Planning Engine'!T1471</f>
        <v>0</v>
      </c>
      <c r="O755" s="98" t="s">
        <v>2503</v>
      </c>
      <c r="P755" s="4" t="str">
        <f t="shared" ca="1" si="23"/>
        <v>Defer receipts</v>
      </c>
    </row>
    <row r="756" spans="1:16" ht="13" customHeight="1" x14ac:dyDescent="0.35">
      <c r="A756" s="93">
        <v>47150</v>
      </c>
      <c r="B756" s="61" t="s">
        <v>58</v>
      </c>
      <c r="C756" s="12" t="str">
        <f>'Planning Engine'!C1472</f>
        <v>Raw Material</v>
      </c>
      <c r="D756" s="12" t="str">
        <f>'Planning Engine'!D1472</f>
        <v>kg</v>
      </c>
      <c r="E756" s="95">
        <f>'Planning Engine'!E1472</f>
        <v>106.67199999999997</v>
      </c>
      <c r="F756" s="95">
        <f>'Planning Engine'!F1472</f>
        <v>0</v>
      </c>
      <c r="G756" s="95">
        <f>'Planning Engine'!G1472</f>
        <v>0</v>
      </c>
      <c r="H756" s="95">
        <f t="shared" si="22"/>
        <v>0</v>
      </c>
      <c r="I756" s="95">
        <f>'Planning Engine'!H1472</f>
        <v>106.67199999999997</v>
      </c>
      <c r="J756" s="96">
        <f ca="1">'Planning Engine'!J1472</f>
        <v>999</v>
      </c>
      <c r="K756" s="95">
        <f ca="1">'Planning Engine'!K1472</f>
        <v>0</v>
      </c>
      <c r="L756" s="12" t="str">
        <f ca="1">'Planning Engine'!L1472</f>
        <v>Overstock</v>
      </c>
      <c r="M756" s="93">
        <f>'Planning Engine'!S1472</f>
        <v>47027</v>
      </c>
      <c r="N756" s="95">
        <f>'Planning Engine'!T1472</f>
        <v>0</v>
      </c>
      <c r="O756" s="94" t="s">
        <v>2504</v>
      </c>
      <c r="P756" s="12" t="str">
        <f t="shared" ca="1" si="23"/>
        <v>Defer receipts</v>
      </c>
    </row>
    <row r="757" spans="1:16" ht="13" customHeight="1" x14ac:dyDescent="0.35">
      <c r="A757" s="97">
        <v>47178</v>
      </c>
      <c r="B757" s="53" t="s">
        <v>58</v>
      </c>
      <c r="C757" s="12" t="str">
        <f>'Planning Engine'!C1473</f>
        <v>Raw Material</v>
      </c>
      <c r="D757" s="12" t="str">
        <f>'Planning Engine'!D1473</f>
        <v>kg</v>
      </c>
      <c r="E757" s="95">
        <f>'Planning Engine'!E1473</f>
        <v>106.67199999999997</v>
      </c>
      <c r="F757" s="95">
        <f>'Planning Engine'!F1473</f>
        <v>0</v>
      </c>
      <c r="G757" s="95">
        <f>'Planning Engine'!G1473</f>
        <v>0</v>
      </c>
      <c r="H757" s="99">
        <f t="shared" si="22"/>
        <v>0</v>
      </c>
      <c r="I757" s="95">
        <f>'Planning Engine'!H1473</f>
        <v>106.67199999999997</v>
      </c>
      <c r="J757" s="96">
        <f ca="1">'Planning Engine'!J1473</f>
        <v>999</v>
      </c>
      <c r="K757" s="95">
        <f ca="1">'Planning Engine'!K1473</f>
        <v>0</v>
      </c>
      <c r="L757" s="12" t="str">
        <f ca="1">'Planning Engine'!L1473</f>
        <v>Overstock</v>
      </c>
      <c r="M757" s="93">
        <f>'Planning Engine'!S1473</f>
        <v>47058</v>
      </c>
      <c r="N757" s="95">
        <f>'Planning Engine'!T1473</f>
        <v>0</v>
      </c>
      <c r="O757" s="98" t="s">
        <v>2505</v>
      </c>
      <c r="P757" s="4" t="str">
        <f t="shared" ca="1" si="23"/>
        <v>Defer receipts</v>
      </c>
    </row>
    <row r="758" spans="1:16" ht="13" customHeight="1" x14ac:dyDescent="0.35">
      <c r="A758" s="93">
        <v>47209</v>
      </c>
      <c r="B758" s="61" t="s">
        <v>58</v>
      </c>
      <c r="C758" s="12" t="str">
        <f>'Planning Engine'!C1474</f>
        <v>Raw Material</v>
      </c>
      <c r="D758" s="12" t="str">
        <f>'Planning Engine'!D1474</f>
        <v>kg</v>
      </c>
      <c r="E758" s="95">
        <f>'Planning Engine'!E1474</f>
        <v>106.67199999999997</v>
      </c>
      <c r="F758" s="95">
        <f>'Planning Engine'!F1474</f>
        <v>0</v>
      </c>
      <c r="G758" s="95">
        <f>'Planning Engine'!G1474</f>
        <v>0</v>
      </c>
      <c r="H758" s="95">
        <f t="shared" si="22"/>
        <v>0</v>
      </c>
      <c r="I758" s="95">
        <f>'Planning Engine'!H1474</f>
        <v>106.67199999999997</v>
      </c>
      <c r="J758" s="96">
        <f ca="1">'Planning Engine'!J1474</f>
        <v>999</v>
      </c>
      <c r="K758" s="95">
        <f ca="1">'Planning Engine'!K1474</f>
        <v>0</v>
      </c>
      <c r="L758" s="12" t="str">
        <f ca="1">'Planning Engine'!L1474</f>
        <v>Overstock</v>
      </c>
      <c r="M758" s="93">
        <f>'Planning Engine'!S1474</f>
        <v>47088</v>
      </c>
      <c r="N758" s="95">
        <f>'Planning Engine'!T1474</f>
        <v>0</v>
      </c>
      <c r="O758" s="94" t="s">
        <v>2506</v>
      </c>
      <c r="P758" s="12" t="str">
        <f t="shared" ca="1" si="23"/>
        <v>Defer receipts</v>
      </c>
    </row>
    <row r="759" spans="1:16" ht="13" customHeight="1" x14ac:dyDescent="0.35">
      <c r="A759" s="97">
        <v>47239</v>
      </c>
      <c r="B759" s="53" t="s">
        <v>58</v>
      </c>
      <c r="C759" s="12" t="str">
        <f>'Planning Engine'!C1475</f>
        <v>Raw Material</v>
      </c>
      <c r="D759" s="12" t="str">
        <f>'Planning Engine'!D1475</f>
        <v>kg</v>
      </c>
      <c r="E759" s="95">
        <f>'Planning Engine'!E1475</f>
        <v>106.67199999999997</v>
      </c>
      <c r="F759" s="95">
        <f>'Planning Engine'!F1475</f>
        <v>0</v>
      </c>
      <c r="G759" s="95">
        <f>'Planning Engine'!G1475</f>
        <v>0</v>
      </c>
      <c r="H759" s="99">
        <f t="shared" si="22"/>
        <v>0</v>
      </c>
      <c r="I759" s="95">
        <f>'Planning Engine'!H1475</f>
        <v>106.67199999999997</v>
      </c>
      <c r="J759" s="96">
        <f ca="1">'Planning Engine'!J1475</f>
        <v>999</v>
      </c>
      <c r="K759" s="95">
        <f ca="1">'Planning Engine'!K1475</f>
        <v>0</v>
      </c>
      <c r="L759" s="12" t="str">
        <f ca="1">'Planning Engine'!L1475</f>
        <v>Overstock</v>
      </c>
      <c r="M759" s="93">
        <f>'Planning Engine'!S1475</f>
        <v>47119</v>
      </c>
      <c r="N759" s="95">
        <f>'Planning Engine'!T1475</f>
        <v>0</v>
      </c>
      <c r="O759" s="98" t="s">
        <v>2507</v>
      </c>
      <c r="P759" s="4" t="str">
        <f t="shared" ca="1" si="23"/>
        <v>Defer receipts</v>
      </c>
    </row>
    <row r="760" spans="1:16" ht="13" customHeight="1" x14ac:dyDescent="0.35">
      <c r="A760" s="93">
        <v>47270</v>
      </c>
      <c r="B760" s="61" t="s">
        <v>58</v>
      </c>
      <c r="C760" s="12" t="str">
        <f>'Planning Engine'!C1476</f>
        <v>Raw Material</v>
      </c>
      <c r="D760" s="12" t="str">
        <f>'Planning Engine'!D1476</f>
        <v>kg</v>
      </c>
      <c r="E760" s="95">
        <f>'Planning Engine'!E1476</f>
        <v>106.67199999999997</v>
      </c>
      <c r="F760" s="95">
        <f>'Planning Engine'!F1476</f>
        <v>0</v>
      </c>
      <c r="G760" s="95">
        <f>'Planning Engine'!G1476</f>
        <v>0</v>
      </c>
      <c r="H760" s="95">
        <f t="shared" si="22"/>
        <v>0</v>
      </c>
      <c r="I760" s="95">
        <f>'Planning Engine'!H1476</f>
        <v>106.67199999999997</v>
      </c>
      <c r="J760" s="96">
        <f ca="1">'Planning Engine'!J1476</f>
        <v>999</v>
      </c>
      <c r="K760" s="95">
        <f ca="1">'Planning Engine'!K1476</f>
        <v>0</v>
      </c>
      <c r="L760" s="12" t="str">
        <f ca="1">'Planning Engine'!L1476</f>
        <v>Overstock</v>
      </c>
      <c r="M760" s="93">
        <f>'Planning Engine'!S1476</f>
        <v>47150</v>
      </c>
      <c r="N760" s="95">
        <f>'Planning Engine'!T1476</f>
        <v>0</v>
      </c>
      <c r="O760" s="94" t="s">
        <v>2508</v>
      </c>
      <c r="P760" s="12" t="str">
        <f t="shared" ca="1" si="23"/>
        <v>Defer receipts</v>
      </c>
    </row>
    <row r="761" spans="1:16" ht="13" customHeight="1" x14ac:dyDescent="0.35">
      <c r="A761" s="97">
        <v>47300</v>
      </c>
      <c r="B761" s="53" t="s">
        <v>58</v>
      </c>
      <c r="C761" s="12" t="str">
        <f>'Planning Engine'!C1477</f>
        <v>Raw Material</v>
      </c>
      <c r="D761" s="12" t="str">
        <f>'Planning Engine'!D1477</f>
        <v>kg</v>
      </c>
      <c r="E761" s="95">
        <f>'Planning Engine'!E1477</f>
        <v>106.67199999999997</v>
      </c>
      <c r="F761" s="95">
        <f>'Planning Engine'!F1477</f>
        <v>0</v>
      </c>
      <c r="G761" s="95">
        <f>'Planning Engine'!G1477</f>
        <v>0</v>
      </c>
      <c r="H761" s="99">
        <f t="shared" si="22"/>
        <v>0</v>
      </c>
      <c r="I761" s="95">
        <f>'Planning Engine'!H1477</f>
        <v>106.67199999999997</v>
      </c>
      <c r="J761" s="96">
        <f ca="1">'Planning Engine'!J1477</f>
        <v>999</v>
      </c>
      <c r="K761" s="95">
        <f ca="1">'Planning Engine'!K1477</f>
        <v>0</v>
      </c>
      <c r="L761" s="12" t="str">
        <f ca="1">'Planning Engine'!L1477</f>
        <v>Overstock</v>
      </c>
      <c r="M761" s="93">
        <f>'Planning Engine'!S1477</f>
        <v>47178</v>
      </c>
      <c r="N761" s="95">
        <f>'Planning Engine'!T1477</f>
        <v>0</v>
      </c>
      <c r="O761" s="98" t="s">
        <v>2509</v>
      </c>
      <c r="P761" s="4" t="str">
        <f t="shared" ca="1" si="23"/>
        <v>Defer receipts</v>
      </c>
    </row>
    <row r="762" spans="1:16" ht="13" customHeight="1" x14ac:dyDescent="0.35">
      <c r="A762" s="93">
        <v>47331</v>
      </c>
      <c r="B762" s="61" t="s">
        <v>58</v>
      </c>
      <c r="C762" s="12" t="str">
        <f>'Planning Engine'!C1478</f>
        <v>Raw Material</v>
      </c>
      <c r="D762" s="12" t="str">
        <f>'Planning Engine'!D1478</f>
        <v>kg</v>
      </c>
      <c r="E762" s="95">
        <f>'Planning Engine'!E1478</f>
        <v>106.67199999999997</v>
      </c>
      <c r="F762" s="95">
        <f>'Planning Engine'!F1478</f>
        <v>0</v>
      </c>
      <c r="G762" s="95">
        <f>'Planning Engine'!G1478</f>
        <v>0</v>
      </c>
      <c r="H762" s="95">
        <f t="shared" si="22"/>
        <v>0</v>
      </c>
      <c r="I762" s="95">
        <f>'Planning Engine'!H1478</f>
        <v>106.67199999999997</v>
      </c>
      <c r="J762" s="96">
        <f ca="1">'Planning Engine'!J1478</f>
        <v>999</v>
      </c>
      <c r="K762" s="95">
        <f ca="1">'Planning Engine'!K1478</f>
        <v>0</v>
      </c>
      <c r="L762" s="12" t="str">
        <f ca="1">'Planning Engine'!L1478</f>
        <v>Overstock</v>
      </c>
      <c r="M762" s="93">
        <f>'Planning Engine'!S1478</f>
        <v>47209</v>
      </c>
      <c r="N762" s="95">
        <f>'Planning Engine'!T1478</f>
        <v>0</v>
      </c>
      <c r="O762" s="94" t="s">
        <v>2510</v>
      </c>
      <c r="P762" s="12" t="str">
        <f t="shared" ca="1" si="23"/>
        <v>Defer receipts</v>
      </c>
    </row>
    <row r="763" spans="1:16" ht="13" customHeight="1" x14ac:dyDescent="0.35">
      <c r="A763" s="97">
        <v>47362</v>
      </c>
      <c r="B763" s="53" t="s">
        <v>58</v>
      </c>
      <c r="C763" s="12" t="str">
        <f>'Planning Engine'!C1479</f>
        <v>Raw Material</v>
      </c>
      <c r="D763" s="12" t="str">
        <f>'Planning Engine'!D1479</f>
        <v>kg</v>
      </c>
      <c r="E763" s="95">
        <f>'Planning Engine'!E1479</f>
        <v>106.67199999999997</v>
      </c>
      <c r="F763" s="95">
        <f>'Planning Engine'!F1479</f>
        <v>0</v>
      </c>
      <c r="G763" s="95">
        <f>'Planning Engine'!G1479</f>
        <v>0</v>
      </c>
      <c r="H763" s="99">
        <f t="shared" si="22"/>
        <v>0</v>
      </c>
      <c r="I763" s="95">
        <f>'Planning Engine'!H1479</f>
        <v>106.67199999999997</v>
      </c>
      <c r="J763" s="96">
        <f ca="1">'Planning Engine'!J1479</f>
        <v>999</v>
      </c>
      <c r="K763" s="95">
        <f ca="1">'Planning Engine'!K1479</f>
        <v>0</v>
      </c>
      <c r="L763" s="12" t="str">
        <f ca="1">'Planning Engine'!L1479</f>
        <v>Overstock</v>
      </c>
      <c r="M763" s="93">
        <f>'Planning Engine'!S1479</f>
        <v>47239</v>
      </c>
      <c r="N763" s="95">
        <f>'Planning Engine'!T1479</f>
        <v>0</v>
      </c>
      <c r="O763" s="98" t="s">
        <v>2511</v>
      </c>
      <c r="P763" s="4" t="str">
        <f t="shared" ca="1" si="23"/>
        <v>Defer receipts</v>
      </c>
    </row>
    <row r="764" spans="1:16" ht="13" customHeight="1" x14ac:dyDescent="0.35">
      <c r="A764" s="93">
        <v>47392</v>
      </c>
      <c r="B764" s="61" t="s">
        <v>58</v>
      </c>
      <c r="C764" s="12" t="str">
        <f>'Planning Engine'!C1480</f>
        <v>Raw Material</v>
      </c>
      <c r="D764" s="12" t="str">
        <f>'Planning Engine'!D1480</f>
        <v>kg</v>
      </c>
      <c r="E764" s="95">
        <f>'Planning Engine'!E1480</f>
        <v>106.67199999999997</v>
      </c>
      <c r="F764" s="95">
        <f>'Planning Engine'!F1480</f>
        <v>0</v>
      </c>
      <c r="G764" s="95">
        <f>'Planning Engine'!G1480</f>
        <v>0</v>
      </c>
      <c r="H764" s="95">
        <f t="shared" si="22"/>
        <v>0</v>
      </c>
      <c r="I764" s="95">
        <f>'Planning Engine'!H1480</f>
        <v>106.67199999999997</v>
      </c>
      <c r="J764" s="96">
        <f ca="1">'Planning Engine'!J1480</f>
        <v>999</v>
      </c>
      <c r="K764" s="95">
        <f ca="1">'Planning Engine'!K1480</f>
        <v>0</v>
      </c>
      <c r="L764" s="12" t="str">
        <f ca="1">'Planning Engine'!L1480</f>
        <v>Overstock</v>
      </c>
      <c r="M764" s="93">
        <f>'Planning Engine'!S1480</f>
        <v>47270</v>
      </c>
      <c r="N764" s="95">
        <f>'Planning Engine'!T1480</f>
        <v>0</v>
      </c>
      <c r="O764" s="94" t="s">
        <v>2512</v>
      </c>
      <c r="P764" s="12" t="str">
        <f t="shared" ca="1" si="23"/>
        <v>Defer receipts</v>
      </c>
    </row>
    <row r="765" spans="1:16" ht="13" customHeight="1" x14ac:dyDescent="0.35">
      <c r="A765" s="97">
        <v>47423</v>
      </c>
      <c r="B765" s="53" t="s">
        <v>58</v>
      </c>
      <c r="C765" s="12" t="str">
        <f>'Planning Engine'!C1481</f>
        <v>Raw Material</v>
      </c>
      <c r="D765" s="12" t="str">
        <f>'Planning Engine'!D1481</f>
        <v>kg</v>
      </c>
      <c r="E765" s="95">
        <f>'Planning Engine'!E1481</f>
        <v>106.67199999999997</v>
      </c>
      <c r="F765" s="95">
        <f>'Planning Engine'!F1481</f>
        <v>0</v>
      </c>
      <c r="G765" s="95">
        <f>'Planning Engine'!G1481</f>
        <v>0</v>
      </c>
      <c r="H765" s="99">
        <f t="shared" si="22"/>
        <v>0</v>
      </c>
      <c r="I765" s="95">
        <f>'Planning Engine'!H1481</f>
        <v>106.67199999999997</v>
      </c>
      <c r="J765" s="96">
        <f ca="1">'Planning Engine'!J1481</f>
        <v>999</v>
      </c>
      <c r="K765" s="95">
        <f ca="1">'Planning Engine'!K1481</f>
        <v>0</v>
      </c>
      <c r="L765" s="12" t="str">
        <f ca="1">'Planning Engine'!L1481</f>
        <v>Overstock</v>
      </c>
      <c r="M765" s="93">
        <f>'Planning Engine'!S1481</f>
        <v>47300</v>
      </c>
      <c r="N765" s="95">
        <f>'Planning Engine'!T1481</f>
        <v>0</v>
      </c>
      <c r="O765" s="98" t="s">
        <v>2513</v>
      </c>
      <c r="P765" s="4" t="str">
        <f t="shared" ca="1" si="23"/>
        <v>Defer receipts</v>
      </c>
    </row>
    <row r="766" spans="1:16" ht="13" customHeight="1" x14ac:dyDescent="0.35">
      <c r="A766" s="93">
        <v>47453</v>
      </c>
      <c r="B766" s="61" t="s">
        <v>58</v>
      </c>
      <c r="C766" s="12" t="str">
        <f>'Planning Engine'!C1482</f>
        <v>Raw Material</v>
      </c>
      <c r="D766" s="12" t="str">
        <f>'Planning Engine'!D1482</f>
        <v>kg</v>
      </c>
      <c r="E766" s="95">
        <f>'Planning Engine'!E1482</f>
        <v>106.67199999999997</v>
      </c>
      <c r="F766" s="95">
        <f>'Planning Engine'!F1482</f>
        <v>0</v>
      </c>
      <c r="G766" s="95">
        <f>'Planning Engine'!G1482</f>
        <v>0</v>
      </c>
      <c r="H766" s="95">
        <f t="shared" si="22"/>
        <v>0</v>
      </c>
      <c r="I766" s="95">
        <f>'Planning Engine'!H1482</f>
        <v>106.67199999999997</v>
      </c>
      <c r="J766" s="96">
        <f ca="1">'Planning Engine'!J1482</f>
        <v>999</v>
      </c>
      <c r="K766" s="95">
        <f ca="1">'Planning Engine'!K1482</f>
        <v>0</v>
      </c>
      <c r="L766" s="12" t="str">
        <f ca="1">'Planning Engine'!L1482</f>
        <v>Overstock</v>
      </c>
      <c r="M766" s="93">
        <f>'Planning Engine'!S1482</f>
        <v>47331</v>
      </c>
      <c r="N766" s="95">
        <f>'Planning Engine'!T1482</f>
        <v>0</v>
      </c>
      <c r="O766" s="94" t="s">
        <v>2514</v>
      </c>
      <c r="P766" s="12" t="str">
        <f t="shared" ca="1" si="23"/>
        <v>Defer receipts</v>
      </c>
    </row>
    <row r="767" spans="1:16" ht="13" customHeight="1" x14ac:dyDescent="0.35">
      <c r="A767" s="97">
        <v>47484</v>
      </c>
      <c r="B767" s="53" t="s">
        <v>58</v>
      </c>
      <c r="C767" s="12" t="str">
        <f>'Planning Engine'!C1483</f>
        <v>Raw Material</v>
      </c>
      <c r="D767" s="12" t="str">
        <f>'Planning Engine'!D1483</f>
        <v>kg</v>
      </c>
      <c r="E767" s="95">
        <f>'Planning Engine'!E1483</f>
        <v>106.67199999999997</v>
      </c>
      <c r="F767" s="95">
        <f>'Planning Engine'!F1483</f>
        <v>0</v>
      </c>
      <c r="G767" s="95">
        <f>'Planning Engine'!G1483</f>
        <v>0</v>
      </c>
      <c r="H767" s="99">
        <f t="shared" si="22"/>
        <v>0</v>
      </c>
      <c r="I767" s="95">
        <f>'Planning Engine'!H1483</f>
        <v>106.67199999999997</v>
      </c>
      <c r="J767" s="96">
        <f ca="1">'Planning Engine'!J1483</f>
        <v>999</v>
      </c>
      <c r="K767" s="95">
        <f ca="1">'Planning Engine'!K1483</f>
        <v>0</v>
      </c>
      <c r="L767" s="12" t="str">
        <f ca="1">'Planning Engine'!L1483</f>
        <v>Overstock</v>
      </c>
      <c r="M767" s="93">
        <f>'Planning Engine'!S1483</f>
        <v>47362</v>
      </c>
      <c r="N767" s="95">
        <f>'Planning Engine'!T1483</f>
        <v>0</v>
      </c>
      <c r="O767" s="98" t="s">
        <v>2515</v>
      </c>
      <c r="P767" s="4" t="str">
        <f t="shared" ca="1" si="23"/>
        <v>Defer receipts</v>
      </c>
    </row>
    <row r="768" spans="1:16" ht="13" customHeight="1" x14ac:dyDescent="0.35">
      <c r="A768" s="93">
        <v>47515</v>
      </c>
      <c r="B768" s="61" t="s">
        <v>58</v>
      </c>
      <c r="C768" s="12" t="str">
        <f>'Planning Engine'!C1484</f>
        <v>Raw Material</v>
      </c>
      <c r="D768" s="12" t="str">
        <f>'Planning Engine'!D1484</f>
        <v>kg</v>
      </c>
      <c r="E768" s="95">
        <f>'Planning Engine'!E1484</f>
        <v>106.67199999999997</v>
      </c>
      <c r="F768" s="95">
        <f>'Planning Engine'!F1484</f>
        <v>0</v>
      </c>
      <c r="G768" s="95">
        <f>'Planning Engine'!G1484</f>
        <v>0</v>
      </c>
      <c r="H768" s="95">
        <f t="shared" si="22"/>
        <v>0</v>
      </c>
      <c r="I768" s="95">
        <f>'Planning Engine'!H1484</f>
        <v>106.67199999999997</v>
      </c>
      <c r="J768" s="96">
        <f ca="1">'Planning Engine'!J1484</f>
        <v>999</v>
      </c>
      <c r="K768" s="95">
        <f ca="1">'Planning Engine'!K1484</f>
        <v>0</v>
      </c>
      <c r="L768" s="12" t="str">
        <f ca="1">'Planning Engine'!L1484</f>
        <v>Overstock</v>
      </c>
      <c r="M768" s="93">
        <f>'Planning Engine'!S1484</f>
        <v>47392</v>
      </c>
      <c r="N768" s="95">
        <f>'Planning Engine'!T1484</f>
        <v>0</v>
      </c>
      <c r="O768" s="94" t="s">
        <v>2516</v>
      </c>
      <c r="P768" s="12" t="str">
        <f t="shared" ca="1" si="23"/>
        <v>Defer receipts</v>
      </c>
    </row>
    <row r="769" spans="1:16" ht="13" customHeight="1" x14ac:dyDescent="0.35">
      <c r="A769" s="97">
        <v>47543</v>
      </c>
      <c r="B769" s="53" t="s">
        <v>58</v>
      </c>
      <c r="C769" s="12" t="str">
        <f>'Planning Engine'!C1485</f>
        <v>Raw Material</v>
      </c>
      <c r="D769" s="12" t="str">
        <f>'Planning Engine'!D1485</f>
        <v>kg</v>
      </c>
      <c r="E769" s="95">
        <f>'Planning Engine'!E1485</f>
        <v>106.67199999999997</v>
      </c>
      <c r="F769" s="95">
        <f>'Planning Engine'!F1485</f>
        <v>0</v>
      </c>
      <c r="G769" s="95">
        <f>'Planning Engine'!G1485</f>
        <v>0</v>
      </c>
      <c r="H769" s="99">
        <f t="shared" si="22"/>
        <v>0</v>
      </c>
      <c r="I769" s="95">
        <f>'Planning Engine'!H1485</f>
        <v>106.67199999999997</v>
      </c>
      <c r="J769" s="96">
        <f ca="1">'Planning Engine'!J1485</f>
        <v>999</v>
      </c>
      <c r="K769" s="95">
        <f ca="1">'Planning Engine'!K1485</f>
        <v>0</v>
      </c>
      <c r="L769" s="12" t="str">
        <f ca="1">'Planning Engine'!L1485</f>
        <v>Overstock</v>
      </c>
      <c r="M769" s="93">
        <f>'Planning Engine'!S1485</f>
        <v>47423</v>
      </c>
      <c r="N769" s="95">
        <f>'Planning Engine'!T1485</f>
        <v>0</v>
      </c>
      <c r="O769" s="98" t="s">
        <v>2517</v>
      </c>
      <c r="P769" s="4" t="str">
        <f t="shared" ca="1" si="23"/>
        <v>Defer receipts</v>
      </c>
    </row>
    <row r="770" spans="1:16" ht="13" customHeight="1" x14ac:dyDescent="0.35">
      <c r="A770" s="93">
        <v>47574</v>
      </c>
      <c r="B770" s="61" t="s">
        <v>58</v>
      </c>
      <c r="C770" s="12" t="str">
        <f>'Planning Engine'!C1486</f>
        <v>Raw Material</v>
      </c>
      <c r="D770" s="12" t="str">
        <f>'Planning Engine'!D1486</f>
        <v>kg</v>
      </c>
      <c r="E770" s="95">
        <f>'Planning Engine'!E1486</f>
        <v>106.67199999999997</v>
      </c>
      <c r="F770" s="95">
        <f>'Planning Engine'!F1486</f>
        <v>0</v>
      </c>
      <c r="G770" s="95">
        <f>'Planning Engine'!G1486</f>
        <v>0</v>
      </c>
      <c r="H770" s="95">
        <f t="shared" si="22"/>
        <v>0</v>
      </c>
      <c r="I770" s="95">
        <f>'Planning Engine'!H1486</f>
        <v>106.67199999999997</v>
      </c>
      <c r="J770" s="96">
        <f ca="1">'Planning Engine'!J1486</f>
        <v>999</v>
      </c>
      <c r="K770" s="95">
        <f ca="1">'Planning Engine'!K1486</f>
        <v>0</v>
      </c>
      <c r="L770" s="12" t="str">
        <f ca="1">'Planning Engine'!L1486</f>
        <v>Overstock</v>
      </c>
      <c r="M770" s="93">
        <f>'Planning Engine'!S1486</f>
        <v>47453</v>
      </c>
      <c r="N770" s="95">
        <f>'Planning Engine'!T1486</f>
        <v>0</v>
      </c>
      <c r="O770" s="94" t="s">
        <v>2518</v>
      </c>
      <c r="P770" s="12" t="str">
        <f t="shared" ca="1" si="23"/>
        <v>Defer receipts</v>
      </c>
    </row>
    <row r="771" spans="1:16" ht="13" customHeight="1" x14ac:dyDescent="0.35">
      <c r="A771" s="97">
        <v>47604</v>
      </c>
      <c r="B771" s="53" t="s">
        <v>58</v>
      </c>
      <c r="C771" s="12" t="str">
        <f>'Planning Engine'!C1487</f>
        <v>Raw Material</v>
      </c>
      <c r="D771" s="12" t="str">
        <f>'Planning Engine'!D1487</f>
        <v>kg</v>
      </c>
      <c r="E771" s="95">
        <f>'Planning Engine'!E1487</f>
        <v>106.67199999999997</v>
      </c>
      <c r="F771" s="95">
        <f>'Planning Engine'!F1487</f>
        <v>0</v>
      </c>
      <c r="G771" s="95">
        <f>'Planning Engine'!G1487</f>
        <v>0</v>
      </c>
      <c r="H771" s="99">
        <f t="shared" si="22"/>
        <v>0</v>
      </c>
      <c r="I771" s="95">
        <f>'Planning Engine'!H1487</f>
        <v>106.67199999999997</v>
      </c>
      <c r="J771" s="96">
        <f ca="1">'Planning Engine'!J1487</f>
        <v>999</v>
      </c>
      <c r="K771" s="95">
        <f ca="1">'Planning Engine'!K1487</f>
        <v>0</v>
      </c>
      <c r="L771" s="12" t="str">
        <f ca="1">'Planning Engine'!L1487</f>
        <v>Overstock</v>
      </c>
      <c r="M771" s="93">
        <f>'Planning Engine'!S1487</f>
        <v>47484</v>
      </c>
      <c r="N771" s="95">
        <f>'Planning Engine'!T1487</f>
        <v>0</v>
      </c>
      <c r="O771" s="98" t="s">
        <v>2519</v>
      </c>
      <c r="P771" s="4" t="str">
        <f t="shared" ca="1" si="23"/>
        <v>Defer receipts</v>
      </c>
    </row>
    <row r="772" spans="1:16" ht="13" customHeight="1" x14ac:dyDescent="0.35">
      <c r="A772" s="93">
        <v>47635</v>
      </c>
      <c r="B772" s="61" t="s">
        <v>58</v>
      </c>
      <c r="C772" s="12" t="str">
        <f>'Planning Engine'!C1488</f>
        <v>Raw Material</v>
      </c>
      <c r="D772" s="12" t="str">
        <f>'Planning Engine'!D1488</f>
        <v>kg</v>
      </c>
      <c r="E772" s="95">
        <f>'Planning Engine'!E1488</f>
        <v>106.67199999999997</v>
      </c>
      <c r="F772" s="95">
        <f>'Planning Engine'!F1488</f>
        <v>0</v>
      </c>
      <c r="G772" s="95">
        <f>'Planning Engine'!G1488</f>
        <v>0</v>
      </c>
      <c r="H772" s="95">
        <f t="shared" ref="H772:H835" si="24">G772-F772</f>
        <v>0</v>
      </c>
      <c r="I772" s="95">
        <f>'Planning Engine'!H1488</f>
        <v>106.67199999999997</v>
      </c>
      <c r="J772" s="96">
        <f ca="1">'Planning Engine'!J1488</f>
        <v>999</v>
      </c>
      <c r="K772" s="95">
        <f ca="1">'Planning Engine'!K1488</f>
        <v>0</v>
      </c>
      <c r="L772" s="12" t="str">
        <f ca="1">'Planning Engine'!L1488</f>
        <v>Overstock</v>
      </c>
      <c r="M772" s="93">
        <f>'Planning Engine'!S1488</f>
        <v>47515</v>
      </c>
      <c r="N772" s="95">
        <f>'Planning Engine'!T1488</f>
        <v>0</v>
      </c>
      <c r="O772" s="94" t="s">
        <v>2520</v>
      </c>
      <c r="P772" s="12" t="str">
        <f t="shared" ref="P772:P835" ca="1" si="25">IFERROR(IF(L772="High","⚠ Expedite / qualify alternate source",IF(L772="Medium","Monitor — plan additional POs",IF(L772="Overstock","Defer receipts","OK"))),"--")</f>
        <v>Defer receipts</v>
      </c>
    </row>
    <row r="773" spans="1:16" ht="13" customHeight="1" x14ac:dyDescent="0.35">
      <c r="A773" s="97">
        <v>47665</v>
      </c>
      <c r="B773" s="53" t="s">
        <v>58</v>
      </c>
      <c r="C773" s="12" t="str">
        <f>'Planning Engine'!C1489</f>
        <v>Raw Material</v>
      </c>
      <c r="D773" s="12" t="str">
        <f>'Planning Engine'!D1489</f>
        <v>kg</v>
      </c>
      <c r="E773" s="95">
        <f>'Planning Engine'!E1489</f>
        <v>106.67199999999997</v>
      </c>
      <c r="F773" s="95">
        <f>'Planning Engine'!F1489</f>
        <v>0</v>
      </c>
      <c r="G773" s="95">
        <f>'Planning Engine'!G1489</f>
        <v>0</v>
      </c>
      <c r="H773" s="99">
        <f t="shared" si="24"/>
        <v>0</v>
      </c>
      <c r="I773" s="95">
        <f>'Planning Engine'!H1489</f>
        <v>106.67199999999997</v>
      </c>
      <c r="J773" s="96">
        <f ca="1">'Planning Engine'!J1489</f>
        <v>999</v>
      </c>
      <c r="K773" s="95">
        <f ca="1">'Planning Engine'!K1489</f>
        <v>0</v>
      </c>
      <c r="L773" s="12" t="str">
        <f ca="1">'Planning Engine'!L1489</f>
        <v>Overstock</v>
      </c>
      <c r="M773" s="93">
        <f>'Planning Engine'!S1489</f>
        <v>47543</v>
      </c>
      <c r="N773" s="95">
        <f>'Planning Engine'!T1489</f>
        <v>0</v>
      </c>
      <c r="O773" s="98" t="s">
        <v>2521</v>
      </c>
      <c r="P773" s="4" t="str">
        <f t="shared" ca="1" si="25"/>
        <v>Defer receipts</v>
      </c>
    </row>
    <row r="774" spans="1:16" ht="13" customHeight="1" x14ac:dyDescent="0.35">
      <c r="A774" s="93">
        <v>47696</v>
      </c>
      <c r="B774" s="61" t="s">
        <v>58</v>
      </c>
      <c r="C774" s="12" t="str">
        <f>'Planning Engine'!C1490</f>
        <v>Raw Material</v>
      </c>
      <c r="D774" s="12" t="str">
        <f>'Planning Engine'!D1490</f>
        <v>kg</v>
      </c>
      <c r="E774" s="95">
        <f>'Planning Engine'!E1490</f>
        <v>106.67199999999997</v>
      </c>
      <c r="F774" s="95">
        <f>'Planning Engine'!F1490</f>
        <v>0</v>
      </c>
      <c r="G774" s="95">
        <f>'Planning Engine'!G1490</f>
        <v>0</v>
      </c>
      <c r="H774" s="95">
        <f t="shared" si="24"/>
        <v>0</v>
      </c>
      <c r="I774" s="95">
        <f>'Planning Engine'!H1490</f>
        <v>106.67199999999997</v>
      </c>
      <c r="J774" s="96">
        <f ca="1">'Planning Engine'!J1490</f>
        <v>999</v>
      </c>
      <c r="K774" s="95">
        <f ca="1">'Planning Engine'!K1490</f>
        <v>0</v>
      </c>
      <c r="L774" s="12" t="str">
        <f ca="1">'Planning Engine'!L1490</f>
        <v>Overstock</v>
      </c>
      <c r="M774" s="93">
        <f>'Planning Engine'!S1490</f>
        <v>47574</v>
      </c>
      <c r="N774" s="95">
        <f>'Planning Engine'!T1490</f>
        <v>0</v>
      </c>
      <c r="O774" s="94" t="s">
        <v>2522</v>
      </c>
      <c r="P774" s="12" t="str">
        <f t="shared" ca="1" si="25"/>
        <v>Defer receipts</v>
      </c>
    </row>
    <row r="775" spans="1:16" ht="13" customHeight="1" x14ac:dyDescent="0.35">
      <c r="A775" s="97">
        <v>47727</v>
      </c>
      <c r="B775" s="53" t="s">
        <v>58</v>
      </c>
      <c r="C775" s="12" t="str">
        <f>'Planning Engine'!C1491</f>
        <v>Raw Material</v>
      </c>
      <c r="D775" s="12" t="str">
        <f>'Planning Engine'!D1491</f>
        <v>kg</v>
      </c>
      <c r="E775" s="95">
        <f>'Planning Engine'!E1491</f>
        <v>106.67199999999997</v>
      </c>
      <c r="F775" s="95">
        <f>'Planning Engine'!F1491</f>
        <v>0</v>
      </c>
      <c r="G775" s="95">
        <f>'Planning Engine'!G1491</f>
        <v>0</v>
      </c>
      <c r="H775" s="99">
        <f t="shared" si="24"/>
        <v>0</v>
      </c>
      <c r="I775" s="95">
        <f>'Planning Engine'!H1491</f>
        <v>106.67199999999997</v>
      </c>
      <c r="J775" s="96">
        <f ca="1">'Planning Engine'!J1491</f>
        <v>999</v>
      </c>
      <c r="K775" s="95">
        <f ca="1">'Planning Engine'!K1491</f>
        <v>0</v>
      </c>
      <c r="L775" s="12" t="str">
        <f ca="1">'Planning Engine'!L1491</f>
        <v>Overstock</v>
      </c>
      <c r="M775" s="93">
        <f>'Planning Engine'!S1491</f>
        <v>47604</v>
      </c>
      <c r="N775" s="95">
        <f>'Planning Engine'!T1491</f>
        <v>0</v>
      </c>
      <c r="O775" s="98" t="s">
        <v>2523</v>
      </c>
      <c r="P775" s="4" t="str">
        <f t="shared" ca="1" si="25"/>
        <v>Defer receipts</v>
      </c>
    </row>
    <row r="776" spans="1:16" ht="13" customHeight="1" x14ac:dyDescent="0.35">
      <c r="A776" s="93">
        <v>47757</v>
      </c>
      <c r="B776" s="61" t="s">
        <v>58</v>
      </c>
      <c r="C776" s="12" t="str">
        <f>'Planning Engine'!C1492</f>
        <v>Raw Material</v>
      </c>
      <c r="D776" s="12" t="str">
        <f>'Planning Engine'!D1492</f>
        <v>kg</v>
      </c>
      <c r="E776" s="95">
        <f>'Planning Engine'!E1492</f>
        <v>106.67199999999997</v>
      </c>
      <c r="F776" s="95">
        <f>'Planning Engine'!F1492</f>
        <v>0</v>
      </c>
      <c r="G776" s="95">
        <f>'Planning Engine'!G1492</f>
        <v>0</v>
      </c>
      <c r="H776" s="95">
        <f t="shared" si="24"/>
        <v>0</v>
      </c>
      <c r="I776" s="95">
        <f>'Planning Engine'!H1492</f>
        <v>106.67199999999997</v>
      </c>
      <c r="J776" s="96">
        <f ca="1">'Planning Engine'!J1492</f>
        <v>999</v>
      </c>
      <c r="K776" s="95">
        <f ca="1">'Planning Engine'!K1492</f>
        <v>0</v>
      </c>
      <c r="L776" s="12" t="str">
        <f ca="1">'Planning Engine'!L1492</f>
        <v>Overstock</v>
      </c>
      <c r="M776" s="93">
        <f>'Planning Engine'!S1492</f>
        <v>47635</v>
      </c>
      <c r="N776" s="95">
        <f>'Planning Engine'!T1492</f>
        <v>0</v>
      </c>
      <c r="O776" s="94" t="s">
        <v>2524</v>
      </c>
      <c r="P776" s="12" t="str">
        <f t="shared" ca="1" si="25"/>
        <v>Defer receipts</v>
      </c>
    </row>
    <row r="777" spans="1:16" ht="13" customHeight="1" x14ac:dyDescent="0.35">
      <c r="A777" s="97">
        <v>47788</v>
      </c>
      <c r="B777" s="53" t="s">
        <v>58</v>
      </c>
      <c r="C777" s="12" t="str">
        <f>'Planning Engine'!C1493</f>
        <v>Raw Material</v>
      </c>
      <c r="D777" s="12" t="str">
        <f>'Planning Engine'!D1493</f>
        <v>kg</v>
      </c>
      <c r="E777" s="95">
        <f>'Planning Engine'!E1493</f>
        <v>106.67199999999997</v>
      </c>
      <c r="F777" s="95">
        <f>'Planning Engine'!F1493</f>
        <v>0</v>
      </c>
      <c r="G777" s="95">
        <f>'Planning Engine'!G1493</f>
        <v>0</v>
      </c>
      <c r="H777" s="99">
        <f t="shared" si="24"/>
        <v>0</v>
      </c>
      <c r="I777" s="95">
        <f>'Planning Engine'!H1493</f>
        <v>106.67199999999997</v>
      </c>
      <c r="J777" s="96">
        <f ca="1">'Planning Engine'!J1493</f>
        <v>999</v>
      </c>
      <c r="K777" s="95">
        <f ca="1">'Planning Engine'!K1493</f>
        <v>0</v>
      </c>
      <c r="L777" s="12" t="str">
        <f ca="1">'Planning Engine'!L1493</f>
        <v>Overstock</v>
      </c>
      <c r="M777" s="93">
        <f>'Planning Engine'!S1493</f>
        <v>47665</v>
      </c>
      <c r="N777" s="95">
        <f>'Planning Engine'!T1493</f>
        <v>0</v>
      </c>
      <c r="O777" s="98" t="s">
        <v>2525</v>
      </c>
      <c r="P777" s="4" t="str">
        <f t="shared" ca="1" si="25"/>
        <v>Defer receipts</v>
      </c>
    </row>
    <row r="778" spans="1:16" ht="13" customHeight="1" x14ac:dyDescent="0.35">
      <c r="A778" s="93">
        <v>47818</v>
      </c>
      <c r="B778" s="61" t="s">
        <v>58</v>
      </c>
      <c r="C778" s="12" t="str">
        <f>'Planning Engine'!C1494</f>
        <v>Raw Material</v>
      </c>
      <c r="D778" s="12" t="str">
        <f>'Planning Engine'!D1494</f>
        <v>kg</v>
      </c>
      <c r="E778" s="95">
        <f>'Planning Engine'!E1494</f>
        <v>106.67199999999997</v>
      </c>
      <c r="F778" s="95">
        <f>'Planning Engine'!F1494</f>
        <v>0</v>
      </c>
      <c r="G778" s="95">
        <f>'Planning Engine'!G1494</f>
        <v>0</v>
      </c>
      <c r="H778" s="95">
        <f t="shared" si="24"/>
        <v>0</v>
      </c>
      <c r="I778" s="95">
        <f>'Planning Engine'!H1494</f>
        <v>106.67199999999997</v>
      </c>
      <c r="J778" s="96">
        <f ca="1">'Planning Engine'!J1494</f>
        <v>999</v>
      </c>
      <c r="K778" s="95">
        <f ca="1">'Planning Engine'!K1494</f>
        <v>0</v>
      </c>
      <c r="L778" s="12" t="str">
        <f ca="1">'Planning Engine'!L1494</f>
        <v>Overstock</v>
      </c>
      <c r="M778" s="93">
        <f>'Planning Engine'!S1494</f>
        <v>47696</v>
      </c>
      <c r="N778" s="95">
        <f>'Planning Engine'!T1494</f>
        <v>0</v>
      </c>
      <c r="O778" s="94" t="s">
        <v>2526</v>
      </c>
      <c r="P778" s="12" t="str">
        <f t="shared" ca="1" si="25"/>
        <v>Defer receipts</v>
      </c>
    </row>
    <row r="779" spans="1:16" ht="13" customHeight="1" x14ac:dyDescent="0.35">
      <c r="A779" s="97">
        <v>47849</v>
      </c>
      <c r="B779" s="53" t="s">
        <v>58</v>
      </c>
      <c r="C779" s="12" t="str">
        <f>'Planning Engine'!C1495</f>
        <v>Raw Material</v>
      </c>
      <c r="D779" s="12" t="str">
        <f>'Planning Engine'!D1495</f>
        <v>kg</v>
      </c>
      <c r="E779" s="95">
        <f>'Planning Engine'!E1495</f>
        <v>106.67199999999997</v>
      </c>
      <c r="F779" s="95">
        <f>'Planning Engine'!F1495</f>
        <v>0</v>
      </c>
      <c r="G779" s="95">
        <f>'Planning Engine'!G1495</f>
        <v>0</v>
      </c>
      <c r="H779" s="99">
        <f t="shared" si="24"/>
        <v>0</v>
      </c>
      <c r="I779" s="95">
        <f>'Planning Engine'!H1495</f>
        <v>106.67199999999997</v>
      </c>
      <c r="J779" s="96">
        <f ca="1">'Planning Engine'!J1495</f>
        <v>999</v>
      </c>
      <c r="K779" s="95">
        <f ca="1">'Planning Engine'!K1495</f>
        <v>0</v>
      </c>
      <c r="L779" s="12" t="str">
        <f ca="1">'Planning Engine'!L1495</f>
        <v>Overstock</v>
      </c>
      <c r="M779" s="93">
        <f>'Planning Engine'!S1495</f>
        <v>47727</v>
      </c>
      <c r="N779" s="95">
        <f>'Planning Engine'!T1495</f>
        <v>0</v>
      </c>
      <c r="O779" s="98" t="s">
        <v>2527</v>
      </c>
      <c r="P779" s="4" t="str">
        <f t="shared" ca="1" si="25"/>
        <v>Defer receipts</v>
      </c>
    </row>
    <row r="780" spans="1:16" ht="13" customHeight="1" x14ac:dyDescent="0.35">
      <c r="A780" s="93">
        <v>47880</v>
      </c>
      <c r="B780" s="61" t="s">
        <v>58</v>
      </c>
      <c r="C780" s="12" t="str">
        <f>'Planning Engine'!C1496</f>
        <v>Raw Material</v>
      </c>
      <c r="D780" s="12" t="str">
        <f>'Planning Engine'!D1496</f>
        <v>kg</v>
      </c>
      <c r="E780" s="95">
        <f>'Planning Engine'!E1496</f>
        <v>106.67199999999997</v>
      </c>
      <c r="F780" s="95">
        <f>'Planning Engine'!F1496</f>
        <v>0</v>
      </c>
      <c r="G780" s="95">
        <f>'Planning Engine'!G1496</f>
        <v>0</v>
      </c>
      <c r="H780" s="95">
        <f t="shared" si="24"/>
        <v>0</v>
      </c>
      <c r="I780" s="95">
        <f>'Planning Engine'!H1496</f>
        <v>106.67199999999997</v>
      </c>
      <c r="J780" s="96">
        <f ca="1">'Planning Engine'!J1496</f>
        <v>999</v>
      </c>
      <c r="K780" s="95">
        <f ca="1">'Planning Engine'!K1496</f>
        <v>0</v>
      </c>
      <c r="L780" s="12" t="str">
        <f ca="1">'Planning Engine'!L1496</f>
        <v>Overstock</v>
      </c>
      <c r="M780" s="93">
        <f>'Planning Engine'!S1496</f>
        <v>47757</v>
      </c>
      <c r="N780" s="95">
        <f>'Planning Engine'!T1496</f>
        <v>0</v>
      </c>
      <c r="O780" s="94" t="s">
        <v>2528</v>
      </c>
      <c r="P780" s="12" t="str">
        <f t="shared" ca="1" si="25"/>
        <v>Defer receipts</v>
      </c>
    </row>
    <row r="781" spans="1:16" ht="13" customHeight="1" x14ac:dyDescent="0.35">
      <c r="A781" s="97">
        <v>47908</v>
      </c>
      <c r="B781" s="53" t="s">
        <v>58</v>
      </c>
      <c r="C781" s="12" t="str">
        <f>'Planning Engine'!C1497</f>
        <v>Raw Material</v>
      </c>
      <c r="D781" s="12" t="str">
        <f>'Planning Engine'!D1497</f>
        <v>kg</v>
      </c>
      <c r="E781" s="95">
        <f>'Planning Engine'!E1497</f>
        <v>106.67199999999997</v>
      </c>
      <c r="F781" s="95">
        <f>'Planning Engine'!F1497</f>
        <v>0</v>
      </c>
      <c r="G781" s="95">
        <f>'Planning Engine'!G1497</f>
        <v>0</v>
      </c>
      <c r="H781" s="99">
        <f t="shared" si="24"/>
        <v>0</v>
      </c>
      <c r="I781" s="95">
        <f>'Planning Engine'!H1497</f>
        <v>106.67199999999997</v>
      </c>
      <c r="J781" s="96">
        <f ca="1">'Planning Engine'!J1497</f>
        <v>999</v>
      </c>
      <c r="K781" s="95">
        <f ca="1">'Planning Engine'!K1497</f>
        <v>0</v>
      </c>
      <c r="L781" s="12" t="str">
        <f ca="1">'Planning Engine'!L1497</f>
        <v>Overstock</v>
      </c>
      <c r="M781" s="93">
        <f>'Planning Engine'!S1497</f>
        <v>47788</v>
      </c>
      <c r="N781" s="95">
        <f>'Planning Engine'!T1497</f>
        <v>0</v>
      </c>
      <c r="O781" s="98" t="s">
        <v>2529</v>
      </c>
      <c r="P781" s="4" t="str">
        <f t="shared" ca="1" si="25"/>
        <v>Defer receipts</v>
      </c>
    </row>
    <row r="782" spans="1:16" ht="13" customHeight="1" x14ac:dyDescent="0.35">
      <c r="A782" s="93">
        <v>47939</v>
      </c>
      <c r="B782" s="61" t="s">
        <v>58</v>
      </c>
      <c r="C782" s="12" t="str">
        <f>'Planning Engine'!C1498</f>
        <v>Raw Material</v>
      </c>
      <c r="D782" s="12" t="str">
        <f>'Planning Engine'!D1498</f>
        <v>kg</v>
      </c>
      <c r="E782" s="95">
        <f>'Planning Engine'!E1498</f>
        <v>106.67199999999997</v>
      </c>
      <c r="F782" s="95">
        <f>'Planning Engine'!F1498</f>
        <v>0</v>
      </c>
      <c r="G782" s="95">
        <f>'Planning Engine'!G1498</f>
        <v>0</v>
      </c>
      <c r="H782" s="95">
        <f t="shared" si="24"/>
        <v>0</v>
      </c>
      <c r="I782" s="95">
        <f>'Planning Engine'!H1498</f>
        <v>106.67199999999997</v>
      </c>
      <c r="J782" s="96">
        <f ca="1">'Planning Engine'!J1498</f>
        <v>999</v>
      </c>
      <c r="K782" s="95">
        <f ca="1">'Planning Engine'!K1498</f>
        <v>0</v>
      </c>
      <c r="L782" s="12" t="str">
        <f ca="1">'Planning Engine'!L1498</f>
        <v>Overstock</v>
      </c>
      <c r="M782" s="93">
        <f>'Planning Engine'!S1498</f>
        <v>47818</v>
      </c>
      <c r="N782" s="95">
        <f>'Planning Engine'!T1498</f>
        <v>0</v>
      </c>
      <c r="O782" s="94" t="s">
        <v>2530</v>
      </c>
      <c r="P782" s="12" t="str">
        <f t="shared" ca="1" si="25"/>
        <v>Defer receipts</v>
      </c>
    </row>
    <row r="783" spans="1:16" ht="13" customHeight="1" x14ac:dyDescent="0.35">
      <c r="A783" s="97">
        <v>47969</v>
      </c>
      <c r="B783" s="53" t="s">
        <v>58</v>
      </c>
      <c r="C783" s="12" t="str">
        <f>'Planning Engine'!C1499</f>
        <v>Raw Material</v>
      </c>
      <c r="D783" s="12" t="str">
        <f>'Planning Engine'!D1499</f>
        <v>kg</v>
      </c>
      <c r="E783" s="95">
        <f>'Planning Engine'!E1499</f>
        <v>106.67199999999997</v>
      </c>
      <c r="F783" s="95">
        <f>'Planning Engine'!F1499</f>
        <v>0</v>
      </c>
      <c r="G783" s="95">
        <f>'Planning Engine'!G1499</f>
        <v>0</v>
      </c>
      <c r="H783" s="99">
        <f t="shared" si="24"/>
        <v>0</v>
      </c>
      <c r="I783" s="95">
        <f>'Planning Engine'!H1499</f>
        <v>106.67199999999997</v>
      </c>
      <c r="J783" s="96">
        <f ca="1">'Planning Engine'!J1499</f>
        <v>999</v>
      </c>
      <c r="K783" s="95">
        <f ca="1">'Planning Engine'!K1499</f>
        <v>0</v>
      </c>
      <c r="L783" s="12" t="str">
        <f ca="1">'Planning Engine'!L1499</f>
        <v>Overstock</v>
      </c>
      <c r="M783" s="93">
        <f>'Planning Engine'!S1499</f>
        <v>47849</v>
      </c>
      <c r="N783" s="95">
        <f>'Planning Engine'!T1499</f>
        <v>0</v>
      </c>
      <c r="O783" s="98" t="s">
        <v>2531</v>
      </c>
      <c r="P783" s="4" t="str">
        <f t="shared" ca="1" si="25"/>
        <v>Defer receipts</v>
      </c>
    </row>
    <row r="784" spans="1:16" ht="13" customHeight="1" x14ac:dyDescent="0.35">
      <c r="A784" s="93">
        <v>48000</v>
      </c>
      <c r="B784" s="61" t="s">
        <v>58</v>
      </c>
      <c r="C784" s="12" t="str">
        <f>'Planning Engine'!C1500</f>
        <v>Raw Material</v>
      </c>
      <c r="D784" s="12" t="str">
        <f>'Planning Engine'!D1500</f>
        <v>kg</v>
      </c>
      <c r="E784" s="95">
        <f>'Planning Engine'!E1500</f>
        <v>106.67199999999997</v>
      </c>
      <c r="F784" s="95">
        <f>'Planning Engine'!F1500</f>
        <v>0</v>
      </c>
      <c r="G784" s="95">
        <f>'Planning Engine'!G1500</f>
        <v>0</v>
      </c>
      <c r="H784" s="95">
        <f t="shared" si="24"/>
        <v>0</v>
      </c>
      <c r="I784" s="95">
        <f>'Planning Engine'!H1500</f>
        <v>106.67199999999997</v>
      </c>
      <c r="J784" s="96">
        <f ca="1">'Planning Engine'!J1500</f>
        <v>999</v>
      </c>
      <c r="K784" s="95">
        <f ca="1">'Planning Engine'!K1500</f>
        <v>0</v>
      </c>
      <c r="L784" s="12" t="str">
        <f ca="1">'Planning Engine'!L1500</f>
        <v>Overstock</v>
      </c>
      <c r="M784" s="93">
        <f>'Planning Engine'!S1500</f>
        <v>47880</v>
      </c>
      <c r="N784" s="95">
        <f>'Planning Engine'!T1500</f>
        <v>0</v>
      </c>
      <c r="O784" s="94" t="s">
        <v>2532</v>
      </c>
      <c r="P784" s="12" t="str">
        <f t="shared" ca="1" si="25"/>
        <v>Defer receipts</v>
      </c>
    </row>
    <row r="785" spans="1:16" ht="13" customHeight="1" x14ac:dyDescent="0.35">
      <c r="A785" s="97">
        <v>48030</v>
      </c>
      <c r="B785" s="53" t="s">
        <v>58</v>
      </c>
      <c r="C785" s="12" t="str">
        <f>'Planning Engine'!C1501</f>
        <v>Raw Material</v>
      </c>
      <c r="D785" s="12" t="str">
        <f>'Planning Engine'!D1501</f>
        <v>kg</v>
      </c>
      <c r="E785" s="95">
        <f>'Planning Engine'!E1501</f>
        <v>106.67199999999997</v>
      </c>
      <c r="F785" s="95">
        <f>'Planning Engine'!F1501</f>
        <v>0</v>
      </c>
      <c r="G785" s="95">
        <f>'Planning Engine'!G1501</f>
        <v>0</v>
      </c>
      <c r="H785" s="99">
        <f t="shared" si="24"/>
        <v>0</v>
      </c>
      <c r="I785" s="95">
        <f>'Planning Engine'!H1501</f>
        <v>106.67199999999997</v>
      </c>
      <c r="J785" s="96">
        <f ca="1">'Planning Engine'!J1501</f>
        <v>999</v>
      </c>
      <c r="K785" s="95">
        <f ca="1">'Planning Engine'!K1501</f>
        <v>0</v>
      </c>
      <c r="L785" s="12" t="str">
        <f ca="1">'Planning Engine'!L1501</f>
        <v>Overstock</v>
      </c>
      <c r="M785" s="93">
        <f>'Planning Engine'!S1501</f>
        <v>47908</v>
      </c>
      <c r="N785" s="95">
        <f>'Planning Engine'!T1501</f>
        <v>0</v>
      </c>
      <c r="O785" s="98" t="s">
        <v>2533</v>
      </c>
      <c r="P785" s="4" t="str">
        <f t="shared" ca="1" si="25"/>
        <v>Defer receipts</v>
      </c>
    </row>
    <row r="786" spans="1:16" ht="13" customHeight="1" x14ac:dyDescent="0.35">
      <c r="A786" s="93">
        <v>48061</v>
      </c>
      <c r="B786" s="61" t="s">
        <v>58</v>
      </c>
      <c r="C786" s="12" t="str">
        <f>'Planning Engine'!C1502</f>
        <v>Raw Material</v>
      </c>
      <c r="D786" s="12" t="str">
        <f>'Planning Engine'!D1502</f>
        <v>kg</v>
      </c>
      <c r="E786" s="95">
        <f>'Planning Engine'!E1502</f>
        <v>106.67199999999997</v>
      </c>
      <c r="F786" s="95">
        <f>'Planning Engine'!F1502</f>
        <v>0</v>
      </c>
      <c r="G786" s="95">
        <f>'Planning Engine'!G1502</f>
        <v>0</v>
      </c>
      <c r="H786" s="95">
        <f t="shared" si="24"/>
        <v>0</v>
      </c>
      <c r="I786" s="95">
        <f>'Planning Engine'!H1502</f>
        <v>106.67199999999997</v>
      </c>
      <c r="J786" s="96">
        <f ca="1">'Planning Engine'!J1502</f>
        <v>999</v>
      </c>
      <c r="K786" s="95">
        <f ca="1">'Planning Engine'!K1502</f>
        <v>0</v>
      </c>
      <c r="L786" s="12" t="str">
        <f ca="1">'Planning Engine'!L1502</f>
        <v>Overstock</v>
      </c>
      <c r="M786" s="93">
        <f>'Planning Engine'!S1502</f>
        <v>47939</v>
      </c>
      <c r="N786" s="95">
        <f>'Planning Engine'!T1502</f>
        <v>0</v>
      </c>
      <c r="O786" s="94" t="s">
        <v>2534</v>
      </c>
      <c r="P786" s="12" t="str">
        <f t="shared" ca="1" si="25"/>
        <v>Defer receipts</v>
      </c>
    </row>
    <row r="787" spans="1:16" ht="13" customHeight="1" x14ac:dyDescent="0.35">
      <c r="A787" s="97">
        <v>48092</v>
      </c>
      <c r="B787" s="53" t="s">
        <v>58</v>
      </c>
      <c r="C787" s="12" t="str">
        <f>'Planning Engine'!C1503</f>
        <v>Raw Material</v>
      </c>
      <c r="D787" s="12" t="str">
        <f>'Planning Engine'!D1503</f>
        <v>kg</v>
      </c>
      <c r="E787" s="95">
        <f>'Planning Engine'!E1503</f>
        <v>106.67199999999997</v>
      </c>
      <c r="F787" s="95">
        <f>'Planning Engine'!F1503</f>
        <v>0</v>
      </c>
      <c r="G787" s="95">
        <f>'Planning Engine'!G1503</f>
        <v>0</v>
      </c>
      <c r="H787" s="99">
        <f t="shared" si="24"/>
        <v>0</v>
      </c>
      <c r="I787" s="95">
        <f>'Planning Engine'!H1503</f>
        <v>106.67199999999997</v>
      </c>
      <c r="J787" s="96">
        <f ca="1">'Planning Engine'!J1503</f>
        <v>999</v>
      </c>
      <c r="K787" s="95">
        <f ca="1">'Planning Engine'!K1503</f>
        <v>0</v>
      </c>
      <c r="L787" s="12" t="str">
        <f ca="1">'Planning Engine'!L1503</f>
        <v>Overstock</v>
      </c>
      <c r="M787" s="93">
        <f>'Planning Engine'!S1503</f>
        <v>47969</v>
      </c>
      <c r="N787" s="95">
        <f>'Planning Engine'!T1503</f>
        <v>0</v>
      </c>
      <c r="O787" s="98" t="s">
        <v>2535</v>
      </c>
      <c r="P787" s="4" t="str">
        <f t="shared" ca="1" si="25"/>
        <v>Defer receipts</v>
      </c>
    </row>
    <row r="788" spans="1:16" ht="13" customHeight="1" x14ac:dyDescent="0.35">
      <c r="A788" s="93">
        <v>48122</v>
      </c>
      <c r="B788" s="61" t="s">
        <v>58</v>
      </c>
      <c r="C788" s="12" t="str">
        <f>'Planning Engine'!C1504</f>
        <v>Raw Material</v>
      </c>
      <c r="D788" s="12" t="str">
        <f>'Planning Engine'!D1504</f>
        <v>kg</v>
      </c>
      <c r="E788" s="95">
        <f>'Planning Engine'!E1504</f>
        <v>106.67199999999997</v>
      </c>
      <c r="F788" s="95">
        <f>'Planning Engine'!F1504</f>
        <v>0</v>
      </c>
      <c r="G788" s="95">
        <f>'Planning Engine'!G1504</f>
        <v>0</v>
      </c>
      <c r="H788" s="95">
        <f t="shared" si="24"/>
        <v>0</v>
      </c>
      <c r="I788" s="95">
        <f>'Planning Engine'!H1504</f>
        <v>106.67199999999997</v>
      </c>
      <c r="J788" s="96">
        <f ca="1">'Planning Engine'!J1504</f>
        <v>999</v>
      </c>
      <c r="K788" s="95">
        <f ca="1">'Planning Engine'!K1504</f>
        <v>0</v>
      </c>
      <c r="L788" s="12" t="str">
        <f ca="1">'Planning Engine'!L1504</f>
        <v>Overstock</v>
      </c>
      <c r="M788" s="93">
        <f>'Planning Engine'!S1504</f>
        <v>48000</v>
      </c>
      <c r="N788" s="95">
        <f>'Planning Engine'!T1504</f>
        <v>0</v>
      </c>
      <c r="O788" s="94" t="s">
        <v>2536</v>
      </c>
      <c r="P788" s="12" t="str">
        <f t="shared" ca="1" si="25"/>
        <v>Defer receipts</v>
      </c>
    </row>
    <row r="789" spans="1:16" ht="13" customHeight="1" x14ac:dyDescent="0.35">
      <c r="A789" s="97">
        <v>48153</v>
      </c>
      <c r="B789" s="53" t="s">
        <v>58</v>
      </c>
      <c r="C789" s="12" t="str">
        <f>'Planning Engine'!C1505</f>
        <v>Raw Material</v>
      </c>
      <c r="D789" s="12" t="str">
        <f>'Planning Engine'!D1505</f>
        <v>kg</v>
      </c>
      <c r="E789" s="95">
        <f>'Planning Engine'!E1505</f>
        <v>106.67199999999997</v>
      </c>
      <c r="F789" s="95">
        <f>'Planning Engine'!F1505</f>
        <v>0</v>
      </c>
      <c r="G789" s="95">
        <f>'Planning Engine'!G1505</f>
        <v>0</v>
      </c>
      <c r="H789" s="99">
        <f t="shared" si="24"/>
        <v>0</v>
      </c>
      <c r="I789" s="95">
        <f>'Planning Engine'!H1505</f>
        <v>106.67199999999997</v>
      </c>
      <c r="J789" s="96">
        <f ca="1">'Planning Engine'!J1505</f>
        <v>999</v>
      </c>
      <c r="K789" s="95">
        <f ca="1">'Planning Engine'!K1505</f>
        <v>0</v>
      </c>
      <c r="L789" s="12" t="str">
        <f ca="1">'Planning Engine'!L1505</f>
        <v>Overstock</v>
      </c>
      <c r="M789" s="93">
        <f>'Planning Engine'!S1505</f>
        <v>48030</v>
      </c>
      <c r="N789" s="95">
        <f>'Planning Engine'!T1505</f>
        <v>0</v>
      </c>
      <c r="O789" s="98" t="s">
        <v>2537</v>
      </c>
      <c r="P789" s="4" t="str">
        <f t="shared" ca="1" si="25"/>
        <v>Defer receipts</v>
      </c>
    </row>
    <row r="790" spans="1:16" ht="13" customHeight="1" x14ac:dyDescent="0.35">
      <c r="A790" s="93">
        <v>48183</v>
      </c>
      <c r="B790" s="61" t="s">
        <v>58</v>
      </c>
      <c r="C790" s="12" t="str">
        <f>'Planning Engine'!C1506</f>
        <v>Raw Material</v>
      </c>
      <c r="D790" s="12" t="str">
        <f>'Planning Engine'!D1506</f>
        <v>kg</v>
      </c>
      <c r="E790" s="95">
        <f>'Planning Engine'!E1506</f>
        <v>106.67199999999997</v>
      </c>
      <c r="F790" s="95">
        <f>'Planning Engine'!F1506</f>
        <v>0</v>
      </c>
      <c r="G790" s="95">
        <f>'Planning Engine'!G1506</f>
        <v>0</v>
      </c>
      <c r="H790" s="95">
        <f t="shared" si="24"/>
        <v>0</v>
      </c>
      <c r="I790" s="95">
        <f>'Planning Engine'!H1506</f>
        <v>106.67199999999997</v>
      </c>
      <c r="J790" s="96">
        <f ca="1">'Planning Engine'!J1506</f>
        <v>999</v>
      </c>
      <c r="K790" s="95">
        <f ca="1">'Planning Engine'!K1506</f>
        <v>0</v>
      </c>
      <c r="L790" s="12" t="str">
        <f ca="1">'Planning Engine'!L1506</f>
        <v>Overstock</v>
      </c>
      <c r="M790" s="93">
        <f>'Planning Engine'!S1506</f>
        <v>48061</v>
      </c>
      <c r="N790" s="95">
        <f>'Planning Engine'!T1506</f>
        <v>0</v>
      </c>
      <c r="O790" s="94" t="s">
        <v>2538</v>
      </c>
      <c r="P790" s="12" t="str">
        <f t="shared" ca="1" si="25"/>
        <v>Defer receipts</v>
      </c>
    </row>
    <row r="791" spans="1:16" ht="13" customHeight="1" x14ac:dyDescent="0.35">
      <c r="A791" s="97">
        <v>48214</v>
      </c>
      <c r="B791" s="53" t="s">
        <v>58</v>
      </c>
      <c r="C791" s="12" t="str">
        <f>'Planning Engine'!C1507</f>
        <v>Raw Material</v>
      </c>
      <c r="D791" s="12" t="str">
        <f>'Planning Engine'!D1507</f>
        <v>kg</v>
      </c>
      <c r="E791" s="95">
        <f>'Planning Engine'!E1507</f>
        <v>106.67199999999997</v>
      </c>
      <c r="F791" s="95">
        <f>'Planning Engine'!F1507</f>
        <v>0</v>
      </c>
      <c r="G791" s="95">
        <f>'Planning Engine'!G1507</f>
        <v>0</v>
      </c>
      <c r="H791" s="99">
        <f t="shared" si="24"/>
        <v>0</v>
      </c>
      <c r="I791" s="95">
        <f>'Planning Engine'!H1507</f>
        <v>106.67199999999997</v>
      </c>
      <c r="J791" s="96">
        <f ca="1">'Planning Engine'!J1507</f>
        <v>999</v>
      </c>
      <c r="K791" s="95">
        <f ca="1">'Planning Engine'!K1507</f>
        <v>0</v>
      </c>
      <c r="L791" s="12" t="str">
        <f ca="1">'Planning Engine'!L1507</f>
        <v>Overstock</v>
      </c>
      <c r="M791" s="93">
        <f>'Planning Engine'!S1507</f>
        <v>48092</v>
      </c>
      <c r="N791" s="95">
        <f>'Planning Engine'!T1507</f>
        <v>0</v>
      </c>
      <c r="O791" s="98" t="s">
        <v>2539</v>
      </c>
      <c r="P791" s="4" t="str">
        <f t="shared" ca="1" si="25"/>
        <v>Defer receipts</v>
      </c>
    </row>
    <row r="792" spans="1:16" ht="13" customHeight="1" x14ac:dyDescent="0.35">
      <c r="A792" s="93">
        <v>48245</v>
      </c>
      <c r="B792" s="61" t="s">
        <v>58</v>
      </c>
      <c r="C792" s="12" t="str">
        <f>'Planning Engine'!C1508</f>
        <v>Raw Material</v>
      </c>
      <c r="D792" s="12" t="str">
        <f>'Planning Engine'!D1508</f>
        <v>kg</v>
      </c>
      <c r="E792" s="95">
        <f>'Planning Engine'!E1508</f>
        <v>106.67199999999997</v>
      </c>
      <c r="F792" s="95">
        <f>'Planning Engine'!F1508</f>
        <v>0</v>
      </c>
      <c r="G792" s="95">
        <f>'Planning Engine'!G1508</f>
        <v>0</v>
      </c>
      <c r="H792" s="95">
        <f t="shared" si="24"/>
        <v>0</v>
      </c>
      <c r="I792" s="95">
        <f>'Planning Engine'!H1508</f>
        <v>106.67199999999997</v>
      </c>
      <c r="J792" s="96">
        <f ca="1">'Planning Engine'!J1508</f>
        <v>999</v>
      </c>
      <c r="K792" s="95">
        <f ca="1">'Planning Engine'!K1508</f>
        <v>0</v>
      </c>
      <c r="L792" s="12" t="str">
        <f ca="1">'Planning Engine'!L1508</f>
        <v>Overstock</v>
      </c>
      <c r="M792" s="93">
        <f>'Planning Engine'!S1508</f>
        <v>48122</v>
      </c>
      <c r="N792" s="95">
        <f>'Planning Engine'!T1508</f>
        <v>0</v>
      </c>
      <c r="O792" s="94" t="s">
        <v>2540</v>
      </c>
      <c r="P792" s="12" t="str">
        <f t="shared" ca="1" si="25"/>
        <v>Defer receipts</v>
      </c>
    </row>
    <row r="793" spans="1:16" ht="13" customHeight="1" x14ac:dyDescent="0.35">
      <c r="A793" s="97">
        <v>48274</v>
      </c>
      <c r="B793" s="53" t="s">
        <v>58</v>
      </c>
      <c r="C793" s="12" t="str">
        <f>'Planning Engine'!C1509</f>
        <v>Raw Material</v>
      </c>
      <c r="D793" s="12" t="str">
        <f>'Planning Engine'!D1509</f>
        <v>kg</v>
      </c>
      <c r="E793" s="95">
        <f>'Planning Engine'!E1509</f>
        <v>106.67199999999997</v>
      </c>
      <c r="F793" s="95">
        <f>'Planning Engine'!F1509</f>
        <v>0</v>
      </c>
      <c r="G793" s="95">
        <f>'Planning Engine'!G1509</f>
        <v>0</v>
      </c>
      <c r="H793" s="99">
        <f t="shared" si="24"/>
        <v>0</v>
      </c>
      <c r="I793" s="95">
        <f>'Planning Engine'!H1509</f>
        <v>106.67199999999997</v>
      </c>
      <c r="J793" s="96">
        <f ca="1">'Planning Engine'!J1509</f>
        <v>999</v>
      </c>
      <c r="K793" s="95">
        <f ca="1">'Planning Engine'!K1509</f>
        <v>0</v>
      </c>
      <c r="L793" s="12" t="str">
        <f ca="1">'Planning Engine'!L1509</f>
        <v>Overstock</v>
      </c>
      <c r="M793" s="93">
        <f>'Planning Engine'!S1509</f>
        <v>48153</v>
      </c>
      <c r="N793" s="95">
        <f>'Planning Engine'!T1509</f>
        <v>0</v>
      </c>
      <c r="O793" s="98" t="s">
        <v>2541</v>
      </c>
      <c r="P793" s="4" t="str">
        <f t="shared" ca="1" si="25"/>
        <v>Defer receipts</v>
      </c>
    </row>
    <row r="794" spans="1:16" ht="13" customHeight="1" x14ac:dyDescent="0.35">
      <c r="A794" s="93">
        <v>48305</v>
      </c>
      <c r="B794" s="61" t="s">
        <v>58</v>
      </c>
      <c r="C794" s="12" t="str">
        <f>'Planning Engine'!C1510</f>
        <v>Raw Material</v>
      </c>
      <c r="D794" s="12" t="str">
        <f>'Planning Engine'!D1510</f>
        <v>kg</v>
      </c>
      <c r="E794" s="95">
        <f>'Planning Engine'!E1510</f>
        <v>106.67199999999997</v>
      </c>
      <c r="F794" s="95">
        <f>'Planning Engine'!F1510</f>
        <v>0</v>
      </c>
      <c r="G794" s="95">
        <f>'Planning Engine'!G1510</f>
        <v>0</v>
      </c>
      <c r="H794" s="95">
        <f t="shared" si="24"/>
        <v>0</v>
      </c>
      <c r="I794" s="95">
        <f>'Planning Engine'!H1510</f>
        <v>106.67199999999997</v>
      </c>
      <c r="J794" s="96">
        <f ca="1">'Planning Engine'!J1510</f>
        <v>999</v>
      </c>
      <c r="K794" s="95">
        <f ca="1">'Planning Engine'!K1510</f>
        <v>0</v>
      </c>
      <c r="L794" s="12" t="str">
        <f ca="1">'Planning Engine'!L1510</f>
        <v>Overstock</v>
      </c>
      <c r="M794" s="93">
        <f>'Planning Engine'!S1510</f>
        <v>48183</v>
      </c>
      <c r="N794" s="95">
        <f>'Planning Engine'!T1510</f>
        <v>0</v>
      </c>
      <c r="O794" s="94" t="s">
        <v>2542</v>
      </c>
      <c r="P794" s="12" t="str">
        <f t="shared" ca="1" si="25"/>
        <v>Defer receipts</v>
      </c>
    </row>
    <row r="795" spans="1:16" ht="13" customHeight="1" x14ac:dyDescent="0.35">
      <c r="A795" s="97">
        <v>48335</v>
      </c>
      <c r="B795" s="53" t="s">
        <v>58</v>
      </c>
      <c r="C795" s="12" t="str">
        <f>'Planning Engine'!C1511</f>
        <v>Raw Material</v>
      </c>
      <c r="D795" s="12" t="str">
        <f>'Planning Engine'!D1511</f>
        <v>kg</v>
      </c>
      <c r="E795" s="95">
        <f>'Planning Engine'!E1511</f>
        <v>106.67199999999997</v>
      </c>
      <c r="F795" s="95">
        <f>'Planning Engine'!F1511</f>
        <v>0</v>
      </c>
      <c r="G795" s="95">
        <f>'Planning Engine'!G1511</f>
        <v>0</v>
      </c>
      <c r="H795" s="99">
        <f t="shared" si="24"/>
        <v>0</v>
      </c>
      <c r="I795" s="95">
        <f>'Planning Engine'!H1511</f>
        <v>106.67199999999997</v>
      </c>
      <c r="J795" s="96">
        <f ca="1">'Planning Engine'!J1511</f>
        <v>999</v>
      </c>
      <c r="K795" s="95">
        <f ca="1">'Planning Engine'!K1511</f>
        <v>0</v>
      </c>
      <c r="L795" s="12" t="str">
        <f ca="1">'Planning Engine'!L1511</f>
        <v>Overstock</v>
      </c>
      <c r="M795" s="93">
        <f>'Planning Engine'!S1511</f>
        <v>48214</v>
      </c>
      <c r="N795" s="95">
        <f>'Planning Engine'!T1511</f>
        <v>0</v>
      </c>
      <c r="O795" s="98" t="s">
        <v>2543</v>
      </c>
      <c r="P795" s="4" t="str">
        <f t="shared" ca="1" si="25"/>
        <v>Defer receipts</v>
      </c>
    </row>
    <row r="796" spans="1:16" ht="13" customHeight="1" x14ac:dyDescent="0.35">
      <c r="A796" s="93">
        <v>48366</v>
      </c>
      <c r="B796" s="61" t="s">
        <v>58</v>
      </c>
      <c r="C796" s="12" t="str">
        <f>'Planning Engine'!C1512</f>
        <v>Raw Material</v>
      </c>
      <c r="D796" s="12" t="str">
        <f>'Planning Engine'!D1512</f>
        <v>kg</v>
      </c>
      <c r="E796" s="95">
        <f>'Planning Engine'!E1512</f>
        <v>106.67199999999997</v>
      </c>
      <c r="F796" s="95">
        <f>'Planning Engine'!F1512</f>
        <v>0</v>
      </c>
      <c r="G796" s="95">
        <f>'Planning Engine'!G1512</f>
        <v>0</v>
      </c>
      <c r="H796" s="95">
        <f t="shared" si="24"/>
        <v>0</v>
      </c>
      <c r="I796" s="95">
        <f>'Planning Engine'!H1512</f>
        <v>106.67199999999997</v>
      </c>
      <c r="J796" s="96">
        <f ca="1">'Planning Engine'!J1512</f>
        <v>999</v>
      </c>
      <c r="K796" s="95">
        <f ca="1">'Planning Engine'!K1512</f>
        <v>0</v>
      </c>
      <c r="L796" s="12" t="str">
        <f ca="1">'Planning Engine'!L1512</f>
        <v>Overstock</v>
      </c>
      <c r="M796" s="93">
        <f>'Planning Engine'!S1512</f>
        <v>48245</v>
      </c>
      <c r="N796" s="95">
        <f>'Planning Engine'!T1512</f>
        <v>0</v>
      </c>
      <c r="O796" s="94" t="s">
        <v>2544</v>
      </c>
      <c r="P796" s="12" t="str">
        <f t="shared" ca="1" si="25"/>
        <v>Defer receipts</v>
      </c>
    </row>
    <row r="797" spans="1:16" ht="13" customHeight="1" x14ac:dyDescent="0.35">
      <c r="A797" s="97">
        <v>48396</v>
      </c>
      <c r="B797" s="53" t="s">
        <v>58</v>
      </c>
      <c r="C797" s="12" t="str">
        <f>'Planning Engine'!C1513</f>
        <v>Raw Material</v>
      </c>
      <c r="D797" s="12" t="str">
        <f>'Planning Engine'!D1513</f>
        <v>kg</v>
      </c>
      <c r="E797" s="95">
        <f>'Planning Engine'!E1513</f>
        <v>106.67199999999997</v>
      </c>
      <c r="F797" s="95">
        <f>'Planning Engine'!F1513</f>
        <v>0</v>
      </c>
      <c r="G797" s="95">
        <f>'Planning Engine'!G1513</f>
        <v>0</v>
      </c>
      <c r="H797" s="99">
        <f t="shared" si="24"/>
        <v>0</v>
      </c>
      <c r="I797" s="95">
        <f>'Planning Engine'!H1513</f>
        <v>106.67199999999997</v>
      </c>
      <c r="J797" s="96">
        <f ca="1">'Planning Engine'!J1513</f>
        <v>999</v>
      </c>
      <c r="K797" s="95">
        <f ca="1">'Planning Engine'!K1513</f>
        <v>0</v>
      </c>
      <c r="L797" s="12" t="str">
        <f ca="1">'Planning Engine'!L1513</f>
        <v>Overstock</v>
      </c>
      <c r="M797" s="93">
        <f>'Planning Engine'!S1513</f>
        <v>48274</v>
      </c>
      <c r="N797" s="95">
        <f>'Planning Engine'!T1513</f>
        <v>0</v>
      </c>
      <c r="O797" s="98" t="s">
        <v>2545</v>
      </c>
      <c r="P797" s="4" t="str">
        <f t="shared" ca="1" si="25"/>
        <v>Defer receipts</v>
      </c>
    </row>
    <row r="798" spans="1:16" ht="13" customHeight="1" x14ac:dyDescent="0.35">
      <c r="A798" s="93">
        <v>48427</v>
      </c>
      <c r="B798" s="61" t="s">
        <v>58</v>
      </c>
      <c r="C798" s="12" t="str">
        <f>'Planning Engine'!C1514</f>
        <v>Raw Material</v>
      </c>
      <c r="D798" s="12" t="str">
        <f>'Planning Engine'!D1514</f>
        <v>kg</v>
      </c>
      <c r="E798" s="95">
        <f>'Planning Engine'!E1514</f>
        <v>106.67199999999997</v>
      </c>
      <c r="F798" s="95">
        <f>'Planning Engine'!F1514</f>
        <v>0</v>
      </c>
      <c r="G798" s="95">
        <f>'Planning Engine'!G1514</f>
        <v>0</v>
      </c>
      <c r="H798" s="95">
        <f t="shared" si="24"/>
        <v>0</v>
      </c>
      <c r="I798" s="95">
        <f>'Planning Engine'!H1514</f>
        <v>106.67199999999997</v>
      </c>
      <c r="J798" s="96">
        <f ca="1">'Planning Engine'!J1514</f>
        <v>999</v>
      </c>
      <c r="K798" s="95">
        <f ca="1">'Planning Engine'!K1514</f>
        <v>0</v>
      </c>
      <c r="L798" s="12" t="str">
        <f ca="1">'Planning Engine'!L1514</f>
        <v>Overstock</v>
      </c>
      <c r="M798" s="93">
        <f>'Planning Engine'!S1514</f>
        <v>48305</v>
      </c>
      <c r="N798" s="95">
        <f>'Planning Engine'!T1514</f>
        <v>0</v>
      </c>
      <c r="O798" s="94" t="s">
        <v>2546</v>
      </c>
      <c r="P798" s="12" t="str">
        <f t="shared" ca="1" si="25"/>
        <v>Defer receipts</v>
      </c>
    </row>
    <row r="799" spans="1:16" ht="13" customHeight="1" x14ac:dyDescent="0.35">
      <c r="A799" s="97">
        <v>48458</v>
      </c>
      <c r="B799" s="53" t="s">
        <v>58</v>
      </c>
      <c r="C799" s="12" t="str">
        <f>'Planning Engine'!C1515</f>
        <v>Raw Material</v>
      </c>
      <c r="D799" s="12" t="str">
        <f>'Planning Engine'!D1515</f>
        <v>kg</v>
      </c>
      <c r="E799" s="95">
        <f>'Planning Engine'!E1515</f>
        <v>106.67199999999997</v>
      </c>
      <c r="F799" s="95">
        <f>'Planning Engine'!F1515</f>
        <v>0</v>
      </c>
      <c r="G799" s="95">
        <f>'Planning Engine'!G1515</f>
        <v>0</v>
      </c>
      <c r="H799" s="99">
        <f t="shared" si="24"/>
        <v>0</v>
      </c>
      <c r="I799" s="95">
        <f>'Planning Engine'!H1515</f>
        <v>106.67199999999997</v>
      </c>
      <c r="J799" s="96">
        <f ca="1">'Planning Engine'!J1515</f>
        <v>999</v>
      </c>
      <c r="K799" s="95">
        <f ca="1">'Planning Engine'!K1515</f>
        <v>0</v>
      </c>
      <c r="L799" s="12" t="str">
        <f ca="1">'Planning Engine'!L1515</f>
        <v>Overstock</v>
      </c>
      <c r="M799" s="93">
        <f>'Planning Engine'!S1515</f>
        <v>48335</v>
      </c>
      <c r="N799" s="95">
        <f>'Planning Engine'!T1515</f>
        <v>0</v>
      </c>
      <c r="O799" s="98" t="s">
        <v>2547</v>
      </c>
      <c r="P799" s="4" t="str">
        <f t="shared" ca="1" si="25"/>
        <v>Defer receipts</v>
      </c>
    </row>
    <row r="800" spans="1:16" ht="13" customHeight="1" x14ac:dyDescent="0.35">
      <c r="A800" s="93">
        <v>48488</v>
      </c>
      <c r="B800" s="61" t="s">
        <v>58</v>
      </c>
      <c r="C800" s="12" t="str">
        <f>'Planning Engine'!C1516</f>
        <v>Raw Material</v>
      </c>
      <c r="D800" s="12" t="str">
        <f>'Planning Engine'!D1516</f>
        <v>kg</v>
      </c>
      <c r="E800" s="95">
        <f>'Planning Engine'!E1516</f>
        <v>106.67199999999997</v>
      </c>
      <c r="F800" s="95">
        <f>'Planning Engine'!F1516</f>
        <v>0</v>
      </c>
      <c r="G800" s="95">
        <f>'Planning Engine'!G1516</f>
        <v>0</v>
      </c>
      <c r="H800" s="95">
        <f t="shared" si="24"/>
        <v>0</v>
      </c>
      <c r="I800" s="95">
        <f>'Planning Engine'!H1516</f>
        <v>106.67199999999997</v>
      </c>
      <c r="J800" s="96">
        <f ca="1">'Planning Engine'!J1516</f>
        <v>999</v>
      </c>
      <c r="K800" s="95">
        <f ca="1">'Planning Engine'!K1516</f>
        <v>0</v>
      </c>
      <c r="L800" s="12" t="str">
        <f ca="1">'Planning Engine'!L1516</f>
        <v>Overstock</v>
      </c>
      <c r="M800" s="93">
        <f>'Planning Engine'!S1516</f>
        <v>48366</v>
      </c>
      <c r="N800" s="95">
        <f>'Planning Engine'!T1516</f>
        <v>0</v>
      </c>
      <c r="O800" s="94" t="s">
        <v>2548</v>
      </c>
      <c r="P800" s="12" t="str">
        <f t="shared" ca="1" si="25"/>
        <v>Defer receipts</v>
      </c>
    </row>
    <row r="801" spans="1:16" ht="13" customHeight="1" x14ac:dyDescent="0.35">
      <c r="A801" s="97">
        <v>48519</v>
      </c>
      <c r="B801" s="53" t="s">
        <v>58</v>
      </c>
      <c r="C801" s="12" t="str">
        <f>'Planning Engine'!C1517</f>
        <v>Raw Material</v>
      </c>
      <c r="D801" s="12" t="str">
        <f>'Planning Engine'!D1517</f>
        <v>kg</v>
      </c>
      <c r="E801" s="95">
        <f>'Planning Engine'!E1517</f>
        <v>106.67199999999997</v>
      </c>
      <c r="F801" s="95">
        <f>'Planning Engine'!F1517</f>
        <v>0</v>
      </c>
      <c r="G801" s="95">
        <f>'Planning Engine'!G1517</f>
        <v>0</v>
      </c>
      <c r="H801" s="99">
        <f t="shared" si="24"/>
        <v>0</v>
      </c>
      <c r="I801" s="95">
        <f>'Planning Engine'!H1517</f>
        <v>106.67199999999997</v>
      </c>
      <c r="J801" s="96">
        <f ca="1">'Planning Engine'!J1517</f>
        <v>999</v>
      </c>
      <c r="K801" s="95">
        <f ca="1">'Planning Engine'!K1517</f>
        <v>0</v>
      </c>
      <c r="L801" s="12" t="str">
        <f ca="1">'Planning Engine'!L1517</f>
        <v>Overstock</v>
      </c>
      <c r="M801" s="93">
        <f>'Planning Engine'!S1517</f>
        <v>48396</v>
      </c>
      <c r="N801" s="95">
        <f>'Planning Engine'!T1517</f>
        <v>0</v>
      </c>
      <c r="O801" s="98" t="s">
        <v>2549</v>
      </c>
      <c r="P801" s="4" t="str">
        <f t="shared" ca="1" si="25"/>
        <v>Defer receipts</v>
      </c>
    </row>
    <row r="802" spans="1:16" ht="13" customHeight="1" x14ac:dyDescent="0.35">
      <c r="A802" s="93">
        <v>48549</v>
      </c>
      <c r="B802" s="61" t="s">
        <v>58</v>
      </c>
      <c r="C802" s="12" t="str">
        <f>'Planning Engine'!C1518</f>
        <v>Raw Material</v>
      </c>
      <c r="D802" s="12" t="str">
        <f>'Planning Engine'!D1518</f>
        <v>kg</v>
      </c>
      <c r="E802" s="95">
        <f>'Planning Engine'!E1518</f>
        <v>106.67199999999997</v>
      </c>
      <c r="F802" s="95">
        <f>'Planning Engine'!F1518</f>
        <v>0</v>
      </c>
      <c r="G802" s="95">
        <f>'Planning Engine'!G1518</f>
        <v>0</v>
      </c>
      <c r="H802" s="95">
        <f t="shared" si="24"/>
        <v>0</v>
      </c>
      <c r="I802" s="95">
        <f>'Planning Engine'!H1518</f>
        <v>106.67199999999997</v>
      </c>
      <c r="J802" s="96">
        <f ca="1">'Planning Engine'!J1518</f>
        <v>999</v>
      </c>
      <c r="K802" s="95">
        <f ca="1">'Planning Engine'!K1518</f>
        <v>0</v>
      </c>
      <c r="L802" s="12" t="str">
        <f ca="1">'Planning Engine'!L1518</f>
        <v>Overstock</v>
      </c>
      <c r="M802" s="93">
        <f>'Planning Engine'!S1518</f>
        <v>48427</v>
      </c>
      <c r="N802" s="95">
        <f>'Planning Engine'!T1518</f>
        <v>0</v>
      </c>
      <c r="O802" s="94" t="s">
        <v>2550</v>
      </c>
      <c r="P802" s="12" t="str">
        <f t="shared" ca="1" si="25"/>
        <v>Defer receipts</v>
      </c>
    </row>
    <row r="803" spans="1:16" ht="13" customHeight="1" x14ac:dyDescent="0.35">
      <c r="A803" s="97">
        <v>48580</v>
      </c>
      <c r="B803" s="53" t="s">
        <v>58</v>
      </c>
      <c r="C803" s="12" t="str">
        <f>'Planning Engine'!C1519</f>
        <v>Raw Material</v>
      </c>
      <c r="D803" s="12" t="str">
        <f>'Planning Engine'!D1519</f>
        <v>kg</v>
      </c>
      <c r="E803" s="95">
        <f>'Planning Engine'!E1519</f>
        <v>106.67199999999997</v>
      </c>
      <c r="F803" s="95">
        <f>'Planning Engine'!F1519</f>
        <v>0</v>
      </c>
      <c r="G803" s="95">
        <f>'Planning Engine'!G1519</f>
        <v>0</v>
      </c>
      <c r="H803" s="99">
        <f t="shared" si="24"/>
        <v>0</v>
      </c>
      <c r="I803" s="95">
        <f>'Planning Engine'!H1519</f>
        <v>106.67199999999997</v>
      </c>
      <c r="J803" s="96">
        <f ca="1">'Planning Engine'!J1519</f>
        <v>999</v>
      </c>
      <c r="K803" s="95">
        <f ca="1">'Planning Engine'!K1519</f>
        <v>0</v>
      </c>
      <c r="L803" s="12" t="str">
        <f ca="1">'Planning Engine'!L1519</f>
        <v>Overstock</v>
      </c>
      <c r="M803" s="93">
        <f>'Planning Engine'!S1519</f>
        <v>48458</v>
      </c>
      <c r="N803" s="95">
        <f>'Planning Engine'!T1519</f>
        <v>0</v>
      </c>
      <c r="O803" s="98" t="s">
        <v>2551</v>
      </c>
      <c r="P803" s="4" t="str">
        <f t="shared" ca="1" si="25"/>
        <v>Defer receipts</v>
      </c>
    </row>
    <row r="804" spans="1:16" ht="13" customHeight="1" x14ac:dyDescent="0.35">
      <c r="A804" s="93">
        <v>48611</v>
      </c>
      <c r="B804" s="61" t="s">
        <v>58</v>
      </c>
      <c r="C804" s="12" t="str">
        <f>'Planning Engine'!C1520</f>
        <v>Raw Material</v>
      </c>
      <c r="D804" s="12" t="str">
        <f>'Planning Engine'!D1520</f>
        <v>kg</v>
      </c>
      <c r="E804" s="95">
        <f>'Planning Engine'!E1520</f>
        <v>106.67199999999997</v>
      </c>
      <c r="F804" s="95">
        <f>'Planning Engine'!F1520</f>
        <v>0</v>
      </c>
      <c r="G804" s="95">
        <f>'Planning Engine'!G1520</f>
        <v>0</v>
      </c>
      <c r="H804" s="95">
        <f t="shared" si="24"/>
        <v>0</v>
      </c>
      <c r="I804" s="95">
        <f>'Planning Engine'!H1520</f>
        <v>106.67199999999997</v>
      </c>
      <c r="J804" s="96">
        <f ca="1">'Planning Engine'!J1520</f>
        <v>999</v>
      </c>
      <c r="K804" s="95">
        <f ca="1">'Planning Engine'!K1520</f>
        <v>0</v>
      </c>
      <c r="L804" s="12" t="str">
        <f ca="1">'Planning Engine'!L1520</f>
        <v>Overstock</v>
      </c>
      <c r="M804" s="93">
        <f>'Planning Engine'!S1520</f>
        <v>48488</v>
      </c>
      <c r="N804" s="95">
        <f>'Planning Engine'!T1520</f>
        <v>0</v>
      </c>
      <c r="O804" s="94" t="s">
        <v>2552</v>
      </c>
      <c r="P804" s="12" t="str">
        <f t="shared" ca="1" si="25"/>
        <v>Defer receipts</v>
      </c>
    </row>
    <row r="805" spans="1:16" ht="13" customHeight="1" x14ac:dyDescent="0.35">
      <c r="A805" s="97">
        <v>48639</v>
      </c>
      <c r="B805" s="53" t="s">
        <v>58</v>
      </c>
      <c r="C805" s="12" t="str">
        <f>'Planning Engine'!C1521</f>
        <v>Raw Material</v>
      </c>
      <c r="D805" s="12" t="str">
        <f>'Planning Engine'!D1521</f>
        <v>kg</v>
      </c>
      <c r="E805" s="95">
        <f>'Planning Engine'!E1521</f>
        <v>106.67199999999997</v>
      </c>
      <c r="F805" s="95">
        <f>'Planning Engine'!F1521</f>
        <v>0</v>
      </c>
      <c r="G805" s="95">
        <f>'Planning Engine'!G1521</f>
        <v>0</v>
      </c>
      <c r="H805" s="99">
        <f t="shared" si="24"/>
        <v>0</v>
      </c>
      <c r="I805" s="95">
        <f>'Planning Engine'!H1521</f>
        <v>106.67199999999997</v>
      </c>
      <c r="J805" s="96">
        <f ca="1">'Planning Engine'!J1521</f>
        <v>999</v>
      </c>
      <c r="K805" s="95">
        <f ca="1">'Planning Engine'!K1521</f>
        <v>0</v>
      </c>
      <c r="L805" s="12" t="str">
        <f ca="1">'Planning Engine'!L1521</f>
        <v>Overstock</v>
      </c>
      <c r="M805" s="93">
        <f>'Planning Engine'!S1521</f>
        <v>48519</v>
      </c>
      <c r="N805" s="95">
        <f>'Planning Engine'!T1521</f>
        <v>0</v>
      </c>
      <c r="O805" s="98" t="s">
        <v>2553</v>
      </c>
      <c r="P805" s="4" t="str">
        <f t="shared" ca="1" si="25"/>
        <v>Defer receipts</v>
      </c>
    </row>
    <row r="806" spans="1:16" ht="13" customHeight="1" x14ac:dyDescent="0.35">
      <c r="A806" s="93">
        <v>48670</v>
      </c>
      <c r="B806" s="61" t="s">
        <v>58</v>
      </c>
      <c r="C806" s="12" t="str">
        <f>'Planning Engine'!C1522</f>
        <v>Raw Material</v>
      </c>
      <c r="D806" s="12" t="str">
        <f>'Planning Engine'!D1522</f>
        <v>kg</v>
      </c>
      <c r="E806" s="95">
        <f>'Planning Engine'!E1522</f>
        <v>106.67199999999997</v>
      </c>
      <c r="F806" s="95">
        <f>'Planning Engine'!F1522</f>
        <v>0</v>
      </c>
      <c r="G806" s="95">
        <f>'Planning Engine'!G1522</f>
        <v>0</v>
      </c>
      <c r="H806" s="95">
        <f t="shared" si="24"/>
        <v>0</v>
      </c>
      <c r="I806" s="95">
        <f>'Planning Engine'!H1522</f>
        <v>106.67199999999997</v>
      </c>
      <c r="J806" s="96">
        <f ca="1">'Planning Engine'!J1522</f>
        <v>999</v>
      </c>
      <c r="K806" s="95">
        <f ca="1">'Planning Engine'!K1522</f>
        <v>0</v>
      </c>
      <c r="L806" s="12" t="str">
        <f ca="1">'Planning Engine'!L1522</f>
        <v>Overstock</v>
      </c>
      <c r="M806" s="93">
        <f>'Planning Engine'!S1522</f>
        <v>48549</v>
      </c>
      <c r="N806" s="95">
        <f>'Planning Engine'!T1522</f>
        <v>0</v>
      </c>
      <c r="O806" s="94" t="s">
        <v>2554</v>
      </c>
      <c r="P806" s="12" t="str">
        <f t="shared" ca="1" si="25"/>
        <v>Defer receipts</v>
      </c>
    </row>
    <row r="807" spans="1:16" ht="13" customHeight="1" x14ac:dyDescent="0.35">
      <c r="A807" s="97">
        <v>48700</v>
      </c>
      <c r="B807" s="53" t="s">
        <v>58</v>
      </c>
      <c r="C807" s="12" t="str">
        <f>'Planning Engine'!C1523</f>
        <v>Raw Material</v>
      </c>
      <c r="D807" s="12" t="str">
        <f>'Planning Engine'!D1523</f>
        <v>kg</v>
      </c>
      <c r="E807" s="95">
        <f>'Planning Engine'!E1523</f>
        <v>106.67199999999997</v>
      </c>
      <c r="F807" s="95">
        <f>'Planning Engine'!F1523</f>
        <v>0</v>
      </c>
      <c r="G807" s="95">
        <f>'Planning Engine'!G1523</f>
        <v>0</v>
      </c>
      <c r="H807" s="99">
        <f t="shared" si="24"/>
        <v>0</v>
      </c>
      <c r="I807" s="95">
        <f>'Planning Engine'!H1523</f>
        <v>106.67199999999997</v>
      </c>
      <c r="J807" s="96">
        <f ca="1">'Planning Engine'!J1523</f>
        <v>999</v>
      </c>
      <c r="K807" s="95">
        <f ca="1">'Planning Engine'!K1523</f>
        <v>0</v>
      </c>
      <c r="L807" s="12" t="str">
        <f ca="1">'Planning Engine'!L1523</f>
        <v>Overstock</v>
      </c>
      <c r="M807" s="93">
        <f>'Planning Engine'!S1523</f>
        <v>48580</v>
      </c>
      <c r="N807" s="95">
        <f>'Planning Engine'!T1523</f>
        <v>0</v>
      </c>
      <c r="O807" s="98" t="s">
        <v>2555</v>
      </c>
      <c r="P807" s="4" t="str">
        <f t="shared" ca="1" si="25"/>
        <v>Defer receipts</v>
      </c>
    </row>
    <row r="808" spans="1:16" ht="13" customHeight="1" x14ac:dyDescent="0.35">
      <c r="A808" s="93">
        <v>48731</v>
      </c>
      <c r="B808" s="61" t="s">
        <v>58</v>
      </c>
      <c r="C808" s="12" t="str">
        <f>'Planning Engine'!C1524</f>
        <v>Raw Material</v>
      </c>
      <c r="D808" s="12" t="str">
        <f>'Planning Engine'!D1524</f>
        <v>kg</v>
      </c>
      <c r="E808" s="95">
        <f>'Planning Engine'!E1524</f>
        <v>106.67199999999997</v>
      </c>
      <c r="F808" s="95">
        <f>'Planning Engine'!F1524</f>
        <v>0</v>
      </c>
      <c r="G808" s="95">
        <f>'Planning Engine'!G1524</f>
        <v>0</v>
      </c>
      <c r="H808" s="95">
        <f t="shared" si="24"/>
        <v>0</v>
      </c>
      <c r="I808" s="95">
        <f>'Planning Engine'!H1524</f>
        <v>106.67199999999997</v>
      </c>
      <c r="J808" s="96">
        <f ca="1">'Planning Engine'!J1524</f>
        <v>999</v>
      </c>
      <c r="K808" s="95">
        <f ca="1">'Planning Engine'!K1524</f>
        <v>0</v>
      </c>
      <c r="L808" s="12" t="str">
        <f ca="1">'Planning Engine'!L1524</f>
        <v>Overstock</v>
      </c>
      <c r="M808" s="93">
        <f>'Planning Engine'!S1524</f>
        <v>48611</v>
      </c>
      <c r="N808" s="95">
        <f>'Planning Engine'!T1524</f>
        <v>0</v>
      </c>
      <c r="O808" s="94" t="s">
        <v>2556</v>
      </c>
      <c r="P808" s="12" t="str">
        <f t="shared" ca="1" si="25"/>
        <v>Defer receipts</v>
      </c>
    </row>
    <row r="809" spans="1:16" ht="13" customHeight="1" x14ac:dyDescent="0.35">
      <c r="A809" s="97">
        <v>48761</v>
      </c>
      <c r="B809" s="53" t="s">
        <v>58</v>
      </c>
      <c r="C809" s="12" t="str">
        <f>'Planning Engine'!C1525</f>
        <v>Raw Material</v>
      </c>
      <c r="D809" s="12" t="str">
        <f>'Planning Engine'!D1525</f>
        <v>kg</v>
      </c>
      <c r="E809" s="95">
        <f>'Planning Engine'!E1525</f>
        <v>106.67199999999997</v>
      </c>
      <c r="F809" s="95">
        <f>'Planning Engine'!F1525</f>
        <v>0</v>
      </c>
      <c r="G809" s="95">
        <f>'Planning Engine'!G1525</f>
        <v>0</v>
      </c>
      <c r="H809" s="99">
        <f t="shared" si="24"/>
        <v>0</v>
      </c>
      <c r="I809" s="95">
        <f>'Planning Engine'!H1525</f>
        <v>106.67199999999997</v>
      </c>
      <c r="J809" s="96">
        <f ca="1">'Planning Engine'!J1525</f>
        <v>999</v>
      </c>
      <c r="K809" s="95">
        <f ca="1">'Planning Engine'!K1525</f>
        <v>0</v>
      </c>
      <c r="L809" s="12" t="str">
        <f ca="1">'Planning Engine'!L1525</f>
        <v>Overstock</v>
      </c>
      <c r="M809" s="93">
        <f>'Planning Engine'!S1525</f>
        <v>48639</v>
      </c>
      <c r="N809" s="95">
        <f>'Planning Engine'!T1525</f>
        <v>0</v>
      </c>
      <c r="O809" s="98" t="s">
        <v>2557</v>
      </c>
      <c r="P809" s="4" t="str">
        <f t="shared" ca="1" si="25"/>
        <v>Defer receipts</v>
      </c>
    </row>
    <row r="810" spans="1:16" ht="13" customHeight="1" x14ac:dyDescent="0.35">
      <c r="A810" s="93">
        <v>48792</v>
      </c>
      <c r="B810" s="61" t="s">
        <v>58</v>
      </c>
      <c r="C810" s="12" t="str">
        <f>'Planning Engine'!C1526</f>
        <v>Raw Material</v>
      </c>
      <c r="D810" s="12" t="str">
        <f>'Planning Engine'!D1526</f>
        <v>kg</v>
      </c>
      <c r="E810" s="95">
        <f>'Planning Engine'!E1526</f>
        <v>106.67199999999997</v>
      </c>
      <c r="F810" s="95">
        <f>'Planning Engine'!F1526</f>
        <v>0</v>
      </c>
      <c r="G810" s="95">
        <f>'Planning Engine'!G1526</f>
        <v>0</v>
      </c>
      <c r="H810" s="95">
        <f t="shared" si="24"/>
        <v>0</v>
      </c>
      <c r="I810" s="95">
        <f>'Planning Engine'!H1526</f>
        <v>106.67199999999997</v>
      </c>
      <c r="J810" s="96">
        <f ca="1">'Planning Engine'!J1526</f>
        <v>999</v>
      </c>
      <c r="K810" s="95">
        <f ca="1">'Planning Engine'!K1526</f>
        <v>0</v>
      </c>
      <c r="L810" s="12" t="str">
        <f ca="1">'Planning Engine'!L1526</f>
        <v>Overstock</v>
      </c>
      <c r="M810" s="93">
        <f>'Planning Engine'!S1526</f>
        <v>48670</v>
      </c>
      <c r="N810" s="95">
        <f>'Planning Engine'!T1526</f>
        <v>0</v>
      </c>
      <c r="O810" s="94" t="s">
        <v>2558</v>
      </c>
      <c r="P810" s="12" t="str">
        <f t="shared" ca="1" si="25"/>
        <v>Defer receipts</v>
      </c>
    </row>
    <row r="811" spans="1:16" ht="13" customHeight="1" x14ac:dyDescent="0.35">
      <c r="A811" s="97">
        <v>48823</v>
      </c>
      <c r="B811" s="53" t="s">
        <v>58</v>
      </c>
      <c r="C811" s="12" t="str">
        <f>'Planning Engine'!C1527</f>
        <v>Raw Material</v>
      </c>
      <c r="D811" s="12" t="str">
        <f>'Planning Engine'!D1527</f>
        <v>kg</v>
      </c>
      <c r="E811" s="95">
        <f>'Planning Engine'!E1527</f>
        <v>106.67199999999997</v>
      </c>
      <c r="F811" s="95">
        <f>'Planning Engine'!F1527</f>
        <v>0</v>
      </c>
      <c r="G811" s="95">
        <f>'Planning Engine'!G1527</f>
        <v>0</v>
      </c>
      <c r="H811" s="99">
        <f t="shared" si="24"/>
        <v>0</v>
      </c>
      <c r="I811" s="95">
        <f>'Planning Engine'!H1527</f>
        <v>106.67199999999997</v>
      </c>
      <c r="J811" s="96">
        <f ca="1">'Planning Engine'!J1527</f>
        <v>999</v>
      </c>
      <c r="K811" s="95">
        <f ca="1">'Planning Engine'!K1527</f>
        <v>0</v>
      </c>
      <c r="L811" s="12" t="str">
        <f ca="1">'Planning Engine'!L1527</f>
        <v>Overstock</v>
      </c>
      <c r="M811" s="93">
        <f>'Planning Engine'!S1527</f>
        <v>48700</v>
      </c>
      <c r="N811" s="95">
        <f>'Planning Engine'!T1527</f>
        <v>0</v>
      </c>
      <c r="O811" s="98" t="s">
        <v>2559</v>
      </c>
      <c r="P811" s="4" t="str">
        <f t="shared" ca="1" si="25"/>
        <v>Defer receipts</v>
      </c>
    </row>
    <row r="812" spans="1:16" ht="13" customHeight="1" x14ac:dyDescent="0.35">
      <c r="A812" s="93">
        <v>48853</v>
      </c>
      <c r="B812" s="61" t="s">
        <v>58</v>
      </c>
      <c r="C812" s="12" t="str">
        <f>'Planning Engine'!C1528</f>
        <v>Raw Material</v>
      </c>
      <c r="D812" s="12" t="str">
        <f>'Planning Engine'!D1528</f>
        <v>kg</v>
      </c>
      <c r="E812" s="95">
        <f>'Planning Engine'!E1528</f>
        <v>106.67199999999997</v>
      </c>
      <c r="F812" s="95">
        <f>'Planning Engine'!F1528</f>
        <v>0</v>
      </c>
      <c r="G812" s="95">
        <f>'Planning Engine'!G1528</f>
        <v>0</v>
      </c>
      <c r="H812" s="95">
        <f t="shared" si="24"/>
        <v>0</v>
      </c>
      <c r="I812" s="95">
        <f>'Planning Engine'!H1528</f>
        <v>106.67199999999997</v>
      </c>
      <c r="J812" s="96">
        <f ca="1">'Planning Engine'!J1528</f>
        <v>999</v>
      </c>
      <c r="K812" s="95">
        <f ca="1">'Planning Engine'!K1528</f>
        <v>0</v>
      </c>
      <c r="L812" s="12" t="str">
        <f ca="1">'Planning Engine'!L1528</f>
        <v>Overstock</v>
      </c>
      <c r="M812" s="93">
        <f>'Planning Engine'!S1528</f>
        <v>48731</v>
      </c>
      <c r="N812" s="95">
        <f>'Planning Engine'!T1528</f>
        <v>0</v>
      </c>
      <c r="O812" s="94" t="s">
        <v>2560</v>
      </c>
      <c r="P812" s="12" t="str">
        <f t="shared" ca="1" si="25"/>
        <v>Defer receipts</v>
      </c>
    </row>
    <row r="813" spans="1:16" ht="13" customHeight="1" x14ac:dyDescent="0.35">
      <c r="A813" s="97">
        <v>48884</v>
      </c>
      <c r="B813" s="53" t="s">
        <v>58</v>
      </c>
      <c r="C813" s="12" t="str">
        <f>'Planning Engine'!C1529</f>
        <v>Raw Material</v>
      </c>
      <c r="D813" s="12" t="str">
        <f>'Planning Engine'!D1529</f>
        <v>kg</v>
      </c>
      <c r="E813" s="95">
        <f>'Planning Engine'!E1529</f>
        <v>106.67199999999997</v>
      </c>
      <c r="F813" s="95">
        <f>'Planning Engine'!F1529</f>
        <v>0</v>
      </c>
      <c r="G813" s="95">
        <f>'Planning Engine'!G1529</f>
        <v>0</v>
      </c>
      <c r="H813" s="99">
        <f t="shared" si="24"/>
        <v>0</v>
      </c>
      <c r="I813" s="95">
        <f>'Planning Engine'!H1529</f>
        <v>106.67199999999997</v>
      </c>
      <c r="J813" s="96">
        <f ca="1">'Planning Engine'!J1529</f>
        <v>999</v>
      </c>
      <c r="K813" s="95">
        <f ca="1">'Planning Engine'!K1529</f>
        <v>0</v>
      </c>
      <c r="L813" s="12" t="str">
        <f ca="1">'Planning Engine'!L1529</f>
        <v>Overstock</v>
      </c>
      <c r="M813" s="93">
        <f>'Planning Engine'!S1529</f>
        <v>48761</v>
      </c>
      <c r="N813" s="95">
        <f>'Planning Engine'!T1529</f>
        <v>0</v>
      </c>
      <c r="O813" s="98" t="s">
        <v>2561</v>
      </c>
      <c r="P813" s="4" t="str">
        <f t="shared" ca="1" si="25"/>
        <v>Defer receipts</v>
      </c>
    </row>
    <row r="814" spans="1:16" ht="13" customHeight="1" x14ac:dyDescent="0.35">
      <c r="A814" s="93">
        <v>48914</v>
      </c>
      <c r="B814" s="61" t="s">
        <v>58</v>
      </c>
      <c r="C814" s="12" t="str">
        <f>'Planning Engine'!C1530</f>
        <v>Raw Material</v>
      </c>
      <c r="D814" s="12" t="str">
        <f>'Planning Engine'!D1530</f>
        <v>kg</v>
      </c>
      <c r="E814" s="95">
        <f>'Planning Engine'!E1530</f>
        <v>106.67199999999997</v>
      </c>
      <c r="F814" s="95">
        <f>'Planning Engine'!F1530</f>
        <v>0</v>
      </c>
      <c r="G814" s="95">
        <f>'Planning Engine'!G1530</f>
        <v>0</v>
      </c>
      <c r="H814" s="95">
        <f t="shared" si="24"/>
        <v>0</v>
      </c>
      <c r="I814" s="95">
        <f>'Planning Engine'!H1530</f>
        <v>106.67199999999997</v>
      </c>
      <c r="J814" s="96">
        <f ca="1">'Planning Engine'!J1530</f>
        <v>999</v>
      </c>
      <c r="K814" s="95">
        <f ca="1">'Planning Engine'!K1530</f>
        <v>0</v>
      </c>
      <c r="L814" s="12" t="str">
        <f ca="1">'Planning Engine'!L1530</f>
        <v>Overstock</v>
      </c>
      <c r="M814" s="93">
        <f>'Planning Engine'!S1530</f>
        <v>48792</v>
      </c>
      <c r="N814" s="95">
        <f>'Planning Engine'!T1530</f>
        <v>0</v>
      </c>
      <c r="O814" s="94" t="s">
        <v>2562</v>
      </c>
      <c r="P814" s="12" t="str">
        <f t="shared" ca="1" si="25"/>
        <v>Defer receipts</v>
      </c>
    </row>
    <row r="815" spans="1:16" ht="13" customHeight="1" x14ac:dyDescent="0.35">
      <c r="A815" s="97">
        <v>48945</v>
      </c>
      <c r="B815" s="53" t="s">
        <v>58</v>
      </c>
      <c r="C815" s="12" t="str">
        <f>'Planning Engine'!C1531</f>
        <v>Raw Material</v>
      </c>
      <c r="D815" s="12" t="str">
        <f>'Planning Engine'!D1531</f>
        <v>kg</v>
      </c>
      <c r="E815" s="95">
        <f>'Planning Engine'!E1531</f>
        <v>106.67199999999997</v>
      </c>
      <c r="F815" s="95">
        <f>'Planning Engine'!F1531</f>
        <v>0</v>
      </c>
      <c r="G815" s="95">
        <f>'Planning Engine'!G1531</f>
        <v>0</v>
      </c>
      <c r="H815" s="99">
        <f t="shared" si="24"/>
        <v>0</v>
      </c>
      <c r="I815" s="95">
        <f>'Planning Engine'!H1531</f>
        <v>106.67199999999997</v>
      </c>
      <c r="J815" s="96">
        <f ca="1">'Planning Engine'!J1531</f>
        <v>999</v>
      </c>
      <c r="K815" s="95">
        <f ca="1">'Planning Engine'!K1531</f>
        <v>0</v>
      </c>
      <c r="L815" s="12" t="str">
        <f ca="1">'Planning Engine'!L1531</f>
        <v>Overstock</v>
      </c>
      <c r="M815" s="93">
        <f>'Planning Engine'!S1531</f>
        <v>48823</v>
      </c>
      <c r="N815" s="95">
        <f>'Planning Engine'!T1531</f>
        <v>0</v>
      </c>
      <c r="O815" s="98" t="s">
        <v>2563</v>
      </c>
      <c r="P815" s="4" t="str">
        <f t="shared" ca="1" si="25"/>
        <v>Defer receipts</v>
      </c>
    </row>
    <row r="816" spans="1:16" ht="13" customHeight="1" x14ac:dyDescent="0.35">
      <c r="A816" s="93">
        <v>48976</v>
      </c>
      <c r="B816" s="61" t="s">
        <v>58</v>
      </c>
      <c r="C816" s="12" t="str">
        <f>'Planning Engine'!C1532</f>
        <v>Raw Material</v>
      </c>
      <c r="D816" s="12" t="str">
        <f>'Planning Engine'!D1532</f>
        <v>kg</v>
      </c>
      <c r="E816" s="95">
        <f>'Planning Engine'!E1532</f>
        <v>106.67199999999997</v>
      </c>
      <c r="F816" s="95">
        <f>'Planning Engine'!F1532</f>
        <v>0</v>
      </c>
      <c r="G816" s="95">
        <f>'Planning Engine'!G1532</f>
        <v>0</v>
      </c>
      <c r="H816" s="95">
        <f t="shared" si="24"/>
        <v>0</v>
      </c>
      <c r="I816" s="95">
        <f>'Planning Engine'!H1532</f>
        <v>106.67199999999997</v>
      </c>
      <c r="J816" s="96">
        <f ca="1">'Planning Engine'!J1532</f>
        <v>999</v>
      </c>
      <c r="K816" s="95">
        <f ca="1">'Planning Engine'!K1532</f>
        <v>0</v>
      </c>
      <c r="L816" s="12" t="str">
        <f ca="1">'Planning Engine'!L1532</f>
        <v>Overstock</v>
      </c>
      <c r="M816" s="93">
        <f>'Planning Engine'!S1532</f>
        <v>48853</v>
      </c>
      <c r="N816" s="95">
        <f>'Planning Engine'!T1532</f>
        <v>0</v>
      </c>
      <c r="O816" s="94" t="s">
        <v>2564</v>
      </c>
      <c r="P816" s="12" t="str">
        <f t="shared" ca="1" si="25"/>
        <v>Defer receipts</v>
      </c>
    </row>
    <row r="817" spans="1:16" ht="13" customHeight="1" x14ac:dyDescent="0.35">
      <c r="A817" s="97">
        <v>49004</v>
      </c>
      <c r="B817" s="53" t="s">
        <v>58</v>
      </c>
      <c r="C817" s="12" t="str">
        <f>'Planning Engine'!C1533</f>
        <v>Raw Material</v>
      </c>
      <c r="D817" s="12" t="str">
        <f>'Planning Engine'!D1533</f>
        <v>kg</v>
      </c>
      <c r="E817" s="95">
        <f>'Planning Engine'!E1533</f>
        <v>106.67199999999997</v>
      </c>
      <c r="F817" s="95">
        <f>'Planning Engine'!F1533</f>
        <v>0</v>
      </c>
      <c r="G817" s="95">
        <f>'Planning Engine'!G1533</f>
        <v>0</v>
      </c>
      <c r="H817" s="99">
        <f t="shared" si="24"/>
        <v>0</v>
      </c>
      <c r="I817" s="95">
        <f>'Planning Engine'!H1533</f>
        <v>106.67199999999997</v>
      </c>
      <c r="J817" s="96">
        <f ca="1">'Planning Engine'!J1533</f>
        <v>999</v>
      </c>
      <c r="K817" s="95">
        <f ca="1">'Planning Engine'!K1533</f>
        <v>0</v>
      </c>
      <c r="L817" s="12" t="str">
        <f ca="1">'Planning Engine'!L1533</f>
        <v>Overstock</v>
      </c>
      <c r="M817" s="93">
        <f>'Planning Engine'!S1533</f>
        <v>48884</v>
      </c>
      <c r="N817" s="95">
        <f>'Planning Engine'!T1533</f>
        <v>0</v>
      </c>
      <c r="O817" s="98" t="s">
        <v>2565</v>
      </c>
      <c r="P817" s="4" t="str">
        <f t="shared" ca="1" si="25"/>
        <v>Defer receipts</v>
      </c>
    </row>
    <row r="818" spans="1:16" ht="13" customHeight="1" x14ac:dyDescent="0.35">
      <c r="A818" s="93">
        <v>49035</v>
      </c>
      <c r="B818" s="61" t="s">
        <v>58</v>
      </c>
      <c r="C818" s="12" t="str">
        <f>'Planning Engine'!C1534</f>
        <v>Raw Material</v>
      </c>
      <c r="D818" s="12" t="str">
        <f>'Planning Engine'!D1534</f>
        <v>kg</v>
      </c>
      <c r="E818" s="95">
        <f>'Planning Engine'!E1534</f>
        <v>106.67199999999997</v>
      </c>
      <c r="F818" s="95">
        <f>'Planning Engine'!F1534</f>
        <v>0</v>
      </c>
      <c r="G818" s="95">
        <f>'Planning Engine'!G1534</f>
        <v>0</v>
      </c>
      <c r="H818" s="95">
        <f t="shared" si="24"/>
        <v>0</v>
      </c>
      <c r="I818" s="95">
        <f>'Planning Engine'!H1534</f>
        <v>106.67199999999997</v>
      </c>
      <c r="J818" s="96">
        <f ca="1">'Planning Engine'!J1534</f>
        <v>999</v>
      </c>
      <c r="K818" s="95">
        <f ca="1">'Planning Engine'!K1534</f>
        <v>0</v>
      </c>
      <c r="L818" s="12" t="str">
        <f ca="1">'Planning Engine'!L1534</f>
        <v>Overstock</v>
      </c>
      <c r="M818" s="93">
        <f>'Planning Engine'!S1534</f>
        <v>48914</v>
      </c>
      <c r="N818" s="95">
        <f>'Planning Engine'!T1534</f>
        <v>0</v>
      </c>
      <c r="O818" s="94" t="s">
        <v>2566</v>
      </c>
      <c r="P818" s="12" t="str">
        <f t="shared" ca="1" si="25"/>
        <v>Defer receipts</v>
      </c>
    </row>
    <row r="819" spans="1:16" ht="13" customHeight="1" x14ac:dyDescent="0.35">
      <c r="A819" s="97">
        <v>49065</v>
      </c>
      <c r="B819" s="53" t="s">
        <v>58</v>
      </c>
      <c r="C819" s="12" t="str">
        <f>'Planning Engine'!C1535</f>
        <v>Raw Material</v>
      </c>
      <c r="D819" s="12" t="str">
        <f>'Planning Engine'!D1535</f>
        <v>kg</v>
      </c>
      <c r="E819" s="95">
        <f>'Planning Engine'!E1535</f>
        <v>106.67199999999997</v>
      </c>
      <c r="F819" s="95">
        <f>'Planning Engine'!F1535</f>
        <v>0</v>
      </c>
      <c r="G819" s="95">
        <f>'Planning Engine'!G1535</f>
        <v>0</v>
      </c>
      <c r="H819" s="99">
        <f t="shared" si="24"/>
        <v>0</v>
      </c>
      <c r="I819" s="95">
        <f>'Planning Engine'!H1535</f>
        <v>106.67199999999997</v>
      </c>
      <c r="J819" s="96">
        <f ca="1">'Planning Engine'!J1535</f>
        <v>999</v>
      </c>
      <c r="K819" s="95">
        <f ca="1">'Planning Engine'!K1535</f>
        <v>0</v>
      </c>
      <c r="L819" s="12" t="str">
        <f ca="1">'Planning Engine'!L1535</f>
        <v>Overstock</v>
      </c>
      <c r="M819" s="93">
        <f>'Planning Engine'!S1535</f>
        <v>48945</v>
      </c>
      <c r="N819" s="95">
        <f>'Planning Engine'!T1535</f>
        <v>0</v>
      </c>
      <c r="O819" s="98" t="s">
        <v>2567</v>
      </c>
      <c r="P819" s="4" t="str">
        <f t="shared" ca="1" si="25"/>
        <v>Defer receipts</v>
      </c>
    </row>
    <row r="820" spans="1:16" ht="13" customHeight="1" x14ac:dyDescent="0.35">
      <c r="A820" s="93">
        <v>49096</v>
      </c>
      <c r="B820" s="61" t="s">
        <v>58</v>
      </c>
      <c r="C820" s="12" t="str">
        <f>'Planning Engine'!C1536</f>
        <v>Raw Material</v>
      </c>
      <c r="D820" s="12" t="str">
        <f>'Planning Engine'!D1536</f>
        <v>kg</v>
      </c>
      <c r="E820" s="95">
        <f>'Planning Engine'!E1536</f>
        <v>106.67199999999997</v>
      </c>
      <c r="F820" s="95">
        <f>'Planning Engine'!F1536</f>
        <v>0</v>
      </c>
      <c r="G820" s="95">
        <f>'Planning Engine'!G1536</f>
        <v>0</v>
      </c>
      <c r="H820" s="95">
        <f t="shared" si="24"/>
        <v>0</v>
      </c>
      <c r="I820" s="95">
        <f>'Planning Engine'!H1536</f>
        <v>106.67199999999997</v>
      </c>
      <c r="J820" s="96">
        <f ca="1">'Planning Engine'!J1536</f>
        <v>999</v>
      </c>
      <c r="K820" s="95">
        <f ca="1">'Planning Engine'!K1536</f>
        <v>0</v>
      </c>
      <c r="L820" s="12" t="str">
        <f ca="1">'Planning Engine'!L1536</f>
        <v>Overstock</v>
      </c>
      <c r="M820" s="93">
        <f>'Planning Engine'!S1536</f>
        <v>48976</v>
      </c>
      <c r="N820" s="95">
        <f>'Planning Engine'!T1536</f>
        <v>0</v>
      </c>
      <c r="O820" s="94" t="s">
        <v>2568</v>
      </c>
      <c r="P820" s="12" t="str">
        <f t="shared" ca="1" si="25"/>
        <v>Defer receipts</v>
      </c>
    </row>
    <row r="821" spans="1:16" ht="13" customHeight="1" x14ac:dyDescent="0.35">
      <c r="A821" s="97">
        <v>49126</v>
      </c>
      <c r="B821" s="53" t="s">
        <v>58</v>
      </c>
      <c r="C821" s="12" t="str">
        <f>'Planning Engine'!C1537</f>
        <v>Raw Material</v>
      </c>
      <c r="D821" s="12" t="str">
        <f>'Planning Engine'!D1537</f>
        <v>kg</v>
      </c>
      <c r="E821" s="95">
        <f>'Planning Engine'!E1537</f>
        <v>106.67199999999997</v>
      </c>
      <c r="F821" s="95">
        <f>'Planning Engine'!F1537</f>
        <v>0</v>
      </c>
      <c r="G821" s="95">
        <f>'Planning Engine'!G1537</f>
        <v>0</v>
      </c>
      <c r="H821" s="99">
        <f t="shared" si="24"/>
        <v>0</v>
      </c>
      <c r="I821" s="95">
        <f>'Planning Engine'!H1537</f>
        <v>106.67199999999997</v>
      </c>
      <c r="J821" s="96">
        <f ca="1">'Planning Engine'!J1537</f>
        <v>999</v>
      </c>
      <c r="K821" s="95">
        <f ca="1">'Planning Engine'!K1537</f>
        <v>0</v>
      </c>
      <c r="L821" s="12" t="str">
        <f ca="1">'Planning Engine'!L1537</f>
        <v>Overstock</v>
      </c>
      <c r="M821" s="93">
        <f>'Planning Engine'!S1537</f>
        <v>49004</v>
      </c>
      <c r="N821" s="95">
        <f>'Planning Engine'!T1537</f>
        <v>0</v>
      </c>
      <c r="O821" s="98" t="s">
        <v>2569</v>
      </c>
      <c r="P821" s="4" t="str">
        <f t="shared" ca="1" si="25"/>
        <v>Defer receipts</v>
      </c>
    </row>
    <row r="822" spans="1:16" ht="13" customHeight="1" x14ac:dyDescent="0.35">
      <c r="A822" s="93">
        <v>49157</v>
      </c>
      <c r="B822" s="61" t="s">
        <v>58</v>
      </c>
      <c r="C822" s="12" t="str">
        <f>'Planning Engine'!C1538</f>
        <v>Raw Material</v>
      </c>
      <c r="D822" s="12" t="str">
        <f>'Planning Engine'!D1538</f>
        <v>kg</v>
      </c>
      <c r="E822" s="95">
        <f>'Planning Engine'!E1538</f>
        <v>106.67199999999997</v>
      </c>
      <c r="F822" s="95">
        <f>'Planning Engine'!F1538</f>
        <v>0</v>
      </c>
      <c r="G822" s="95">
        <f>'Planning Engine'!G1538</f>
        <v>0</v>
      </c>
      <c r="H822" s="95">
        <f t="shared" si="24"/>
        <v>0</v>
      </c>
      <c r="I822" s="95">
        <f>'Planning Engine'!H1538</f>
        <v>106.67199999999997</v>
      </c>
      <c r="J822" s="96">
        <f ca="1">'Planning Engine'!J1538</f>
        <v>999</v>
      </c>
      <c r="K822" s="95">
        <f ca="1">'Planning Engine'!K1538</f>
        <v>0</v>
      </c>
      <c r="L822" s="12" t="str">
        <f ca="1">'Planning Engine'!L1538</f>
        <v>Overstock</v>
      </c>
      <c r="M822" s="93">
        <f>'Planning Engine'!S1538</f>
        <v>49035</v>
      </c>
      <c r="N822" s="95">
        <f>'Planning Engine'!T1538</f>
        <v>0</v>
      </c>
      <c r="O822" s="94" t="s">
        <v>2570</v>
      </c>
      <c r="P822" s="12" t="str">
        <f t="shared" ca="1" si="25"/>
        <v>Defer receipts</v>
      </c>
    </row>
    <row r="823" spans="1:16" ht="13" customHeight="1" x14ac:dyDescent="0.35">
      <c r="A823" s="97">
        <v>49188</v>
      </c>
      <c r="B823" s="53" t="s">
        <v>58</v>
      </c>
      <c r="C823" s="12" t="str">
        <f>'Planning Engine'!C1539</f>
        <v>Raw Material</v>
      </c>
      <c r="D823" s="12" t="str">
        <f>'Planning Engine'!D1539</f>
        <v>kg</v>
      </c>
      <c r="E823" s="95">
        <f>'Planning Engine'!E1539</f>
        <v>106.67199999999997</v>
      </c>
      <c r="F823" s="95">
        <f>'Planning Engine'!F1539</f>
        <v>0</v>
      </c>
      <c r="G823" s="95">
        <f>'Planning Engine'!G1539</f>
        <v>0</v>
      </c>
      <c r="H823" s="99">
        <f t="shared" si="24"/>
        <v>0</v>
      </c>
      <c r="I823" s="95">
        <f>'Planning Engine'!H1539</f>
        <v>106.67199999999997</v>
      </c>
      <c r="J823" s="96">
        <f ca="1">'Planning Engine'!J1539</f>
        <v>999</v>
      </c>
      <c r="K823" s="95">
        <f ca="1">'Planning Engine'!K1539</f>
        <v>0</v>
      </c>
      <c r="L823" s="12" t="str">
        <f ca="1">'Planning Engine'!L1539</f>
        <v>Overstock</v>
      </c>
      <c r="M823" s="93">
        <f>'Planning Engine'!S1539</f>
        <v>49065</v>
      </c>
      <c r="N823" s="95">
        <f>'Planning Engine'!T1539</f>
        <v>0</v>
      </c>
      <c r="O823" s="98" t="s">
        <v>2571</v>
      </c>
      <c r="P823" s="4" t="str">
        <f t="shared" ca="1" si="25"/>
        <v>Defer receipts</v>
      </c>
    </row>
    <row r="824" spans="1:16" ht="13" customHeight="1" x14ac:dyDescent="0.35">
      <c r="A824" s="93">
        <v>49218</v>
      </c>
      <c r="B824" s="61" t="s">
        <v>58</v>
      </c>
      <c r="C824" s="12" t="str">
        <f>'Planning Engine'!C1540</f>
        <v>Raw Material</v>
      </c>
      <c r="D824" s="12" t="str">
        <f>'Planning Engine'!D1540</f>
        <v>kg</v>
      </c>
      <c r="E824" s="95">
        <f>'Planning Engine'!E1540</f>
        <v>106.67199999999997</v>
      </c>
      <c r="F824" s="95">
        <f>'Planning Engine'!F1540</f>
        <v>0</v>
      </c>
      <c r="G824" s="95">
        <f>'Planning Engine'!G1540</f>
        <v>0</v>
      </c>
      <c r="H824" s="95">
        <f t="shared" si="24"/>
        <v>0</v>
      </c>
      <c r="I824" s="95">
        <f>'Planning Engine'!H1540</f>
        <v>106.67199999999997</v>
      </c>
      <c r="J824" s="96">
        <f ca="1">'Planning Engine'!J1540</f>
        <v>999</v>
      </c>
      <c r="K824" s="95">
        <f ca="1">'Planning Engine'!K1540</f>
        <v>0</v>
      </c>
      <c r="L824" s="12" t="str">
        <f ca="1">'Planning Engine'!L1540</f>
        <v>Overstock</v>
      </c>
      <c r="M824" s="93">
        <f>'Planning Engine'!S1540</f>
        <v>49096</v>
      </c>
      <c r="N824" s="95">
        <f>'Planning Engine'!T1540</f>
        <v>0</v>
      </c>
      <c r="O824" s="94" t="s">
        <v>2572</v>
      </c>
      <c r="P824" s="12" t="str">
        <f t="shared" ca="1" si="25"/>
        <v>Defer receipts</v>
      </c>
    </row>
    <row r="825" spans="1:16" ht="13" customHeight="1" x14ac:dyDescent="0.35">
      <c r="A825" s="97">
        <v>49249</v>
      </c>
      <c r="B825" s="53" t="s">
        <v>58</v>
      </c>
      <c r="C825" s="12" t="str">
        <f>'Planning Engine'!C1541</f>
        <v>Raw Material</v>
      </c>
      <c r="D825" s="12" t="str">
        <f>'Planning Engine'!D1541</f>
        <v>kg</v>
      </c>
      <c r="E825" s="95">
        <f>'Planning Engine'!E1541</f>
        <v>106.67199999999997</v>
      </c>
      <c r="F825" s="95">
        <f>'Planning Engine'!F1541</f>
        <v>0</v>
      </c>
      <c r="G825" s="95">
        <f>'Planning Engine'!G1541</f>
        <v>0</v>
      </c>
      <c r="H825" s="99">
        <f t="shared" si="24"/>
        <v>0</v>
      </c>
      <c r="I825" s="95">
        <f>'Planning Engine'!H1541</f>
        <v>106.67199999999997</v>
      </c>
      <c r="J825" s="96">
        <f ca="1">'Planning Engine'!J1541</f>
        <v>999</v>
      </c>
      <c r="K825" s="95">
        <f ca="1">'Planning Engine'!K1541</f>
        <v>0</v>
      </c>
      <c r="L825" s="12" t="str">
        <f ca="1">'Planning Engine'!L1541</f>
        <v>Overstock</v>
      </c>
      <c r="M825" s="93">
        <f>'Planning Engine'!S1541</f>
        <v>49126</v>
      </c>
      <c r="N825" s="95">
        <f>'Planning Engine'!T1541</f>
        <v>0</v>
      </c>
      <c r="O825" s="98" t="s">
        <v>2573</v>
      </c>
      <c r="P825" s="4" t="str">
        <f t="shared" ca="1" si="25"/>
        <v>Defer receipts</v>
      </c>
    </row>
    <row r="826" spans="1:16" ht="13" customHeight="1" x14ac:dyDescent="0.35">
      <c r="A826" s="93">
        <v>49279</v>
      </c>
      <c r="B826" s="61" t="s">
        <v>58</v>
      </c>
      <c r="C826" s="12" t="str">
        <f>'Planning Engine'!C1542</f>
        <v>Raw Material</v>
      </c>
      <c r="D826" s="12" t="str">
        <f>'Planning Engine'!D1542</f>
        <v>kg</v>
      </c>
      <c r="E826" s="95">
        <f>'Planning Engine'!E1542</f>
        <v>106.67199999999997</v>
      </c>
      <c r="F826" s="95">
        <f>'Planning Engine'!F1542</f>
        <v>0</v>
      </c>
      <c r="G826" s="95">
        <f>'Planning Engine'!G1542</f>
        <v>0</v>
      </c>
      <c r="H826" s="95">
        <f t="shared" si="24"/>
        <v>0</v>
      </c>
      <c r="I826" s="95">
        <f>'Planning Engine'!H1542</f>
        <v>106.67199999999997</v>
      </c>
      <c r="J826" s="96">
        <f ca="1">'Planning Engine'!J1542</f>
        <v>999</v>
      </c>
      <c r="K826" s="95">
        <f ca="1">'Planning Engine'!K1542</f>
        <v>0</v>
      </c>
      <c r="L826" s="12" t="str">
        <f ca="1">'Planning Engine'!L1542</f>
        <v>Overstock</v>
      </c>
      <c r="M826" s="93">
        <f>'Planning Engine'!S1542</f>
        <v>49157</v>
      </c>
      <c r="N826" s="95">
        <f>'Planning Engine'!T1542</f>
        <v>0</v>
      </c>
      <c r="O826" s="94" t="s">
        <v>2574</v>
      </c>
      <c r="P826" s="12" t="str">
        <f t="shared" ca="1" si="25"/>
        <v>Defer receipts</v>
      </c>
    </row>
    <row r="827" spans="1:16" ht="13" customHeight="1" x14ac:dyDescent="0.35">
      <c r="A827" s="97">
        <v>49310</v>
      </c>
      <c r="B827" s="53" t="s">
        <v>58</v>
      </c>
      <c r="C827" s="12" t="str">
        <f>'Planning Engine'!C1543</f>
        <v>Raw Material</v>
      </c>
      <c r="D827" s="12" t="str">
        <f>'Planning Engine'!D1543</f>
        <v>kg</v>
      </c>
      <c r="E827" s="95">
        <f>'Planning Engine'!E1543</f>
        <v>106.67199999999997</v>
      </c>
      <c r="F827" s="95">
        <f>'Planning Engine'!F1543</f>
        <v>0</v>
      </c>
      <c r="G827" s="95">
        <f>'Planning Engine'!G1543</f>
        <v>0</v>
      </c>
      <c r="H827" s="99">
        <f t="shared" si="24"/>
        <v>0</v>
      </c>
      <c r="I827" s="95">
        <f>'Planning Engine'!H1543</f>
        <v>106.67199999999997</v>
      </c>
      <c r="J827" s="96">
        <f ca="1">'Planning Engine'!J1543</f>
        <v>999</v>
      </c>
      <c r="K827" s="95">
        <f ca="1">'Planning Engine'!K1543</f>
        <v>0</v>
      </c>
      <c r="L827" s="12" t="str">
        <f ca="1">'Planning Engine'!L1543</f>
        <v>Overstock</v>
      </c>
      <c r="M827" s="93">
        <f>'Planning Engine'!S1543</f>
        <v>49188</v>
      </c>
      <c r="N827" s="95">
        <f>'Planning Engine'!T1543</f>
        <v>0</v>
      </c>
      <c r="O827" s="98" t="s">
        <v>2575</v>
      </c>
      <c r="P827" s="4" t="str">
        <f t="shared" ca="1" si="25"/>
        <v>Defer receipts</v>
      </c>
    </row>
    <row r="828" spans="1:16" ht="13" customHeight="1" x14ac:dyDescent="0.35">
      <c r="A828" s="93">
        <v>49341</v>
      </c>
      <c r="B828" s="61" t="s">
        <v>58</v>
      </c>
      <c r="C828" s="12" t="str">
        <f>'Planning Engine'!C1544</f>
        <v>Raw Material</v>
      </c>
      <c r="D828" s="12" t="str">
        <f>'Planning Engine'!D1544</f>
        <v>kg</v>
      </c>
      <c r="E828" s="95">
        <f>'Planning Engine'!E1544</f>
        <v>106.67199999999997</v>
      </c>
      <c r="F828" s="95">
        <f>'Planning Engine'!F1544</f>
        <v>0</v>
      </c>
      <c r="G828" s="95">
        <f>'Planning Engine'!G1544</f>
        <v>0</v>
      </c>
      <c r="H828" s="95">
        <f t="shared" si="24"/>
        <v>0</v>
      </c>
      <c r="I828" s="95">
        <f>'Planning Engine'!H1544</f>
        <v>106.67199999999997</v>
      </c>
      <c r="J828" s="96">
        <f ca="1">'Planning Engine'!J1544</f>
        <v>999</v>
      </c>
      <c r="K828" s="95">
        <f ca="1">'Planning Engine'!K1544</f>
        <v>0</v>
      </c>
      <c r="L828" s="12" t="str">
        <f ca="1">'Planning Engine'!L1544</f>
        <v>Overstock</v>
      </c>
      <c r="M828" s="93">
        <f>'Planning Engine'!S1544</f>
        <v>49218</v>
      </c>
      <c r="N828" s="95">
        <f>'Planning Engine'!T1544</f>
        <v>0</v>
      </c>
      <c r="O828" s="94" t="s">
        <v>2576</v>
      </c>
      <c r="P828" s="12" t="str">
        <f t="shared" ca="1" si="25"/>
        <v>Defer receipts</v>
      </c>
    </row>
    <row r="829" spans="1:16" ht="13" customHeight="1" x14ac:dyDescent="0.35">
      <c r="A829" s="97">
        <v>49369</v>
      </c>
      <c r="B829" s="53" t="s">
        <v>58</v>
      </c>
      <c r="C829" s="12" t="str">
        <f>'Planning Engine'!C1545</f>
        <v>Raw Material</v>
      </c>
      <c r="D829" s="12" t="str">
        <f>'Planning Engine'!D1545</f>
        <v>kg</v>
      </c>
      <c r="E829" s="95">
        <f>'Planning Engine'!E1545</f>
        <v>106.67199999999997</v>
      </c>
      <c r="F829" s="95">
        <f>'Planning Engine'!F1545</f>
        <v>0</v>
      </c>
      <c r="G829" s="95">
        <f>'Planning Engine'!G1545</f>
        <v>0</v>
      </c>
      <c r="H829" s="99">
        <f t="shared" si="24"/>
        <v>0</v>
      </c>
      <c r="I829" s="95">
        <f>'Planning Engine'!H1545</f>
        <v>106.67199999999997</v>
      </c>
      <c r="J829" s="96">
        <f ca="1">'Planning Engine'!J1545</f>
        <v>999</v>
      </c>
      <c r="K829" s="95">
        <f ca="1">'Planning Engine'!K1545</f>
        <v>0</v>
      </c>
      <c r="L829" s="12" t="str">
        <f ca="1">'Planning Engine'!L1545</f>
        <v>Overstock</v>
      </c>
      <c r="M829" s="93">
        <f>'Planning Engine'!S1545</f>
        <v>49249</v>
      </c>
      <c r="N829" s="95">
        <f>'Planning Engine'!T1545</f>
        <v>0</v>
      </c>
      <c r="O829" s="98" t="s">
        <v>2577</v>
      </c>
      <c r="P829" s="4" t="str">
        <f t="shared" ca="1" si="25"/>
        <v>Defer receipts</v>
      </c>
    </row>
    <row r="830" spans="1:16" ht="13" customHeight="1" x14ac:dyDescent="0.35">
      <c r="A830" s="93">
        <v>49400</v>
      </c>
      <c r="B830" s="61" t="s">
        <v>58</v>
      </c>
      <c r="C830" s="12" t="str">
        <f>'Planning Engine'!C1546</f>
        <v>Raw Material</v>
      </c>
      <c r="D830" s="12" t="str">
        <f>'Planning Engine'!D1546</f>
        <v>kg</v>
      </c>
      <c r="E830" s="95">
        <f>'Planning Engine'!E1546</f>
        <v>106.67199999999997</v>
      </c>
      <c r="F830" s="95">
        <f>'Planning Engine'!F1546</f>
        <v>0</v>
      </c>
      <c r="G830" s="95">
        <f>'Planning Engine'!G1546</f>
        <v>0</v>
      </c>
      <c r="H830" s="95">
        <f t="shared" si="24"/>
        <v>0</v>
      </c>
      <c r="I830" s="95">
        <f>'Planning Engine'!H1546</f>
        <v>106.67199999999997</v>
      </c>
      <c r="J830" s="96">
        <f ca="1">'Planning Engine'!J1546</f>
        <v>999</v>
      </c>
      <c r="K830" s="95">
        <f ca="1">'Planning Engine'!K1546</f>
        <v>0</v>
      </c>
      <c r="L830" s="12" t="str">
        <f ca="1">'Planning Engine'!L1546</f>
        <v>Overstock</v>
      </c>
      <c r="M830" s="93">
        <f>'Planning Engine'!S1546</f>
        <v>49279</v>
      </c>
      <c r="N830" s="95">
        <f>'Planning Engine'!T1546</f>
        <v>0</v>
      </c>
      <c r="O830" s="94" t="s">
        <v>2578</v>
      </c>
      <c r="P830" s="12" t="str">
        <f t="shared" ca="1" si="25"/>
        <v>Defer receipts</v>
      </c>
    </row>
    <row r="831" spans="1:16" ht="13" customHeight="1" x14ac:dyDescent="0.35">
      <c r="A831" s="97">
        <v>49430</v>
      </c>
      <c r="B831" s="53" t="s">
        <v>58</v>
      </c>
      <c r="C831" s="12" t="str">
        <f>'Planning Engine'!C1547</f>
        <v>Raw Material</v>
      </c>
      <c r="D831" s="12" t="str">
        <f>'Planning Engine'!D1547</f>
        <v>kg</v>
      </c>
      <c r="E831" s="95">
        <f>'Planning Engine'!E1547</f>
        <v>106.67199999999997</v>
      </c>
      <c r="F831" s="95">
        <f>'Planning Engine'!F1547</f>
        <v>0</v>
      </c>
      <c r="G831" s="95">
        <f>'Planning Engine'!G1547</f>
        <v>0</v>
      </c>
      <c r="H831" s="99">
        <f t="shared" si="24"/>
        <v>0</v>
      </c>
      <c r="I831" s="95">
        <f>'Planning Engine'!H1547</f>
        <v>106.67199999999997</v>
      </c>
      <c r="J831" s="96">
        <f ca="1">'Planning Engine'!J1547</f>
        <v>999</v>
      </c>
      <c r="K831" s="95">
        <f ca="1">'Planning Engine'!K1547</f>
        <v>0</v>
      </c>
      <c r="L831" s="12" t="str">
        <f ca="1">'Planning Engine'!L1547</f>
        <v>Overstock</v>
      </c>
      <c r="M831" s="93">
        <f>'Planning Engine'!S1547</f>
        <v>49310</v>
      </c>
      <c r="N831" s="95">
        <f>'Planning Engine'!T1547</f>
        <v>0</v>
      </c>
      <c r="O831" s="98" t="s">
        <v>2579</v>
      </c>
      <c r="P831" s="4" t="str">
        <f t="shared" ca="1" si="25"/>
        <v>Defer receipts</v>
      </c>
    </row>
    <row r="832" spans="1:16" ht="13" customHeight="1" x14ac:dyDescent="0.35">
      <c r="A832" s="93">
        <v>49461</v>
      </c>
      <c r="B832" s="61" t="s">
        <v>58</v>
      </c>
      <c r="C832" s="12" t="str">
        <f>'Planning Engine'!C1548</f>
        <v>Raw Material</v>
      </c>
      <c r="D832" s="12" t="str">
        <f>'Planning Engine'!D1548</f>
        <v>kg</v>
      </c>
      <c r="E832" s="95">
        <f>'Planning Engine'!E1548</f>
        <v>106.67199999999997</v>
      </c>
      <c r="F832" s="95">
        <f>'Planning Engine'!F1548</f>
        <v>0</v>
      </c>
      <c r="G832" s="95">
        <f>'Planning Engine'!G1548</f>
        <v>0</v>
      </c>
      <c r="H832" s="95">
        <f t="shared" si="24"/>
        <v>0</v>
      </c>
      <c r="I832" s="95">
        <f>'Planning Engine'!H1548</f>
        <v>106.67199999999997</v>
      </c>
      <c r="J832" s="96">
        <f ca="1">'Planning Engine'!J1548</f>
        <v>999</v>
      </c>
      <c r="K832" s="95">
        <f ca="1">'Planning Engine'!K1548</f>
        <v>0</v>
      </c>
      <c r="L832" s="12" t="str">
        <f ca="1">'Planning Engine'!L1548</f>
        <v>Overstock</v>
      </c>
      <c r="M832" s="93">
        <f>'Planning Engine'!S1548</f>
        <v>49341</v>
      </c>
      <c r="N832" s="95">
        <f>'Planning Engine'!T1548</f>
        <v>0</v>
      </c>
      <c r="O832" s="94" t="s">
        <v>2580</v>
      </c>
      <c r="P832" s="12" t="str">
        <f t="shared" ca="1" si="25"/>
        <v>Defer receipts</v>
      </c>
    </row>
    <row r="833" spans="1:16" ht="13" customHeight="1" x14ac:dyDescent="0.35">
      <c r="A833" s="97">
        <v>49491</v>
      </c>
      <c r="B833" s="53" t="s">
        <v>58</v>
      </c>
      <c r="C833" s="12" t="str">
        <f>'Planning Engine'!C1549</f>
        <v>Raw Material</v>
      </c>
      <c r="D833" s="12" t="str">
        <f>'Planning Engine'!D1549</f>
        <v>kg</v>
      </c>
      <c r="E833" s="95">
        <f>'Planning Engine'!E1549</f>
        <v>106.67199999999997</v>
      </c>
      <c r="F833" s="95">
        <f>'Planning Engine'!F1549</f>
        <v>0</v>
      </c>
      <c r="G833" s="95">
        <f>'Planning Engine'!G1549</f>
        <v>0</v>
      </c>
      <c r="H833" s="99">
        <f t="shared" si="24"/>
        <v>0</v>
      </c>
      <c r="I833" s="95">
        <f>'Planning Engine'!H1549</f>
        <v>106.67199999999997</v>
      </c>
      <c r="J833" s="96">
        <f ca="1">'Planning Engine'!J1549</f>
        <v>999</v>
      </c>
      <c r="K833" s="95">
        <f ca="1">'Planning Engine'!K1549</f>
        <v>0</v>
      </c>
      <c r="L833" s="12" t="str">
        <f ca="1">'Planning Engine'!L1549</f>
        <v>Overstock</v>
      </c>
      <c r="M833" s="93">
        <f>'Planning Engine'!S1549</f>
        <v>49369</v>
      </c>
      <c r="N833" s="95">
        <f>'Planning Engine'!T1549</f>
        <v>0</v>
      </c>
      <c r="O833" s="98" t="s">
        <v>2581</v>
      </c>
      <c r="P833" s="4" t="str">
        <f t="shared" ca="1" si="25"/>
        <v>Defer receipts</v>
      </c>
    </row>
    <row r="834" spans="1:16" ht="13" customHeight="1" x14ac:dyDescent="0.35">
      <c r="A834" s="93">
        <v>49522</v>
      </c>
      <c r="B834" s="61" t="s">
        <v>58</v>
      </c>
      <c r="C834" s="12" t="str">
        <f>'Planning Engine'!C1550</f>
        <v>Raw Material</v>
      </c>
      <c r="D834" s="12" t="str">
        <f>'Planning Engine'!D1550</f>
        <v>kg</v>
      </c>
      <c r="E834" s="95">
        <f>'Planning Engine'!E1550</f>
        <v>106.67199999999997</v>
      </c>
      <c r="F834" s="95">
        <f>'Planning Engine'!F1550</f>
        <v>0</v>
      </c>
      <c r="G834" s="95">
        <f>'Planning Engine'!G1550</f>
        <v>0</v>
      </c>
      <c r="H834" s="95">
        <f t="shared" si="24"/>
        <v>0</v>
      </c>
      <c r="I834" s="95">
        <f>'Planning Engine'!H1550</f>
        <v>106.67199999999997</v>
      </c>
      <c r="J834" s="96">
        <f ca="1">'Planning Engine'!J1550</f>
        <v>999</v>
      </c>
      <c r="K834" s="95">
        <f ca="1">'Planning Engine'!K1550</f>
        <v>0</v>
      </c>
      <c r="L834" s="12" t="str">
        <f ca="1">'Planning Engine'!L1550</f>
        <v>Overstock</v>
      </c>
      <c r="M834" s="93">
        <f>'Planning Engine'!S1550</f>
        <v>49400</v>
      </c>
      <c r="N834" s="95">
        <f>'Planning Engine'!T1550</f>
        <v>0</v>
      </c>
      <c r="O834" s="94" t="s">
        <v>2582</v>
      </c>
      <c r="P834" s="12" t="str">
        <f t="shared" ca="1" si="25"/>
        <v>Defer receipts</v>
      </c>
    </row>
    <row r="835" spans="1:16" ht="13" customHeight="1" x14ac:dyDescent="0.35">
      <c r="A835" s="97">
        <v>49553</v>
      </c>
      <c r="B835" s="53" t="s">
        <v>58</v>
      </c>
      <c r="C835" s="12" t="str">
        <f>'Planning Engine'!C1551</f>
        <v>Raw Material</v>
      </c>
      <c r="D835" s="12" t="str">
        <f>'Planning Engine'!D1551</f>
        <v>kg</v>
      </c>
      <c r="E835" s="95">
        <f>'Planning Engine'!E1551</f>
        <v>106.67199999999997</v>
      </c>
      <c r="F835" s="95">
        <f>'Planning Engine'!F1551</f>
        <v>0</v>
      </c>
      <c r="G835" s="95">
        <f>'Planning Engine'!G1551</f>
        <v>0</v>
      </c>
      <c r="H835" s="99">
        <f t="shared" si="24"/>
        <v>0</v>
      </c>
      <c r="I835" s="95">
        <f>'Planning Engine'!H1551</f>
        <v>106.67199999999997</v>
      </c>
      <c r="J835" s="96">
        <f ca="1">'Planning Engine'!J1551</f>
        <v>999</v>
      </c>
      <c r="K835" s="95">
        <f ca="1">'Planning Engine'!K1551</f>
        <v>0</v>
      </c>
      <c r="L835" s="12" t="str">
        <f ca="1">'Planning Engine'!L1551</f>
        <v>Overstock</v>
      </c>
      <c r="M835" s="93">
        <f>'Planning Engine'!S1551</f>
        <v>49430</v>
      </c>
      <c r="N835" s="95">
        <f>'Planning Engine'!T1551</f>
        <v>0</v>
      </c>
      <c r="O835" s="98" t="s">
        <v>2583</v>
      </c>
      <c r="P835" s="4" t="str">
        <f t="shared" ca="1" si="25"/>
        <v>Defer receipts</v>
      </c>
    </row>
    <row r="836" spans="1:16" ht="13" customHeight="1" x14ac:dyDescent="0.35">
      <c r="A836" s="93">
        <v>49583</v>
      </c>
      <c r="B836" s="61" t="s">
        <v>58</v>
      </c>
      <c r="C836" s="12" t="str">
        <f>'Planning Engine'!C1552</f>
        <v>Raw Material</v>
      </c>
      <c r="D836" s="12" t="str">
        <f>'Planning Engine'!D1552</f>
        <v>kg</v>
      </c>
      <c r="E836" s="95">
        <f>'Planning Engine'!E1552</f>
        <v>106.67199999999997</v>
      </c>
      <c r="F836" s="95">
        <f>'Planning Engine'!F1552</f>
        <v>0</v>
      </c>
      <c r="G836" s="95">
        <f>'Planning Engine'!G1552</f>
        <v>0</v>
      </c>
      <c r="H836" s="95">
        <f t="shared" ref="H836:H899" si="26">G836-F836</f>
        <v>0</v>
      </c>
      <c r="I836" s="95">
        <f>'Planning Engine'!H1552</f>
        <v>106.67199999999997</v>
      </c>
      <c r="J836" s="96">
        <f ca="1">'Planning Engine'!J1552</f>
        <v>999</v>
      </c>
      <c r="K836" s="95">
        <f ca="1">'Planning Engine'!K1552</f>
        <v>0</v>
      </c>
      <c r="L836" s="12" t="str">
        <f ca="1">'Planning Engine'!L1552</f>
        <v>Overstock</v>
      </c>
      <c r="M836" s="93">
        <f>'Planning Engine'!S1552</f>
        <v>49461</v>
      </c>
      <c r="N836" s="95">
        <f>'Planning Engine'!T1552</f>
        <v>0</v>
      </c>
      <c r="O836" s="94" t="s">
        <v>2584</v>
      </c>
      <c r="P836" s="12" t="str">
        <f t="shared" ref="P836:P899" ca="1" si="27">IFERROR(IF(L836="High","⚠ Expedite / qualify alternate source",IF(L836="Medium","Monitor — plan additional POs",IF(L836="Overstock","Defer receipts","OK"))),"--")</f>
        <v>Defer receipts</v>
      </c>
    </row>
    <row r="837" spans="1:16" ht="13" customHeight="1" x14ac:dyDescent="0.35">
      <c r="A837" s="97">
        <v>49614</v>
      </c>
      <c r="B837" s="53" t="s">
        <v>58</v>
      </c>
      <c r="C837" s="12" t="str">
        <f>'Planning Engine'!C1553</f>
        <v>Raw Material</v>
      </c>
      <c r="D837" s="12" t="str">
        <f>'Planning Engine'!D1553</f>
        <v>kg</v>
      </c>
      <c r="E837" s="95">
        <f>'Planning Engine'!E1553</f>
        <v>106.67199999999997</v>
      </c>
      <c r="F837" s="95">
        <f>'Planning Engine'!F1553</f>
        <v>0</v>
      </c>
      <c r="G837" s="95">
        <f>'Planning Engine'!G1553</f>
        <v>0</v>
      </c>
      <c r="H837" s="99">
        <f t="shared" si="26"/>
        <v>0</v>
      </c>
      <c r="I837" s="95">
        <f>'Planning Engine'!H1553</f>
        <v>106.67199999999997</v>
      </c>
      <c r="J837" s="96">
        <f ca="1">'Planning Engine'!J1553</f>
        <v>999</v>
      </c>
      <c r="K837" s="95">
        <f ca="1">'Planning Engine'!K1553</f>
        <v>0</v>
      </c>
      <c r="L837" s="12" t="str">
        <f ca="1">'Planning Engine'!L1553</f>
        <v>Overstock</v>
      </c>
      <c r="M837" s="93">
        <f>'Planning Engine'!S1553</f>
        <v>49491</v>
      </c>
      <c r="N837" s="95">
        <f>'Planning Engine'!T1553</f>
        <v>0</v>
      </c>
      <c r="O837" s="98" t="s">
        <v>2585</v>
      </c>
      <c r="P837" s="4" t="str">
        <f t="shared" ca="1" si="27"/>
        <v>Defer receipts</v>
      </c>
    </row>
    <row r="838" spans="1:16" ht="13" customHeight="1" x14ac:dyDescent="0.35">
      <c r="A838" s="93">
        <v>49644</v>
      </c>
      <c r="B838" s="61" t="s">
        <v>58</v>
      </c>
      <c r="C838" s="12" t="str">
        <f>'Planning Engine'!C1554</f>
        <v>Raw Material</v>
      </c>
      <c r="D838" s="12" t="str">
        <f>'Planning Engine'!D1554</f>
        <v>kg</v>
      </c>
      <c r="E838" s="95">
        <f>'Planning Engine'!E1554</f>
        <v>106.67199999999997</v>
      </c>
      <c r="F838" s="95">
        <f>'Planning Engine'!F1554</f>
        <v>0</v>
      </c>
      <c r="G838" s="95">
        <f>'Planning Engine'!G1554</f>
        <v>0</v>
      </c>
      <c r="H838" s="95">
        <f t="shared" si="26"/>
        <v>0</v>
      </c>
      <c r="I838" s="95">
        <f>'Planning Engine'!H1554</f>
        <v>106.67199999999997</v>
      </c>
      <c r="J838" s="96">
        <f ca="1">'Planning Engine'!J1554</f>
        <v>999</v>
      </c>
      <c r="K838" s="95">
        <f ca="1">'Planning Engine'!K1554</f>
        <v>0</v>
      </c>
      <c r="L838" s="12" t="str">
        <f ca="1">'Planning Engine'!L1554</f>
        <v>Overstock</v>
      </c>
      <c r="M838" s="93">
        <f>'Planning Engine'!S1554</f>
        <v>49522</v>
      </c>
      <c r="N838" s="95">
        <f>'Planning Engine'!T1554</f>
        <v>0</v>
      </c>
      <c r="O838" s="94" t="s">
        <v>2586</v>
      </c>
      <c r="P838" s="12" t="str">
        <f t="shared" ca="1" si="27"/>
        <v>Defer receipts</v>
      </c>
    </row>
    <row r="839" spans="1:16" ht="13" customHeight="1" x14ac:dyDescent="0.35">
      <c r="A839" s="97">
        <v>49675</v>
      </c>
      <c r="B839" s="53" t="s">
        <v>58</v>
      </c>
      <c r="C839" s="12" t="str">
        <f>'Planning Engine'!C1555</f>
        <v>Raw Material</v>
      </c>
      <c r="D839" s="12" t="str">
        <f>'Planning Engine'!D1555</f>
        <v>kg</v>
      </c>
      <c r="E839" s="95">
        <f>'Planning Engine'!E1555</f>
        <v>106.67199999999997</v>
      </c>
      <c r="F839" s="95">
        <f>'Planning Engine'!F1555</f>
        <v>0</v>
      </c>
      <c r="G839" s="95">
        <f>'Planning Engine'!G1555</f>
        <v>0</v>
      </c>
      <c r="H839" s="99">
        <f t="shared" si="26"/>
        <v>0</v>
      </c>
      <c r="I839" s="95">
        <f>'Planning Engine'!H1555</f>
        <v>106.67199999999997</v>
      </c>
      <c r="J839" s="96">
        <f ca="1">'Planning Engine'!J1555</f>
        <v>999</v>
      </c>
      <c r="K839" s="95">
        <f ca="1">'Planning Engine'!K1555</f>
        <v>0</v>
      </c>
      <c r="L839" s="12" t="str">
        <f ca="1">'Planning Engine'!L1555</f>
        <v>Overstock</v>
      </c>
      <c r="M839" s="93">
        <f>'Planning Engine'!S1555</f>
        <v>49553</v>
      </c>
      <c r="N839" s="95">
        <f>'Planning Engine'!T1555</f>
        <v>0</v>
      </c>
      <c r="O839" s="98" t="s">
        <v>2587</v>
      </c>
      <c r="P839" s="4" t="str">
        <f t="shared" ca="1" si="27"/>
        <v>Defer receipts</v>
      </c>
    </row>
    <row r="840" spans="1:16" ht="13" customHeight="1" x14ac:dyDescent="0.35">
      <c r="A840" s="93">
        <v>49706</v>
      </c>
      <c r="B840" s="61" t="s">
        <v>58</v>
      </c>
      <c r="C840" s="12" t="str">
        <f>'Planning Engine'!C1556</f>
        <v>Raw Material</v>
      </c>
      <c r="D840" s="12" t="str">
        <f>'Planning Engine'!D1556</f>
        <v>kg</v>
      </c>
      <c r="E840" s="95">
        <f>'Planning Engine'!E1556</f>
        <v>106.67199999999997</v>
      </c>
      <c r="F840" s="95">
        <f>'Planning Engine'!F1556</f>
        <v>0</v>
      </c>
      <c r="G840" s="95">
        <f>'Planning Engine'!G1556</f>
        <v>0</v>
      </c>
      <c r="H840" s="95">
        <f t="shared" si="26"/>
        <v>0</v>
      </c>
      <c r="I840" s="95">
        <f>'Planning Engine'!H1556</f>
        <v>106.67199999999997</v>
      </c>
      <c r="J840" s="96">
        <f ca="1">'Planning Engine'!J1556</f>
        <v>999</v>
      </c>
      <c r="K840" s="95">
        <f ca="1">'Planning Engine'!K1556</f>
        <v>0</v>
      </c>
      <c r="L840" s="12" t="str">
        <f ca="1">'Planning Engine'!L1556</f>
        <v>Overstock</v>
      </c>
      <c r="M840" s="93">
        <f>'Planning Engine'!S1556</f>
        <v>49583</v>
      </c>
      <c r="N840" s="95">
        <f>'Planning Engine'!T1556</f>
        <v>0</v>
      </c>
      <c r="O840" s="94" t="s">
        <v>2588</v>
      </c>
      <c r="P840" s="12" t="str">
        <f t="shared" ca="1" si="27"/>
        <v>Defer receipts</v>
      </c>
    </row>
    <row r="841" spans="1:16" ht="13" customHeight="1" x14ac:dyDescent="0.35">
      <c r="A841" s="97">
        <v>49735</v>
      </c>
      <c r="B841" s="53" t="s">
        <v>58</v>
      </c>
      <c r="C841" s="12" t="str">
        <f>'Planning Engine'!C1557</f>
        <v>Raw Material</v>
      </c>
      <c r="D841" s="12" t="str">
        <f>'Planning Engine'!D1557</f>
        <v>kg</v>
      </c>
      <c r="E841" s="95">
        <f>'Planning Engine'!E1557</f>
        <v>106.67199999999997</v>
      </c>
      <c r="F841" s="95">
        <f>'Planning Engine'!F1557</f>
        <v>0</v>
      </c>
      <c r="G841" s="95">
        <f>'Planning Engine'!G1557</f>
        <v>0</v>
      </c>
      <c r="H841" s="99">
        <f t="shared" si="26"/>
        <v>0</v>
      </c>
      <c r="I841" s="95">
        <f>'Planning Engine'!H1557</f>
        <v>106.67199999999997</v>
      </c>
      <c r="J841" s="96">
        <f ca="1">'Planning Engine'!J1557</f>
        <v>999</v>
      </c>
      <c r="K841" s="95">
        <f ca="1">'Planning Engine'!K1557</f>
        <v>0</v>
      </c>
      <c r="L841" s="12" t="str">
        <f ca="1">'Planning Engine'!L1557</f>
        <v>Overstock</v>
      </c>
      <c r="M841" s="93">
        <f>'Planning Engine'!S1557</f>
        <v>49614</v>
      </c>
      <c r="N841" s="95">
        <f>'Planning Engine'!T1557</f>
        <v>0</v>
      </c>
      <c r="O841" s="98" t="s">
        <v>2589</v>
      </c>
      <c r="P841" s="4" t="str">
        <f t="shared" ca="1" si="27"/>
        <v>Defer receipts</v>
      </c>
    </row>
    <row r="842" spans="1:16" ht="13" customHeight="1" x14ac:dyDescent="0.35">
      <c r="A842" s="93">
        <v>49766</v>
      </c>
      <c r="B842" s="61" t="s">
        <v>58</v>
      </c>
      <c r="C842" s="12" t="str">
        <f>'Planning Engine'!C1558</f>
        <v>Raw Material</v>
      </c>
      <c r="D842" s="12" t="str">
        <f>'Planning Engine'!D1558</f>
        <v>kg</v>
      </c>
      <c r="E842" s="95">
        <f>'Planning Engine'!E1558</f>
        <v>106.67199999999997</v>
      </c>
      <c r="F842" s="95">
        <f>'Planning Engine'!F1558</f>
        <v>0</v>
      </c>
      <c r="G842" s="95">
        <f>'Planning Engine'!G1558</f>
        <v>0</v>
      </c>
      <c r="H842" s="95">
        <f t="shared" si="26"/>
        <v>0</v>
      </c>
      <c r="I842" s="95">
        <f>'Planning Engine'!H1558</f>
        <v>106.67199999999997</v>
      </c>
      <c r="J842" s="96">
        <f ca="1">'Planning Engine'!J1558</f>
        <v>999</v>
      </c>
      <c r="K842" s="95">
        <f ca="1">'Planning Engine'!K1558</f>
        <v>0</v>
      </c>
      <c r="L842" s="12" t="str">
        <f ca="1">'Planning Engine'!L1558</f>
        <v>Overstock</v>
      </c>
      <c r="M842" s="93">
        <f>'Planning Engine'!S1558</f>
        <v>49644</v>
      </c>
      <c r="N842" s="95">
        <f>'Planning Engine'!T1558</f>
        <v>0</v>
      </c>
      <c r="O842" s="94" t="s">
        <v>2590</v>
      </c>
      <c r="P842" s="12" t="str">
        <f t="shared" ca="1" si="27"/>
        <v>Defer receipts</v>
      </c>
    </row>
    <row r="843" spans="1:16" ht="13" customHeight="1" x14ac:dyDescent="0.35">
      <c r="A843" s="97">
        <v>49796</v>
      </c>
      <c r="B843" s="53" t="s">
        <v>58</v>
      </c>
      <c r="C843" s="12" t="str">
        <f>'Planning Engine'!C1559</f>
        <v>Raw Material</v>
      </c>
      <c r="D843" s="12" t="str">
        <f>'Planning Engine'!D1559</f>
        <v>kg</v>
      </c>
      <c r="E843" s="95">
        <f>'Planning Engine'!E1559</f>
        <v>106.67199999999997</v>
      </c>
      <c r="F843" s="95">
        <f>'Planning Engine'!F1559</f>
        <v>0</v>
      </c>
      <c r="G843" s="95">
        <f>'Planning Engine'!G1559</f>
        <v>0</v>
      </c>
      <c r="H843" s="99">
        <f t="shared" si="26"/>
        <v>0</v>
      </c>
      <c r="I843" s="95">
        <f>'Planning Engine'!H1559</f>
        <v>106.67199999999997</v>
      </c>
      <c r="J843" s="96">
        <f ca="1">'Planning Engine'!J1559</f>
        <v>999</v>
      </c>
      <c r="K843" s="95">
        <f ca="1">'Planning Engine'!K1559</f>
        <v>0</v>
      </c>
      <c r="L843" s="12" t="str">
        <f ca="1">'Planning Engine'!L1559</f>
        <v>Overstock</v>
      </c>
      <c r="M843" s="93">
        <f>'Planning Engine'!S1559</f>
        <v>49675</v>
      </c>
      <c r="N843" s="95">
        <f>'Planning Engine'!T1559</f>
        <v>0</v>
      </c>
      <c r="O843" s="98" t="s">
        <v>2591</v>
      </c>
      <c r="P843" s="4" t="str">
        <f t="shared" ca="1" si="27"/>
        <v>Defer receipts</v>
      </c>
    </row>
    <row r="844" spans="1:16" ht="13" customHeight="1" x14ac:dyDescent="0.35">
      <c r="A844" s="93">
        <v>49827</v>
      </c>
      <c r="B844" s="61" t="s">
        <v>58</v>
      </c>
      <c r="C844" s="12" t="str">
        <f>'Planning Engine'!C1560</f>
        <v>Raw Material</v>
      </c>
      <c r="D844" s="12" t="str">
        <f>'Planning Engine'!D1560</f>
        <v>kg</v>
      </c>
      <c r="E844" s="95">
        <f>'Planning Engine'!E1560</f>
        <v>106.67199999999997</v>
      </c>
      <c r="F844" s="95">
        <f>'Planning Engine'!F1560</f>
        <v>0</v>
      </c>
      <c r="G844" s="95">
        <f>'Planning Engine'!G1560</f>
        <v>0</v>
      </c>
      <c r="H844" s="95">
        <f t="shared" si="26"/>
        <v>0</v>
      </c>
      <c r="I844" s="95">
        <f>'Planning Engine'!H1560</f>
        <v>106.67199999999997</v>
      </c>
      <c r="J844" s="96">
        <f ca="1">'Planning Engine'!J1560</f>
        <v>999</v>
      </c>
      <c r="K844" s="95">
        <f ca="1">'Planning Engine'!K1560</f>
        <v>0</v>
      </c>
      <c r="L844" s="12" t="str">
        <f ca="1">'Planning Engine'!L1560</f>
        <v>Overstock</v>
      </c>
      <c r="M844" s="93">
        <f>'Planning Engine'!S1560</f>
        <v>49706</v>
      </c>
      <c r="N844" s="95">
        <f>'Planning Engine'!T1560</f>
        <v>0</v>
      </c>
      <c r="O844" s="94" t="s">
        <v>2592</v>
      </c>
      <c r="P844" s="12" t="str">
        <f t="shared" ca="1" si="27"/>
        <v>Defer receipts</v>
      </c>
    </row>
    <row r="845" spans="1:16" ht="13" customHeight="1" x14ac:dyDescent="0.35">
      <c r="A845" s="97">
        <v>49857</v>
      </c>
      <c r="B845" s="53" t="s">
        <v>58</v>
      </c>
      <c r="C845" s="12" t="str">
        <f>'Planning Engine'!C1561</f>
        <v>Raw Material</v>
      </c>
      <c r="D845" s="12" t="str">
        <f>'Planning Engine'!D1561</f>
        <v>kg</v>
      </c>
      <c r="E845" s="95">
        <f>'Planning Engine'!E1561</f>
        <v>106.67199999999997</v>
      </c>
      <c r="F845" s="95">
        <f>'Planning Engine'!F1561</f>
        <v>0</v>
      </c>
      <c r="G845" s="95">
        <f>'Planning Engine'!G1561</f>
        <v>0</v>
      </c>
      <c r="H845" s="99">
        <f t="shared" si="26"/>
        <v>0</v>
      </c>
      <c r="I845" s="95">
        <f>'Planning Engine'!H1561</f>
        <v>106.67199999999997</v>
      </c>
      <c r="J845" s="96">
        <f ca="1">'Planning Engine'!J1561</f>
        <v>999</v>
      </c>
      <c r="K845" s="95">
        <f ca="1">'Planning Engine'!K1561</f>
        <v>0</v>
      </c>
      <c r="L845" s="12" t="str">
        <f ca="1">'Planning Engine'!L1561</f>
        <v>Overstock</v>
      </c>
      <c r="M845" s="93">
        <f>'Planning Engine'!S1561</f>
        <v>49735</v>
      </c>
      <c r="N845" s="95">
        <f>'Planning Engine'!T1561</f>
        <v>0</v>
      </c>
      <c r="O845" s="98" t="s">
        <v>2593</v>
      </c>
      <c r="P845" s="4" t="str">
        <f t="shared" ca="1" si="27"/>
        <v>Defer receipts</v>
      </c>
    </row>
    <row r="846" spans="1:16" ht="13" customHeight="1" x14ac:dyDescent="0.35">
      <c r="A846" s="93">
        <v>49888</v>
      </c>
      <c r="B846" s="61" t="s">
        <v>58</v>
      </c>
      <c r="C846" s="12" t="str">
        <f>'Planning Engine'!C1562</f>
        <v>Raw Material</v>
      </c>
      <c r="D846" s="12" t="str">
        <f>'Planning Engine'!D1562</f>
        <v>kg</v>
      </c>
      <c r="E846" s="95">
        <f>'Planning Engine'!E1562</f>
        <v>106.67199999999997</v>
      </c>
      <c r="F846" s="95">
        <f>'Planning Engine'!F1562</f>
        <v>0</v>
      </c>
      <c r="G846" s="95">
        <f>'Planning Engine'!G1562</f>
        <v>0</v>
      </c>
      <c r="H846" s="95">
        <f t="shared" si="26"/>
        <v>0</v>
      </c>
      <c r="I846" s="95">
        <f>'Planning Engine'!H1562</f>
        <v>106.67199999999997</v>
      </c>
      <c r="J846" s="96">
        <f ca="1">'Planning Engine'!J1562</f>
        <v>999</v>
      </c>
      <c r="K846" s="95">
        <f ca="1">'Planning Engine'!K1562</f>
        <v>0</v>
      </c>
      <c r="L846" s="12" t="str">
        <f ca="1">'Planning Engine'!L1562</f>
        <v>Overstock</v>
      </c>
      <c r="M846" s="93">
        <f>'Planning Engine'!S1562</f>
        <v>49766</v>
      </c>
      <c r="N846" s="95">
        <f>'Planning Engine'!T1562</f>
        <v>0</v>
      </c>
      <c r="O846" s="94" t="s">
        <v>2594</v>
      </c>
      <c r="P846" s="12" t="str">
        <f t="shared" ca="1" si="27"/>
        <v>Defer receipts</v>
      </c>
    </row>
    <row r="847" spans="1:16" ht="13" customHeight="1" x14ac:dyDescent="0.35">
      <c r="A847" s="97">
        <v>49919</v>
      </c>
      <c r="B847" s="53" t="s">
        <v>58</v>
      </c>
      <c r="C847" s="12" t="str">
        <f>'Planning Engine'!C1563</f>
        <v>Raw Material</v>
      </c>
      <c r="D847" s="12" t="str">
        <f>'Planning Engine'!D1563</f>
        <v>kg</v>
      </c>
      <c r="E847" s="95">
        <f>'Planning Engine'!E1563</f>
        <v>106.67199999999997</v>
      </c>
      <c r="F847" s="95">
        <f>'Planning Engine'!F1563</f>
        <v>0</v>
      </c>
      <c r="G847" s="95">
        <f>'Planning Engine'!G1563</f>
        <v>0</v>
      </c>
      <c r="H847" s="99">
        <f t="shared" si="26"/>
        <v>0</v>
      </c>
      <c r="I847" s="95">
        <f>'Planning Engine'!H1563</f>
        <v>106.67199999999997</v>
      </c>
      <c r="J847" s="96">
        <f ca="1">'Planning Engine'!J1563</f>
        <v>999</v>
      </c>
      <c r="K847" s="95">
        <f ca="1">'Planning Engine'!K1563</f>
        <v>0</v>
      </c>
      <c r="L847" s="12" t="str">
        <f ca="1">'Planning Engine'!L1563</f>
        <v>Overstock</v>
      </c>
      <c r="M847" s="93">
        <f>'Planning Engine'!S1563</f>
        <v>49796</v>
      </c>
      <c r="N847" s="95">
        <f>'Planning Engine'!T1563</f>
        <v>0</v>
      </c>
      <c r="O847" s="98" t="s">
        <v>2595</v>
      </c>
      <c r="P847" s="4" t="str">
        <f t="shared" ca="1" si="27"/>
        <v>Defer receipts</v>
      </c>
    </row>
    <row r="848" spans="1:16" ht="13" customHeight="1" x14ac:dyDescent="0.35">
      <c r="A848" s="93">
        <v>49949</v>
      </c>
      <c r="B848" s="61" t="s">
        <v>58</v>
      </c>
      <c r="C848" s="12" t="str">
        <f>'Planning Engine'!C1564</f>
        <v>Raw Material</v>
      </c>
      <c r="D848" s="12" t="str">
        <f>'Planning Engine'!D1564</f>
        <v>kg</v>
      </c>
      <c r="E848" s="95">
        <f>'Planning Engine'!E1564</f>
        <v>106.67199999999997</v>
      </c>
      <c r="F848" s="95">
        <f>'Planning Engine'!F1564</f>
        <v>0</v>
      </c>
      <c r="G848" s="95">
        <f>'Planning Engine'!G1564</f>
        <v>0</v>
      </c>
      <c r="H848" s="95">
        <f t="shared" si="26"/>
        <v>0</v>
      </c>
      <c r="I848" s="95">
        <f>'Planning Engine'!H1564</f>
        <v>106.67199999999997</v>
      </c>
      <c r="J848" s="96">
        <f ca="1">'Planning Engine'!J1564</f>
        <v>999</v>
      </c>
      <c r="K848" s="95">
        <f ca="1">'Planning Engine'!K1564</f>
        <v>0</v>
      </c>
      <c r="L848" s="12" t="str">
        <f ca="1">'Planning Engine'!L1564</f>
        <v>Overstock</v>
      </c>
      <c r="M848" s="93">
        <f>'Planning Engine'!S1564</f>
        <v>49827</v>
      </c>
      <c r="N848" s="95">
        <f>'Planning Engine'!T1564</f>
        <v>0</v>
      </c>
      <c r="O848" s="94" t="s">
        <v>2596</v>
      </c>
      <c r="P848" s="12" t="str">
        <f t="shared" ca="1" si="27"/>
        <v>Defer receipts</v>
      </c>
    </row>
    <row r="849" spans="1:16" ht="13" customHeight="1" x14ac:dyDescent="0.35">
      <c r="A849" s="97">
        <v>49980</v>
      </c>
      <c r="B849" s="53" t="s">
        <v>58</v>
      </c>
      <c r="C849" s="12" t="str">
        <f>'Planning Engine'!C1565</f>
        <v>Raw Material</v>
      </c>
      <c r="D849" s="12" t="str">
        <f>'Planning Engine'!D1565</f>
        <v>kg</v>
      </c>
      <c r="E849" s="95">
        <f>'Planning Engine'!E1565</f>
        <v>106.67199999999997</v>
      </c>
      <c r="F849" s="95">
        <f>'Planning Engine'!F1565</f>
        <v>0</v>
      </c>
      <c r="G849" s="95">
        <f>'Planning Engine'!G1565</f>
        <v>0</v>
      </c>
      <c r="H849" s="99">
        <f t="shared" si="26"/>
        <v>0</v>
      </c>
      <c r="I849" s="95">
        <f>'Planning Engine'!H1565</f>
        <v>106.67199999999997</v>
      </c>
      <c r="J849" s="96">
        <f ca="1">'Planning Engine'!J1565</f>
        <v>999</v>
      </c>
      <c r="K849" s="95">
        <f ca="1">'Planning Engine'!K1565</f>
        <v>0</v>
      </c>
      <c r="L849" s="12" t="str">
        <f ca="1">'Planning Engine'!L1565</f>
        <v>Overstock</v>
      </c>
      <c r="M849" s="93">
        <f>'Planning Engine'!S1565</f>
        <v>49857</v>
      </c>
      <c r="N849" s="95">
        <f>'Planning Engine'!T1565</f>
        <v>0</v>
      </c>
      <c r="O849" s="98" t="s">
        <v>2597</v>
      </c>
      <c r="P849" s="4" t="str">
        <f t="shared" ca="1" si="27"/>
        <v>Defer receipts</v>
      </c>
    </row>
    <row r="850" spans="1:16" ht="13" customHeight="1" x14ac:dyDescent="0.35">
      <c r="A850" s="93">
        <v>50010</v>
      </c>
      <c r="B850" s="61" t="s">
        <v>58</v>
      </c>
      <c r="C850" s="12" t="str">
        <f>'Planning Engine'!C1566</f>
        <v>Raw Material</v>
      </c>
      <c r="D850" s="12" t="str">
        <f>'Planning Engine'!D1566</f>
        <v>kg</v>
      </c>
      <c r="E850" s="95">
        <f>'Planning Engine'!E1566</f>
        <v>106.67199999999997</v>
      </c>
      <c r="F850" s="95">
        <f>'Planning Engine'!F1566</f>
        <v>0</v>
      </c>
      <c r="G850" s="95">
        <f>'Planning Engine'!G1566</f>
        <v>0</v>
      </c>
      <c r="H850" s="95">
        <f t="shared" si="26"/>
        <v>0</v>
      </c>
      <c r="I850" s="95">
        <f>'Planning Engine'!H1566</f>
        <v>106.67199999999997</v>
      </c>
      <c r="J850" s="96">
        <f ca="1">'Planning Engine'!J1566</f>
        <v>999</v>
      </c>
      <c r="K850" s="95">
        <f ca="1">'Planning Engine'!K1566</f>
        <v>0</v>
      </c>
      <c r="L850" s="12" t="str">
        <f ca="1">'Planning Engine'!L1566</f>
        <v>Overstock</v>
      </c>
      <c r="M850" s="93">
        <f>'Planning Engine'!S1566</f>
        <v>49888</v>
      </c>
      <c r="N850" s="95">
        <f>'Planning Engine'!T1566</f>
        <v>0</v>
      </c>
      <c r="O850" s="94" t="s">
        <v>2598</v>
      </c>
      <c r="P850" s="12" t="str">
        <f t="shared" ca="1" si="27"/>
        <v>Defer receipts</v>
      </c>
    </row>
    <row r="851" spans="1:16" ht="13" customHeight="1" x14ac:dyDescent="0.35">
      <c r="A851" s="97">
        <v>50041</v>
      </c>
      <c r="B851" s="53" t="s">
        <v>58</v>
      </c>
      <c r="C851" s="12" t="str">
        <f>'Planning Engine'!C1567</f>
        <v>Raw Material</v>
      </c>
      <c r="D851" s="12" t="str">
        <f>'Planning Engine'!D1567</f>
        <v>kg</v>
      </c>
      <c r="E851" s="95">
        <f>'Planning Engine'!E1567</f>
        <v>106.67199999999997</v>
      </c>
      <c r="F851" s="95">
        <f>'Planning Engine'!F1567</f>
        <v>0</v>
      </c>
      <c r="G851" s="95">
        <f>'Planning Engine'!G1567</f>
        <v>0</v>
      </c>
      <c r="H851" s="99">
        <f t="shared" si="26"/>
        <v>0</v>
      </c>
      <c r="I851" s="95">
        <f>'Planning Engine'!H1567</f>
        <v>106.67199999999997</v>
      </c>
      <c r="J851" s="96">
        <f ca="1">'Planning Engine'!J1567</f>
        <v>999</v>
      </c>
      <c r="K851" s="95">
        <f ca="1">'Planning Engine'!K1567</f>
        <v>0</v>
      </c>
      <c r="L851" s="12" t="str">
        <f ca="1">'Planning Engine'!L1567</f>
        <v>Overstock</v>
      </c>
      <c r="M851" s="93">
        <f>'Planning Engine'!S1567</f>
        <v>49919</v>
      </c>
      <c r="N851" s="95">
        <f>'Planning Engine'!T1567</f>
        <v>0</v>
      </c>
      <c r="O851" s="98" t="s">
        <v>2599</v>
      </c>
      <c r="P851" s="4" t="str">
        <f t="shared" ca="1" si="27"/>
        <v>Defer receipts</v>
      </c>
    </row>
    <row r="852" spans="1:16" ht="13" customHeight="1" x14ac:dyDescent="0.35">
      <c r="A852" s="93">
        <v>50072</v>
      </c>
      <c r="B852" s="61" t="s">
        <v>58</v>
      </c>
      <c r="C852" s="12" t="str">
        <f>'Planning Engine'!C1568</f>
        <v>Raw Material</v>
      </c>
      <c r="D852" s="12" t="str">
        <f>'Planning Engine'!D1568</f>
        <v>kg</v>
      </c>
      <c r="E852" s="95">
        <f>'Planning Engine'!E1568</f>
        <v>106.67199999999997</v>
      </c>
      <c r="F852" s="95">
        <f>'Planning Engine'!F1568</f>
        <v>0</v>
      </c>
      <c r="G852" s="95">
        <f>'Planning Engine'!G1568</f>
        <v>0</v>
      </c>
      <c r="H852" s="95">
        <f t="shared" si="26"/>
        <v>0</v>
      </c>
      <c r="I852" s="95">
        <f>'Planning Engine'!H1568</f>
        <v>106.67199999999997</v>
      </c>
      <c r="J852" s="96">
        <f ca="1">'Planning Engine'!J1568</f>
        <v>999</v>
      </c>
      <c r="K852" s="95">
        <f ca="1">'Planning Engine'!K1568</f>
        <v>0</v>
      </c>
      <c r="L852" s="12" t="str">
        <f ca="1">'Planning Engine'!L1568</f>
        <v>Overstock</v>
      </c>
      <c r="M852" s="93">
        <f>'Planning Engine'!S1568</f>
        <v>49949</v>
      </c>
      <c r="N852" s="95">
        <f>'Planning Engine'!T1568</f>
        <v>0</v>
      </c>
      <c r="O852" s="94" t="s">
        <v>2600</v>
      </c>
      <c r="P852" s="12" t="str">
        <f t="shared" ca="1" si="27"/>
        <v>Defer receipts</v>
      </c>
    </row>
    <row r="853" spans="1:16" ht="13" customHeight="1" x14ac:dyDescent="0.35">
      <c r="A853" s="97">
        <v>50100</v>
      </c>
      <c r="B853" s="53" t="s">
        <v>58</v>
      </c>
      <c r="C853" s="12" t="str">
        <f>'Planning Engine'!C1569</f>
        <v>Raw Material</v>
      </c>
      <c r="D853" s="12" t="str">
        <f>'Planning Engine'!D1569</f>
        <v>kg</v>
      </c>
      <c r="E853" s="95">
        <f>'Planning Engine'!E1569</f>
        <v>106.67199999999997</v>
      </c>
      <c r="F853" s="95">
        <f>'Planning Engine'!F1569</f>
        <v>0</v>
      </c>
      <c r="G853" s="95">
        <f>'Planning Engine'!G1569</f>
        <v>0</v>
      </c>
      <c r="H853" s="99">
        <f t="shared" si="26"/>
        <v>0</v>
      </c>
      <c r="I853" s="95">
        <f>'Planning Engine'!H1569</f>
        <v>106.67199999999997</v>
      </c>
      <c r="J853" s="96">
        <f ca="1">'Planning Engine'!J1569</f>
        <v>999</v>
      </c>
      <c r="K853" s="95">
        <f ca="1">'Planning Engine'!K1569</f>
        <v>0</v>
      </c>
      <c r="L853" s="12" t="str">
        <f ca="1">'Planning Engine'!L1569</f>
        <v>Overstock</v>
      </c>
      <c r="M853" s="93">
        <f>'Planning Engine'!S1569</f>
        <v>49980</v>
      </c>
      <c r="N853" s="95">
        <f>'Planning Engine'!T1569</f>
        <v>0</v>
      </c>
      <c r="O853" s="98" t="s">
        <v>2601</v>
      </c>
      <c r="P853" s="4" t="str">
        <f t="shared" ca="1" si="27"/>
        <v>Defer receipts</v>
      </c>
    </row>
    <row r="854" spans="1:16" ht="13" customHeight="1" x14ac:dyDescent="0.35">
      <c r="A854" s="93">
        <v>50131</v>
      </c>
      <c r="B854" s="61" t="s">
        <v>58</v>
      </c>
      <c r="C854" s="12" t="str">
        <f>'Planning Engine'!C1570</f>
        <v>Raw Material</v>
      </c>
      <c r="D854" s="12" t="str">
        <f>'Planning Engine'!D1570</f>
        <v>kg</v>
      </c>
      <c r="E854" s="95">
        <f>'Planning Engine'!E1570</f>
        <v>106.67199999999997</v>
      </c>
      <c r="F854" s="95">
        <f>'Planning Engine'!F1570</f>
        <v>0</v>
      </c>
      <c r="G854" s="95">
        <f>'Planning Engine'!G1570</f>
        <v>0</v>
      </c>
      <c r="H854" s="95">
        <f t="shared" si="26"/>
        <v>0</v>
      </c>
      <c r="I854" s="95">
        <f>'Planning Engine'!H1570</f>
        <v>106.67199999999997</v>
      </c>
      <c r="J854" s="96">
        <f ca="1">'Planning Engine'!J1570</f>
        <v>999</v>
      </c>
      <c r="K854" s="95">
        <f ca="1">'Planning Engine'!K1570</f>
        <v>0</v>
      </c>
      <c r="L854" s="12" t="str">
        <f ca="1">'Planning Engine'!L1570</f>
        <v>Overstock</v>
      </c>
      <c r="M854" s="93">
        <f>'Planning Engine'!S1570</f>
        <v>50010</v>
      </c>
      <c r="N854" s="95">
        <f>'Planning Engine'!T1570</f>
        <v>0</v>
      </c>
      <c r="O854" s="94" t="s">
        <v>2602</v>
      </c>
      <c r="P854" s="12" t="str">
        <f t="shared" ca="1" si="27"/>
        <v>Defer receipts</v>
      </c>
    </row>
    <row r="855" spans="1:16" ht="13" customHeight="1" x14ac:dyDescent="0.35">
      <c r="A855" s="97">
        <v>50161</v>
      </c>
      <c r="B855" s="53" t="s">
        <v>58</v>
      </c>
      <c r="C855" s="12" t="str">
        <f>'Planning Engine'!C1571</f>
        <v>Raw Material</v>
      </c>
      <c r="D855" s="12" t="str">
        <f>'Planning Engine'!D1571</f>
        <v>kg</v>
      </c>
      <c r="E855" s="95">
        <f>'Planning Engine'!E1571</f>
        <v>106.67199999999997</v>
      </c>
      <c r="F855" s="95">
        <f>'Planning Engine'!F1571</f>
        <v>0</v>
      </c>
      <c r="G855" s="95">
        <f>'Planning Engine'!G1571</f>
        <v>0</v>
      </c>
      <c r="H855" s="99">
        <f t="shared" si="26"/>
        <v>0</v>
      </c>
      <c r="I855" s="95">
        <f>'Planning Engine'!H1571</f>
        <v>106.67199999999997</v>
      </c>
      <c r="J855" s="96">
        <f ca="1">'Planning Engine'!J1571</f>
        <v>999</v>
      </c>
      <c r="K855" s="95">
        <f ca="1">'Planning Engine'!K1571</f>
        <v>0</v>
      </c>
      <c r="L855" s="12" t="str">
        <f ca="1">'Planning Engine'!L1571</f>
        <v>Overstock</v>
      </c>
      <c r="M855" s="93">
        <f>'Planning Engine'!S1571</f>
        <v>50041</v>
      </c>
      <c r="N855" s="95">
        <f>'Planning Engine'!T1571</f>
        <v>0</v>
      </c>
      <c r="O855" s="98" t="s">
        <v>2603</v>
      </c>
      <c r="P855" s="4" t="str">
        <f t="shared" ca="1" si="27"/>
        <v>Defer receipts</v>
      </c>
    </row>
    <row r="856" spans="1:16" ht="13" customHeight="1" x14ac:dyDescent="0.35">
      <c r="A856" s="93">
        <v>50192</v>
      </c>
      <c r="B856" s="61" t="s">
        <v>58</v>
      </c>
      <c r="C856" s="12" t="str">
        <f>'Planning Engine'!C1572</f>
        <v>Raw Material</v>
      </c>
      <c r="D856" s="12" t="str">
        <f>'Planning Engine'!D1572</f>
        <v>kg</v>
      </c>
      <c r="E856" s="95">
        <f>'Planning Engine'!E1572</f>
        <v>106.67199999999997</v>
      </c>
      <c r="F856" s="95">
        <f>'Planning Engine'!F1572</f>
        <v>0</v>
      </c>
      <c r="G856" s="95">
        <f>'Planning Engine'!G1572</f>
        <v>0</v>
      </c>
      <c r="H856" s="95">
        <f t="shared" si="26"/>
        <v>0</v>
      </c>
      <c r="I856" s="95">
        <f>'Planning Engine'!H1572</f>
        <v>106.67199999999997</v>
      </c>
      <c r="J856" s="96">
        <f ca="1">'Planning Engine'!J1572</f>
        <v>999</v>
      </c>
      <c r="K856" s="95">
        <f ca="1">'Planning Engine'!K1572</f>
        <v>0</v>
      </c>
      <c r="L856" s="12" t="str">
        <f ca="1">'Planning Engine'!L1572</f>
        <v>Overstock</v>
      </c>
      <c r="M856" s="93">
        <f>'Planning Engine'!S1572</f>
        <v>50072</v>
      </c>
      <c r="N856" s="95">
        <f>'Planning Engine'!T1572</f>
        <v>0</v>
      </c>
      <c r="O856" s="94" t="s">
        <v>2604</v>
      </c>
      <c r="P856" s="12" t="str">
        <f t="shared" ca="1" si="27"/>
        <v>Defer receipts</v>
      </c>
    </row>
    <row r="857" spans="1:16" ht="13" customHeight="1" x14ac:dyDescent="0.35">
      <c r="A857" s="97">
        <v>50222</v>
      </c>
      <c r="B857" s="53" t="s">
        <v>58</v>
      </c>
      <c r="C857" s="12" t="str">
        <f>'Planning Engine'!C1573</f>
        <v>Raw Material</v>
      </c>
      <c r="D857" s="12" t="str">
        <f>'Planning Engine'!D1573</f>
        <v>kg</v>
      </c>
      <c r="E857" s="95">
        <f>'Planning Engine'!E1573</f>
        <v>106.67199999999997</v>
      </c>
      <c r="F857" s="95">
        <f>'Planning Engine'!F1573</f>
        <v>0</v>
      </c>
      <c r="G857" s="95">
        <f>'Planning Engine'!G1573</f>
        <v>0</v>
      </c>
      <c r="H857" s="99">
        <f t="shared" si="26"/>
        <v>0</v>
      </c>
      <c r="I857" s="95">
        <f>'Planning Engine'!H1573</f>
        <v>106.67199999999997</v>
      </c>
      <c r="J857" s="96">
        <f ca="1">'Planning Engine'!J1573</f>
        <v>999</v>
      </c>
      <c r="K857" s="95">
        <f ca="1">'Planning Engine'!K1573</f>
        <v>0</v>
      </c>
      <c r="L857" s="12" t="str">
        <f ca="1">'Planning Engine'!L1573</f>
        <v>Overstock</v>
      </c>
      <c r="M857" s="93">
        <f>'Planning Engine'!S1573</f>
        <v>50100</v>
      </c>
      <c r="N857" s="95">
        <f>'Planning Engine'!T1573</f>
        <v>0</v>
      </c>
      <c r="O857" s="98" t="s">
        <v>2605</v>
      </c>
      <c r="P857" s="4" t="str">
        <f t="shared" ca="1" si="27"/>
        <v>Defer receipts</v>
      </c>
    </row>
    <row r="858" spans="1:16" ht="13" customHeight="1" x14ac:dyDescent="0.35">
      <c r="A858" s="93">
        <v>50253</v>
      </c>
      <c r="B858" s="61" t="s">
        <v>58</v>
      </c>
      <c r="C858" s="12" t="str">
        <f>'Planning Engine'!C1574</f>
        <v>Raw Material</v>
      </c>
      <c r="D858" s="12" t="str">
        <f>'Planning Engine'!D1574</f>
        <v>kg</v>
      </c>
      <c r="E858" s="95">
        <f>'Planning Engine'!E1574</f>
        <v>106.67199999999997</v>
      </c>
      <c r="F858" s="95">
        <f>'Planning Engine'!F1574</f>
        <v>0</v>
      </c>
      <c r="G858" s="95">
        <f>'Planning Engine'!G1574</f>
        <v>0</v>
      </c>
      <c r="H858" s="95">
        <f t="shared" si="26"/>
        <v>0</v>
      </c>
      <c r="I858" s="95">
        <f>'Planning Engine'!H1574</f>
        <v>106.67199999999997</v>
      </c>
      <c r="J858" s="96">
        <f ca="1">'Planning Engine'!J1574</f>
        <v>999</v>
      </c>
      <c r="K858" s="95">
        <f ca="1">'Planning Engine'!K1574</f>
        <v>0</v>
      </c>
      <c r="L858" s="12" t="str">
        <f ca="1">'Planning Engine'!L1574</f>
        <v>Overstock</v>
      </c>
      <c r="M858" s="93">
        <f>'Planning Engine'!S1574</f>
        <v>50131</v>
      </c>
      <c r="N858" s="95">
        <f>'Planning Engine'!T1574</f>
        <v>0</v>
      </c>
      <c r="O858" s="94" t="s">
        <v>2606</v>
      </c>
      <c r="P858" s="12" t="str">
        <f t="shared" ca="1" si="27"/>
        <v>Defer receipts</v>
      </c>
    </row>
    <row r="859" spans="1:16" ht="13" customHeight="1" x14ac:dyDescent="0.35">
      <c r="A859" s="97">
        <v>50284</v>
      </c>
      <c r="B859" s="53" t="s">
        <v>58</v>
      </c>
      <c r="C859" s="12" t="str">
        <f>'Planning Engine'!C1575</f>
        <v>Raw Material</v>
      </c>
      <c r="D859" s="12" t="str">
        <f>'Planning Engine'!D1575</f>
        <v>kg</v>
      </c>
      <c r="E859" s="95">
        <f>'Planning Engine'!E1575</f>
        <v>106.67199999999997</v>
      </c>
      <c r="F859" s="95">
        <f>'Planning Engine'!F1575</f>
        <v>0</v>
      </c>
      <c r="G859" s="95">
        <f>'Planning Engine'!G1575</f>
        <v>0</v>
      </c>
      <c r="H859" s="99">
        <f t="shared" si="26"/>
        <v>0</v>
      </c>
      <c r="I859" s="95">
        <f>'Planning Engine'!H1575</f>
        <v>106.67199999999997</v>
      </c>
      <c r="J859" s="96">
        <f ca="1">'Planning Engine'!J1575</f>
        <v>999</v>
      </c>
      <c r="K859" s="95">
        <f ca="1">'Planning Engine'!K1575</f>
        <v>0</v>
      </c>
      <c r="L859" s="12" t="str">
        <f ca="1">'Planning Engine'!L1575</f>
        <v>Overstock</v>
      </c>
      <c r="M859" s="93">
        <f>'Planning Engine'!S1575</f>
        <v>50161</v>
      </c>
      <c r="N859" s="95">
        <f>'Planning Engine'!T1575</f>
        <v>0</v>
      </c>
      <c r="O859" s="98" t="s">
        <v>2607</v>
      </c>
      <c r="P859" s="4" t="str">
        <f t="shared" ca="1" si="27"/>
        <v>Defer receipts</v>
      </c>
    </row>
    <row r="860" spans="1:16" ht="13" customHeight="1" x14ac:dyDescent="0.35">
      <c r="A860" s="93">
        <v>50314</v>
      </c>
      <c r="B860" s="61" t="s">
        <v>58</v>
      </c>
      <c r="C860" s="12" t="str">
        <f>'Planning Engine'!C1576</f>
        <v>Raw Material</v>
      </c>
      <c r="D860" s="12" t="str">
        <f>'Planning Engine'!D1576</f>
        <v>kg</v>
      </c>
      <c r="E860" s="95">
        <f>'Planning Engine'!E1576</f>
        <v>106.67199999999997</v>
      </c>
      <c r="F860" s="95">
        <f>'Planning Engine'!F1576</f>
        <v>0</v>
      </c>
      <c r="G860" s="95">
        <f>'Planning Engine'!G1576</f>
        <v>0</v>
      </c>
      <c r="H860" s="95">
        <f t="shared" si="26"/>
        <v>0</v>
      </c>
      <c r="I860" s="95">
        <f>'Planning Engine'!H1576</f>
        <v>106.67199999999997</v>
      </c>
      <c r="J860" s="96">
        <f ca="1">'Planning Engine'!J1576</f>
        <v>999</v>
      </c>
      <c r="K860" s="95">
        <f ca="1">'Planning Engine'!K1576</f>
        <v>0</v>
      </c>
      <c r="L860" s="12" t="str">
        <f ca="1">'Planning Engine'!L1576</f>
        <v>Overstock</v>
      </c>
      <c r="M860" s="93">
        <f>'Planning Engine'!S1576</f>
        <v>50192</v>
      </c>
      <c r="N860" s="95">
        <f>'Planning Engine'!T1576</f>
        <v>0</v>
      </c>
      <c r="O860" s="94" t="s">
        <v>2608</v>
      </c>
      <c r="P860" s="12" t="str">
        <f t="shared" ca="1" si="27"/>
        <v>Defer receipts</v>
      </c>
    </row>
    <row r="861" spans="1:16" ht="13" customHeight="1" x14ac:dyDescent="0.35">
      <c r="A861" s="97">
        <v>50345</v>
      </c>
      <c r="B861" s="53" t="s">
        <v>58</v>
      </c>
      <c r="C861" s="12" t="str">
        <f>'Planning Engine'!C1577</f>
        <v>Raw Material</v>
      </c>
      <c r="D861" s="12" t="str">
        <f>'Planning Engine'!D1577</f>
        <v>kg</v>
      </c>
      <c r="E861" s="95">
        <f>'Planning Engine'!E1577</f>
        <v>106.67199999999997</v>
      </c>
      <c r="F861" s="95">
        <f>'Planning Engine'!F1577</f>
        <v>0</v>
      </c>
      <c r="G861" s="95">
        <f>'Planning Engine'!G1577</f>
        <v>0</v>
      </c>
      <c r="H861" s="99">
        <f t="shared" si="26"/>
        <v>0</v>
      </c>
      <c r="I861" s="95">
        <f>'Planning Engine'!H1577</f>
        <v>106.67199999999997</v>
      </c>
      <c r="J861" s="96">
        <f ca="1">'Planning Engine'!J1577</f>
        <v>999</v>
      </c>
      <c r="K861" s="95">
        <f ca="1">'Planning Engine'!K1577</f>
        <v>0</v>
      </c>
      <c r="L861" s="12" t="str">
        <f ca="1">'Planning Engine'!L1577</f>
        <v>Overstock</v>
      </c>
      <c r="M861" s="93">
        <f>'Planning Engine'!S1577</f>
        <v>50222</v>
      </c>
      <c r="N861" s="95">
        <f>'Planning Engine'!T1577</f>
        <v>0</v>
      </c>
      <c r="O861" s="98" t="s">
        <v>2609</v>
      </c>
      <c r="P861" s="4" t="str">
        <f t="shared" ca="1" si="27"/>
        <v>Defer receipts</v>
      </c>
    </row>
    <row r="862" spans="1:16" ht="13" customHeight="1" x14ac:dyDescent="0.35">
      <c r="A862" s="93">
        <v>50375</v>
      </c>
      <c r="B862" s="61" t="s">
        <v>58</v>
      </c>
      <c r="C862" s="12" t="str">
        <f>'Planning Engine'!C1578</f>
        <v>Raw Material</v>
      </c>
      <c r="D862" s="12" t="str">
        <f>'Planning Engine'!D1578</f>
        <v>kg</v>
      </c>
      <c r="E862" s="95">
        <f>'Planning Engine'!E1578</f>
        <v>106.67199999999997</v>
      </c>
      <c r="F862" s="95">
        <f>'Planning Engine'!F1578</f>
        <v>0</v>
      </c>
      <c r="G862" s="95">
        <f>'Planning Engine'!G1578</f>
        <v>0</v>
      </c>
      <c r="H862" s="95">
        <f t="shared" si="26"/>
        <v>0</v>
      </c>
      <c r="I862" s="95">
        <f>'Planning Engine'!H1578</f>
        <v>106.67199999999997</v>
      </c>
      <c r="J862" s="96">
        <f ca="1">'Planning Engine'!J1578</f>
        <v>999</v>
      </c>
      <c r="K862" s="95">
        <f ca="1">'Planning Engine'!K1578</f>
        <v>0</v>
      </c>
      <c r="L862" s="12" t="str">
        <f ca="1">'Planning Engine'!L1578</f>
        <v>Overstock</v>
      </c>
      <c r="M862" s="93">
        <f>'Planning Engine'!S1578</f>
        <v>50253</v>
      </c>
      <c r="N862" s="95">
        <f>'Planning Engine'!T1578</f>
        <v>0</v>
      </c>
      <c r="O862" s="94" t="s">
        <v>2610</v>
      </c>
      <c r="P862" s="12" t="str">
        <f t="shared" ca="1" si="27"/>
        <v>Defer receipts</v>
      </c>
    </row>
    <row r="863" spans="1:16" ht="13" customHeight="1" x14ac:dyDescent="0.35">
      <c r="A863" s="97">
        <v>50406</v>
      </c>
      <c r="B863" s="53" t="s">
        <v>58</v>
      </c>
      <c r="C863" s="12" t="str">
        <f>'Planning Engine'!C1579</f>
        <v>Raw Material</v>
      </c>
      <c r="D863" s="12" t="str">
        <f>'Planning Engine'!D1579</f>
        <v>kg</v>
      </c>
      <c r="E863" s="95">
        <f>'Planning Engine'!E1579</f>
        <v>106.67199999999997</v>
      </c>
      <c r="F863" s="95">
        <f>'Planning Engine'!F1579</f>
        <v>0</v>
      </c>
      <c r="G863" s="95">
        <f>'Planning Engine'!G1579</f>
        <v>0</v>
      </c>
      <c r="H863" s="99">
        <f t="shared" si="26"/>
        <v>0</v>
      </c>
      <c r="I863" s="95">
        <f>'Planning Engine'!H1579</f>
        <v>106.67199999999997</v>
      </c>
      <c r="J863" s="96">
        <f ca="1">'Planning Engine'!J1579</f>
        <v>999</v>
      </c>
      <c r="K863" s="95">
        <f ca="1">'Planning Engine'!K1579</f>
        <v>0</v>
      </c>
      <c r="L863" s="12" t="str">
        <f ca="1">'Planning Engine'!L1579</f>
        <v>Overstock</v>
      </c>
      <c r="M863" s="93">
        <f>'Planning Engine'!S1579</f>
        <v>50284</v>
      </c>
      <c r="N863" s="95">
        <f>'Planning Engine'!T1579</f>
        <v>0</v>
      </c>
      <c r="O863" s="98" t="s">
        <v>2611</v>
      </c>
      <c r="P863" s="4" t="str">
        <f t="shared" ca="1" si="27"/>
        <v>Defer receipts</v>
      </c>
    </row>
    <row r="864" spans="1:16" ht="13" customHeight="1" x14ac:dyDescent="0.35">
      <c r="A864" s="93">
        <v>50437</v>
      </c>
      <c r="B864" s="61" t="s">
        <v>58</v>
      </c>
      <c r="C864" s="12" t="str">
        <f>'Planning Engine'!C1580</f>
        <v>Raw Material</v>
      </c>
      <c r="D864" s="12" t="str">
        <f>'Planning Engine'!D1580</f>
        <v>kg</v>
      </c>
      <c r="E864" s="95">
        <f>'Planning Engine'!E1580</f>
        <v>106.67199999999997</v>
      </c>
      <c r="F864" s="95">
        <f>'Planning Engine'!F1580</f>
        <v>0</v>
      </c>
      <c r="G864" s="95">
        <f>'Planning Engine'!G1580</f>
        <v>0</v>
      </c>
      <c r="H864" s="95">
        <f t="shared" si="26"/>
        <v>0</v>
      </c>
      <c r="I864" s="95">
        <f>'Planning Engine'!H1580</f>
        <v>106.67199999999997</v>
      </c>
      <c r="J864" s="96">
        <f ca="1">'Planning Engine'!J1580</f>
        <v>999</v>
      </c>
      <c r="K864" s="95">
        <f ca="1">'Planning Engine'!K1580</f>
        <v>0</v>
      </c>
      <c r="L864" s="12" t="str">
        <f ca="1">'Planning Engine'!L1580</f>
        <v>Overstock</v>
      </c>
      <c r="M864" s="93">
        <f>'Planning Engine'!S1580</f>
        <v>50314</v>
      </c>
      <c r="N864" s="95">
        <f>'Planning Engine'!T1580</f>
        <v>0</v>
      </c>
      <c r="O864" s="94" t="s">
        <v>2612</v>
      </c>
      <c r="P864" s="12" t="str">
        <f t="shared" ca="1" si="27"/>
        <v>Defer receipts</v>
      </c>
    </row>
    <row r="865" spans="1:16" ht="13" customHeight="1" x14ac:dyDescent="0.35">
      <c r="A865" s="97">
        <v>50465</v>
      </c>
      <c r="B865" s="53" t="s">
        <v>58</v>
      </c>
      <c r="C865" s="12" t="str">
        <f>'Planning Engine'!C1581</f>
        <v>Raw Material</v>
      </c>
      <c r="D865" s="12" t="str">
        <f>'Planning Engine'!D1581</f>
        <v>kg</v>
      </c>
      <c r="E865" s="95">
        <f>'Planning Engine'!E1581</f>
        <v>106.67199999999997</v>
      </c>
      <c r="F865" s="95">
        <f>'Planning Engine'!F1581</f>
        <v>0</v>
      </c>
      <c r="G865" s="95">
        <f>'Planning Engine'!G1581</f>
        <v>0</v>
      </c>
      <c r="H865" s="99">
        <f t="shared" si="26"/>
        <v>0</v>
      </c>
      <c r="I865" s="95">
        <f>'Planning Engine'!H1581</f>
        <v>106.67199999999997</v>
      </c>
      <c r="J865" s="96">
        <f ca="1">'Planning Engine'!J1581</f>
        <v>999</v>
      </c>
      <c r="K865" s="95">
        <f ca="1">'Planning Engine'!K1581</f>
        <v>0</v>
      </c>
      <c r="L865" s="12" t="str">
        <f ca="1">'Planning Engine'!L1581</f>
        <v>Overstock</v>
      </c>
      <c r="M865" s="93">
        <f>'Planning Engine'!S1581</f>
        <v>50345</v>
      </c>
      <c r="N865" s="95">
        <f>'Planning Engine'!T1581</f>
        <v>0</v>
      </c>
      <c r="O865" s="98" t="s">
        <v>2613</v>
      </c>
      <c r="P865" s="4" t="str">
        <f t="shared" ca="1" si="27"/>
        <v>Defer receipts</v>
      </c>
    </row>
    <row r="866" spans="1:16" ht="13" customHeight="1" x14ac:dyDescent="0.35">
      <c r="A866" s="93">
        <v>50496</v>
      </c>
      <c r="B866" s="61" t="s">
        <v>58</v>
      </c>
      <c r="C866" s="12" t="str">
        <f>'Planning Engine'!C1582</f>
        <v>Raw Material</v>
      </c>
      <c r="D866" s="12" t="str">
        <f>'Planning Engine'!D1582</f>
        <v>kg</v>
      </c>
      <c r="E866" s="95">
        <f>'Planning Engine'!E1582</f>
        <v>106.67199999999997</v>
      </c>
      <c r="F866" s="95">
        <f>'Planning Engine'!F1582</f>
        <v>0</v>
      </c>
      <c r="G866" s="95">
        <f>'Planning Engine'!G1582</f>
        <v>0</v>
      </c>
      <c r="H866" s="95">
        <f t="shared" si="26"/>
        <v>0</v>
      </c>
      <c r="I866" s="95">
        <f>'Planning Engine'!H1582</f>
        <v>106.67199999999997</v>
      </c>
      <c r="J866" s="96">
        <f ca="1">'Planning Engine'!J1582</f>
        <v>999</v>
      </c>
      <c r="K866" s="95">
        <f ca="1">'Planning Engine'!K1582</f>
        <v>0</v>
      </c>
      <c r="L866" s="12" t="str">
        <f ca="1">'Planning Engine'!L1582</f>
        <v>Overstock</v>
      </c>
      <c r="M866" s="93">
        <f>'Planning Engine'!S1582</f>
        <v>50375</v>
      </c>
      <c r="N866" s="95">
        <f>'Planning Engine'!T1582</f>
        <v>0</v>
      </c>
      <c r="O866" s="94" t="s">
        <v>2614</v>
      </c>
      <c r="P866" s="12" t="str">
        <f t="shared" ca="1" si="27"/>
        <v>Defer receipts</v>
      </c>
    </row>
    <row r="867" spans="1:16" ht="13" customHeight="1" x14ac:dyDescent="0.35">
      <c r="A867" s="97">
        <v>50526</v>
      </c>
      <c r="B867" s="53" t="s">
        <v>58</v>
      </c>
      <c r="C867" s="12" t="str">
        <f>'Planning Engine'!C1583</f>
        <v>Raw Material</v>
      </c>
      <c r="D867" s="12" t="str">
        <f>'Planning Engine'!D1583</f>
        <v>kg</v>
      </c>
      <c r="E867" s="95">
        <f>'Planning Engine'!E1583</f>
        <v>106.67199999999997</v>
      </c>
      <c r="F867" s="95">
        <f>'Planning Engine'!F1583</f>
        <v>0</v>
      </c>
      <c r="G867" s="95">
        <f>'Planning Engine'!G1583</f>
        <v>0</v>
      </c>
      <c r="H867" s="99">
        <f t="shared" si="26"/>
        <v>0</v>
      </c>
      <c r="I867" s="95">
        <f>'Planning Engine'!H1583</f>
        <v>106.67199999999997</v>
      </c>
      <c r="J867" s="96">
        <f ca="1">'Planning Engine'!J1583</f>
        <v>999</v>
      </c>
      <c r="K867" s="95">
        <f ca="1">'Planning Engine'!K1583</f>
        <v>0</v>
      </c>
      <c r="L867" s="12" t="str">
        <f ca="1">'Planning Engine'!L1583</f>
        <v>Overstock</v>
      </c>
      <c r="M867" s="93">
        <f>'Planning Engine'!S1583</f>
        <v>50406</v>
      </c>
      <c r="N867" s="95">
        <f>'Planning Engine'!T1583</f>
        <v>0</v>
      </c>
      <c r="O867" s="98" t="s">
        <v>2615</v>
      </c>
      <c r="P867" s="4" t="str">
        <f t="shared" ca="1" si="27"/>
        <v>Defer receipts</v>
      </c>
    </row>
    <row r="868" spans="1:16" ht="13" customHeight="1" x14ac:dyDescent="0.35">
      <c r="A868" s="93">
        <v>50557</v>
      </c>
      <c r="B868" s="61" t="s">
        <v>58</v>
      </c>
      <c r="C868" s="12" t="str">
        <f>'Planning Engine'!C1584</f>
        <v>Raw Material</v>
      </c>
      <c r="D868" s="12" t="str">
        <f>'Planning Engine'!D1584</f>
        <v>kg</v>
      </c>
      <c r="E868" s="95">
        <f>'Planning Engine'!E1584</f>
        <v>106.67199999999997</v>
      </c>
      <c r="F868" s="95">
        <f>'Planning Engine'!F1584</f>
        <v>0</v>
      </c>
      <c r="G868" s="95">
        <f>'Planning Engine'!G1584</f>
        <v>0</v>
      </c>
      <c r="H868" s="95">
        <f t="shared" si="26"/>
        <v>0</v>
      </c>
      <c r="I868" s="95">
        <f>'Planning Engine'!H1584</f>
        <v>106.67199999999997</v>
      </c>
      <c r="J868" s="96">
        <f ca="1">'Planning Engine'!J1584</f>
        <v>999</v>
      </c>
      <c r="K868" s="95">
        <f ca="1">'Planning Engine'!K1584</f>
        <v>0</v>
      </c>
      <c r="L868" s="12" t="str">
        <f ca="1">'Planning Engine'!L1584</f>
        <v>Overstock</v>
      </c>
      <c r="M868" s="93">
        <f>'Planning Engine'!S1584</f>
        <v>50437</v>
      </c>
      <c r="N868" s="95">
        <f>'Planning Engine'!T1584</f>
        <v>0</v>
      </c>
      <c r="O868" s="94" t="s">
        <v>2616</v>
      </c>
      <c r="P868" s="12" t="str">
        <f t="shared" ca="1" si="27"/>
        <v>Defer receipts</v>
      </c>
    </row>
    <row r="869" spans="1:16" ht="13" customHeight="1" x14ac:dyDescent="0.35">
      <c r="A869" s="97">
        <v>50587</v>
      </c>
      <c r="B869" s="53" t="s">
        <v>58</v>
      </c>
      <c r="C869" s="12" t="str">
        <f>'Planning Engine'!C1585</f>
        <v>Raw Material</v>
      </c>
      <c r="D869" s="12" t="str">
        <f>'Planning Engine'!D1585</f>
        <v>kg</v>
      </c>
      <c r="E869" s="95">
        <f>'Planning Engine'!E1585</f>
        <v>106.67199999999997</v>
      </c>
      <c r="F869" s="95">
        <f>'Planning Engine'!F1585</f>
        <v>0</v>
      </c>
      <c r="G869" s="95">
        <f>'Planning Engine'!G1585</f>
        <v>0</v>
      </c>
      <c r="H869" s="99">
        <f t="shared" si="26"/>
        <v>0</v>
      </c>
      <c r="I869" s="95">
        <f>'Planning Engine'!H1585</f>
        <v>106.67199999999997</v>
      </c>
      <c r="J869" s="96">
        <f ca="1">'Planning Engine'!J1585</f>
        <v>999</v>
      </c>
      <c r="K869" s="95">
        <f ca="1">'Planning Engine'!K1585</f>
        <v>0</v>
      </c>
      <c r="L869" s="12" t="str">
        <f ca="1">'Planning Engine'!L1585</f>
        <v>Overstock</v>
      </c>
      <c r="M869" s="93">
        <f>'Planning Engine'!S1585</f>
        <v>50465</v>
      </c>
      <c r="N869" s="95">
        <f>'Planning Engine'!T1585</f>
        <v>0</v>
      </c>
      <c r="O869" s="98" t="s">
        <v>2617</v>
      </c>
      <c r="P869" s="4" t="str">
        <f t="shared" ca="1" si="27"/>
        <v>Defer receipts</v>
      </c>
    </row>
    <row r="870" spans="1:16" ht="13" customHeight="1" x14ac:dyDescent="0.35">
      <c r="A870" s="93">
        <v>50618</v>
      </c>
      <c r="B870" s="61" t="s">
        <v>58</v>
      </c>
      <c r="C870" s="12" t="str">
        <f>'Planning Engine'!C1586</f>
        <v>Raw Material</v>
      </c>
      <c r="D870" s="12" t="str">
        <f>'Planning Engine'!D1586</f>
        <v>kg</v>
      </c>
      <c r="E870" s="95">
        <f>'Planning Engine'!E1586</f>
        <v>106.67199999999997</v>
      </c>
      <c r="F870" s="95">
        <f>'Planning Engine'!F1586</f>
        <v>0</v>
      </c>
      <c r="G870" s="95">
        <f>'Planning Engine'!G1586</f>
        <v>0</v>
      </c>
      <c r="H870" s="95">
        <f t="shared" si="26"/>
        <v>0</v>
      </c>
      <c r="I870" s="95">
        <f>'Planning Engine'!H1586</f>
        <v>106.67199999999997</v>
      </c>
      <c r="J870" s="96">
        <f ca="1">'Planning Engine'!J1586</f>
        <v>999</v>
      </c>
      <c r="K870" s="95">
        <f ca="1">'Planning Engine'!K1586</f>
        <v>0</v>
      </c>
      <c r="L870" s="12" t="str">
        <f ca="1">'Planning Engine'!L1586</f>
        <v>Overstock</v>
      </c>
      <c r="M870" s="93">
        <f>'Planning Engine'!S1586</f>
        <v>50496</v>
      </c>
      <c r="N870" s="95">
        <f>'Planning Engine'!T1586</f>
        <v>0</v>
      </c>
      <c r="O870" s="94" t="s">
        <v>2618</v>
      </c>
      <c r="P870" s="12" t="str">
        <f t="shared" ca="1" si="27"/>
        <v>Defer receipts</v>
      </c>
    </row>
    <row r="871" spans="1:16" ht="13" customHeight="1" x14ac:dyDescent="0.35">
      <c r="A871" s="97">
        <v>50649</v>
      </c>
      <c r="B871" s="53" t="s">
        <v>58</v>
      </c>
      <c r="C871" s="12" t="str">
        <f>'Planning Engine'!C1587</f>
        <v>Raw Material</v>
      </c>
      <c r="D871" s="12" t="str">
        <f>'Planning Engine'!D1587</f>
        <v>kg</v>
      </c>
      <c r="E871" s="95">
        <f>'Planning Engine'!E1587</f>
        <v>106.67199999999997</v>
      </c>
      <c r="F871" s="95">
        <f>'Planning Engine'!F1587</f>
        <v>0</v>
      </c>
      <c r="G871" s="95">
        <f>'Planning Engine'!G1587</f>
        <v>0</v>
      </c>
      <c r="H871" s="99">
        <f t="shared" si="26"/>
        <v>0</v>
      </c>
      <c r="I871" s="95">
        <f>'Planning Engine'!H1587</f>
        <v>106.67199999999997</v>
      </c>
      <c r="J871" s="96">
        <f ca="1">'Planning Engine'!J1587</f>
        <v>999</v>
      </c>
      <c r="K871" s="95">
        <f ca="1">'Planning Engine'!K1587</f>
        <v>0</v>
      </c>
      <c r="L871" s="12" t="str">
        <f ca="1">'Planning Engine'!L1587</f>
        <v>Overstock</v>
      </c>
      <c r="M871" s="93">
        <f>'Planning Engine'!S1587</f>
        <v>50526</v>
      </c>
      <c r="N871" s="95">
        <f>'Planning Engine'!T1587</f>
        <v>0</v>
      </c>
      <c r="O871" s="98" t="s">
        <v>2619</v>
      </c>
      <c r="P871" s="4" t="str">
        <f t="shared" ca="1" si="27"/>
        <v>Defer receipts</v>
      </c>
    </row>
    <row r="872" spans="1:16" ht="13" customHeight="1" x14ac:dyDescent="0.35">
      <c r="A872" s="93">
        <v>50679</v>
      </c>
      <c r="B872" s="61" t="s">
        <v>58</v>
      </c>
      <c r="C872" s="12" t="str">
        <f>'Planning Engine'!C1588</f>
        <v>Raw Material</v>
      </c>
      <c r="D872" s="12" t="str">
        <f>'Planning Engine'!D1588</f>
        <v>kg</v>
      </c>
      <c r="E872" s="95">
        <f>'Planning Engine'!E1588</f>
        <v>106.67199999999997</v>
      </c>
      <c r="F872" s="95">
        <f>'Planning Engine'!F1588</f>
        <v>0</v>
      </c>
      <c r="G872" s="95">
        <f>'Planning Engine'!G1588</f>
        <v>0</v>
      </c>
      <c r="H872" s="95">
        <f t="shared" si="26"/>
        <v>0</v>
      </c>
      <c r="I872" s="95">
        <f>'Planning Engine'!H1588</f>
        <v>106.67199999999997</v>
      </c>
      <c r="J872" s="96">
        <f ca="1">'Planning Engine'!J1588</f>
        <v>999</v>
      </c>
      <c r="K872" s="95">
        <f ca="1">'Planning Engine'!K1588</f>
        <v>0</v>
      </c>
      <c r="L872" s="12" t="str">
        <f ca="1">'Planning Engine'!L1588</f>
        <v>Overstock</v>
      </c>
      <c r="M872" s="93">
        <f>'Planning Engine'!S1588</f>
        <v>50557</v>
      </c>
      <c r="N872" s="95">
        <f>'Planning Engine'!T1588</f>
        <v>0</v>
      </c>
      <c r="O872" s="94" t="s">
        <v>2620</v>
      </c>
      <c r="P872" s="12" t="str">
        <f t="shared" ca="1" si="27"/>
        <v>Defer receipts</v>
      </c>
    </row>
    <row r="873" spans="1:16" ht="13" customHeight="1" x14ac:dyDescent="0.35">
      <c r="A873" s="97">
        <v>50710</v>
      </c>
      <c r="B873" s="53" t="s">
        <v>58</v>
      </c>
      <c r="C873" s="12" t="str">
        <f>'Planning Engine'!C1589</f>
        <v>Raw Material</v>
      </c>
      <c r="D873" s="12" t="str">
        <f>'Planning Engine'!D1589</f>
        <v>kg</v>
      </c>
      <c r="E873" s="95">
        <f>'Planning Engine'!E1589</f>
        <v>106.67199999999997</v>
      </c>
      <c r="F873" s="95">
        <f>'Planning Engine'!F1589</f>
        <v>0</v>
      </c>
      <c r="G873" s="95">
        <f>'Planning Engine'!G1589</f>
        <v>0</v>
      </c>
      <c r="H873" s="99">
        <f t="shared" si="26"/>
        <v>0</v>
      </c>
      <c r="I873" s="95">
        <f>'Planning Engine'!H1589</f>
        <v>106.67199999999997</v>
      </c>
      <c r="J873" s="96">
        <f ca="1">'Planning Engine'!J1589</f>
        <v>999</v>
      </c>
      <c r="K873" s="95">
        <f ca="1">'Planning Engine'!K1589</f>
        <v>0</v>
      </c>
      <c r="L873" s="12" t="str">
        <f ca="1">'Planning Engine'!L1589</f>
        <v>Overstock</v>
      </c>
      <c r="M873" s="93">
        <f>'Planning Engine'!S1589</f>
        <v>50587</v>
      </c>
      <c r="N873" s="95">
        <f>'Planning Engine'!T1589</f>
        <v>0</v>
      </c>
      <c r="O873" s="98" t="s">
        <v>2621</v>
      </c>
      <c r="P873" s="4" t="str">
        <f t="shared" ca="1" si="27"/>
        <v>Defer receipts</v>
      </c>
    </row>
    <row r="874" spans="1:16" ht="13" customHeight="1" x14ac:dyDescent="0.35">
      <c r="A874" s="93">
        <v>50740</v>
      </c>
      <c r="B874" s="61" t="s">
        <v>58</v>
      </c>
      <c r="C874" s="12" t="str">
        <f>'Planning Engine'!C1590</f>
        <v>Raw Material</v>
      </c>
      <c r="D874" s="12" t="str">
        <f>'Planning Engine'!D1590</f>
        <v>kg</v>
      </c>
      <c r="E874" s="95">
        <f>'Planning Engine'!E1590</f>
        <v>106.67199999999997</v>
      </c>
      <c r="F874" s="95">
        <f>'Planning Engine'!F1590</f>
        <v>0</v>
      </c>
      <c r="G874" s="95">
        <f>'Planning Engine'!G1590</f>
        <v>0</v>
      </c>
      <c r="H874" s="95">
        <f t="shared" si="26"/>
        <v>0</v>
      </c>
      <c r="I874" s="95">
        <f>'Planning Engine'!H1590</f>
        <v>106.67199999999997</v>
      </c>
      <c r="J874" s="96">
        <f ca="1">'Planning Engine'!J1590</f>
        <v>999</v>
      </c>
      <c r="K874" s="95">
        <f ca="1">'Planning Engine'!K1590</f>
        <v>0</v>
      </c>
      <c r="L874" s="12" t="str">
        <f ca="1">'Planning Engine'!L1590</f>
        <v>Overstock</v>
      </c>
      <c r="M874" s="93">
        <f>'Planning Engine'!S1590</f>
        <v>50618</v>
      </c>
      <c r="N874" s="95">
        <f>'Planning Engine'!T1590</f>
        <v>0</v>
      </c>
      <c r="O874" s="94" t="s">
        <v>2622</v>
      </c>
      <c r="P874" s="12" t="str">
        <f t="shared" ca="1" si="27"/>
        <v>Defer receipts</v>
      </c>
    </row>
    <row r="875" spans="1:16" ht="13" customHeight="1" x14ac:dyDescent="0.35">
      <c r="A875" s="97">
        <v>50771</v>
      </c>
      <c r="B875" s="53" t="s">
        <v>58</v>
      </c>
      <c r="C875" s="12" t="str">
        <f>'Planning Engine'!C1591</f>
        <v>Raw Material</v>
      </c>
      <c r="D875" s="12" t="str">
        <f>'Planning Engine'!D1591</f>
        <v>kg</v>
      </c>
      <c r="E875" s="95">
        <f>'Planning Engine'!E1591</f>
        <v>106.67199999999997</v>
      </c>
      <c r="F875" s="95">
        <f>'Planning Engine'!F1591</f>
        <v>0</v>
      </c>
      <c r="G875" s="95">
        <f>'Planning Engine'!G1591</f>
        <v>0</v>
      </c>
      <c r="H875" s="99">
        <f t="shared" si="26"/>
        <v>0</v>
      </c>
      <c r="I875" s="95">
        <f>'Planning Engine'!H1591</f>
        <v>106.67199999999997</v>
      </c>
      <c r="J875" s="96">
        <f ca="1">'Planning Engine'!J1591</f>
        <v>999</v>
      </c>
      <c r="K875" s="95">
        <f ca="1">'Planning Engine'!K1591</f>
        <v>0</v>
      </c>
      <c r="L875" s="12" t="str">
        <f ca="1">'Planning Engine'!L1591</f>
        <v>Overstock</v>
      </c>
      <c r="M875" s="93">
        <f>'Planning Engine'!S1591</f>
        <v>50649</v>
      </c>
      <c r="N875" s="95">
        <f>'Planning Engine'!T1591</f>
        <v>0</v>
      </c>
      <c r="O875" s="98" t="s">
        <v>2623</v>
      </c>
      <c r="P875" s="4" t="str">
        <f t="shared" ca="1" si="27"/>
        <v>Defer receipts</v>
      </c>
    </row>
    <row r="876" spans="1:16" ht="13" customHeight="1" x14ac:dyDescent="0.35">
      <c r="A876" s="93">
        <v>50802</v>
      </c>
      <c r="B876" s="61" t="s">
        <v>58</v>
      </c>
      <c r="C876" s="12" t="str">
        <f>'Planning Engine'!C1592</f>
        <v>Raw Material</v>
      </c>
      <c r="D876" s="12" t="str">
        <f>'Planning Engine'!D1592</f>
        <v>kg</v>
      </c>
      <c r="E876" s="95">
        <f>'Planning Engine'!E1592</f>
        <v>106.67199999999997</v>
      </c>
      <c r="F876" s="95">
        <f>'Planning Engine'!F1592</f>
        <v>0</v>
      </c>
      <c r="G876" s="95">
        <f>'Planning Engine'!G1592</f>
        <v>0</v>
      </c>
      <c r="H876" s="95">
        <f t="shared" si="26"/>
        <v>0</v>
      </c>
      <c r="I876" s="95">
        <f>'Planning Engine'!H1592</f>
        <v>106.67199999999997</v>
      </c>
      <c r="J876" s="96">
        <f ca="1">'Planning Engine'!J1592</f>
        <v>999</v>
      </c>
      <c r="K876" s="95">
        <f ca="1">'Planning Engine'!K1592</f>
        <v>0</v>
      </c>
      <c r="L876" s="12" t="str">
        <f ca="1">'Planning Engine'!L1592</f>
        <v>Overstock</v>
      </c>
      <c r="M876" s="93">
        <f>'Planning Engine'!S1592</f>
        <v>50679</v>
      </c>
      <c r="N876" s="95">
        <f>'Planning Engine'!T1592</f>
        <v>0</v>
      </c>
      <c r="O876" s="94" t="s">
        <v>2624</v>
      </c>
      <c r="P876" s="12" t="str">
        <f t="shared" ca="1" si="27"/>
        <v>Defer receipts</v>
      </c>
    </row>
    <row r="877" spans="1:16" ht="13" customHeight="1" x14ac:dyDescent="0.35">
      <c r="A877" s="97">
        <v>50830</v>
      </c>
      <c r="B877" s="53" t="s">
        <v>58</v>
      </c>
      <c r="C877" s="12" t="str">
        <f>'Planning Engine'!C1593</f>
        <v>Raw Material</v>
      </c>
      <c r="D877" s="12" t="str">
        <f>'Planning Engine'!D1593</f>
        <v>kg</v>
      </c>
      <c r="E877" s="95">
        <f>'Planning Engine'!E1593</f>
        <v>106.67199999999997</v>
      </c>
      <c r="F877" s="95">
        <f>'Planning Engine'!F1593</f>
        <v>0</v>
      </c>
      <c r="G877" s="95">
        <f>'Planning Engine'!G1593</f>
        <v>0</v>
      </c>
      <c r="H877" s="99">
        <f t="shared" si="26"/>
        <v>0</v>
      </c>
      <c r="I877" s="95">
        <f>'Planning Engine'!H1593</f>
        <v>106.67199999999997</v>
      </c>
      <c r="J877" s="96">
        <f ca="1">'Planning Engine'!J1593</f>
        <v>999</v>
      </c>
      <c r="K877" s="95">
        <f ca="1">'Planning Engine'!K1593</f>
        <v>0</v>
      </c>
      <c r="L877" s="12" t="str">
        <f ca="1">'Planning Engine'!L1593</f>
        <v>Overstock</v>
      </c>
      <c r="M877" s="93">
        <f>'Planning Engine'!S1593</f>
        <v>50710</v>
      </c>
      <c r="N877" s="95">
        <f>'Planning Engine'!T1593</f>
        <v>0</v>
      </c>
      <c r="O877" s="98" t="s">
        <v>2625</v>
      </c>
      <c r="P877" s="4" t="str">
        <f t="shared" ca="1" si="27"/>
        <v>Defer receipts</v>
      </c>
    </row>
    <row r="878" spans="1:16" ht="13" customHeight="1" x14ac:dyDescent="0.35">
      <c r="A878" s="93">
        <v>50861</v>
      </c>
      <c r="B878" s="61" t="s">
        <v>58</v>
      </c>
      <c r="C878" s="12" t="str">
        <f>'Planning Engine'!C1594</f>
        <v>Raw Material</v>
      </c>
      <c r="D878" s="12" t="str">
        <f>'Planning Engine'!D1594</f>
        <v>kg</v>
      </c>
      <c r="E878" s="95">
        <f>'Planning Engine'!E1594</f>
        <v>106.67199999999997</v>
      </c>
      <c r="F878" s="95">
        <f>'Planning Engine'!F1594</f>
        <v>0</v>
      </c>
      <c r="G878" s="95">
        <f>'Planning Engine'!G1594</f>
        <v>0</v>
      </c>
      <c r="H878" s="95">
        <f t="shared" si="26"/>
        <v>0</v>
      </c>
      <c r="I878" s="95">
        <f>'Planning Engine'!H1594</f>
        <v>106.67199999999997</v>
      </c>
      <c r="J878" s="96">
        <f ca="1">'Planning Engine'!J1594</f>
        <v>999</v>
      </c>
      <c r="K878" s="95">
        <f ca="1">'Planning Engine'!K1594</f>
        <v>0</v>
      </c>
      <c r="L878" s="12" t="str">
        <f ca="1">'Planning Engine'!L1594</f>
        <v>Overstock</v>
      </c>
      <c r="M878" s="93">
        <f>'Planning Engine'!S1594</f>
        <v>50740</v>
      </c>
      <c r="N878" s="95">
        <f>'Planning Engine'!T1594</f>
        <v>0</v>
      </c>
      <c r="O878" s="94" t="s">
        <v>2626</v>
      </c>
      <c r="P878" s="12" t="str">
        <f t="shared" ca="1" si="27"/>
        <v>Defer receipts</v>
      </c>
    </row>
    <row r="879" spans="1:16" ht="13" customHeight="1" x14ac:dyDescent="0.35">
      <c r="A879" s="97">
        <v>50891</v>
      </c>
      <c r="B879" s="53" t="s">
        <v>58</v>
      </c>
      <c r="C879" s="12" t="str">
        <f>'Planning Engine'!C1595</f>
        <v>Raw Material</v>
      </c>
      <c r="D879" s="12" t="str">
        <f>'Planning Engine'!D1595</f>
        <v>kg</v>
      </c>
      <c r="E879" s="95">
        <f>'Planning Engine'!E1595</f>
        <v>106.67199999999997</v>
      </c>
      <c r="F879" s="95">
        <f>'Planning Engine'!F1595</f>
        <v>0</v>
      </c>
      <c r="G879" s="95">
        <f>'Planning Engine'!G1595</f>
        <v>0</v>
      </c>
      <c r="H879" s="99">
        <f t="shared" si="26"/>
        <v>0</v>
      </c>
      <c r="I879" s="95">
        <f>'Planning Engine'!H1595</f>
        <v>106.67199999999997</v>
      </c>
      <c r="J879" s="96">
        <f ca="1">'Planning Engine'!J1595</f>
        <v>999</v>
      </c>
      <c r="K879" s="95">
        <f ca="1">'Planning Engine'!K1595</f>
        <v>0</v>
      </c>
      <c r="L879" s="12" t="str">
        <f ca="1">'Planning Engine'!L1595</f>
        <v>Overstock</v>
      </c>
      <c r="M879" s="93">
        <f>'Planning Engine'!S1595</f>
        <v>50771</v>
      </c>
      <c r="N879" s="95">
        <f>'Planning Engine'!T1595</f>
        <v>0</v>
      </c>
      <c r="O879" s="98" t="s">
        <v>2627</v>
      </c>
      <c r="P879" s="4" t="str">
        <f t="shared" ca="1" si="27"/>
        <v>Defer receipts</v>
      </c>
    </row>
    <row r="880" spans="1:16" ht="13" customHeight="1" x14ac:dyDescent="0.35">
      <c r="A880" s="93">
        <v>50922</v>
      </c>
      <c r="B880" s="61" t="s">
        <v>58</v>
      </c>
      <c r="C880" s="12" t="str">
        <f>'Planning Engine'!C1596</f>
        <v>Raw Material</v>
      </c>
      <c r="D880" s="12" t="str">
        <f>'Planning Engine'!D1596</f>
        <v>kg</v>
      </c>
      <c r="E880" s="95">
        <f>'Planning Engine'!E1596</f>
        <v>106.67199999999997</v>
      </c>
      <c r="F880" s="95">
        <f>'Planning Engine'!F1596</f>
        <v>0</v>
      </c>
      <c r="G880" s="95">
        <f>'Planning Engine'!G1596</f>
        <v>0</v>
      </c>
      <c r="H880" s="95">
        <f t="shared" si="26"/>
        <v>0</v>
      </c>
      <c r="I880" s="95">
        <f>'Planning Engine'!H1596</f>
        <v>106.67199999999997</v>
      </c>
      <c r="J880" s="96">
        <f ca="1">'Planning Engine'!J1596</f>
        <v>999</v>
      </c>
      <c r="K880" s="95">
        <f ca="1">'Planning Engine'!K1596</f>
        <v>0</v>
      </c>
      <c r="L880" s="12" t="str">
        <f ca="1">'Planning Engine'!L1596</f>
        <v>Overstock</v>
      </c>
      <c r="M880" s="93">
        <f>'Planning Engine'!S1596</f>
        <v>50802</v>
      </c>
      <c r="N880" s="95">
        <f>'Planning Engine'!T1596</f>
        <v>0</v>
      </c>
      <c r="O880" s="94" t="s">
        <v>2628</v>
      </c>
      <c r="P880" s="12" t="str">
        <f t="shared" ca="1" si="27"/>
        <v>Defer receipts</v>
      </c>
    </row>
    <row r="881" spans="1:16" ht="13" customHeight="1" x14ac:dyDescent="0.35">
      <c r="A881" s="97">
        <v>50952</v>
      </c>
      <c r="B881" s="53" t="s">
        <v>58</v>
      </c>
      <c r="C881" s="12" t="str">
        <f>'Planning Engine'!C1597</f>
        <v>Raw Material</v>
      </c>
      <c r="D881" s="12" t="str">
        <f>'Planning Engine'!D1597</f>
        <v>kg</v>
      </c>
      <c r="E881" s="95">
        <f>'Planning Engine'!E1597</f>
        <v>106.67199999999997</v>
      </c>
      <c r="F881" s="95">
        <f>'Planning Engine'!F1597</f>
        <v>0</v>
      </c>
      <c r="G881" s="95">
        <f>'Planning Engine'!G1597</f>
        <v>0</v>
      </c>
      <c r="H881" s="99">
        <f t="shared" si="26"/>
        <v>0</v>
      </c>
      <c r="I881" s="95">
        <f>'Planning Engine'!H1597</f>
        <v>106.67199999999997</v>
      </c>
      <c r="J881" s="96">
        <f ca="1">'Planning Engine'!J1597</f>
        <v>999</v>
      </c>
      <c r="K881" s="95">
        <f ca="1">'Planning Engine'!K1597</f>
        <v>0</v>
      </c>
      <c r="L881" s="12" t="str">
        <f ca="1">'Planning Engine'!L1597</f>
        <v>Overstock</v>
      </c>
      <c r="M881" s="93">
        <f>'Planning Engine'!S1597</f>
        <v>50830</v>
      </c>
      <c r="N881" s="95">
        <f>'Planning Engine'!T1597</f>
        <v>0</v>
      </c>
      <c r="O881" s="98" t="s">
        <v>2629</v>
      </c>
      <c r="P881" s="4" t="str">
        <f t="shared" ca="1" si="27"/>
        <v>Defer receipts</v>
      </c>
    </row>
    <row r="882" spans="1:16" ht="13" customHeight="1" x14ac:dyDescent="0.35">
      <c r="A882" s="93">
        <v>50983</v>
      </c>
      <c r="B882" s="61" t="s">
        <v>58</v>
      </c>
      <c r="C882" s="12" t="str">
        <f>'Planning Engine'!C1598</f>
        <v>Raw Material</v>
      </c>
      <c r="D882" s="12" t="str">
        <f>'Planning Engine'!D1598</f>
        <v>kg</v>
      </c>
      <c r="E882" s="95">
        <f>'Planning Engine'!E1598</f>
        <v>106.67199999999997</v>
      </c>
      <c r="F882" s="95">
        <f>'Planning Engine'!F1598</f>
        <v>0</v>
      </c>
      <c r="G882" s="95">
        <f>'Planning Engine'!G1598</f>
        <v>0</v>
      </c>
      <c r="H882" s="95">
        <f t="shared" si="26"/>
        <v>0</v>
      </c>
      <c r="I882" s="95">
        <f>'Planning Engine'!H1598</f>
        <v>106.67199999999997</v>
      </c>
      <c r="J882" s="96">
        <f ca="1">'Planning Engine'!J1598</f>
        <v>999</v>
      </c>
      <c r="K882" s="95">
        <f ca="1">'Planning Engine'!K1598</f>
        <v>0</v>
      </c>
      <c r="L882" s="12" t="str">
        <f ca="1">'Planning Engine'!L1598</f>
        <v>Overstock</v>
      </c>
      <c r="M882" s="93">
        <f>'Planning Engine'!S1598</f>
        <v>50861</v>
      </c>
      <c r="N882" s="95">
        <f>'Planning Engine'!T1598</f>
        <v>0</v>
      </c>
      <c r="O882" s="94" t="s">
        <v>2630</v>
      </c>
      <c r="P882" s="12" t="str">
        <f t="shared" ca="1" si="27"/>
        <v>Defer receipts</v>
      </c>
    </row>
    <row r="883" spans="1:16" ht="13" customHeight="1" x14ac:dyDescent="0.35">
      <c r="A883" s="97">
        <v>51014</v>
      </c>
      <c r="B883" s="53" t="s">
        <v>58</v>
      </c>
      <c r="C883" s="12" t="str">
        <f>'Planning Engine'!C1599</f>
        <v>Raw Material</v>
      </c>
      <c r="D883" s="12" t="str">
        <f>'Planning Engine'!D1599</f>
        <v>kg</v>
      </c>
      <c r="E883" s="95">
        <f>'Planning Engine'!E1599</f>
        <v>106.67199999999997</v>
      </c>
      <c r="F883" s="95">
        <f>'Planning Engine'!F1599</f>
        <v>0</v>
      </c>
      <c r="G883" s="95">
        <f>'Planning Engine'!G1599</f>
        <v>0</v>
      </c>
      <c r="H883" s="99">
        <f t="shared" si="26"/>
        <v>0</v>
      </c>
      <c r="I883" s="95">
        <f>'Planning Engine'!H1599</f>
        <v>106.67199999999997</v>
      </c>
      <c r="J883" s="96">
        <f ca="1">'Planning Engine'!J1599</f>
        <v>999</v>
      </c>
      <c r="K883" s="95">
        <f ca="1">'Planning Engine'!K1599</f>
        <v>0</v>
      </c>
      <c r="L883" s="12" t="str">
        <f ca="1">'Planning Engine'!L1599</f>
        <v>Overstock</v>
      </c>
      <c r="M883" s="93">
        <f>'Planning Engine'!S1599</f>
        <v>50891</v>
      </c>
      <c r="N883" s="95">
        <f>'Planning Engine'!T1599</f>
        <v>0</v>
      </c>
      <c r="O883" s="98" t="s">
        <v>2631</v>
      </c>
      <c r="P883" s="4" t="str">
        <f t="shared" ca="1" si="27"/>
        <v>Defer receipts</v>
      </c>
    </row>
    <row r="884" spans="1:16" ht="13" customHeight="1" x14ac:dyDescent="0.35">
      <c r="A884" s="93">
        <v>51044</v>
      </c>
      <c r="B884" s="61" t="s">
        <v>58</v>
      </c>
      <c r="C884" s="12" t="str">
        <f>'Planning Engine'!C1600</f>
        <v>Raw Material</v>
      </c>
      <c r="D884" s="12" t="str">
        <f>'Planning Engine'!D1600</f>
        <v>kg</v>
      </c>
      <c r="E884" s="95">
        <f>'Planning Engine'!E1600</f>
        <v>106.67199999999997</v>
      </c>
      <c r="F884" s="95">
        <f>'Planning Engine'!F1600</f>
        <v>0</v>
      </c>
      <c r="G884" s="95">
        <f>'Planning Engine'!G1600</f>
        <v>0</v>
      </c>
      <c r="H884" s="95">
        <f t="shared" si="26"/>
        <v>0</v>
      </c>
      <c r="I884" s="95">
        <f>'Planning Engine'!H1600</f>
        <v>106.67199999999997</v>
      </c>
      <c r="J884" s="96">
        <f ca="1">'Planning Engine'!J1600</f>
        <v>999</v>
      </c>
      <c r="K884" s="95">
        <f ca="1">'Planning Engine'!K1600</f>
        <v>0</v>
      </c>
      <c r="L884" s="12" t="str">
        <f ca="1">'Planning Engine'!L1600</f>
        <v>Overstock</v>
      </c>
      <c r="M884" s="93">
        <f>'Planning Engine'!S1600</f>
        <v>50922</v>
      </c>
      <c r="N884" s="95">
        <f>'Planning Engine'!T1600</f>
        <v>0</v>
      </c>
      <c r="O884" s="94" t="s">
        <v>2632</v>
      </c>
      <c r="P884" s="12" t="str">
        <f t="shared" ca="1" si="27"/>
        <v>Defer receipts</v>
      </c>
    </row>
    <row r="885" spans="1:16" ht="13" customHeight="1" x14ac:dyDescent="0.35">
      <c r="A885" s="97">
        <v>51075</v>
      </c>
      <c r="B885" s="53" t="s">
        <v>58</v>
      </c>
      <c r="C885" s="12" t="str">
        <f>'Planning Engine'!C1601</f>
        <v>Raw Material</v>
      </c>
      <c r="D885" s="12" t="str">
        <f>'Planning Engine'!D1601</f>
        <v>kg</v>
      </c>
      <c r="E885" s="95">
        <f>'Planning Engine'!E1601</f>
        <v>106.67199999999997</v>
      </c>
      <c r="F885" s="95">
        <f>'Planning Engine'!F1601</f>
        <v>0</v>
      </c>
      <c r="G885" s="95">
        <f>'Planning Engine'!G1601</f>
        <v>0</v>
      </c>
      <c r="H885" s="99">
        <f t="shared" si="26"/>
        <v>0</v>
      </c>
      <c r="I885" s="95">
        <f>'Planning Engine'!H1601</f>
        <v>106.67199999999997</v>
      </c>
      <c r="J885" s="96">
        <f ca="1">'Planning Engine'!J1601</f>
        <v>999</v>
      </c>
      <c r="K885" s="95">
        <f ca="1">'Planning Engine'!K1601</f>
        <v>0</v>
      </c>
      <c r="L885" s="12" t="str">
        <f ca="1">'Planning Engine'!L1601</f>
        <v>Overstock</v>
      </c>
      <c r="M885" s="93">
        <f>'Planning Engine'!S1601</f>
        <v>50952</v>
      </c>
      <c r="N885" s="95">
        <f>'Planning Engine'!T1601</f>
        <v>0</v>
      </c>
      <c r="O885" s="98" t="s">
        <v>2633</v>
      </c>
      <c r="P885" s="4" t="str">
        <f t="shared" ca="1" si="27"/>
        <v>Defer receipts</v>
      </c>
    </row>
    <row r="886" spans="1:16" ht="13" customHeight="1" x14ac:dyDescent="0.35">
      <c r="A886" s="93">
        <v>51105</v>
      </c>
      <c r="B886" s="61" t="s">
        <v>58</v>
      </c>
      <c r="C886" s="12" t="str">
        <f>'Planning Engine'!C1602</f>
        <v>Raw Material</v>
      </c>
      <c r="D886" s="12" t="str">
        <f>'Planning Engine'!D1602</f>
        <v>kg</v>
      </c>
      <c r="E886" s="95">
        <f>'Planning Engine'!E1602</f>
        <v>106.67199999999997</v>
      </c>
      <c r="F886" s="95">
        <f>'Planning Engine'!F1602</f>
        <v>0</v>
      </c>
      <c r="G886" s="95">
        <f>'Planning Engine'!G1602</f>
        <v>0</v>
      </c>
      <c r="H886" s="95">
        <f t="shared" si="26"/>
        <v>0</v>
      </c>
      <c r="I886" s="95">
        <f>'Planning Engine'!H1602</f>
        <v>106.67199999999997</v>
      </c>
      <c r="J886" s="96">
        <f ca="1">'Planning Engine'!J1602</f>
        <v>999</v>
      </c>
      <c r="K886" s="95">
        <f ca="1">'Planning Engine'!K1602</f>
        <v>0</v>
      </c>
      <c r="L886" s="12" t="str">
        <f ca="1">'Planning Engine'!L1602</f>
        <v>Overstock</v>
      </c>
      <c r="M886" s="93">
        <f>'Planning Engine'!S1602</f>
        <v>50983</v>
      </c>
      <c r="N886" s="95">
        <f>'Planning Engine'!T1602</f>
        <v>0</v>
      </c>
      <c r="O886" s="94" t="s">
        <v>2634</v>
      </c>
      <c r="P886" s="12" t="str">
        <f t="shared" ca="1" si="27"/>
        <v>Defer receipts</v>
      </c>
    </row>
    <row r="887" spans="1:16" ht="13" customHeight="1" x14ac:dyDescent="0.35">
      <c r="A887" s="97">
        <v>51136</v>
      </c>
      <c r="B887" s="53" t="s">
        <v>58</v>
      </c>
      <c r="C887" s="12" t="str">
        <f>'Planning Engine'!C1603</f>
        <v>Raw Material</v>
      </c>
      <c r="D887" s="12" t="str">
        <f>'Planning Engine'!D1603</f>
        <v>kg</v>
      </c>
      <c r="E887" s="95">
        <f>'Planning Engine'!E1603</f>
        <v>106.67199999999997</v>
      </c>
      <c r="F887" s="95">
        <f>'Planning Engine'!F1603</f>
        <v>0</v>
      </c>
      <c r="G887" s="95">
        <f>'Planning Engine'!G1603</f>
        <v>0</v>
      </c>
      <c r="H887" s="99">
        <f t="shared" si="26"/>
        <v>0</v>
      </c>
      <c r="I887" s="95">
        <f>'Planning Engine'!H1603</f>
        <v>106.67199999999997</v>
      </c>
      <c r="J887" s="96">
        <f ca="1">'Planning Engine'!J1603</f>
        <v>999</v>
      </c>
      <c r="K887" s="95">
        <f ca="1">'Planning Engine'!K1603</f>
        <v>0</v>
      </c>
      <c r="L887" s="12" t="str">
        <f ca="1">'Planning Engine'!L1603</f>
        <v>Overstock</v>
      </c>
      <c r="M887" s="93">
        <f>'Planning Engine'!S1603</f>
        <v>51014</v>
      </c>
      <c r="N887" s="95">
        <f>'Planning Engine'!T1603</f>
        <v>0</v>
      </c>
      <c r="O887" s="98" t="s">
        <v>2635</v>
      </c>
      <c r="P887" s="4" t="str">
        <f t="shared" ca="1" si="27"/>
        <v>Defer receipts</v>
      </c>
    </row>
    <row r="888" spans="1:16" ht="13" customHeight="1" x14ac:dyDescent="0.35">
      <c r="A888" s="93">
        <v>51167</v>
      </c>
      <c r="B888" s="61" t="s">
        <v>58</v>
      </c>
      <c r="C888" s="12" t="str">
        <f>'Planning Engine'!C1604</f>
        <v>Raw Material</v>
      </c>
      <c r="D888" s="12" t="str">
        <f>'Planning Engine'!D1604</f>
        <v>kg</v>
      </c>
      <c r="E888" s="95">
        <f>'Planning Engine'!E1604</f>
        <v>106.67199999999997</v>
      </c>
      <c r="F888" s="95">
        <f>'Planning Engine'!F1604</f>
        <v>0</v>
      </c>
      <c r="G888" s="95">
        <f>'Planning Engine'!G1604</f>
        <v>0</v>
      </c>
      <c r="H888" s="95">
        <f t="shared" si="26"/>
        <v>0</v>
      </c>
      <c r="I888" s="95">
        <f>'Planning Engine'!H1604</f>
        <v>106.67199999999997</v>
      </c>
      <c r="J888" s="96">
        <f ca="1">'Planning Engine'!J1604</f>
        <v>999</v>
      </c>
      <c r="K888" s="95">
        <f ca="1">'Planning Engine'!K1604</f>
        <v>0</v>
      </c>
      <c r="L888" s="12" t="str">
        <f ca="1">'Planning Engine'!L1604</f>
        <v>Overstock</v>
      </c>
      <c r="M888" s="93">
        <f>'Planning Engine'!S1604</f>
        <v>51044</v>
      </c>
      <c r="N888" s="95">
        <f>'Planning Engine'!T1604</f>
        <v>0</v>
      </c>
      <c r="O888" s="94" t="s">
        <v>2636</v>
      </c>
      <c r="P888" s="12" t="str">
        <f t="shared" ca="1" si="27"/>
        <v>Defer receipts</v>
      </c>
    </row>
    <row r="889" spans="1:16" ht="13" customHeight="1" x14ac:dyDescent="0.35">
      <c r="A889" s="97">
        <v>51196</v>
      </c>
      <c r="B889" s="53" t="s">
        <v>58</v>
      </c>
      <c r="C889" s="12" t="str">
        <f>'Planning Engine'!C1605</f>
        <v>Raw Material</v>
      </c>
      <c r="D889" s="12" t="str">
        <f>'Planning Engine'!D1605</f>
        <v>kg</v>
      </c>
      <c r="E889" s="95">
        <f>'Planning Engine'!E1605</f>
        <v>106.67199999999997</v>
      </c>
      <c r="F889" s="95">
        <f>'Planning Engine'!F1605</f>
        <v>0</v>
      </c>
      <c r="G889" s="95">
        <f>'Planning Engine'!G1605</f>
        <v>0</v>
      </c>
      <c r="H889" s="99">
        <f t="shared" si="26"/>
        <v>0</v>
      </c>
      <c r="I889" s="95">
        <f>'Planning Engine'!H1605</f>
        <v>106.67199999999997</v>
      </c>
      <c r="J889" s="96">
        <f ca="1">'Planning Engine'!J1605</f>
        <v>999</v>
      </c>
      <c r="K889" s="95">
        <f ca="1">'Planning Engine'!K1605</f>
        <v>0</v>
      </c>
      <c r="L889" s="12" t="str">
        <f ca="1">'Planning Engine'!L1605</f>
        <v>Overstock</v>
      </c>
      <c r="M889" s="93">
        <f>'Planning Engine'!S1605</f>
        <v>51075</v>
      </c>
      <c r="N889" s="95">
        <f>'Planning Engine'!T1605</f>
        <v>0</v>
      </c>
      <c r="O889" s="98" t="s">
        <v>2637</v>
      </c>
      <c r="P889" s="4" t="str">
        <f t="shared" ca="1" si="27"/>
        <v>Defer receipts</v>
      </c>
    </row>
    <row r="890" spans="1:16" ht="13" customHeight="1" x14ac:dyDescent="0.35">
      <c r="A890" s="93">
        <v>51227</v>
      </c>
      <c r="B890" s="61" t="s">
        <v>58</v>
      </c>
      <c r="C890" s="12" t="str">
        <f>'Planning Engine'!C1606</f>
        <v>Raw Material</v>
      </c>
      <c r="D890" s="12" t="str">
        <f>'Planning Engine'!D1606</f>
        <v>kg</v>
      </c>
      <c r="E890" s="95">
        <f>'Planning Engine'!E1606</f>
        <v>106.67199999999997</v>
      </c>
      <c r="F890" s="95">
        <f>'Planning Engine'!F1606</f>
        <v>0</v>
      </c>
      <c r="G890" s="95">
        <f>'Planning Engine'!G1606</f>
        <v>0</v>
      </c>
      <c r="H890" s="95">
        <f t="shared" si="26"/>
        <v>0</v>
      </c>
      <c r="I890" s="95">
        <f>'Planning Engine'!H1606</f>
        <v>106.67199999999997</v>
      </c>
      <c r="J890" s="96">
        <f ca="1">'Planning Engine'!J1606</f>
        <v>999</v>
      </c>
      <c r="K890" s="95">
        <f ca="1">'Planning Engine'!K1606</f>
        <v>0</v>
      </c>
      <c r="L890" s="12" t="str">
        <f ca="1">'Planning Engine'!L1606</f>
        <v>Overstock</v>
      </c>
      <c r="M890" s="93">
        <f>'Planning Engine'!S1606</f>
        <v>51105</v>
      </c>
      <c r="N890" s="95">
        <f>'Planning Engine'!T1606</f>
        <v>0</v>
      </c>
      <c r="O890" s="94" t="s">
        <v>2638</v>
      </c>
      <c r="P890" s="12" t="str">
        <f t="shared" ca="1" si="27"/>
        <v>Defer receipts</v>
      </c>
    </row>
    <row r="891" spans="1:16" ht="13" customHeight="1" x14ac:dyDescent="0.35">
      <c r="A891" s="97">
        <v>51257</v>
      </c>
      <c r="B891" s="53" t="s">
        <v>58</v>
      </c>
      <c r="C891" s="12" t="str">
        <f>'Planning Engine'!C1607</f>
        <v>Raw Material</v>
      </c>
      <c r="D891" s="12" t="str">
        <f>'Planning Engine'!D1607</f>
        <v>kg</v>
      </c>
      <c r="E891" s="95">
        <f>'Planning Engine'!E1607</f>
        <v>106.67199999999997</v>
      </c>
      <c r="F891" s="95">
        <f>'Planning Engine'!F1607</f>
        <v>0</v>
      </c>
      <c r="G891" s="95">
        <f>'Planning Engine'!G1607</f>
        <v>0</v>
      </c>
      <c r="H891" s="99">
        <f t="shared" si="26"/>
        <v>0</v>
      </c>
      <c r="I891" s="95">
        <f>'Planning Engine'!H1607</f>
        <v>106.67199999999997</v>
      </c>
      <c r="J891" s="96">
        <f ca="1">'Planning Engine'!J1607</f>
        <v>999</v>
      </c>
      <c r="K891" s="95">
        <f ca="1">'Planning Engine'!K1607</f>
        <v>0</v>
      </c>
      <c r="L891" s="12" t="str">
        <f ca="1">'Planning Engine'!L1607</f>
        <v>Overstock</v>
      </c>
      <c r="M891" s="93">
        <f>'Planning Engine'!S1607</f>
        <v>51136</v>
      </c>
      <c r="N891" s="95">
        <f>'Planning Engine'!T1607</f>
        <v>0</v>
      </c>
      <c r="O891" s="98" t="s">
        <v>2639</v>
      </c>
      <c r="P891" s="4" t="str">
        <f t="shared" ca="1" si="27"/>
        <v>Defer receipts</v>
      </c>
    </row>
    <row r="892" spans="1:16" ht="13" customHeight="1" x14ac:dyDescent="0.35">
      <c r="A892" s="93">
        <v>51288</v>
      </c>
      <c r="B892" s="61" t="s">
        <v>58</v>
      </c>
      <c r="C892" s="12" t="str">
        <f>'Planning Engine'!C1608</f>
        <v>Raw Material</v>
      </c>
      <c r="D892" s="12" t="str">
        <f>'Planning Engine'!D1608</f>
        <v>kg</v>
      </c>
      <c r="E892" s="95">
        <f>'Planning Engine'!E1608</f>
        <v>106.67199999999997</v>
      </c>
      <c r="F892" s="95">
        <f>'Planning Engine'!F1608</f>
        <v>0</v>
      </c>
      <c r="G892" s="95">
        <f>'Planning Engine'!G1608</f>
        <v>0</v>
      </c>
      <c r="H892" s="95">
        <f t="shared" si="26"/>
        <v>0</v>
      </c>
      <c r="I892" s="95">
        <f>'Planning Engine'!H1608</f>
        <v>106.67199999999997</v>
      </c>
      <c r="J892" s="96">
        <f ca="1">'Planning Engine'!J1608</f>
        <v>999</v>
      </c>
      <c r="K892" s="95">
        <f ca="1">'Planning Engine'!K1608</f>
        <v>0</v>
      </c>
      <c r="L892" s="12" t="str">
        <f ca="1">'Planning Engine'!L1608</f>
        <v>Overstock</v>
      </c>
      <c r="M892" s="93">
        <f>'Planning Engine'!S1608</f>
        <v>51167</v>
      </c>
      <c r="N892" s="95">
        <f>'Planning Engine'!T1608</f>
        <v>0</v>
      </c>
      <c r="O892" s="94" t="s">
        <v>2640</v>
      </c>
      <c r="P892" s="12" t="str">
        <f t="shared" ca="1" si="27"/>
        <v>Defer receipts</v>
      </c>
    </row>
    <row r="893" spans="1:16" ht="13" customHeight="1" x14ac:dyDescent="0.35">
      <c r="A893" s="97">
        <v>51318</v>
      </c>
      <c r="B893" s="53" t="s">
        <v>58</v>
      </c>
      <c r="C893" s="12" t="str">
        <f>'Planning Engine'!C1609</f>
        <v>Raw Material</v>
      </c>
      <c r="D893" s="12" t="str">
        <f>'Planning Engine'!D1609</f>
        <v>kg</v>
      </c>
      <c r="E893" s="95">
        <f>'Planning Engine'!E1609</f>
        <v>106.67199999999997</v>
      </c>
      <c r="F893" s="95">
        <f>'Planning Engine'!F1609</f>
        <v>0</v>
      </c>
      <c r="G893" s="95">
        <f>'Planning Engine'!G1609</f>
        <v>0</v>
      </c>
      <c r="H893" s="99">
        <f t="shared" si="26"/>
        <v>0</v>
      </c>
      <c r="I893" s="95">
        <f>'Planning Engine'!H1609</f>
        <v>106.67199999999997</v>
      </c>
      <c r="J893" s="96">
        <f ca="1">'Planning Engine'!J1609</f>
        <v>999</v>
      </c>
      <c r="K893" s="95">
        <f ca="1">'Planning Engine'!K1609</f>
        <v>0</v>
      </c>
      <c r="L893" s="12" t="str">
        <f ca="1">'Planning Engine'!L1609</f>
        <v>Overstock</v>
      </c>
      <c r="M893" s="93">
        <f>'Planning Engine'!S1609</f>
        <v>51196</v>
      </c>
      <c r="N893" s="95">
        <f>'Planning Engine'!T1609</f>
        <v>0</v>
      </c>
      <c r="O893" s="98" t="s">
        <v>2641</v>
      </c>
      <c r="P893" s="4" t="str">
        <f t="shared" ca="1" si="27"/>
        <v>Defer receipts</v>
      </c>
    </row>
    <row r="894" spans="1:16" ht="13" customHeight="1" x14ac:dyDescent="0.35">
      <c r="A894" s="93">
        <v>51349</v>
      </c>
      <c r="B894" s="61" t="s">
        <v>58</v>
      </c>
      <c r="C894" s="12" t="str">
        <f>'Planning Engine'!C1610</f>
        <v>Raw Material</v>
      </c>
      <c r="D894" s="12" t="str">
        <f>'Planning Engine'!D1610</f>
        <v>kg</v>
      </c>
      <c r="E894" s="95">
        <f>'Planning Engine'!E1610</f>
        <v>106.67199999999997</v>
      </c>
      <c r="F894" s="95">
        <f>'Planning Engine'!F1610</f>
        <v>0</v>
      </c>
      <c r="G894" s="95">
        <f>'Planning Engine'!G1610</f>
        <v>0</v>
      </c>
      <c r="H894" s="95">
        <f t="shared" si="26"/>
        <v>0</v>
      </c>
      <c r="I894" s="95">
        <f>'Planning Engine'!H1610</f>
        <v>106.67199999999997</v>
      </c>
      <c r="J894" s="96">
        <f ca="1">'Planning Engine'!J1610</f>
        <v>999</v>
      </c>
      <c r="K894" s="95">
        <f ca="1">'Planning Engine'!K1610</f>
        <v>0</v>
      </c>
      <c r="L894" s="12" t="str">
        <f ca="1">'Planning Engine'!L1610</f>
        <v>Overstock</v>
      </c>
      <c r="M894" s="93">
        <f>'Planning Engine'!S1610</f>
        <v>51227</v>
      </c>
      <c r="N894" s="95">
        <f>'Planning Engine'!T1610</f>
        <v>0</v>
      </c>
      <c r="O894" s="94" t="s">
        <v>2642</v>
      </c>
      <c r="P894" s="12" t="str">
        <f t="shared" ca="1" si="27"/>
        <v>Defer receipts</v>
      </c>
    </row>
    <row r="895" spans="1:16" ht="13" customHeight="1" x14ac:dyDescent="0.35">
      <c r="A895" s="97">
        <v>51380</v>
      </c>
      <c r="B895" s="53" t="s">
        <v>58</v>
      </c>
      <c r="C895" s="12" t="str">
        <f>'Planning Engine'!C1611</f>
        <v>Raw Material</v>
      </c>
      <c r="D895" s="12" t="str">
        <f>'Planning Engine'!D1611</f>
        <v>kg</v>
      </c>
      <c r="E895" s="95">
        <f>'Planning Engine'!E1611</f>
        <v>106.67199999999997</v>
      </c>
      <c r="F895" s="95">
        <f>'Planning Engine'!F1611</f>
        <v>0</v>
      </c>
      <c r="G895" s="95">
        <f>'Planning Engine'!G1611</f>
        <v>0</v>
      </c>
      <c r="H895" s="99">
        <f t="shared" si="26"/>
        <v>0</v>
      </c>
      <c r="I895" s="95">
        <f>'Planning Engine'!H1611</f>
        <v>106.67199999999997</v>
      </c>
      <c r="J895" s="96">
        <f ca="1">'Planning Engine'!J1611</f>
        <v>999</v>
      </c>
      <c r="K895" s="95">
        <f ca="1">'Planning Engine'!K1611</f>
        <v>0</v>
      </c>
      <c r="L895" s="12" t="str">
        <f ca="1">'Planning Engine'!L1611</f>
        <v>Overstock</v>
      </c>
      <c r="M895" s="93">
        <f>'Planning Engine'!S1611</f>
        <v>51257</v>
      </c>
      <c r="N895" s="95">
        <f>'Planning Engine'!T1611</f>
        <v>0</v>
      </c>
      <c r="O895" s="98" t="s">
        <v>2643</v>
      </c>
      <c r="P895" s="4" t="str">
        <f t="shared" ca="1" si="27"/>
        <v>Defer receipts</v>
      </c>
    </row>
    <row r="896" spans="1:16" ht="13" customHeight="1" x14ac:dyDescent="0.35">
      <c r="A896" s="93">
        <v>51410</v>
      </c>
      <c r="B896" s="61" t="s">
        <v>58</v>
      </c>
      <c r="C896" s="12" t="str">
        <f>'Planning Engine'!C1612</f>
        <v>Raw Material</v>
      </c>
      <c r="D896" s="12" t="str">
        <f>'Planning Engine'!D1612</f>
        <v>kg</v>
      </c>
      <c r="E896" s="95">
        <f>'Planning Engine'!E1612</f>
        <v>106.67199999999997</v>
      </c>
      <c r="F896" s="95">
        <f>'Planning Engine'!F1612</f>
        <v>0</v>
      </c>
      <c r="G896" s="95">
        <f>'Planning Engine'!G1612</f>
        <v>0</v>
      </c>
      <c r="H896" s="95">
        <f t="shared" si="26"/>
        <v>0</v>
      </c>
      <c r="I896" s="95">
        <f>'Planning Engine'!H1612</f>
        <v>106.67199999999997</v>
      </c>
      <c r="J896" s="96">
        <f ca="1">'Planning Engine'!J1612</f>
        <v>999</v>
      </c>
      <c r="K896" s="95">
        <f ca="1">'Planning Engine'!K1612</f>
        <v>0</v>
      </c>
      <c r="L896" s="12" t="str">
        <f ca="1">'Planning Engine'!L1612</f>
        <v>Overstock</v>
      </c>
      <c r="M896" s="93">
        <f>'Planning Engine'!S1612</f>
        <v>51288</v>
      </c>
      <c r="N896" s="95">
        <f>'Planning Engine'!T1612</f>
        <v>0</v>
      </c>
      <c r="O896" s="94" t="s">
        <v>2644</v>
      </c>
      <c r="P896" s="12" t="str">
        <f t="shared" ca="1" si="27"/>
        <v>Defer receipts</v>
      </c>
    </row>
    <row r="897" spans="1:16" ht="13" customHeight="1" x14ac:dyDescent="0.35">
      <c r="A897" s="97">
        <v>51441</v>
      </c>
      <c r="B897" s="53" t="s">
        <v>58</v>
      </c>
      <c r="C897" s="12" t="str">
        <f>'Planning Engine'!C1613</f>
        <v>Raw Material</v>
      </c>
      <c r="D897" s="12" t="str">
        <f>'Planning Engine'!D1613</f>
        <v>kg</v>
      </c>
      <c r="E897" s="95">
        <f>'Planning Engine'!E1613</f>
        <v>106.67199999999997</v>
      </c>
      <c r="F897" s="95">
        <f>'Planning Engine'!F1613</f>
        <v>0</v>
      </c>
      <c r="G897" s="95">
        <f>'Planning Engine'!G1613</f>
        <v>0</v>
      </c>
      <c r="H897" s="99">
        <f t="shared" si="26"/>
        <v>0</v>
      </c>
      <c r="I897" s="95">
        <f>'Planning Engine'!H1613</f>
        <v>106.67199999999997</v>
      </c>
      <c r="J897" s="96">
        <f ca="1">'Planning Engine'!J1613</f>
        <v>999</v>
      </c>
      <c r="K897" s="95">
        <f ca="1">'Planning Engine'!K1613</f>
        <v>0</v>
      </c>
      <c r="L897" s="12" t="str">
        <f ca="1">'Planning Engine'!L1613</f>
        <v>Overstock</v>
      </c>
      <c r="M897" s="93">
        <f>'Planning Engine'!S1613</f>
        <v>51318</v>
      </c>
      <c r="N897" s="95">
        <f>'Planning Engine'!T1613</f>
        <v>0</v>
      </c>
      <c r="O897" s="98" t="s">
        <v>2645</v>
      </c>
      <c r="P897" s="4" t="str">
        <f t="shared" ca="1" si="27"/>
        <v>Defer receipts</v>
      </c>
    </row>
    <row r="898" spans="1:16" ht="13" customHeight="1" x14ac:dyDescent="0.35">
      <c r="A898" s="93">
        <v>51471</v>
      </c>
      <c r="B898" s="61" t="s">
        <v>58</v>
      </c>
      <c r="C898" s="12" t="str">
        <f>'Planning Engine'!C1614</f>
        <v>Raw Material</v>
      </c>
      <c r="D898" s="12" t="str">
        <f>'Planning Engine'!D1614</f>
        <v>kg</v>
      </c>
      <c r="E898" s="95">
        <f>'Planning Engine'!E1614</f>
        <v>106.67199999999997</v>
      </c>
      <c r="F898" s="95">
        <f>'Planning Engine'!F1614</f>
        <v>0</v>
      </c>
      <c r="G898" s="95">
        <f>'Planning Engine'!G1614</f>
        <v>0</v>
      </c>
      <c r="H898" s="95">
        <f t="shared" si="26"/>
        <v>0</v>
      </c>
      <c r="I898" s="95">
        <f>'Planning Engine'!H1614</f>
        <v>106.67199999999997</v>
      </c>
      <c r="J898" s="96">
        <f ca="1">'Planning Engine'!J1614</f>
        <v>999</v>
      </c>
      <c r="K898" s="95">
        <f ca="1">'Planning Engine'!K1614</f>
        <v>0</v>
      </c>
      <c r="L898" s="12" t="str">
        <f ca="1">'Planning Engine'!L1614</f>
        <v>Overstock</v>
      </c>
      <c r="M898" s="93">
        <f>'Planning Engine'!S1614</f>
        <v>51349</v>
      </c>
      <c r="N898" s="95">
        <f>'Planning Engine'!T1614</f>
        <v>0</v>
      </c>
      <c r="O898" s="94" t="s">
        <v>2646</v>
      </c>
      <c r="P898" s="12" t="str">
        <f t="shared" ca="1" si="27"/>
        <v>Defer receipts</v>
      </c>
    </row>
    <row r="899" spans="1:16" ht="13" customHeight="1" x14ac:dyDescent="0.35">
      <c r="A899" s="97">
        <v>46054</v>
      </c>
      <c r="B899" s="53" t="s">
        <v>50</v>
      </c>
      <c r="C899" s="12" t="str">
        <f>'Planning Engine'!C1615</f>
        <v>Raw Material</v>
      </c>
      <c r="D899" s="12" t="str">
        <f>'Planning Engine'!D1615</f>
        <v>kg</v>
      </c>
      <c r="E899" s="95">
        <f>'Planning Engine'!E1615</f>
        <v>195.85</v>
      </c>
      <c r="F899" s="95">
        <f>'Planning Engine'!F1615</f>
        <v>0</v>
      </c>
      <c r="G899" s="95">
        <f>'Planning Engine'!G1615</f>
        <v>0</v>
      </c>
      <c r="H899" s="99">
        <f t="shared" si="26"/>
        <v>0</v>
      </c>
      <c r="I899" s="95">
        <f>'Planning Engine'!H1615</f>
        <v>195.85</v>
      </c>
      <c r="J899" s="96">
        <f ca="1">'Planning Engine'!J1615</f>
        <v>5.058109504132231</v>
      </c>
      <c r="K899" s="95">
        <f ca="1">'Planning Engine'!K1615</f>
        <v>0</v>
      </c>
      <c r="L899" s="12" t="str">
        <f ca="1">'Planning Engine'!L1615</f>
        <v>Low</v>
      </c>
      <c r="M899" s="93">
        <f>'Planning Engine'!S1615</f>
        <v>45931</v>
      </c>
      <c r="N899" s="95">
        <f>'Planning Engine'!T1615</f>
        <v>0</v>
      </c>
      <c r="O899" s="98" t="s">
        <v>2647</v>
      </c>
      <c r="P899" s="4" t="str">
        <f t="shared" ca="1" si="27"/>
        <v>OK</v>
      </c>
    </row>
    <row r="900" spans="1:16" ht="13" customHeight="1" x14ac:dyDescent="0.35">
      <c r="A900" s="93">
        <v>46082</v>
      </c>
      <c r="B900" s="61" t="s">
        <v>50</v>
      </c>
      <c r="C900" s="12" t="str">
        <f>'Planning Engine'!C1616</f>
        <v>Raw Material</v>
      </c>
      <c r="D900" s="12" t="str">
        <f>'Planning Engine'!D1616</f>
        <v>kg</v>
      </c>
      <c r="E900" s="95">
        <f>'Planning Engine'!E1616</f>
        <v>195.85</v>
      </c>
      <c r="F900" s="95">
        <f>'Planning Engine'!F1616</f>
        <v>0</v>
      </c>
      <c r="G900" s="95">
        <f>'Planning Engine'!G1616</f>
        <v>0</v>
      </c>
      <c r="H900" s="95">
        <f t="shared" ref="H900:H963" si="28">G900-F900</f>
        <v>0</v>
      </c>
      <c r="I900" s="95">
        <f>'Planning Engine'!H1616</f>
        <v>195.85</v>
      </c>
      <c r="J900" s="96">
        <f ca="1">'Planning Engine'!J1616</f>
        <v>5.058109504132231</v>
      </c>
      <c r="K900" s="95">
        <f ca="1">'Planning Engine'!K1616</f>
        <v>0</v>
      </c>
      <c r="L900" s="12" t="str">
        <f ca="1">'Planning Engine'!L1616</f>
        <v>Low</v>
      </c>
      <c r="M900" s="93">
        <f>'Planning Engine'!S1616</f>
        <v>45962</v>
      </c>
      <c r="N900" s="95">
        <f>'Planning Engine'!T1616</f>
        <v>0</v>
      </c>
      <c r="O900" s="94" t="s">
        <v>2648</v>
      </c>
      <c r="P900" s="12" t="str">
        <f t="shared" ref="P900:P963" ca="1" si="29">IFERROR(IF(L900="High","⚠ Expedite / qualify alternate source",IF(L900="Medium","Monitor — plan additional POs",IF(L900="Overstock","Defer receipts","OK"))),"--")</f>
        <v>OK</v>
      </c>
    </row>
    <row r="901" spans="1:16" ht="13" customHeight="1" x14ac:dyDescent="0.35">
      <c r="A901" s="97">
        <v>46113</v>
      </c>
      <c r="B901" s="53" t="s">
        <v>50</v>
      </c>
      <c r="C901" s="12" t="str">
        <f>'Planning Engine'!C1617</f>
        <v>Raw Material</v>
      </c>
      <c r="D901" s="12" t="str">
        <f>'Planning Engine'!D1617</f>
        <v>kg</v>
      </c>
      <c r="E901" s="95">
        <f>'Planning Engine'!E1617</f>
        <v>195.85</v>
      </c>
      <c r="F901" s="95">
        <f>'Planning Engine'!F1617</f>
        <v>0</v>
      </c>
      <c r="G901" s="95">
        <f>'Planning Engine'!G1617</f>
        <v>0</v>
      </c>
      <c r="H901" s="99">
        <f t="shared" si="28"/>
        <v>0</v>
      </c>
      <c r="I901" s="95">
        <f>'Planning Engine'!H1617</f>
        <v>195.85</v>
      </c>
      <c r="J901" s="96">
        <f ca="1">'Planning Engine'!J1617</f>
        <v>5.058109504132231</v>
      </c>
      <c r="K901" s="95">
        <f ca="1">'Planning Engine'!K1617</f>
        <v>0</v>
      </c>
      <c r="L901" s="12" t="str">
        <f ca="1">'Planning Engine'!L1617</f>
        <v>Low</v>
      </c>
      <c r="M901" s="93">
        <f>'Planning Engine'!S1617</f>
        <v>45992</v>
      </c>
      <c r="N901" s="95">
        <f>'Planning Engine'!T1617</f>
        <v>0</v>
      </c>
      <c r="O901" s="98" t="s">
        <v>2649</v>
      </c>
      <c r="P901" s="4" t="str">
        <f t="shared" ca="1" si="29"/>
        <v>OK</v>
      </c>
    </row>
    <row r="902" spans="1:16" ht="13" customHeight="1" x14ac:dyDescent="0.35">
      <c r="A902" s="93">
        <v>46143</v>
      </c>
      <c r="B902" s="61" t="s">
        <v>50</v>
      </c>
      <c r="C902" s="12" t="str">
        <f>'Planning Engine'!C1618</f>
        <v>Raw Material</v>
      </c>
      <c r="D902" s="12" t="str">
        <f>'Planning Engine'!D1618</f>
        <v>kg</v>
      </c>
      <c r="E902" s="95">
        <f>'Planning Engine'!E1618</f>
        <v>195.85</v>
      </c>
      <c r="F902" s="95">
        <f>'Planning Engine'!F1618</f>
        <v>38.72</v>
      </c>
      <c r="G902" s="95">
        <f>'Planning Engine'!G1618</f>
        <v>0</v>
      </c>
      <c r="H902" s="95">
        <f t="shared" si="28"/>
        <v>-38.72</v>
      </c>
      <c r="I902" s="95">
        <f>'Planning Engine'!H1618</f>
        <v>157.13</v>
      </c>
      <c r="J902" s="96">
        <f ca="1">'Planning Engine'!J1618</f>
        <v>4.058109504132231</v>
      </c>
      <c r="K902" s="95">
        <f ca="1">'Planning Engine'!K1618</f>
        <v>0</v>
      </c>
      <c r="L902" s="12" t="str">
        <f ca="1">'Planning Engine'!L1618</f>
        <v>Low</v>
      </c>
      <c r="M902" s="93">
        <f>'Planning Engine'!S1618</f>
        <v>46023</v>
      </c>
      <c r="N902" s="95">
        <f>'Planning Engine'!T1618</f>
        <v>0</v>
      </c>
      <c r="O902" s="94" t="s">
        <v>2650</v>
      </c>
      <c r="P902" s="12" t="str">
        <f t="shared" ca="1" si="29"/>
        <v>OK</v>
      </c>
    </row>
    <row r="903" spans="1:16" ht="13" customHeight="1" x14ac:dyDescent="0.35">
      <c r="A903" s="97">
        <v>46174</v>
      </c>
      <c r="B903" s="53" t="s">
        <v>50</v>
      </c>
      <c r="C903" s="12" t="str">
        <f>'Planning Engine'!C1619</f>
        <v>Raw Material</v>
      </c>
      <c r="D903" s="12" t="str">
        <f>'Planning Engine'!D1619</f>
        <v>kg</v>
      </c>
      <c r="E903" s="95">
        <f>'Planning Engine'!E1619</f>
        <v>157.13</v>
      </c>
      <c r="F903" s="95">
        <f>'Planning Engine'!F1619</f>
        <v>58.08</v>
      </c>
      <c r="G903" s="95">
        <f>'Planning Engine'!G1619</f>
        <v>0</v>
      </c>
      <c r="H903" s="99">
        <f t="shared" si="28"/>
        <v>-58.08</v>
      </c>
      <c r="I903" s="95">
        <f>'Planning Engine'!H1619</f>
        <v>99.05</v>
      </c>
      <c r="J903" s="96">
        <f ca="1">'Planning Engine'!J1619</f>
        <v>2.5581095041322315</v>
      </c>
      <c r="K903" s="95">
        <f ca="1">'Planning Engine'!K1619</f>
        <v>0</v>
      </c>
      <c r="L903" s="12" t="str">
        <f ca="1">'Planning Engine'!L1619</f>
        <v>High</v>
      </c>
      <c r="M903" s="93">
        <f>'Planning Engine'!S1619</f>
        <v>46054</v>
      </c>
      <c r="N903" s="95">
        <f>'Planning Engine'!T1619</f>
        <v>0</v>
      </c>
      <c r="O903" s="98" t="s">
        <v>2651</v>
      </c>
      <c r="P903" s="4" t="str">
        <f t="shared" ca="1" si="29"/>
        <v>⚠ Expedite / qualify alternate source</v>
      </c>
    </row>
    <row r="904" spans="1:16" ht="13" customHeight="1" x14ac:dyDescent="0.35">
      <c r="A904" s="93">
        <v>46204</v>
      </c>
      <c r="B904" s="61" t="s">
        <v>50</v>
      </c>
      <c r="C904" s="12" t="str">
        <f>'Planning Engine'!C1620</f>
        <v>Raw Material</v>
      </c>
      <c r="D904" s="12" t="str">
        <f>'Planning Engine'!D1620</f>
        <v>kg</v>
      </c>
      <c r="E904" s="95">
        <f>'Planning Engine'!E1620</f>
        <v>99.05</v>
      </c>
      <c r="F904" s="95">
        <f>'Planning Engine'!F1620</f>
        <v>19.36</v>
      </c>
      <c r="G904" s="95">
        <f>'Planning Engine'!G1620</f>
        <v>0</v>
      </c>
      <c r="H904" s="95">
        <f t="shared" si="28"/>
        <v>-19.36</v>
      </c>
      <c r="I904" s="95">
        <f>'Planning Engine'!H1620</f>
        <v>79.69</v>
      </c>
      <c r="J904" s="96">
        <f ca="1">'Planning Engine'!J1620</f>
        <v>4.116219008264463</v>
      </c>
      <c r="K904" s="95">
        <f ca="1">'Planning Engine'!K1620</f>
        <v>0</v>
      </c>
      <c r="L904" s="12" t="str">
        <f ca="1">'Planning Engine'!L1620</f>
        <v>Low</v>
      </c>
      <c r="M904" s="93">
        <f>'Planning Engine'!S1620</f>
        <v>46082</v>
      </c>
      <c r="N904" s="95">
        <f>'Planning Engine'!T1620</f>
        <v>0</v>
      </c>
      <c r="O904" s="94" t="s">
        <v>2652</v>
      </c>
      <c r="P904" s="12" t="str">
        <f t="shared" ca="1" si="29"/>
        <v>OK</v>
      </c>
    </row>
    <row r="905" spans="1:16" ht="13" customHeight="1" x14ac:dyDescent="0.35">
      <c r="A905" s="97">
        <v>46235</v>
      </c>
      <c r="B905" s="53" t="s">
        <v>50</v>
      </c>
      <c r="C905" s="12" t="str">
        <f>'Planning Engine'!C1621</f>
        <v>Raw Material</v>
      </c>
      <c r="D905" s="12" t="str">
        <f>'Planning Engine'!D1621</f>
        <v>kg</v>
      </c>
      <c r="E905" s="95">
        <f>'Planning Engine'!E1621</f>
        <v>79.69</v>
      </c>
      <c r="F905" s="95">
        <f>'Planning Engine'!F1621</f>
        <v>0</v>
      </c>
      <c r="G905" s="95">
        <f>'Planning Engine'!G1621</f>
        <v>0</v>
      </c>
      <c r="H905" s="99">
        <f t="shared" si="28"/>
        <v>0</v>
      </c>
      <c r="I905" s="95">
        <f>'Planning Engine'!H1621</f>
        <v>79.69</v>
      </c>
      <c r="J905" s="96">
        <f ca="1">'Planning Engine'!J1621</f>
        <v>2.0581095041322315</v>
      </c>
      <c r="K905" s="95">
        <f ca="1">'Planning Engine'!K1621</f>
        <v>0</v>
      </c>
      <c r="L905" s="12" t="str">
        <f ca="1">'Planning Engine'!L1621</f>
        <v>High</v>
      </c>
      <c r="M905" s="93">
        <f>'Planning Engine'!S1621</f>
        <v>46113</v>
      </c>
      <c r="N905" s="95">
        <f>'Planning Engine'!T1621</f>
        <v>0</v>
      </c>
      <c r="O905" s="98" t="s">
        <v>2653</v>
      </c>
      <c r="P905" s="4" t="str">
        <f t="shared" ca="1" si="29"/>
        <v>⚠ Expedite / qualify alternate source</v>
      </c>
    </row>
    <row r="906" spans="1:16" ht="13" customHeight="1" x14ac:dyDescent="0.35">
      <c r="A906" s="93">
        <v>46266</v>
      </c>
      <c r="B906" s="61" t="s">
        <v>50</v>
      </c>
      <c r="C906" s="12" t="str">
        <f>'Planning Engine'!C1622</f>
        <v>Raw Material</v>
      </c>
      <c r="D906" s="12" t="str">
        <f>'Planning Engine'!D1622</f>
        <v>kg</v>
      </c>
      <c r="E906" s="95">
        <f>'Planning Engine'!E1622</f>
        <v>79.69</v>
      </c>
      <c r="F906" s="95">
        <f>'Planning Engine'!F1622</f>
        <v>0</v>
      </c>
      <c r="G906" s="95">
        <f>'Planning Engine'!G1622</f>
        <v>0</v>
      </c>
      <c r="H906" s="95">
        <f t="shared" si="28"/>
        <v>0</v>
      </c>
      <c r="I906" s="95">
        <f>'Planning Engine'!H1622</f>
        <v>79.69</v>
      </c>
      <c r="J906" s="96">
        <f ca="1">'Planning Engine'!J1622</f>
        <v>2.0581095041322315</v>
      </c>
      <c r="K906" s="95">
        <f ca="1">'Planning Engine'!K1622</f>
        <v>0</v>
      </c>
      <c r="L906" s="12" t="str">
        <f ca="1">'Planning Engine'!L1622</f>
        <v>High</v>
      </c>
      <c r="M906" s="93">
        <f>'Planning Engine'!S1622</f>
        <v>46143</v>
      </c>
      <c r="N906" s="95">
        <f>'Planning Engine'!T1622</f>
        <v>0</v>
      </c>
      <c r="O906" s="94" t="s">
        <v>2654</v>
      </c>
      <c r="P906" s="12" t="str">
        <f t="shared" ca="1" si="29"/>
        <v>⚠ Expedite / qualify alternate source</v>
      </c>
    </row>
    <row r="907" spans="1:16" ht="13" customHeight="1" x14ac:dyDescent="0.35">
      <c r="A907" s="97">
        <v>46296</v>
      </c>
      <c r="B907" s="53" t="s">
        <v>50</v>
      </c>
      <c r="C907" s="12" t="str">
        <f>'Planning Engine'!C1623</f>
        <v>Raw Material</v>
      </c>
      <c r="D907" s="12" t="str">
        <f>'Planning Engine'!D1623</f>
        <v>kg</v>
      </c>
      <c r="E907" s="95">
        <f>'Planning Engine'!E1623</f>
        <v>79.69</v>
      </c>
      <c r="F907" s="95">
        <f>'Planning Engine'!F1623</f>
        <v>0</v>
      </c>
      <c r="G907" s="95">
        <f>'Planning Engine'!G1623</f>
        <v>0</v>
      </c>
      <c r="H907" s="99">
        <f t="shared" si="28"/>
        <v>0</v>
      </c>
      <c r="I907" s="95">
        <f>'Planning Engine'!H1623</f>
        <v>79.69</v>
      </c>
      <c r="J907" s="96">
        <f ca="1">'Planning Engine'!J1623</f>
        <v>2.0581095041322315</v>
      </c>
      <c r="K907" s="95">
        <f ca="1">'Planning Engine'!K1623</f>
        <v>0</v>
      </c>
      <c r="L907" s="12" t="str">
        <f ca="1">'Planning Engine'!L1623</f>
        <v>High</v>
      </c>
      <c r="M907" s="93">
        <f>'Planning Engine'!S1623</f>
        <v>46174</v>
      </c>
      <c r="N907" s="95">
        <f>'Planning Engine'!T1623</f>
        <v>0</v>
      </c>
      <c r="O907" s="98" t="s">
        <v>2655</v>
      </c>
      <c r="P907" s="4" t="str">
        <f t="shared" ca="1" si="29"/>
        <v>⚠ Expedite / qualify alternate source</v>
      </c>
    </row>
    <row r="908" spans="1:16" ht="13" customHeight="1" x14ac:dyDescent="0.35">
      <c r="A908" s="93">
        <v>46327</v>
      </c>
      <c r="B908" s="61" t="s">
        <v>50</v>
      </c>
      <c r="C908" s="12" t="str">
        <f>'Planning Engine'!C1624</f>
        <v>Raw Material</v>
      </c>
      <c r="D908" s="12" t="str">
        <f>'Planning Engine'!D1624</f>
        <v>kg</v>
      </c>
      <c r="E908" s="95">
        <f>'Planning Engine'!E1624</f>
        <v>79.69</v>
      </c>
      <c r="F908" s="95">
        <f>'Planning Engine'!F1624</f>
        <v>0</v>
      </c>
      <c r="G908" s="95">
        <f>'Planning Engine'!G1624</f>
        <v>0</v>
      </c>
      <c r="H908" s="95">
        <f t="shared" si="28"/>
        <v>0</v>
      </c>
      <c r="I908" s="95">
        <f>'Planning Engine'!H1624</f>
        <v>79.69</v>
      </c>
      <c r="J908" s="96">
        <f ca="1">'Planning Engine'!J1624</f>
        <v>2.0581095041322315</v>
      </c>
      <c r="K908" s="95">
        <f ca="1">'Planning Engine'!K1624</f>
        <v>0</v>
      </c>
      <c r="L908" s="12" t="str">
        <f ca="1">'Planning Engine'!L1624</f>
        <v>High</v>
      </c>
      <c r="M908" s="93">
        <f>'Planning Engine'!S1624</f>
        <v>46204</v>
      </c>
      <c r="N908" s="95">
        <f>'Planning Engine'!T1624</f>
        <v>0</v>
      </c>
      <c r="O908" s="94" t="s">
        <v>2656</v>
      </c>
      <c r="P908" s="12" t="str">
        <f t="shared" ca="1" si="29"/>
        <v>⚠ Expedite / qualify alternate source</v>
      </c>
    </row>
    <row r="909" spans="1:16" ht="13" customHeight="1" x14ac:dyDescent="0.35">
      <c r="A909" s="97">
        <v>46357</v>
      </c>
      <c r="B909" s="53" t="s">
        <v>50</v>
      </c>
      <c r="C909" s="12" t="str">
        <f>'Planning Engine'!C1625</f>
        <v>Raw Material</v>
      </c>
      <c r="D909" s="12" t="str">
        <f>'Planning Engine'!D1625</f>
        <v>kg</v>
      </c>
      <c r="E909" s="95">
        <f>'Planning Engine'!E1625</f>
        <v>79.69</v>
      </c>
      <c r="F909" s="95">
        <f>'Planning Engine'!F1625</f>
        <v>0</v>
      </c>
      <c r="G909" s="95">
        <f>'Planning Engine'!G1625</f>
        <v>0</v>
      </c>
      <c r="H909" s="99">
        <f t="shared" si="28"/>
        <v>0</v>
      </c>
      <c r="I909" s="95">
        <f>'Planning Engine'!H1625</f>
        <v>79.69</v>
      </c>
      <c r="J909" s="96">
        <f ca="1">'Planning Engine'!J1625</f>
        <v>2.0581095041322315</v>
      </c>
      <c r="K909" s="95">
        <f ca="1">'Planning Engine'!K1625</f>
        <v>0</v>
      </c>
      <c r="L909" s="12" t="str">
        <f ca="1">'Planning Engine'!L1625</f>
        <v>High</v>
      </c>
      <c r="M909" s="93">
        <f>'Planning Engine'!S1625</f>
        <v>46235</v>
      </c>
      <c r="N909" s="95">
        <f>'Planning Engine'!T1625</f>
        <v>0</v>
      </c>
      <c r="O909" s="98" t="s">
        <v>2657</v>
      </c>
      <c r="P909" s="4" t="str">
        <f t="shared" ca="1" si="29"/>
        <v>⚠ Expedite / qualify alternate source</v>
      </c>
    </row>
    <row r="910" spans="1:16" ht="13" customHeight="1" x14ac:dyDescent="0.35">
      <c r="A910" s="93">
        <v>46388</v>
      </c>
      <c r="B910" s="61" t="s">
        <v>50</v>
      </c>
      <c r="C910" s="12" t="str">
        <f>'Planning Engine'!C1626</f>
        <v>Raw Material</v>
      </c>
      <c r="D910" s="12" t="str">
        <f>'Planning Engine'!D1626</f>
        <v>kg</v>
      </c>
      <c r="E910" s="95">
        <f>'Planning Engine'!E1626</f>
        <v>79.69</v>
      </c>
      <c r="F910" s="95">
        <f>'Planning Engine'!F1626</f>
        <v>0</v>
      </c>
      <c r="G910" s="95">
        <f>'Planning Engine'!G1626</f>
        <v>165</v>
      </c>
      <c r="H910" s="95">
        <f t="shared" si="28"/>
        <v>165</v>
      </c>
      <c r="I910" s="95">
        <f>'Planning Engine'!H1626</f>
        <v>244.69</v>
      </c>
      <c r="J910" s="96">
        <f ca="1">'Planning Engine'!J1626</f>
        <v>6.3194731404958677</v>
      </c>
      <c r="K910" s="95">
        <f ca="1">'Planning Engine'!K1626</f>
        <v>0</v>
      </c>
      <c r="L910" s="12" t="str">
        <f ca="1">'Planning Engine'!L1626</f>
        <v>Low</v>
      </c>
      <c r="M910" s="93">
        <f>'Planning Engine'!S1626</f>
        <v>46266</v>
      </c>
      <c r="N910" s="95">
        <f>'Planning Engine'!T1626</f>
        <v>165</v>
      </c>
      <c r="O910" s="94" t="s">
        <v>2658</v>
      </c>
      <c r="P910" s="12" t="str">
        <f t="shared" ca="1" si="29"/>
        <v>OK</v>
      </c>
    </row>
    <row r="911" spans="1:16" ht="13" customHeight="1" x14ac:dyDescent="0.35">
      <c r="A911" s="97">
        <v>46419</v>
      </c>
      <c r="B911" s="53" t="s">
        <v>50</v>
      </c>
      <c r="C911" s="12" t="str">
        <f>'Planning Engine'!C1627</f>
        <v>Raw Material</v>
      </c>
      <c r="D911" s="12" t="str">
        <f>'Planning Engine'!D1627</f>
        <v>kg</v>
      </c>
      <c r="E911" s="95">
        <f>'Planning Engine'!E1627</f>
        <v>244.69</v>
      </c>
      <c r="F911" s="95">
        <f>'Planning Engine'!F1627</f>
        <v>0</v>
      </c>
      <c r="G911" s="95">
        <f>'Planning Engine'!G1627</f>
        <v>0</v>
      </c>
      <c r="H911" s="99">
        <f t="shared" si="28"/>
        <v>0</v>
      </c>
      <c r="I911" s="95">
        <f>'Planning Engine'!H1627</f>
        <v>244.69</v>
      </c>
      <c r="J911" s="96">
        <f ca="1">'Planning Engine'!J1627</f>
        <v>6.3194731404958677</v>
      </c>
      <c r="K911" s="95">
        <f ca="1">'Planning Engine'!K1627</f>
        <v>0</v>
      </c>
      <c r="L911" s="12" t="str">
        <f ca="1">'Planning Engine'!L1627</f>
        <v>Low</v>
      </c>
      <c r="M911" s="93">
        <f>'Planning Engine'!S1627</f>
        <v>46296</v>
      </c>
      <c r="N911" s="95">
        <f>'Planning Engine'!T1627</f>
        <v>0</v>
      </c>
      <c r="O911" s="98" t="s">
        <v>2659</v>
      </c>
      <c r="P911" s="4" t="str">
        <f t="shared" ca="1" si="29"/>
        <v>OK</v>
      </c>
    </row>
    <row r="912" spans="1:16" ht="13" customHeight="1" x14ac:dyDescent="0.35">
      <c r="A912" s="93">
        <v>46447</v>
      </c>
      <c r="B912" s="61" t="s">
        <v>50</v>
      </c>
      <c r="C912" s="12" t="str">
        <f>'Planning Engine'!C1628</f>
        <v>Raw Material</v>
      </c>
      <c r="D912" s="12" t="str">
        <f>'Planning Engine'!D1628</f>
        <v>kg</v>
      </c>
      <c r="E912" s="95">
        <f>'Planning Engine'!E1628</f>
        <v>244.69</v>
      </c>
      <c r="F912" s="95">
        <f>'Planning Engine'!F1628</f>
        <v>0</v>
      </c>
      <c r="G912" s="95">
        <f>'Planning Engine'!G1628</f>
        <v>0</v>
      </c>
      <c r="H912" s="95">
        <f t="shared" si="28"/>
        <v>0</v>
      </c>
      <c r="I912" s="95">
        <f>'Planning Engine'!H1628</f>
        <v>244.69</v>
      </c>
      <c r="J912" s="96">
        <f ca="1">'Planning Engine'!J1628</f>
        <v>6.3194731404958677</v>
      </c>
      <c r="K912" s="95">
        <f ca="1">'Planning Engine'!K1628</f>
        <v>0</v>
      </c>
      <c r="L912" s="12" t="str">
        <f ca="1">'Planning Engine'!L1628</f>
        <v>Low</v>
      </c>
      <c r="M912" s="93">
        <f>'Planning Engine'!S1628</f>
        <v>46327</v>
      </c>
      <c r="N912" s="95">
        <f>'Planning Engine'!T1628</f>
        <v>0</v>
      </c>
      <c r="O912" s="94" t="s">
        <v>2660</v>
      </c>
      <c r="P912" s="12" t="str">
        <f t="shared" ca="1" si="29"/>
        <v>OK</v>
      </c>
    </row>
    <row r="913" spans="1:16" ht="13" customHeight="1" x14ac:dyDescent="0.35">
      <c r="A913" s="97">
        <v>46478</v>
      </c>
      <c r="B913" s="53" t="s">
        <v>50</v>
      </c>
      <c r="C913" s="12" t="str">
        <f>'Planning Engine'!C1629</f>
        <v>Raw Material</v>
      </c>
      <c r="D913" s="12" t="str">
        <f>'Planning Engine'!D1629</f>
        <v>kg</v>
      </c>
      <c r="E913" s="95">
        <f>'Planning Engine'!E1629</f>
        <v>244.69</v>
      </c>
      <c r="F913" s="95">
        <f>'Planning Engine'!F1629</f>
        <v>38.72</v>
      </c>
      <c r="G913" s="95">
        <f>'Planning Engine'!G1629</f>
        <v>0</v>
      </c>
      <c r="H913" s="99">
        <f t="shared" si="28"/>
        <v>-38.72</v>
      </c>
      <c r="I913" s="95">
        <f>'Planning Engine'!H1629</f>
        <v>205.97</v>
      </c>
      <c r="J913" s="96">
        <f ca="1">'Planning Engine'!J1629</f>
        <v>5.3194731404958677</v>
      </c>
      <c r="K913" s="95">
        <f ca="1">'Planning Engine'!K1629</f>
        <v>0</v>
      </c>
      <c r="L913" s="12" t="str">
        <f ca="1">'Planning Engine'!L1629</f>
        <v>Low</v>
      </c>
      <c r="M913" s="93">
        <f>'Planning Engine'!S1629</f>
        <v>46357</v>
      </c>
      <c r="N913" s="95">
        <f>'Planning Engine'!T1629</f>
        <v>0</v>
      </c>
      <c r="O913" s="98" t="s">
        <v>2661</v>
      </c>
      <c r="P913" s="4" t="str">
        <f t="shared" ca="1" si="29"/>
        <v>OK</v>
      </c>
    </row>
    <row r="914" spans="1:16" ht="13" customHeight="1" x14ac:dyDescent="0.35">
      <c r="A914" s="93">
        <v>46508</v>
      </c>
      <c r="B914" s="61" t="s">
        <v>50</v>
      </c>
      <c r="C914" s="12" t="str">
        <f>'Planning Engine'!C1630</f>
        <v>Raw Material</v>
      </c>
      <c r="D914" s="12" t="str">
        <f>'Planning Engine'!D1630</f>
        <v>kg</v>
      </c>
      <c r="E914" s="95">
        <f>'Planning Engine'!E1630</f>
        <v>205.97</v>
      </c>
      <c r="F914" s="95">
        <f>'Planning Engine'!F1630</f>
        <v>38.72</v>
      </c>
      <c r="G914" s="95">
        <f>'Planning Engine'!G1630</f>
        <v>0</v>
      </c>
      <c r="H914" s="95">
        <f t="shared" si="28"/>
        <v>-38.72</v>
      </c>
      <c r="I914" s="95">
        <f>'Planning Engine'!H1630</f>
        <v>167.25</v>
      </c>
      <c r="J914" s="96">
        <f ca="1">'Planning Engine'!J1630</f>
        <v>4.3194731404958677</v>
      </c>
      <c r="K914" s="95">
        <f ca="1">'Planning Engine'!K1630</f>
        <v>0</v>
      </c>
      <c r="L914" s="12" t="str">
        <f ca="1">'Planning Engine'!L1630</f>
        <v>Low</v>
      </c>
      <c r="M914" s="93">
        <f>'Planning Engine'!S1630</f>
        <v>46388</v>
      </c>
      <c r="N914" s="95">
        <f>'Planning Engine'!T1630</f>
        <v>0</v>
      </c>
      <c r="O914" s="94" t="s">
        <v>2662</v>
      </c>
      <c r="P914" s="12" t="str">
        <f t="shared" ca="1" si="29"/>
        <v>OK</v>
      </c>
    </row>
    <row r="915" spans="1:16" ht="13" customHeight="1" x14ac:dyDescent="0.35">
      <c r="A915" s="97">
        <v>46539</v>
      </c>
      <c r="B915" s="53" t="s">
        <v>50</v>
      </c>
      <c r="C915" s="12" t="str">
        <f>'Planning Engine'!C1631</f>
        <v>Raw Material</v>
      </c>
      <c r="D915" s="12" t="str">
        <f>'Planning Engine'!D1631</f>
        <v>kg</v>
      </c>
      <c r="E915" s="95">
        <f>'Planning Engine'!E1631</f>
        <v>167.25</v>
      </c>
      <c r="F915" s="95">
        <f>'Planning Engine'!F1631</f>
        <v>38.72</v>
      </c>
      <c r="G915" s="95">
        <f>'Planning Engine'!G1631</f>
        <v>0</v>
      </c>
      <c r="H915" s="99">
        <f t="shared" si="28"/>
        <v>-38.72</v>
      </c>
      <c r="I915" s="95">
        <f>'Planning Engine'!H1631</f>
        <v>128.53</v>
      </c>
      <c r="J915" s="96">
        <f ca="1">'Planning Engine'!J1631</f>
        <v>3.3194731404958677</v>
      </c>
      <c r="K915" s="95">
        <f ca="1">'Planning Engine'!K1631</f>
        <v>0</v>
      </c>
      <c r="L915" s="12" t="str">
        <f ca="1">'Planning Engine'!L1631</f>
        <v>Medium</v>
      </c>
      <c r="M915" s="93">
        <f>'Planning Engine'!S1631</f>
        <v>46419</v>
      </c>
      <c r="N915" s="95">
        <f>'Planning Engine'!T1631</f>
        <v>0</v>
      </c>
      <c r="O915" s="98" t="s">
        <v>2663</v>
      </c>
      <c r="P915" s="4" t="str">
        <f t="shared" ca="1" si="29"/>
        <v>Monitor — plan additional POs</v>
      </c>
    </row>
    <row r="916" spans="1:16" ht="13" customHeight="1" x14ac:dyDescent="0.35">
      <c r="A916" s="93">
        <v>46569</v>
      </c>
      <c r="B916" s="61" t="s">
        <v>50</v>
      </c>
      <c r="C916" s="12" t="str">
        <f>'Planning Engine'!C1632</f>
        <v>Raw Material</v>
      </c>
      <c r="D916" s="12" t="str">
        <f>'Planning Engine'!D1632</f>
        <v>kg</v>
      </c>
      <c r="E916" s="95">
        <f>'Planning Engine'!E1632</f>
        <v>128.53</v>
      </c>
      <c r="F916" s="95">
        <f>'Planning Engine'!F1632</f>
        <v>38.72</v>
      </c>
      <c r="G916" s="95">
        <f>'Planning Engine'!G1632</f>
        <v>0</v>
      </c>
      <c r="H916" s="95">
        <f t="shared" si="28"/>
        <v>-38.72</v>
      </c>
      <c r="I916" s="95">
        <f>'Planning Engine'!H1632</f>
        <v>89.81</v>
      </c>
      <c r="J916" s="96">
        <f ca="1">'Planning Engine'!J1632</f>
        <v>2.3194731404958677</v>
      </c>
      <c r="K916" s="95">
        <f ca="1">'Planning Engine'!K1632</f>
        <v>0</v>
      </c>
      <c r="L916" s="12" t="str">
        <f ca="1">'Planning Engine'!L1632</f>
        <v>High</v>
      </c>
      <c r="M916" s="93">
        <f>'Planning Engine'!S1632</f>
        <v>46447</v>
      </c>
      <c r="N916" s="95">
        <f>'Planning Engine'!T1632</f>
        <v>0</v>
      </c>
      <c r="O916" s="94" t="s">
        <v>2664</v>
      </c>
      <c r="P916" s="12" t="str">
        <f t="shared" ca="1" si="29"/>
        <v>⚠ Expedite / qualify alternate source</v>
      </c>
    </row>
    <row r="917" spans="1:16" ht="13" customHeight="1" x14ac:dyDescent="0.35">
      <c r="A917" s="97">
        <v>46600</v>
      </c>
      <c r="B917" s="53" t="s">
        <v>50</v>
      </c>
      <c r="C917" s="12" t="str">
        <f>'Planning Engine'!C1633</f>
        <v>Raw Material</v>
      </c>
      <c r="D917" s="12" t="str">
        <f>'Planning Engine'!D1633</f>
        <v>kg</v>
      </c>
      <c r="E917" s="95">
        <f>'Planning Engine'!E1633</f>
        <v>89.81</v>
      </c>
      <c r="F917" s="95">
        <f>'Planning Engine'!F1633</f>
        <v>0</v>
      </c>
      <c r="G917" s="95">
        <f>'Planning Engine'!G1633</f>
        <v>0</v>
      </c>
      <c r="H917" s="99">
        <f t="shared" si="28"/>
        <v>0</v>
      </c>
      <c r="I917" s="95">
        <f>'Planning Engine'!H1633</f>
        <v>89.81</v>
      </c>
      <c r="J917" s="96">
        <f ca="1">'Planning Engine'!J1633</f>
        <v>999</v>
      </c>
      <c r="K917" s="95">
        <f ca="1">'Planning Engine'!K1633</f>
        <v>0</v>
      </c>
      <c r="L917" s="12" t="str">
        <f ca="1">'Planning Engine'!L1633</f>
        <v>Overstock</v>
      </c>
      <c r="M917" s="93">
        <f>'Planning Engine'!S1633</f>
        <v>46478</v>
      </c>
      <c r="N917" s="95">
        <f>'Planning Engine'!T1633</f>
        <v>0</v>
      </c>
      <c r="O917" s="98" t="s">
        <v>2665</v>
      </c>
      <c r="P917" s="4" t="str">
        <f t="shared" ca="1" si="29"/>
        <v>Defer receipts</v>
      </c>
    </row>
    <row r="918" spans="1:16" ht="13" customHeight="1" x14ac:dyDescent="0.35">
      <c r="A918" s="93">
        <v>46631</v>
      </c>
      <c r="B918" s="61" t="s">
        <v>50</v>
      </c>
      <c r="C918" s="12" t="str">
        <f>'Planning Engine'!C1634</f>
        <v>Raw Material</v>
      </c>
      <c r="D918" s="12" t="str">
        <f>'Planning Engine'!D1634</f>
        <v>kg</v>
      </c>
      <c r="E918" s="95">
        <f>'Planning Engine'!E1634</f>
        <v>89.81</v>
      </c>
      <c r="F918" s="95">
        <f>'Planning Engine'!F1634</f>
        <v>0</v>
      </c>
      <c r="G918" s="95">
        <f>'Planning Engine'!G1634</f>
        <v>0</v>
      </c>
      <c r="H918" s="95">
        <f t="shared" si="28"/>
        <v>0</v>
      </c>
      <c r="I918" s="95">
        <f>'Planning Engine'!H1634</f>
        <v>89.81</v>
      </c>
      <c r="J918" s="96">
        <f ca="1">'Planning Engine'!J1634</f>
        <v>999</v>
      </c>
      <c r="K918" s="95">
        <f ca="1">'Planning Engine'!K1634</f>
        <v>0</v>
      </c>
      <c r="L918" s="12" t="str">
        <f ca="1">'Planning Engine'!L1634</f>
        <v>Overstock</v>
      </c>
      <c r="M918" s="93">
        <f>'Planning Engine'!S1634</f>
        <v>46508</v>
      </c>
      <c r="N918" s="95">
        <f>'Planning Engine'!T1634</f>
        <v>0</v>
      </c>
      <c r="O918" s="94" t="s">
        <v>2666</v>
      </c>
      <c r="P918" s="12" t="str">
        <f t="shared" ca="1" si="29"/>
        <v>Defer receipts</v>
      </c>
    </row>
    <row r="919" spans="1:16" ht="13" customHeight="1" x14ac:dyDescent="0.35">
      <c r="A919" s="97">
        <v>46661</v>
      </c>
      <c r="B919" s="53" t="s">
        <v>50</v>
      </c>
      <c r="C919" s="12" t="str">
        <f>'Planning Engine'!C1635</f>
        <v>Raw Material</v>
      </c>
      <c r="D919" s="12" t="str">
        <f>'Planning Engine'!D1635</f>
        <v>kg</v>
      </c>
      <c r="E919" s="95">
        <f>'Planning Engine'!E1635</f>
        <v>89.81</v>
      </c>
      <c r="F919" s="95">
        <f>'Planning Engine'!F1635</f>
        <v>0</v>
      </c>
      <c r="G919" s="95">
        <f>'Planning Engine'!G1635</f>
        <v>0</v>
      </c>
      <c r="H919" s="99">
        <f t="shared" si="28"/>
        <v>0</v>
      </c>
      <c r="I919" s="95">
        <f>'Planning Engine'!H1635</f>
        <v>89.81</v>
      </c>
      <c r="J919" s="96">
        <f ca="1">'Planning Engine'!J1635</f>
        <v>999</v>
      </c>
      <c r="K919" s="95">
        <f ca="1">'Planning Engine'!K1635</f>
        <v>0</v>
      </c>
      <c r="L919" s="12" t="str">
        <f ca="1">'Planning Engine'!L1635</f>
        <v>Overstock</v>
      </c>
      <c r="M919" s="93">
        <f>'Planning Engine'!S1635</f>
        <v>46539</v>
      </c>
      <c r="N919" s="95">
        <f>'Planning Engine'!T1635</f>
        <v>0</v>
      </c>
      <c r="O919" s="98" t="s">
        <v>2667</v>
      </c>
      <c r="P919" s="4" t="str">
        <f t="shared" ca="1" si="29"/>
        <v>Defer receipts</v>
      </c>
    </row>
    <row r="920" spans="1:16" ht="13" customHeight="1" x14ac:dyDescent="0.35">
      <c r="A920" s="93">
        <v>46692</v>
      </c>
      <c r="B920" s="61" t="s">
        <v>50</v>
      </c>
      <c r="C920" s="12" t="str">
        <f>'Planning Engine'!C1636</f>
        <v>Raw Material</v>
      </c>
      <c r="D920" s="12" t="str">
        <f>'Planning Engine'!D1636</f>
        <v>kg</v>
      </c>
      <c r="E920" s="95">
        <f>'Planning Engine'!E1636</f>
        <v>89.81</v>
      </c>
      <c r="F920" s="95">
        <f>'Planning Engine'!F1636</f>
        <v>0</v>
      </c>
      <c r="G920" s="95">
        <f>'Planning Engine'!G1636</f>
        <v>0</v>
      </c>
      <c r="H920" s="95">
        <f t="shared" si="28"/>
        <v>0</v>
      </c>
      <c r="I920" s="95">
        <f>'Planning Engine'!H1636</f>
        <v>89.81</v>
      </c>
      <c r="J920" s="96">
        <f ca="1">'Planning Engine'!J1636</f>
        <v>999</v>
      </c>
      <c r="K920" s="95">
        <f ca="1">'Planning Engine'!K1636</f>
        <v>0</v>
      </c>
      <c r="L920" s="12" t="str">
        <f ca="1">'Planning Engine'!L1636</f>
        <v>Overstock</v>
      </c>
      <c r="M920" s="93">
        <f>'Planning Engine'!S1636</f>
        <v>46569</v>
      </c>
      <c r="N920" s="95">
        <f>'Planning Engine'!T1636</f>
        <v>0</v>
      </c>
      <c r="O920" s="94" t="s">
        <v>2668</v>
      </c>
      <c r="P920" s="12" t="str">
        <f t="shared" ca="1" si="29"/>
        <v>Defer receipts</v>
      </c>
    </row>
    <row r="921" spans="1:16" ht="13" customHeight="1" x14ac:dyDescent="0.35">
      <c r="A921" s="97">
        <v>46722</v>
      </c>
      <c r="B921" s="53" t="s">
        <v>50</v>
      </c>
      <c r="C921" s="12" t="str">
        <f>'Planning Engine'!C1637</f>
        <v>Raw Material</v>
      </c>
      <c r="D921" s="12" t="str">
        <f>'Planning Engine'!D1637</f>
        <v>kg</v>
      </c>
      <c r="E921" s="95">
        <f>'Planning Engine'!E1637</f>
        <v>89.81</v>
      </c>
      <c r="F921" s="95">
        <f>'Planning Engine'!F1637</f>
        <v>0</v>
      </c>
      <c r="G921" s="95">
        <f>'Planning Engine'!G1637</f>
        <v>0</v>
      </c>
      <c r="H921" s="99">
        <f t="shared" si="28"/>
        <v>0</v>
      </c>
      <c r="I921" s="95">
        <f>'Planning Engine'!H1637</f>
        <v>89.81</v>
      </c>
      <c r="J921" s="96">
        <f ca="1">'Planning Engine'!J1637</f>
        <v>999</v>
      </c>
      <c r="K921" s="95">
        <f ca="1">'Planning Engine'!K1637</f>
        <v>0</v>
      </c>
      <c r="L921" s="12" t="str">
        <f ca="1">'Planning Engine'!L1637</f>
        <v>Overstock</v>
      </c>
      <c r="M921" s="93">
        <f>'Planning Engine'!S1637</f>
        <v>46600</v>
      </c>
      <c r="N921" s="95">
        <f>'Planning Engine'!T1637</f>
        <v>0</v>
      </c>
      <c r="O921" s="98" t="s">
        <v>2669</v>
      </c>
      <c r="P921" s="4" t="str">
        <f t="shared" ca="1" si="29"/>
        <v>Defer receipts</v>
      </c>
    </row>
    <row r="922" spans="1:16" ht="13" customHeight="1" x14ac:dyDescent="0.35">
      <c r="A922" s="93">
        <v>46753</v>
      </c>
      <c r="B922" s="61" t="s">
        <v>50</v>
      </c>
      <c r="C922" s="12" t="str">
        <f>'Planning Engine'!C1638</f>
        <v>Raw Material</v>
      </c>
      <c r="D922" s="12" t="str">
        <f>'Planning Engine'!D1638</f>
        <v>kg</v>
      </c>
      <c r="E922" s="95">
        <f>'Planning Engine'!E1638</f>
        <v>89.81</v>
      </c>
      <c r="F922" s="95">
        <f>'Planning Engine'!F1638</f>
        <v>0</v>
      </c>
      <c r="G922" s="95">
        <f>'Planning Engine'!G1638</f>
        <v>0</v>
      </c>
      <c r="H922" s="95">
        <f t="shared" si="28"/>
        <v>0</v>
      </c>
      <c r="I922" s="95">
        <f>'Planning Engine'!H1638</f>
        <v>89.81</v>
      </c>
      <c r="J922" s="96">
        <f ca="1">'Planning Engine'!J1638</f>
        <v>999</v>
      </c>
      <c r="K922" s="95">
        <f ca="1">'Planning Engine'!K1638</f>
        <v>0</v>
      </c>
      <c r="L922" s="12" t="str">
        <f ca="1">'Planning Engine'!L1638</f>
        <v>Overstock</v>
      </c>
      <c r="M922" s="93">
        <f>'Planning Engine'!S1638</f>
        <v>46631</v>
      </c>
      <c r="N922" s="95">
        <f>'Planning Engine'!T1638</f>
        <v>0</v>
      </c>
      <c r="O922" s="94" t="s">
        <v>2670</v>
      </c>
      <c r="P922" s="12" t="str">
        <f t="shared" ca="1" si="29"/>
        <v>Defer receipts</v>
      </c>
    </row>
    <row r="923" spans="1:16" ht="13" customHeight="1" x14ac:dyDescent="0.35">
      <c r="A923" s="97">
        <v>46784</v>
      </c>
      <c r="B923" s="53" t="s">
        <v>50</v>
      </c>
      <c r="C923" s="12" t="str">
        <f>'Planning Engine'!C1639</f>
        <v>Raw Material</v>
      </c>
      <c r="D923" s="12" t="str">
        <f>'Planning Engine'!D1639</f>
        <v>kg</v>
      </c>
      <c r="E923" s="95">
        <f>'Planning Engine'!E1639</f>
        <v>89.81</v>
      </c>
      <c r="F923" s="95">
        <f>'Planning Engine'!F1639</f>
        <v>0</v>
      </c>
      <c r="G923" s="95">
        <f>'Planning Engine'!G1639</f>
        <v>0</v>
      </c>
      <c r="H923" s="99">
        <f t="shared" si="28"/>
        <v>0</v>
      </c>
      <c r="I923" s="95">
        <f>'Planning Engine'!H1639</f>
        <v>89.81</v>
      </c>
      <c r="J923" s="96">
        <f ca="1">'Planning Engine'!J1639</f>
        <v>999</v>
      </c>
      <c r="K923" s="95">
        <f ca="1">'Planning Engine'!K1639</f>
        <v>0</v>
      </c>
      <c r="L923" s="12" t="str">
        <f ca="1">'Planning Engine'!L1639</f>
        <v>Overstock</v>
      </c>
      <c r="M923" s="93">
        <f>'Planning Engine'!S1639</f>
        <v>46661</v>
      </c>
      <c r="N923" s="95">
        <f>'Planning Engine'!T1639</f>
        <v>0</v>
      </c>
      <c r="O923" s="98" t="s">
        <v>2671</v>
      </c>
      <c r="P923" s="4" t="str">
        <f t="shared" ca="1" si="29"/>
        <v>Defer receipts</v>
      </c>
    </row>
    <row r="924" spans="1:16" ht="13" customHeight="1" x14ac:dyDescent="0.35">
      <c r="A924" s="93">
        <v>46813</v>
      </c>
      <c r="B924" s="61" t="s">
        <v>50</v>
      </c>
      <c r="C924" s="12" t="str">
        <f>'Planning Engine'!C1640</f>
        <v>Raw Material</v>
      </c>
      <c r="D924" s="12" t="str">
        <f>'Planning Engine'!D1640</f>
        <v>kg</v>
      </c>
      <c r="E924" s="95">
        <f>'Planning Engine'!E1640</f>
        <v>89.81</v>
      </c>
      <c r="F924" s="95">
        <f>'Planning Engine'!F1640</f>
        <v>0</v>
      </c>
      <c r="G924" s="95">
        <f>'Planning Engine'!G1640</f>
        <v>0</v>
      </c>
      <c r="H924" s="95">
        <f t="shared" si="28"/>
        <v>0</v>
      </c>
      <c r="I924" s="95">
        <f>'Planning Engine'!H1640</f>
        <v>89.81</v>
      </c>
      <c r="J924" s="96">
        <f ca="1">'Planning Engine'!J1640</f>
        <v>999</v>
      </c>
      <c r="K924" s="95">
        <f ca="1">'Planning Engine'!K1640</f>
        <v>0</v>
      </c>
      <c r="L924" s="12" t="str">
        <f ca="1">'Planning Engine'!L1640</f>
        <v>Overstock</v>
      </c>
      <c r="M924" s="93">
        <f>'Planning Engine'!S1640</f>
        <v>46692</v>
      </c>
      <c r="N924" s="95">
        <f>'Planning Engine'!T1640</f>
        <v>0</v>
      </c>
      <c r="O924" s="94" t="s">
        <v>2672</v>
      </c>
      <c r="P924" s="12" t="str">
        <f t="shared" ca="1" si="29"/>
        <v>Defer receipts</v>
      </c>
    </row>
    <row r="925" spans="1:16" ht="13" customHeight="1" x14ac:dyDescent="0.35">
      <c r="A925" s="97">
        <v>46844</v>
      </c>
      <c r="B925" s="53" t="s">
        <v>50</v>
      </c>
      <c r="C925" s="12" t="str">
        <f>'Planning Engine'!C1641</f>
        <v>Raw Material</v>
      </c>
      <c r="D925" s="12" t="str">
        <f>'Planning Engine'!D1641</f>
        <v>kg</v>
      </c>
      <c r="E925" s="95">
        <f>'Planning Engine'!E1641</f>
        <v>89.81</v>
      </c>
      <c r="F925" s="95">
        <f>'Planning Engine'!F1641</f>
        <v>0</v>
      </c>
      <c r="G925" s="95">
        <f>'Planning Engine'!G1641</f>
        <v>0</v>
      </c>
      <c r="H925" s="99">
        <f t="shared" si="28"/>
        <v>0</v>
      </c>
      <c r="I925" s="95">
        <f>'Planning Engine'!H1641</f>
        <v>89.81</v>
      </c>
      <c r="J925" s="96">
        <f ca="1">'Planning Engine'!J1641</f>
        <v>999</v>
      </c>
      <c r="K925" s="95">
        <f ca="1">'Planning Engine'!K1641</f>
        <v>0</v>
      </c>
      <c r="L925" s="12" t="str">
        <f ca="1">'Planning Engine'!L1641</f>
        <v>Overstock</v>
      </c>
      <c r="M925" s="93">
        <f>'Planning Engine'!S1641</f>
        <v>46722</v>
      </c>
      <c r="N925" s="95">
        <f>'Planning Engine'!T1641</f>
        <v>0</v>
      </c>
      <c r="O925" s="98" t="s">
        <v>2673</v>
      </c>
      <c r="P925" s="4" t="str">
        <f t="shared" ca="1" si="29"/>
        <v>Defer receipts</v>
      </c>
    </row>
    <row r="926" spans="1:16" ht="13" customHeight="1" x14ac:dyDescent="0.35">
      <c r="A926" s="93">
        <v>46874</v>
      </c>
      <c r="B926" s="61" t="s">
        <v>50</v>
      </c>
      <c r="C926" s="12" t="str">
        <f>'Planning Engine'!C1642</f>
        <v>Raw Material</v>
      </c>
      <c r="D926" s="12" t="str">
        <f>'Planning Engine'!D1642</f>
        <v>kg</v>
      </c>
      <c r="E926" s="95">
        <f>'Planning Engine'!E1642</f>
        <v>89.81</v>
      </c>
      <c r="F926" s="95">
        <f>'Planning Engine'!F1642</f>
        <v>0</v>
      </c>
      <c r="G926" s="95">
        <f>'Planning Engine'!G1642</f>
        <v>0</v>
      </c>
      <c r="H926" s="95">
        <f t="shared" si="28"/>
        <v>0</v>
      </c>
      <c r="I926" s="95">
        <f>'Planning Engine'!H1642</f>
        <v>89.81</v>
      </c>
      <c r="J926" s="96">
        <f ca="1">'Planning Engine'!J1642</f>
        <v>999</v>
      </c>
      <c r="K926" s="95">
        <f ca="1">'Planning Engine'!K1642</f>
        <v>0</v>
      </c>
      <c r="L926" s="12" t="str">
        <f ca="1">'Planning Engine'!L1642</f>
        <v>Overstock</v>
      </c>
      <c r="M926" s="93">
        <f>'Planning Engine'!S1642</f>
        <v>46753</v>
      </c>
      <c r="N926" s="95">
        <f>'Planning Engine'!T1642</f>
        <v>0</v>
      </c>
      <c r="O926" s="94" t="s">
        <v>2674</v>
      </c>
      <c r="P926" s="12" t="str">
        <f t="shared" ca="1" si="29"/>
        <v>Defer receipts</v>
      </c>
    </row>
    <row r="927" spans="1:16" ht="13" customHeight="1" x14ac:dyDescent="0.35">
      <c r="A927" s="97">
        <v>46905</v>
      </c>
      <c r="B927" s="53" t="s">
        <v>50</v>
      </c>
      <c r="C927" s="12" t="str">
        <f>'Planning Engine'!C1643</f>
        <v>Raw Material</v>
      </c>
      <c r="D927" s="12" t="str">
        <f>'Planning Engine'!D1643</f>
        <v>kg</v>
      </c>
      <c r="E927" s="95">
        <f>'Planning Engine'!E1643</f>
        <v>89.81</v>
      </c>
      <c r="F927" s="95">
        <f>'Planning Engine'!F1643</f>
        <v>0</v>
      </c>
      <c r="G927" s="95">
        <f>'Planning Engine'!G1643</f>
        <v>0</v>
      </c>
      <c r="H927" s="99">
        <f t="shared" si="28"/>
        <v>0</v>
      </c>
      <c r="I927" s="95">
        <f>'Planning Engine'!H1643</f>
        <v>89.81</v>
      </c>
      <c r="J927" s="96">
        <f ca="1">'Planning Engine'!J1643</f>
        <v>999</v>
      </c>
      <c r="K927" s="95">
        <f ca="1">'Planning Engine'!K1643</f>
        <v>0</v>
      </c>
      <c r="L927" s="12" t="str">
        <f ca="1">'Planning Engine'!L1643</f>
        <v>Overstock</v>
      </c>
      <c r="M927" s="93">
        <f>'Planning Engine'!S1643</f>
        <v>46784</v>
      </c>
      <c r="N927" s="95">
        <f>'Planning Engine'!T1643</f>
        <v>0</v>
      </c>
      <c r="O927" s="98" t="s">
        <v>2675</v>
      </c>
      <c r="P927" s="4" t="str">
        <f t="shared" ca="1" si="29"/>
        <v>Defer receipts</v>
      </c>
    </row>
    <row r="928" spans="1:16" ht="13" customHeight="1" x14ac:dyDescent="0.35">
      <c r="A928" s="93">
        <v>46935</v>
      </c>
      <c r="B928" s="61" t="s">
        <v>50</v>
      </c>
      <c r="C928" s="12" t="str">
        <f>'Planning Engine'!C1644</f>
        <v>Raw Material</v>
      </c>
      <c r="D928" s="12" t="str">
        <f>'Planning Engine'!D1644</f>
        <v>kg</v>
      </c>
      <c r="E928" s="95">
        <f>'Planning Engine'!E1644</f>
        <v>89.81</v>
      </c>
      <c r="F928" s="95">
        <f>'Planning Engine'!F1644</f>
        <v>0</v>
      </c>
      <c r="G928" s="95">
        <f>'Planning Engine'!G1644</f>
        <v>0</v>
      </c>
      <c r="H928" s="95">
        <f t="shared" si="28"/>
        <v>0</v>
      </c>
      <c r="I928" s="95">
        <f>'Planning Engine'!H1644</f>
        <v>89.81</v>
      </c>
      <c r="J928" s="96">
        <f ca="1">'Planning Engine'!J1644</f>
        <v>999</v>
      </c>
      <c r="K928" s="95">
        <f ca="1">'Planning Engine'!K1644</f>
        <v>0</v>
      </c>
      <c r="L928" s="12" t="str">
        <f ca="1">'Planning Engine'!L1644</f>
        <v>Overstock</v>
      </c>
      <c r="M928" s="93">
        <f>'Planning Engine'!S1644</f>
        <v>46813</v>
      </c>
      <c r="N928" s="95">
        <f>'Planning Engine'!T1644</f>
        <v>0</v>
      </c>
      <c r="O928" s="94" t="s">
        <v>2676</v>
      </c>
      <c r="P928" s="12" t="str">
        <f t="shared" ca="1" si="29"/>
        <v>Defer receipts</v>
      </c>
    </row>
    <row r="929" spans="1:16" ht="13" customHeight="1" x14ac:dyDescent="0.35">
      <c r="A929" s="97">
        <v>46966</v>
      </c>
      <c r="B929" s="53" t="s">
        <v>50</v>
      </c>
      <c r="C929" s="12" t="str">
        <f>'Planning Engine'!C1645</f>
        <v>Raw Material</v>
      </c>
      <c r="D929" s="12" t="str">
        <f>'Planning Engine'!D1645</f>
        <v>kg</v>
      </c>
      <c r="E929" s="95">
        <f>'Planning Engine'!E1645</f>
        <v>89.81</v>
      </c>
      <c r="F929" s="95">
        <f>'Planning Engine'!F1645</f>
        <v>0</v>
      </c>
      <c r="G929" s="95">
        <f>'Planning Engine'!G1645</f>
        <v>0</v>
      </c>
      <c r="H929" s="99">
        <f t="shared" si="28"/>
        <v>0</v>
      </c>
      <c r="I929" s="95">
        <f>'Planning Engine'!H1645</f>
        <v>89.81</v>
      </c>
      <c r="J929" s="96">
        <f ca="1">'Planning Engine'!J1645</f>
        <v>999</v>
      </c>
      <c r="K929" s="95">
        <f ca="1">'Planning Engine'!K1645</f>
        <v>0</v>
      </c>
      <c r="L929" s="12" t="str">
        <f ca="1">'Planning Engine'!L1645</f>
        <v>Overstock</v>
      </c>
      <c r="M929" s="93">
        <f>'Planning Engine'!S1645</f>
        <v>46844</v>
      </c>
      <c r="N929" s="95">
        <f>'Planning Engine'!T1645</f>
        <v>0</v>
      </c>
      <c r="O929" s="98" t="s">
        <v>2677</v>
      </c>
      <c r="P929" s="4" t="str">
        <f t="shared" ca="1" si="29"/>
        <v>Defer receipts</v>
      </c>
    </row>
    <row r="930" spans="1:16" ht="13" customHeight="1" x14ac:dyDescent="0.35">
      <c r="A930" s="93">
        <v>46997</v>
      </c>
      <c r="B930" s="61" t="s">
        <v>50</v>
      </c>
      <c r="C930" s="12" t="str">
        <f>'Planning Engine'!C1646</f>
        <v>Raw Material</v>
      </c>
      <c r="D930" s="12" t="str">
        <f>'Planning Engine'!D1646</f>
        <v>kg</v>
      </c>
      <c r="E930" s="95">
        <f>'Planning Engine'!E1646</f>
        <v>89.81</v>
      </c>
      <c r="F930" s="95">
        <f>'Planning Engine'!F1646</f>
        <v>0</v>
      </c>
      <c r="G930" s="95">
        <f>'Planning Engine'!G1646</f>
        <v>0</v>
      </c>
      <c r="H930" s="95">
        <f t="shared" si="28"/>
        <v>0</v>
      </c>
      <c r="I930" s="95">
        <f>'Planning Engine'!H1646</f>
        <v>89.81</v>
      </c>
      <c r="J930" s="96">
        <f ca="1">'Planning Engine'!J1646</f>
        <v>999</v>
      </c>
      <c r="K930" s="95">
        <f ca="1">'Planning Engine'!K1646</f>
        <v>0</v>
      </c>
      <c r="L930" s="12" t="str">
        <f ca="1">'Planning Engine'!L1646</f>
        <v>Overstock</v>
      </c>
      <c r="M930" s="93">
        <f>'Planning Engine'!S1646</f>
        <v>46874</v>
      </c>
      <c r="N930" s="95">
        <f>'Planning Engine'!T1646</f>
        <v>0</v>
      </c>
      <c r="O930" s="94" t="s">
        <v>2678</v>
      </c>
      <c r="P930" s="12" t="str">
        <f t="shared" ca="1" si="29"/>
        <v>Defer receipts</v>
      </c>
    </row>
    <row r="931" spans="1:16" ht="13" customHeight="1" x14ac:dyDescent="0.35">
      <c r="A931" s="97">
        <v>47027</v>
      </c>
      <c r="B931" s="53" t="s">
        <v>50</v>
      </c>
      <c r="C931" s="12" t="str">
        <f>'Planning Engine'!C1647</f>
        <v>Raw Material</v>
      </c>
      <c r="D931" s="12" t="str">
        <f>'Planning Engine'!D1647</f>
        <v>kg</v>
      </c>
      <c r="E931" s="95">
        <f>'Planning Engine'!E1647</f>
        <v>89.81</v>
      </c>
      <c r="F931" s="95">
        <f>'Planning Engine'!F1647</f>
        <v>0</v>
      </c>
      <c r="G931" s="95">
        <f>'Planning Engine'!G1647</f>
        <v>0</v>
      </c>
      <c r="H931" s="99">
        <f t="shared" si="28"/>
        <v>0</v>
      </c>
      <c r="I931" s="95">
        <f>'Planning Engine'!H1647</f>
        <v>89.81</v>
      </c>
      <c r="J931" s="96">
        <f ca="1">'Planning Engine'!J1647</f>
        <v>999</v>
      </c>
      <c r="K931" s="95">
        <f ca="1">'Planning Engine'!K1647</f>
        <v>0</v>
      </c>
      <c r="L931" s="12" t="str">
        <f ca="1">'Planning Engine'!L1647</f>
        <v>Overstock</v>
      </c>
      <c r="M931" s="93">
        <f>'Planning Engine'!S1647</f>
        <v>46905</v>
      </c>
      <c r="N931" s="95">
        <f>'Planning Engine'!T1647</f>
        <v>0</v>
      </c>
      <c r="O931" s="98" t="s">
        <v>2679</v>
      </c>
      <c r="P931" s="4" t="str">
        <f t="shared" ca="1" si="29"/>
        <v>Defer receipts</v>
      </c>
    </row>
    <row r="932" spans="1:16" ht="13" customHeight="1" x14ac:dyDescent="0.35">
      <c r="A932" s="93">
        <v>47058</v>
      </c>
      <c r="B932" s="61" t="s">
        <v>50</v>
      </c>
      <c r="C932" s="12" t="str">
        <f>'Planning Engine'!C1648</f>
        <v>Raw Material</v>
      </c>
      <c r="D932" s="12" t="str">
        <f>'Planning Engine'!D1648</f>
        <v>kg</v>
      </c>
      <c r="E932" s="95">
        <f>'Planning Engine'!E1648</f>
        <v>89.81</v>
      </c>
      <c r="F932" s="95">
        <f>'Planning Engine'!F1648</f>
        <v>0</v>
      </c>
      <c r="G932" s="95">
        <f>'Planning Engine'!G1648</f>
        <v>0</v>
      </c>
      <c r="H932" s="95">
        <f t="shared" si="28"/>
        <v>0</v>
      </c>
      <c r="I932" s="95">
        <f>'Planning Engine'!H1648</f>
        <v>89.81</v>
      </c>
      <c r="J932" s="96">
        <f ca="1">'Planning Engine'!J1648</f>
        <v>999</v>
      </c>
      <c r="K932" s="95">
        <f ca="1">'Planning Engine'!K1648</f>
        <v>0</v>
      </c>
      <c r="L932" s="12" t="str">
        <f ca="1">'Planning Engine'!L1648</f>
        <v>Overstock</v>
      </c>
      <c r="M932" s="93">
        <f>'Planning Engine'!S1648</f>
        <v>46935</v>
      </c>
      <c r="N932" s="95">
        <f>'Planning Engine'!T1648</f>
        <v>0</v>
      </c>
      <c r="O932" s="94" t="s">
        <v>2680</v>
      </c>
      <c r="P932" s="12" t="str">
        <f t="shared" ca="1" si="29"/>
        <v>Defer receipts</v>
      </c>
    </row>
    <row r="933" spans="1:16" ht="13" customHeight="1" x14ac:dyDescent="0.35">
      <c r="A933" s="97">
        <v>47088</v>
      </c>
      <c r="B933" s="53" t="s">
        <v>50</v>
      </c>
      <c r="C933" s="12" t="str">
        <f>'Planning Engine'!C1649</f>
        <v>Raw Material</v>
      </c>
      <c r="D933" s="12" t="str">
        <f>'Planning Engine'!D1649</f>
        <v>kg</v>
      </c>
      <c r="E933" s="95">
        <f>'Planning Engine'!E1649</f>
        <v>89.81</v>
      </c>
      <c r="F933" s="95">
        <f>'Planning Engine'!F1649</f>
        <v>0</v>
      </c>
      <c r="G933" s="95">
        <f>'Planning Engine'!G1649</f>
        <v>0</v>
      </c>
      <c r="H933" s="99">
        <f t="shared" si="28"/>
        <v>0</v>
      </c>
      <c r="I933" s="95">
        <f>'Planning Engine'!H1649</f>
        <v>89.81</v>
      </c>
      <c r="J933" s="96">
        <f ca="1">'Planning Engine'!J1649</f>
        <v>999</v>
      </c>
      <c r="K933" s="95">
        <f ca="1">'Planning Engine'!K1649</f>
        <v>0</v>
      </c>
      <c r="L933" s="12" t="str">
        <f ca="1">'Planning Engine'!L1649</f>
        <v>Overstock</v>
      </c>
      <c r="M933" s="93">
        <f>'Planning Engine'!S1649</f>
        <v>46966</v>
      </c>
      <c r="N933" s="95">
        <f>'Planning Engine'!T1649</f>
        <v>0</v>
      </c>
      <c r="O933" s="98" t="s">
        <v>2681</v>
      </c>
      <c r="P933" s="4" t="str">
        <f t="shared" ca="1" si="29"/>
        <v>Defer receipts</v>
      </c>
    </row>
    <row r="934" spans="1:16" ht="13" customHeight="1" x14ac:dyDescent="0.35">
      <c r="A934" s="93">
        <v>47119</v>
      </c>
      <c r="B934" s="61" t="s">
        <v>50</v>
      </c>
      <c r="C934" s="12" t="str">
        <f>'Planning Engine'!C1650</f>
        <v>Raw Material</v>
      </c>
      <c r="D934" s="12" t="str">
        <f>'Planning Engine'!D1650</f>
        <v>kg</v>
      </c>
      <c r="E934" s="95">
        <f>'Planning Engine'!E1650</f>
        <v>89.81</v>
      </c>
      <c r="F934" s="95">
        <f>'Planning Engine'!F1650</f>
        <v>0</v>
      </c>
      <c r="G934" s="95">
        <f>'Planning Engine'!G1650</f>
        <v>0</v>
      </c>
      <c r="H934" s="95">
        <f t="shared" si="28"/>
        <v>0</v>
      </c>
      <c r="I934" s="95">
        <f>'Planning Engine'!H1650</f>
        <v>89.81</v>
      </c>
      <c r="J934" s="96">
        <f ca="1">'Planning Engine'!J1650</f>
        <v>999</v>
      </c>
      <c r="K934" s="95">
        <f ca="1">'Planning Engine'!K1650</f>
        <v>0</v>
      </c>
      <c r="L934" s="12" t="str">
        <f ca="1">'Planning Engine'!L1650</f>
        <v>Overstock</v>
      </c>
      <c r="M934" s="93">
        <f>'Planning Engine'!S1650</f>
        <v>46997</v>
      </c>
      <c r="N934" s="95">
        <f>'Planning Engine'!T1650</f>
        <v>0</v>
      </c>
      <c r="O934" s="94" t="s">
        <v>2682</v>
      </c>
      <c r="P934" s="12" t="str">
        <f t="shared" ca="1" si="29"/>
        <v>Defer receipts</v>
      </c>
    </row>
    <row r="935" spans="1:16" ht="13" customHeight="1" x14ac:dyDescent="0.35">
      <c r="A935" s="97">
        <v>47150</v>
      </c>
      <c r="B935" s="53" t="s">
        <v>50</v>
      </c>
      <c r="C935" s="12" t="str">
        <f>'Planning Engine'!C1651</f>
        <v>Raw Material</v>
      </c>
      <c r="D935" s="12" t="str">
        <f>'Planning Engine'!D1651</f>
        <v>kg</v>
      </c>
      <c r="E935" s="95">
        <f>'Planning Engine'!E1651</f>
        <v>89.81</v>
      </c>
      <c r="F935" s="95">
        <f>'Planning Engine'!F1651</f>
        <v>0</v>
      </c>
      <c r="G935" s="95">
        <f>'Planning Engine'!G1651</f>
        <v>0</v>
      </c>
      <c r="H935" s="99">
        <f t="shared" si="28"/>
        <v>0</v>
      </c>
      <c r="I935" s="95">
        <f>'Planning Engine'!H1651</f>
        <v>89.81</v>
      </c>
      <c r="J935" s="96">
        <f ca="1">'Planning Engine'!J1651</f>
        <v>999</v>
      </c>
      <c r="K935" s="95">
        <f ca="1">'Planning Engine'!K1651</f>
        <v>0</v>
      </c>
      <c r="L935" s="12" t="str">
        <f ca="1">'Planning Engine'!L1651</f>
        <v>Overstock</v>
      </c>
      <c r="M935" s="93">
        <f>'Planning Engine'!S1651</f>
        <v>47027</v>
      </c>
      <c r="N935" s="95">
        <f>'Planning Engine'!T1651</f>
        <v>0</v>
      </c>
      <c r="O935" s="98" t="s">
        <v>2683</v>
      </c>
      <c r="P935" s="4" t="str">
        <f t="shared" ca="1" si="29"/>
        <v>Defer receipts</v>
      </c>
    </row>
    <row r="936" spans="1:16" ht="13" customHeight="1" x14ac:dyDescent="0.35">
      <c r="A936" s="93">
        <v>47178</v>
      </c>
      <c r="B936" s="61" t="s">
        <v>50</v>
      </c>
      <c r="C936" s="12" t="str">
        <f>'Planning Engine'!C1652</f>
        <v>Raw Material</v>
      </c>
      <c r="D936" s="12" t="str">
        <f>'Planning Engine'!D1652</f>
        <v>kg</v>
      </c>
      <c r="E936" s="95">
        <f>'Planning Engine'!E1652</f>
        <v>89.81</v>
      </c>
      <c r="F936" s="95">
        <f>'Planning Engine'!F1652</f>
        <v>0</v>
      </c>
      <c r="G936" s="95">
        <f>'Planning Engine'!G1652</f>
        <v>0</v>
      </c>
      <c r="H936" s="95">
        <f t="shared" si="28"/>
        <v>0</v>
      </c>
      <c r="I936" s="95">
        <f>'Planning Engine'!H1652</f>
        <v>89.81</v>
      </c>
      <c r="J936" s="96">
        <f ca="1">'Planning Engine'!J1652</f>
        <v>999</v>
      </c>
      <c r="K936" s="95">
        <f ca="1">'Planning Engine'!K1652</f>
        <v>0</v>
      </c>
      <c r="L936" s="12" t="str">
        <f ca="1">'Planning Engine'!L1652</f>
        <v>Overstock</v>
      </c>
      <c r="M936" s="93">
        <f>'Planning Engine'!S1652</f>
        <v>47058</v>
      </c>
      <c r="N936" s="95">
        <f>'Planning Engine'!T1652</f>
        <v>0</v>
      </c>
      <c r="O936" s="94" t="s">
        <v>2684</v>
      </c>
      <c r="P936" s="12" t="str">
        <f t="shared" ca="1" si="29"/>
        <v>Defer receipts</v>
      </c>
    </row>
    <row r="937" spans="1:16" ht="13" customHeight="1" x14ac:dyDescent="0.35">
      <c r="A937" s="97">
        <v>47209</v>
      </c>
      <c r="B937" s="53" t="s">
        <v>50</v>
      </c>
      <c r="C937" s="12" t="str">
        <f>'Planning Engine'!C1653</f>
        <v>Raw Material</v>
      </c>
      <c r="D937" s="12" t="str">
        <f>'Planning Engine'!D1653</f>
        <v>kg</v>
      </c>
      <c r="E937" s="95">
        <f>'Planning Engine'!E1653</f>
        <v>89.81</v>
      </c>
      <c r="F937" s="95">
        <f>'Planning Engine'!F1653</f>
        <v>0</v>
      </c>
      <c r="G937" s="95">
        <f>'Planning Engine'!G1653</f>
        <v>0</v>
      </c>
      <c r="H937" s="99">
        <f t="shared" si="28"/>
        <v>0</v>
      </c>
      <c r="I937" s="95">
        <f>'Planning Engine'!H1653</f>
        <v>89.81</v>
      </c>
      <c r="J937" s="96">
        <f ca="1">'Planning Engine'!J1653</f>
        <v>999</v>
      </c>
      <c r="K937" s="95">
        <f ca="1">'Planning Engine'!K1653</f>
        <v>0</v>
      </c>
      <c r="L937" s="12" t="str">
        <f ca="1">'Planning Engine'!L1653</f>
        <v>Overstock</v>
      </c>
      <c r="M937" s="93">
        <f>'Planning Engine'!S1653</f>
        <v>47088</v>
      </c>
      <c r="N937" s="95">
        <f>'Planning Engine'!T1653</f>
        <v>0</v>
      </c>
      <c r="O937" s="98" t="s">
        <v>2685</v>
      </c>
      <c r="P937" s="4" t="str">
        <f t="shared" ca="1" si="29"/>
        <v>Defer receipts</v>
      </c>
    </row>
    <row r="938" spans="1:16" ht="13" customHeight="1" x14ac:dyDescent="0.35">
      <c r="A938" s="93">
        <v>47239</v>
      </c>
      <c r="B938" s="61" t="s">
        <v>50</v>
      </c>
      <c r="C938" s="12" t="str">
        <f>'Planning Engine'!C1654</f>
        <v>Raw Material</v>
      </c>
      <c r="D938" s="12" t="str">
        <f>'Planning Engine'!D1654</f>
        <v>kg</v>
      </c>
      <c r="E938" s="95">
        <f>'Planning Engine'!E1654</f>
        <v>89.81</v>
      </c>
      <c r="F938" s="95">
        <f>'Planning Engine'!F1654</f>
        <v>0</v>
      </c>
      <c r="G938" s="95">
        <f>'Planning Engine'!G1654</f>
        <v>0</v>
      </c>
      <c r="H938" s="95">
        <f t="shared" si="28"/>
        <v>0</v>
      </c>
      <c r="I938" s="95">
        <f>'Planning Engine'!H1654</f>
        <v>89.81</v>
      </c>
      <c r="J938" s="96">
        <f ca="1">'Planning Engine'!J1654</f>
        <v>999</v>
      </c>
      <c r="K938" s="95">
        <f ca="1">'Planning Engine'!K1654</f>
        <v>0</v>
      </c>
      <c r="L938" s="12" t="str">
        <f ca="1">'Planning Engine'!L1654</f>
        <v>Overstock</v>
      </c>
      <c r="M938" s="93">
        <f>'Planning Engine'!S1654</f>
        <v>47119</v>
      </c>
      <c r="N938" s="95">
        <f>'Planning Engine'!T1654</f>
        <v>0</v>
      </c>
      <c r="O938" s="94" t="s">
        <v>2686</v>
      </c>
      <c r="P938" s="12" t="str">
        <f t="shared" ca="1" si="29"/>
        <v>Defer receipts</v>
      </c>
    </row>
    <row r="939" spans="1:16" ht="13" customHeight="1" x14ac:dyDescent="0.35">
      <c r="A939" s="97">
        <v>47270</v>
      </c>
      <c r="B939" s="53" t="s">
        <v>50</v>
      </c>
      <c r="C939" s="12" t="str">
        <f>'Planning Engine'!C1655</f>
        <v>Raw Material</v>
      </c>
      <c r="D939" s="12" t="str">
        <f>'Planning Engine'!D1655</f>
        <v>kg</v>
      </c>
      <c r="E939" s="95">
        <f>'Planning Engine'!E1655</f>
        <v>89.81</v>
      </c>
      <c r="F939" s="95">
        <f>'Planning Engine'!F1655</f>
        <v>0</v>
      </c>
      <c r="G939" s="95">
        <f>'Planning Engine'!G1655</f>
        <v>0</v>
      </c>
      <c r="H939" s="99">
        <f t="shared" si="28"/>
        <v>0</v>
      </c>
      <c r="I939" s="95">
        <f>'Planning Engine'!H1655</f>
        <v>89.81</v>
      </c>
      <c r="J939" s="96">
        <f ca="1">'Planning Engine'!J1655</f>
        <v>999</v>
      </c>
      <c r="K939" s="95">
        <f ca="1">'Planning Engine'!K1655</f>
        <v>0</v>
      </c>
      <c r="L939" s="12" t="str">
        <f ca="1">'Planning Engine'!L1655</f>
        <v>Overstock</v>
      </c>
      <c r="M939" s="93">
        <f>'Planning Engine'!S1655</f>
        <v>47150</v>
      </c>
      <c r="N939" s="95">
        <f>'Planning Engine'!T1655</f>
        <v>0</v>
      </c>
      <c r="O939" s="98" t="s">
        <v>2687</v>
      </c>
      <c r="P939" s="4" t="str">
        <f t="shared" ca="1" si="29"/>
        <v>Defer receipts</v>
      </c>
    </row>
    <row r="940" spans="1:16" ht="13" customHeight="1" x14ac:dyDescent="0.35">
      <c r="A940" s="93">
        <v>47300</v>
      </c>
      <c r="B940" s="61" t="s">
        <v>50</v>
      </c>
      <c r="C940" s="12" t="str">
        <f>'Planning Engine'!C1656</f>
        <v>Raw Material</v>
      </c>
      <c r="D940" s="12" t="str">
        <f>'Planning Engine'!D1656</f>
        <v>kg</v>
      </c>
      <c r="E940" s="95">
        <f>'Planning Engine'!E1656</f>
        <v>89.81</v>
      </c>
      <c r="F940" s="95">
        <f>'Planning Engine'!F1656</f>
        <v>0</v>
      </c>
      <c r="G940" s="95">
        <f>'Planning Engine'!G1656</f>
        <v>0</v>
      </c>
      <c r="H940" s="95">
        <f t="shared" si="28"/>
        <v>0</v>
      </c>
      <c r="I940" s="95">
        <f>'Planning Engine'!H1656</f>
        <v>89.81</v>
      </c>
      <c r="J940" s="96">
        <f ca="1">'Planning Engine'!J1656</f>
        <v>999</v>
      </c>
      <c r="K940" s="95">
        <f ca="1">'Planning Engine'!K1656</f>
        <v>0</v>
      </c>
      <c r="L940" s="12" t="str">
        <f ca="1">'Planning Engine'!L1656</f>
        <v>Overstock</v>
      </c>
      <c r="M940" s="93">
        <f>'Planning Engine'!S1656</f>
        <v>47178</v>
      </c>
      <c r="N940" s="95">
        <f>'Planning Engine'!T1656</f>
        <v>0</v>
      </c>
      <c r="O940" s="94" t="s">
        <v>2688</v>
      </c>
      <c r="P940" s="12" t="str">
        <f t="shared" ca="1" si="29"/>
        <v>Defer receipts</v>
      </c>
    </row>
    <row r="941" spans="1:16" ht="13" customHeight="1" x14ac:dyDescent="0.35">
      <c r="A941" s="97">
        <v>47331</v>
      </c>
      <c r="B941" s="53" t="s">
        <v>50</v>
      </c>
      <c r="C941" s="12" t="str">
        <f>'Planning Engine'!C1657</f>
        <v>Raw Material</v>
      </c>
      <c r="D941" s="12" t="str">
        <f>'Planning Engine'!D1657</f>
        <v>kg</v>
      </c>
      <c r="E941" s="95">
        <f>'Planning Engine'!E1657</f>
        <v>89.81</v>
      </c>
      <c r="F941" s="95">
        <f>'Planning Engine'!F1657</f>
        <v>0</v>
      </c>
      <c r="G941" s="95">
        <f>'Planning Engine'!G1657</f>
        <v>0</v>
      </c>
      <c r="H941" s="99">
        <f t="shared" si="28"/>
        <v>0</v>
      </c>
      <c r="I941" s="95">
        <f>'Planning Engine'!H1657</f>
        <v>89.81</v>
      </c>
      <c r="J941" s="96">
        <f ca="1">'Planning Engine'!J1657</f>
        <v>999</v>
      </c>
      <c r="K941" s="95">
        <f ca="1">'Planning Engine'!K1657</f>
        <v>0</v>
      </c>
      <c r="L941" s="12" t="str">
        <f ca="1">'Planning Engine'!L1657</f>
        <v>Overstock</v>
      </c>
      <c r="M941" s="93">
        <f>'Planning Engine'!S1657</f>
        <v>47209</v>
      </c>
      <c r="N941" s="95">
        <f>'Planning Engine'!T1657</f>
        <v>0</v>
      </c>
      <c r="O941" s="98" t="s">
        <v>2689</v>
      </c>
      <c r="P941" s="4" t="str">
        <f t="shared" ca="1" si="29"/>
        <v>Defer receipts</v>
      </c>
    </row>
    <row r="942" spans="1:16" ht="13" customHeight="1" x14ac:dyDescent="0.35">
      <c r="A942" s="93">
        <v>47362</v>
      </c>
      <c r="B942" s="61" t="s">
        <v>50</v>
      </c>
      <c r="C942" s="12" t="str">
        <f>'Planning Engine'!C1658</f>
        <v>Raw Material</v>
      </c>
      <c r="D942" s="12" t="str">
        <f>'Planning Engine'!D1658</f>
        <v>kg</v>
      </c>
      <c r="E942" s="95">
        <f>'Planning Engine'!E1658</f>
        <v>89.81</v>
      </c>
      <c r="F942" s="95">
        <f>'Planning Engine'!F1658</f>
        <v>0</v>
      </c>
      <c r="G942" s="95">
        <f>'Planning Engine'!G1658</f>
        <v>0</v>
      </c>
      <c r="H942" s="95">
        <f t="shared" si="28"/>
        <v>0</v>
      </c>
      <c r="I942" s="95">
        <f>'Planning Engine'!H1658</f>
        <v>89.81</v>
      </c>
      <c r="J942" s="96">
        <f ca="1">'Planning Engine'!J1658</f>
        <v>999</v>
      </c>
      <c r="K942" s="95">
        <f ca="1">'Planning Engine'!K1658</f>
        <v>0</v>
      </c>
      <c r="L942" s="12" t="str">
        <f ca="1">'Planning Engine'!L1658</f>
        <v>Overstock</v>
      </c>
      <c r="M942" s="93">
        <f>'Planning Engine'!S1658</f>
        <v>47239</v>
      </c>
      <c r="N942" s="95">
        <f>'Planning Engine'!T1658</f>
        <v>0</v>
      </c>
      <c r="O942" s="94" t="s">
        <v>2690</v>
      </c>
      <c r="P942" s="12" t="str">
        <f t="shared" ca="1" si="29"/>
        <v>Defer receipts</v>
      </c>
    </row>
    <row r="943" spans="1:16" ht="13" customHeight="1" x14ac:dyDescent="0.35">
      <c r="A943" s="97">
        <v>47392</v>
      </c>
      <c r="B943" s="53" t="s">
        <v>50</v>
      </c>
      <c r="C943" s="12" t="str">
        <f>'Planning Engine'!C1659</f>
        <v>Raw Material</v>
      </c>
      <c r="D943" s="12" t="str">
        <f>'Planning Engine'!D1659</f>
        <v>kg</v>
      </c>
      <c r="E943" s="95">
        <f>'Planning Engine'!E1659</f>
        <v>89.81</v>
      </c>
      <c r="F943" s="95">
        <f>'Planning Engine'!F1659</f>
        <v>0</v>
      </c>
      <c r="G943" s="95">
        <f>'Planning Engine'!G1659</f>
        <v>0</v>
      </c>
      <c r="H943" s="99">
        <f t="shared" si="28"/>
        <v>0</v>
      </c>
      <c r="I943" s="95">
        <f>'Planning Engine'!H1659</f>
        <v>89.81</v>
      </c>
      <c r="J943" s="96">
        <f ca="1">'Planning Engine'!J1659</f>
        <v>999</v>
      </c>
      <c r="K943" s="95">
        <f ca="1">'Planning Engine'!K1659</f>
        <v>0</v>
      </c>
      <c r="L943" s="12" t="str">
        <f ca="1">'Planning Engine'!L1659</f>
        <v>Overstock</v>
      </c>
      <c r="M943" s="93">
        <f>'Planning Engine'!S1659</f>
        <v>47270</v>
      </c>
      <c r="N943" s="95">
        <f>'Planning Engine'!T1659</f>
        <v>0</v>
      </c>
      <c r="O943" s="98" t="s">
        <v>2691</v>
      </c>
      <c r="P943" s="4" t="str">
        <f t="shared" ca="1" si="29"/>
        <v>Defer receipts</v>
      </c>
    </row>
    <row r="944" spans="1:16" ht="13" customHeight="1" x14ac:dyDescent="0.35">
      <c r="A944" s="93">
        <v>47423</v>
      </c>
      <c r="B944" s="61" t="s">
        <v>50</v>
      </c>
      <c r="C944" s="12" t="str">
        <f>'Planning Engine'!C1660</f>
        <v>Raw Material</v>
      </c>
      <c r="D944" s="12" t="str">
        <f>'Planning Engine'!D1660</f>
        <v>kg</v>
      </c>
      <c r="E944" s="95">
        <f>'Planning Engine'!E1660</f>
        <v>89.81</v>
      </c>
      <c r="F944" s="95">
        <f>'Planning Engine'!F1660</f>
        <v>0</v>
      </c>
      <c r="G944" s="95">
        <f>'Planning Engine'!G1660</f>
        <v>0</v>
      </c>
      <c r="H944" s="95">
        <f t="shared" si="28"/>
        <v>0</v>
      </c>
      <c r="I944" s="95">
        <f>'Planning Engine'!H1660</f>
        <v>89.81</v>
      </c>
      <c r="J944" s="96">
        <f ca="1">'Planning Engine'!J1660</f>
        <v>999</v>
      </c>
      <c r="K944" s="95">
        <f ca="1">'Planning Engine'!K1660</f>
        <v>0</v>
      </c>
      <c r="L944" s="12" t="str">
        <f ca="1">'Planning Engine'!L1660</f>
        <v>Overstock</v>
      </c>
      <c r="M944" s="93">
        <f>'Planning Engine'!S1660</f>
        <v>47300</v>
      </c>
      <c r="N944" s="95">
        <f>'Planning Engine'!T1660</f>
        <v>0</v>
      </c>
      <c r="O944" s="94" t="s">
        <v>2692</v>
      </c>
      <c r="P944" s="12" t="str">
        <f t="shared" ca="1" si="29"/>
        <v>Defer receipts</v>
      </c>
    </row>
    <row r="945" spans="1:16" ht="13" customHeight="1" x14ac:dyDescent="0.35">
      <c r="A945" s="97">
        <v>47453</v>
      </c>
      <c r="B945" s="53" t="s">
        <v>50</v>
      </c>
      <c r="C945" s="12" t="str">
        <f>'Planning Engine'!C1661</f>
        <v>Raw Material</v>
      </c>
      <c r="D945" s="12" t="str">
        <f>'Planning Engine'!D1661</f>
        <v>kg</v>
      </c>
      <c r="E945" s="95">
        <f>'Planning Engine'!E1661</f>
        <v>89.81</v>
      </c>
      <c r="F945" s="95">
        <f>'Planning Engine'!F1661</f>
        <v>0</v>
      </c>
      <c r="G945" s="95">
        <f>'Planning Engine'!G1661</f>
        <v>0</v>
      </c>
      <c r="H945" s="99">
        <f t="shared" si="28"/>
        <v>0</v>
      </c>
      <c r="I945" s="95">
        <f>'Planning Engine'!H1661</f>
        <v>89.81</v>
      </c>
      <c r="J945" s="96">
        <f ca="1">'Planning Engine'!J1661</f>
        <v>999</v>
      </c>
      <c r="K945" s="95">
        <f ca="1">'Planning Engine'!K1661</f>
        <v>0</v>
      </c>
      <c r="L945" s="12" t="str">
        <f ca="1">'Planning Engine'!L1661</f>
        <v>Overstock</v>
      </c>
      <c r="M945" s="93">
        <f>'Planning Engine'!S1661</f>
        <v>47331</v>
      </c>
      <c r="N945" s="95">
        <f>'Planning Engine'!T1661</f>
        <v>0</v>
      </c>
      <c r="O945" s="98" t="s">
        <v>2693</v>
      </c>
      <c r="P945" s="4" t="str">
        <f t="shared" ca="1" si="29"/>
        <v>Defer receipts</v>
      </c>
    </row>
    <row r="946" spans="1:16" ht="13" customHeight="1" x14ac:dyDescent="0.35">
      <c r="A946" s="93">
        <v>47484</v>
      </c>
      <c r="B946" s="61" t="s">
        <v>50</v>
      </c>
      <c r="C946" s="12" t="str">
        <f>'Planning Engine'!C1662</f>
        <v>Raw Material</v>
      </c>
      <c r="D946" s="12" t="str">
        <f>'Planning Engine'!D1662</f>
        <v>kg</v>
      </c>
      <c r="E946" s="95">
        <f>'Planning Engine'!E1662</f>
        <v>89.81</v>
      </c>
      <c r="F946" s="95">
        <f>'Planning Engine'!F1662</f>
        <v>0</v>
      </c>
      <c r="G946" s="95">
        <f>'Planning Engine'!G1662</f>
        <v>0</v>
      </c>
      <c r="H946" s="95">
        <f t="shared" si="28"/>
        <v>0</v>
      </c>
      <c r="I946" s="95">
        <f>'Planning Engine'!H1662</f>
        <v>89.81</v>
      </c>
      <c r="J946" s="96">
        <f ca="1">'Planning Engine'!J1662</f>
        <v>999</v>
      </c>
      <c r="K946" s="95">
        <f ca="1">'Planning Engine'!K1662</f>
        <v>0</v>
      </c>
      <c r="L946" s="12" t="str">
        <f ca="1">'Planning Engine'!L1662</f>
        <v>Overstock</v>
      </c>
      <c r="M946" s="93">
        <f>'Planning Engine'!S1662</f>
        <v>47362</v>
      </c>
      <c r="N946" s="95">
        <f>'Planning Engine'!T1662</f>
        <v>0</v>
      </c>
      <c r="O946" s="94" t="s">
        <v>2694</v>
      </c>
      <c r="P946" s="12" t="str">
        <f t="shared" ca="1" si="29"/>
        <v>Defer receipts</v>
      </c>
    </row>
    <row r="947" spans="1:16" ht="13" customHeight="1" x14ac:dyDescent="0.35">
      <c r="A947" s="97">
        <v>47515</v>
      </c>
      <c r="B947" s="53" t="s">
        <v>50</v>
      </c>
      <c r="C947" s="12" t="str">
        <f>'Planning Engine'!C1663</f>
        <v>Raw Material</v>
      </c>
      <c r="D947" s="12" t="str">
        <f>'Planning Engine'!D1663</f>
        <v>kg</v>
      </c>
      <c r="E947" s="95">
        <f>'Planning Engine'!E1663</f>
        <v>89.81</v>
      </c>
      <c r="F947" s="95">
        <f>'Planning Engine'!F1663</f>
        <v>0</v>
      </c>
      <c r="G947" s="95">
        <f>'Planning Engine'!G1663</f>
        <v>0</v>
      </c>
      <c r="H947" s="99">
        <f t="shared" si="28"/>
        <v>0</v>
      </c>
      <c r="I947" s="95">
        <f>'Planning Engine'!H1663</f>
        <v>89.81</v>
      </c>
      <c r="J947" s="96">
        <f ca="1">'Planning Engine'!J1663</f>
        <v>999</v>
      </c>
      <c r="K947" s="95">
        <f ca="1">'Planning Engine'!K1663</f>
        <v>0</v>
      </c>
      <c r="L947" s="12" t="str">
        <f ca="1">'Planning Engine'!L1663</f>
        <v>Overstock</v>
      </c>
      <c r="M947" s="93">
        <f>'Planning Engine'!S1663</f>
        <v>47392</v>
      </c>
      <c r="N947" s="95">
        <f>'Planning Engine'!T1663</f>
        <v>0</v>
      </c>
      <c r="O947" s="98" t="s">
        <v>2695</v>
      </c>
      <c r="P947" s="4" t="str">
        <f t="shared" ca="1" si="29"/>
        <v>Defer receipts</v>
      </c>
    </row>
    <row r="948" spans="1:16" ht="13" customHeight="1" x14ac:dyDescent="0.35">
      <c r="A948" s="93">
        <v>47543</v>
      </c>
      <c r="B948" s="61" t="s">
        <v>50</v>
      </c>
      <c r="C948" s="12" t="str">
        <f>'Planning Engine'!C1664</f>
        <v>Raw Material</v>
      </c>
      <c r="D948" s="12" t="str">
        <f>'Planning Engine'!D1664</f>
        <v>kg</v>
      </c>
      <c r="E948" s="95">
        <f>'Planning Engine'!E1664</f>
        <v>89.81</v>
      </c>
      <c r="F948" s="95">
        <f>'Planning Engine'!F1664</f>
        <v>0</v>
      </c>
      <c r="G948" s="95">
        <f>'Planning Engine'!G1664</f>
        <v>0</v>
      </c>
      <c r="H948" s="95">
        <f t="shared" si="28"/>
        <v>0</v>
      </c>
      <c r="I948" s="95">
        <f>'Planning Engine'!H1664</f>
        <v>89.81</v>
      </c>
      <c r="J948" s="96">
        <f ca="1">'Planning Engine'!J1664</f>
        <v>999</v>
      </c>
      <c r="K948" s="95">
        <f ca="1">'Planning Engine'!K1664</f>
        <v>0</v>
      </c>
      <c r="L948" s="12" t="str">
        <f ca="1">'Planning Engine'!L1664</f>
        <v>Overstock</v>
      </c>
      <c r="M948" s="93">
        <f>'Planning Engine'!S1664</f>
        <v>47423</v>
      </c>
      <c r="N948" s="95">
        <f>'Planning Engine'!T1664</f>
        <v>0</v>
      </c>
      <c r="O948" s="94" t="s">
        <v>2696</v>
      </c>
      <c r="P948" s="12" t="str">
        <f t="shared" ca="1" si="29"/>
        <v>Defer receipts</v>
      </c>
    </row>
    <row r="949" spans="1:16" ht="13" customHeight="1" x14ac:dyDescent="0.35">
      <c r="A949" s="97">
        <v>47574</v>
      </c>
      <c r="B949" s="53" t="s">
        <v>50</v>
      </c>
      <c r="C949" s="12" t="str">
        <f>'Planning Engine'!C1665</f>
        <v>Raw Material</v>
      </c>
      <c r="D949" s="12" t="str">
        <f>'Planning Engine'!D1665</f>
        <v>kg</v>
      </c>
      <c r="E949" s="95">
        <f>'Planning Engine'!E1665</f>
        <v>89.81</v>
      </c>
      <c r="F949" s="95">
        <f>'Planning Engine'!F1665</f>
        <v>0</v>
      </c>
      <c r="G949" s="95">
        <f>'Planning Engine'!G1665</f>
        <v>0</v>
      </c>
      <c r="H949" s="99">
        <f t="shared" si="28"/>
        <v>0</v>
      </c>
      <c r="I949" s="95">
        <f>'Planning Engine'!H1665</f>
        <v>89.81</v>
      </c>
      <c r="J949" s="96">
        <f ca="1">'Planning Engine'!J1665</f>
        <v>999</v>
      </c>
      <c r="K949" s="95">
        <f ca="1">'Planning Engine'!K1665</f>
        <v>0</v>
      </c>
      <c r="L949" s="12" t="str">
        <f ca="1">'Planning Engine'!L1665</f>
        <v>Overstock</v>
      </c>
      <c r="M949" s="93">
        <f>'Planning Engine'!S1665</f>
        <v>47453</v>
      </c>
      <c r="N949" s="95">
        <f>'Planning Engine'!T1665</f>
        <v>0</v>
      </c>
      <c r="O949" s="98" t="s">
        <v>2697</v>
      </c>
      <c r="P949" s="4" t="str">
        <f t="shared" ca="1" si="29"/>
        <v>Defer receipts</v>
      </c>
    </row>
    <row r="950" spans="1:16" ht="13" customHeight="1" x14ac:dyDescent="0.35">
      <c r="A950" s="93">
        <v>47604</v>
      </c>
      <c r="B950" s="61" t="s">
        <v>50</v>
      </c>
      <c r="C950" s="12" t="str">
        <f>'Planning Engine'!C1666</f>
        <v>Raw Material</v>
      </c>
      <c r="D950" s="12" t="str">
        <f>'Planning Engine'!D1666</f>
        <v>kg</v>
      </c>
      <c r="E950" s="95">
        <f>'Planning Engine'!E1666</f>
        <v>89.81</v>
      </c>
      <c r="F950" s="95">
        <f>'Planning Engine'!F1666</f>
        <v>0</v>
      </c>
      <c r="G950" s="95">
        <f>'Planning Engine'!G1666</f>
        <v>0</v>
      </c>
      <c r="H950" s="95">
        <f t="shared" si="28"/>
        <v>0</v>
      </c>
      <c r="I950" s="95">
        <f>'Planning Engine'!H1666</f>
        <v>89.81</v>
      </c>
      <c r="J950" s="96">
        <f ca="1">'Planning Engine'!J1666</f>
        <v>999</v>
      </c>
      <c r="K950" s="95">
        <f ca="1">'Planning Engine'!K1666</f>
        <v>0</v>
      </c>
      <c r="L950" s="12" t="str">
        <f ca="1">'Planning Engine'!L1666</f>
        <v>Overstock</v>
      </c>
      <c r="M950" s="93">
        <f>'Planning Engine'!S1666</f>
        <v>47484</v>
      </c>
      <c r="N950" s="95">
        <f>'Planning Engine'!T1666</f>
        <v>0</v>
      </c>
      <c r="O950" s="94" t="s">
        <v>2698</v>
      </c>
      <c r="P950" s="12" t="str">
        <f t="shared" ca="1" si="29"/>
        <v>Defer receipts</v>
      </c>
    </row>
    <row r="951" spans="1:16" ht="13" customHeight="1" x14ac:dyDescent="0.35">
      <c r="A951" s="97">
        <v>47635</v>
      </c>
      <c r="B951" s="53" t="s">
        <v>50</v>
      </c>
      <c r="C951" s="12" t="str">
        <f>'Planning Engine'!C1667</f>
        <v>Raw Material</v>
      </c>
      <c r="D951" s="12" t="str">
        <f>'Planning Engine'!D1667</f>
        <v>kg</v>
      </c>
      <c r="E951" s="95">
        <f>'Planning Engine'!E1667</f>
        <v>89.81</v>
      </c>
      <c r="F951" s="95">
        <f>'Planning Engine'!F1667</f>
        <v>0</v>
      </c>
      <c r="G951" s="95">
        <f>'Planning Engine'!G1667</f>
        <v>0</v>
      </c>
      <c r="H951" s="99">
        <f t="shared" si="28"/>
        <v>0</v>
      </c>
      <c r="I951" s="95">
        <f>'Planning Engine'!H1667</f>
        <v>89.81</v>
      </c>
      <c r="J951" s="96">
        <f ca="1">'Planning Engine'!J1667</f>
        <v>999</v>
      </c>
      <c r="K951" s="95">
        <f ca="1">'Planning Engine'!K1667</f>
        <v>0</v>
      </c>
      <c r="L951" s="12" t="str">
        <f ca="1">'Planning Engine'!L1667</f>
        <v>Overstock</v>
      </c>
      <c r="M951" s="93">
        <f>'Planning Engine'!S1667</f>
        <v>47515</v>
      </c>
      <c r="N951" s="95">
        <f>'Planning Engine'!T1667</f>
        <v>0</v>
      </c>
      <c r="O951" s="98" t="s">
        <v>2699</v>
      </c>
      <c r="P951" s="4" t="str">
        <f t="shared" ca="1" si="29"/>
        <v>Defer receipts</v>
      </c>
    </row>
    <row r="952" spans="1:16" ht="13" customHeight="1" x14ac:dyDescent="0.35">
      <c r="A952" s="93">
        <v>47665</v>
      </c>
      <c r="B952" s="61" t="s">
        <v>50</v>
      </c>
      <c r="C952" s="12" t="str">
        <f>'Planning Engine'!C1668</f>
        <v>Raw Material</v>
      </c>
      <c r="D952" s="12" t="str">
        <f>'Planning Engine'!D1668</f>
        <v>kg</v>
      </c>
      <c r="E952" s="95">
        <f>'Planning Engine'!E1668</f>
        <v>89.81</v>
      </c>
      <c r="F952" s="95">
        <f>'Planning Engine'!F1668</f>
        <v>0</v>
      </c>
      <c r="G952" s="95">
        <f>'Planning Engine'!G1668</f>
        <v>0</v>
      </c>
      <c r="H952" s="95">
        <f t="shared" si="28"/>
        <v>0</v>
      </c>
      <c r="I952" s="95">
        <f>'Planning Engine'!H1668</f>
        <v>89.81</v>
      </c>
      <c r="J952" s="96">
        <f ca="1">'Planning Engine'!J1668</f>
        <v>999</v>
      </c>
      <c r="K952" s="95">
        <f ca="1">'Planning Engine'!K1668</f>
        <v>0</v>
      </c>
      <c r="L952" s="12" t="str">
        <f ca="1">'Planning Engine'!L1668</f>
        <v>Overstock</v>
      </c>
      <c r="M952" s="93">
        <f>'Planning Engine'!S1668</f>
        <v>47543</v>
      </c>
      <c r="N952" s="95">
        <f>'Planning Engine'!T1668</f>
        <v>0</v>
      </c>
      <c r="O952" s="94" t="s">
        <v>2700</v>
      </c>
      <c r="P952" s="12" t="str">
        <f t="shared" ca="1" si="29"/>
        <v>Defer receipts</v>
      </c>
    </row>
    <row r="953" spans="1:16" ht="13" customHeight="1" x14ac:dyDescent="0.35">
      <c r="A953" s="97">
        <v>47696</v>
      </c>
      <c r="B953" s="53" t="s">
        <v>50</v>
      </c>
      <c r="C953" s="12" t="str">
        <f>'Planning Engine'!C1669</f>
        <v>Raw Material</v>
      </c>
      <c r="D953" s="12" t="str">
        <f>'Planning Engine'!D1669</f>
        <v>kg</v>
      </c>
      <c r="E953" s="95">
        <f>'Planning Engine'!E1669</f>
        <v>89.81</v>
      </c>
      <c r="F953" s="95">
        <f>'Planning Engine'!F1669</f>
        <v>0</v>
      </c>
      <c r="G953" s="95">
        <f>'Planning Engine'!G1669</f>
        <v>0</v>
      </c>
      <c r="H953" s="99">
        <f t="shared" si="28"/>
        <v>0</v>
      </c>
      <c r="I953" s="95">
        <f>'Planning Engine'!H1669</f>
        <v>89.81</v>
      </c>
      <c r="J953" s="96">
        <f ca="1">'Planning Engine'!J1669</f>
        <v>999</v>
      </c>
      <c r="K953" s="95">
        <f ca="1">'Planning Engine'!K1669</f>
        <v>0</v>
      </c>
      <c r="L953" s="12" t="str">
        <f ca="1">'Planning Engine'!L1669</f>
        <v>Overstock</v>
      </c>
      <c r="M953" s="93">
        <f>'Planning Engine'!S1669</f>
        <v>47574</v>
      </c>
      <c r="N953" s="95">
        <f>'Planning Engine'!T1669</f>
        <v>0</v>
      </c>
      <c r="O953" s="98" t="s">
        <v>2701</v>
      </c>
      <c r="P953" s="4" t="str">
        <f t="shared" ca="1" si="29"/>
        <v>Defer receipts</v>
      </c>
    </row>
    <row r="954" spans="1:16" ht="13" customHeight="1" x14ac:dyDescent="0.35">
      <c r="A954" s="93">
        <v>47727</v>
      </c>
      <c r="B954" s="61" t="s">
        <v>50</v>
      </c>
      <c r="C954" s="12" t="str">
        <f>'Planning Engine'!C1670</f>
        <v>Raw Material</v>
      </c>
      <c r="D954" s="12" t="str">
        <f>'Planning Engine'!D1670</f>
        <v>kg</v>
      </c>
      <c r="E954" s="95">
        <f>'Planning Engine'!E1670</f>
        <v>89.81</v>
      </c>
      <c r="F954" s="95">
        <f>'Planning Engine'!F1670</f>
        <v>0</v>
      </c>
      <c r="G954" s="95">
        <f>'Planning Engine'!G1670</f>
        <v>0</v>
      </c>
      <c r="H954" s="95">
        <f t="shared" si="28"/>
        <v>0</v>
      </c>
      <c r="I954" s="95">
        <f>'Planning Engine'!H1670</f>
        <v>89.81</v>
      </c>
      <c r="J954" s="96">
        <f ca="1">'Planning Engine'!J1670</f>
        <v>999</v>
      </c>
      <c r="K954" s="95">
        <f ca="1">'Planning Engine'!K1670</f>
        <v>0</v>
      </c>
      <c r="L954" s="12" t="str">
        <f ca="1">'Planning Engine'!L1670</f>
        <v>Overstock</v>
      </c>
      <c r="M954" s="93">
        <f>'Planning Engine'!S1670</f>
        <v>47604</v>
      </c>
      <c r="N954" s="95">
        <f>'Planning Engine'!T1670</f>
        <v>0</v>
      </c>
      <c r="O954" s="94" t="s">
        <v>2702</v>
      </c>
      <c r="P954" s="12" t="str">
        <f t="shared" ca="1" si="29"/>
        <v>Defer receipts</v>
      </c>
    </row>
    <row r="955" spans="1:16" ht="13" customHeight="1" x14ac:dyDescent="0.35">
      <c r="A955" s="97">
        <v>47757</v>
      </c>
      <c r="B955" s="53" t="s">
        <v>50</v>
      </c>
      <c r="C955" s="12" t="str">
        <f>'Planning Engine'!C1671</f>
        <v>Raw Material</v>
      </c>
      <c r="D955" s="12" t="str">
        <f>'Planning Engine'!D1671</f>
        <v>kg</v>
      </c>
      <c r="E955" s="95">
        <f>'Planning Engine'!E1671</f>
        <v>89.81</v>
      </c>
      <c r="F955" s="95">
        <f>'Planning Engine'!F1671</f>
        <v>0</v>
      </c>
      <c r="G955" s="95">
        <f>'Planning Engine'!G1671</f>
        <v>0</v>
      </c>
      <c r="H955" s="99">
        <f t="shared" si="28"/>
        <v>0</v>
      </c>
      <c r="I955" s="95">
        <f>'Planning Engine'!H1671</f>
        <v>89.81</v>
      </c>
      <c r="J955" s="96">
        <f ca="1">'Planning Engine'!J1671</f>
        <v>999</v>
      </c>
      <c r="K955" s="95">
        <f ca="1">'Planning Engine'!K1671</f>
        <v>0</v>
      </c>
      <c r="L955" s="12" t="str">
        <f ca="1">'Planning Engine'!L1671</f>
        <v>Overstock</v>
      </c>
      <c r="M955" s="93">
        <f>'Planning Engine'!S1671</f>
        <v>47635</v>
      </c>
      <c r="N955" s="95">
        <f>'Planning Engine'!T1671</f>
        <v>0</v>
      </c>
      <c r="O955" s="98" t="s">
        <v>2703</v>
      </c>
      <c r="P955" s="4" t="str">
        <f t="shared" ca="1" si="29"/>
        <v>Defer receipts</v>
      </c>
    </row>
    <row r="956" spans="1:16" ht="13" customHeight="1" x14ac:dyDescent="0.35">
      <c r="A956" s="93">
        <v>47788</v>
      </c>
      <c r="B956" s="61" t="s">
        <v>50</v>
      </c>
      <c r="C956" s="12" t="str">
        <f>'Planning Engine'!C1672</f>
        <v>Raw Material</v>
      </c>
      <c r="D956" s="12" t="str">
        <f>'Planning Engine'!D1672</f>
        <v>kg</v>
      </c>
      <c r="E956" s="95">
        <f>'Planning Engine'!E1672</f>
        <v>89.81</v>
      </c>
      <c r="F956" s="95">
        <f>'Planning Engine'!F1672</f>
        <v>0</v>
      </c>
      <c r="G956" s="95">
        <f>'Planning Engine'!G1672</f>
        <v>0</v>
      </c>
      <c r="H956" s="95">
        <f t="shared" si="28"/>
        <v>0</v>
      </c>
      <c r="I956" s="95">
        <f>'Planning Engine'!H1672</f>
        <v>89.81</v>
      </c>
      <c r="J956" s="96">
        <f ca="1">'Planning Engine'!J1672</f>
        <v>999</v>
      </c>
      <c r="K956" s="95">
        <f ca="1">'Planning Engine'!K1672</f>
        <v>0</v>
      </c>
      <c r="L956" s="12" t="str">
        <f ca="1">'Planning Engine'!L1672</f>
        <v>Overstock</v>
      </c>
      <c r="M956" s="93">
        <f>'Planning Engine'!S1672</f>
        <v>47665</v>
      </c>
      <c r="N956" s="95">
        <f>'Planning Engine'!T1672</f>
        <v>0</v>
      </c>
      <c r="O956" s="94" t="s">
        <v>2704</v>
      </c>
      <c r="P956" s="12" t="str">
        <f t="shared" ca="1" si="29"/>
        <v>Defer receipts</v>
      </c>
    </row>
    <row r="957" spans="1:16" ht="13" customHeight="1" x14ac:dyDescent="0.35">
      <c r="A957" s="97">
        <v>47818</v>
      </c>
      <c r="B957" s="53" t="s">
        <v>50</v>
      </c>
      <c r="C957" s="12" t="str">
        <f>'Planning Engine'!C1673</f>
        <v>Raw Material</v>
      </c>
      <c r="D957" s="12" t="str">
        <f>'Planning Engine'!D1673</f>
        <v>kg</v>
      </c>
      <c r="E957" s="95">
        <f>'Planning Engine'!E1673</f>
        <v>89.81</v>
      </c>
      <c r="F957" s="95">
        <f>'Planning Engine'!F1673</f>
        <v>0</v>
      </c>
      <c r="G957" s="95">
        <f>'Planning Engine'!G1673</f>
        <v>0</v>
      </c>
      <c r="H957" s="99">
        <f t="shared" si="28"/>
        <v>0</v>
      </c>
      <c r="I957" s="95">
        <f>'Planning Engine'!H1673</f>
        <v>89.81</v>
      </c>
      <c r="J957" s="96">
        <f ca="1">'Planning Engine'!J1673</f>
        <v>999</v>
      </c>
      <c r="K957" s="95">
        <f ca="1">'Planning Engine'!K1673</f>
        <v>0</v>
      </c>
      <c r="L957" s="12" t="str">
        <f ca="1">'Planning Engine'!L1673</f>
        <v>Overstock</v>
      </c>
      <c r="M957" s="93">
        <f>'Planning Engine'!S1673</f>
        <v>47696</v>
      </c>
      <c r="N957" s="95">
        <f>'Planning Engine'!T1673</f>
        <v>0</v>
      </c>
      <c r="O957" s="98" t="s">
        <v>2705</v>
      </c>
      <c r="P957" s="4" t="str">
        <f t="shared" ca="1" si="29"/>
        <v>Defer receipts</v>
      </c>
    </row>
    <row r="958" spans="1:16" ht="13" customHeight="1" x14ac:dyDescent="0.35">
      <c r="A958" s="93">
        <v>47849</v>
      </c>
      <c r="B958" s="61" t="s">
        <v>50</v>
      </c>
      <c r="C958" s="12" t="str">
        <f>'Planning Engine'!C1674</f>
        <v>Raw Material</v>
      </c>
      <c r="D958" s="12" t="str">
        <f>'Planning Engine'!D1674</f>
        <v>kg</v>
      </c>
      <c r="E958" s="95">
        <f>'Planning Engine'!E1674</f>
        <v>89.81</v>
      </c>
      <c r="F958" s="95">
        <f>'Planning Engine'!F1674</f>
        <v>0</v>
      </c>
      <c r="G958" s="95">
        <f>'Planning Engine'!G1674</f>
        <v>0</v>
      </c>
      <c r="H958" s="95">
        <f t="shared" si="28"/>
        <v>0</v>
      </c>
      <c r="I958" s="95">
        <f>'Planning Engine'!H1674</f>
        <v>89.81</v>
      </c>
      <c r="J958" s="96">
        <f ca="1">'Planning Engine'!J1674</f>
        <v>999</v>
      </c>
      <c r="K958" s="95">
        <f ca="1">'Planning Engine'!K1674</f>
        <v>0</v>
      </c>
      <c r="L958" s="12" t="str">
        <f ca="1">'Planning Engine'!L1674</f>
        <v>Overstock</v>
      </c>
      <c r="M958" s="93">
        <f>'Planning Engine'!S1674</f>
        <v>47727</v>
      </c>
      <c r="N958" s="95">
        <f>'Planning Engine'!T1674</f>
        <v>0</v>
      </c>
      <c r="O958" s="94" t="s">
        <v>2706</v>
      </c>
      <c r="P958" s="12" t="str">
        <f t="shared" ca="1" si="29"/>
        <v>Defer receipts</v>
      </c>
    </row>
    <row r="959" spans="1:16" ht="13" customHeight="1" x14ac:dyDescent="0.35">
      <c r="A959" s="97">
        <v>47880</v>
      </c>
      <c r="B959" s="53" t="s">
        <v>50</v>
      </c>
      <c r="C959" s="12" t="str">
        <f>'Planning Engine'!C1675</f>
        <v>Raw Material</v>
      </c>
      <c r="D959" s="12" t="str">
        <f>'Planning Engine'!D1675</f>
        <v>kg</v>
      </c>
      <c r="E959" s="95">
        <f>'Planning Engine'!E1675</f>
        <v>89.81</v>
      </c>
      <c r="F959" s="95">
        <f>'Planning Engine'!F1675</f>
        <v>0</v>
      </c>
      <c r="G959" s="95">
        <f>'Planning Engine'!G1675</f>
        <v>0</v>
      </c>
      <c r="H959" s="99">
        <f t="shared" si="28"/>
        <v>0</v>
      </c>
      <c r="I959" s="95">
        <f>'Planning Engine'!H1675</f>
        <v>89.81</v>
      </c>
      <c r="J959" s="96">
        <f ca="1">'Planning Engine'!J1675</f>
        <v>999</v>
      </c>
      <c r="K959" s="95">
        <f ca="1">'Planning Engine'!K1675</f>
        <v>0</v>
      </c>
      <c r="L959" s="12" t="str">
        <f ca="1">'Planning Engine'!L1675</f>
        <v>Overstock</v>
      </c>
      <c r="M959" s="93">
        <f>'Planning Engine'!S1675</f>
        <v>47757</v>
      </c>
      <c r="N959" s="95">
        <f>'Planning Engine'!T1675</f>
        <v>0</v>
      </c>
      <c r="O959" s="98" t="s">
        <v>2707</v>
      </c>
      <c r="P959" s="4" t="str">
        <f t="shared" ca="1" si="29"/>
        <v>Defer receipts</v>
      </c>
    </row>
    <row r="960" spans="1:16" ht="13" customHeight="1" x14ac:dyDescent="0.35">
      <c r="A960" s="93">
        <v>47908</v>
      </c>
      <c r="B960" s="61" t="s">
        <v>50</v>
      </c>
      <c r="C960" s="12" t="str">
        <f>'Planning Engine'!C1676</f>
        <v>Raw Material</v>
      </c>
      <c r="D960" s="12" t="str">
        <f>'Planning Engine'!D1676</f>
        <v>kg</v>
      </c>
      <c r="E960" s="95">
        <f>'Planning Engine'!E1676</f>
        <v>89.81</v>
      </c>
      <c r="F960" s="95">
        <f>'Planning Engine'!F1676</f>
        <v>0</v>
      </c>
      <c r="G960" s="95">
        <f>'Planning Engine'!G1676</f>
        <v>0</v>
      </c>
      <c r="H960" s="95">
        <f t="shared" si="28"/>
        <v>0</v>
      </c>
      <c r="I960" s="95">
        <f>'Planning Engine'!H1676</f>
        <v>89.81</v>
      </c>
      <c r="J960" s="96">
        <f ca="1">'Planning Engine'!J1676</f>
        <v>999</v>
      </c>
      <c r="K960" s="95">
        <f ca="1">'Planning Engine'!K1676</f>
        <v>0</v>
      </c>
      <c r="L960" s="12" t="str">
        <f ca="1">'Planning Engine'!L1676</f>
        <v>Overstock</v>
      </c>
      <c r="M960" s="93">
        <f>'Planning Engine'!S1676</f>
        <v>47788</v>
      </c>
      <c r="N960" s="95">
        <f>'Planning Engine'!T1676</f>
        <v>0</v>
      </c>
      <c r="O960" s="94" t="s">
        <v>2708</v>
      </c>
      <c r="P960" s="12" t="str">
        <f t="shared" ca="1" si="29"/>
        <v>Defer receipts</v>
      </c>
    </row>
    <row r="961" spans="1:16" ht="13" customHeight="1" x14ac:dyDescent="0.35">
      <c r="A961" s="97">
        <v>47939</v>
      </c>
      <c r="B961" s="53" t="s">
        <v>50</v>
      </c>
      <c r="C961" s="12" t="str">
        <f>'Planning Engine'!C1677</f>
        <v>Raw Material</v>
      </c>
      <c r="D961" s="12" t="str">
        <f>'Planning Engine'!D1677</f>
        <v>kg</v>
      </c>
      <c r="E961" s="95">
        <f>'Planning Engine'!E1677</f>
        <v>89.81</v>
      </c>
      <c r="F961" s="95">
        <f>'Planning Engine'!F1677</f>
        <v>0</v>
      </c>
      <c r="G961" s="95">
        <f>'Planning Engine'!G1677</f>
        <v>0</v>
      </c>
      <c r="H961" s="99">
        <f t="shared" si="28"/>
        <v>0</v>
      </c>
      <c r="I961" s="95">
        <f>'Planning Engine'!H1677</f>
        <v>89.81</v>
      </c>
      <c r="J961" s="96">
        <f ca="1">'Planning Engine'!J1677</f>
        <v>999</v>
      </c>
      <c r="K961" s="95">
        <f ca="1">'Planning Engine'!K1677</f>
        <v>0</v>
      </c>
      <c r="L961" s="12" t="str">
        <f ca="1">'Planning Engine'!L1677</f>
        <v>Overstock</v>
      </c>
      <c r="M961" s="93">
        <f>'Planning Engine'!S1677</f>
        <v>47818</v>
      </c>
      <c r="N961" s="95">
        <f>'Planning Engine'!T1677</f>
        <v>0</v>
      </c>
      <c r="O961" s="98" t="s">
        <v>2709</v>
      </c>
      <c r="P961" s="4" t="str">
        <f t="shared" ca="1" si="29"/>
        <v>Defer receipts</v>
      </c>
    </row>
    <row r="962" spans="1:16" ht="13" customHeight="1" x14ac:dyDescent="0.35">
      <c r="A962" s="93">
        <v>47969</v>
      </c>
      <c r="B962" s="61" t="s">
        <v>50</v>
      </c>
      <c r="C962" s="12" t="str">
        <f>'Planning Engine'!C1678</f>
        <v>Raw Material</v>
      </c>
      <c r="D962" s="12" t="str">
        <f>'Planning Engine'!D1678</f>
        <v>kg</v>
      </c>
      <c r="E962" s="95">
        <f>'Planning Engine'!E1678</f>
        <v>89.81</v>
      </c>
      <c r="F962" s="95">
        <f>'Planning Engine'!F1678</f>
        <v>0</v>
      </c>
      <c r="G962" s="95">
        <f>'Planning Engine'!G1678</f>
        <v>0</v>
      </c>
      <c r="H962" s="95">
        <f t="shared" si="28"/>
        <v>0</v>
      </c>
      <c r="I962" s="95">
        <f>'Planning Engine'!H1678</f>
        <v>89.81</v>
      </c>
      <c r="J962" s="96">
        <f ca="1">'Planning Engine'!J1678</f>
        <v>999</v>
      </c>
      <c r="K962" s="95">
        <f ca="1">'Planning Engine'!K1678</f>
        <v>0</v>
      </c>
      <c r="L962" s="12" t="str">
        <f ca="1">'Planning Engine'!L1678</f>
        <v>Overstock</v>
      </c>
      <c r="M962" s="93">
        <f>'Planning Engine'!S1678</f>
        <v>47849</v>
      </c>
      <c r="N962" s="95">
        <f>'Planning Engine'!T1678</f>
        <v>0</v>
      </c>
      <c r="O962" s="94" t="s">
        <v>2710</v>
      </c>
      <c r="P962" s="12" t="str">
        <f t="shared" ca="1" si="29"/>
        <v>Defer receipts</v>
      </c>
    </row>
    <row r="963" spans="1:16" ht="13" customHeight="1" x14ac:dyDescent="0.35">
      <c r="A963" s="97">
        <v>48000</v>
      </c>
      <c r="B963" s="53" t="s">
        <v>50</v>
      </c>
      <c r="C963" s="12" t="str">
        <f>'Planning Engine'!C1679</f>
        <v>Raw Material</v>
      </c>
      <c r="D963" s="12" t="str">
        <f>'Planning Engine'!D1679</f>
        <v>kg</v>
      </c>
      <c r="E963" s="95">
        <f>'Planning Engine'!E1679</f>
        <v>89.81</v>
      </c>
      <c r="F963" s="95">
        <f>'Planning Engine'!F1679</f>
        <v>0</v>
      </c>
      <c r="G963" s="95">
        <f>'Planning Engine'!G1679</f>
        <v>0</v>
      </c>
      <c r="H963" s="99">
        <f t="shared" si="28"/>
        <v>0</v>
      </c>
      <c r="I963" s="95">
        <f>'Planning Engine'!H1679</f>
        <v>89.81</v>
      </c>
      <c r="J963" s="96">
        <f ca="1">'Planning Engine'!J1679</f>
        <v>999</v>
      </c>
      <c r="K963" s="95">
        <f ca="1">'Planning Engine'!K1679</f>
        <v>0</v>
      </c>
      <c r="L963" s="12" t="str">
        <f ca="1">'Planning Engine'!L1679</f>
        <v>Overstock</v>
      </c>
      <c r="M963" s="93">
        <f>'Planning Engine'!S1679</f>
        <v>47880</v>
      </c>
      <c r="N963" s="95">
        <f>'Planning Engine'!T1679</f>
        <v>0</v>
      </c>
      <c r="O963" s="98" t="s">
        <v>2711</v>
      </c>
      <c r="P963" s="4" t="str">
        <f t="shared" ca="1" si="29"/>
        <v>Defer receipts</v>
      </c>
    </row>
    <row r="964" spans="1:16" ht="13" customHeight="1" x14ac:dyDescent="0.35">
      <c r="A964" s="93">
        <v>48030</v>
      </c>
      <c r="B964" s="61" t="s">
        <v>50</v>
      </c>
      <c r="C964" s="12" t="str">
        <f>'Planning Engine'!C1680</f>
        <v>Raw Material</v>
      </c>
      <c r="D964" s="12" t="str">
        <f>'Planning Engine'!D1680</f>
        <v>kg</v>
      </c>
      <c r="E964" s="95">
        <f>'Planning Engine'!E1680</f>
        <v>89.81</v>
      </c>
      <c r="F964" s="95">
        <f>'Planning Engine'!F1680</f>
        <v>0</v>
      </c>
      <c r="G964" s="95">
        <f>'Planning Engine'!G1680</f>
        <v>0</v>
      </c>
      <c r="H964" s="95">
        <f t="shared" ref="H964:H1027" si="30">G964-F964</f>
        <v>0</v>
      </c>
      <c r="I964" s="95">
        <f>'Planning Engine'!H1680</f>
        <v>89.81</v>
      </c>
      <c r="J964" s="96">
        <f ca="1">'Planning Engine'!J1680</f>
        <v>999</v>
      </c>
      <c r="K964" s="95">
        <f ca="1">'Planning Engine'!K1680</f>
        <v>0</v>
      </c>
      <c r="L964" s="12" t="str">
        <f ca="1">'Planning Engine'!L1680</f>
        <v>Overstock</v>
      </c>
      <c r="M964" s="93">
        <f>'Planning Engine'!S1680</f>
        <v>47908</v>
      </c>
      <c r="N964" s="95">
        <f>'Planning Engine'!T1680</f>
        <v>0</v>
      </c>
      <c r="O964" s="94" t="s">
        <v>2712</v>
      </c>
      <c r="P964" s="12" t="str">
        <f t="shared" ref="P964:P1027" ca="1" si="31">IFERROR(IF(L964="High","⚠ Expedite / qualify alternate source",IF(L964="Medium","Monitor — plan additional POs",IF(L964="Overstock","Defer receipts","OK"))),"--")</f>
        <v>Defer receipts</v>
      </c>
    </row>
    <row r="965" spans="1:16" ht="13" customHeight="1" x14ac:dyDescent="0.35">
      <c r="A965" s="97">
        <v>48061</v>
      </c>
      <c r="B965" s="53" t="s">
        <v>50</v>
      </c>
      <c r="C965" s="12" t="str">
        <f>'Planning Engine'!C1681</f>
        <v>Raw Material</v>
      </c>
      <c r="D965" s="12" t="str">
        <f>'Planning Engine'!D1681</f>
        <v>kg</v>
      </c>
      <c r="E965" s="95">
        <f>'Planning Engine'!E1681</f>
        <v>89.81</v>
      </c>
      <c r="F965" s="95">
        <f>'Planning Engine'!F1681</f>
        <v>0</v>
      </c>
      <c r="G965" s="95">
        <f>'Planning Engine'!G1681</f>
        <v>0</v>
      </c>
      <c r="H965" s="99">
        <f t="shared" si="30"/>
        <v>0</v>
      </c>
      <c r="I965" s="95">
        <f>'Planning Engine'!H1681</f>
        <v>89.81</v>
      </c>
      <c r="J965" s="96">
        <f ca="1">'Planning Engine'!J1681</f>
        <v>999</v>
      </c>
      <c r="K965" s="95">
        <f ca="1">'Planning Engine'!K1681</f>
        <v>0</v>
      </c>
      <c r="L965" s="12" t="str">
        <f ca="1">'Planning Engine'!L1681</f>
        <v>Overstock</v>
      </c>
      <c r="M965" s="93">
        <f>'Planning Engine'!S1681</f>
        <v>47939</v>
      </c>
      <c r="N965" s="95">
        <f>'Planning Engine'!T1681</f>
        <v>0</v>
      </c>
      <c r="O965" s="98" t="s">
        <v>2713</v>
      </c>
      <c r="P965" s="4" t="str">
        <f t="shared" ca="1" si="31"/>
        <v>Defer receipts</v>
      </c>
    </row>
    <row r="966" spans="1:16" ht="13" customHeight="1" x14ac:dyDescent="0.35">
      <c r="A966" s="93">
        <v>48092</v>
      </c>
      <c r="B966" s="61" t="s">
        <v>50</v>
      </c>
      <c r="C966" s="12" t="str">
        <f>'Planning Engine'!C1682</f>
        <v>Raw Material</v>
      </c>
      <c r="D966" s="12" t="str">
        <f>'Planning Engine'!D1682</f>
        <v>kg</v>
      </c>
      <c r="E966" s="95">
        <f>'Planning Engine'!E1682</f>
        <v>89.81</v>
      </c>
      <c r="F966" s="95">
        <f>'Planning Engine'!F1682</f>
        <v>0</v>
      </c>
      <c r="G966" s="95">
        <f>'Planning Engine'!G1682</f>
        <v>0</v>
      </c>
      <c r="H966" s="95">
        <f t="shared" si="30"/>
        <v>0</v>
      </c>
      <c r="I966" s="95">
        <f>'Planning Engine'!H1682</f>
        <v>89.81</v>
      </c>
      <c r="J966" s="96">
        <f ca="1">'Planning Engine'!J1682</f>
        <v>999</v>
      </c>
      <c r="K966" s="95">
        <f ca="1">'Planning Engine'!K1682</f>
        <v>0</v>
      </c>
      <c r="L966" s="12" t="str">
        <f ca="1">'Planning Engine'!L1682</f>
        <v>Overstock</v>
      </c>
      <c r="M966" s="93">
        <f>'Planning Engine'!S1682</f>
        <v>47969</v>
      </c>
      <c r="N966" s="95">
        <f>'Planning Engine'!T1682</f>
        <v>0</v>
      </c>
      <c r="O966" s="94" t="s">
        <v>2714</v>
      </c>
      <c r="P966" s="12" t="str">
        <f t="shared" ca="1" si="31"/>
        <v>Defer receipts</v>
      </c>
    </row>
    <row r="967" spans="1:16" ht="13" customHeight="1" x14ac:dyDescent="0.35">
      <c r="A967" s="97">
        <v>48122</v>
      </c>
      <c r="B967" s="53" t="s">
        <v>50</v>
      </c>
      <c r="C967" s="12" t="str">
        <f>'Planning Engine'!C1683</f>
        <v>Raw Material</v>
      </c>
      <c r="D967" s="12" t="str">
        <f>'Planning Engine'!D1683</f>
        <v>kg</v>
      </c>
      <c r="E967" s="95">
        <f>'Planning Engine'!E1683</f>
        <v>89.81</v>
      </c>
      <c r="F967" s="95">
        <f>'Planning Engine'!F1683</f>
        <v>0</v>
      </c>
      <c r="G967" s="95">
        <f>'Planning Engine'!G1683</f>
        <v>0</v>
      </c>
      <c r="H967" s="99">
        <f t="shared" si="30"/>
        <v>0</v>
      </c>
      <c r="I967" s="95">
        <f>'Planning Engine'!H1683</f>
        <v>89.81</v>
      </c>
      <c r="J967" s="96">
        <f ca="1">'Planning Engine'!J1683</f>
        <v>999</v>
      </c>
      <c r="K967" s="95">
        <f ca="1">'Planning Engine'!K1683</f>
        <v>0</v>
      </c>
      <c r="L967" s="12" t="str">
        <f ca="1">'Planning Engine'!L1683</f>
        <v>Overstock</v>
      </c>
      <c r="M967" s="93">
        <f>'Planning Engine'!S1683</f>
        <v>48000</v>
      </c>
      <c r="N967" s="95">
        <f>'Planning Engine'!T1683</f>
        <v>0</v>
      </c>
      <c r="O967" s="98" t="s">
        <v>2715</v>
      </c>
      <c r="P967" s="4" t="str">
        <f t="shared" ca="1" si="31"/>
        <v>Defer receipts</v>
      </c>
    </row>
    <row r="968" spans="1:16" ht="13" customHeight="1" x14ac:dyDescent="0.35">
      <c r="A968" s="93">
        <v>48153</v>
      </c>
      <c r="B968" s="61" t="s">
        <v>50</v>
      </c>
      <c r="C968" s="12" t="str">
        <f>'Planning Engine'!C1684</f>
        <v>Raw Material</v>
      </c>
      <c r="D968" s="12" t="str">
        <f>'Planning Engine'!D1684</f>
        <v>kg</v>
      </c>
      <c r="E968" s="95">
        <f>'Planning Engine'!E1684</f>
        <v>89.81</v>
      </c>
      <c r="F968" s="95">
        <f>'Planning Engine'!F1684</f>
        <v>0</v>
      </c>
      <c r="G968" s="95">
        <f>'Planning Engine'!G1684</f>
        <v>0</v>
      </c>
      <c r="H968" s="95">
        <f t="shared" si="30"/>
        <v>0</v>
      </c>
      <c r="I968" s="95">
        <f>'Planning Engine'!H1684</f>
        <v>89.81</v>
      </c>
      <c r="J968" s="96">
        <f ca="1">'Planning Engine'!J1684</f>
        <v>999</v>
      </c>
      <c r="K968" s="95">
        <f ca="1">'Planning Engine'!K1684</f>
        <v>0</v>
      </c>
      <c r="L968" s="12" t="str">
        <f ca="1">'Planning Engine'!L1684</f>
        <v>Overstock</v>
      </c>
      <c r="M968" s="93">
        <f>'Planning Engine'!S1684</f>
        <v>48030</v>
      </c>
      <c r="N968" s="95">
        <f>'Planning Engine'!T1684</f>
        <v>0</v>
      </c>
      <c r="O968" s="94" t="s">
        <v>2716</v>
      </c>
      <c r="P968" s="12" t="str">
        <f t="shared" ca="1" si="31"/>
        <v>Defer receipts</v>
      </c>
    </row>
    <row r="969" spans="1:16" ht="13" customHeight="1" x14ac:dyDescent="0.35">
      <c r="A969" s="97">
        <v>48183</v>
      </c>
      <c r="B969" s="53" t="s">
        <v>50</v>
      </c>
      <c r="C969" s="12" t="str">
        <f>'Planning Engine'!C1685</f>
        <v>Raw Material</v>
      </c>
      <c r="D969" s="12" t="str">
        <f>'Planning Engine'!D1685</f>
        <v>kg</v>
      </c>
      <c r="E969" s="95">
        <f>'Planning Engine'!E1685</f>
        <v>89.81</v>
      </c>
      <c r="F969" s="95">
        <f>'Planning Engine'!F1685</f>
        <v>0</v>
      </c>
      <c r="G969" s="95">
        <f>'Planning Engine'!G1685</f>
        <v>0</v>
      </c>
      <c r="H969" s="99">
        <f t="shared" si="30"/>
        <v>0</v>
      </c>
      <c r="I969" s="95">
        <f>'Planning Engine'!H1685</f>
        <v>89.81</v>
      </c>
      <c r="J969" s="96">
        <f ca="1">'Planning Engine'!J1685</f>
        <v>999</v>
      </c>
      <c r="K969" s="95">
        <f ca="1">'Planning Engine'!K1685</f>
        <v>0</v>
      </c>
      <c r="L969" s="12" t="str">
        <f ca="1">'Planning Engine'!L1685</f>
        <v>Overstock</v>
      </c>
      <c r="M969" s="93">
        <f>'Planning Engine'!S1685</f>
        <v>48061</v>
      </c>
      <c r="N969" s="95">
        <f>'Planning Engine'!T1685</f>
        <v>0</v>
      </c>
      <c r="O969" s="98" t="s">
        <v>2717</v>
      </c>
      <c r="P969" s="4" t="str">
        <f t="shared" ca="1" si="31"/>
        <v>Defer receipts</v>
      </c>
    </row>
    <row r="970" spans="1:16" ht="13" customHeight="1" x14ac:dyDescent="0.35">
      <c r="A970" s="93">
        <v>48214</v>
      </c>
      <c r="B970" s="61" t="s">
        <v>50</v>
      </c>
      <c r="C970" s="12" t="str">
        <f>'Planning Engine'!C1686</f>
        <v>Raw Material</v>
      </c>
      <c r="D970" s="12" t="str">
        <f>'Planning Engine'!D1686</f>
        <v>kg</v>
      </c>
      <c r="E970" s="95">
        <f>'Planning Engine'!E1686</f>
        <v>89.81</v>
      </c>
      <c r="F970" s="95">
        <f>'Planning Engine'!F1686</f>
        <v>0</v>
      </c>
      <c r="G970" s="95">
        <f>'Planning Engine'!G1686</f>
        <v>0</v>
      </c>
      <c r="H970" s="95">
        <f t="shared" si="30"/>
        <v>0</v>
      </c>
      <c r="I970" s="95">
        <f>'Planning Engine'!H1686</f>
        <v>89.81</v>
      </c>
      <c r="J970" s="96">
        <f ca="1">'Planning Engine'!J1686</f>
        <v>999</v>
      </c>
      <c r="K970" s="95">
        <f ca="1">'Planning Engine'!K1686</f>
        <v>0</v>
      </c>
      <c r="L970" s="12" t="str">
        <f ca="1">'Planning Engine'!L1686</f>
        <v>Overstock</v>
      </c>
      <c r="M970" s="93">
        <f>'Planning Engine'!S1686</f>
        <v>48092</v>
      </c>
      <c r="N970" s="95">
        <f>'Planning Engine'!T1686</f>
        <v>0</v>
      </c>
      <c r="O970" s="94" t="s">
        <v>2718</v>
      </c>
      <c r="P970" s="12" t="str">
        <f t="shared" ca="1" si="31"/>
        <v>Defer receipts</v>
      </c>
    </row>
    <row r="971" spans="1:16" ht="13" customHeight="1" x14ac:dyDescent="0.35">
      <c r="A971" s="97">
        <v>48245</v>
      </c>
      <c r="B971" s="53" t="s">
        <v>50</v>
      </c>
      <c r="C971" s="12" t="str">
        <f>'Planning Engine'!C1687</f>
        <v>Raw Material</v>
      </c>
      <c r="D971" s="12" t="str">
        <f>'Planning Engine'!D1687</f>
        <v>kg</v>
      </c>
      <c r="E971" s="95">
        <f>'Planning Engine'!E1687</f>
        <v>89.81</v>
      </c>
      <c r="F971" s="95">
        <f>'Planning Engine'!F1687</f>
        <v>0</v>
      </c>
      <c r="G971" s="95">
        <f>'Planning Engine'!G1687</f>
        <v>0</v>
      </c>
      <c r="H971" s="99">
        <f t="shared" si="30"/>
        <v>0</v>
      </c>
      <c r="I971" s="95">
        <f>'Planning Engine'!H1687</f>
        <v>89.81</v>
      </c>
      <c r="J971" s="96">
        <f ca="1">'Planning Engine'!J1687</f>
        <v>999</v>
      </c>
      <c r="K971" s="95">
        <f ca="1">'Planning Engine'!K1687</f>
        <v>0</v>
      </c>
      <c r="L971" s="12" t="str">
        <f ca="1">'Planning Engine'!L1687</f>
        <v>Overstock</v>
      </c>
      <c r="M971" s="93">
        <f>'Planning Engine'!S1687</f>
        <v>48122</v>
      </c>
      <c r="N971" s="95">
        <f>'Planning Engine'!T1687</f>
        <v>0</v>
      </c>
      <c r="O971" s="98" t="s">
        <v>2719</v>
      </c>
      <c r="P971" s="4" t="str">
        <f t="shared" ca="1" si="31"/>
        <v>Defer receipts</v>
      </c>
    </row>
    <row r="972" spans="1:16" ht="13" customHeight="1" x14ac:dyDescent="0.35">
      <c r="A972" s="93">
        <v>48274</v>
      </c>
      <c r="B972" s="61" t="s">
        <v>50</v>
      </c>
      <c r="C972" s="12" t="str">
        <f>'Planning Engine'!C1688</f>
        <v>Raw Material</v>
      </c>
      <c r="D972" s="12" t="str">
        <f>'Planning Engine'!D1688</f>
        <v>kg</v>
      </c>
      <c r="E972" s="95">
        <f>'Planning Engine'!E1688</f>
        <v>89.81</v>
      </c>
      <c r="F972" s="95">
        <f>'Planning Engine'!F1688</f>
        <v>0</v>
      </c>
      <c r="G972" s="95">
        <f>'Planning Engine'!G1688</f>
        <v>0</v>
      </c>
      <c r="H972" s="95">
        <f t="shared" si="30"/>
        <v>0</v>
      </c>
      <c r="I972" s="95">
        <f>'Planning Engine'!H1688</f>
        <v>89.81</v>
      </c>
      <c r="J972" s="96">
        <f ca="1">'Planning Engine'!J1688</f>
        <v>999</v>
      </c>
      <c r="K972" s="95">
        <f ca="1">'Planning Engine'!K1688</f>
        <v>0</v>
      </c>
      <c r="L972" s="12" t="str">
        <f ca="1">'Planning Engine'!L1688</f>
        <v>Overstock</v>
      </c>
      <c r="M972" s="93">
        <f>'Planning Engine'!S1688</f>
        <v>48153</v>
      </c>
      <c r="N972" s="95">
        <f>'Planning Engine'!T1688</f>
        <v>0</v>
      </c>
      <c r="O972" s="94" t="s">
        <v>2720</v>
      </c>
      <c r="P972" s="12" t="str">
        <f t="shared" ca="1" si="31"/>
        <v>Defer receipts</v>
      </c>
    </row>
    <row r="973" spans="1:16" ht="13" customHeight="1" x14ac:dyDescent="0.35">
      <c r="A973" s="97">
        <v>48305</v>
      </c>
      <c r="B973" s="53" t="s">
        <v>50</v>
      </c>
      <c r="C973" s="12" t="str">
        <f>'Planning Engine'!C1689</f>
        <v>Raw Material</v>
      </c>
      <c r="D973" s="12" t="str">
        <f>'Planning Engine'!D1689</f>
        <v>kg</v>
      </c>
      <c r="E973" s="95">
        <f>'Planning Engine'!E1689</f>
        <v>89.81</v>
      </c>
      <c r="F973" s="95">
        <f>'Planning Engine'!F1689</f>
        <v>0</v>
      </c>
      <c r="G973" s="95">
        <f>'Planning Engine'!G1689</f>
        <v>0</v>
      </c>
      <c r="H973" s="99">
        <f t="shared" si="30"/>
        <v>0</v>
      </c>
      <c r="I973" s="95">
        <f>'Planning Engine'!H1689</f>
        <v>89.81</v>
      </c>
      <c r="J973" s="96">
        <f ca="1">'Planning Engine'!J1689</f>
        <v>999</v>
      </c>
      <c r="K973" s="95">
        <f ca="1">'Planning Engine'!K1689</f>
        <v>0</v>
      </c>
      <c r="L973" s="12" t="str">
        <f ca="1">'Planning Engine'!L1689</f>
        <v>Overstock</v>
      </c>
      <c r="M973" s="93">
        <f>'Planning Engine'!S1689</f>
        <v>48183</v>
      </c>
      <c r="N973" s="95">
        <f>'Planning Engine'!T1689</f>
        <v>0</v>
      </c>
      <c r="O973" s="98" t="s">
        <v>2721</v>
      </c>
      <c r="P973" s="4" t="str">
        <f t="shared" ca="1" si="31"/>
        <v>Defer receipts</v>
      </c>
    </row>
    <row r="974" spans="1:16" ht="13" customHeight="1" x14ac:dyDescent="0.35">
      <c r="A974" s="93">
        <v>48335</v>
      </c>
      <c r="B974" s="61" t="s">
        <v>50</v>
      </c>
      <c r="C974" s="12" t="str">
        <f>'Planning Engine'!C1690</f>
        <v>Raw Material</v>
      </c>
      <c r="D974" s="12" t="str">
        <f>'Planning Engine'!D1690</f>
        <v>kg</v>
      </c>
      <c r="E974" s="95">
        <f>'Planning Engine'!E1690</f>
        <v>89.81</v>
      </c>
      <c r="F974" s="95">
        <f>'Planning Engine'!F1690</f>
        <v>0</v>
      </c>
      <c r="G974" s="95">
        <f>'Planning Engine'!G1690</f>
        <v>0</v>
      </c>
      <c r="H974" s="95">
        <f t="shared" si="30"/>
        <v>0</v>
      </c>
      <c r="I974" s="95">
        <f>'Planning Engine'!H1690</f>
        <v>89.81</v>
      </c>
      <c r="J974" s="96">
        <f ca="1">'Planning Engine'!J1690</f>
        <v>999</v>
      </c>
      <c r="K974" s="95">
        <f ca="1">'Planning Engine'!K1690</f>
        <v>0</v>
      </c>
      <c r="L974" s="12" t="str">
        <f ca="1">'Planning Engine'!L1690</f>
        <v>Overstock</v>
      </c>
      <c r="M974" s="93">
        <f>'Planning Engine'!S1690</f>
        <v>48214</v>
      </c>
      <c r="N974" s="95">
        <f>'Planning Engine'!T1690</f>
        <v>0</v>
      </c>
      <c r="O974" s="94" t="s">
        <v>2722</v>
      </c>
      <c r="P974" s="12" t="str">
        <f t="shared" ca="1" si="31"/>
        <v>Defer receipts</v>
      </c>
    </row>
    <row r="975" spans="1:16" ht="13" customHeight="1" x14ac:dyDescent="0.35">
      <c r="A975" s="97">
        <v>48366</v>
      </c>
      <c r="B975" s="53" t="s">
        <v>50</v>
      </c>
      <c r="C975" s="12" t="str">
        <f>'Planning Engine'!C1691</f>
        <v>Raw Material</v>
      </c>
      <c r="D975" s="12" t="str">
        <f>'Planning Engine'!D1691</f>
        <v>kg</v>
      </c>
      <c r="E975" s="95">
        <f>'Planning Engine'!E1691</f>
        <v>89.81</v>
      </c>
      <c r="F975" s="95">
        <f>'Planning Engine'!F1691</f>
        <v>0</v>
      </c>
      <c r="G975" s="95">
        <f>'Planning Engine'!G1691</f>
        <v>0</v>
      </c>
      <c r="H975" s="99">
        <f t="shared" si="30"/>
        <v>0</v>
      </c>
      <c r="I975" s="95">
        <f>'Planning Engine'!H1691</f>
        <v>89.81</v>
      </c>
      <c r="J975" s="96">
        <f ca="1">'Planning Engine'!J1691</f>
        <v>999</v>
      </c>
      <c r="K975" s="95">
        <f ca="1">'Planning Engine'!K1691</f>
        <v>0</v>
      </c>
      <c r="L975" s="12" t="str">
        <f ca="1">'Planning Engine'!L1691</f>
        <v>Overstock</v>
      </c>
      <c r="M975" s="93">
        <f>'Planning Engine'!S1691</f>
        <v>48245</v>
      </c>
      <c r="N975" s="95">
        <f>'Planning Engine'!T1691</f>
        <v>0</v>
      </c>
      <c r="O975" s="98" t="s">
        <v>2723</v>
      </c>
      <c r="P975" s="4" t="str">
        <f t="shared" ca="1" si="31"/>
        <v>Defer receipts</v>
      </c>
    </row>
    <row r="976" spans="1:16" ht="13" customHeight="1" x14ac:dyDescent="0.35">
      <c r="A976" s="93">
        <v>48396</v>
      </c>
      <c r="B976" s="61" t="s">
        <v>50</v>
      </c>
      <c r="C976" s="12" t="str">
        <f>'Planning Engine'!C1692</f>
        <v>Raw Material</v>
      </c>
      <c r="D976" s="12" t="str">
        <f>'Planning Engine'!D1692</f>
        <v>kg</v>
      </c>
      <c r="E976" s="95">
        <f>'Planning Engine'!E1692</f>
        <v>89.81</v>
      </c>
      <c r="F976" s="95">
        <f>'Planning Engine'!F1692</f>
        <v>0</v>
      </c>
      <c r="G976" s="95">
        <f>'Planning Engine'!G1692</f>
        <v>0</v>
      </c>
      <c r="H976" s="95">
        <f t="shared" si="30"/>
        <v>0</v>
      </c>
      <c r="I976" s="95">
        <f>'Planning Engine'!H1692</f>
        <v>89.81</v>
      </c>
      <c r="J976" s="96">
        <f ca="1">'Planning Engine'!J1692</f>
        <v>999</v>
      </c>
      <c r="K976" s="95">
        <f ca="1">'Planning Engine'!K1692</f>
        <v>0</v>
      </c>
      <c r="L976" s="12" t="str">
        <f ca="1">'Planning Engine'!L1692</f>
        <v>Overstock</v>
      </c>
      <c r="M976" s="93">
        <f>'Planning Engine'!S1692</f>
        <v>48274</v>
      </c>
      <c r="N976" s="95">
        <f>'Planning Engine'!T1692</f>
        <v>0</v>
      </c>
      <c r="O976" s="94" t="s">
        <v>2724</v>
      </c>
      <c r="P976" s="12" t="str">
        <f t="shared" ca="1" si="31"/>
        <v>Defer receipts</v>
      </c>
    </row>
    <row r="977" spans="1:16" ht="13" customHeight="1" x14ac:dyDescent="0.35">
      <c r="A977" s="97">
        <v>48427</v>
      </c>
      <c r="B977" s="53" t="s">
        <v>50</v>
      </c>
      <c r="C977" s="12" t="str">
        <f>'Planning Engine'!C1693</f>
        <v>Raw Material</v>
      </c>
      <c r="D977" s="12" t="str">
        <f>'Planning Engine'!D1693</f>
        <v>kg</v>
      </c>
      <c r="E977" s="95">
        <f>'Planning Engine'!E1693</f>
        <v>89.81</v>
      </c>
      <c r="F977" s="95">
        <f>'Planning Engine'!F1693</f>
        <v>0</v>
      </c>
      <c r="G977" s="95">
        <f>'Planning Engine'!G1693</f>
        <v>0</v>
      </c>
      <c r="H977" s="99">
        <f t="shared" si="30"/>
        <v>0</v>
      </c>
      <c r="I977" s="95">
        <f>'Planning Engine'!H1693</f>
        <v>89.81</v>
      </c>
      <c r="J977" s="96">
        <f ca="1">'Planning Engine'!J1693</f>
        <v>999</v>
      </c>
      <c r="K977" s="95">
        <f ca="1">'Planning Engine'!K1693</f>
        <v>0</v>
      </c>
      <c r="L977" s="12" t="str">
        <f ca="1">'Planning Engine'!L1693</f>
        <v>Overstock</v>
      </c>
      <c r="M977" s="93">
        <f>'Planning Engine'!S1693</f>
        <v>48305</v>
      </c>
      <c r="N977" s="95">
        <f>'Planning Engine'!T1693</f>
        <v>0</v>
      </c>
      <c r="O977" s="98" t="s">
        <v>2725</v>
      </c>
      <c r="P977" s="4" t="str">
        <f t="shared" ca="1" si="31"/>
        <v>Defer receipts</v>
      </c>
    </row>
    <row r="978" spans="1:16" ht="13" customHeight="1" x14ac:dyDescent="0.35">
      <c r="A978" s="93">
        <v>48458</v>
      </c>
      <c r="B978" s="61" t="s">
        <v>50</v>
      </c>
      <c r="C978" s="12" t="str">
        <f>'Planning Engine'!C1694</f>
        <v>Raw Material</v>
      </c>
      <c r="D978" s="12" t="str">
        <f>'Planning Engine'!D1694</f>
        <v>kg</v>
      </c>
      <c r="E978" s="95">
        <f>'Planning Engine'!E1694</f>
        <v>89.81</v>
      </c>
      <c r="F978" s="95">
        <f>'Planning Engine'!F1694</f>
        <v>0</v>
      </c>
      <c r="G978" s="95">
        <f>'Planning Engine'!G1694</f>
        <v>0</v>
      </c>
      <c r="H978" s="95">
        <f t="shared" si="30"/>
        <v>0</v>
      </c>
      <c r="I978" s="95">
        <f>'Planning Engine'!H1694</f>
        <v>89.81</v>
      </c>
      <c r="J978" s="96">
        <f ca="1">'Planning Engine'!J1694</f>
        <v>999</v>
      </c>
      <c r="K978" s="95">
        <f ca="1">'Planning Engine'!K1694</f>
        <v>0</v>
      </c>
      <c r="L978" s="12" t="str">
        <f ca="1">'Planning Engine'!L1694</f>
        <v>Overstock</v>
      </c>
      <c r="M978" s="93">
        <f>'Planning Engine'!S1694</f>
        <v>48335</v>
      </c>
      <c r="N978" s="95">
        <f>'Planning Engine'!T1694</f>
        <v>0</v>
      </c>
      <c r="O978" s="94" t="s">
        <v>2726</v>
      </c>
      <c r="P978" s="12" t="str">
        <f t="shared" ca="1" si="31"/>
        <v>Defer receipts</v>
      </c>
    </row>
    <row r="979" spans="1:16" ht="13" customHeight="1" x14ac:dyDescent="0.35">
      <c r="A979" s="97">
        <v>48488</v>
      </c>
      <c r="B979" s="53" t="s">
        <v>50</v>
      </c>
      <c r="C979" s="12" t="str">
        <f>'Planning Engine'!C1695</f>
        <v>Raw Material</v>
      </c>
      <c r="D979" s="12" t="str">
        <f>'Planning Engine'!D1695</f>
        <v>kg</v>
      </c>
      <c r="E979" s="95">
        <f>'Planning Engine'!E1695</f>
        <v>89.81</v>
      </c>
      <c r="F979" s="95">
        <f>'Planning Engine'!F1695</f>
        <v>0</v>
      </c>
      <c r="G979" s="95">
        <f>'Planning Engine'!G1695</f>
        <v>0</v>
      </c>
      <c r="H979" s="99">
        <f t="shared" si="30"/>
        <v>0</v>
      </c>
      <c r="I979" s="95">
        <f>'Planning Engine'!H1695</f>
        <v>89.81</v>
      </c>
      <c r="J979" s="96">
        <f ca="1">'Planning Engine'!J1695</f>
        <v>999</v>
      </c>
      <c r="K979" s="95">
        <f ca="1">'Planning Engine'!K1695</f>
        <v>0</v>
      </c>
      <c r="L979" s="12" t="str">
        <f ca="1">'Planning Engine'!L1695</f>
        <v>Overstock</v>
      </c>
      <c r="M979" s="93">
        <f>'Planning Engine'!S1695</f>
        <v>48366</v>
      </c>
      <c r="N979" s="95">
        <f>'Planning Engine'!T1695</f>
        <v>0</v>
      </c>
      <c r="O979" s="98" t="s">
        <v>2727</v>
      </c>
      <c r="P979" s="4" t="str">
        <f t="shared" ca="1" si="31"/>
        <v>Defer receipts</v>
      </c>
    </row>
    <row r="980" spans="1:16" ht="13" customHeight="1" x14ac:dyDescent="0.35">
      <c r="A980" s="93">
        <v>48519</v>
      </c>
      <c r="B980" s="61" t="s">
        <v>50</v>
      </c>
      <c r="C980" s="12" t="str">
        <f>'Planning Engine'!C1696</f>
        <v>Raw Material</v>
      </c>
      <c r="D980" s="12" t="str">
        <f>'Planning Engine'!D1696</f>
        <v>kg</v>
      </c>
      <c r="E980" s="95">
        <f>'Planning Engine'!E1696</f>
        <v>89.81</v>
      </c>
      <c r="F980" s="95">
        <f>'Planning Engine'!F1696</f>
        <v>0</v>
      </c>
      <c r="G980" s="95">
        <f>'Planning Engine'!G1696</f>
        <v>0</v>
      </c>
      <c r="H980" s="95">
        <f t="shared" si="30"/>
        <v>0</v>
      </c>
      <c r="I980" s="95">
        <f>'Planning Engine'!H1696</f>
        <v>89.81</v>
      </c>
      <c r="J980" s="96">
        <f ca="1">'Planning Engine'!J1696</f>
        <v>999</v>
      </c>
      <c r="K980" s="95">
        <f ca="1">'Planning Engine'!K1696</f>
        <v>0</v>
      </c>
      <c r="L980" s="12" t="str">
        <f ca="1">'Planning Engine'!L1696</f>
        <v>Overstock</v>
      </c>
      <c r="M980" s="93">
        <f>'Planning Engine'!S1696</f>
        <v>48396</v>
      </c>
      <c r="N980" s="95">
        <f>'Planning Engine'!T1696</f>
        <v>0</v>
      </c>
      <c r="O980" s="94" t="s">
        <v>2728</v>
      </c>
      <c r="P980" s="12" t="str">
        <f t="shared" ca="1" si="31"/>
        <v>Defer receipts</v>
      </c>
    </row>
    <row r="981" spans="1:16" ht="13" customHeight="1" x14ac:dyDescent="0.35">
      <c r="A981" s="97">
        <v>48549</v>
      </c>
      <c r="B981" s="53" t="s">
        <v>50</v>
      </c>
      <c r="C981" s="12" t="str">
        <f>'Planning Engine'!C1697</f>
        <v>Raw Material</v>
      </c>
      <c r="D981" s="12" t="str">
        <f>'Planning Engine'!D1697</f>
        <v>kg</v>
      </c>
      <c r="E981" s="95">
        <f>'Planning Engine'!E1697</f>
        <v>89.81</v>
      </c>
      <c r="F981" s="95">
        <f>'Planning Engine'!F1697</f>
        <v>0</v>
      </c>
      <c r="G981" s="95">
        <f>'Planning Engine'!G1697</f>
        <v>0</v>
      </c>
      <c r="H981" s="99">
        <f t="shared" si="30"/>
        <v>0</v>
      </c>
      <c r="I981" s="95">
        <f>'Planning Engine'!H1697</f>
        <v>89.81</v>
      </c>
      <c r="J981" s="96">
        <f ca="1">'Planning Engine'!J1697</f>
        <v>999</v>
      </c>
      <c r="K981" s="95">
        <f ca="1">'Planning Engine'!K1697</f>
        <v>0</v>
      </c>
      <c r="L981" s="12" t="str">
        <f ca="1">'Planning Engine'!L1697</f>
        <v>Overstock</v>
      </c>
      <c r="M981" s="93">
        <f>'Planning Engine'!S1697</f>
        <v>48427</v>
      </c>
      <c r="N981" s="95">
        <f>'Planning Engine'!T1697</f>
        <v>0</v>
      </c>
      <c r="O981" s="98" t="s">
        <v>2729</v>
      </c>
      <c r="P981" s="4" t="str">
        <f t="shared" ca="1" si="31"/>
        <v>Defer receipts</v>
      </c>
    </row>
    <row r="982" spans="1:16" ht="13" customHeight="1" x14ac:dyDescent="0.35">
      <c r="A982" s="93">
        <v>48580</v>
      </c>
      <c r="B982" s="61" t="s">
        <v>50</v>
      </c>
      <c r="C982" s="12" t="str">
        <f>'Planning Engine'!C1698</f>
        <v>Raw Material</v>
      </c>
      <c r="D982" s="12" t="str">
        <f>'Planning Engine'!D1698</f>
        <v>kg</v>
      </c>
      <c r="E982" s="95">
        <f>'Planning Engine'!E1698</f>
        <v>89.81</v>
      </c>
      <c r="F982" s="95">
        <f>'Planning Engine'!F1698</f>
        <v>0</v>
      </c>
      <c r="G982" s="95">
        <f>'Planning Engine'!G1698</f>
        <v>0</v>
      </c>
      <c r="H982" s="95">
        <f t="shared" si="30"/>
        <v>0</v>
      </c>
      <c r="I982" s="95">
        <f>'Planning Engine'!H1698</f>
        <v>89.81</v>
      </c>
      <c r="J982" s="96">
        <f ca="1">'Planning Engine'!J1698</f>
        <v>999</v>
      </c>
      <c r="K982" s="95">
        <f ca="1">'Planning Engine'!K1698</f>
        <v>0</v>
      </c>
      <c r="L982" s="12" t="str">
        <f ca="1">'Planning Engine'!L1698</f>
        <v>Overstock</v>
      </c>
      <c r="M982" s="93">
        <f>'Planning Engine'!S1698</f>
        <v>48458</v>
      </c>
      <c r="N982" s="95">
        <f>'Planning Engine'!T1698</f>
        <v>0</v>
      </c>
      <c r="O982" s="94" t="s">
        <v>2730</v>
      </c>
      <c r="P982" s="12" t="str">
        <f t="shared" ca="1" si="31"/>
        <v>Defer receipts</v>
      </c>
    </row>
    <row r="983" spans="1:16" ht="13" customHeight="1" x14ac:dyDescent="0.35">
      <c r="A983" s="97">
        <v>48611</v>
      </c>
      <c r="B983" s="53" t="s">
        <v>50</v>
      </c>
      <c r="C983" s="12" t="str">
        <f>'Planning Engine'!C1699</f>
        <v>Raw Material</v>
      </c>
      <c r="D983" s="12" t="str">
        <f>'Planning Engine'!D1699</f>
        <v>kg</v>
      </c>
      <c r="E983" s="95">
        <f>'Planning Engine'!E1699</f>
        <v>89.81</v>
      </c>
      <c r="F983" s="95">
        <f>'Planning Engine'!F1699</f>
        <v>0</v>
      </c>
      <c r="G983" s="95">
        <f>'Planning Engine'!G1699</f>
        <v>0</v>
      </c>
      <c r="H983" s="99">
        <f t="shared" si="30"/>
        <v>0</v>
      </c>
      <c r="I983" s="95">
        <f>'Planning Engine'!H1699</f>
        <v>89.81</v>
      </c>
      <c r="J983" s="96">
        <f ca="1">'Planning Engine'!J1699</f>
        <v>999</v>
      </c>
      <c r="K983" s="95">
        <f ca="1">'Planning Engine'!K1699</f>
        <v>0</v>
      </c>
      <c r="L983" s="12" t="str">
        <f ca="1">'Planning Engine'!L1699</f>
        <v>Overstock</v>
      </c>
      <c r="M983" s="93">
        <f>'Planning Engine'!S1699</f>
        <v>48488</v>
      </c>
      <c r="N983" s="95">
        <f>'Planning Engine'!T1699</f>
        <v>0</v>
      </c>
      <c r="O983" s="98" t="s">
        <v>2731</v>
      </c>
      <c r="P983" s="4" t="str">
        <f t="shared" ca="1" si="31"/>
        <v>Defer receipts</v>
      </c>
    </row>
    <row r="984" spans="1:16" ht="13" customHeight="1" x14ac:dyDescent="0.35">
      <c r="A984" s="93">
        <v>48639</v>
      </c>
      <c r="B984" s="61" t="s">
        <v>50</v>
      </c>
      <c r="C984" s="12" t="str">
        <f>'Planning Engine'!C1700</f>
        <v>Raw Material</v>
      </c>
      <c r="D984" s="12" t="str">
        <f>'Planning Engine'!D1700</f>
        <v>kg</v>
      </c>
      <c r="E984" s="95">
        <f>'Planning Engine'!E1700</f>
        <v>89.81</v>
      </c>
      <c r="F984" s="95">
        <f>'Planning Engine'!F1700</f>
        <v>0</v>
      </c>
      <c r="G984" s="95">
        <f>'Planning Engine'!G1700</f>
        <v>0</v>
      </c>
      <c r="H984" s="95">
        <f t="shared" si="30"/>
        <v>0</v>
      </c>
      <c r="I984" s="95">
        <f>'Planning Engine'!H1700</f>
        <v>89.81</v>
      </c>
      <c r="J984" s="96">
        <f ca="1">'Planning Engine'!J1700</f>
        <v>999</v>
      </c>
      <c r="K984" s="95">
        <f ca="1">'Planning Engine'!K1700</f>
        <v>0</v>
      </c>
      <c r="L984" s="12" t="str">
        <f ca="1">'Planning Engine'!L1700</f>
        <v>Overstock</v>
      </c>
      <c r="M984" s="93">
        <f>'Planning Engine'!S1700</f>
        <v>48519</v>
      </c>
      <c r="N984" s="95">
        <f>'Planning Engine'!T1700</f>
        <v>0</v>
      </c>
      <c r="O984" s="94" t="s">
        <v>2732</v>
      </c>
      <c r="P984" s="12" t="str">
        <f t="shared" ca="1" si="31"/>
        <v>Defer receipts</v>
      </c>
    </row>
    <row r="985" spans="1:16" ht="13" customHeight="1" x14ac:dyDescent="0.35">
      <c r="A985" s="97">
        <v>48670</v>
      </c>
      <c r="B985" s="53" t="s">
        <v>50</v>
      </c>
      <c r="C985" s="12" t="str">
        <f>'Planning Engine'!C1701</f>
        <v>Raw Material</v>
      </c>
      <c r="D985" s="12" t="str">
        <f>'Planning Engine'!D1701</f>
        <v>kg</v>
      </c>
      <c r="E985" s="95">
        <f>'Planning Engine'!E1701</f>
        <v>89.81</v>
      </c>
      <c r="F985" s="95">
        <f>'Planning Engine'!F1701</f>
        <v>0</v>
      </c>
      <c r="G985" s="95">
        <f>'Planning Engine'!G1701</f>
        <v>0</v>
      </c>
      <c r="H985" s="99">
        <f t="shared" si="30"/>
        <v>0</v>
      </c>
      <c r="I985" s="95">
        <f>'Planning Engine'!H1701</f>
        <v>89.81</v>
      </c>
      <c r="J985" s="96">
        <f ca="1">'Planning Engine'!J1701</f>
        <v>999</v>
      </c>
      <c r="K985" s="95">
        <f ca="1">'Planning Engine'!K1701</f>
        <v>0</v>
      </c>
      <c r="L985" s="12" t="str">
        <f ca="1">'Planning Engine'!L1701</f>
        <v>Overstock</v>
      </c>
      <c r="M985" s="93">
        <f>'Planning Engine'!S1701</f>
        <v>48549</v>
      </c>
      <c r="N985" s="95">
        <f>'Planning Engine'!T1701</f>
        <v>0</v>
      </c>
      <c r="O985" s="98" t="s">
        <v>2733</v>
      </c>
      <c r="P985" s="4" t="str">
        <f t="shared" ca="1" si="31"/>
        <v>Defer receipts</v>
      </c>
    </row>
    <row r="986" spans="1:16" ht="13" customHeight="1" x14ac:dyDescent="0.35">
      <c r="A986" s="93">
        <v>48700</v>
      </c>
      <c r="B986" s="61" t="s">
        <v>50</v>
      </c>
      <c r="C986" s="12" t="str">
        <f>'Planning Engine'!C1702</f>
        <v>Raw Material</v>
      </c>
      <c r="D986" s="12" t="str">
        <f>'Planning Engine'!D1702</f>
        <v>kg</v>
      </c>
      <c r="E986" s="95">
        <f>'Planning Engine'!E1702</f>
        <v>89.81</v>
      </c>
      <c r="F986" s="95">
        <f>'Planning Engine'!F1702</f>
        <v>0</v>
      </c>
      <c r="G986" s="95">
        <f>'Planning Engine'!G1702</f>
        <v>0</v>
      </c>
      <c r="H986" s="95">
        <f t="shared" si="30"/>
        <v>0</v>
      </c>
      <c r="I986" s="95">
        <f>'Planning Engine'!H1702</f>
        <v>89.81</v>
      </c>
      <c r="J986" s="96">
        <f ca="1">'Planning Engine'!J1702</f>
        <v>999</v>
      </c>
      <c r="K986" s="95">
        <f ca="1">'Planning Engine'!K1702</f>
        <v>0</v>
      </c>
      <c r="L986" s="12" t="str">
        <f ca="1">'Planning Engine'!L1702</f>
        <v>Overstock</v>
      </c>
      <c r="M986" s="93">
        <f>'Planning Engine'!S1702</f>
        <v>48580</v>
      </c>
      <c r="N986" s="95">
        <f>'Planning Engine'!T1702</f>
        <v>0</v>
      </c>
      <c r="O986" s="94" t="s">
        <v>2734</v>
      </c>
      <c r="P986" s="12" t="str">
        <f t="shared" ca="1" si="31"/>
        <v>Defer receipts</v>
      </c>
    </row>
    <row r="987" spans="1:16" ht="13" customHeight="1" x14ac:dyDescent="0.35">
      <c r="A987" s="97">
        <v>48731</v>
      </c>
      <c r="B987" s="53" t="s">
        <v>50</v>
      </c>
      <c r="C987" s="12" t="str">
        <f>'Planning Engine'!C1703</f>
        <v>Raw Material</v>
      </c>
      <c r="D987" s="12" t="str">
        <f>'Planning Engine'!D1703</f>
        <v>kg</v>
      </c>
      <c r="E987" s="95">
        <f>'Planning Engine'!E1703</f>
        <v>89.81</v>
      </c>
      <c r="F987" s="95">
        <f>'Planning Engine'!F1703</f>
        <v>0</v>
      </c>
      <c r="G987" s="95">
        <f>'Planning Engine'!G1703</f>
        <v>0</v>
      </c>
      <c r="H987" s="99">
        <f t="shared" si="30"/>
        <v>0</v>
      </c>
      <c r="I987" s="95">
        <f>'Planning Engine'!H1703</f>
        <v>89.81</v>
      </c>
      <c r="J987" s="96">
        <f ca="1">'Planning Engine'!J1703</f>
        <v>999</v>
      </c>
      <c r="K987" s="95">
        <f ca="1">'Planning Engine'!K1703</f>
        <v>0</v>
      </c>
      <c r="L987" s="12" t="str">
        <f ca="1">'Planning Engine'!L1703</f>
        <v>Overstock</v>
      </c>
      <c r="M987" s="93">
        <f>'Planning Engine'!S1703</f>
        <v>48611</v>
      </c>
      <c r="N987" s="95">
        <f>'Planning Engine'!T1703</f>
        <v>0</v>
      </c>
      <c r="O987" s="98" t="s">
        <v>2735</v>
      </c>
      <c r="P987" s="4" t="str">
        <f t="shared" ca="1" si="31"/>
        <v>Defer receipts</v>
      </c>
    </row>
    <row r="988" spans="1:16" ht="13" customHeight="1" x14ac:dyDescent="0.35">
      <c r="A988" s="93">
        <v>48761</v>
      </c>
      <c r="B988" s="61" t="s">
        <v>50</v>
      </c>
      <c r="C988" s="12" t="str">
        <f>'Planning Engine'!C1704</f>
        <v>Raw Material</v>
      </c>
      <c r="D988" s="12" t="str">
        <f>'Planning Engine'!D1704</f>
        <v>kg</v>
      </c>
      <c r="E988" s="95">
        <f>'Planning Engine'!E1704</f>
        <v>89.81</v>
      </c>
      <c r="F988" s="95">
        <f>'Planning Engine'!F1704</f>
        <v>0</v>
      </c>
      <c r="G988" s="95">
        <f>'Planning Engine'!G1704</f>
        <v>0</v>
      </c>
      <c r="H988" s="95">
        <f t="shared" si="30"/>
        <v>0</v>
      </c>
      <c r="I988" s="95">
        <f>'Planning Engine'!H1704</f>
        <v>89.81</v>
      </c>
      <c r="J988" s="96">
        <f ca="1">'Planning Engine'!J1704</f>
        <v>999</v>
      </c>
      <c r="K988" s="95">
        <f ca="1">'Planning Engine'!K1704</f>
        <v>0</v>
      </c>
      <c r="L988" s="12" t="str">
        <f ca="1">'Planning Engine'!L1704</f>
        <v>Overstock</v>
      </c>
      <c r="M988" s="93">
        <f>'Planning Engine'!S1704</f>
        <v>48639</v>
      </c>
      <c r="N988" s="95">
        <f>'Planning Engine'!T1704</f>
        <v>0</v>
      </c>
      <c r="O988" s="94" t="s">
        <v>2736</v>
      </c>
      <c r="P988" s="12" t="str">
        <f t="shared" ca="1" si="31"/>
        <v>Defer receipts</v>
      </c>
    </row>
    <row r="989" spans="1:16" ht="13" customHeight="1" x14ac:dyDescent="0.35">
      <c r="A989" s="97">
        <v>48792</v>
      </c>
      <c r="B989" s="53" t="s">
        <v>50</v>
      </c>
      <c r="C989" s="12" t="str">
        <f>'Planning Engine'!C1705</f>
        <v>Raw Material</v>
      </c>
      <c r="D989" s="12" t="str">
        <f>'Planning Engine'!D1705</f>
        <v>kg</v>
      </c>
      <c r="E989" s="95">
        <f>'Planning Engine'!E1705</f>
        <v>89.81</v>
      </c>
      <c r="F989" s="95">
        <f>'Planning Engine'!F1705</f>
        <v>0</v>
      </c>
      <c r="G989" s="95">
        <f>'Planning Engine'!G1705</f>
        <v>0</v>
      </c>
      <c r="H989" s="99">
        <f t="shared" si="30"/>
        <v>0</v>
      </c>
      <c r="I989" s="95">
        <f>'Planning Engine'!H1705</f>
        <v>89.81</v>
      </c>
      <c r="J989" s="96">
        <f ca="1">'Planning Engine'!J1705</f>
        <v>999</v>
      </c>
      <c r="K989" s="95">
        <f ca="1">'Planning Engine'!K1705</f>
        <v>0</v>
      </c>
      <c r="L989" s="12" t="str">
        <f ca="1">'Planning Engine'!L1705</f>
        <v>Overstock</v>
      </c>
      <c r="M989" s="93">
        <f>'Planning Engine'!S1705</f>
        <v>48670</v>
      </c>
      <c r="N989" s="95">
        <f>'Planning Engine'!T1705</f>
        <v>0</v>
      </c>
      <c r="O989" s="98" t="s">
        <v>2737</v>
      </c>
      <c r="P989" s="4" t="str">
        <f t="shared" ca="1" si="31"/>
        <v>Defer receipts</v>
      </c>
    </row>
    <row r="990" spans="1:16" ht="13" customHeight="1" x14ac:dyDescent="0.35">
      <c r="A990" s="93">
        <v>48823</v>
      </c>
      <c r="B990" s="61" t="s">
        <v>50</v>
      </c>
      <c r="C990" s="12" t="str">
        <f>'Planning Engine'!C1706</f>
        <v>Raw Material</v>
      </c>
      <c r="D990" s="12" t="str">
        <f>'Planning Engine'!D1706</f>
        <v>kg</v>
      </c>
      <c r="E990" s="95">
        <f>'Planning Engine'!E1706</f>
        <v>89.81</v>
      </c>
      <c r="F990" s="95">
        <f>'Planning Engine'!F1706</f>
        <v>0</v>
      </c>
      <c r="G990" s="95">
        <f>'Planning Engine'!G1706</f>
        <v>0</v>
      </c>
      <c r="H990" s="95">
        <f t="shared" si="30"/>
        <v>0</v>
      </c>
      <c r="I990" s="95">
        <f>'Planning Engine'!H1706</f>
        <v>89.81</v>
      </c>
      <c r="J990" s="96">
        <f ca="1">'Planning Engine'!J1706</f>
        <v>999</v>
      </c>
      <c r="K990" s="95">
        <f ca="1">'Planning Engine'!K1706</f>
        <v>0</v>
      </c>
      <c r="L990" s="12" t="str">
        <f ca="1">'Planning Engine'!L1706</f>
        <v>Overstock</v>
      </c>
      <c r="M990" s="93">
        <f>'Planning Engine'!S1706</f>
        <v>48700</v>
      </c>
      <c r="N990" s="95">
        <f>'Planning Engine'!T1706</f>
        <v>0</v>
      </c>
      <c r="O990" s="94" t="s">
        <v>2738</v>
      </c>
      <c r="P990" s="12" t="str">
        <f t="shared" ca="1" si="31"/>
        <v>Defer receipts</v>
      </c>
    </row>
    <row r="991" spans="1:16" ht="13" customHeight="1" x14ac:dyDescent="0.35">
      <c r="A991" s="97">
        <v>48853</v>
      </c>
      <c r="B991" s="53" t="s">
        <v>50</v>
      </c>
      <c r="C991" s="12" t="str">
        <f>'Planning Engine'!C1707</f>
        <v>Raw Material</v>
      </c>
      <c r="D991" s="12" t="str">
        <f>'Planning Engine'!D1707</f>
        <v>kg</v>
      </c>
      <c r="E991" s="95">
        <f>'Planning Engine'!E1707</f>
        <v>89.81</v>
      </c>
      <c r="F991" s="95">
        <f>'Planning Engine'!F1707</f>
        <v>0</v>
      </c>
      <c r="G991" s="95">
        <f>'Planning Engine'!G1707</f>
        <v>0</v>
      </c>
      <c r="H991" s="99">
        <f t="shared" si="30"/>
        <v>0</v>
      </c>
      <c r="I991" s="95">
        <f>'Planning Engine'!H1707</f>
        <v>89.81</v>
      </c>
      <c r="J991" s="96">
        <f ca="1">'Planning Engine'!J1707</f>
        <v>999</v>
      </c>
      <c r="K991" s="95">
        <f ca="1">'Planning Engine'!K1707</f>
        <v>0</v>
      </c>
      <c r="L991" s="12" t="str">
        <f ca="1">'Planning Engine'!L1707</f>
        <v>Overstock</v>
      </c>
      <c r="M991" s="93">
        <f>'Planning Engine'!S1707</f>
        <v>48731</v>
      </c>
      <c r="N991" s="95">
        <f>'Planning Engine'!T1707</f>
        <v>0</v>
      </c>
      <c r="O991" s="98" t="s">
        <v>2739</v>
      </c>
      <c r="P991" s="4" t="str">
        <f t="shared" ca="1" si="31"/>
        <v>Defer receipts</v>
      </c>
    </row>
    <row r="992" spans="1:16" ht="13" customHeight="1" x14ac:dyDescent="0.35">
      <c r="A992" s="93">
        <v>48884</v>
      </c>
      <c r="B992" s="61" t="s">
        <v>50</v>
      </c>
      <c r="C992" s="12" t="str">
        <f>'Planning Engine'!C1708</f>
        <v>Raw Material</v>
      </c>
      <c r="D992" s="12" t="str">
        <f>'Planning Engine'!D1708</f>
        <v>kg</v>
      </c>
      <c r="E992" s="95">
        <f>'Planning Engine'!E1708</f>
        <v>89.81</v>
      </c>
      <c r="F992" s="95">
        <f>'Planning Engine'!F1708</f>
        <v>0</v>
      </c>
      <c r="G992" s="95">
        <f>'Planning Engine'!G1708</f>
        <v>0</v>
      </c>
      <c r="H992" s="95">
        <f t="shared" si="30"/>
        <v>0</v>
      </c>
      <c r="I992" s="95">
        <f>'Planning Engine'!H1708</f>
        <v>89.81</v>
      </c>
      <c r="J992" s="96">
        <f ca="1">'Planning Engine'!J1708</f>
        <v>999</v>
      </c>
      <c r="K992" s="95">
        <f ca="1">'Planning Engine'!K1708</f>
        <v>0</v>
      </c>
      <c r="L992" s="12" t="str">
        <f ca="1">'Planning Engine'!L1708</f>
        <v>Overstock</v>
      </c>
      <c r="M992" s="93">
        <f>'Planning Engine'!S1708</f>
        <v>48761</v>
      </c>
      <c r="N992" s="95">
        <f>'Planning Engine'!T1708</f>
        <v>0</v>
      </c>
      <c r="O992" s="94" t="s">
        <v>2740</v>
      </c>
      <c r="P992" s="12" t="str">
        <f t="shared" ca="1" si="31"/>
        <v>Defer receipts</v>
      </c>
    </row>
    <row r="993" spans="1:16" ht="13" customHeight="1" x14ac:dyDescent="0.35">
      <c r="A993" s="97">
        <v>48914</v>
      </c>
      <c r="B993" s="53" t="s">
        <v>50</v>
      </c>
      <c r="C993" s="12" t="str">
        <f>'Planning Engine'!C1709</f>
        <v>Raw Material</v>
      </c>
      <c r="D993" s="12" t="str">
        <f>'Planning Engine'!D1709</f>
        <v>kg</v>
      </c>
      <c r="E993" s="95">
        <f>'Planning Engine'!E1709</f>
        <v>89.81</v>
      </c>
      <c r="F993" s="95">
        <f>'Planning Engine'!F1709</f>
        <v>0</v>
      </c>
      <c r="G993" s="95">
        <f>'Planning Engine'!G1709</f>
        <v>0</v>
      </c>
      <c r="H993" s="99">
        <f t="shared" si="30"/>
        <v>0</v>
      </c>
      <c r="I993" s="95">
        <f>'Planning Engine'!H1709</f>
        <v>89.81</v>
      </c>
      <c r="J993" s="96">
        <f ca="1">'Planning Engine'!J1709</f>
        <v>999</v>
      </c>
      <c r="K993" s="95">
        <f ca="1">'Planning Engine'!K1709</f>
        <v>0</v>
      </c>
      <c r="L993" s="12" t="str">
        <f ca="1">'Planning Engine'!L1709</f>
        <v>Overstock</v>
      </c>
      <c r="M993" s="93">
        <f>'Planning Engine'!S1709</f>
        <v>48792</v>
      </c>
      <c r="N993" s="95">
        <f>'Planning Engine'!T1709</f>
        <v>0</v>
      </c>
      <c r="O993" s="98" t="s">
        <v>2741</v>
      </c>
      <c r="P993" s="4" t="str">
        <f t="shared" ca="1" si="31"/>
        <v>Defer receipts</v>
      </c>
    </row>
    <row r="994" spans="1:16" ht="13" customHeight="1" x14ac:dyDescent="0.35">
      <c r="A994" s="93">
        <v>48945</v>
      </c>
      <c r="B994" s="61" t="s">
        <v>50</v>
      </c>
      <c r="C994" s="12" t="str">
        <f>'Planning Engine'!C1710</f>
        <v>Raw Material</v>
      </c>
      <c r="D994" s="12" t="str">
        <f>'Planning Engine'!D1710</f>
        <v>kg</v>
      </c>
      <c r="E994" s="95">
        <f>'Planning Engine'!E1710</f>
        <v>89.81</v>
      </c>
      <c r="F994" s="95">
        <f>'Planning Engine'!F1710</f>
        <v>0</v>
      </c>
      <c r="G994" s="95">
        <f>'Planning Engine'!G1710</f>
        <v>0</v>
      </c>
      <c r="H994" s="95">
        <f t="shared" si="30"/>
        <v>0</v>
      </c>
      <c r="I994" s="95">
        <f>'Planning Engine'!H1710</f>
        <v>89.81</v>
      </c>
      <c r="J994" s="96">
        <f ca="1">'Planning Engine'!J1710</f>
        <v>999</v>
      </c>
      <c r="K994" s="95">
        <f ca="1">'Planning Engine'!K1710</f>
        <v>0</v>
      </c>
      <c r="L994" s="12" t="str">
        <f ca="1">'Planning Engine'!L1710</f>
        <v>Overstock</v>
      </c>
      <c r="M994" s="93">
        <f>'Planning Engine'!S1710</f>
        <v>48823</v>
      </c>
      <c r="N994" s="95">
        <f>'Planning Engine'!T1710</f>
        <v>0</v>
      </c>
      <c r="O994" s="94" t="s">
        <v>2742</v>
      </c>
      <c r="P994" s="12" t="str">
        <f t="shared" ca="1" si="31"/>
        <v>Defer receipts</v>
      </c>
    </row>
    <row r="995" spans="1:16" ht="13" customHeight="1" x14ac:dyDescent="0.35">
      <c r="A995" s="97">
        <v>48976</v>
      </c>
      <c r="B995" s="53" t="s">
        <v>50</v>
      </c>
      <c r="C995" s="12" t="str">
        <f>'Planning Engine'!C1711</f>
        <v>Raw Material</v>
      </c>
      <c r="D995" s="12" t="str">
        <f>'Planning Engine'!D1711</f>
        <v>kg</v>
      </c>
      <c r="E995" s="95">
        <f>'Planning Engine'!E1711</f>
        <v>89.81</v>
      </c>
      <c r="F995" s="95">
        <f>'Planning Engine'!F1711</f>
        <v>0</v>
      </c>
      <c r="G995" s="95">
        <f>'Planning Engine'!G1711</f>
        <v>0</v>
      </c>
      <c r="H995" s="99">
        <f t="shared" si="30"/>
        <v>0</v>
      </c>
      <c r="I995" s="95">
        <f>'Planning Engine'!H1711</f>
        <v>89.81</v>
      </c>
      <c r="J995" s="96">
        <f ca="1">'Planning Engine'!J1711</f>
        <v>999</v>
      </c>
      <c r="K995" s="95">
        <f ca="1">'Planning Engine'!K1711</f>
        <v>0</v>
      </c>
      <c r="L995" s="12" t="str">
        <f ca="1">'Planning Engine'!L1711</f>
        <v>Overstock</v>
      </c>
      <c r="M995" s="93">
        <f>'Planning Engine'!S1711</f>
        <v>48853</v>
      </c>
      <c r="N995" s="95">
        <f>'Planning Engine'!T1711</f>
        <v>0</v>
      </c>
      <c r="O995" s="98" t="s">
        <v>2743</v>
      </c>
      <c r="P995" s="4" t="str">
        <f t="shared" ca="1" si="31"/>
        <v>Defer receipts</v>
      </c>
    </row>
    <row r="996" spans="1:16" ht="13" customHeight="1" x14ac:dyDescent="0.35">
      <c r="A996" s="93">
        <v>49004</v>
      </c>
      <c r="B996" s="61" t="s">
        <v>50</v>
      </c>
      <c r="C996" s="12" t="str">
        <f>'Planning Engine'!C1712</f>
        <v>Raw Material</v>
      </c>
      <c r="D996" s="12" t="str">
        <f>'Planning Engine'!D1712</f>
        <v>kg</v>
      </c>
      <c r="E996" s="95">
        <f>'Planning Engine'!E1712</f>
        <v>89.81</v>
      </c>
      <c r="F996" s="95">
        <f>'Planning Engine'!F1712</f>
        <v>0</v>
      </c>
      <c r="G996" s="95">
        <f>'Planning Engine'!G1712</f>
        <v>0</v>
      </c>
      <c r="H996" s="95">
        <f t="shared" si="30"/>
        <v>0</v>
      </c>
      <c r="I996" s="95">
        <f>'Planning Engine'!H1712</f>
        <v>89.81</v>
      </c>
      <c r="J996" s="96">
        <f ca="1">'Planning Engine'!J1712</f>
        <v>999</v>
      </c>
      <c r="K996" s="95">
        <f ca="1">'Planning Engine'!K1712</f>
        <v>0</v>
      </c>
      <c r="L996" s="12" t="str">
        <f ca="1">'Planning Engine'!L1712</f>
        <v>Overstock</v>
      </c>
      <c r="M996" s="93">
        <f>'Planning Engine'!S1712</f>
        <v>48884</v>
      </c>
      <c r="N996" s="95">
        <f>'Planning Engine'!T1712</f>
        <v>0</v>
      </c>
      <c r="O996" s="94" t="s">
        <v>2744</v>
      </c>
      <c r="P996" s="12" t="str">
        <f t="shared" ca="1" si="31"/>
        <v>Defer receipts</v>
      </c>
    </row>
    <row r="997" spans="1:16" ht="13" customHeight="1" x14ac:dyDescent="0.35">
      <c r="A997" s="97">
        <v>49035</v>
      </c>
      <c r="B997" s="53" t="s">
        <v>50</v>
      </c>
      <c r="C997" s="12" t="str">
        <f>'Planning Engine'!C1713</f>
        <v>Raw Material</v>
      </c>
      <c r="D997" s="12" t="str">
        <f>'Planning Engine'!D1713</f>
        <v>kg</v>
      </c>
      <c r="E997" s="95">
        <f>'Planning Engine'!E1713</f>
        <v>89.81</v>
      </c>
      <c r="F997" s="95">
        <f>'Planning Engine'!F1713</f>
        <v>0</v>
      </c>
      <c r="G997" s="95">
        <f>'Planning Engine'!G1713</f>
        <v>0</v>
      </c>
      <c r="H997" s="99">
        <f t="shared" si="30"/>
        <v>0</v>
      </c>
      <c r="I997" s="95">
        <f>'Planning Engine'!H1713</f>
        <v>89.81</v>
      </c>
      <c r="J997" s="96">
        <f ca="1">'Planning Engine'!J1713</f>
        <v>999</v>
      </c>
      <c r="K997" s="95">
        <f ca="1">'Planning Engine'!K1713</f>
        <v>0</v>
      </c>
      <c r="L997" s="12" t="str">
        <f ca="1">'Planning Engine'!L1713</f>
        <v>Overstock</v>
      </c>
      <c r="M997" s="93">
        <f>'Planning Engine'!S1713</f>
        <v>48914</v>
      </c>
      <c r="N997" s="95">
        <f>'Planning Engine'!T1713</f>
        <v>0</v>
      </c>
      <c r="O997" s="98" t="s">
        <v>2745</v>
      </c>
      <c r="P997" s="4" t="str">
        <f t="shared" ca="1" si="31"/>
        <v>Defer receipts</v>
      </c>
    </row>
    <row r="998" spans="1:16" ht="13" customHeight="1" x14ac:dyDescent="0.35">
      <c r="A998" s="93">
        <v>49065</v>
      </c>
      <c r="B998" s="61" t="s">
        <v>50</v>
      </c>
      <c r="C998" s="12" t="str">
        <f>'Planning Engine'!C1714</f>
        <v>Raw Material</v>
      </c>
      <c r="D998" s="12" t="str">
        <f>'Planning Engine'!D1714</f>
        <v>kg</v>
      </c>
      <c r="E998" s="95">
        <f>'Planning Engine'!E1714</f>
        <v>89.81</v>
      </c>
      <c r="F998" s="95">
        <f>'Planning Engine'!F1714</f>
        <v>0</v>
      </c>
      <c r="G998" s="95">
        <f>'Planning Engine'!G1714</f>
        <v>0</v>
      </c>
      <c r="H998" s="95">
        <f t="shared" si="30"/>
        <v>0</v>
      </c>
      <c r="I998" s="95">
        <f>'Planning Engine'!H1714</f>
        <v>89.81</v>
      </c>
      <c r="J998" s="96">
        <f ca="1">'Planning Engine'!J1714</f>
        <v>999</v>
      </c>
      <c r="K998" s="95">
        <f ca="1">'Planning Engine'!K1714</f>
        <v>0</v>
      </c>
      <c r="L998" s="12" t="str">
        <f ca="1">'Planning Engine'!L1714</f>
        <v>Overstock</v>
      </c>
      <c r="M998" s="93">
        <f>'Planning Engine'!S1714</f>
        <v>48945</v>
      </c>
      <c r="N998" s="95">
        <f>'Planning Engine'!T1714</f>
        <v>0</v>
      </c>
      <c r="O998" s="94" t="s">
        <v>2746</v>
      </c>
      <c r="P998" s="12" t="str">
        <f t="shared" ca="1" si="31"/>
        <v>Defer receipts</v>
      </c>
    </row>
    <row r="999" spans="1:16" ht="13" customHeight="1" x14ac:dyDescent="0.35">
      <c r="A999" s="97">
        <v>49096</v>
      </c>
      <c r="B999" s="53" t="s">
        <v>50</v>
      </c>
      <c r="C999" s="12" t="str">
        <f>'Planning Engine'!C1715</f>
        <v>Raw Material</v>
      </c>
      <c r="D999" s="12" t="str">
        <f>'Planning Engine'!D1715</f>
        <v>kg</v>
      </c>
      <c r="E999" s="95">
        <f>'Planning Engine'!E1715</f>
        <v>89.81</v>
      </c>
      <c r="F999" s="95">
        <f>'Planning Engine'!F1715</f>
        <v>0</v>
      </c>
      <c r="G999" s="95">
        <f>'Planning Engine'!G1715</f>
        <v>0</v>
      </c>
      <c r="H999" s="99">
        <f t="shared" si="30"/>
        <v>0</v>
      </c>
      <c r="I999" s="95">
        <f>'Planning Engine'!H1715</f>
        <v>89.81</v>
      </c>
      <c r="J999" s="96">
        <f ca="1">'Planning Engine'!J1715</f>
        <v>999</v>
      </c>
      <c r="K999" s="95">
        <f ca="1">'Planning Engine'!K1715</f>
        <v>0</v>
      </c>
      <c r="L999" s="12" t="str">
        <f ca="1">'Planning Engine'!L1715</f>
        <v>Overstock</v>
      </c>
      <c r="M999" s="93">
        <f>'Planning Engine'!S1715</f>
        <v>48976</v>
      </c>
      <c r="N999" s="95">
        <f>'Planning Engine'!T1715</f>
        <v>0</v>
      </c>
      <c r="O999" s="98" t="s">
        <v>2747</v>
      </c>
      <c r="P999" s="4" t="str">
        <f t="shared" ca="1" si="31"/>
        <v>Defer receipts</v>
      </c>
    </row>
    <row r="1000" spans="1:16" ht="13" customHeight="1" x14ac:dyDescent="0.35">
      <c r="A1000" s="93">
        <v>49126</v>
      </c>
      <c r="B1000" s="61" t="s">
        <v>50</v>
      </c>
      <c r="C1000" s="12" t="str">
        <f>'Planning Engine'!C1716</f>
        <v>Raw Material</v>
      </c>
      <c r="D1000" s="12" t="str">
        <f>'Planning Engine'!D1716</f>
        <v>kg</v>
      </c>
      <c r="E1000" s="95">
        <f>'Planning Engine'!E1716</f>
        <v>89.81</v>
      </c>
      <c r="F1000" s="95">
        <f>'Planning Engine'!F1716</f>
        <v>0</v>
      </c>
      <c r="G1000" s="95">
        <f>'Planning Engine'!G1716</f>
        <v>0</v>
      </c>
      <c r="H1000" s="95">
        <f t="shared" si="30"/>
        <v>0</v>
      </c>
      <c r="I1000" s="95">
        <f>'Planning Engine'!H1716</f>
        <v>89.81</v>
      </c>
      <c r="J1000" s="96">
        <f ca="1">'Planning Engine'!J1716</f>
        <v>999</v>
      </c>
      <c r="K1000" s="95">
        <f ca="1">'Planning Engine'!K1716</f>
        <v>0</v>
      </c>
      <c r="L1000" s="12" t="str">
        <f ca="1">'Planning Engine'!L1716</f>
        <v>Overstock</v>
      </c>
      <c r="M1000" s="93">
        <f>'Planning Engine'!S1716</f>
        <v>49004</v>
      </c>
      <c r="N1000" s="95">
        <f>'Planning Engine'!T1716</f>
        <v>0</v>
      </c>
      <c r="O1000" s="94" t="s">
        <v>2748</v>
      </c>
      <c r="P1000" s="12" t="str">
        <f t="shared" ca="1" si="31"/>
        <v>Defer receipts</v>
      </c>
    </row>
    <row r="1001" spans="1:16" ht="13" customHeight="1" x14ac:dyDescent="0.35">
      <c r="A1001" s="97">
        <v>49157</v>
      </c>
      <c r="B1001" s="53" t="s">
        <v>50</v>
      </c>
      <c r="C1001" s="12" t="str">
        <f>'Planning Engine'!C1717</f>
        <v>Raw Material</v>
      </c>
      <c r="D1001" s="12" t="str">
        <f>'Planning Engine'!D1717</f>
        <v>kg</v>
      </c>
      <c r="E1001" s="95">
        <f>'Planning Engine'!E1717</f>
        <v>89.81</v>
      </c>
      <c r="F1001" s="95">
        <f>'Planning Engine'!F1717</f>
        <v>0</v>
      </c>
      <c r="G1001" s="95">
        <f>'Planning Engine'!G1717</f>
        <v>0</v>
      </c>
      <c r="H1001" s="99">
        <f t="shared" si="30"/>
        <v>0</v>
      </c>
      <c r="I1001" s="95">
        <f>'Planning Engine'!H1717</f>
        <v>89.81</v>
      </c>
      <c r="J1001" s="96">
        <f ca="1">'Planning Engine'!J1717</f>
        <v>999</v>
      </c>
      <c r="K1001" s="95">
        <f ca="1">'Planning Engine'!K1717</f>
        <v>0</v>
      </c>
      <c r="L1001" s="12" t="str">
        <f ca="1">'Planning Engine'!L1717</f>
        <v>Overstock</v>
      </c>
      <c r="M1001" s="93">
        <f>'Planning Engine'!S1717</f>
        <v>49035</v>
      </c>
      <c r="N1001" s="95">
        <f>'Planning Engine'!T1717</f>
        <v>0</v>
      </c>
      <c r="O1001" s="98" t="s">
        <v>2749</v>
      </c>
      <c r="P1001" s="4" t="str">
        <f t="shared" ca="1" si="31"/>
        <v>Defer receipts</v>
      </c>
    </row>
    <row r="1002" spans="1:16" ht="13" customHeight="1" x14ac:dyDescent="0.35">
      <c r="A1002" s="93">
        <v>49188</v>
      </c>
      <c r="B1002" s="61" t="s">
        <v>50</v>
      </c>
      <c r="C1002" s="12" t="str">
        <f>'Planning Engine'!C1718</f>
        <v>Raw Material</v>
      </c>
      <c r="D1002" s="12" t="str">
        <f>'Planning Engine'!D1718</f>
        <v>kg</v>
      </c>
      <c r="E1002" s="95">
        <f>'Planning Engine'!E1718</f>
        <v>89.81</v>
      </c>
      <c r="F1002" s="95">
        <f>'Planning Engine'!F1718</f>
        <v>0</v>
      </c>
      <c r="G1002" s="95">
        <f>'Planning Engine'!G1718</f>
        <v>0</v>
      </c>
      <c r="H1002" s="95">
        <f t="shared" si="30"/>
        <v>0</v>
      </c>
      <c r="I1002" s="95">
        <f>'Planning Engine'!H1718</f>
        <v>89.81</v>
      </c>
      <c r="J1002" s="96">
        <f ca="1">'Planning Engine'!J1718</f>
        <v>999</v>
      </c>
      <c r="K1002" s="95">
        <f ca="1">'Planning Engine'!K1718</f>
        <v>0</v>
      </c>
      <c r="L1002" s="12" t="str">
        <f ca="1">'Planning Engine'!L1718</f>
        <v>Overstock</v>
      </c>
      <c r="M1002" s="93">
        <f>'Planning Engine'!S1718</f>
        <v>49065</v>
      </c>
      <c r="N1002" s="95">
        <f>'Planning Engine'!T1718</f>
        <v>0</v>
      </c>
      <c r="O1002" s="94" t="s">
        <v>2750</v>
      </c>
      <c r="P1002" s="12" t="str">
        <f t="shared" ca="1" si="31"/>
        <v>Defer receipts</v>
      </c>
    </row>
    <row r="1003" spans="1:16" ht="13" customHeight="1" x14ac:dyDescent="0.35">
      <c r="A1003" s="97">
        <v>49218</v>
      </c>
      <c r="B1003" s="53" t="s">
        <v>50</v>
      </c>
      <c r="C1003" s="12" t="str">
        <f>'Planning Engine'!C1719</f>
        <v>Raw Material</v>
      </c>
      <c r="D1003" s="12" t="str">
        <f>'Planning Engine'!D1719</f>
        <v>kg</v>
      </c>
      <c r="E1003" s="95">
        <f>'Planning Engine'!E1719</f>
        <v>89.81</v>
      </c>
      <c r="F1003" s="95">
        <f>'Planning Engine'!F1719</f>
        <v>0</v>
      </c>
      <c r="G1003" s="95">
        <f>'Planning Engine'!G1719</f>
        <v>0</v>
      </c>
      <c r="H1003" s="99">
        <f t="shared" si="30"/>
        <v>0</v>
      </c>
      <c r="I1003" s="95">
        <f>'Planning Engine'!H1719</f>
        <v>89.81</v>
      </c>
      <c r="J1003" s="96">
        <f ca="1">'Planning Engine'!J1719</f>
        <v>999</v>
      </c>
      <c r="K1003" s="95">
        <f ca="1">'Planning Engine'!K1719</f>
        <v>0</v>
      </c>
      <c r="L1003" s="12" t="str">
        <f ca="1">'Planning Engine'!L1719</f>
        <v>Overstock</v>
      </c>
      <c r="M1003" s="93">
        <f>'Planning Engine'!S1719</f>
        <v>49096</v>
      </c>
      <c r="N1003" s="95">
        <f>'Planning Engine'!T1719</f>
        <v>0</v>
      </c>
      <c r="O1003" s="98" t="s">
        <v>2751</v>
      </c>
      <c r="P1003" s="4" t="str">
        <f t="shared" ca="1" si="31"/>
        <v>Defer receipts</v>
      </c>
    </row>
    <row r="1004" spans="1:16" ht="13" customHeight="1" x14ac:dyDescent="0.35">
      <c r="A1004" s="93">
        <v>49249</v>
      </c>
      <c r="B1004" s="61" t="s">
        <v>50</v>
      </c>
      <c r="C1004" s="12" t="str">
        <f>'Planning Engine'!C1720</f>
        <v>Raw Material</v>
      </c>
      <c r="D1004" s="12" t="str">
        <f>'Planning Engine'!D1720</f>
        <v>kg</v>
      </c>
      <c r="E1004" s="95">
        <f>'Planning Engine'!E1720</f>
        <v>89.81</v>
      </c>
      <c r="F1004" s="95">
        <f>'Planning Engine'!F1720</f>
        <v>0</v>
      </c>
      <c r="G1004" s="95">
        <f>'Planning Engine'!G1720</f>
        <v>0</v>
      </c>
      <c r="H1004" s="95">
        <f t="shared" si="30"/>
        <v>0</v>
      </c>
      <c r="I1004" s="95">
        <f>'Planning Engine'!H1720</f>
        <v>89.81</v>
      </c>
      <c r="J1004" s="96">
        <f ca="1">'Planning Engine'!J1720</f>
        <v>999</v>
      </c>
      <c r="K1004" s="95">
        <f ca="1">'Planning Engine'!K1720</f>
        <v>0</v>
      </c>
      <c r="L1004" s="12" t="str">
        <f ca="1">'Planning Engine'!L1720</f>
        <v>Overstock</v>
      </c>
      <c r="M1004" s="93">
        <f>'Planning Engine'!S1720</f>
        <v>49126</v>
      </c>
      <c r="N1004" s="95">
        <f>'Planning Engine'!T1720</f>
        <v>0</v>
      </c>
      <c r="O1004" s="94" t="s">
        <v>2752</v>
      </c>
      <c r="P1004" s="12" t="str">
        <f t="shared" ca="1" si="31"/>
        <v>Defer receipts</v>
      </c>
    </row>
    <row r="1005" spans="1:16" ht="13" customHeight="1" x14ac:dyDescent="0.35">
      <c r="A1005" s="97">
        <v>49279</v>
      </c>
      <c r="B1005" s="53" t="s">
        <v>50</v>
      </c>
      <c r="C1005" s="12" t="str">
        <f>'Planning Engine'!C1721</f>
        <v>Raw Material</v>
      </c>
      <c r="D1005" s="12" t="str">
        <f>'Planning Engine'!D1721</f>
        <v>kg</v>
      </c>
      <c r="E1005" s="95">
        <f>'Planning Engine'!E1721</f>
        <v>89.81</v>
      </c>
      <c r="F1005" s="95">
        <f>'Planning Engine'!F1721</f>
        <v>0</v>
      </c>
      <c r="G1005" s="95">
        <f>'Planning Engine'!G1721</f>
        <v>0</v>
      </c>
      <c r="H1005" s="99">
        <f t="shared" si="30"/>
        <v>0</v>
      </c>
      <c r="I1005" s="95">
        <f>'Planning Engine'!H1721</f>
        <v>89.81</v>
      </c>
      <c r="J1005" s="96">
        <f ca="1">'Planning Engine'!J1721</f>
        <v>999</v>
      </c>
      <c r="K1005" s="95">
        <f ca="1">'Planning Engine'!K1721</f>
        <v>0</v>
      </c>
      <c r="L1005" s="12" t="str">
        <f ca="1">'Planning Engine'!L1721</f>
        <v>Overstock</v>
      </c>
      <c r="M1005" s="93">
        <f>'Planning Engine'!S1721</f>
        <v>49157</v>
      </c>
      <c r="N1005" s="95">
        <f>'Planning Engine'!T1721</f>
        <v>0</v>
      </c>
      <c r="O1005" s="98" t="s">
        <v>2753</v>
      </c>
      <c r="P1005" s="4" t="str">
        <f t="shared" ca="1" si="31"/>
        <v>Defer receipts</v>
      </c>
    </row>
    <row r="1006" spans="1:16" ht="13" customHeight="1" x14ac:dyDescent="0.35">
      <c r="A1006" s="93">
        <v>49310</v>
      </c>
      <c r="B1006" s="61" t="s">
        <v>50</v>
      </c>
      <c r="C1006" s="12" t="str">
        <f>'Planning Engine'!C1722</f>
        <v>Raw Material</v>
      </c>
      <c r="D1006" s="12" t="str">
        <f>'Planning Engine'!D1722</f>
        <v>kg</v>
      </c>
      <c r="E1006" s="95">
        <f>'Planning Engine'!E1722</f>
        <v>89.81</v>
      </c>
      <c r="F1006" s="95">
        <f>'Planning Engine'!F1722</f>
        <v>0</v>
      </c>
      <c r="G1006" s="95">
        <f>'Planning Engine'!G1722</f>
        <v>0</v>
      </c>
      <c r="H1006" s="95">
        <f t="shared" si="30"/>
        <v>0</v>
      </c>
      <c r="I1006" s="95">
        <f>'Planning Engine'!H1722</f>
        <v>89.81</v>
      </c>
      <c r="J1006" s="96">
        <f ca="1">'Planning Engine'!J1722</f>
        <v>999</v>
      </c>
      <c r="K1006" s="95">
        <f ca="1">'Planning Engine'!K1722</f>
        <v>0</v>
      </c>
      <c r="L1006" s="12" t="str">
        <f ca="1">'Planning Engine'!L1722</f>
        <v>Overstock</v>
      </c>
      <c r="M1006" s="93">
        <f>'Planning Engine'!S1722</f>
        <v>49188</v>
      </c>
      <c r="N1006" s="95">
        <f>'Planning Engine'!T1722</f>
        <v>0</v>
      </c>
      <c r="O1006" s="94" t="s">
        <v>2754</v>
      </c>
      <c r="P1006" s="12" t="str">
        <f t="shared" ca="1" si="31"/>
        <v>Defer receipts</v>
      </c>
    </row>
    <row r="1007" spans="1:16" ht="13" customHeight="1" x14ac:dyDescent="0.35">
      <c r="A1007" s="97">
        <v>49341</v>
      </c>
      <c r="B1007" s="53" t="s">
        <v>50</v>
      </c>
      <c r="C1007" s="12" t="str">
        <f>'Planning Engine'!C1723</f>
        <v>Raw Material</v>
      </c>
      <c r="D1007" s="12" t="str">
        <f>'Planning Engine'!D1723</f>
        <v>kg</v>
      </c>
      <c r="E1007" s="95">
        <f>'Planning Engine'!E1723</f>
        <v>89.81</v>
      </c>
      <c r="F1007" s="95">
        <f>'Planning Engine'!F1723</f>
        <v>0</v>
      </c>
      <c r="G1007" s="95">
        <f>'Planning Engine'!G1723</f>
        <v>0</v>
      </c>
      <c r="H1007" s="99">
        <f t="shared" si="30"/>
        <v>0</v>
      </c>
      <c r="I1007" s="95">
        <f>'Planning Engine'!H1723</f>
        <v>89.81</v>
      </c>
      <c r="J1007" s="96">
        <f ca="1">'Planning Engine'!J1723</f>
        <v>999</v>
      </c>
      <c r="K1007" s="95">
        <f ca="1">'Planning Engine'!K1723</f>
        <v>0</v>
      </c>
      <c r="L1007" s="12" t="str">
        <f ca="1">'Planning Engine'!L1723</f>
        <v>Overstock</v>
      </c>
      <c r="M1007" s="93">
        <f>'Planning Engine'!S1723</f>
        <v>49218</v>
      </c>
      <c r="N1007" s="95">
        <f>'Planning Engine'!T1723</f>
        <v>0</v>
      </c>
      <c r="O1007" s="98" t="s">
        <v>2755</v>
      </c>
      <c r="P1007" s="4" t="str">
        <f t="shared" ca="1" si="31"/>
        <v>Defer receipts</v>
      </c>
    </row>
    <row r="1008" spans="1:16" ht="13" customHeight="1" x14ac:dyDescent="0.35">
      <c r="A1008" s="93">
        <v>49369</v>
      </c>
      <c r="B1008" s="61" t="s">
        <v>50</v>
      </c>
      <c r="C1008" s="12" t="str">
        <f>'Planning Engine'!C1724</f>
        <v>Raw Material</v>
      </c>
      <c r="D1008" s="12" t="str">
        <f>'Planning Engine'!D1724</f>
        <v>kg</v>
      </c>
      <c r="E1008" s="95">
        <f>'Planning Engine'!E1724</f>
        <v>89.81</v>
      </c>
      <c r="F1008" s="95">
        <f>'Planning Engine'!F1724</f>
        <v>0</v>
      </c>
      <c r="G1008" s="95">
        <f>'Planning Engine'!G1724</f>
        <v>0</v>
      </c>
      <c r="H1008" s="95">
        <f t="shared" si="30"/>
        <v>0</v>
      </c>
      <c r="I1008" s="95">
        <f>'Planning Engine'!H1724</f>
        <v>89.81</v>
      </c>
      <c r="J1008" s="96">
        <f ca="1">'Planning Engine'!J1724</f>
        <v>999</v>
      </c>
      <c r="K1008" s="95">
        <f ca="1">'Planning Engine'!K1724</f>
        <v>0</v>
      </c>
      <c r="L1008" s="12" t="str">
        <f ca="1">'Planning Engine'!L1724</f>
        <v>Overstock</v>
      </c>
      <c r="M1008" s="93">
        <f>'Planning Engine'!S1724</f>
        <v>49249</v>
      </c>
      <c r="N1008" s="95">
        <f>'Planning Engine'!T1724</f>
        <v>0</v>
      </c>
      <c r="O1008" s="94" t="s">
        <v>2756</v>
      </c>
      <c r="P1008" s="12" t="str">
        <f t="shared" ca="1" si="31"/>
        <v>Defer receipts</v>
      </c>
    </row>
    <row r="1009" spans="1:16" ht="13" customHeight="1" x14ac:dyDescent="0.35">
      <c r="A1009" s="97">
        <v>49400</v>
      </c>
      <c r="B1009" s="53" t="s">
        <v>50</v>
      </c>
      <c r="C1009" s="12" t="str">
        <f>'Planning Engine'!C1725</f>
        <v>Raw Material</v>
      </c>
      <c r="D1009" s="12" t="str">
        <f>'Planning Engine'!D1725</f>
        <v>kg</v>
      </c>
      <c r="E1009" s="95">
        <f>'Planning Engine'!E1725</f>
        <v>89.81</v>
      </c>
      <c r="F1009" s="95">
        <f>'Planning Engine'!F1725</f>
        <v>0</v>
      </c>
      <c r="G1009" s="95">
        <f>'Planning Engine'!G1725</f>
        <v>0</v>
      </c>
      <c r="H1009" s="99">
        <f t="shared" si="30"/>
        <v>0</v>
      </c>
      <c r="I1009" s="95">
        <f>'Planning Engine'!H1725</f>
        <v>89.81</v>
      </c>
      <c r="J1009" s="96">
        <f ca="1">'Planning Engine'!J1725</f>
        <v>999</v>
      </c>
      <c r="K1009" s="95">
        <f ca="1">'Planning Engine'!K1725</f>
        <v>0</v>
      </c>
      <c r="L1009" s="12" t="str">
        <f ca="1">'Planning Engine'!L1725</f>
        <v>Overstock</v>
      </c>
      <c r="M1009" s="93">
        <f>'Planning Engine'!S1725</f>
        <v>49279</v>
      </c>
      <c r="N1009" s="95">
        <f>'Planning Engine'!T1725</f>
        <v>0</v>
      </c>
      <c r="O1009" s="98" t="s">
        <v>2757</v>
      </c>
      <c r="P1009" s="4" t="str">
        <f t="shared" ca="1" si="31"/>
        <v>Defer receipts</v>
      </c>
    </row>
    <row r="1010" spans="1:16" ht="13" customHeight="1" x14ac:dyDescent="0.35">
      <c r="A1010" s="93">
        <v>49430</v>
      </c>
      <c r="B1010" s="61" t="s">
        <v>50</v>
      </c>
      <c r="C1010" s="12" t="str">
        <f>'Planning Engine'!C1726</f>
        <v>Raw Material</v>
      </c>
      <c r="D1010" s="12" t="str">
        <f>'Planning Engine'!D1726</f>
        <v>kg</v>
      </c>
      <c r="E1010" s="95">
        <f>'Planning Engine'!E1726</f>
        <v>89.81</v>
      </c>
      <c r="F1010" s="95">
        <f>'Planning Engine'!F1726</f>
        <v>0</v>
      </c>
      <c r="G1010" s="95">
        <f>'Planning Engine'!G1726</f>
        <v>0</v>
      </c>
      <c r="H1010" s="95">
        <f t="shared" si="30"/>
        <v>0</v>
      </c>
      <c r="I1010" s="95">
        <f>'Planning Engine'!H1726</f>
        <v>89.81</v>
      </c>
      <c r="J1010" s="96">
        <f ca="1">'Planning Engine'!J1726</f>
        <v>999</v>
      </c>
      <c r="K1010" s="95">
        <f ca="1">'Planning Engine'!K1726</f>
        <v>0</v>
      </c>
      <c r="L1010" s="12" t="str">
        <f ca="1">'Planning Engine'!L1726</f>
        <v>Overstock</v>
      </c>
      <c r="M1010" s="93">
        <f>'Planning Engine'!S1726</f>
        <v>49310</v>
      </c>
      <c r="N1010" s="95">
        <f>'Planning Engine'!T1726</f>
        <v>0</v>
      </c>
      <c r="O1010" s="94" t="s">
        <v>2758</v>
      </c>
      <c r="P1010" s="12" t="str">
        <f t="shared" ca="1" si="31"/>
        <v>Defer receipts</v>
      </c>
    </row>
    <row r="1011" spans="1:16" ht="13" customHeight="1" x14ac:dyDescent="0.35">
      <c r="A1011" s="97">
        <v>49461</v>
      </c>
      <c r="B1011" s="53" t="s">
        <v>50</v>
      </c>
      <c r="C1011" s="12" t="str">
        <f>'Planning Engine'!C1727</f>
        <v>Raw Material</v>
      </c>
      <c r="D1011" s="12" t="str">
        <f>'Planning Engine'!D1727</f>
        <v>kg</v>
      </c>
      <c r="E1011" s="95">
        <f>'Planning Engine'!E1727</f>
        <v>89.81</v>
      </c>
      <c r="F1011" s="95">
        <f>'Planning Engine'!F1727</f>
        <v>0</v>
      </c>
      <c r="G1011" s="95">
        <f>'Planning Engine'!G1727</f>
        <v>0</v>
      </c>
      <c r="H1011" s="99">
        <f t="shared" si="30"/>
        <v>0</v>
      </c>
      <c r="I1011" s="95">
        <f>'Planning Engine'!H1727</f>
        <v>89.81</v>
      </c>
      <c r="J1011" s="96">
        <f ca="1">'Planning Engine'!J1727</f>
        <v>999</v>
      </c>
      <c r="K1011" s="95">
        <f ca="1">'Planning Engine'!K1727</f>
        <v>0</v>
      </c>
      <c r="L1011" s="12" t="str">
        <f ca="1">'Planning Engine'!L1727</f>
        <v>Overstock</v>
      </c>
      <c r="M1011" s="93">
        <f>'Planning Engine'!S1727</f>
        <v>49341</v>
      </c>
      <c r="N1011" s="95">
        <f>'Planning Engine'!T1727</f>
        <v>0</v>
      </c>
      <c r="O1011" s="98" t="s">
        <v>2759</v>
      </c>
      <c r="P1011" s="4" t="str">
        <f t="shared" ca="1" si="31"/>
        <v>Defer receipts</v>
      </c>
    </row>
    <row r="1012" spans="1:16" ht="13" customHeight="1" x14ac:dyDescent="0.35">
      <c r="A1012" s="93">
        <v>49491</v>
      </c>
      <c r="B1012" s="61" t="s">
        <v>50</v>
      </c>
      <c r="C1012" s="12" t="str">
        <f>'Planning Engine'!C1728</f>
        <v>Raw Material</v>
      </c>
      <c r="D1012" s="12" t="str">
        <f>'Planning Engine'!D1728</f>
        <v>kg</v>
      </c>
      <c r="E1012" s="95">
        <f>'Planning Engine'!E1728</f>
        <v>89.81</v>
      </c>
      <c r="F1012" s="95">
        <f>'Planning Engine'!F1728</f>
        <v>0</v>
      </c>
      <c r="G1012" s="95">
        <f>'Planning Engine'!G1728</f>
        <v>0</v>
      </c>
      <c r="H1012" s="95">
        <f t="shared" si="30"/>
        <v>0</v>
      </c>
      <c r="I1012" s="95">
        <f>'Planning Engine'!H1728</f>
        <v>89.81</v>
      </c>
      <c r="J1012" s="96">
        <f ca="1">'Planning Engine'!J1728</f>
        <v>999</v>
      </c>
      <c r="K1012" s="95">
        <f ca="1">'Planning Engine'!K1728</f>
        <v>0</v>
      </c>
      <c r="L1012" s="12" t="str">
        <f ca="1">'Planning Engine'!L1728</f>
        <v>Overstock</v>
      </c>
      <c r="M1012" s="93">
        <f>'Planning Engine'!S1728</f>
        <v>49369</v>
      </c>
      <c r="N1012" s="95">
        <f>'Planning Engine'!T1728</f>
        <v>0</v>
      </c>
      <c r="O1012" s="94" t="s">
        <v>2760</v>
      </c>
      <c r="P1012" s="12" t="str">
        <f t="shared" ca="1" si="31"/>
        <v>Defer receipts</v>
      </c>
    </row>
    <row r="1013" spans="1:16" ht="13" customHeight="1" x14ac:dyDescent="0.35">
      <c r="A1013" s="97">
        <v>49522</v>
      </c>
      <c r="B1013" s="53" t="s">
        <v>50</v>
      </c>
      <c r="C1013" s="12" t="str">
        <f>'Planning Engine'!C1729</f>
        <v>Raw Material</v>
      </c>
      <c r="D1013" s="12" t="str">
        <f>'Planning Engine'!D1729</f>
        <v>kg</v>
      </c>
      <c r="E1013" s="95">
        <f>'Planning Engine'!E1729</f>
        <v>89.81</v>
      </c>
      <c r="F1013" s="95">
        <f>'Planning Engine'!F1729</f>
        <v>0</v>
      </c>
      <c r="G1013" s="95">
        <f>'Planning Engine'!G1729</f>
        <v>0</v>
      </c>
      <c r="H1013" s="99">
        <f t="shared" si="30"/>
        <v>0</v>
      </c>
      <c r="I1013" s="95">
        <f>'Planning Engine'!H1729</f>
        <v>89.81</v>
      </c>
      <c r="J1013" s="96">
        <f ca="1">'Planning Engine'!J1729</f>
        <v>999</v>
      </c>
      <c r="K1013" s="95">
        <f ca="1">'Planning Engine'!K1729</f>
        <v>0</v>
      </c>
      <c r="L1013" s="12" t="str">
        <f ca="1">'Planning Engine'!L1729</f>
        <v>Overstock</v>
      </c>
      <c r="M1013" s="93">
        <f>'Planning Engine'!S1729</f>
        <v>49400</v>
      </c>
      <c r="N1013" s="95">
        <f>'Planning Engine'!T1729</f>
        <v>0</v>
      </c>
      <c r="O1013" s="98" t="s">
        <v>2761</v>
      </c>
      <c r="P1013" s="4" t="str">
        <f t="shared" ca="1" si="31"/>
        <v>Defer receipts</v>
      </c>
    </row>
    <row r="1014" spans="1:16" ht="13" customHeight="1" x14ac:dyDescent="0.35">
      <c r="A1014" s="93">
        <v>49553</v>
      </c>
      <c r="B1014" s="61" t="s">
        <v>50</v>
      </c>
      <c r="C1014" s="12" t="str">
        <f>'Planning Engine'!C1730</f>
        <v>Raw Material</v>
      </c>
      <c r="D1014" s="12" t="str">
        <f>'Planning Engine'!D1730</f>
        <v>kg</v>
      </c>
      <c r="E1014" s="95">
        <f>'Planning Engine'!E1730</f>
        <v>89.81</v>
      </c>
      <c r="F1014" s="95">
        <f>'Planning Engine'!F1730</f>
        <v>0</v>
      </c>
      <c r="G1014" s="95">
        <f>'Planning Engine'!G1730</f>
        <v>0</v>
      </c>
      <c r="H1014" s="95">
        <f t="shared" si="30"/>
        <v>0</v>
      </c>
      <c r="I1014" s="95">
        <f>'Planning Engine'!H1730</f>
        <v>89.81</v>
      </c>
      <c r="J1014" s="96">
        <f ca="1">'Planning Engine'!J1730</f>
        <v>999</v>
      </c>
      <c r="K1014" s="95">
        <f ca="1">'Planning Engine'!K1730</f>
        <v>0</v>
      </c>
      <c r="L1014" s="12" t="str">
        <f ca="1">'Planning Engine'!L1730</f>
        <v>Overstock</v>
      </c>
      <c r="M1014" s="93">
        <f>'Planning Engine'!S1730</f>
        <v>49430</v>
      </c>
      <c r="N1014" s="95">
        <f>'Planning Engine'!T1730</f>
        <v>0</v>
      </c>
      <c r="O1014" s="94" t="s">
        <v>2762</v>
      </c>
      <c r="P1014" s="12" t="str">
        <f t="shared" ca="1" si="31"/>
        <v>Defer receipts</v>
      </c>
    </row>
    <row r="1015" spans="1:16" ht="13" customHeight="1" x14ac:dyDescent="0.35">
      <c r="A1015" s="97">
        <v>49583</v>
      </c>
      <c r="B1015" s="53" t="s">
        <v>50</v>
      </c>
      <c r="C1015" s="12" t="str">
        <f>'Planning Engine'!C1731</f>
        <v>Raw Material</v>
      </c>
      <c r="D1015" s="12" t="str">
        <f>'Planning Engine'!D1731</f>
        <v>kg</v>
      </c>
      <c r="E1015" s="95">
        <f>'Planning Engine'!E1731</f>
        <v>89.81</v>
      </c>
      <c r="F1015" s="95">
        <f>'Planning Engine'!F1731</f>
        <v>0</v>
      </c>
      <c r="G1015" s="95">
        <f>'Planning Engine'!G1731</f>
        <v>0</v>
      </c>
      <c r="H1015" s="99">
        <f t="shared" si="30"/>
        <v>0</v>
      </c>
      <c r="I1015" s="95">
        <f>'Planning Engine'!H1731</f>
        <v>89.81</v>
      </c>
      <c r="J1015" s="96">
        <f ca="1">'Planning Engine'!J1731</f>
        <v>999</v>
      </c>
      <c r="K1015" s="95">
        <f ca="1">'Planning Engine'!K1731</f>
        <v>0</v>
      </c>
      <c r="L1015" s="12" t="str">
        <f ca="1">'Planning Engine'!L1731</f>
        <v>Overstock</v>
      </c>
      <c r="M1015" s="93">
        <f>'Planning Engine'!S1731</f>
        <v>49461</v>
      </c>
      <c r="N1015" s="95">
        <f>'Planning Engine'!T1731</f>
        <v>0</v>
      </c>
      <c r="O1015" s="98" t="s">
        <v>2763</v>
      </c>
      <c r="P1015" s="4" t="str">
        <f t="shared" ca="1" si="31"/>
        <v>Defer receipts</v>
      </c>
    </row>
    <row r="1016" spans="1:16" ht="13" customHeight="1" x14ac:dyDescent="0.35">
      <c r="A1016" s="93">
        <v>49614</v>
      </c>
      <c r="B1016" s="61" t="s">
        <v>50</v>
      </c>
      <c r="C1016" s="12" t="str">
        <f>'Planning Engine'!C1732</f>
        <v>Raw Material</v>
      </c>
      <c r="D1016" s="12" t="str">
        <f>'Planning Engine'!D1732</f>
        <v>kg</v>
      </c>
      <c r="E1016" s="95">
        <f>'Planning Engine'!E1732</f>
        <v>89.81</v>
      </c>
      <c r="F1016" s="95">
        <f>'Planning Engine'!F1732</f>
        <v>0</v>
      </c>
      <c r="G1016" s="95">
        <f>'Planning Engine'!G1732</f>
        <v>0</v>
      </c>
      <c r="H1016" s="95">
        <f t="shared" si="30"/>
        <v>0</v>
      </c>
      <c r="I1016" s="95">
        <f>'Planning Engine'!H1732</f>
        <v>89.81</v>
      </c>
      <c r="J1016" s="96">
        <f ca="1">'Planning Engine'!J1732</f>
        <v>999</v>
      </c>
      <c r="K1016" s="95">
        <f ca="1">'Planning Engine'!K1732</f>
        <v>0</v>
      </c>
      <c r="L1016" s="12" t="str">
        <f ca="1">'Planning Engine'!L1732</f>
        <v>Overstock</v>
      </c>
      <c r="M1016" s="93">
        <f>'Planning Engine'!S1732</f>
        <v>49491</v>
      </c>
      <c r="N1016" s="95">
        <f>'Planning Engine'!T1732</f>
        <v>0</v>
      </c>
      <c r="O1016" s="94" t="s">
        <v>2764</v>
      </c>
      <c r="P1016" s="12" t="str">
        <f t="shared" ca="1" si="31"/>
        <v>Defer receipts</v>
      </c>
    </row>
    <row r="1017" spans="1:16" ht="13" customHeight="1" x14ac:dyDescent="0.35">
      <c r="A1017" s="97">
        <v>49644</v>
      </c>
      <c r="B1017" s="53" t="s">
        <v>50</v>
      </c>
      <c r="C1017" s="12" t="str">
        <f>'Planning Engine'!C1733</f>
        <v>Raw Material</v>
      </c>
      <c r="D1017" s="12" t="str">
        <f>'Planning Engine'!D1733</f>
        <v>kg</v>
      </c>
      <c r="E1017" s="95">
        <f>'Planning Engine'!E1733</f>
        <v>89.81</v>
      </c>
      <c r="F1017" s="95">
        <f>'Planning Engine'!F1733</f>
        <v>0</v>
      </c>
      <c r="G1017" s="95">
        <f>'Planning Engine'!G1733</f>
        <v>0</v>
      </c>
      <c r="H1017" s="99">
        <f t="shared" si="30"/>
        <v>0</v>
      </c>
      <c r="I1017" s="95">
        <f>'Planning Engine'!H1733</f>
        <v>89.81</v>
      </c>
      <c r="J1017" s="96">
        <f ca="1">'Planning Engine'!J1733</f>
        <v>999</v>
      </c>
      <c r="K1017" s="95">
        <f ca="1">'Planning Engine'!K1733</f>
        <v>0</v>
      </c>
      <c r="L1017" s="12" t="str">
        <f ca="1">'Planning Engine'!L1733</f>
        <v>Overstock</v>
      </c>
      <c r="M1017" s="93">
        <f>'Planning Engine'!S1733</f>
        <v>49522</v>
      </c>
      <c r="N1017" s="95">
        <f>'Planning Engine'!T1733</f>
        <v>0</v>
      </c>
      <c r="O1017" s="98" t="s">
        <v>2765</v>
      </c>
      <c r="P1017" s="4" t="str">
        <f t="shared" ca="1" si="31"/>
        <v>Defer receipts</v>
      </c>
    </row>
    <row r="1018" spans="1:16" ht="13" customHeight="1" x14ac:dyDescent="0.35">
      <c r="A1018" s="93">
        <v>49675</v>
      </c>
      <c r="B1018" s="61" t="s">
        <v>50</v>
      </c>
      <c r="C1018" s="12" t="str">
        <f>'Planning Engine'!C1734</f>
        <v>Raw Material</v>
      </c>
      <c r="D1018" s="12" t="str">
        <f>'Planning Engine'!D1734</f>
        <v>kg</v>
      </c>
      <c r="E1018" s="95">
        <f>'Planning Engine'!E1734</f>
        <v>89.81</v>
      </c>
      <c r="F1018" s="95">
        <f>'Planning Engine'!F1734</f>
        <v>0</v>
      </c>
      <c r="G1018" s="95">
        <f>'Planning Engine'!G1734</f>
        <v>0</v>
      </c>
      <c r="H1018" s="95">
        <f t="shared" si="30"/>
        <v>0</v>
      </c>
      <c r="I1018" s="95">
        <f>'Planning Engine'!H1734</f>
        <v>89.81</v>
      </c>
      <c r="J1018" s="96">
        <f ca="1">'Planning Engine'!J1734</f>
        <v>999</v>
      </c>
      <c r="K1018" s="95">
        <f ca="1">'Planning Engine'!K1734</f>
        <v>0</v>
      </c>
      <c r="L1018" s="12" t="str">
        <f ca="1">'Planning Engine'!L1734</f>
        <v>Overstock</v>
      </c>
      <c r="M1018" s="93">
        <f>'Planning Engine'!S1734</f>
        <v>49553</v>
      </c>
      <c r="N1018" s="95">
        <f>'Planning Engine'!T1734</f>
        <v>0</v>
      </c>
      <c r="O1018" s="94" t="s">
        <v>2766</v>
      </c>
      <c r="P1018" s="12" t="str">
        <f t="shared" ca="1" si="31"/>
        <v>Defer receipts</v>
      </c>
    </row>
    <row r="1019" spans="1:16" ht="13" customHeight="1" x14ac:dyDescent="0.35">
      <c r="A1019" s="97">
        <v>49706</v>
      </c>
      <c r="B1019" s="53" t="s">
        <v>50</v>
      </c>
      <c r="C1019" s="12" t="str">
        <f>'Planning Engine'!C1735</f>
        <v>Raw Material</v>
      </c>
      <c r="D1019" s="12" t="str">
        <f>'Planning Engine'!D1735</f>
        <v>kg</v>
      </c>
      <c r="E1019" s="95">
        <f>'Planning Engine'!E1735</f>
        <v>89.81</v>
      </c>
      <c r="F1019" s="95">
        <f>'Planning Engine'!F1735</f>
        <v>0</v>
      </c>
      <c r="G1019" s="95">
        <f>'Planning Engine'!G1735</f>
        <v>0</v>
      </c>
      <c r="H1019" s="99">
        <f t="shared" si="30"/>
        <v>0</v>
      </c>
      <c r="I1019" s="95">
        <f>'Planning Engine'!H1735</f>
        <v>89.81</v>
      </c>
      <c r="J1019" s="96">
        <f ca="1">'Planning Engine'!J1735</f>
        <v>999</v>
      </c>
      <c r="K1019" s="95">
        <f ca="1">'Planning Engine'!K1735</f>
        <v>0</v>
      </c>
      <c r="L1019" s="12" t="str">
        <f ca="1">'Planning Engine'!L1735</f>
        <v>Overstock</v>
      </c>
      <c r="M1019" s="93">
        <f>'Planning Engine'!S1735</f>
        <v>49583</v>
      </c>
      <c r="N1019" s="95">
        <f>'Planning Engine'!T1735</f>
        <v>0</v>
      </c>
      <c r="O1019" s="98" t="s">
        <v>2767</v>
      </c>
      <c r="P1019" s="4" t="str">
        <f t="shared" ca="1" si="31"/>
        <v>Defer receipts</v>
      </c>
    </row>
    <row r="1020" spans="1:16" ht="13" customHeight="1" x14ac:dyDescent="0.35">
      <c r="A1020" s="93">
        <v>49735</v>
      </c>
      <c r="B1020" s="61" t="s">
        <v>50</v>
      </c>
      <c r="C1020" s="12" t="str">
        <f>'Planning Engine'!C1736</f>
        <v>Raw Material</v>
      </c>
      <c r="D1020" s="12" t="str">
        <f>'Planning Engine'!D1736</f>
        <v>kg</v>
      </c>
      <c r="E1020" s="95">
        <f>'Planning Engine'!E1736</f>
        <v>89.81</v>
      </c>
      <c r="F1020" s="95">
        <f>'Planning Engine'!F1736</f>
        <v>0</v>
      </c>
      <c r="G1020" s="95">
        <f>'Planning Engine'!G1736</f>
        <v>0</v>
      </c>
      <c r="H1020" s="95">
        <f t="shared" si="30"/>
        <v>0</v>
      </c>
      <c r="I1020" s="95">
        <f>'Planning Engine'!H1736</f>
        <v>89.81</v>
      </c>
      <c r="J1020" s="96">
        <f ca="1">'Planning Engine'!J1736</f>
        <v>999</v>
      </c>
      <c r="K1020" s="95">
        <f ca="1">'Planning Engine'!K1736</f>
        <v>0</v>
      </c>
      <c r="L1020" s="12" t="str">
        <f ca="1">'Planning Engine'!L1736</f>
        <v>Overstock</v>
      </c>
      <c r="M1020" s="93">
        <f>'Planning Engine'!S1736</f>
        <v>49614</v>
      </c>
      <c r="N1020" s="95">
        <f>'Planning Engine'!T1736</f>
        <v>0</v>
      </c>
      <c r="O1020" s="94" t="s">
        <v>2768</v>
      </c>
      <c r="P1020" s="12" t="str">
        <f t="shared" ca="1" si="31"/>
        <v>Defer receipts</v>
      </c>
    </row>
    <row r="1021" spans="1:16" ht="13" customHeight="1" x14ac:dyDescent="0.35">
      <c r="A1021" s="97">
        <v>49766</v>
      </c>
      <c r="B1021" s="53" t="s">
        <v>50</v>
      </c>
      <c r="C1021" s="12" t="str">
        <f>'Planning Engine'!C1737</f>
        <v>Raw Material</v>
      </c>
      <c r="D1021" s="12" t="str">
        <f>'Planning Engine'!D1737</f>
        <v>kg</v>
      </c>
      <c r="E1021" s="95">
        <f>'Planning Engine'!E1737</f>
        <v>89.81</v>
      </c>
      <c r="F1021" s="95">
        <f>'Planning Engine'!F1737</f>
        <v>0</v>
      </c>
      <c r="G1021" s="95">
        <f>'Planning Engine'!G1737</f>
        <v>0</v>
      </c>
      <c r="H1021" s="99">
        <f t="shared" si="30"/>
        <v>0</v>
      </c>
      <c r="I1021" s="95">
        <f>'Planning Engine'!H1737</f>
        <v>89.81</v>
      </c>
      <c r="J1021" s="96">
        <f ca="1">'Planning Engine'!J1737</f>
        <v>999</v>
      </c>
      <c r="K1021" s="95">
        <f ca="1">'Planning Engine'!K1737</f>
        <v>0</v>
      </c>
      <c r="L1021" s="12" t="str">
        <f ca="1">'Planning Engine'!L1737</f>
        <v>Overstock</v>
      </c>
      <c r="M1021" s="93">
        <f>'Planning Engine'!S1737</f>
        <v>49644</v>
      </c>
      <c r="N1021" s="95">
        <f>'Planning Engine'!T1737</f>
        <v>0</v>
      </c>
      <c r="O1021" s="98" t="s">
        <v>2769</v>
      </c>
      <c r="P1021" s="4" t="str">
        <f t="shared" ca="1" si="31"/>
        <v>Defer receipts</v>
      </c>
    </row>
    <row r="1022" spans="1:16" ht="13" customHeight="1" x14ac:dyDescent="0.35">
      <c r="A1022" s="93">
        <v>49796</v>
      </c>
      <c r="B1022" s="61" t="s">
        <v>50</v>
      </c>
      <c r="C1022" s="12" t="str">
        <f>'Planning Engine'!C1738</f>
        <v>Raw Material</v>
      </c>
      <c r="D1022" s="12" t="str">
        <f>'Planning Engine'!D1738</f>
        <v>kg</v>
      </c>
      <c r="E1022" s="95">
        <f>'Planning Engine'!E1738</f>
        <v>89.81</v>
      </c>
      <c r="F1022" s="95">
        <f>'Planning Engine'!F1738</f>
        <v>0</v>
      </c>
      <c r="G1022" s="95">
        <f>'Planning Engine'!G1738</f>
        <v>0</v>
      </c>
      <c r="H1022" s="95">
        <f t="shared" si="30"/>
        <v>0</v>
      </c>
      <c r="I1022" s="95">
        <f>'Planning Engine'!H1738</f>
        <v>89.81</v>
      </c>
      <c r="J1022" s="96">
        <f ca="1">'Planning Engine'!J1738</f>
        <v>999</v>
      </c>
      <c r="K1022" s="95">
        <f ca="1">'Planning Engine'!K1738</f>
        <v>0</v>
      </c>
      <c r="L1022" s="12" t="str">
        <f ca="1">'Planning Engine'!L1738</f>
        <v>Overstock</v>
      </c>
      <c r="M1022" s="93">
        <f>'Planning Engine'!S1738</f>
        <v>49675</v>
      </c>
      <c r="N1022" s="95">
        <f>'Planning Engine'!T1738</f>
        <v>0</v>
      </c>
      <c r="O1022" s="94" t="s">
        <v>2770</v>
      </c>
      <c r="P1022" s="12" t="str">
        <f t="shared" ca="1" si="31"/>
        <v>Defer receipts</v>
      </c>
    </row>
    <row r="1023" spans="1:16" ht="13" customHeight="1" x14ac:dyDescent="0.35">
      <c r="A1023" s="97">
        <v>49827</v>
      </c>
      <c r="B1023" s="53" t="s">
        <v>50</v>
      </c>
      <c r="C1023" s="12" t="str">
        <f>'Planning Engine'!C1739</f>
        <v>Raw Material</v>
      </c>
      <c r="D1023" s="12" t="str">
        <f>'Planning Engine'!D1739</f>
        <v>kg</v>
      </c>
      <c r="E1023" s="95">
        <f>'Planning Engine'!E1739</f>
        <v>89.81</v>
      </c>
      <c r="F1023" s="95">
        <f>'Planning Engine'!F1739</f>
        <v>0</v>
      </c>
      <c r="G1023" s="95">
        <f>'Planning Engine'!G1739</f>
        <v>0</v>
      </c>
      <c r="H1023" s="99">
        <f t="shared" si="30"/>
        <v>0</v>
      </c>
      <c r="I1023" s="95">
        <f>'Planning Engine'!H1739</f>
        <v>89.81</v>
      </c>
      <c r="J1023" s="96">
        <f ca="1">'Planning Engine'!J1739</f>
        <v>999</v>
      </c>
      <c r="K1023" s="95">
        <f ca="1">'Planning Engine'!K1739</f>
        <v>0</v>
      </c>
      <c r="L1023" s="12" t="str">
        <f ca="1">'Planning Engine'!L1739</f>
        <v>Overstock</v>
      </c>
      <c r="M1023" s="93">
        <f>'Planning Engine'!S1739</f>
        <v>49706</v>
      </c>
      <c r="N1023" s="95">
        <f>'Planning Engine'!T1739</f>
        <v>0</v>
      </c>
      <c r="O1023" s="98" t="s">
        <v>2771</v>
      </c>
      <c r="P1023" s="4" t="str">
        <f t="shared" ca="1" si="31"/>
        <v>Defer receipts</v>
      </c>
    </row>
    <row r="1024" spans="1:16" ht="13" customHeight="1" x14ac:dyDescent="0.35">
      <c r="A1024" s="93">
        <v>49857</v>
      </c>
      <c r="B1024" s="61" t="s">
        <v>50</v>
      </c>
      <c r="C1024" s="12" t="str">
        <f>'Planning Engine'!C1740</f>
        <v>Raw Material</v>
      </c>
      <c r="D1024" s="12" t="str">
        <f>'Planning Engine'!D1740</f>
        <v>kg</v>
      </c>
      <c r="E1024" s="95">
        <f>'Planning Engine'!E1740</f>
        <v>89.81</v>
      </c>
      <c r="F1024" s="95">
        <f>'Planning Engine'!F1740</f>
        <v>0</v>
      </c>
      <c r="G1024" s="95">
        <f>'Planning Engine'!G1740</f>
        <v>0</v>
      </c>
      <c r="H1024" s="95">
        <f t="shared" si="30"/>
        <v>0</v>
      </c>
      <c r="I1024" s="95">
        <f>'Planning Engine'!H1740</f>
        <v>89.81</v>
      </c>
      <c r="J1024" s="96">
        <f ca="1">'Planning Engine'!J1740</f>
        <v>999</v>
      </c>
      <c r="K1024" s="95">
        <f ca="1">'Planning Engine'!K1740</f>
        <v>0</v>
      </c>
      <c r="L1024" s="12" t="str">
        <f ca="1">'Planning Engine'!L1740</f>
        <v>Overstock</v>
      </c>
      <c r="M1024" s="93">
        <f>'Planning Engine'!S1740</f>
        <v>49735</v>
      </c>
      <c r="N1024" s="95">
        <f>'Planning Engine'!T1740</f>
        <v>0</v>
      </c>
      <c r="O1024" s="94" t="s">
        <v>2772</v>
      </c>
      <c r="P1024" s="12" t="str">
        <f t="shared" ca="1" si="31"/>
        <v>Defer receipts</v>
      </c>
    </row>
    <row r="1025" spans="1:16" ht="13" customHeight="1" x14ac:dyDescent="0.35">
      <c r="A1025" s="97">
        <v>49888</v>
      </c>
      <c r="B1025" s="53" t="s">
        <v>50</v>
      </c>
      <c r="C1025" s="12" t="str">
        <f>'Planning Engine'!C1741</f>
        <v>Raw Material</v>
      </c>
      <c r="D1025" s="12" t="str">
        <f>'Planning Engine'!D1741</f>
        <v>kg</v>
      </c>
      <c r="E1025" s="95">
        <f>'Planning Engine'!E1741</f>
        <v>89.81</v>
      </c>
      <c r="F1025" s="95">
        <f>'Planning Engine'!F1741</f>
        <v>0</v>
      </c>
      <c r="G1025" s="95">
        <f>'Planning Engine'!G1741</f>
        <v>0</v>
      </c>
      <c r="H1025" s="99">
        <f t="shared" si="30"/>
        <v>0</v>
      </c>
      <c r="I1025" s="95">
        <f>'Planning Engine'!H1741</f>
        <v>89.81</v>
      </c>
      <c r="J1025" s="96">
        <f ca="1">'Planning Engine'!J1741</f>
        <v>999</v>
      </c>
      <c r="K1025" s="95">
        <f ca="1">'Planning Engine'!K1741</f>
        <v>0</v>
      </c>
      <c r="L1025" s="12" t="str">
        <f ca="1">'Planning Engine'!L1741</f>
        <v>Overstock</v>
      </c>
      <c r="M1025" s="93">
        <f>'Planning Engine'!S1741</f>
        <v>49766</v>
      </c>
      <c r="N1025" s="95">
        <f>'Planning Engine'!T1741</f>
        <v>0</v>
      </c>
      <c r="O1025" s="98" t="s">
        <v>2773</v>
      </c>
      <c r="P1025" s="4" t="str">
        <f t="shared" ca="1" si="31"/>
        <v>Defer receipts</v>
      </c>
    </row>
    <row r="1026" spans="1:16" ht="13" customHeight="1" x14ac:dyDescent="0.35">
      <c r="A1026" s="93">
        <v>49919</v>
      </c>
      <c r="B1026" s="61" t="s">
        <v>50</v>
      </c>
      <c r="C1026" s="12" t="str">
        <f>'Planning Engine'!C1742</f>
        <v>Raw Material</v>
      </c>
      <c r="D1026" s="12" t="str">
        <f>'Planning Engine'!D1742</f>
        <v>kg</v>
      </c>
      <c r="E1026" s="95">
        <f>'Planning Engine'!E1742</f>
        <v>89.81</v>
      </c>
      <c r="F1026" s="95">
        <f>'Planning Engine'!F1742</f>
        <v>0</v>
      </c>
      <c r="G1026" s="95">
        <f>'Planning Engine'!G1742</f>
        <v>0</v>
      </c>
      <c r="H1026" s="95">
        <f t="shared" si="30"/>
        <v>0</v>
      </c>
      <c r="I1026" s="95">
        <f>'Planning Engine'!H1742</f>
        <v>89.81</v>
      </c>
      <c r="J1026" s="96">
        <f ca="1">'Planning Engine'!J1742</f>
        <v>999</v>
      </c>
      <c r="K1026" s="95">
        <f ca="1">'Planning Engine'!K1742</f>
        <v>0</v>
      </c>
      <c r="L1026" s="12" t="str">
        <f ca="1">'Planning Engine'!L1742</f>
        <v>Overstock</v>
      </c>
      <c r="M1026" s="93">
        <f>'Planning Engine'!S1742</f>
        <v>49796</v>
      </c>
      <c r="N1026" s="95">
        <f>'Planning Engine'!T1742</f>
        <v>0</v>
      </c>
      <c r="O1026" s="94" t="s">
        <v>2774</v>
      </c>
      <c r="P1026" s="12" t="str">
        <f t="shared" ca="1" si="31"/>
        <v>Defer receipts</v>
      </c>
    </row>
    <row r="1027" spans="1:16" ht="13" customHeight="1" x14ac:dyDescent="0.35">
      <c r="A1027" s="97">
        <v>49949</v>
      </c>
      <c r="B1027" s="53" t="s">
        <v>50</v>
      </c>
      <c r="C1027" s="12" t="str">
        <f>'Planning Engine'!C1743</f>
        <v>Raw Material</v>
      </c>
      <c r="D1027" s="12" t="str">
        <f>'Planning Engine'!D1743</f>
        <v>kg</v>
      </c>
      <c r="E1027" s="95">
        <f>'Planning Engine'!E1743</f>
        <v>89.81</v>
      </c>
      <c r="F1027" s="95">
        <f>'Planning Engine'!F1743</f>
        <v>0</v>
      </c>
      <c r="G1027" s="95">
        <f>'Planning Engine'!G1743</f>
        <v>0</v>
      </c>
      <c r="H1027" s="99">
        <f t="shared" si="30"/>
        <v>0</v>
      </c>
      <c r="I1027" s="95">
        <f>'Planning Engine'!H1743</f>
        <v>89.81</v>
      </c>
      <c r="J1027" s="96">
        <f ca="1">'Planning Engine'!J1743</f>
        <v>999</v>
      </c>
      <c r="K1027" s="95">
        <f ca="1">'Planning Engine'!K1743</f>
        <v>0</v>
      </c>
      <c r="L1027" s="12" t="str">
        <f ca="1">'Planning Engine'!L1743</f>
        <v>Overstock</v>
      </c>
      <c r="M1027" s="93">
        <f>'Planning Engine'!S1743</f>
        <v>49827</v>
      </c>
      <c r="N1027" s="95">
        <f>'Planning Engine'!T1743</f>
        <v>0</v>
      </c>
      <c r="O1027" s="98" t="s">
        <v>2775</v>
      </c>
      <c r="P1027" s="4" t="str">
        <f t="shared" ca="1" si="31"/>
        <v>Defer receipts</v>
      </c>
    </row>
    <row r="1028" spans="1:16" ht="13" customHeight="1" x14ac:dyDescent="0.35">
      <c r="A1028" s="93">
        <v>49980</v>
      </c>
      <c r="B1028" s="61" t="s">
        <v>50</v>
      </c>
      <c r="C1028" s="12" t="str">
        <f>'Planning Engine'!C1744</f>
        <v>Raw Material</v>
      </c>
      <c r="D1028" s="12" t="str">
        <f>'Planning Engine'!D1744</f>
        <v>kg</v>
      </c>
      <c r="E1028" s="95">
        <f>'Planning Engine'!E1744</f>
        <v>89.81</v>
      </c>
      <c r="F1028" s="95">
        <f>'Planning Engine'!F1744</f>
        <v>0</v>
      </c>
      <c r="G1028" s="95">
        <f>'Planning Engine'!G1744</f>
        <v>0</v>
      </c>
      <c r="H1028" s="95">
        <f t="shared" ref="H1028:H1077" si="32">G1028-F1028</f>
        <v>0</v>
      </c>
      <c r="I1028" s="95">
        <f>'Planning Engine'!H1744</f>
        <v>89.81</v>
      </c>
      <c r="J1028" s="96">
        <f ca="1">'Planning Engine'!J1744</f>
        <v>999</v>
      </c>
      <c r="K1028" s="95">
        <f ca="1">'Planning Engine'!K1744</f>
        <v>0</v>
      </c>
      <c r="L1028" s="12" t="str">
        <f ca="1">'Planning Engine'!L1744</f>
        <v>Overstock</v>
      </c>
      <c r="M1028" s="93">
        <f>'Planning Engine'!S1744</f>
        <v>49857</v>
      </c>
      <c r="N1028" s="95">
        <f>'Planning Engine'!T1744</f>
        <v>0</v>
      </c>
      <c r="O1028" s="94" t="s">
        <v>2776</v>
      </c>
      <c r="P1028" s="12" t="str">
        <f t="shared" ref="P1028:P1077" ca="1" si="33">IFERROR(IF(L1028="High","⚠ Expedite / qualify alternate source",IF(L1028="Medium","Monitor — plan additional POs",IF(L1028="Overstock","Defer receipts","OK"))),"--")</f>
        <v>Defer receipts</v>
      </c>
    </row>
    <row r="1029" spans="1:16" ht="13" customHeight="1" x14ac:dyDescent="0.35">
      <c r="A1029" s="97">
        <v>50010</v>
      </c>
      <c r="B1029" s="53" t="s">
        <v>50</v>
      </c>
      <c r="C1029" s="12" t="str">
        <f>'Planning Engine'!C1745</f>
        <v>Raw Material</v>
      </c>
      <c r="D1029" s="12" t="str">
        <f>'Planning Engine'!D1745</f>
        <v>kg</v>
      </c>
      <c r="E1029" s="95">
        <f>'Planning Engine'!E1745</f>
        <v>89.81</v>
      </c>
      <c r="F1029" s="95">
        <f>'Planning Engine'!F1745</f>
        <v>0</v>
      </c>
      <c r="G1029" s="95">
        <f>'Planning Engine'!G1745</f>
        <v>0</v>
      </c>
      <c r="H1029" s="99">
        <f t="shared" si="32"/>
        <v>0</v>
      </c>
      <c r="I1029" s="95">
        <f>'Planning Engine'!H1745</f>
        <v>89.81</v>
      </c>
      <c r="J1029" s="96">
        <f ca="1">'Planning Engine'!J1745</f>
        <v>999</v>
      </c>
      <c r="K1029" s="95">
        <f ca="1">'Planning Engine'!K1745</f>
        <v>0</v>
      </c>
      <c r="L1029" s="12" t="str">
        <f ca="1">'Planning Engine'!L1745</f>
        <v>Overstock</v>
      </c>
      <c r="M1029" s="93">
        <f>'Planning Engine'!S1745</f>
        <v>49888</v>
      </c>
      <c r="N1029" s="95">
        <f>'Planning Engine'!T1745</f>
        <v>0</v>
      </c>
      <c r="O1029" s="98" t="s">
        <v>2777</v>
      </c>
      <c r="P1029" s="4" t="str">
        <f t="shared" ca="1" si="33"/>
        <v>Defer receipts</v>
      </c>
    </row>
    <row r="1030" spans="1:16" ht="13" customHeight="1" x14ac:dyDescent="0.35">
      <c r="A1030" s="93">
        <v>50041</v>
      </c>
      <c r="B1030" s="61" t="s">
        <v>50</v>
      </c>
      <c r="C1030" s="12" t="str">
        <f>'Planning Engine'!C1746</f>
        <v>Raw Material</v>
      </c>
      <c r="D1030" s="12" t="str">
        <f>'Planning Engine'!D1746</f>
        <v>kg</v>
      </c>
      <c r="E1030" s="95">
        <f>'Planning Engine'!E1746</f>
        <v>89.81</v>
      </c>
      <c r="F1030" s="95">
        <f>'Planning Engine'!F1746</f>
        <v>0</v>
      </c>
      <c r="G1030" s="95">
        <f>'Planning Engine'!G1746</f>
        <v>0</v>
      </c>
      <c r="H1030" s="95">
        <f t="shared" si="32"/>
        <v>0</v>
      </c>
      <c r="I1030" s="95">
        <f>'Planning Engine'!H1746</f>
        <v>89.81</v>
      </c>
      <c r="J1030" s="96">
        <f ca="1">'Planning Engine'!J1746</f>
        <v>999</v>
      </c>
      <c r="K1030" s="95">
        <f ca="1">'Planning Engine'!K1746</f>
        <v>0</v>
      </c>
      <c r="L1030" s="12" t="str">
        <f ca="1">'Planning Engine'!L1746</f>
        <v>Overstock</v>
      </c>
      <c r="M1030" s="93">
        <f>'Planning Engine'!S1746</f>
        <v>49919</v>
      </c>
      <c r="N1030" s="95">
        <f>'Planning Engine'!T1746</f>
        <v>0</v>
      </c>
      <c r="O1030" s="94" t="s">
        <v>2778</v>
      </c>
      <c r="P1030" s="12" t="str">
        <f t="shared" ca="1" si="33"/>
        <v>Defer receipts</v>
      </c>
    </row>
    <row r="1031" spans="1:16" ht="13" customHeight="1" x14ac:dyDescent="0.35">
      <c r="A1031" s="97">
        <v>50072</v>
      </c>
      <c r="B1031" s="53" t="s">
        <v>50</v>
      </c>
      <c r="C1031" s="12" t="str">
        <f>'Planning Engine'!C1747</f>
        <v>Raw Material</v>
      </c>
      <c r="D1031" s="12" t="str">
        <f>'Planning Engine'!D1747</f>
        <v>kg</v>
      </c>
      <c r="E1031" s="95">
        <f>'Planning Engine'!E1747</f>
        <v>89.81</v>
      </c>
      <c r="F1031" s="95">
        <f>'Planning Engine'!F1747</f>
        <v>0</v>
      </c>
      <c r="G1031" s="95">
        <f>'Planning Engine'!G1747</f>
        <v>0</v>
      </c>
      <c r="H1031" s="99">
        <f t="shared" si="32"/>
        <v>0</v>
      </c>
      <c r="I1031" s="95">
        <f>'Planning Engine'!H1747</f>
        <v>89.81</v>
      </c>
      <c r="J1031" s="96">
        <f ca="1">'Planning Engine'!J1747</f>
        <v>999</v>
      </c>
      <c r="K1031" s="95">
        <f ca="1">'Planning Engine'!K1747</f>
        <v>0</v>
      </c>
      <c r="L1031" s="12" t="str">
        <f ca="1">'Planning Engine'!L1747</f>
        <v>Overstock</v>
      </c>
      <c r="M1031" s="93">
        <f>'Planning Engine'!S1747</f>
        <v>49949</v>
      </c>
      <c r="N1031" s="95">
        <f>'Planning Engine'!T1747</f>
        <v>0</v>
      </c>
      <c r="O1031" s="98" t="s">
        <v>2779</v>
      </c>
      <c r="P1031" s="4" t="str">
        <f t="shared" ca="1" si="33"/>
        <v>Defer receipts</v>
      </c>
    </row>
    <row r="1032" spans="1:16" ht="13" customHeight="1" x14ac:dyDescent="0.35">
      <c r="A1032" s="93">
        <v>50100</v>
      </c>
      <c r="B1032" s="61" t="s">
        <v>50</v>
      </c>
      <c r="C1032" s="12" t="str">
        <f>'Planning Engine'!C1748</f>
        <v>Raw Material</v>
      </c>
      <c r="D1032" s="12" t="str">
        <f>'Planning Engine'!D1748</f>
        <v>kg</v>
      </c>
      <c r="E1032" s="95">
        <f>'Planning Engine'!E1748</f>
        <v>89.81</v>
      </c>
      <c r="F1032" s="95">
        <f>'Planning Engine'!F1748</f>
        <v>0</v>
      </c>
      <c r="G1032" s="95">
        <f>'Planning Engine'!G1748</f>
        <v>0</v>
      </c>
      <c r="H1032" s="95">
        <f t="shared" si="32"/>
        <v>0</v>
      </c>
      <c r="I1032" s="95">
        <f>'Planning Engine'!H1748</f>
        <v>89.81</v>
      </c>
      <c r="J1032" s="96">
        <f ca="1">'Planning Engine'!J1748</f>
        <v>999</v>
      </c>
      <c r="K1032" s="95">
        <f ca="1">'Planning Engine'!K1748</f>
        <v>0</v>
      </c>
      <c r="L1032" s="12" t="str">
        <f ca="1">'Planning Engine'!L1748</f>
        <v>Overstock</v>
      </c>
      <c r="M1032" s="93">
        <f>'Planning Engine'!S1748</f>
        <v>49980</v>
      </c>
      <c r="N1032" s="95">
        <f>'Planning Engine'!T1748</f>
        <v>0</v>
      </c>
      <c r="O1032" s="94" t="s">
        <v>2780</v>
      </c>
      <c r="P1032" s="12" t="str">
        <f t="shared" ca="1" si="33"/>
        <v>Defer receipts</v>
      </c>
    </row>
    <row r="1033" spans="1:16" ht="13" customHeight="1" x14ac:dyDescent="0.35">
      <c r="A1033" s="97">
        <v>50131</v>
      </c>
      <c r="B1033" s="53" t="s">
        <v>50</v>
      </c>
      <c r="C1033" s="12" t="str">
        <f>'Planning Engine'!C1749</f>
        <v>Raw Material</v>
      </c>
      <c r="D1033" s="12" t="str">
        <f>'Planning Engine'!D1749</f>
        <v>kg</v>
      </c>
      <c r="E1033" s="95">
        <f>'Planning Engine'!E1749</f>
        <v>89.81</v>
      </c>
      <c r="F1033" s="95">
        <f>'Planning Engine'!F1749</f>
        <v>0</v>
      </c>
      <c r="G1033" s="95">
        <f>'Planning Engine'!G1749</f>
        <v>0</v>
      </c>
      <c r="H1033" s="99">
        <f t="shared" si="32"/>
        <v>0</v>
      </c>
      <c r="I1033" s="95">
        <f>'Planning Engine'!H1749</f>
        <v>89.81</v>
      </c>
      <c r="J1033" s="96">
        <f ca="1">'Planning Engine'!J1749</f>
        <v>999</v>
      </c>
      <c r="K1033" s="95">
        <f ca="1">'Planning Engine'!K1749</f>
        <v>0</v>
      </c>
      <c r="L1033" s="12" t="str">
        <f ca="1">'Planning Engine'!L1749</f>
        <v>Overstock</v>
      </c>
      <c r="M1033" s="93">
        <f>'Planning Engine'!S1749</f>
        <v>50010</v>
      </c>
      <c r="N1033" s="95">
        <f>'Planning Engine'!T1749</f>
        <v>0</v>
      </c>
      <c r="O1033" s="98" t="s">
        <v>2781</v>
      </c>
      <c r="P1033" s="4" t="str">
        <f t="shared" ca="1" si="33"/>
        <v>Defer receipts</v>
      </c>
    </row>
    <row r="1034" spans="1:16" ht="13" customHeight="1" x14ac:dyDescent="0.35">
      <c r="A1034" s="93">
        <v>50161</v>
      </c>
      <c r="B1034" s="61" t="s">
        <v>50</v>
      </c>
      <c r="C1034" s="12" t="str">
        <f>'Planning Engine'!C1750</f>
        <v>Raw Material</v>
      </c>
      <c r="D1034" s="12" t="str">
        <f>'Planning Engine'!D1750</f>
        <v>kg</v>
      </c>
      <c r="E1034" s="95">
        <f>'Planning Engine'!E1750</f>
        <v>89.81</v>
      </c>
      <c r="F1034" s="95">
        <f>'Planning Engine'!F1750</f>
        <v>0</v>
      </c>
      <c r="G1034" s="95">
        <f>'Planning Engine'!G1750</f>
        <v>0</v>
      </c>
      <c r="H1034" s="95">
        <f t="shared" si="32"/>
        <v>0</v>
      </c>
      <c r="I1034" s="95">
        <f>'Planning Engine'!H1750</f>
        <v>89.81</v>
      </c>
      <c r="J1034" s="96">
        <f ca="1">'Planning Engine'!J1750</f>
        <v>999</v>
      </c>
      <c r="K1034" s="95">
        <f ca="1">'Planning Engine'!K1750</f>
        <v>0</v>
      </c>
      <c r="L1034" s="12" t="str">
        <f ca="1">'Planning Engine'!L1750</f>
        <v>Overstock</v>
      </c>
      <c r="M1034" s="93">
        <f>'Planning Engine'!S1750</f>
        <v>50041</v>
      </c>
      <c r="N1034" s="95">
        <f>'Planning Engine'!T1750</f>
        <v>0</v>
      </c>
      <c r="O1034" s="94" t="s">
        <v>2782</v>
      </c>
      <c r="P1034" s="12" t="str">
        <f t="shared" ca="1" si="33"/>
        <v>Defer receipts</v>
      </c>
    </row>
    <row r="1035" spans="1:16" ht="13" customHeight="1" x14ac:dyDescent="0.35">
      <c r="A1035" s="97">
        <v>50192</v>
      </c>
      <c r="B1035" s="53" t="s">
        <v>50</v>
      </c>
      <c r="C1035" s="12" t="str">
        <f>'Planning Engine'!C1751</f>
        <v>Raw Material</v>
      </c>
      <c r="D1035" s="12" t="str">
        <f>'Planning Engine'!D1751</f>
        <v>kg</v>
      </c>
      <c r="E1035" s="95">
        <f>'Planning Engine'!E1751</f>
        <v>89.81</v>
      </c>
      <c r="F1035" s="95">
        <f>'Planning Engine'!F1751</f>
        <v>0</v>
      </c>
      <c r="G1035" s="95">
        <f>'Planning Engine'!G1751</f>
        <v>0</v>
      </c>
      <c r="H1035" s="99">
        <f t="shared" si="32"/>
        <v>0</v>
      </c>
      <c r="I1035" s="95">
        <f>'Planning Engine'!H1751</f>
        <v>89.81</v>
      </c>
      <c r="J1035" s="96">
        <f ca="1">'Planning Engine'!J1751</f>
        <v>999</v>
      </c>
      <c r="K1035" s="95">
        <f ca="1">'Planning Engine'!K1751</f>
        <v>0</v>
      </c>
      <c r="L1035" s="12" t="str">
        <f ca="1">'Planning Engine'!L1751</f>
        <v>Overstock</v>
      </c>
      <c r="M1035" s="93">
        <f>'Planning Engine'!S1751</f>
        <v>50072</v>
      </c>
      <c r="N1035" s="95">
        <f>'Planning Engine'!T1751</f>
        <v>0</v>
      </c>
      <c r="O1035" s="98" t="s">
        <v>2783</v>
      </c>
      <c r="P1035" s="4" t="str">
        <f t="shared" ca="1" si="33"/>
        <v>Defer receipts</v>
      </c>
    </row>
    <row r="1036" spans="1:16" ht="13" customHeight="1" x14ac:dyDescent="0.35">
      <c r="A1036" s="93">
        <v>50222</v>
      </c>
      <c r="B1036" s="61" t="s">
        <v>50</v>
      </c>
      <c r="C1036" s="12" t="str">
        <f>'Planning Engine'!C1752</f>
        <v>Raw Material</v>
      </c>
      <c r="D1036" s="12" t="str">
        <f>'Planning Engine'!D1752</f>
        <v>kg</v>
      </c>
      <c r="E1036" s="95">
        <f>'Planning Engine'!E1752</f>
        <v>89.81</v>
      </c>
      <c r="F1036" s="95">
        <f>'Planning Engine'!F1752</f>
        <v>0</v>
      </c>
      <c r="G1036" s="95">
        <f>'Planning Engine'!G1752</f>
        <v>0</v>
      </c>
      <c r="H1036" s="95">
        <f t="shared" si="32"/>
        <v>0</v>
      </c>
      <c r="I1036" s="95">
        <f>'Planning Engine'!H1752</f>
        <v>89.81</v>
      </c>
      <c r="J1036" s="96">
        <f ca="1">'Planning Engine'!J1752</f>
        <v>999</v>
      </c>
      <c r="K1036" s="95">
        <f ca="1">'Planning Engine'!K1752</f>
        <v>0</v>
      </c>
      <c r="L1036" s="12" t="str">
        <f ca="1">'Planning Engine'!L1752</f>
        <v>Overstock</v>
      </c>
      <c r="M1036" s="93">
        <f>'Planning Engine'!S1752</f>
        <v>50100</v>
      </c>
      <c r="N1036" s="95">
        <f>'Planning Engine'!T1752</f>
        <v>0</v>
      </c>
      <c r="O1036" s="94" t="s">
        <v>2784</v>
      </c>
      <c r="P1036" s="12" t="str">
        <f t="shared" ca="1" si="33"/>
        <v>Defer receipts</v>
      </c>
    </row>
    <row r="1037" spans="1:16" ht="13" customHeight="1" x14ac:dyDescent="0.35">
      <c r="A1037" s="97">
        <v>50253</v>
      </c>
      <c r="B1037" s="53" t="s">
        <v>50</v>
      </c>
      <c r="C1037" s="12" t="str">
        <f>'Planning Engine'!C1753</f>
        <v>Raw Material</v>
      </c>
      <c r="D1037" s="12" t="str">
        <f>'Planning Engine'!D1753</f>
        <v>kg</v>
      </c>
      <c r="E1037" s="95">
        <f>'Planning Engine'!E1753</f>
        <v>89.81</v>
      </c>
      <c r="F1037" s="95">
        <f>'Planning Engine'!F1753</f>
        <v>0</v>
      </c>
      <c r="G1037" s="95">
        <f>'Planning Engine'!G1753</f>
        <v>0</v>
      </c>
      <c r="H1037" s="99">
        <f t="shared" si="32"/>
        <v>0</v>
      </c>
      <c r="I1037" s="95">
        <f>'Planning Engine'!H1753</f>
        <v>89.81</v>
      </c>
      <c r="J1037" s="96">
        <f ca="1">'Planning Engine'!J1753</f>
        <v>999</v>
      </c>
      <c r="K1037" s="95">
        <f ca="1">'Planning Engine'!K1753</f>
        <v>0</v>
      </c>
      <c r="L1037" s="12" t="str">
        <f ca="1">'Planning Engine'!L1753</f>
        <v>Overstock</v>
      </c>
      <c r="M1037" s="93">
        <f>'Planning Engine'!S1753</f>
        <v>50131</v>
      </c>
      <c r="N1037" s="95">
        <f>'Planning Engine'!T1753</f>
        <v>0</v>
      </c>
      <c r="O1037" s="98" t="s">
        <v>2785</v>
      </c>
      <c r="P1037" s="4" t="str">
        <f t="shared" ca="1" si="33"/>
        <v>Defer receipts</v>
      </c>
    </row>
    <row r="1038" spans="1:16" ht="13" customHeight="1" x14ac:dyDescent="0.35">
      <c r="A1038" s="93">
        <v>50284</v>
      </c>
      <c r="B1038" s="61" t="s">
        <v>50</v>
      </c>
      <c r="C1038" s="12" t="str">
        <f>'Planning Engine'!C1754</f>
        <v>Raw Material</v>
      </c>
      <c r="D1038" s="12" t="str">
        <f>'Planning Engine'!D1754</f>
        <v>kg</v>
      </c>
      <c r="E1038" s="95">
        <f>'Planning Engine'!E1754</f>
        <v>89.81</v>
      </c>
      <c r="F1038" s="95">
        <f>'Planning Engine'!F1754</f>
        <v>0</v>
      </c>
      <c r="G1038" s="95">
        <f>'Planning Engine'!G1754</f>
        <v>0</v>
      </c>
      <c r="H1038" s="95">
        <f t="shared" si="32"/>
        <v>0</v>
      </c>
      <c r="I1038" s="95">
        <f>'Planning Engine'!H1754</f>
        <v>89.81</v>
      </c>
      <c r="J1038" s="96">
        <f ca="1">'Planning Engine'!J1754</f>
        <v>999</v>
      </c>
      <c r="K1038" s="95">
        <f ca="1">'Planning Engine'!K1754</f>
        <v>0</v>
      </c>
      <c r="L1038" s="12" t="str">
        <f ca="1">'Planning Engine'!L1754</f>
        <v>Overstock</v>
      </c>
      <c r="M1038" s="93">
        <f>'Planning Engine'!S1754</f>
        <v>50161</v>
      </c>
      <c r="N1038" s="95">
        <f>'Planning Engine'!T1754</f>
        <v>0</v>
      </c>
      <c r="O1038" s="94" t="s">
        <v>2786</v>
      </c>
      <c r="P1038" s="12" t="str">
        <f t="shared" ca="1" si="33"/>
        <v>Defer receipts</v>
      </c>
    </row>
    <row r="1039" spans="1:16" ht="13" customHeight="1" x14ac:dyDescent="0.35">
      <c r="A1039" s="97">
        <v>50314</v>
      </c>
      <c r="B1039" s="53" t="s">
        <v>50</v>
      </c>
      <c r="C1039" s="12" t="str">
        <f>'Planning Engine'!C1755</f>
        <v>Raw Material</v>
      </c>
      <c r="D1039" s="12" t="str">
        <f>'Planning Engine'!D1755</f>
        <v>kg</v>
      </c>
      <c r="E1039" s="95">
        <f>'Planning Engine'!E1755</f>
        <v>89.81</v>
      </c>
      <c r="F1039" s="95">
        <f>'Planning Engine'!F1755</f>
        <v>0</v>
      </c>
      <c r="G1039" s="95">
        <f>'Planning Engine'!G1755</f>
        <v>0</v>
      </c>
      <c r="H1039" s="99">
        <f t="shared" si="32"/>
        <v>0</v>
      </c>
      <c r="I1039" s="95">
        <f>'Planning Engine'!H1755</f>
        <v>89.81</v>
      </c>
      <c r="J1039" s="96">
        <f ca="1">'Planning Engine'!J1755</f>
        <v>999</v>
      </c>
      <c r="K1039" s="95">
        <f ca="1">'Planning Engine'!K1755</f>
        <v>0</v>
      </c>
      <c r="L1039" s="12" t="str">
        <f ca="1">'Planning Engine'!L1755</f>
        <v>Overstock</v>
      </c>
      <c r="M1039" s="93">
        <f>'Planning Engine'!S1755</f>
        <v>50192</v>
      </c>
      <c r="N1039" s="95">
        <f>'Planning Engine'!T1755</f>
        <v>0</v>
      </c>
      <c r="O1039" s="98" t="s">
        <v>2787</v>
      </c>
      <c r="P1039" s="4" t="str">
        <f t="shared" ca="1" si="33"/>
        <v>Defer receipts</v>
      </c>
    </row>
    <row r="1040" spans="1:16" ht="13" customHeight="1" x14ac:dyDescent="0.35">
      <c r="A1040" s="93">
        <v>50345</v>
      </c>
      <c r="B1040" s="61" t="s">
        <v>50</v>
      </c>
      <c r="C1040" s="12" t="str">
        <f>'Planning Engine'!C1756</f>
        <v>Raw Material</v>
      </c>
      <c r="D1040" s="12" t="str">
        <f>'Planning Engine'!D1756</f>
        <v>kg</v>
      </c>
      <c r="E1040" s="95">
        <f>'Planning Engine'!E1756</f>
        <v>89.81</v>
      </c>
      <c r="F1040" s="95">
        <f>'Planning Engine'!F1756</f>
        <v>0</v>
      </c>
      <c r="G1040" s="95">
        <f>'Planning Engine'!G1756</f>
        <v>0</v>
      </c>
      <c r="H1040" s="95">
        <f t="shared" si="32"/>
        <v>0</v>
      </c>
      <c r="I1040" s="95">
        <f>'Planning Engine'!H1756</f>
        <v>89.81</v>
      </c>
      <c r="J1040" s="96">
        <f ca="1">'Planning Engine'!J1756</f>
        <v>999</v>
      </c>
      <c r="K1040" s="95">
        <f ca="1">'Planning Engine'!K1756</f>
        <v>0</v>
      </c>
      <c r="L1040" s="12" t="str">
        <f ca="1">'Planning Engine'!L1756</f>
        <v>Overstock</v>
      </c>
      <c r="M1040" s="93">
        <f>'Planning Engine'!S1756</f>
        <v>50222</v>
      </c>
      <c r="N1040" s="95">
        <f>'Planning Engine'!T1756</f>
        <v>0</v>
      </c>
      <c r="O1040" s="94" t="s">
        <v>2788</v>
      </c>
      <c r="P1040" s="12" t="str">
        <f t="shared" ca="1" si="33"/>
        <v>Defer receipts</v>
      </c>
    </row>
    <row r="1041" spans="1:16" ht="13" customHeight="1" x14ac:dyDescent="0.35">
      <c r="A1041" s="97">
        <v>50375</v>
      </c>
      <c r="B1041" s="53" t="s">
        <v>50</v>
      </c>
      <c r="C1041" s="12" t="str">
        <f>'Planning Engine'!C1757</f>
        <v>Raw Material</v>
      </c>
      <c r="D1041" s="12" t="str">
        <f>'Planning Engine'!D1757</f>
        <v>kg</v>
      </c>
      <c r="E1041" s="95">
        <f>'Planning Engine'!E1757</f>
        <v>89.81</v>
      </c>
      <c r="F1041" s="95">
        <f>'Planning Engine'!F1757</f>
        <v>0</v>
      </c>
      <c r="G1041" s="95">
        <f>'Planning Engine'!G1757</f>
        <v>0</v>
      </c>
      <c r="H1041" s="99">
        <f t="shared" si="32"/>
        <v>0</v>
      </c>
      <c r="I1041" s="95">
        <f>'Planning Engine'!H1757</f>
        <v>89.81</v>
      </c>
      <c r="J1041" s="96">
        <f ca="1">'Planning Engine'!J1757</f>
        <v>999</v>
      </c>
      <c r="K1041" s="95">
        <f ca="1">'Planning Engine'!K1757</f>
        <v>0</v>
      </c>
      <c r="L1041" s="12" t="str">
        <f ca="1">'Planning Engine'!L1757</f>
        <v>Overstock</v>
      </c>
      <c r="M1041" s="93">
        <f>'Planning Engine'!S1757</f>
        <v>50253</v>
      </c>
      <c r="N1041" s="95">
        <f>'Planning Engine'!T1757</f>
        <v>0</v>
      </c>
      <c r="O1041" s="98" t="s">
        <v>2789</v>
      </c>
      <c r="P1041" s="4" t="str">
        <f t="shared" ca="1" si="33"/>
        <v>Defer receipts</v>
      </c>
    </row>
    <row r="1042" spans="1:16" ht="13" customHeight="1" x14ac:dyDescent="0.35">
      <c r="A1042" s="93">
        <v>50406</v>
      </c>
      <c r="B1042" s="61" t="s">
        <v>50</v>
      </c>
      <c r="C1042" s="12" t="str">
        <f>'Planning Engine'!C1758</f>
        <v>Raw Material</v>
      </c>
      <c r="D1042" s="12" t="str">
        <f>'Planning Engine'!D1758</f>
        <v>kg</v>
      </c>
      <c r="E1042" s="95">
        <f>'Planning Engine'!E1758</f>
        <v>89.81</v>
      </c>
      <c r="F1042" s="95">
        <f>'Planning Engine'!F1758</f>
        <v>0</v>
      </c>
      <c r="G1042" s="95">
        <f>'Planning Engine'!G1758</f>
        <v>0</v>
      </c>
      <c r="H1042" s="95">
        <f t="shared" si="32"/>
        <v>0</v>
      </c>
      <c r="I1042" s="95">
        <f>'Planning Engine'!H1758</f>
        <v>89.81</v>
      </c>
      <c r="J1042" s="96">
        <f ca="1">'Planning Engine'!J1758</f>
        <v>999</v>
      </c>
      <c r="K1042" s="95">
        <f ca="1">'Planning Engine'!K1758</f>
        <v>0</v>
      </c>
      <c r="L1042" s="12" t="str">
        <f ca="1">'Planning Engine'!L1758</f>
        <v>Overstock</v>
      </c>
      <c r="M1042" s="93">
        <f>'Planning Engine'!S1758</f>
        <v>50284</v>
      </c>
      <c r="N1042" s="95">
        <f>'Planning Engine'!T1758</f>
        <v>0</v>
      </c>
      <c r="O1042" s="94" t="s">
        <v>2790</v>
      </c>
      <c r="P1042" s="12" t="str">
        <f t="shared" ca="1" si="33"/>
        <v>Defer receipts</v>
      </c>
    </row>
    <row r="1043" spans="1:16" ht="13" customHeight="1" x14ac:dyDescent="0.35">
      <c r="A1043" s="97">
        <v>50437</v>
      </c>
      <c r="B1043" s="53" t="s">
        <v>50</v>
      </c>
      <c r="C1043" s="12" t="str">
        <f>'Planning Engine'!C1759</f>
        <v>Raw Material</v>
      </c>
      <c r="D1043" s="12" t="str">
        <f>'Planning Engine'!D1759</f>
        <v>kg</v>
      </c>
      <c r="E1043" s="95">
        <f>'Planning Engine'!E1759</f>
        <v>89.81</v>
      </c>
      <c r="F1043" s="95">
        <f>'Planning Engine'!F1759</f>
        <v>0</v>
      </c>
      <c r="G1043" s="95">
        <f>'Planning Engine'!G1759</f>
        <v>0</v>
      </c>
      <c r="H1043" s="99">
        <f t="shared" si="32"/>
        <v>0</v>
      </c>
      <c r="I1043" s="95">
        <f>'Planning Engine'!H1759</f>
        <v>89.81</v>
      </c>
      <c r="J1043" s="96">
        <f ca="1">'Planning Engine'!J1759</f>
        <v>999</v>
      </c>
      <c r="K1043" s="95">
        <f ca="1">'Planning Engine'!K1759</f>
        <v>0</v>
      </c>
      <c r="L1043" s="12" t="str">
        <f ca="1">'Planning Engine'!L1759</f>
        <v>Overstock</v>
      </c>
      <c r="M1043" s="93">
        <f>'Planning Engine'!S1759</f>
        <v>50314</v>
      </c>
      <c r="N1043" s="95">
        <f>'Planning Engine'!T1759</f>
        <v>0</v>
      </c>
      <c r="O1043" s="98" t="s">
        <v>2791</v>
      </c>
      <c r="P1043" s="4" t="str">
        <f t="shared" ca="1" si="33"/>
        <v>Defer receipts</v>
      </c>
    </row>
    <row r="1044" spans="1:16" ht="13" customHeight="1" x14ac:dyDescent="0.35">
      <c r="A1044" s="93">
        <v>50465</v>
      </c>
      <c r="B1044" s="61" t="s">
        <v>50</v>
      </c>
      <c r="C1044" s="12" t="str">
        <f>'Planning Engine'!C1760</f>
        <v>Raw Material</v>
      </c>
      <c r="D1044" s="12" t="str">
        <f>'Planning Engine'!D1760</f>
        <v>kg</v>
      </c>
      <c r="E1044" s="95">
        <f>'Planning Engine'!E1760</f>
        <v>89.81</v>
      </c>
      <c r="F1044" s="95">
        <f>'Planning Engine'!F1760</f>
        <v>0</v>
      </c>
      <c r="G1044" s="95">
        <f>'Planning Engine'!G1760</f>
        <v>0</v>
      </c>
      <c r="H1044" s="95">
        <f t="shared" si="32"/>
        <v>0</v>
      </c>
      <c r="I1044" s="95">
        <f>'Planning Engine'!H1760</f>
        <v>89.81</v>
      </c>
      <c r="J1044" s="96">
        <f ca="1">'Planning Engine'!J1760</f>
        <v>999</v>
      </c>
      <c r="K1044" s="95">
        <f ca="1">'Planning Engine'!K1760</f>
        <v>0</v>
      </c>
      <c r="L1044" s="12" t="str">
        <f ca="1">'Planning Engine'!L1760</f>
        <v>Overstock</v>
      </c>
      <c r="M1044" s="93">
        <f>'Planning Engine'!S1760</f>
        <v>50345</v>
      </c>
      <c r="N1044" s="95">
        <f>'Planning Engine'!T1760</f>
        <v>0</v>
      </c>
      <c r="O1044" s="94" t="s">
        <v>2792</v>
      </c>
      <c r="P1044" s="12" t="str">
        <f t="shared" ca="1" si="33"/>
        <v>Defer receipts</v>
      </c>
    </row>
    <row r="1045" spans="1:16" ht="13" customHeight="1" x14ac:dyDescent="0.35">
      <c r="A1045" s="97">
        <v>50496</v>
      </c>
      <c r="B1045" s="53" t="s">
        <v>50</v>
      </c>
      <c r="C1045" s="12" t="str">
        <f>'Planning Engine'!C1761</f>
        <v>Raw Material</v>
      </c>
      <c r="D1045" s="12" t="str">
        <f>'Planning Engine'!D1761</f>
        <v>kg</v>
      </c>
      <c r="E1045" s="95">
        <f>'Planning Engine'!E1761</f>
        <v>89.81</v>
      </c>
      <c r="F1045" s="95">
        <f>'Planning Engine'!F1761</f>
        <v>0</v>
      </c>
      <c r="G1045" s="95">
        <f>'Planning Engine'!G1761</f>
        <v>0</v>
      </c>
      <c r="H1045" s="99">
        <f t="shared" si="32"/>
        <v>0</v>
      </c>
      <c r="I1045" s="95">
        <f>'Planning Engine'!H1761</f>
        <v>89.81</v>
      </c>
      <c r="J1045" s="96">
        <f ca="1">'Planning Engine'!J1761</f>
        <v>999</v>
      </c>
      <c r="K1045" s="95">
        <f ca="1">'Planning Engine'!K1761</f>
        <v>0</v>
      </c>
      <c r="L1045" s="12" t="str">
        <f ca="1">'Planning Engine'!L1761</f>
        <v>Overstock</v>
      </c>
      <c r="M1045" s="93">
        <f>'Planning Engine'!S1761</f>
        <v>50375</v>
      </c>
      <c r="N1045" s="95">
        <f>'Planning Engine'!T1761</f>
        <v>0</v>
      </c>
      <c r="O1045" s="98" t="s">
        <v>2793</v>
      </c>
      <c r="P1045" s="4" t="str">
        <f t="shared" ca="1" si="33"/>
        <v>Defer receipts</v>
      </c>
    </row>
    <row r="1046" spans="1:16" ht="13" customHeight="1" x14ac:dyDescent="0.35">
      <c r="A1046" s="93">
        <v>50526</v>
      </c>
      <c r="B1046" s="61" t="s">
        <v>50</v>
      </c>
      <c r="C1046" s="12" t="str">
        <f>'Planning Engine'!C1762</f>
        <v>Raw Material</v>
      </c>
      <c r="D1046" s="12" t="str">
        <f>'Planning Engine'!D1762</f>
        <v>kg</v>
      </c>
      <c r="E1046" s="95">
        <f>'Planning Engine'!E1762</f>
        <v>89.81</v>
      </c>
      <c r="F1046" s="95">
        <f>'Planning Engine'!F1762</f>
        <v>0</v>
      </c>
      <c r="G1046" s="95">
        <f>'Planning Engine'!G1762</f>
        <v>0</v>
      </c>
      <c r="H1046" s="95">
        <f t="shared" si="32"/>
        <v>0</v>
      </c>
      <c r="I1046" s="95">
        <f>'Planning Engine'!H1762</f>
        <v>89.81</v>
      </c>
      <c r="J1046" s="96">
        <f ca="1">'Planning Engine'!J1762</f>
        <v>999</v>
      </c>
      <c r="K1046" s="95">
        <f ca="1">'Planning Engine'!K1762</f>
        <v>0</v>
      </c>
      <c r="L1046" s="12" t="str">
        <f ca="1">'Planning Engine'!L1762</f>
        <v>Overstock</v>
      </c>
      <c r="M1046" s="93">
        <f>'Planning Engine'!S1762</f>
        <v>50406</v>
      </c>
      <c r="N1046" s="95">
        <f>'Planning Engine'!T1762</f>
        <v>0</v>
      </c>
      <c r="O1046" s="94" t="s">
        <v>2794</v>
      </c>
      <c r="P1046" s="12" t="str">
        <f t="shared" ca="1" si="33"/>
        <v>Defer receipts</v>
      </c>
    </row>
    <row r="1047" spans="1:16" ht="13" customHeight="1" x14ac:dyDescent="0.35">
      <c r="A1047" s="97">
        <v>50557</v>
      </c>
      <c r="B1047" s="53" t="s">
        <v>50</v>
      </c>
      <c r="C1047" s="12" t="str">
        <f>'Planning Engine'!C1763</f>
        <v>Raw Material</v>
      </c>
      <c r="D1047" s="12" t="str">
        <f>'Planning Engine'!D1763</f>
        <v>kg</v>
      </c>
      <c r="E1047" s="95">
        <f>'Planning Engine'!E1763</f>
        <v>89.81</v>
      </c>
      <c r="F1047" s="95">
        <f>'Planning Engine'!F1763</f>
        <v>0</v>
      </c>
      <c r="G1047" s="95">
        <f>'Planning Engine'!G1763</f>
        <v>0</v>
      </c>
      <c r="H1047" s="99">
        <f t="shared" si="32"/>
        <v>0</v>
      </c>
      <c r="I1047" s="95">
        <f>'Planning Engine'!H1763</f>
        <v>89.81</v>
      </c>
      <c r="J1047" s="96">
        <f ca="1">'Planning Engine'!J1763</f>
        <v>999</v>
      </c>
      <c r="K1047" s="95">
        <f ca="1">'Planning Engine'!K1763</f>
        <v>0</v>
      </c>
      <c r="L1047" s="12" t="str">
        <f ca="1">'Planning Engine'!L1763</f>
        <v>Overstock</v>
      </c>
      <c r="M1047" s="93">
        <f>'Planning Engine'!S1763</f>
        <v>50437</v>
      </c>
      <c r="N1047" s="95">
        <f>'Planning Engine'!T1763</f>
        <v>0</v>
      </c>
      <c r="O1047" s="98" t="s">
        <v>2795</v>
      </c>
      <c r="P1047" s="4" t="str">
        <f t="shared" ca="1" si="33"/>
        <v>Defer receipts</v>
      </c>
    </row>
    <row r="1048" spans="1:16" ht="13" customHeight="1" x14ac:dyDescent="0.35">
      <c r="A1048" s="93">
        <v>50587</v>
      </c>
      <c r="B1048" s="61" t="s">
        <v>50</v>
      </c>
      <c r="C1048" s="12" t="str">
        <f>'Planning Engine'!C1764</f>
        <v>Raw Material</v>
      </c>
      <c r="D1048" s="12" t="str">
        <f>'Planning Engine'!D1764</f>
        <v>kg</v>
      </c>
      <c r="E1048" s="95">
        <f>'Planning Engine'!E1764</f>
        <v>89.81</v>
      </c>
      <c r="F1048" s="95">
        <f>'Planning Engine'!F1764</f>
        <v>0</v>
      </c>
      <c r="G1048" s="95">
        <f>'Planning Engine'!G1764</f>
        <v>0</v>
      </c>
      <c r="H1048" s="95">
        <f t="shared" si="32"/>
        <v>0</v>
      </c>
      <c r="I1048" s="95">
        <f>'Planning Engine'!H1764</f>
        <v>89.81</v>
      </c>
      <c r="J1048" s="96">
        <f ca="1">'Planning Engine'!J1764</f>
        <v>999</v>
      </c>
      <c r="K1048" s="95">
        <f ca="1">'Planning Engine'!K1764</f>
        <v>0</v>
      </c>
      <c r="L1048" s="12" t="str">
        <f ca="1">'Planning Engine'!L1764</f>
        <v>Overstock</v>
      </c>
      <c r="M1048" s="93">
        <f>'Planning Engine'!S1764</f>
        <v>50465</v>
      </c>
      <c r="N1048" s="95">
        <f>'Planning Engine'!T1764</f>
        <v>0</v>
      </c>
      <c r="O1048" s="94" t="s">
        <v>2796</v>
      </c>
      <c r="P1048" s="12" t="str">
        <f t="shared" ca="1" si="33"/>
        <v>Defer receipts</v>
      </c>
    </row>
    <row r="1049" spans="1:16" ht="13" customHeight="1" x14ac:dyDescent="0.35">
      <c r="A1049" s="97">
        <v>50618</v>
      </c>
      <c r="B1049" s="53" t="s">
        <v>50</v>
      </c>
      <c r="C1049" s="12" t="str">
        <f>'Planning Engine'!C1765</f>
        <v>Raw Material</v>
      </c>
      <c r="D1049" s="12" t="str">
        <f>'Planning Engine'!D1765</f>
        <v>kg</v>
      </c>
      <c r="E1049" s="95">
        <f>'Planning Engine'!E1765</f>
        <v>89.81</v>
      </c>
      <c r="F1049" s="95">
        <f>'Planning Engine'!F1765</f>
        <v>0</v>
      </c>
      <c r="G1049" s="95">
        <f>'Planning Engine'!G1765</f>
        <v>0</v>
      </c>
      <c r="H1049" s="99">
        <f t="shared" si="32"/>
        <v>0</v>
      </c>
      <c r="I1049" s="95">
        <f>'Planning Engine'!H1765</f>
        <v>89.81</v>
      </c>
      <c r="J1049" s="96">
        <f ca="1">'Planning Engine'!J1765</f>
        <v>999</v>
      </c>
      <c r="K1049" s="95">
        <f ca="1">'Planning Engine'!K1765</f>
        <v>0</v>
      </c>
      <c r="L1049" s="12" t="str">
        <f ca="1">'Planning Engine'!L1765</f>
        <v>Overstock</v>
      </c>
      <c r="M1049" s="93">
        <f>'Planning Engine'!S1765</f>
        <v>50496</v>
      </c>
      <c r="N1049" s="95">
        <f>'Planning Engine'!T1765</f>
        <v>0</v>
      </c>
      <c r="O1049" s="98" t="s">
        <v>2797</v>
      </c>
      <c r="P1049" s="4" t="str">
        <f t="shared" ca="1" si="33"/>
        <v>Defer receipts</v>
      </c>
    </row>
    <row r="1050" spans="1:16" ht="13" customHeight="1" x14ac:dyDescent="0.35">
      <c r="A1050" s="93">
        <v>50649</v>
      </c>
      <c r="B1050" s="61" t="s">
        <v>50</v>
      </c>
      <c r="C1050" s="12" t="str">
        <f>'Planning Engine'!C1766</f>
        <v>Raw Material</v>
      </c>
      <c r="D1050" s="12" t="str">
        <f>'Planning Engine'!D1766</f>
        <v>kg</v>
      </c>
      <c r="E1050" s="95">
        <f>'Planning Engine'!E1766</f>
        <v>89.81</v>
      </c>
      <c r="F1050" s="95">
        <f>'Planning Engine'!F1766</f>
        <v>0</v>
      </c>
      <c r="G1050" s="95">
        <f>'Planning Engine'!G1766</f>
        <v>0</v>
      </c>
      <c r="H1050" s="95">
        <f t="shared" si="32"/>
        <v>0</v>
      </c>
      <c r="I1050" s="95">
        <f>'Planning Engine'!H1766</f>
        <v>89.81</v>
      </c>
      <c r="J1050" s="96">
        <f ca="1">'Planning Engine'!J1766</f>
        <v>999</v>
      </c>
      <c r="K1050" s="95">
        <f ca="1">'Planning Engine'!K1766</f>
        <v>0</v>
      </c>
      <c r="L1050" s="12" t="str">
        <f ca="1">'Planning Engine'!L1766</f>
        <v>Overstock</v>
      </c>
      <c r="M1050" s="93">
        <f>'Planning Engine'!S1766</f>
        <v>50526</v>
      </c>
      <c r="N1050" s="95">
        <f>'Planning Engine'!T1766</f>
        <v>0</v>
      </c>
      <c r="O1050" s="94" t="s">
        <v>2798</v>
      </c>
      <c r="P1050" s="12" t="str">
        <f t="shared" ca="1" si="33"/>
        <v>Defer receipts</v>
      </c>
    </row>
    <row r="1051" spans="1:16" ht="13" customHeight="1" x14ac:dyDescent="0.35">
      <c r="A1051" s="97">
        <v>50679</v>
      </c>
      <c r="B1051" s="53" t="s">
        <v>50</v>
      </c>
      <c r="C1051" s="12" t="str">
        <f>'Planning Engine'!C1767</f>
        <v>Raw Material</v>
      </c>
      <c r="D1051" s="12" t="str">
        <f>'Planning Engine'!D1767</f>
        <v>kg</v>
      </c>
      <c r="E1051" s="95">
        <f>'Planning Engine'!E1767</f>
        <v>89.81</v>
      </c>
      <c r="F1051" s="95">
        <f>'Planning Engine'!F1767</f>
        <v>0</v>
      </c>
      <c r="G1051" s="95">
        <f>'Planning Engine'!G1767</f>
        <v>0</v>
      </c>
      <c r="H1051" s="99">
        <f t="shared" si="32"/>
        <v>0</v>
      </c>
      <c r="I1051" s="95">
        <f>'Planning Engine'!H1767</f>
        <v>89.81</v>
      </c>
      <c r="J1051" s="96">
        <f ca="1">'Planning Engine'!J1767</f>
        <v>999</v>
      </c>
      <c r="K1051" s="95">
        <f ca="1">'Planning Engine'!K1767</f>
        <v>0</v>
      </c>
      <c r="L1051" s="12" t="str">
        <f ca="1">'Planning Engine'!L1767</f>
        <v>Overstock</v>
      </c>
      <c r="M1051" s="93">
        <f>'Planning Engine'!S1767</f>
        <v>50557</v>
      </c>
      <c r="N1051" s="95">
        <f>'Planning Engine'!T1767</f>
        <v>0</v>
      </c>
      <c r="O1051" s="98" t="s">
        <v>2799</v>
      </c>
      <c r="P1051" s="4" t="str">
        <f t="shared" ca="1" si="33"/>
        <v>Defer receipts</v>
      </c>
    </row>
    <row r="1052" spans="1:16" ht="13" customHeight="1" x14ac:dyDescent="0.35">
      <c r="A1052" s="93">
        <v>50710</v>
      </c>
      <c r="B1052" s="61" t="s">
        <v>50</v>
      </c>
      <c r="C1052" s="12" t="str">
        <f>'Planning Engine'!C1768</f>
        <v>Raw Material</v>
      </c>
      <c r="D1052" s="12" t="str">
        <f>'Planning Engine'!D1768</f>
        <v>kg</v>
      </c>
      <c r="E1052" s="95">
        <f>'Planning Engine'!E1768</f>
        <v>89.81</v>
      </c>
      <c r="F1052" s="95">
        <f>'Planning Engine'!F1768</f>
        <v>0</v>
      </c>
      <c r="G1052" s="95">
        <f>'Planning Engine'!G1768</f>
        <v>0</v>
      </c>
      <c r="H1052" s="95">
        <f t="shared" si="32"/>
        <v>0</v>
      </c>
      <c r="I1052" s="95">
        <f>'Planning Engine'!H1768</f>
        <v>89.81</v>
      </c>
      <c r="J1052" s="96">
        <f ca="1">'Planning Engine'!J1768</f>
        <v>999</v>
      </c>
      <c r="K1052" s="95">
        <f ca="1">'Planning Engine'!K1768</f>
        <v>0</v>
      </c>
      <c r="L1052" s="12" t="str">
        <f ca="1">'Planning Engine'!L1768</f>
        <v>Overstock</v>
      </c>
      <c r="M1052" s="93">
        <f>'Planning Engine'!S1768</f>
        <v>50587</v>
      </c>
      <c r="N1052" s="95">
        <f>'Planning Engine'!T1768</f>
        <v>0</v>
      </c>
      <c r="O1052" s="94" t="s">
        <v>2800</v>
      </c>
      <c r="P1052" s="12" t="str">
        <f t="shared" ca="1" si="33"/>
        <v>Defer receipts</v>
      </c>
    </row>
    <row r="1053" spans="1:16" ht="13" customHeight="1" x14ac:dyDescent="0.35">
      <c r="A1053" s="97">
        <v>50740</v>
      </c>
      <c r="B1053" s="53" t="s">
        <v>50</v>
      </c>
      <c r="C1053" s="12" t="str">
        <f>'Planning Engine'!C1769</f>
        <v>Raw Material</v>
      </c>
      <c r="D1053" s="12" t="str">
        <f>'Planning Engine'!D1769</f>
        <v>kg</v>
      </c>
      <c r="E1053" s="95">
        <f>'Planning Engine'!E1769</f>
        <v>89.81</v>
      </c>
      <c r="F1053" s="95">
        <f>'Planning Engine'!F1769</f>
        <v>0</v>
      </c>
      <c r="G1053" s="95">
        <f>'Planning Engine'!G1769</f>
        <v>0</v>
      </c>
      <c r="H1053" s="99">
        <f t="shared" si="32"/>
        <v>0</v>
      </c>
      <c r="I1053" s="95">
        <f>'Planning Engine'!H1769</f>
        <v>89.81</v>
      </c>
      <c r="J1053" s="96">
        <f ca="1">'Planning Engine'!J1769</f>
        <v>999</v>
      </c>
      <c r="K1053" s="95">
        <f ca="1">'Planning Engine'!K1769</f>
        <v>0</v>
      </c>
      <c r="L1053" s="12" t="str">
        <f ca="1">'Planning Engine'!L1769</f>
        <v>Overstock</v>
      </c>
      <c r="M1053" s="93">
        <f>'Planning Engine'!S1769</f>
        <v>50618</v>
      </c>
      <c r="N1053" s="95">
        <f>'Planning Engine'!T1769</f>
        <v>0</v>
      </c>
      <c r="O1053" s="98" t="s">
        <v>2801</v>
      </c>
      <c r="P1053" s="4" t="str">
        <f t="shared" ca="1" si="33"/>
        <v>Defer receipts</v>
      </c>
    </row>
    <row r="1054" spans="1:16" ht="13" customHeight="1" x14ac:dyDescent="0.35">
      <c r="A1054" s="93">
        <v>50771</v>
      </c>
      <c r="B1054" s="61" t="s">
        <v>50</v>
      </c>
      <c r="C1054" s="12" t="str">
        <f>'Planning Engine'!C1770</f>
        <v>Raw Material</v>
      </c>
      <c r="D1054" s="12" t="str">
        <f>'Planning Engine'!D1770</f>
        <v>kg</v>
      </c>
      <c r="E1054" s="95">
        <f>'Planning Engine'!E1770</f>
        <v>89.81</v>
      </c>
      <c r="F1054" s="95">
        <f>'Planning Engine'!F1770</f>
        <v>0</v>
      </c>
      <c r="G1054" s="95">
        <f>'Planning Engine'!G1770</f>
        <v>0</v>
      </c>
      <c r="H1054" s="95">
        <f t="shared" si="32"/>
        <v>0</v>
      </c>
      <c r="I1054" s="95">
        <f>'Planning Engine'!H1770</f>
        <v>89.81</v>
      </c>
      <c r="J1054" s="96">
        <f ca="1">'Planning Engine'!J1770</f>
        <v>999</v>
      </c>
      <c r="K1054" s="95">
        <f ca="1">'Planning Engine'!K1770</f>
        <v>0</v>
      </c>
      <c r="L1054" s="12" t="str">
        <f ca="1">'Planning Engine'!L1770</f>
        <v>Overstock</v>
      </c>
      <c r="M1054" s="93">
        <f>'Planning Engine'!S1770</f>
        <v>50649</v>
      </c>
      <c r="N1054" s="95">
        <f>'Planning Engine'!T1770</f>
        <v>0</v>
      </c>
      <c r="O1054" s="94" t="s">
        <v>2802</v>
      </c>
      <c r="P1054" s="12" t="str">
        <f t="shared" ca="1" si="33"/>
        <v>Defer receipts</v>
      </c>
    </row>
    <row r="1055" spans="1:16" ht="13" customHeight="1" x14ac:dyDescent="0.35">
      <c r="A1055" s="97">
        <v>50802</v>
      </c>
      <c r="B1055" s="53" t="s">
        <v>50</v>
      </c>
      <c r="C1055" s="12" t="str">
        <f>'Planning Engine'!C1771</f>
        <v>Raw Material</v>
      </c>
      <c r="D1055" s="12" t="str">
        <f>'Planning Engine'!D1771</f>
        <v>kg</v>
      </c>
      <c r="E1055" s="95">
        <f>'Planning Engine'!E1771</f>
        <v>89.81</v>
      </c>
      <c r="F1055" s="95">
        <f>'Planning Engine'!F1771</f>
        <v>0</v>
      </c>
      <c r="G1055" s="95">
        <f>'Planning Engine'!G1771</f>
        <v>0</v>
      </c>
      <c r="H1055" s="99">
        <f t="shared" si="32"/>
        <v>0</v>
      </c>
      <c r="I1055" s="95">
        <f>'Planning Engine'!H1771</f>
        <v>89.81</v>
      </c>
      <c r="J1055" s="96">
        <f ca="1">'Planning Engine'!J1771</f>
        <v>999</v>
      </c>
      <c r="K1055" s="95">
        <f ca="1">'Planning Engine'!K1771</f>
        <v>0</v>
      </c>
      <c r="L1055" s="12" t="str">
        <f ca="1">'Planning Engine'!L1771</f>
        <v>Overstock</v>
      </c>
      <c r="M1055" s="93">
        <f>'Planning Engine'!S1771</f>
        <v>50679</v>
      </c>
      <c r="N1055" s="95">
        <f>'Planning Engine'!T1771</f>
        <v>0</v>
      </c>
      <c r="O1055" s="98" t="s">
        <v>2803</v>
      </c>
      <c r="P1055" s="4" t="str">
        <f t="shared" ca="1" si="33"/>
        <v>Defer receipts</v>
      </c>
    </row>
    <row r="1056" spans="1:16" ht="13" customHeight="1" x14ac:dyDescent="0.35">
      <c r="A1056" s="93">
        <v>50830</v>
      </c>
      <c r="B1056" s="61" t="s">
        <v>50</v>
      </c>
      <c r="C1056" s="12" t="str">
        <f>'Planning Engine'!C1772</f>
        <v>Raw Material</v>
      </c>
      <c r="D1056" s="12" t="str">
        <f>'Planning Engine'!D1772</f>
        <v>kg</v>
      </c>
      <c r="E1056" s="95">
        <f>'Planning Engine'!E1772</f>
        <v>89.81</v>
      </c>
      <c r="F1056" s="95">
        <f>'Planning Engine'!F1772</f>
        <v>0</v>
      </c>
      <c r="G1056" s="95">
        <f>'Planning Engine'!G1772</f>
        <v>0</v>
      </c>
      <c r="H1056" s="95">
        <f t="shared" si="32"/>
        <v>0</v>
      </c>
      <c r="I1056" s="95">
        <f>'Planning Engine'!H1772</f>
        <v>89.81</v>
      </c>
      <c r="J1056" s="96">
        <f ca="1">'Planning Engine'!J1772</f>
        <v>999</v>
      </c>
      <c r="K1056" s="95">
        <f ca="1">'Planning Engine'!K1772</f>
        <v>0</v>
      </c>
      <c r="L1056" s="12" t="str">
        <f ca="1">'Planning Engine'!L1772</f>
        <v>Overstock</v>
      </c>
      <c r="M1056" s="93">
        <f>'Planning Engine'!S1772</f>
        <v>50710</v>
      </c>
      <c r="N1056" s="95">
        <f>'Planning Engine'!T1772</f>
        <v>0</v>
      </c>
      <c r="O1056" s="94" t="s">
        <v>2804</v>
      </c>
      <c r="P1056" s="12" t="str">
        <f t="shared" ca="1" si="33"/>
        <v>Defer receipts</v>
      </c>
    </row>
    <row r="1057" spans="1:16" ht="13" customHeight="1" x14ac:dyDescent="0.35">
      <c r="A1057" s="97">
        <v>50861</v>
      </c>
      <c r="B1057" s="53" t="s">
        <v>50</v>
      </c>
      <c r="C1057" s="12" t="str">
        <f>'Planning Engine'!C1773</f>
        <v>Raw Material</v>
      </c>
      <c r="D1057" s="12" t="str">
        <f>'Planning Engine'!D1773</f>
        <v>kg</v>
      </c>
      <c r="E1057" s="95">
        <f>'Planning Engine'!E1773</f>
        <v>89.81</v>
      </c>
      <c r="F1057" s="95">
        <f>'Planning Engine'!F1773</f>
        <v>0</v>
      </c>
      <c r="G1057" s="95">
        <f>'Planning Engine'!G1773</f>
        <v>0</v>
      </c>
      <c r="H1057" s="99">
        <f t="shared" si="32"/>
        <v>0</v>
      </c>
      <c r="I1057" s="95">
        <f>'Planning Engine'!H1773</f>
        <v>89.81</v>
      </c>
      <c r="J1057" s="96">
        <f ca="1">'Planning Engine'!J1773</f>
        <v>999</v>
      </c>
      <c r="K1057" s="95">
        <f ca="1">'Planning Engine'!K1773</f>
        <v>0</v>
      </c>
      <c r="L1057" s="12" t="str">
        <f ca="1">'Planning Engine'!L1773</f>
        <v>Overstock</v>
      </c>
      <c r="M1057" s="93">
        <f>'Planning Engine'!S1773</f>
        <v>50740</v>
      </c>
      <c r="N1057" s="95">
        <f>'Planning Engine'!T1773</f>
        <v>0</v>
      </c>
      <c r="O1057" s="98" t="s">
        <v>2805</v>
      </c>
      <c r="P1057" s="4" t="str">
        <f t="shared" ca="1" si="33"/>
        <v>Defer receipts</v>
      </c>
    </row>
    <row r="1058" spans="1:16" ht="13" customHeight="1" x14ac:dyDescent="0.35">
      <c r="A1058" s="93">
        <v>50891</v>
      </c>
      <c r="B1058" s="61" t="s">
        <v>50</v>
      </c>
      <c r="C1058" s="12" t="str">
        <f>'Planning Engine'!C1774</f>
        <v>Raw Material</v>
      </c>
      <c r="D1058" s="12" t="str">
        <f>'Planning Engine'!D1774</f>
        <v>kg</v>
      </c>
      <c r="E1058" s="95">
        <f>'Planning Engine'!E1774</f>
        <v>89.81</v>
      </c>
      <c r="F1058" s="95">
        <f>'Planning Engine'!F1774</f>
        <v>0</v>
      </c>
      <c r="G1058" s="95">
        <f>'Planning Engine'!G1774</f>
        <v>0</v>
      </c>
      <c r="H1058" s="95">
        <f t="shared" si="32"/>
        <v>0</v>
      </c>
      <c r="I1058" s="95">
        <f>'Planning Engine'!H1774</f>
        <v>89.81</v>
      </c>
      <c r="J1058" s="96">
        <f ca="1">'Planning Engine'!J1774</f>
        <v>999</v>
      </c>
      <c r="K1058" s="95">
        <f ca="1">'Planning Engine'!K1774</f>
        <v>0</v>
      </c>
      <c r="L1058" s="12" t="str">
        <f ca="1">'Planning Engine'!L1774</f>
        <v>Overstock</v>
      </c>
      <c r="M1058" s="93">
        <f>'Planning Engine'!S1774</f>
        <v>50771</v>
      </c>
      <c r="N1058" s="95">
        <f>'Planning Engine'!T1774</f>
        <v>0</v>
      </c>
      <c r="O1058" s="94" t="s">
        <v>2806</v>
      </c>
      <c r="P1058" s="12" t="str">
        <f t="shared" ca="1" si="33"/>
        <v>Defer receipts</v>
      </c>
    </row>
    <row r="1059" spans="1:16" ht="13" customHeight="1" x14ac:dyDescent="0.35">
      <c r="A1059" s="97">
        <v>50922</v>
      </c>
      <c r="B1059" s="53" t="s">
        <v>50</v>
      </c>
      <c r="C1059" s="12" t="str">
        <f>'Planning Engine'!C1775</f>
        <v>Raw Material</v>
      </c>
      <c r="D1059" s="12" t="str">
        <f>'Planning Engine'!D1775</f>
        <v>kg</v>
      </c>
      <c r="E1059" s="95">
        <f>'Planning Engine'!E1775</f>
        <v>89.81</v>
      </c>
      <c r="F1059" s="95">
        <f>'Planning Engine'!F1775</f>
        <v>0</v>
      </c>
      <c r="G1059" s="95">
        <f>'Planning Engine'!G1775</f>
        <v>0</v>
      </c>
      <c r="H1059" s="99">
        <f t="shared" si="32"/>
        <v>0</v>
      </c>
      <c r="I1059" s="95">
        <f>'Planning Engine'!H1775</f>
        <v>89.81</v>
      </c>
      <c r="J1059" s="96">
        <f ca="1">'Planning Engine'!J1775</f>
        <v>999</v>
      </c>
      <c r="K1059" s="95">
        <f ca="1">'Planning Engine'!K1775</f>
        <v>0</v>
      </c>
      <c r="L1059" s="12" t="str">
        <f ca="1">'Planning Engine'!L1775</f>
        <v>Overstock</v>
      </c>
      <c r="M1059" s="93">
        <f>'Planning Engine'!S1775</f>
        <v>50802</v>
      </c>
      <c r="N1059" s="95">
        <f>'Planning Engine'!T1775</f>
        <v>0</v>
      </c>
      <c r="O1059" s="98" t="s">
        <v>2807</v>
      </c>
      <c r="P1059" s="4" t="str">
        <f t="shared" ca="1" si="33"/>
        <v>Defer receipts</v>
      </c>
    </row>
    <row r="1060" spans="1:16" ht="13" customHeight="1" x14ac:dyDescent="0.35">
      <c r="A1060" s="93">
        <v>50952</v>
      </c>
      <c r="B1060" s="61" t="s">
        <v>50</v>
      </c>
      <c r="C1060" s="12" t="str">
        <f>'Planning Engine'!C1776</f>
        <v>Raw Material</v>
      </c>
      <c r="D1060" s="12" t="str">
        <f>'Planning Engine'!D1776</f>
        <v>kg</v>
      </c>
      <c r="E1060" s="95">
        <f>'Planning Engine'!E1776</f>
        <v>89.81</v>
      </c>
      <c r="F1060" s="95">
        <f>'Planning Engine'!F1776</f>
        <v>0</v>
      </c>
      <c r="G1060" s="95">
        <f>'Planning Engine'!G1776</f>
        <v>0</v>
      </c>
      <c r="H1060" s="95">
        <f t="shared" si="32"/>
        <v>0</v>
      </c>
      <c r="I1060" s="95">
        <f>'Planning Engine'!H1776</f>
        <v>89.81</v>
      </c>
      <c r="J1060" s="96">
        <f ca="1">'Planning Engine'!J1776</f>
        <v>999</v>
      </c>
      <c r="K1060" s="95">
        <f ca="1">'Planning Engine'!K1776</f>
        <v>0</v>
      </c>
      <c r="L1060" s="12" t="str">
        <f ca="1">'Planning Engine'!L1776</f>
        <v>Overstock</v>
      </c>
      <c r="M1060" s="93">
        <f>'Planning Engine'!S1776</f>
        <v>50830</v>
      </c>
      <c r="N1060" s="95">
        <f>'Planning Engine'!T1776</f>
        <v>0</v>
      </c>
      <c r="O1060" s="94" t="s">
        <v>2808</v>
      </c>
      <c r="P1060" s="12" t="str">
        <f t="shared" ca="1" si="33"/>
        <v>Defer receipts</v>
      </c>
    </row>
    <row r="1061" spans="1:16" ht="13" customHeight="1" x14ac:dyDescent="0.35">
      <c r="A1061" s="97">
        <v>50983</v>
      </c>
      <c r="B1061" s="53" t="s">
        <v>50</v>
      </c>
      <c r="C1061" s="12" t="str">
        <f>'Planning Engine'!C1777</f>
        <v>Raw Material</v>
      </c>
      <c r="D1061" s="12" t="str">
        <f>'Planning Engine'!D1777</f>
        <v>kg</v>
      </c>
      <c r="E1061" s="95">
        <f>'Planning Engine'!E1777</f>
        <v>89.81</v>
      </c>
      <c r="F1061" s="95">
        <f>'Planning Engine'!F1777</f>
        <v>0</v>
      </c>
      <c r="G1061" s="95">
        <f>'Planning Engine'!G1777</f>
        <v>0</v>
      </c>
      <c r="H1061" s="99">
        <f t="shared" si="32"/>
        <v>0</v>
      </c>
      <c r="I1061" s="95">
        <f>'Planning Engine'!H1777</f>
        <v>89.81</v>
      </c>
      <c r="J1061" s="96">
        <f ca="1">'Planning Engine'!J1777</f>
        <v>999</v>
      </c>
      <c r="K1061" s="95">
        <f ca="1">'Planning Engine'!K1777</f>
        <v>0</v>
      </c>
      <c r="L1061" s="12" t="str">
        <f ca="1">'Planning Engine'!L1777</f>
        <v>Overstock</v>
      </c>
      <c r="M1061" s="93">
        <f>'Planning Engine'!S1777</f>
        <v>50861</v>
      </c>
      <c r="N1061" s="95">
        <f>'Planning Engine'!T1777</f>
        <v>0</v>
      </c>
      <c r="O1061" s="98" t="s">
        <v>2809</v>
      </c>
      <c r="P1061" s="4" t="str">
        <f t="shared" ca="1" si="33"/>
        <v>Defer receipts</v>
      </c>
    </row>
    <row r="1062" spans="1:16" ht="13" customHeight="1" x14ac:dyDescent="0.35">
      <c r="A1062" s="93">
        <v>51014</v>
      </c>
      <c r="B1062" s="61" t="s">
        <v>50</v>
      </c>
      <c r="C1062" s="12" t="str">
        <f>'Planning Engine'!C1778</f>
        <v>Raw Material</v>
      </c>
      <c r="D1062" s="12" t="str">
        <f>'Planning Engine'!D1778</f>
        <v>kg</v>
      </c>
      <c r="E1062" s="95">
        <f>'Planning Engine'!E1778</f>
        <v>89.81</v>
      </c>
      <c r="F1062" s="95">
        <f>'Planning Engine'!F1778</f>
        <v>0</v>
      </c>
      <c r="G1062" s="95">
        <f>'Planning Engine'!G1778</f>
        <v>0</v>
      </c>
      <c r="H1062" s="95">
        <f t="shared" si="32"/>
        <v>0</v>
      </c>
      <c r="I1062" s="95">
        <f>'Planning Engine'!H1778</f>
        <v>89.81</v>
      </c>
      <c r="J1062" s="96">
        <f ca="1">'Planning Engine'!J1778</f>
        <v>999</v>
      </c>
      <c r="K1062" s="95">
        <f ca="1">'Planning Engine'!K1778</f>
        <v>0</v>
      </c>
      <c r="L1062" s="12" t="str">
        <f ca="1">'Planning Engine'!L1778</f>
        <v>Overstock</v>
      </c>
      <c r="M1062" s="93">
        <f>'Planning Engine'!S1778</f>
        <v>50891</v>
      </c>
      <c r="N1062" s="95">
        <f>'Planning Engine'!T1778</f>
        <v>0</v>
      </c>
      <c r="O1062" s="94" t="s">
        <v>2810</v>
      </c>
      <c r="P1062" s="12" t="str">
        <f t="shared" ca="1" si="33"/>
        <v>Defer receipts</v>
      </c>
    </row>
    <row r="1063" spans="1:16" ht="13" customHeight="1" x14ac:dyDescent="0.35">
      <c r="A1063" s="97">
        <v>51044</v>
      </c>
      <c r="B1063" s="53" t="s">
        <v>50</v>
      </c>
      <c r="C1063" s="12" t="str">
        <f>'Planning Engine'!C1779</f>
        <v>Raw Material</v>
      </c>
      <c r="D1063" s="12" t="str">
        <f>'Planning Engine'!D1779</f>
        <v>kg</v>
      </c>
      <c r="E1063" s="95">
        <f>'Planning Engine'!E1779</f>
        <v>89.81</v>
      </c>
      <c r="F1063" s="95">
        <f>'Planning Engine'!F1779</f>
        <v>0</v>
      </c>
      <c r="G1063" s="95">
        <f>'Planning Engine'!G1779</f>
        <v>0</v>
      </c>
      <c r="H1063" s="99">
        <f t="shared" si="32"/>
        <v>0</v>
      </c>
      <c r="I1063" s="95">
        <f>'Planning Engine'!H1779</f>
        <v>89.81</v>
      </c>
      <c r="J1063" s="96">
        <f ca="1">'Planning Engine'!J1779</f>
        <v>999</v>
      </c>
      <c r="K1063" s="95">
        <f ca="1">'Planning Engine'!K1779</f>
        <v>0</v>
      </c>
      <c r="L1063" s="12" t="str">
        <f ca="1">'Planning Engine'!L1779</f>
        <v>Overstock</v>
      </c>
      <c r="M1063" s="93">
        <f>'Planning Engine'!S1779</f>
        <v>50922</v>
      </c>
      <c r="N1063" s="95">
        <f>'Planning Engine'!T1779</f>
        <v>0</v>
      </c>
      <c r="O1063" s="98" t="s">
        <v>2811</v>
      </c>
      <c r="P1063" s="4" t="str">
        <f t="shared" ca="1" si="33"/>
        <v>Defer receipts</v>
      </c>
    </row>
    <row r="1064" spans="1:16" ht="13" customHeight="1" x14ac:dyDescent="0.35">
      <c r="A1064" s="93">
        <v>51075</v>
      </c>
      <c r="B1064" s="61" t="s">
        <v>50</v>
      </c>
      <c r="C1064" s="12" t="str">
        <f>'Planning Engine'!C1780</f>
        <v>Raw Material</v>
      </c>
      <c r="D1064" s="12" t="str">
        <f>'Planning Engine'!D1780</f>
        <v>kg</v>
      </c>
      <c r="E1064" s="95">
        <f>'Planning Engine'!E1780</f>
        <v>89.81</v>
      </c>
      <c r="F1064" s="95">
        <f>'Planning Engine'!F1780</f>
        <v>0</v>
      </c>
      <c r="G1064" s="95">
        <f>'Planning Engine'!G1780</f>
        <v>0</v>
      </c>
      <c r="H1064" s="95">
        <f t="shared" si="32"/>
        <v>0</v>
      </c>
      <c r="I1064" s="95">
        <f>'Planning Engine'!H1780</f>
        <v>89.81</v>
      </c>
      <c r="J1064" s="96">
        <f ca="1">'Planning Engine'!J1780</f>
        <v>999</v>
      </c>
      <c r="K1064" s="95">
        <f ca="1">'Planning Engine'!K1780</f>
        <v>0</v>
      </c>
      <c r="L1064" s="12" t="str">
        <f ca="1">'Planning Engine'!L1780</f>
        <v>Overstock</v>
      </c>
      <c r="M1064" s="93">
        <f>'Planning Engine'!S1780</f>
        <v>50952</v>
      </c>
      <c r="N1064" s="95">
        <f>'Planning Engine'!T1780</f>
        <v>0</v>
      </c>
      <c r="O1064" s="94" t="s">
        <v>2812</v>
      </c>
      <c r="P1064" s="12" t="str">
        <f t="shared" ca="1" si="33"/>
        <v>Defer receipts</v>
      </c>
    </row>
    <row r="1065" spans="1:16" ht="13" customHeight="1" x14ac:dyDescent="0.35">
      <c r="A1065" s="97">
        <v>51105</v>
      </c>
      <c r="B1065" s="53" t="s">
        <v>50</v>
      </c>
      <c r="C1065" s="12" t="str">
        <f>'Planning Engine'!C1781</f>
        <v>Raw Material</v>
      </c>
      <c r="D1065" s="12" t="str">
        <f>'Planning Engine'!D1781</f>
        <v>kg</v>
      </c>
      <c r="E1065" s="95">
        <f>'Planning Engine'!E1781</f>
        <v>89.81</v>
      </c>
      <c r="F1065" s="95">
        <f>'Planning Engine'!F1781</f>
        <v>0</v>
      </c>
      <c r="G1065" s="95">
        <f>'Planning Engine'!G1781</f>
        <v>0</v>
      </c>
      <c r="H1065" s="99">
        <f t="shared" si="32"/>
        <v>0</v>
      </c>
      <c r="I1065" s="95">
        <f>'Planning Engine'!H1781</f>
        <v>89.81</v>
      </c>
      <c r="J1065" s="96">
        <f ca="1">'Planning Engine'!J1781</f>
        <v>999</v>
      </c>
      <c r="K1065" s="95">
        <f ca="1">'Planning Engine'!K1781</f>
        <v>0</v>
      </c>
      <c r="L1065" s="12" t="str">
        <f ca="1">'Planning Engine'!L1781</f>
        <v>Overstock</v>
      </c>
      <c r="M1065" s="93">
        <f>'Planning Engine'!S1781</f>
        <v>50983</v>
      </c>
      <c r="N1065" s="95">
        <f>'Planning Engine'!T1781</f>
        <v>0</v>
      </c>
      <c r="O1065" s="98" t="s">
        <v>2813</v>
      </c>
      <c r="P1065" s="4" t="str">
        <f t="shared" ca="1" si="33"/>
        <v>Defer receipts</v>
      </c>
    </row>
    <row r="1066" spans="1:16" ht="13" customHeight="1" x14ac:dyDescent="0.35">
      <c r="A1066" s="93">
        <v>51136</v>
      </c>
      <c r="B1066" s="61" t="s">
        <v>50</v>
      </c>
      <c r="C1066" s="12" t="str">
        <f>'Planning Engine'!C1782</f>
        <v>Raw Material</v>
      </c>
      <c r="D1066" s="12" t="str">
        <f>'Planning Engine'!D1782</f>
        <v>kg</v>
      </c>
      <c r="E1066" s="95">
        <f>'Planning Engine'!E1782</f>
        <v>89.81</v>
      </c>
      <c r="F1066" s="95">
        <f>'Planning Engine'!F1782</f>
        <v>0</v>
      </c>
      <c r="G1066" s="95">
        <f>'Planning Engine'!G1782</f>
        <v>0</v>
      </c>
      <c r="H1066" s="95">
        <f t="shared" si="32"/>
        <v>0</v>
      </c>
      <c r="I1066" s="95">
        <f>'Planning Engine'!H1782</f>
        <v>89.81</v>
      </c>
      <c r="J1066" s="96">
        <f ca="1">'Planning Engine'!J1782</f>
        <v>999</v>
      </c>
      <c r="K1066" s="95">
        <f ca="1">'Planning Engine'!K1782</f>
        <v>0</v>
      </c>
      <c r="L1066" s="12" t="str">
        <f ca="1">'Planning Engine'!L1782</f>
        <v>Overstock</v>
      </c>
      <c r="M1066" s="93">
        <f>'Planning Engine'!S1782</f>
        <v>51014</v>
      </c>
      <c r="N1066" s="95">
        <f>'Planning Engine'!T1782</f>
        <v>0</v>
      </c>
      <c r="O1066" s="94" t="s">
        <v>2814</v>
      </c>
      <c r="P1066" s="12" t="str">
        <f t="shared" ca="1" si="33"/>
        <v>Defer receipts</v>
      </c>
    </row>
    <row r="1067" spans="1:16" ht="13" customHeight="1" x14ac:dyDescent="0.35">
      <c r="A1067" s="97">
        <v>51167</v>
      </c>
      <c r="B1067" s="53" t="s">
        <v>50</v>
      </c>
      <c r="C1067" s="12" t="str">
        <f>'Planning Engine'!C1783</f>
        <v>Raw Material</v>
      </c>
      <c r="D1067" s="12" t="str">
        <f>'Planning Engine'!D1783</f>
        <v>kg</v>
      </c>
      <c r="E1067" s="95">
        <f>'Planning Engine'!E1783</f>
        <v>89.81</v>
      </c>
      <c r="F1067" s="95">
        <f>'Planning Engine'!F1783</f>
        <v>0</v>
      </c>
      <c r="G1067" s="95">
        <f>'Planning Engine'!G1783</f>
        <v>0</v>
      </c>
      <c r="H1067" s="99">
        <f t="shared" si="32"/>
        <v>0</v>
      </c>
      <c r="I1067" s="95">
        <f>'Planning Engine'!H1783</f>
        <v>89.81</v>
      </c>
      <c r="J1067" s="96">
        <f ca="1">'Planning Engine'!J1783</f>
        <v>999</v>
      </c>
      <c r="K1067" s="95">
        <f ca="1">'Planning Engine'!K1783</f>
        <v>0</v>
      </c>
      <c r="L1067" s="12" t="str">
        <f ca="1">'Planning Engine'!L1783</f>
        <v>Overstock</v>
      </c>
      <c r="M1067" s="93">
        <f>'Planning Engine'!S1783</f>
        <v>51044</v>
      </c>
      <c r="N1067" s="95">
        <f>'Planning Engine'!T1783</f>
        <v>0</v>
      </c>
      <c r="O1067" s="98" t="s">
        <v>2815</v>
      </c>
      <c r="P1067" s="4" t="str">
        <f t="shared" ca="1" si="33"/>
        <v>Defer receipts</v>
      </c>
    </row>
    <row r="1068" spans="1:16" ht="13" customHeight="1" x14ac:dyDescent="0.35">
      <c r="A1068" s="93">
        <v>51196</v>
      </c>
      <c r="B1068" s="61" t="s">
        <v>50</v>
      </c>
      <c r="C1068" s="12" t="str">
        <f>'Planning Engine'!C1784</f>
        <v>Raw Material</v>
      </c>
      <c r="D1068" s="12" t="str">
        <f>'Planning Engine'!D1784</f>
        <v>kg</v>
      </c>
      <c r="E1068" s="95">
        <f>'Planning Engine'!E1784</f>
        <v>89.81</v>
      </c>
      <c r="F1068" s="95">
        <f>'Planning Engine'!F1784</f>
        <v>0</v>
      </c>
      <c r="G1068" s="95">
        <f>'Planning Engine'!G1784</f>
        <v>0</v>
      </c>
      <c r="H1068" s="95">
        <f t="shared" si="32"/>
        <v>0</v>
      </c>
      <c r="I1068" s="95">
        <f>'Planning Engine'!H1784</f>
        <v>89.81</v>
      </c>
      <c r="J1068" s="96">
        <f ca="1">'Planning Engine'!J1784</f>
        <v>999</v>
      </c>
      <c r="K1068" s="95">
        <f ca="1">'Planning Engine'!K1784</f>
        <v>0</v>
      </c>
      <c r="L1068" s="12" t="str">
        <f ca="1">'Planning Engine'!L1784</f>
        <v>Overstock</v>
      </c>
      <c r="M1068" s="93">
        <f>'Planning Engine'!S1784</f>
        <v>51075</v>
      </c>
      <c r="N1068" s="95">
        <f>'Planning Engine'!T1784</f>
        <v>0</v>
      </c>
      <c r="O1068" s="94" t="s">
        <v>2816</v>
      </c>
      <c r="P1068" s="12" t="str">
        <f t="shared" ca="1" si="33"/>
        <v>Defer receipts</v>
      </c>
    </row>
    <row r="1069" spans="1:16" ht="13" customHeight="1" x14ac:dyDescent="0.35">
      <c r="A1069" s="97">
        <v>51227</v>
      </c>
      <c r="B1069" s="53" t="s">
        <v>50</v>
      </c>
      <c r="C1069" s="12" t="str">
        <f>'Planning Engine'!C1785</f>
        <v>Raw Material</v>
      </c>
      <c r="D1069" s="12" t="str">
        <f>'Planning Engine'!D1785</f>
        <v>kg</v>
      </c>
      <c r="E1069" s="95">
        <f>'Planning Engine'!E1785</f>
        <v>89.81</v>
      </c>
      <c r="F1069" s="95">
        <f>'Planning Engine'!F1785</f>
        <v>0</v>
      </c>
      <c r="G1069" s="95">
        <f>'Planning Engine'!G1785</f>
        <v>0</v>
      </c>
      <c r="H1069" s="99">
        <f t="shared" si="32"/>
        <v>0</v>
      </c>
      <c r="I1069" s="95">
        <f>'Planning Engine'!H1785</f>
        <v>89.81</v>
      </c>
      <c r="J1069" s="96">
        <f ca="1">'Planning Engine'!J1785</f>
        <v>999</v>
      </c>
      <c r="K1069" s="95">
        <f ca="1">'Planning Engine'!K1785</f>
        <v>0</v>
      </c>
      <c r="L1069" s="12" t="str">
        <f ca="1">'Planning Engine'!L1785</f>
        <v>Overstock</v>
      </c>
      <c r="M1069" s="93">
        <f>'Planning Engine'!S1785</f>
        <v>51105</v>
      </c>
      <c r="N1069" s="95">
        <f>'Planning Engine'!T1785</f>
        <v>0</v>
      </c>
      <c r="O1069" s="98" t="s">
        <v>2817</v>
      </c>
      <c r="P1069" s="4" t="str">
        <f t="shared" ca="1" si="33"/>
        <v>Defer receipts</v>
      </c>
    </row>
    <row r="1070" spans="1:16" ht="13" customHeight="1" x14ac:dyDescent="0.35">
      <c r="A1070" s="93">
        <v>51257</v>
      </c>
      <c r="B1070" s="61" t="s">
        <v>50</v>
      </c>
      <c r="C1070" s="12" t="str">
        <f>'Planning Engine'!C1786</f>
        <v>Raw Material</v>
      </c>
      <c r="D1070" s="12" t="str">
        <f>'Planning Engine'!D1786</f>
        <v>kg</v>
      </c>
      <c r="E1070" s="95">
        <f>'Planning Engine'!E1786</f>
        <v>89.81</v>
      </c>
      <c r="F1070" s="95">
        <f>'Planning Engine'!F1786</f>
        <v>0</v>
      </c>
      <c r="G1070" s="95">
        <f>'Planning Engine'!G1786</f>
        <v>0</v>
      </c>
      <c r="H1070" s="95">
        <f t="shared" si="32"/>
        <v>0</v>
      </c>
      <c r="I1070" s="95">
        <f>'Planning Engine'!H1786</f>
        <v>89.81</v>
      </c>
      <c r="J1070" s="96">
        <f ca="1">'Planning Engine'!J1786</f>
        <v>999</v>
      </c>
      <c r="K1070" s="95">
        <f ca="1">'Planning Engine'!K1786</f>
        <v>0</v>
      </c>
      <c r="L1070" s="12" t="str">
        <f ca="1">'Planning Engine'!L1786</f>
        <v>Overstock</v>
      </c>
      <c r="M1070" s="93">
        <f>'Planning Engine'!S1786</f>
        <v>51136</v>
      </c>
      <c r="N1070" s="95">
        <f>'Planning Engine'!T1786</f>
        <v>0</v>
      </c>
      <c r="O1070" s="94" t="s">
        <v>2818</v>
      </c>
      <c r="P1070" s="12" t="str">
        <f t="shared" ca="1" si="33"/>
        <v>Defer receipts</v>
      </c>
    </row>
    <row r="1071" spans="1:16" ht="13" customHeight="1" x14ac:dyDescent="0.35">
      <c r="A1071" s="97">
        <v>51288</v>
      </c>
      <c r="B1071" s="53" t="s">
        <v>50</v>
      </c>
      <c r="C1071" s="12" t="str">
        <f>'Planning Engine'!C1787</f>
        <v>Raw Material</v>
      </c>
      <c r="D1071" s="12" t="str">
        <f>'Planning Engine'!D1787</f>
        <v>kg</v>
      </c>
      <c r="E1071" s="95">
        <f>'Planning Engine'!E1787</f>
        <v>89.81</v>
      </c>
      <c r="F1071" s="95">
        <f>'Planning Engine'!F1787</f>
        <v>0</v>
      </c>
      <c r="G1071" s="95">
        <f>'Planning Engine'!G1787</f>
        <v>0</v>
      </c>
      <c r="H1071" s="99">
        <f t="shared" si="32"/>
        <v>0</v>
      </c>
      <c r="I1071" s="95">
        <f>'Planning Engine'!H1787</f>
        <v>89.81</v>
      </c>
      <c r="J1071" s="96">
        <f ca="1">'Planning Engine'!J1787</f>
        <v>999</v>
      </c>
      <c r="K1071" s="95">
        <f ca="1">'Planning Engine'!K1787</f>
        <v>0</v>
      </c>
      <c r="L1071" s="12" t="str">
        <f ca="1">'Planning Engine'!L1787</f>
        <v>Overstock</v>
      </c>
      <c r="M1071" s="93">
        <f>'Planning Engine'!S1787</f>
        <v>51167</v>
      </c>
      <c r="N1071" s="95">
        <f>'Planning Engine'!T1787</f>
        <v>0</v>
      </c>
      <c r="O1071" s="98" t="s">
        <v>2819</v>
      </c>
      <c r="P1071" s="4" t="str">
        <f t="shared" ca="1" si="33"/>
        <v>Defer receipts</v>
      </c>
    </row>
    <row r="1072" spans="1:16" ht="13" customHeight="1" x14ac:dyDescent="0.35">
      <c r="A1072" s="93">
        <v>51318</v>
      </c>
      <c r="B1072" s="61" t="s">
        <v>50</v>
      </c>
      <c r="C1072" s="12" t="str">
        <f>'Planning Engine'!C1788</f>
        <v>Raw Material</v>
      </c>
      <c r="D1072" s="12" t="str">
        <f>'Planning Engine'!D1788</f>
        <v>kg</v>
      </c>
      <c r="E1072" s="95">
        <f>'Planning Engine'!E1788</f>
        <v>89.81</v>
      </c>
      <c r="F1072" s="95">
        <f>'Planning Engine'!F1788</f>
        <v>0</v>
      </c>
      <c r="G1072" s="95">
        <f>'Planning Engine'!G1788</f>
        <v>0</v>
      </c>
      <c r="H1072" s="95">
        <f t="shared" si="32"/>
        <v>0</v>
      </c>
      <c r="I1072" s="95">
        <f>'Planning Engine'!H1788</f>
        <v>89.81</v>
      </c>
      <c r="J1072" s="96">
        <f ca="1">'Planning Engine'!J1788</f>
        <v>999</v>
      </c>
      <c r="K1072" s="95">
        <f ca="1">'Planning Engine'!K1788</f>
        <v>0</v>
      </c>
      <c r="L1072" s="12" t="str">
        <f ca="1">'Planning Engine'!L1788</f>
        <v>Overstock</v>
      </c>
      <c r="M1072" s="93">
        <f>'Planning Engine'!S1788</f>
        <v>51196</v>
      </c>
      <c r="N1072" s="95">
        <f>'Planning Engine'!T1788</f>
        <v>0</v>
      </c>
      <c r="O1072" s="94" t="s">
        <v>2820</v>
      </c>
      <c r="P1072" s="12" t="str">
        <f t="shared" ca="1" si="33"/>
        <v>Defer receipts</v>
      </c>
    </row>
    <row r="1073" spans="1:16" ht="13" customHeight="1" x14ac:dyDescent="0.35">
      <c r="A1073" s="97">
        <v>51349</v>
      </c>
      <c r="B1073" s="53" t="s">
        <v>50</v>
      </c>
      <c r="C1073" s="12" t="str">
        <f>'Planning Engine'!C1789</f>
        <v>Raw Material</v>
      </c>
      <c r="D1073" s="12" t="str">
        <f>'Planning Engine'!D1789</f>
        <v>kg</v>
      </c>
      <c r="E1073" s="95">
        <f>'Planning Engine'!E1789</f>
        <v>89.81</v>
      </c>
      <c r="F1073" s="95">
        <f>'Planning Engine'!F1789</f>
        <v>0</v>
      </c>
      <c r="G1073" s="95">
        <f>'Planning Engine'!G1789</f>
        <v>0</v>
      </c>
      <c r="H1073" s="99">
        <f t="shared" si="32"/>
        <v>0</v>
      </c>
      <c r="I1073" s="95">
        <f>'Planning Engine'!H1789</f>
        <v>89.81</v>
      </c>
      <c r="J1073" s="96">
        <f ca="1">'Planning Engine'!J1789</f>
        <v>999</v>
      </c>
      <c r="K1073" s="95">
        <f ca="1">'Planning Engine'!K1789</f>
        <v>0</v>
      </c>
      <c r="L1073" s="12" t="str">
        <f ca="1">'Planning Engine'!L1789</f>
        <v>Overstock</v>
      </c>
      <c r="M1073" s="93">
        <f>'Planning Engine'!S1789</f>
        <v>51227</v>
      </c>
      <c r="N1073" s="95">
        <f>'Planning Engine'!T1789</f>
        <v>0</v>
      </c>
      <c r="O1073" s="98" t="s">
        <v>2821</v>
      </c>
      <c r="P1073" s="4" t="str">
        <f t="shared" ca="1" si="33"/>
        <v>Defer receipts</v>
      </c>
    </row>
    <row r="1074" spans="1:16" ht="13" customHeight="1" x14ac:dyDescent="0.35">
      <c r="A1074" s="93">
        <v>51380</v>
      </c>
      <c r="B1074" s="61" t="s">
        <v>50</v>
      </c>
      <c r="C1074" s="12" t="str">
        <f>'Planning Engine'!C1790</f>
        <v>Raw Material</v>
      </c>
      <c r="D1074" s="12" t="str">
        <f>'Planning Engine'!D1790</f>
        <v>kg</v>
      </c>
      <c r="E1074" s="95">
        <f>'Planning Engine'!E1790</f>
        <v>89.81</v>
      </c>
      <c r="F1074" s="95">
        <f>'Planning Engine'!F1790</f>
        <v>0</v>
      </c>
      <c r="G1074" s="95">
        <f>'Planning Engine'!G1790</f>
        <v>0</v>
      </c>
      <c r="H1074" s="95">
        <f t="shared" si="32"/>
        <v>0</v>
      </c>
      <c r="I1074" s="95">
        <f>'Planning Engine'!H1790</f>
        <v>89.81</v>
      </c>
      <c r="J1074" s="96">
        <f ca="1">'Planning Engine'!J1790</f>
        <v>999</v>
      </c>
      <c r="K1074" s="95">
        <f ca="1">'Planning Engine'!K1790</f>
        <v>0</v>
      </c>
      <c r="L1074" s="12" t="str">
        <f ca="1">'Planning Engine'!L1790</f>
        <v>Overstock</v>
      </c>
      <c r="M1074" s="93">
        <f>'Planning Engine'!S1790</f>
        <v>51257</v>
      </c>
      <c r="N1074" s="95">
        <f>'Planning Engine'!T1790</f>
        <v>0</v>
      </c>
      <c r="O1074" s="94" t="s">
        <v>2822</v>
      </c>
      <c r="P1074" s="12" t="str">
        <f t="shared" ca="1" si="33"/>
        <v>Defer receipts</v>
      </c>
    </row>
    <row r="1075" spans="1:16" ht="13" customHeight="1" x14ac:dyDescent="0.35">
      <c r="A1075" s="97">
        <v>51410</v>
      </c>
      <c r="B1075" s="53" t="s">
        <v>50</v>
      </c>
      <c r="C1075" s="12" t="str">
        <f>'Planning Engine'!C1791</f>
        <v>Raw Material</v>
      </c>
      <c r="D1075" s="12" t="str">
        <f>'Planning Engine'!D1791</f>
        <v>kg</v>
      </c>
      <c r="E1075" s="95">
        <f>'Planning Engine'!E1791</f>
        <v>89.81</v>
      </c>
      <c r="F1075" s="95">
        <f>'Planning Engine'!F1791</f>
        <v>0</v>
      </c>
      <c r="G1075" s="95">
        <f>'Planning Engine'!G1791</f>
        <v>0</v>
      </c>
      <c r="H1075" s="99">
        <f t="shared" si="32"/>
        <v>0</v>
      </c>
      <c r="I1075" s="95">
        <f>'Planning Engine'!H1791</f>
        <v>89.81</v>
      </c>
      <c r="J1075" s="96">
        <f ca="1">'Planning Engine'!J1791</f>
        <v>999</v>
      </c>
      <c r="K1075" s="95">
        <f ca="1">'Planning Engine'!K1791</f>
        <v>0</v>
      </c>
      <c r="L1075" s="12" t="str">
        <f ca="1">'Planning Engine'!L1791</f>
        <v>Overstock</v>
      </c>
      <c r="M1075" s="93">
        <f>'Planning Engine'!S1791</f>
        <v>51288</v>
      </c>
      <c r="N1075" s="95">
        <f>'Planning Engine'!T1791</f>
        <v>0</v>
      </c>
      <c r="O1075" s="98" t="s">
        <v>2823</v>
      </c>
      <c r="P1075" s="4" t="str">
        <f t="shared" ca="1" si="33"/>
        <v>Defer receipts</v>
      </c>
    </row>
    <row r="1076" spans="1:16" ht="13" customHeight="1" x14ac:dyDescent="0.35">
      <c r="A1076" s="93">
        <v>51441</v>
      </c>
      <c r="B1076" s="61" t="s">
        <v>50</v>
      </c>
      <c r="C1076" s="12" t="str">
        <f>'Planning Engine'!C1792</f>
        <v>Raw Material</v>
      </c>
      <c r="D1076" s="12" t="str">
        <f>'Planning Engine'!D1792</f>
        <v>kg</v>
      </c>
      <c r="E1076" s="95">
        <f>'Planning Engine'!E1792</f>
        <v>89.81</v>
      </c>
      <c r="F1076" s="95">
        <f>'Planning Engine'!F1792</f>
        <v>0</v>
      </c>
      <c r="G1076" s="95">
        <f>'Planning Engine'!G1792</f>
        <v>0</v>
      </c>
      <c r="H1076" s="95">
        <f t="shared" si="32"/>
        <v>0</v>
      </c>
      <c r="I1076" s="95">
        <f>'Planning Engine'!H1792</f>
        <v>89.81</v>
      </c>
      <c r="J1076" s="96">
        <f ca="1">'Planning Engine'!J1792</f>
        <v>999</v>
      </c>
      <c r="K1076" s="95">
        <f ca="1">'Planning Engine'!K1792</f>
        <v>0</v>
      </c>
      <c r="L1076" s="12" t="str">
        <f ca="1">'Planning Engine'!L1792</f>
        <v>Overstock</v>
      </c>
      <c r="M1076" s="93">
        <f>'Planning Engine'!S1792</f>
        <v>51318</v>
      </c>
      <c r="N1076" s="95">
        <f>'Planning Engine'!T1792</f>
        <v>0</v>
      </c>
      <c r="O1076" s="94" t="s">
        <v>2824</v>
      </c>
      <c r="P1076" s="12" t="str">
        <f t="shared" ca="1" si="33"/>
        <v>Defer receipts</v>
      </c>
    </row>
    <row r="1077" spans="1:16" ht="13" customHeight="1" x14ac:dyDescent="0.35">
      <c r="A1077" s="97">
        <v>51471</v>
      </c>
      <c r="B1077" s="53" t="s">
        <v>50</v>
      </c>
      <c r="C1077" s="12" t="str">
        <f>'Planning Engine'!C1793</f>
        <v>Raw Material</v>
      </c>
      <c r="D1077" s="12" t="str">
        <f>'Planning Engine'!D1793</f>
        <v>kg</v>
      </c>
      <c r="E1077" s="95">
        <f>'Planning Engine'!E1793</f>
        <v>89.81</v>
      </c>
      <c r="F1077" s="95">
        <f>'Planning Engine'!F1793</f>
        <v>0</v>
      </c>
      <c r="G1077" s="95">
        <f>'Planning Engine'!G1793</f>
        <v>0</v>
      </c>
      <c r="H1077" s="99">
        <f t="shared" si="32"/>
        <v>0</v>
      </c>
      <c r="I1077" s="95">
        <f>'Planning Engine'!H1793</f>
        <v>89.81</v>
      </c>
      <c r="J1077" s="96">
        <f ca="1">'Planning Engine'!J1793</f>
        <v>999</v>
      </c>
      <c r="K1077" s="95">
        <f ca="1">'Planning Engine'!K1793</f>
        <v>0</v>
      </c>
      <c r="L1077" s="12" t="str">
        <f ca="1">'Planning Engine'!L1793</f>
        <v>Overstock</v>
      </c>
      <c r="M1077" s="93">
        <f>'Planning Engine'!S1793</f>
        <v>51349</v>
      </c>
      <c r="N1077" s="95">
        <f>'Planning Engine'!T1793</f>
        <v>0</v>
      </c>
      <c r="O1077" s="98" t="s">
        <v>2825</v>
      </c>
      <c r="P1077" s="4" t="str">
        <f t="shared" ca="1" si="33"/>
        <v>Defer receipts</v>
      </c>
    </row>
  </sheetData>
  <mergeCells count="2">
    <mergeCell ref="A1:P1"/>
    <mergeCell ref="A2:P2"/>
  </mergeCells>
  <phoneticPr fontId="65" type="noConversion"/>
  <pageMargins left="0.75" right="0.75" top="1" bottom="1" header="0.5" footer="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3"/>
  <dimension ref="A1:K198"/>
  <sheetViews>
    <sheetView showGridLines="0" zoomScale="85" zoomScaleNormal="85" workbookViewId="0">
      <pane xSplit="2" ySplit="3" topLeftCell="C4" activePane="bottomRight" state="frozen"/>
      <selection pane="topRight"/>
      <selection pane="bottomLeft"/>
      <selection pane="bottomRight" activeCell="D157" sqref="D157"/>
    </sheetView>
  </sheetViews>
  <sheetFormatPr defaultRowHeight="14.5" x14ac:dyDescent="0.35"/>
  <cols>
    <col min="1" max="1" width="16" customWidth="1"/>
    <col min="2" max="2" width="14" customWidth="1"/>
    <col min="3" max="3" width="8" customWidth="1"/>
    <col min="4" max="4" width="14" customWidth="1"/>
    <col min="5" max="5" width="16" customWidth="1"/>
    <col min="6" max="6" width="18" customWidth="1"/>
    <col min="7" max="8" width="16" customWidth="1"/>
    <col min="9" max="9" width="14" customWidth="1"/>
  </cols>
  <sheetData>
    <row r="1" spans="1:11" ht="22" customHeight="1" x14ac:dyDescent="0.35">
      <c r="A1" s="396" t="s">
        <v>664</v>
      </c>
      <c r="B1" s="395"/>
      <c r="C1" s="395"/>
      <c r="D1" s="395"/>
      <c r="E1" s="395"/>
      <c r="F1" s="395"/>
      <c r="G1" s="395"/>
      <c r="H1" s="395"/>
      <c r="I1" s="395"/>
      <c r="J1" s="395"/>
      <c r="K1" s="395"/>
    </row>
    <row r="2" spans="1:11" ht="14" customHeight="1" x14ac:dyDescent="0.35">
      <c r="A2" s="430" t="s">
        <v>665</v>
      </c>
      <c r="B2" s="395"/>
      <c r="C2" s="395"/>
      <c r="D2" s="395"/>
      <c r="E2" s="395"/>
      <c r="F2" s="395"/>
      <c r="G2" s="395"/>
      <c r="H2" s="395"/>
      <c r="I2" s="395"/>
      <c r="J2" s="395"/>
      <c r="K2" s="395"/>
    </row>
    <row r="3" spans="1:11" ht="28" customHeight="1" x14ac:dyDescent="0.35">
      <c r="A3" s="18" t="s">
        <v>2</v>
      </c>
      <c r="B3" s="18" t="s">
        <v>4</v>
      </c>
      <c r="C3" s="18" t="s">
        <v>666</v>
      </c>
      <c r="D3" s="18" t="s">
        <v>667</v>
      </c>
      <c r="E3" s="18" t="s">
        <v>552</v>
      </c>
      <c r="F3" s="18" t="s">
        <v>668</v>
      </c>
      <c r="G3" s="18" t="s">
        <v>565</v>
      </c>
      <c r="H3" s="18" t="s">
        <v>669</v>
      </c>
      <c r="I3" s="18" t="s">
        <v>659</v>
      </c>
    </row>
    <row r="4" spans="1:11" ht="14" customHeight="1" x14ac:dyDescent="0.35">
      <c r="A4" s="61" t="s">
        <v>26</v>
      </c>
      <c r="B4" s="106" t="s">
        <v>28</v>
      </c>
      <c r="C4" s="12">
        <v>2026</v>
      </c>
      <c r="D4" s="95" cm="1">
        <f t="array" ref="D4">IFERROR(SUMPRODUCT(('Planning Engine'!$B$4:$B$2500="188mg LP")*(YEAR('Planning Engine'!$A$4:$A$2500)=2026)*'Planning Engine'!$F$4:$F$2500),0)</f>
        <v>22586.071828578933</v>
      </c>
      <c r="E4" s="95" cm="1">
        <f t="array" ref="E4">IFERROR(SUMPRODUCT(('Planning Engine'!$B$4:$B$2500="188mg LP")*(YEAR('Planning Engine'!$A$4:$A$2500)=2026)*'Planning Engine'!$G$4:$G$2500),0)</f>
        <v>35100</v>
      </c>
      <c r="F4" s="95" cm="1">
        <f t="array" ref="F4">IFERROR(SUMPRODUCT(('Planning Engine'!$B$4:$B$2500="188mg LP")*(YEAR('Planning Engine'!$A$4:$A$2500)=2026)*(MONTH('Planning Engine'!$A$4:$A$2500)=6)*'Planning Engine'!$H$4:$H$2500),0)</f>
        <v>53776.992541394691</v>
      </c>
      <c r="G4" s="95" cm="1">
        <f t="array" ref="G4">IFERROR(SUMPRODUCT(('Planning Engine'!$B$4:$B$2500="188mg LP")*(YEAR('Planning Engine'!$A$4:$A$2500)=2026)*(MONTH('Planning Engine'!$A$4:$A$2500)=12)*'Planning Engine'!$H$4:$H$2500),0)</f>
        <v>72817.27473384414</v>
      </c>
      <c r="H4" s="95" cm="1">
        <f t="array" aca="1" ref="H4" ca="1">IFERROR(SUMPRODUCT(('Planning Engine'!$B$4:$B$2500="188mg LP")*(YEAR('Planning Engine'!$A$4:$A$2500)=2026)*('Planning Engine'!$J$4:$J$2500&gt;0)*'Planning Engine'!$J$4:$J$2500)/MAX(1,SUMPRODUCT(('Planning Engine'!$B$4:$B$2500="188mg LP")*(YEAR('Planning Engine'!$A$4:$A$2500)=2026)*('Planning Engine'!$J$4:$J$2500&gt;0))),0)</f>
        <v>24.096228939753857</v>
      </c>
      <c r="I4" s="12" cm="1">
        <f t="array" ref="I4">IFERROR(SUMPRODUCT(('Planning Engine'!$B$4:$B$2500="188mg LP")*(YEAR('Planning Engine'!$A$4:$A$2500)=2026)*(MONTH('Planning Engine'!$A$4:$A$2500)=12)*'Planning Engine'!$H$4:$H$2500),0)</f>
        <v>72817.27473384414</v>
      </c>
      <c r="J4" cm="1">
        <f t="array" aca="1" ref="J4" ca="1">IFERROR(SUMPRODUCT(('Planning Engine'!$B$4:$B$2500="188mg LP")*(YEAR('Planning Engine'!$A$4:$A$2500)=2026)*'Planning Engine'!$K$4:$K$2500),0)</f>
        <v>0</v>
      </c>
      <c r="K4" s="12" t="str" cm="1">
        <f t="array" aca="1" ref="K4" ca="1">IFERROR(IF(SUMPRODUCT(('Planning Engine'!$B$4:$B$2500="188mg LP")*(YEAR('Planning Engine'!$A$4:$A$2500)=2026)*('Planning Engine'!$L$4:$L$2500="High"))&gt;0,"High",IF(SUMPRODUCT(('Planning Engine'!$B$4:$B$2500="188mg LP")*(YEAR('Planning Engine'!$A$4:$A$2500)=2026)*('Planning Engine'!$L$4:$L$2500="Medium"))&gt;0,"Medium",IF(SUMPRODUCT(('Planning Engine'!$B$4:$B$2500="188mg LP")*(YEAR('Planning Engine'!$A$4:$A$2500)=2026)*('Planning Engine'!$L$4:$L$2500="Overstock"))&gt;0,"Overstock","Low"))),"--")</f>
        <v>Overstock</v>
      </c>
    </row>
    <row r="5" spans="1:11" ht="14" customHeight="1" x14ac:dyDescent="0.35">
      <c r="A5" s="53" t="s">
        <v>26</v>
      </c>
      <c r="B5" s="107" t="s">
        <v>28</v>
      </c>
      <c r="C5" s="4">
        <v>2027</v>
      </c>
      <c r="D5" s="99" cm="1">
        <f t="array" ref="D5">IFERROR(SUMPRODUCT(('Planning Engine'!$B$4:$B$2500="188mg LP")*(YEAR('Planning Engine'!$A$4:$A$2500)=2027)*'Planning Engine'!$F$4:$F$2500),0)</f>
        <v>43512.080472360627</v>
      </c>
      <c r="E5" s="99" cm="1">
        <f t="array" ref="E5">IFERROR(SUMPRODUCT(('Planning Engine'!$B$4:$B$2500="188mg LP")*(YEAR('Planning Engine'!$A$4:$A$2500)=2027)*'Planning Engine'!$G$4:$G$2500),0)</f>
        <v>0</v>
      </c>
      <c r="F5" s="99" cm="1">
        <f t="array" ref="F5">IFERROR(SUMPRODUCT(('Planning Engine'!$B$4:$B$2500="188mg LP")*(YEAR('Planning Engine'!$A$4:$A$2500)=2027)*(MONTH('Planning Engine'!$A$4:$A$2500)=6)*'Planning Engine'!$H$4:$H$2500),0)</f>
        <v>55150.160835521965</v>
      </c>
      <c r="G5" s="99" cm="1">
        <f t="array" ref="G5">IFERROR(SUMPRODUCT(('Planning Engine'!$B$4:$B$2500="188mg LP")*(YEAR('Planning Engine'!$A$4:$A$2500)=2027)*(MONTH('Planning Engine'!$A$4:$A$2500)=12)*'Planning Engine'!$H$4:$H$2500),0)</f>
        <v>29305.194261483502</v>
      </c>
      <c r="H5" s="99" cm="1">
        <f t="array" aca="1" ref="H5" ca="1">IFERROR(SUMPRODUCT(('Planning Engine'!$B$4:$B$2500="188mg LP")*(YEAR('Planning Engine'!$A$4:$A$2500)=2027)*('Planning Engine'!$J$4:$J$2500&gt;0)*'Planning Engine'!$J$4:$J$2500)/MAX(1,SUMPRODUCT(('Planning Engine'!$B$4:$B$2500="188mg LP")*(YEAR('Planning Engine'!$A$4:$A$2500)=2027)*('Planning Engine'!$J$4:$J$2500&gt;0))),0)</f>
        <v>11.875162828866273</v>
      </c>
      <c r="I5" s="4" cm="1">
        <f t="array" ref="I5">IFERROR(SUMPRODUCT(('Planning Engine'!$B$4:$B$2500="188mg LP")*(YEAR('Planning Engine'!$A$4:$A$2500)=2027)*(MONTH('Planning Engine'!$A$4:$A$2500)=12)*'Planning Engine'!$H$4:$H$2500),0)</f>
        <v>29305.194261483502</v>
      </c>
      <c r="J5" cm="1">
        <f t="array" aca="1" ref="J5" ca="1">IFERROR(SUMPRODUCT(('Planning Engine'!$B$4:$B$2500="188mg LP")*(YEAR('Planning Engine'!$A$4:$A$2500)=2027)*'Planning Engine'!$K$4:$K$2500),0)</f>
        <v>81000</v>
      </c>
      <c r="K5" s="4" t="str" cm="1">
        <f t="array" aca="1" ref="K5" ca="1">IFERROR(IF(SUMPRODUCT(('Planning Engine'!$B$4:$B$2500="188mg LP")*(YEAR('Planning Engine'!$A$4:$A$2500)=2027)*('Planning Engine'!$L$4:$L$2500="High"))&gt;0,"High",IF(SUMPRODUCT(('Planning Engine'!$B$4:$B$2500="188mg LP")*(YEAR('Planning Engine'!$A$4:$A$2500)=2027)*('Planning Engine'!$L$4:$L$2500="Medium"))&gt;0,"Medium",IF(SUMPRODUCT(('Planning Engine'!$B$4:$B$2500="188mg LP")*(YEAR('Planning Engine'!$A$4:$A$2500)=2027)*('Planning Engine'!$L$4:$L$2500="Overstock"))&gt;0,"Overstock","Low"))),"--")</f>
        <v>High</v>
      </c>
    </row>
    <row r="6" spans="1:11" ht="14" customHeight="1" x14ac:dyDescent="0.35">
      <c r="A6" s="61" t="s">
        <v>26</v>
      </c>
      <c r="B6" s="106" t="s">
        <v>28</v>
      </c>
      <c r="C6" s="12">
        <v>2028</v>
      </c>
      <c r="D6" s="95" cm="1">
        <f t="array" ref="D6">IFERROR(SUMPRODUCT(('Planning Engine'!$B$4:$B$2500="188mg LP")*(YEAR('Planning Engine'!$A$4:$A$2500)=2028)*'Planning Engine'!$F$4:$F$2500),0)</f>
        <v>96074.939013023773</v>
      </c>
      <c r="E6" s="95" cm="1">
        <f t="array" ref="E6">IFERROR(SUMPRODUCT(('Planning Engine'!$B$4:$B$2500="188mg LP")*(YEAR('Planning Engine'!$A$4:$A$2500)=2028)*'Planning Engine'!$G$4:$G$2500),0)</f>
        <v>0</v>
      </c>
      <c r="F6" s="95" cm="1">
        <f t="array" ref="F6">IFERROR(SUMPRODUCT(('Planning Engine'!$B$4:$B$2500="188mg LP")*(YEAR('Planning Engine'!$A$4:$A$2500)=2028)*(MONTH('Planning Engine'!$A$4:$A$2500)=6)*'Planning Engine'!$H$4:$H$2500),0)</f>
        <v>-12260.358812143042</v>
      </c>
      <c r="G6" s="95" cm="1">
        <f t="array" ref="G6">IFERROR(SUMPRODUCT(('Planning Engine'!$B$4:$B$2500="188mg LP")*(YEAR('Planning Engine'!$A$4:$A$2500)=2028)*(MONTH('Planning Engine'!$A$4:$A$2500)=12)*'Planning Engine'!$H$4:$H$2500),0)</f>
        <v>-66769.744751540275</v>
      </c>
      <c r="H6" s="95" cm="1">
        <f t="array" aca="1" ref="H6" ca="1">IFERROR(SUMPRODUCT(('Planning Engine'!$B$4:$B$2500="188mg LP")*(YEAR('Planning Engine'!$A$4:$A$2500)=2028)*('Planning Engine'!$J$4:$J$2500&gt;0)*'Planning Engine'!$J$4:$J$2500)/MAX(1,SUMPRODUCT(('Planning Engine'!$B$4:$B$2500="188mg LP")*(YEAR('Planning Engine'!$A$4:$A$2500)=2028)*('Planning Engine'!$J$4:$J$2500&gt;0))),0)</f>
        <v>1.7636037712700703</v>
      </c>
      <c r="I6" s="12" cm="1">
        <f t="array" ref="I6">IFERROR(SUMPRODUCT(('Planning Engine'!$B$4:$B$2500="188mg LP")*(YEAR('Planning Engine'!$A$4:$A$2500)=2028)*(MONTH('Planning Engine'!$A$4:$A$2500)=12)*'Planning Engine'!$H$4:$H$2500),0)</f>
        <v>-66769.744751540275</v>
      </c>
      <c r="J6" cm="1">
        <f t="array" aca="1" ref="J6" ca="1">IFERROR(SUMPRODUCT(('Planning Engine'!$B$4:$B$2500="188mg LP")*(YEAR('Planning Engine'!$A$4:$A$2500)=2028)*'Planning Engine'!$K$4:$K$2500),0)</f>
        <v>1198800</v>
      </c>
      <c r="K6" s="12" t="str" cm="1">
        <f t="array" aca="1" ref="K6" ca="1">IFERROR(IF(SUMPRODUCT(('Planning Engine'!$B$4:$B$2500="188mg LP")*(YEAR('Planning Engine'!$A$4:$A$2500)=2028)*('Planning Engine'!$L$4:$L$2500="High"))&gt;0,"High",IF(SUMPRODUCT(('Planning Engine'!$B$4:$B$2500="188mg LP")*(YEAR('Planning Engine'!$A$4:$A$2500)=2028)*('Planning Engine'!$L$4:$L$2500="Medium"))&gt;0,"Medium",IF(SUMPRODUCT(('Planning Engine'!$B$4:$B$2500="188mg LP")*(YEAR('Planning Engine'!$A$4:$A$2500)=2028)*('Planning Engine'!$L$4:$L$2500="Overstock"))&gt;0,"Overstock","Low"))),"--")</f>
        <v>High</v>
      </c>
    </row>
    <row r="7" spans="1:11" ht="14" customHeight="1" x14ac:dyDescent="0.35">
      <c r="A7" s="53" t="s">
        <v>26</v>
      </c>
      <c r="B7" s="107" t="s">
        <v>28</v>
      </c>
      <c r="C7" s="4">
        <v>2029</v>
      </c>
      <c r="D7" s="99" cm="1">
        <f t="array" ref="D7">IFERROR(SUMPRODUCT(('Planning Engine'!$B$4:$B$2500="188mg LP")*(YEAR('Planning Engine'!$A$4:$A$2500)=2029)*'Planning Engine'!$F$4:$F$2500),0)</f>
        <v>128062.72784095886</v>
      </c>
      <c r="E7" s="99" cm="1">
        <f t="array" ref="E7">IFERROR(SUMPRODUCT(('Planning Engine'!$B$4:$B$2500="188mg LP")*(YEAR('Planning Engine'!$A$4:$A$2500)=2029)*'Planning Engine'!$G$4:$G$2500),0)</f>
        <v>0</v>
      </c>
      <c r="F7" s="99" cm="1">
        <f t="array" ref="F7">IFERROR(SUMPRODUCT(('Planning Engine'!$B$4:$B$2500="188mg LP")*(YEAR('Planning Engine'!$A$4:$A$2500)=2029)*(MONTH('Planning Engine'!$A$4:$A$2500)=6)*'Planning Engine'!$H$4:$H$2500),0)</f>
        <v>-128796.29249406542</v>
      </c>
      <c r="G7" s="99" cm="1">
        <f t="array" ref="G7">IFERROR(SUMPRODUCT(('Planning Engine'!$B$4:$B$2500="188mg LP")*(YEAR('Planning Engine'!$A$4:$A$2500)=2029)*(MONTH('Planning Engine'!$A$4:$A$2500)=12)*'Planning Engine'!$H$4:$H$2500),0)</f>
        <v>-194832.47259249914</v>
      </c>
      <c r="H7" s="99" cm="1">
        <f t="array" aca="1" ref="H7" ca="1">IFERROR(SUMPRODUCT(('Planning Engine'!$B$4:$B$2500="188mg LP")*(YEAR('Planning Engine'!$A$4:$A$2500)=2029)*('Planning Engine'!$J$4:$J$2500&gt;0)*'Planning Engine'!$J$4:$J$2500)/MAX(1,SUMPRODUCT(('Planning Engine'!$B$4:$B$2500="188mg LP")*(YEAR('Planning Engine'!$A$4:$A$2500)=2029)*('Planning Engine'!$J$4:$J$2500&gt;0))),0)</f>
        <v>0</v>
      </c>
      <c r="I7" s="4" cm="1">
        <f t="array" ref="I7">IFERROR(SUMPRODUCT(('Planning Engine'!$B$4:$B$2500="188mg LP")*(YEAR('Planning Engine'!$A$4:$A$2500)=2029)*(MONTH('Planning Engine'!$A$4:$A$2500)=12)*'Planning Engine'!$H$4:$H$2500),0)</f>
        <v>-194832.47259249914</v>
      </c>
      <c r="J7" cm="1">
        <f t="array" aca="1" ref="J7" ca="1">IFERROR(SUMPRODUCT(('Planning Engine'!$B$4:$B$2500="188mg LP")*(YEAR('Planning Engine'!$A$4:$A$2500)=2029)*'Planning Engine'!$K$4:$K$2500),0)</f>
        <v>2851200</v>
      </c>
      <c r="K7" s="4" t="str" cm="1">
        <f t="array" aca="1" ref="K7" ca="1">IFERROR(IF(SUMPRODUCT(('Planning Engine'!$B$4:$B$2500="188mg LP")*(YEAR('Planning Engine'!$A$4:$A$2500)=2029)*('Planning Engine'!$L$4:$L$2500="High"))&gt;0,"High",IF(SUMPRODUCT(('Planning Engine'!$B$4:$B$2500="188mg LP")*(YEAR('Planning Engine'!$A$4:$A$2500)=2029)*('Planning Engine'!$L$4:$L$2500="Medium"))&gt;0,"Medium",IF(SUMPRODUCT(('Planning Engine'!$B$4:$B$2500="188mg LP")*(YEAR('Planning Engine'!$A$4:$A$2500)=2029)*('Planning Engine'!$L$4:$L$2500="Overstock"))&gt;0,"Overstock","Low"))),"--")</f>
        <v>High</v>
      </c>
    </row>
    <row r="8" spans="1:11" ht="14" customHeight="1" x14ac:dyDescent="0.35">
      <c r="A8" s="61" t="s">
        <v>26</v>
      </c>
      <c r="B8" s="106" t="s">
        <v>28</v>
      </c>
      <c r="C8" s="12">
        <v>2030</v>
      </c>
      <c r="D8" s="95" cm="1">
        <f t="array" ref="D8">IFERROR(SUMPRODUCT(('Planning Engine'!$B$4:$B$2500="188mg LP")*(YEAR('Planning Engine'!$A$4:$A$2500)=2030)*'Planning Engine'!$F$4:$F$2500),0)</f>
        <v>158260.01095526814</v>
      </c>
      <c r="E8" s="95" cm="1">
        <f t="array" ref="E8">IFERROR(SUMPRODUCT(('Planning Engine'!$B$4:$B$2500="188mg LP")*(YEAR('Planning Engine'!$A$4:$A$2500)=2030)*'Planning Engine'!$G$4:$G$2500),0)</f>
        <v>0</v>
      </c>
      <c r="F8" s="95" cm="1">
        <f t="array" ref="F8">IFERROR(SUMPRODUCT(('Planning Engine'!$B$4:$B$2500="188mg LP")*(YEAR('Planning Engine'!$A$4:$A$2500)=2030)*(MONTH('Planning Engine'!$A$4:$A$2500)=6)*'Planning Engine'!$H$4:$H$2500),0)</f>
        <v>-268471.51700876292</v>
      </c>
      <c r="G8" s="95" cm="1">
        <f t="array" ref="G8">IFERROR(SUMPRODUCT(('Planning Engine'!$B$4:$B$2500="188mg LP")*(YEAR('Planning Engine'!$A$4:$A$2500)=2030)*(MONTH('Planning Engine'!$A$4:$A$2500)=12)*'Planning Engine'!$H$4:$H$2500),0)</f>
        <v>-353092.48354776722</v>
      </c>
      <c r="H8" s="95" cm="1">
        <f t="array" aca="1" ref="H8" ca="1">IFERROR(SUMPRODUCT(('Planning Engine'!$B$4:$B$2500="188mg LP")*(YEAR('Planning Engine'!$A$4:$A$2500)=2030)*('Planning Engine'!$J$4:$J$2500&gt;0)*'Planning Engine'!$J$4:$J$2500)/MAX(1,SUMPRODUCT(('Planning Engine'!$B$4:$B$2500="188mg LP")*(YEAR('Planning Engine'!$A$4:$A$2500)=2030)*('Planning Engine'!$J$4:$J$2500&gt;0))),0)</f>
        <v>0</v>
      </c>
      <c r="I8" s="12" cm="1">
        <f t="array" ref="I8">IFERROR(SUMPRODUCT(('Planning Engine'!$B$4:$B$2500="188mg LP")*(YEAR('Planning Engine'!$A$4:$A$2500)=2030)*(MONTH('Planning Engine'!$A$4:$A$2500)=12)*'Planning Engine'!$H$4:$H$2500),0)</f>
        <v>-353092.48354776722</v>
      </c>
      <c r="J8" cm="1">
        <f t="array" aca="1" ref="J8" ca="1">IFERROR(SUMPRODUCT(('Planning Engine'!$B$4:$B$2500="188mg LP")*(YEAR('Planning Engine'!$A$4:$A$2500)=2030)*'Planning Engine'!$K$4:$K$2500),0)</f>
        <v>4989600</v>
      </c>
      <c r="K8" s="12" t="str" cm="1">
        <f t="array" aca="1" ref="K8" ca="1">IFERROR(IF(SUMPRODUCT(('Planning Engine'!$B$4:$B$2500="188mg LP")*(YEAR('Planning Engine'!$A$4:$A$2500)=2030)*('Planning Engine'!$L$4:$L$2500="High"))&gt;0,"High",IF(SUMPRODUCT(('Planning Engine'!$B$4:$B$2500="188mg LP")*(YEAR('Planning Engine'!$A$4:$A$2500)=2030)*('Planning Engine'!$L$4:$L$2500="Medium"))&gt;0,"Medium",IF(SUMPRODUCT(('Planning Engine'!$B$4:$B$2500="188mg LP")*(YEAR('Planning Engine'!$A$4:$A$2500)=2030)*('Planning Engine'!$L$4:$L$2500="Overstock"))&gt;0,"Overstock","Low"))),"--")</f>
        <v>High</v>
      </c>
    </row>
    <row r="9" spans="1:11" ht="14" customHeight="1" x14ac:dyDescent="0.35">
      <c r="A9" s="53" t="s">
        <v>26</v>
      </c>
      <c r="B9" s="107" t="s">
        <v>28</v>
      </c>
      <c r="C9" s="4">
        <v>2031</v>
      </c>
      <c r="D9" s="99" cm="1">
        <f t="array" ref="D9">IFERROR(SUMPRODUCT(('Planning Engine'!$B$4:$B$2500="188mg LP")*(YEAR('Planning Engine'!$A$4:$A$2500)=2031)*'Planning Engine'!$F$4:$F$2500),0)</f>
        <v>232670.35150970897</v>
      </c>
      <c r="E9" s="99" cm="1">
        <f t="array" ref="E9">IFERROR(SUMPRODUCT(('Planning Engine'!$B$4:$B$2500="188mg LP")*(YEAR('Planning Engine'!$A$4:$A$2500)=2031)*'Planning Engine'!$G$4:$G$2500),0)</f>
        <v>0</v>
      </c>
      <c r="F9" s="99" cm="1">
        <f t="array" ref="F9">IFERROR(SUMPRODUCT(('Planning Engine'!$B$4:$B$2500="188mg LP")*(YEAR('Planning Engine'!$A$4:$A$2500)=2031)*(MONTH('Planning Engine'!$A$4:$A$2500)=6)*'Planning Engine'!$H$4:$H$2500),0)</f>
        <v>-461260.98084711557</v>
      </c>
      <c r="G9" s="99" cm="1">
        <f t="array" ref="G9">IFERROR(SUMPRODUCT(('Planning Engine'!$B$4:$B$2500="188mg LP")*(YEAR('Planning Engine'!$A$4:$A$2500)=2031)*(MONTH('Planning Engine'!$A$4:$A$2500)=12)*'Planning Engine'!$H$4:$H$2500),0)</f>
        <v>-585762.83505747619</v>
      </c>
      <c r="H9" s="99" cm="1">
        <f t="array" aca="1" ref="H9" ca="1">IFERROR(SUMPRODUCT(('Planning Engine'!$B$4:$B$2500="188mg LP")*(YEAR('Planning Engine'!$A$4:$A$2500)=2031)*('Planning Engine'!$J$4:$J$2500&gt;0)*'Planning Engine'!$J$4:$J$2500)/MAX(1,SUMPRODUCT(('Planning Engine'!$B$4:$B$2500="188mg LP")*(YEAR('Planning Engine'!$A$4:$A$2500)=2031)*('Planning Engine'!$J$4:$J$2500&gt;0))),0)</f>
        <v>0</v>
      </c>
      <c r="I9" s="4" cm="1">
        <f t="array" ref="I9">IFERROR(SUMPRODUCT(('Planning Engine'!$B$4:$B$2500="188mg LP")*(YEAR('Planning Engine'!$A$4:$A$2500)=2031)*(MONTH('Planning Engine'!$A$4:$A$2500)=12)*'Planning Engine'!$H$4:$H$2500),0)</f>
        <v>-585762.83505747619</v>
      </c>
      <c r="J9" cm="1">
        <f t="array" aca="1" ref="J9" ca="1">IFERROR(SUMPRODUCT(('Planning Engine'!$B$4:$B$2500="188mg LP")*(YEAR('Planning Engine'!$A$4:$A$2500)=2031)*'Planning Engine'!$K$4:$K$2500),0)</f>
        <v>7970400</v>
      </c>
      <c r="K9" s="4" t="str" cm="1">
        <f t="array" aca="1" ref="K9" ca="1">IFERROR(IF(SUMPRODUCT(('Planning Engine'!$B$4:$B$2500="188mg LP")*(YEAR('Planning Engine'!$A$4:$A$2500)=2031)*('Planning Engine'!$L$4:$L$2500="High"))&gt;0,"High",IF(SUMPRODUCT(('Planning Engine'!$B$4:$B$2500="188mg LP")*(YEAR('Planning Engine'!$A$4:$A$2500)=2031)*('Planning Engine'!$L$4:$L$2500="Medium"))&gt;0,"Medium",IF(SUMPRODUCT(('Planning Engine'!$B$4:$B$2500="188mg LP")*(YEAR('Planning Engine'!$A$4:$A$2500)=2031)*('Planning Engine'!$L$4:$L$2500="Overstock"))&gt;0,"Overstock","Low"))),"--")</f>
        <v>High</v>
      </c>
    </row>
    <row r="10" spans="1:11" ht="14" customHeight="1" x14ac:dyDescent="0.35">
      <c r="A10" s="61" t="s">
        <v>26</v>
      </c>
      <c r="B10" s="106" t="s">
        <v>28</v>
      </c>
      <c r="C10" s="12">
        <v>2032</v>
      </c>
      <c r="D10" s="95" cm="1">
        <f t="array" ref="D10">IFERROR(SUMPRODUCT(('Planning Engine'!$B$4:$B$2500="188mg LP")*(YEAR('Planning Engine'!$A$4:$A$2500)=2032)*'Planning Engine'!$F$4:$F$2500),0)</f>
        <v>279956.91915833374</v>
      </c>
      <c r="E10" s="95" cm="1">
        <f t="array" ref="E10">IFERROR(SUMPRODUCT(('Planning Engine'!$B$4:$B$2500="188mg LP")*(YEAR('Planning Engine'!$A$4:$A$2500)=2032)*'Planning Engine'!$G$4:$G$2500),0)</f>
        <v>0</v>
      </c>
      <c r="F10" s="95" cm="1">
        <f t="array" ref="F10">IFERROR(SUMPRODUCT(('Planning Engine'!$B$4:$B$2500="188mg LP")*(YEAR('Planning Engine'!$A$4:$A$2500)=2032)*(MONTH('Planning Engine'!$A$4:$A$2500)=6)*'Planning Engine'!$H$4:$H$2500),0)</f>
        <v>-724793.03013115807</v>
      </c>
      <c r="G10" s="95" cm="1">
        <f t="array" ref="G10">IFERROR(SUMPRODUCT(('Planning Engine'!$B$4:$B$2500="188mg LP")*(YEAR('Planning Engine'!$A$4:$A$2500)=2032)*(MONTH('Planning Engine'!$A$4:$A$2500)=12)*'Planning Engine'!$H$4:$H$2500),0)</f>
        <v>-865719.75421580987</v>
      </c>
      <c r="H10" s="95" cm="1">
        <f t="array" aca="1" ref="H10" ca="1">IFERROR(SUMPRODUCT(('Planning Engine'!$B$4:$B$2500="188mg LP")*(YEAR('Planning Engine'!$A$4:$A$2500)=2032)*('Planning Engine'!$J$4:$J$2500&gt;0)*'Planning Engine'!$J$4:$J$2500)/MAX(1,SUMPRODUCT(('Planning Engine'!$B$4:$B$2500="188mg LP")*(YEAR('Planning Engine'!$A$4:$A$2500)=2032)*('Planning Engine'!$J$4:$J$2500&gt;0))),0)</f>
        <v>0</v>
      </c>
      <c r="I10" s="12" cm="1">
        <f t="array" ref="I10">IFERROR(SUMPRODUCT(('Planning Engine'!$B$4:$B$2500="188mg LP")*(YEAR('Planning Engine'!$A$4:$A$2500)=2032)*(MONTH('Planning Engine'!$A$4:$A$2500)=12)*'Planning Engine'!$H$4:$H$2500),0)</f>
        <v>-865719.75421580987</v>
      </c>
      <c r="J10" cm="1">
        <f t="array" aca="1" ref="J10" ca="1">IFERROR(SUMPRODUCT(('Planning Engine'!$B$4:$B$2500="188mg LP")*(YEAR('Planning Engine'!$A$4:$A$2500)=2032)*'Planning Engine'!$K$4:$K$2500),0)</f>
        <v>11388600</v>
      </c>
      <c r="K10" s="12" t="str" cm="1">
        <f t="array" aca="1" ref="K10" ca="1">IFERROR(IF(SUMPRODUCT(('Planning Engine'!$B$4:$B$2500="188mg LP")*(YEAR('Planning Engine'!$A$4:$A$2500)=2032)*('Planning Engine'!$L$4:$L$2500="High"))&gt;0,"High",IF(SUMPRODUCT(('Planning Engine'!$B$4:$B$2500="188mg LP")*(YEAR('Planning Engine'!$A$4:$A$2500)=2032)*('Planning Engine'!$L$4:$L$2500="Medium"))&gt;0,"Medium",IF(SUMPRODUCT(('Planning Engine'!$B$4:$B$2500="188mg LP")*(YEAR('Planning Engine'!$A$4:$A$2500)=2032)*('Planning Engine'!$L$4:$L$2500="Overstock"))&gt;0,"Overstock","Low"))),"--")</f>
        <v>High</v>
      </c>
    </row>
    <row r="11" spans="1:11" ht="14" customHeight="1" x14ac:dyDescent="0.35">
      <c r="A11" s="53" t="s">
        <v>26</v>
      </c>
      <c r="B11" s="107" t="s">
        <v>28</v>
      </c>
      <c r="C11" s="4">
        <v>2033</v>
      </c>
      <c r="D11" s="99" cm="1">
        <f t="array" ref="D11">IFERROR(SUMPRODUCT(('Planning Engine'!$B$4:$B$2500="188mg LP")*(YEAR('Planning Engine'!$A$4:$A$2500)=2033)*'Planning Engine'!$F$4:$F$2500),0)</f>
        <v>283777.22404364962</v>
      </c>
      <c r="E11" s="99" cm="1">
        <f t="array" ref="E11">IFERROR(SUMPRODUCT(('Planning Engine'!$B$4:$B$2500="188mg LP")*(YEAR('Planning Engine'!$A$4:$A$2500)=2033)*'Planning Engine'!$G$4:$G$2500),0)</f>
        <v>0</v>
      </c>
      <c r="F11" s="99" cm="1">
        <f t="array" ref="F11">IFERROR(SUMPRODUCT(('Planning Engine'!$B$4:$B$2500="188mg LP")*(YEAR('Planning Engine'!$A$4:$A$2500)=2033)*(MONTH('Planning Engine'!$A$4:$A$2500)=6)*'Planning Engine'!$H$4:$H$2500),0)</f>
        <v>-1007610.4092104523</v>
      </c>
      <c r="G11" s="99" cm="1">
        <f t="array" ref="G11">IFERROR(SUMPRODUCT(('Planning Engine'!$B$4:$B$2500="188mg LP")*(YEAR('Planning Engine'!$A$4:$A$2500)=2033)*(MONTH('Planning Engine'!$A$4:$A$2500)=12)*'Planning Engine'!$H$4:$H$2500),0)</f>
        <v>-1149496.9782594594</v>
      </c>
      <c r="H11" s="99" cm="1">
        <f t="array" aca="1" ref="H11" ca="1">IFERROR(SUMPRODUCT(('Planning Engine'!$B$4:$B$2500="188mg LP")*(YEAR('Planning Engine'!$A$4:$A$2500)=2033)*('Planning Engine'!$J$4:$J$2500&gt;0)*'Planning Engine'!$J$4:$J$2500)/MAX(1,SUMPRODUCT(('Planning Engine'!$B$4:$B$2500="188mg LP")*(YEAR('Planning Engine'!$A$4:$A$2500)=2033)*('Planning Engine'!$J$4:$J$2500&gt;0))),0)</f>
        <v>0</v>
      </c>
      <c r="I11" s="4" cm="1">
        <f t="array" ref="I11">IFERROR(SUMPRODUCT(('Planning Engine'!$B$4:$B$2500="188mg LP")*(YEAR('Planning Engine'!$A$4:$A$2500)=2033)*(MONTH('Planning Engine'!$A$4:$A$2500)=12)*'Planning Engine'!$H$4:$H$2500),0)</f>
        <v>-1149496.9782594594</v>
      </c>
      <c r="J11" cm="1">
        <f t="array" aca="1" ref="J11" ca="1">IFERROR(SUMPRODUCT(('Planning Engine'!$B$4:$B$2500="188mg LP")*(YEAR('Planning Engine'!$A$4:$A$2500)=2033)*'Planning Engine'!$K$4:$K$2500),0)</f>
        <v>14790600</v>
      </c>
      <c r="K11" s="4" t="str" cm="1">
        <f t="array" aca="1" ref="K11" ca="1">IFERROR(IF(SUMPRODUCT(('Planning Engine'!$B$4:$B$2500="188mg LP")*(YEAR('Planning Engine'!$A$4:$A$2500)=2033)*('Planning Engine'!$L$4:$L$2500="High"))&gt;0,"High",IF(SUMPRODUCT(('Planning Engine'!$B$4:$B$2500="188mg LP")*(YEAR('Planning Engine'!$A$4:$A$2500)=2033)*('Planning Engine'!$L$4:$L$2500="Medium"))&gt;0,"Medium",IF(SUMPRODUCT(('Planning Engine'!$B$4:$B$2500="188mg LP")*(YEAR('Planning Engine'!$A$4:$A$2500)=2033)*('Planning Engine'!$L$4:$L$2500="Overstock"))&gt;0,"Overstock","Low"))),"--")</f>
        <v>High</v>
      </c>
    </row>
    <row r="12" spans="1:11" ht="14" customHeight="1" x14ac:dyDescent="0.35">
      <c r="A12" s="61" t="s">
        <v>26</v>
      </c>
      <c r="B12" s="106" t="s">
        <v>28</v>
      </c>
      <c r="C12" s="12">
        <v>2034</v>
      </c>
      <c r="D12" s="95" cm="1">
        <f t="array" ref="D12">IFERROR(SUMPRODUCT(('Planning Engine'!$B$4:$B$2500="188mg LP")*(YEAR('Planning Engine'!$A$4:$A$2500)=2034)*'Planning Engine'!$F$4:$F$2500),0)</f>
        <v>285262.44376453187</v>
      </c>
      <c r="E12" s="95" cm="1">
        <f t="array" ref="E12">IFERROR(SUMPRODUCT(('Planning Engine'!$B$4:$B$2500="188mg LP")*(YEAR('Planning Engine'!$A$4:$A$2500)=2034)*'Planning Engine'!$G$4:$G$2500),0)</f>
        <v>0</v>
      </c>
      <c r="F12" s="95" cm="1">
        <f t="array" ref="F12">IFERROR(SUMPRODUCT(('Planning Engine'!$B$4:$B$2500="188mg LP")*(YEAR('Planning Engine'!$A$4:$A$2500)=2034)*(MONTH('Planning Engine'!$A$4:$A$2500)=6)*'Planning Engine'!$H$4:$H$2500),0)</f>
        <v>-1292784.244174161</v>
      </c>
      <c r="G12" s="95" cm="1">
        <f t="array" ref="G12">IFERROR(SUMPRODUCT(('Planning Engine'!$B$4:$B$2500="188mg LP")*(YEAR('Planning Engine'!$A$4:$A$2500)=2034)*(MONTH('Planning Engine'!$A$4:$A$2500)=12)*'Planning Engine'!$H$4:$H$2500),0)</f>
        <v>-1434759.4220239916</v>
      </c>
      <c r="H12" s="95" cm="1">
        <f t="array" aca="1" ref="H12" ca="1">IFERROR(SUMPRODUCT(('Planning Engine'!$B$4:$B$2500="188mg LP")*(YEAR('Planning Engine'!$A$4:$A$2500)=2034)*('Planning Engine'!$J$4:$J$2500&gt;0)*'Planning Engine'!$J$4:$J$2500)/MAX(1,SUMPRODUCT(('Planning Engine'!$B$4:$B$2500="188mg LP")*(YEAR('Planning Engine'!$A$4:$A$2500)=2034)*('Planning Engine'!$J$4:$J$2500&gt;0))),0)</f>
        <v>0</v>
      </c>
      <c r="I12" s="12" cm="1">
        <f t="array" ref="I12">IFERROR(SUMPRODUCT(('Planning Engine'!$B$4:$B$2500="188mg LP")*(YEAR('Planning Engine'!$A$4:$A$2500)=2034)*(MONTH('Planning Engine'!$A$4:$A$2500)=12)*'Planning Engine'!$H$4:$H$2500),0)</f>
        <v>-1434759.4220239916</v>
      </c>
      <c r="J12" cm="1">
        <f t="array" aca="1" ref="J12" ca="1">IFERROR(SUMPRODUCT(('Planning Engine'!$B$4:$B$2500="188mg LP")*(YEAR('Planning Engine'!$A$4:$A$2500)=2034)*'Planning Engine'!$K$4:$K$2500),0)</f>
        <v>18208800</v>
      </c>
      <c r="K12" s="12" t="str" cm="1">
        <f t="array" aca="1" ref="K12" ca="1">IFERROR(IF(SUMPRODUCT(('Planning Engine'!$B$4:$B$2500="188mg LP")*(YEAR('Planning Engine'!$A$4:$A$2500)=2034)*('Planning Engine'!$L$4:$L$2500="High"))&gt;0,"High",IF(SUMPRODUCT(('Planning Engine'!$B$4:$B$2500="188mg LP")*(YEAR('Planning Engine'!$A$4:$A$2500)=2034)*('Planning Engine'!$L$4:$L$2500="Medium"))&gt;0,"Medium",IF(SUMPRODUCT(('Planning Engine'!$B$4:$B$2500="188mg LP")*(YEAR('Planning Engine'!$A$4:$A$2500)=2034)*('Planning Engine'!$L$4:$L$2500="Overstock"))&gt;0,"Overstock","Low"))),"--")</f>
        <v>High</v>
      </c>
    </row>
    <row r="13" spans="1:11" ht="14" customHeight="1" x14ac:dyDescent="0.35">
      <c r="A13" s="53" t="s">
        <v>26</v>
      </c>
      <c r="B13" s="107" t="s">
        <v>28</v>
      </c>
      <c r="C13" s="4">
        <v>2035</v>
      </c>
      <c r="D13" s="99" cm="1">
        <f t="array" ref="D13">IFERROR(SUMPRODUCT(('Planning Engine'!$B$4:$B$2500="188mg LP")*(YEAR('Planning Engine'!$A$4:$A$2500)=2035)*'Planning Engine'!$F$4:$F$2500),0)</f>
        <v>287005.9424487229</v>
      </c>
      <c r="E13" s="99" cm="1">
        <f t="array" ref="E13">IFERROR(SUMPRODUCT(('Planning Engine'!$B$4:$B$2500="188mg LP")*(YEAR('Planning Engine'!$A$4:$A$2500)=2035)*'Planning Engine'!$G$4:$G$2500),0)</f>
        <v>0</v>
      </c>
      <c r="F13" s="99" cm="1">
        <f t="array" ref="F13">IFERROR(SUMPRODUCT(('Planning Engine'!$B$4:$B$2500="188mg LP")*(YEAR('Planning Engine'!$A$4:$A$2500)=2035)*(MONTH('Planning Engine'!$A$4:$A$2500)=6)*'Planning Engine'!$H$4:$H$2500),0)</f>
        <v>-1578828.0779001422</v>
      </c>
      <c r="G13" s="99" cm="1">
        <f t="array" ref="G13">IFERROR(SUMPRODUCT(('Planning Engine'!$B$4:$B$2500="188mg LP")*(YEAR('Planning Engine'!$A$4:$A$2500)=2035)*(MONTH('Planning Engine'!$A$4:$A$2500)=12)*'Planning Engine'!$H$4:$H$2500),0)</f>
        <v>-1721765.3644727143</v>
      </c>
      <c r="H13" s="99" cm="1">
        <f t="array" aca="1" ref="H13" ca="1">IFERROR(SUMPRODUCT(('Planning Engine'!$B$4:$B$2500="188mg LP")*(YEAR('Planning Engine'!$A$4:$A$2500)=2035)*('Planning Engine'!$J$4:$J$2500&gt;0)*'Planning Engine'!$J$4:$J$2500)/MAX(1,SUMPRODUCT(('Planning Engine'!$B$4:$B$2500="188mg LP")*(YEAR('Planning Engine'!$A$4:$A$2500)=2035)*('Planning Engine'!$J$4:$J$2500&gt;0))),0)</f>
        <v>0</v>
      </c>
      <c r="I13" s="4" cm="1">
        <f t="array" ref="I13">IFERROR(SUMPRODUCT(('Planning Engine'!$B$4:$B$2500="188mg LP")*(YEAR('Planning Engine'!$A$4:$A$2500)=2035)*(MONTH('Planning Engine'!$A$4:$A$2500)=12)*'Planning Engine'!$H$4:$H$2500),0)</f>
        <v>-1721765.3644727143</v>
      </c>
      <c r="J13" cm="1">
        <f t="array" aca="1" ref="J13" ca="1">IFERROR(SUMPRODUCT(('Planning Engine'!$B$4:$B$2500="188mg LP")*(YEAR('Planning Engine'!$A$4:$A$2500)=2035)*'Planning Engine'!$K$4:$K$2500),0)</f>
        <v>21675600</v>
      </c>
      <c r="K13" s="4" t="str" cm="1">
        <f t="array" aca="1" ref="K13" ca="1">IFERROR(IF(SUMPRODUCT(('Planning Engine'!$B$4:$B$2500="188mg LP")*(YEAR('Planning Engine'!$A$4:$A$2500)=2035)*('Planning Engine'!$L$4:$L$2500="High"))&gt;0,"High",IF(SUMPRODUCT(('Planning Engine'!$B$4:$B$2500="188mg LP")*(YEAR('Planning Engine'!$A$4:$A$2500)=2035)*('Planning Engine'!$L$4:$L$2500="Medium"))&gt;0,"Medium",IF(SUMPRODUCT(('Planning Engine'!$B$4:$B$2500="188mg LP")*(YEAR('Planning Engine'!$A$4:$A$2500)=2035)*('Planning Engine'!$L$4:$L$2500="Overstock"))&gt;0,"Overstock","Low"))),"--")</f>
        <v>High</v>
      </c>
    </row>
    <row r="14" spans="1:11" ht="14" customHeight="1" x14ac:dyDescent="0.35">
      <c r="A14" s="61" t="s">
        <v>26</v>
      </c>
      <c r="B14" s="106" t="s">
        <v>28</v>
      </c>
      <c r="C14" s="12">
        <v>2036</v>
      </c>
      <c r="D14" s="95" cm="1">
        <f t="array" ref="D14">IFERROR(SUMPRODUCT(('Planning Engine'!$B$4:$B$2500="188mg LP")*(YEAR('Planning Engine'!$A$4:$A$2500)=2036)*'Planning Engine'!$F$4:$F$2500),0)</f>
        <v>287219.64835011581</v>
      </c>
      <c r="E14" s="95" cm="1">
        <f t="array" ref="E14">IFERROR(SUMPRODUCT(('Planning Engine'!$B$4:$B$2500="188mg LP")*(YEAR('Planning Engine'!$A$4:$A$2500)=2036)*'Planning Engine'!$G$4:$G$2500),0)</f>
        <v>0</v>
      </c>
      <c r="F14" s="95" cm="1">
        <f t="array" ref="F14">IFERROR(SUMPRODUCT(('Planning Engine'!$B$4:$B$2500="188mg LP")*(YEAR('Planning Engine'!$A$4:$A$2500)=2036)*(MONTH('Planning Engine'!$A$4:$A$2500)=6)*'Planning Engine'!$H$4:$H$2500),0)</f>
        <v>-1866677.1503080623</v>
      </c>
      <c r="G14" s="95" cm="1">
        <f t="array" ref="G14">IFERROR(SUMPRODUCT(('Planning Engine'!$B$4:$B$2500="188mg LP")*(YEAR('Planning Engine'!$A$4:$A$2500)=2036)*(MONTH('Planning Engine'!$A$4:$A$2500)=12)*'Planning Engine'!$H$4:$H$2500),0)</f>
        <v>-2008985.0128228304</v>
      </c>
      <c r="H14" s="95" cm="1">
        <f t="array" aca="1" ref="H14" ca="1">IFERROR(SUMPRODUCT(('Planning Engine'!$B$4:$B$2500="188mg LP")*(YEAR('Planning Engine'!$A$4:$A$2500)=2036)*('Planning Engine'!$J$4:$J$2500&gt;0)*'Planning Engine'!$J$4:$J$2500)/MAX(1,SUMPRODUCT(('Planning Engine'!$B$4:$B$2500="188mg LP")*(YEAR('Planning Engine'!$A$4:$A$2500)=2036)*('Planning Engine'!$J$4:$J$2500&gt;0))),0)</f>
        <v>0</v>
      </c>
      <c r="I14" s="12" cm="1">
        <f t="array" ref="I14">IFERROR(SUMPRODUCT(('Planning Engine'!$B$4:$B$2500="188mg LP")*(YEAR('Planning Engine'!$A$4:$A$2500)=2036)*(MONTH('Planning Engine'!$A$4:$A$2500)=12)*'Planning Engine'!$H$4:$H$2500),0)</f>
        <v>-2008985.0128228304</v>
      </c>
      <c r="J14" cm="1">
        <f t="array" aca="1" ref="J14" ca="1">IFERROR(SUMPRODUCT(('Planning Engine'!$B$4:$B$2500="188mg LP")*(YEAR('Planning Engine'!$A$4:$A$2500)=2036)*'Planning Engine'!$K$4:$K$2500),0)</f>
        <v>25158600</v>
      </c>
      <c r="K14" s="12" t="str" cm="1">
        <f t="array" aca="1" ref="K14" ca="1">IFERROR(IF(SUMPRODUCT(('Planning Engine'!$B$4:$B$2500="188mg LP")*(YEAR('Planning Engine'!$A$4:$A$2500)=2036)*('Planning Engine'!$L$4:$L$2500="High"))&gt;0,"High",IF(SUMPRODUCT(('Planning Engine'!$B$4:$B$2500="188mg LP")*(YEAR('Planning Engine'!$A$4:$A$2500)=2036)*('Planning Engine'!$L$4:$L$2500="Medium"))&gt;0,"Medium",IF(SUMPRODUCT(('Planning Engine'!$B$4:$B$2500="188mg LP")*(YEAR('Planning Engine'!$A$4:$A$2500)=2036)*('Planning Engine'!$L$4:$L$2500="Overstock"))&gt;0,"Overstock","Low"))),"--")</f>
        <v>High</v>
      </c>
    </row>
    <row r="15" spans="1:11" ht="14" customHeight="1" x14ac:dyDescent="0.35">
      <c r="A15" s="53" t="s">
        <v>26</v>
      </c>
      <c r="B15" s="107" t="s">
        <v>28</v>
      </c>
      <c r="C15" s="4">
        <v>2037</v>
      </c>
      <c r="D15" s="99" cm="1">
        <f t="array" ref="D15">IFERROR(SUMPRODUCT(('Planning Engine'!$B$4:$B$2500="188mg LP")*(YEAR('Planning Engine'!$A$4:$A$2500)=2037)*'Planning Engine'!$F$4:$F$2500),0)</f>
        <v>269324.95541185641</v>
      </c>
      <c r="E15" s="99" cm="1">
        <f t="array" ref="E15">IFERROR(SUMPRODUCT(('Planning Engine'!$B$4:$B$2500="188mg LP")*(YEAR('Planning Engine'!$A$4:$A$2500)=2037)*'Planning Engine'!$G$4:$G$2500),0)</f>
        <v>0</v>
      </c>
      <c r="F15" s="99" cm="1">
        <f t="array" ref="F15">IFERROR(SUMPRODUCT(('Planning Engine'!$B$4:$B$2500="188mg LP")*(YEAR('Planning Engine'!$A$4:$A$2500)=2037)*(MONTH('Planning Engine'!$A$4:$A$2500)=6)*'Planning Engine'!$H$4:$H$2500),0)</f>
        <v>-2155531.9604320591</v>
      </c>
      <c r="G15" s="99" cm="1">
        <f t="array" ref="G15">IFERROR(SUMPRODUCT(('Planning Engine'!$B$4:$B$2500="188mg LP")*(YEAR('Planning Engine'!$A$4:$A$2500)=2037)*(MONTH('Planning Engine'!$A$4:$A$2500)=12)*'Planning Engine'!$H$4:$H$2500),0)</f>
        <v>-2278309.9682346876</v>
      </c>
      <c r="H15" s="99" cm="1">
        <f t="array" aca="1" ref="H15" ca="1">IFERROR(SUMPRODUCT(('Planning Engine'!$B$4:$B$2500="188mg LP")*(YEAR('Planning Engine'!$A$4:$A$2500)=2037)*('Planning Engine'!$J$4:$J$2500&gt;0)*'Planning Engine'!$J$4:$J$2500)/MAX(1,SUMPRODUCT(('Planning Engine'!$B$4:$B$2500="188mg LP")*(YEAR('Planning Engine'!$A$4:$A$2500)=2037)*('Planning Engine'!$J$4:$J$2500&gt;0))),0)</f>
        <v>0</v>
      </c>
      <c r="I15" s="4" cm="1">
        <f t="array" ref="I15">IFERROR(SUMPRODUCT(('Planning Engine'!$B$4:$B$2500="188mg LP")*(YEAR('Planning Engine'!$A$4:$A$2500)=2037)*(MONTH('Planning Engine'!$A$4:$A$2500)=12)*'Planning Engine'!$H$4:$H$2500),0)</f>
        <v>-2278309.9682346876</v>
      </c>
      <c r="J15" cm="1">
        <f t="array" aca="1" ref="J15" ca="1">IFERROR(SUMPRODUCT(('Planning Engine'!$B$4:$B$2500="188mg LP")*(YEAR('Planning Engine'!$A$4:$A$2500)=2037)*'Planning Engine'!$K$4:$K$2500),0)</f>
        <v>27945000</v>
      </c>
      <c r="K15" s="4" t="str" cm="1">
        <f t="array" aca="1" ref="K15" ca="1">IFERROR(IF(SUMPRODUCT(('Planning Engine'!$B$4:$B$2500="188mg LP")*(YEAR('Planning Engine'!$A$4:$A$2500)=2037)*('Planning Engine'!$L$4:$L$2500="High"))&gt;0,"High",IF(SUMPRODUCT(('Planning Engine'!$B$4:$B$2500="188mg LP")*(YEAR('Planning Engine'!$A$4:$A$2500)=2037)*('Planning Engine'!$L$4:$L$2500="Medium"))&gt;0,"Medium",IF(SUMPRODUCT(('Planning Engine'!$B$4:$B$2500="188mg LP")*(YEAR('Planning Engine'!$A$4:$A$2500)=2037)*('Planning Engine'!$L$4:$L$2500="Overstock"))&gt;0,"Overstock","Low"))),"--")</f>
        <v>High</v>
      </c>
    </row>
    <row r="16" spans="1:11" ht="14" customHeight="1" x14ac:dyDescent="0.35">
      <c r="A16" s="61" t="s">
        <v>26</v>
      </c>
      <c r="B16" s="106" t="s">
        <v>28</v>
      </c>
      <c r="C16" s="12">
        <v>2038</v>
      </c>
      <c r="D16" s="95" cm="1">
        <f t="array" ref="D16">IFERROR(SUMPRODUCT(('Planning Engine'!$B$4:$B$2500="188mg LP")*(YEAR('Planning Engine'!$A$4:$A$2500)=2038)*'Planning Engine'!$F$4:$F$2500),0)</f>
        <v>107549.84568967708</v>
      </c>
      <c r="E16" s="95" cm="1">
        <f t="array" ref="E16">IFERROR(SUMPRODUCT(('Planning Engine'!$B$4:$B$2500="188mg LP")*(YEAR('Planning Engine'!$A$4:$A$2500)=2038)*'Planning Engine'!$G$4:$G$2500),0)</f>
        <v>0</v>
      </c>
      <c r="F16" s="95" cm="1">
        <f t="array" ref="F16">IFERROR(SUMPRODUCT(('Planning Engine'!$B$4:$B$2500="188mg LP")*(YEAR('Planning Engine'!$A$4:$A$2500)=2038)*(MONTH('Planning Engine'!$A$4:$A$2500)=6)*'Planning Engine'!$H$4:$H$2500),0)</f>
        <v>-2348298.2258602954</v>
      </c>
      <c r="G16" s="95" cm="1">
        <f t="array" ref="G16">IFERROR(SUMPRODUCT(('Planning Engine'!$B$4:$B$2500="188mg LP")*(YEAR('Planning Engine'!$A$4:$A$2500)=2038)*(MONTH('Planning Engine'!$A$4:$A$2500)=12)*'Planning Engine'!$H$4:$H$2500),0)</f>
        <v>-2385859.8139243652</v>
      </c>
      <c r="H16" s="95" cm="1">
        <f t="array" aca="1" ref="H16" ca="1">IFERROR(SUMPRODUCT(('Planning Engine'!$B$4:$B$2500="188mg LP")*(YEAR('Planning Engine'!$A$4:$A$2500)=2038)*('Planning Engine'!$J$4:$J$2500&gt;0)*'Planning Engine'!$J$4:$J$2500)/MAX(1,SUMPRODUCT(('Planning Engine'!$B$4:$B$2500="188mg LP")*(YEAR('Planning Engine'!$A$4:$A$2500)=2038)*('Planning Engine'!$J$4:$J$2500&gt;0))),0)</f>
        <v>0</v>
      </c>
      <c r="I16" s="12" cm="1">
        <f t="array" ref="I16">IFERROR(SUMPRODUCT(('Planning Engine'!$B$4:$B$2500="188mg LP")*(YEAR('Planning Engine'!$A$4:$A$2500)=2038)*(MONTH('Planning Engine'!$A$4:$A$2500)=12)*'Planning Engine'!$H$4:$H$2500),0)</f>
        <v>-2385859.8139243652</v>
      </c>
      <c r="J16" cm="1">
        <f t="array" aca="1" ref="J16" ca="1">IFERROR(SUMPRODUCT(('Planning Engine'!$B$4:$B$2500="188mg LP")*(YEAR('Planning Engine'!$A$4:$A$2500)=2038)*'Planning Engine'!$K$4:$K$2500),0)</f>
        <v>28819800</v>
      </c>
      <c r="K16" s="12" t="str" cm="1">
        <f t="array" aca="1" ref="K16" ca="1">IFERROR(IF(SUMPRODUCT(('Planning Engine'!$B$4:$B$2500="188mg LP")*(YEAR('Planning Engine'!$A$4:$A$2500)=2038)*('Planning Engine'!$L$4:$L$2500="High"))&gt;0,"High",IF(SUMPRODUCT(('Planning Engine'!$B$4:$B$2500="188mg LP")*(YEAR('Planning Engine'!$A$4:$A$2500)=2038)*('Planning Engine'!$L$4:$L$2500="Medium"))&gt;0,"Medium",IF(SUMPRODUCT(('Planning Engine'!$B$4:$B$2500="188mg LP")*(YEAR('Planning Engine'!$A$4:$A$2500)=2038)*('Planning Engine'!$L$4:$L$2500="Overstock"))&gt;0,"Overstock","Low"))),"--")</f>
        <v>High</v>
      </c>
    </row>
    <row r="17" spans="1:11" ht="14" customHeight="1" x14ac:dyDescent="0.35">
      <c r="A17" s="53" t="s">
        <v>26</v>
      </c>
      <c r="B17" s="107" t="s">
        <v>28</v>
      </c>
      <c r="C17" s="4">
        <v>2039</v>
      </c>
      <c r="D17" s="99" cm="1">
        <f t="array" ref="D17">IFERROR(SUMPRODUCT(('Planning Engine'!$B$4:$B$2500="188mg LP")*(YEAR('Planning Engine'!$A$4:$A$2500)=2039)*'Planning Engine'!$F$4:$F$2500),0)</f>
        <v>24127.711013432163</v>
      </c>
      <c r="E17" s="99" cm="1">
        <f t="array" ref="E17">IFERROR(SUMPRODUCT(('Planning Engine'!$B$4:$B$2500="188mg LP")*(YEAR('Planning Engine'!$A$4:$A$2500)=2039)*'Planning Engine'!$G$4:$G$2500),0)</f>
        <v>0</v>
      </c>
      <c r="F17" s="99" cm="1">
        <f t="array" ref="F17">IFERROR(SUMPRODUCT(('Planning Engine'!$B$4:$B$2500="188mg LP")*(YEAR('Planning Engine'!$A$4:$A$2500)=2039)*(MONTH('Planning Engine'!$A$4:$A$2500)=6)*'Planning Engine'!$H$4:$H$2500),0)</f>
        <v>-2402645.6034465763</v>
      </c>
      <c r="G17" s="99" cm="1">
        <f t="array" ref="G17">IFERROR(SUMPRODUCT(('Planning Engine'!$B$4:$B$2500="188mg LP")*(YEAR('Planning Engine'!$A$4:$A$2500)=2039)*(MONTH('Planning Engine'!$A$4:$A$2500)=12)*'Planning Engine'!$H$4:$H$2500),0)</f>
        <v>-2409987.5249377978</v>
      </c>
      <c r="H17" s="99" cm="1">
        <f t="array" aca="1" ref="H17" ca="1">IFERROR(SUMPRODUCT(('Planning Engine'!$B$4:$B$2500="188mg LP")*(YEAR('Planning Engine'!$A$4:$A$2500)=2039)*('Planning Engine'!$J$4:$J$2500&gt;0)*'Planning Engine'!$J$4:$J$2500)/MAX(1,SUMPRODUCT(('Planning Engine'!$B$4:$B$2500="188mg LP")*(YEAR('Planning Engine'!$A$4:$A$2500)=2039)*('Planning Engine'!$J$4:$J$2500&gt;0))),0)</f>
        <v>0</v>
      </c>
      <c r="I17" s="4" cm="1">
        <f t="array" ref="I17">IFERROR(SUMPRODUCT(('Planning Engine'!$B$4:$B$2500="188mg LP")*(YEAR('Planning Engine'!$A$4:$A$2500)=2039)*(MONTH('Planning Engine'!$A$4:$A$2500)=12)*'Planning Engine'!$H$4:$H$2500),0)</f>
        <v>-2409987.5249377978</v>
      </c>
      <c r="J17" cm="1">
        <f t="array" aca="1" ref="J17" ca="1">IFERROR(SUMPRODUCT(('Planning Engine'!$B$4:$B$2500="188mg LP")*(YEAR('Planning Engine'!$A$4:$A$2500)=2039)*'Planning Engine'!$K$4:$K$2500),0)</f>
        <v>28965600</v>
      </c>
      <c r="K17" s="4" t="str" cm="1">
        <f t="array" aca="1" ref="K17" ca="1">IFERROR(IF(SUMPRODUCT(('Planning Engine'!$B$4:$B$2500="188mg LP")*(YEAR('Planning Engine'!$A$4:$A$2500)=2039)*('Planning Engine'!$L$4:$L$2500="High"))&gt;0,"High",IF(SUMPRODUCT(('Planning Engine'!$B$4:$B$2500="188mg LP")*(YEAR('Planning Engine'!$A$4:$A$2500)=2039)*('Planning Engine'!$L$4:$L$2500="Medium"))&gt;0,"Medium",IF(SUMPRODUCT(('Planning Engine'!$B$4:$B$2500="188mg LP")*(YEAR('Planning Engine'!$A$4:$A$2500)=2039)*('Planning Engine'!$L$4:$L$2500="Overstock"))&gt;0,"Overstock","Low"))),"--")</f>
        <v>High</v>
      </c>
    </row>
    <row r="18" spans="1:11" ht="14" customHeight="1" x14ac:dyDescent="0.35">
      <c r="A18" s="61" t="s">
        <v>26</v>
      </c>
      <c r="B18" s="106" t="s">
        <v>28</v>
      </c>
      <c r="C18" s="12">
        <v>2040</v>
      </c>
      <c r="D18" s="95" cm="1">
        <f t="array" ref="D18">IFERROR(SUMPRODUCT(('Planning Engine'!$B$4:$B$2500="188mg LP")*(YEAR('Planning Engine'!$A$4:$A$2500)=2040)*'Planning Engine'!$F$4:$F$2500),0)</f>
        <v>14935.721500855458</v>
      </c>
      <c r="E18" s="95" cm="1">
        <f t="array" ref="E18">IFERROR(SUMPRODUCT(('Planning Engine'!$B$4:$B$2500="188mg LP")*(YEAR('Planning Engine'!$A$4:$A$2500)=2040)*'Planning Engine'!$G$4:$G$2500),0)</f>
        <v>0</v>
      </c>
      <c r="F18" s="95" cm="1">
        <f t="array" ref="F18">IFERROR(SUMPRODUCT(('Planning Engine'!$B$4:$B$2500="188mg LP")*(YEAR('Planning Engine'!$A$4:$A$2500)=2040)*(MONTH('Planning Engine'!$A$4:$A$2500)=6)*'Planning Engine'!$H$4:$H$2500),0)</f>
        <v>-2417519.5954556339</v>
      </c>
      <c r="G18" s="95" cm="1">
        <f t="array" ref="G18">IFERROR(SUMPRODUCT(('Planning Engine'!$B$4:$B$2500="188mg LP")*(YEAR('Planning Engine'!$A$4:$A$2500)=2040)*(MONTH('Planning Engine'!$A$4:$A$2500)=12)*'Planning Engine'!$H$4:$H$2500),0)</f>
        <v>-2424923.2464386537</v>
      </c>
      <c r="H18" s="95" cm="1">
        <f t="array" aca="1" ref="H18" ca="1">IFERROR(SUMPRODUCT(('Planning Engine'!$B$4:$B$2500="188mg LP")*(YEAR('Planning Engine'!$A$4:$A$2500)=2040)*('Planning Engine'!$J$4:$J$2500&gt;0)*'Planning Engine'!$J$4:$J$2500)/MAX(1,SUMPRODUCT(('Planning Engine'!$B$4:$B$2500="188mg LP")*(YEAR('Planning Engine'!$A$4:$A$2500)=2040)*('Planning Engine'!$J$4:$J$2500&gt;0))),0)</f>
        <v>0</v>
      </c>
      <c r="I18" s="12" cm="1">
        <f t="array" ref="I18">IFERROR(SUMPRODUCT(('Planning Engine'!$B$4:$B$2500="188mg LP")*(YEAR('Planning Engine'!$A$4:$A$2500)=2040)*(MONTH('Planning Engine'!$A$4:$A$2500)=12)*'Planning Engine'!$H$4:$H$2500),0)</f>
        <v>-2424923.2464386537</v>
      </c>
      <c r="J18" cm="1">
        <f t="array" aca="1" ref="J18" ca="1">IFERROR(SUMPRODUCT(('Planning Engine'!$B$4:$B$2500="188mg LP")*(YEAR('Planning Engine'!$A$4:$A$2500)=2040)*'Planning Engine'!$K$4:$K$2500),0)</f>
        <v>29160000</v>
      </c>
      <c r="K18" s="12" t="str" cm="1">
        <f t="array" aca="1" ref="K18" ca="1">IFERROR(IF(SUMPRODUCT(('Planning Engine'!$B$4:$B$2500="188mg LP")*(YEAR('Planning Engine'!$A$4:$A$2500)=2040)*('Planning Engine'!$L$4:$L$2500="High"))&gt;0,"High",IF(SUMPRODUCT(('Planning Engine'!$B$4:$B$2500="188mg LP")*(YEAR('Planning Engine'!$A$4:$A$2500)=2040)*('Planning Engine'!$L$4:$L$2500="Medium"))&gt;0,"Medium",IF(SUMPRODUCT(('Planning Engine'!$B$4:$B$2500="188mg LP")*(YEAR('Planning Engine'!$A$4:$A$2500)=2040)*('Planning Engine'!$L$4:$L$2500="Overstock"))&gt;0,"Overstock","Low"))),"--")</f>
        <v>High</v>
      </c>
    </row>
    <row r="19" spans="1:11" ht="14" customHeight="1" x14ac:dyDescent="0.35">
      <c r="A19" s="53" t="s">
        <v>35</v>
      </c>
      <c r="B19" s="107" t="s">
        <v>28</v>
      </c>
      <c r="C19" s="4">
        <v>2026</v>
      </c>
      <c r="D19" s="99" cm="1">
        <f t="array" ref="D19">IFERROR(SUMPRODUCT(('Planning Engine'!$B$4:$B$2500="47mg LP")*(YEAR('Planning Engine'!$A$4:$A$2500)=2026)*'Planning Engine'!$F$4:$F$2500),0)</f>
        <v>11772.257254365713</v>
      </c>
      <c r="E19" s="99" cm="1">
        <f t="array" ref="E19">IFERROR(SUMPRODUCT(('Planning Engine'!$B$4:$B$2500="47mg LP")*(YEAR('Planning Engine'!$A$4:$A$2500)=2026)*'Planning Engine'!$G$4:$G$2500),0)</f>
        <v>5</v>
      </c>
      <c r="F19" s="99" cm="1">
        <f t="array" ref="F19">IFERROR(SUMPRODUCT(('Planning Engine'!$B$4:$B$2500="47mg LP")*(YEAR('Planning Engine'!$A$4:$A$2500)=2026)*(MONTH('Planning Engine'!$A$4:$A$2500)=6)*'Planning Engine'!$H$4:$H$2500),0)</f>
        <v>37100.330197751631</v>
      </c>
      <c r="G19" s="99" cm="1">
        <f t="array" ref="G19">IFERROR(SUMPRODUCT(('Planning Engine'!$B$4:$B$2500="47mg LP")*(YEAR('Planning Engine'!$A$4:$A$2500)=2026)*(MONTH('Planning Engine'!$A$4:$A$2500)=12)*'Planning Engine'!$H$4:$H$2500),0)</f>
        <v>30053.273843258077</v>
      </c>
      <c r="H19" s="99" cm="1">
        <f t="array" aca="1" ref="H19" ca="1">IFERROR(SUMPRODUCT(('Planning Engine'!$B$4:$B$2500="47mg LP")*(YEAR('Planning Engine'!$A$4:$A$2500)=2026)*('Planning Engine'!$J$4:$J$2500&gt;0)*'Planning Engine'!$J$4:$J$2500)/MAX(1,SUMPRODUCT(('Planning Engine'!$B$4:$B$2500="47mg LP")*(YEAR('Planning Engine'!$A$4:$A$2500)=2026)*('Planning Engine'!$J$4:$J$2500&gt;0))),0)</f>
        <v>28.419550666679278</v>
      </c>
      <c r="I19" s="4" cm="1">
        <f t="array" ref="I19">IFERROR(SUMPRODUCT(('Planning Engine'!$B$4:$B$2500="47mg LP")*(YEAR('Planning Engine'!$A$4:$A$2500)=2026)*(MONTH('Planning Engine'!$A$4:$A$2500)=12)*'Planning Engine'!$H$4:$H$2500),0)</f>
        <v>30053.273843258077</v>
      </c>
      <c r="J19" cm="1">
        <f t="array" aca="1" ref="J19" ca="1">IFERROR(SUMPRODUCT(('Planning Engine'!$B$4:$B$2500="47mg LP")*(YEAR('Planning Engine'!$A$4:$A$2500)=2026)*'Planning Engine'!$K$4:$K$2500),0)</f>
        <v>0</v>
      </c>
      <c r="K19" s="4" t="str" cm="1">
        <f t="array" aca="1" ref="K19" ca="1">IFERROR(IF(SUMPRODUCT(('Planning Engine'!$B$4:$B$2500="47mg LP")*(YEAR('Planning Engine'!$A$4:$A$2500)=2026)*('Planning Engine'!$L$4:$L$2500="High"))&gt;0,"High",IF(SUMPRODUCT(('Planning Engine'!$B$4:$B$2500="47mg LP")*(YEAR('Planning Engine'!$A$4:$A$2500)=2026)*('Planning Engine'!$L$4:$L$2500="Medium"))&gt;0,"Medium",IF(SUMPRODUCT(('Planning Engine'!$B$4:$B$2500="47mg LP")*(YEAR('Planning Engine'!$A$4:$A$2500)=2026)*('Planning Engine'!$L$4:$L$2500="Overstock"))&gt;0,"Overstock","Low"))),"--")</f>
        <v>Overstock</v>
      </c>
    </row>
    <row r="20" spans="1:11" ht="14" customHeight="1" x14ac:dyDescent="0.35">
      <c r="A20" s="61" t="s">
        <v>35</v>
      </c>
      <c r="B20" s="106" t="s">
        <v>28</v>
      </c>
      <c r="C20" s="12">
        <v>2027</v>
      </c>
      <c r="D20" s="95" cm="1">
        <f t="array" ref="D20">IFERROR(SUMPRODUCT(('Planning Engine'!$B$4:$B$2500="47mg LP")*(YEAR('Planning Engine'!$A$4:$A$2500)=2027)*'Planning Engine'!$F$4:$F$2500),0)</f>
        <v>23073.338721809319</v>
      </c>
      <c r="E20" s="95" cm="1">
        <f t="array" ref="E20">IFERROR(SUMPRODUCT(('Planning Engine'!$B$4:$B$2500="47mg LP")*(YEAR('Planning Engine'!$A$4:$A$2500)=2027)*'Planning Engine'!$G$4:$G$2500),0)</f>
        <v>0</v>
      </c>
      <c r="F20" s="95" cm="1">
        <f t="array" ref="F20">IFERROR(SUMPRODUCT(('Planning Engine'!$B$4:$B$2500="47mg LP")*(YEAR('Planning Engine'!$A$4:$A$2500)=2027)*(MONTH('Planning Engine'!$A$4:$A$2500)=6)*'Planning Engine'!$H$4:$H$2500),0)</f>
        <v>20715.859957656867</v>
      </c>
      <c r="G20" s="95" cm="1">
        <f t="array" ref="G20">IFERROR(SUMPRODUCT(('Planning Engine'!$B$4:$B$2500="47mg LP")*(YEAR('Planning Engine'!$A$4:$A$2500)=2027)*(MONTH('Planning Engine'!$A$4:$A$2500)=12)*'Planning Engine'!$H$4:$H$2500),0)</f>
        <v>6979.9351214487524</v>
      </c>
      <c r="H20" s="95" cm="1">
        <f t="array" aca="1" ref="H20" ca="1">IFERROR(SUMPRODUCT(('Planning Engine'!$B$4:$B$2500="47mg LP")*(YEAR('Planning Engine'!$A$4:$A$2500)=2027)*('Planning Engine'!$J$4:$J$2500&gt;0)*'Planning Engine'!$J$4:$J$2500)/MAX(1,SUMPRODUCT(('Planning Engine'!$B$4:$B$2500="47mg LP")*(YEAR('Planning Engine'!$A$4:$A$2500)=2027)*('Planning Engine'!$J$4:$J$2500&gt;0))),0)</f>
        <v>8.3730118092949812</v>
      </c>
      <c r="I20" s="12" cm="1">
        <f t="array" ref="I20">IFERROR(SUMPRODUCT(('Planning Engine'!$B$4:$B$2500="47mg LP")*(YEAR('Planning Engine'!$A$4:$A$2500)=2027)*(MONTH('Planning Engine'!$A$4:$A$2500)=12)*'Planning Engine'!$H$4:$H$2500),0)</f>
        <v>6979.9351214487524</v>
      </c>
      <c r="J20" cm="1">
        <f t="array" aca="1" ref="J20" ca="1">IFERROR(SUMPRODUCT(('Planning Engine'!$B$4:$B$2500="47mg LP")*(YEAR('Planning Engine'!$A$4:$A$2500)=2027)*'Planning Engine'!$K$4:$K$2500),0)</f>
        <v>90000</v>
      </c>
      <c r="K20" s="12" t="str" cm="1">
        <f t="array" aca="1" ref="K20" ca="1">IFERROR(IF(SUMPRODUCT(('Planning Engine'!$B$4:$B$2500="47mg LP")*(YEAR('Planning Engine'!$A$4:$A$2500)=2027)*('Planning Engine'!$L$4:$L$2500="High"))&gt;0,"High",IF(SUMPRODUCT(('Planning Engine'!$B$4:$B$2500="47mg LP")*(YEAR('Planning Engine'!$A$4:$A$2500)=2027)*('Planning Engine'!$L$4:$L$2500="Medium"))&gt;0,"Medium",IF(SUMPRODUCT(('Planning Engine'!$B$4:$B$2500="47mg LP")*(YEAR('Planning Engine'!$A$4:$A$2500)=2027)*('Planning Engine'!$L$4:$L$2500="Overstock"))&gt;0,"Overstock","Low"))),"--")</f>
        <v>High</v>
      </c>
    </row>
    <row r="21" spans="1:11" ht="14" customHeight="1" x14ac:dyDescent="0.35">
      <c r="A21" s="53" t="s">
        <v>35</v>
      </c>
      <c r="B21" s="107" t="s">
        <v>28</v>
      </c>
      <c r="C21" s="4">
        <v>2028</v>
      </c>
      <c r="D21" s="99" cm="1">
        <f t="array" ref="D21">IFERROR(SUMPRODUCT(('Planning Engine'!$B$4:$B$2500="47mg LP")*(YEAR('Planning Engine'!$A$4:$A$2500)=2028)*'Planning Engine'!$F$4:$F$2500),0)</f>
        <v>51549.430454117784</v>
      </c>
      <c r="E21" s="99" cm="1">
        <f t="array" ref="E21">IFERROR(SUMPRODUCT(('Planning Engine'!$B$4:$B$2500="47mg LP")*(YEAR('Planning Engine'!$A$4:$A$2500)=2028)*'Planning Engine'!$G$4:$G$2500),0)</f>
        <v>0</v>
      </c>
      <c r="F21" s="99" cm="1">
        <f t="array" ref="F21">IFERROR(SUMPRODUCT(('Planning Engine'!$B$4:$B$2500="47mg LP")*(YEAR('Planning Engine'!$A$4:$A$2500)=2028)*(MONTH('Planning Engine'!$A$4:$A$2500)=6)*'Planning Engine'!$H$4:$H$2500),0)</f>
        <v>-15277.636303544643</v>
      </c>
      <c r="G21" s="99" cm="1">
        <f t="array" ref="G21">IFERROR(SUMPRODUCT(('Planning Engine'!$B$4:$B$2500="47mg LP")*(YEAR('Planning Engine'!$A$4:$A$2500)=2028)*(MONTH('Planning Engine'!$A$4:$A$2500)=12)*'Planning Engine'!$H$4:$H$2500),0)</f>
        <v>-44569.495332669037</v>
      </c>
      <c r="H21" s="99" cm="1">
        <f t="array" aca="1" ref="H21" ca="1">IFERROR(SUMPRODUCT(('Planning Engine'!$B$4:$B$2500="47mg LP")*(YEAR('Planning Engine'!$A$4:$A$2500)=2028)*('Planning Engine'!$J$4:$J$2500&gt;0)*'Planning Engine'!$J$4:$J$2500)/MAX(1,SUMPRODUCT(('Planning Engine'!$B$4:$B$2500="47mg LP")*(YEAR('Planning Engine'!$A$4:$A$2500)=2028)*('Planning Engine'!$J$4:$J$2500&gt;0))),0)</f>
        <v>0.55420666865714119</v>
      </c>
      <c r="I21" s="4" cm="1">
        <f t="array" ref="I21">IFERROR(SUMPRODUCT(('Planning Engine'!$B$4:$B$2500="47mg LP")*(YEAR('Planning Engine'!$A$4:$A$2500)=2028)*(MONTH('Planning Engine'!$A$4:$A$2500)=12)*'Planning Engine'!$H$4:$H$2500),0)</f>
        <v>-44569.495332669037</v>
      </c>
      <c r="J21" cm="1">
        <f t="array" aca="1" ref="J21" ca="1">IFERROR(SUMPRODUCT(('Planning Engine'!$B$4:$B$2500="47mg LP")*(YEAR('Planning Engine'!$A$4:$A$2500)=2028)*'Planning Engine'!$K$4:$K$2500),0)</f>
        <v>740000</v>
      </c>
      <c r="K21" s="4" t="str" cm="1">
        <f t="array" aca="1" ref="K21" ca="1">IFERROR(IF(SUMPRODUCT(('Planning Engine'!$B$4:$B$2500="47mg LP")*(YEAR('Planning Engine'!$A$4:$A$2500)=2028)*('Planning Engine'!$L$4:$L$2500="High"))&gt;0,"High",IF(SUMPRODUCT(('Planning Engine'!$B$4:$B$2500="47mg LP")*(YEAR('Planning Engine'!$A$4:$A$2500)=2028)*('Planning Engine'!$L$4:$L$2500="Medium"))&gt;0,"Medium",IF(SUMPRODUCT(('Planning Engine'!$B$4:$B$2500="47mg LP")*(YEAR('Planning Engine'!$A$4:$A$2500)=2028)*('Planning Engine'!$L$4:$L$2500="Overstock"))&gt;0,"Overstock","Low"))),"--")</f>
        <v>High</v>
      </c>
    </row>
    <row r="22" spans="1:11" ht="14" customHeight="1" x14ac:dyDescent="0.35">
      <c r="A22" s="61" t="s">
        <v>35</v>
      </c>
      <c r="B22" s="106" t="s">
        <v>28</v>
      </c>
      <c r="C22" s="12">
        <v>2029</v>
      </c>
      <c r="D22" s="95" cm="1">
        <f t="array" ref="D22">IFERROR(SUMPRODUCT(('Planning Engine'!$B$4:$B$2500="47mg LP")*(YEAR('Planning Engine'!$A$4:$A$2500)=2029)*'Planning Engine'!$F$4:$F$2500),0)</f>
        <v>68864.440698940511</v>
      </c>
      <c r="E22" s="95" cm="1">
        <f t="array" ref="E22">IFERROR(SUMPRODUCT(('Planning Engine'!$B$4:$B$2500="47mg LP")*(YEAR('Planning Engine'!$A$4:$A$2500)=2029)*'Planning Engine'!$G$4:$G$2500),0)</f>
        <v>0</v>
      </c>
      <c r="F22" s="95" cm="1">
        <f t="array" ref="F22">IFERROR(SUMPRODUCT(('Planning Engine'!$B$4:$B$2500="47mg LP")*(YEAR('Planning Engine'!$A$4:$A$2500)=2029)*(MONTH('Planning Engine'!$A$4:$A$2500)=6)*'Planning Engine'!$H$4:$H$2500),0)</f>
        <v>-77928.722522987795</v>
      </c>
      <c r="G22" s="95" cm="1">
        <f t="array" ref="G22">IFERROR(SUMPRODUCT(('Planning Engine'!$B$4:$B$2500="47mg LP")*(YEAR('Planning Engine'!$A$4:$A$2500)=2029)*(MONTH('Planning Engine'!$A$4:$A$2500)=12)*'Planning Engine'!$H$4:$H$2500),0)</f>
        <v>-113433.93603160956</v>
      </c>
      <c r="H22" s="95" cm="1">
        <f t="array" aca="1" ref="H22" ca="1">IFERROR(SUMPRODUCT(('Planning Engine'!$B$4:$B$2500="47mg LP")*(YEAR('Planning Engine'!$A$4:$A$2500)=2029)*('Planning Engine'!$J$4:$J$2500&gt;0)*'Planning Engine'!$J$4:$J$2500)/MAX(1,SUMPRODUCT(('Planning Engine'!$B$4:$B$2500="47mg LP")*(YEAR('Planning Engine'!$A$4:$A$2500)=2029)*('Planning Engine'!$J$4:$J$2500&gt;0))),0)</f>
        <v>0</v>
      </c>
      <c r="I22" s="12" cm="1">
        <f t="array" ref="I22">IFERROR(SUMPRODUCT(('Planning Engine'!$B$4:$B$2500="47mg LP")*(YEAR('Planning Engine'!$A$4:$A$2500)=2029)*(MONTH('Planning Engine'!$A$4:$A$2500)=12)*'Planning Engine'!$H$4:$H$2500),0)</f>
        <v>-113433.93603160956</v>
      </c>
      <c r="J22" cm="1">
        <f t="array" aca="1" ref="J22" ca="1">IFERROR(SUMPRODUCT(('Planning Engine'!$B$4:$B$2500="47mg LP")*(YEAR('Planning Engine'!$A$4:$A$2500)=2029)*'Planning Engine'!$K$4:$K$2500),0)</f>
        <v>1620000</v>
      </c>
      <c r="K22" s="12" t="str" cm="1">
        <f t="array" aca="1" ref="K22" ca="1">IFERROR(IF(SUMPRODUCT(('Planning Engine'!$B$4:$B$2500="47mg LP")*(YEAR('Planning Engine'!$A$4:$A$2500)=2029)*('Planning Engine'!$L$4:$L$2500="High"))&gt;0,"High",IF(SUMPRODUCT(('Planning Engine'!$B$4:$B$2500="47mg LP")*(YEAR('Planning Engine'!$A$4:$A$2500)=2029)*('Planning Engine'!$L$4:$L$2500="Medium"))&gt;0,"Medium",IF(SUMPRODUCT(('Planning Engine'!$B$4:$B$2500="47mg LP")*(YEAR('Planning Engine'!$A$4:$A$2500)=2029)*('Planning Engine'!$L$4:$L$2500="Overstock"))&gt;0,"Overstock","Low"))),"--")</f>
        <v>High</v>
      </c>
    </row>
    <row r="23" spans="1:11" ht="14" customHeight="1" x14ac:dyDescent="0.35">
      <c r="A23" s="53" t="s">
        <v>35</v>
      </c>
      <c r="B23" s="107" t="s">
        <v>28</v>
      </c>
      <c r="C23" s="4">
        <v>2030</v>
      </c>
      <c r="D23" s="99" cm="1">
        <f t="array" ref="D23">IFERROR(SUMPRODUCT(('Planning Engine'!$B$4:$B$2500="47mg LP")*(YEAR('Planning Engine'!$A$4:$A$2500)=2030)*'Planning Engine'!$F$4:$F$2500),0)</f>
        <v>84909.88575974472</v>
      </c>
      <c r="E23" s="99" cm="1">
        <f t="array" ref="E23">IFERROR(SUMPRODUCT(('Planning Engine'!$B$4:$B$2500="47mg LP")*(YEAR('Planning Engine'!$A$4:$A$2500)=2030)*'Planning Engine'!$G$4:$G$2500),0)</f>
        <v>0</v>
      </c>
      <c r="F23" s="99" cm="1">
        <f t="array" ref="F23">IFERROR(SUMPRODUCT(('Planning Engine'!$B$4:$B$2500="47mg LP")*(YEAR('Planning Engine'!$A$4:$A$2500)=2030)*(MONTH('Planning Engine'!$A$4:$A$2500)=6)*'Planning Engine'!$H$4:$H$2500),0)</f>
        <v>-152973.15870467381</v>
      </c>
      <c r="G23" s="99" cm="1">
        <f t="array" ref="G23">IFERROR(SUMPRODUCT(('Planning Engine'!$B$4:$B$2500="47mg LP")*(YEAR('Planning Engine'!$A$4:$A$2500)=2030)*(MONTH('Planning Engine'!$A$4:$A$2500)=12)*'Planning Engine'!$H$4:$H$2500),0)</f>
        <v>-198343.82179135428</v>
      </c>
      <c r="H23" s="99" cm="1">
        <f t="array" aca="1" ref="H23" ca="1">IFERROR(SUMPRODUCT(('Planning Engine'!$B$4:$B$2500="47mg LP")*(YEAR('Planning Engine'!$A$4:$A$2500)=2030)*('Planning Engine'!$J$4:$J$2500&gt;0)*'Planning Engine'!$J$4:$J$2500)/MAX(1,SUMPRODUCT(('Planning Engine'!$B$4:$B$2500="47mg LP")*(YEAR('Planning Engine'!$A$4:$A$2500)=2030)*('Planning Engine'!$J$4:$J$2500&gt;0))),0)</f>
        <v>0</v>
      </c>
      <c r="I23" s="4" cm="1">
        <f t="array" ref="I23">IFERROR(SUMPRODUCT(('Planning Engine'!$B$4:$B$2500="47mg LP")*(YEAR('Planning Engine'!$A$4:$A$2500)=2030)*(MONTH('Planning Engine'!$A$4:$A$2500)=12)*'Planning Engine'!$H$4:$H$2500),0)</f>
        <v>-198343.82179135428</v>
      </c>
      <c r="J23" cm="1">
        <f t="array" aca="1" ref="J23" ca="1">IFERROR(SUMPRODUCT(('Planning Engine'!$B$4:$B$2500="47mg LP")*(YEAR('Planning Engine'!$A$4:$A$2500)=2030)*'Planning Engine'!$K$4:$K$2500),0)</f>
        <v>2760000</v>
      </c>
      <c r="K23" s="4" t="str" cm="1">
        <f t="array" aca="1" ref="K23" ca="1">IFERROR(IF(SUMPRODUCT(('Planning Engine'!$B$4:$B$2500="47mg LP")*(YEAR('Planning Engine'!$A$4:$A$2500)=2030)*('Planning Engine'!$L$4:$L$2500="High"))&gt;0,"High",IF(SUMPRODUCT(('Planning Engine'!$B$4:$B$2500="47mg LP")*(YEAR('Planning Engine'!$A$4:$A$2500)=2030)*('Planning Engine'!$L$4:$L$2500="Medium"))&gt;0,"Medium",IF(SUMPRODUCT(('Planning Engine'!$B$4:$B$2500="47mg LP")*(YEAR('Planning Engine'!$A$4:$A$2500)=2030)*('Planning Engine'!$L$4:$L$2500="Overstock"))&gt;0,"Overstock","Low"))),"--")</f>
        <v>High</v>
      </c>
    </row>
    <row r="24" spans="1:11" ht="14" customHeight="1" x14ac:dyDescent="0.35">
      <c r="A24" s="61" t="s">
        <v>35</v>
      </c>
      <c r="B24" s="106" t="s">
        <v>28</v>
      </c>
      <c r="C24" s="12">
        <v>2031</v>
      </c>
      <c r="D24" s="95" cm="1">
        <f t="array" ref="D24">IFERROR(SUMPRODUCT(('Planning Engine'!$B$4:$B$2500="47mg LP")*(YEAR('Planning Engine'!$A$4:$A$2500)=2031)*'Planning Engine'!$F$4:$F$2500),0)</f>
        <v>124882.35712777721</v>
      </c>
      <c r="E24" s="95" cm="1">
        <f t="array" ref="E24">IFERROR(SUMPRODUCT(('Planning Engine'!$B$4:$B$2500="47mg LP")*(YEAR('Planning Engine'!$A$4:$A$2500)=2031)*'Planning Engine'!$G$4:$G$2500),0)</f>
        <v>0</v>
      </c>
      <c r="F24" s="95" cm="1">
        <f t="array" ref="F24">IFERROR(SUMPRODUCT(('Planning Engine'!$B$4:$B$2500="47mg LP")*(YEAR('Planning Engine'!$A$4:$A$2500)=2031)*(MONTH('Planning Engine'!$A$4:$A$2500)=6)*'Planning Engine'!$H$4:$H$2500),0)</f>
        <v>-256369.43634498847</v>
      </c>
      <c r="G24" s="95" cm="1">
        <f t="array" ref="G24">IFERROR(SUMPRODUCT(('Planning Engine'!$B$4:$B$2500="47mg LP")*(YEAR('Planning Engine'!$A$4:$A$2500)=2031)*(MONTH('Planning Engine'!$A$4:$A$2500)=12)*'Planning Engine'!$H$4:$H$2500),0)</f>
        <v>-323226.17891913152</v>
      </c>
      <c r="H24" s="95" cm="1">
        <f t="array" aca="1" ref="H24" ca="1">IFERROR(SUMPRODUCT(('Planning Engine'!$B$4:$B$2500="47mg LP")*(YEAR('Planning Engine'!$A$4:$A$2500)=2031)*('Planning Engine'!$J$4:$J$2500&gt;0)*'Planning Engine'!$J$4:$J$2500)/MAX(1,SUMPRODUCT(('Planning Engine'!$B$4:$B$2500="47mg LP")*(YEAR('Planning Engine'!$A$4:$A$2500)=2031)*('Planning Engine'!$J$4:$J$2500&gt;0))),0)</f>
        <v>0</v>
      </c>
      <c r="I24" s="12" cm="1">
        <f t="array" ref="I24">IFERROR(SUMPRODUCT(('Planning Engine'!$B$4:$B$2500="47mg LP")*(YEAR('Planning Engine'!$A$4:$A$2500)=2031)*(MONTH('Planning Engine'!$A$4:$A$2500)=12)*'Planning Engine'!$H$4:$H$2500),0)</f>
        <v>-323226.17891913152</v>
      </c>
      <c r="J24" cm="1">
        <f t="array" aca="1" ref="J24" ca="1">IFERROR(SUMPRODUCT(('Planning Engine'!$B$4:$B$2500="47mg LP")*(YEAR('Planning Engine'!$A$4:$A$2500)=2031)*'Planning Engine'!$K$4:$K$2500),0)</f>
        <v>4390000</v>
      </c>
      <c r="K24" s="12" t="str" cm="1">
        <f t="array" aca="1" ref="K24" ca="1">IFERROR(IF(SUMPRODUCT(('Planning Engine'!$B$4:$B$2500="47mg LP")*(YEAR('Planning Engine'!$A$4:$A$2500)=2031)*('Planning Engine'!$L$4:$L$2500="High"))&gt;0,"High",IF(SUMPRODUCT(('Planning Engine'!$B$4:$B$2500="47mg LP")*(YEAR('Planning Engine'!$A$4:$A$2500)=2031)*('Planning Engine'!$L$4:$L$2500="Medium"))&gt;0,"Medium",IF(SUMPRODUCT(('Planning Engine'!$B$4:$B$2500="47mg LP")*(YEAR('Planning Engine'!$A$4:$A$2500)=2031)*('Planning Engine'!$L$4:$L$2500="Overstock"))&gt;0,"Overstock","Low"))),"--")</f>
        <v>High</v>
      </c>
    </row>
    <row r="25" spans="1:11" ht="14" customHeight="1" x14ac:dyDescent="0.35">
      <c r="A25" s="53" t="s">
        <v>35</v>
      </c>
      <c r="B25" s="107" t="s">
        <v>28</v>
      </c>
      <c r="C25" s="4">
        <v>2032</v>
      </c>
      <c r="D25" s="99" cm="1">
        <f t="array" ref="D25">IFERROR(SUMPRODUCT(('Planning Engine'!$B$4:$B$2500="47mg LP")*(YEAR('Planning Engine'!$A$4:$A$2500)=2032)*'Planning Engine'!$F$4:$F$2500),0)</f>
        <v>150397.53031737395</v>
      </c>
      <c r="E25" s="99" cm="1">
        <f t="array" ref="E25">IFERROR(SUMPRODUCT(('Planning Engine'!$B$4:$B$2500="47mg LP")*(YEAR('Planning Engine'!$A$4:$A$2500)=2032)*'Planning Engine'!$G$4:$G$2500),0)</f>
        <v>0</v>
      </c>
      <c r="F25" s="99" cm="1">
        <f t="array" ref="F25">IFERROR(SUMPRODUCT(('Planning Engine'!$B$4:$B$2500="47mg LP")*(YEAR('Planning Engine'!$A$4:$A$2500)=2032)*(MONTH('Planning Engine'!$A$4:$A$2500)=6)*'Planning Engine'!$H$4:$H$2500),0)</f>
        <v>-397912.46190235461</v>
      </c>
      <c r="G25" s="99" cm="1">
        <f t="array" ref="G25">IFERROR(SUMPRODUCT(('Planning Engine'!$B$4:$B$2500="47mg LP")*(YEAR('Planning Engine'!$A$4:$A$2500)=2032)*(MONTH('Planning Engine'!$A$4:$A$2500)=12)*'Planning Engine'!$H$4:$H$2500),0)</f>
        <v>-473623.70923650556</v>
      </c>
      <c r="H25" s="99" cm="1">
        <f t="array" aca="1" ref="H25" ca="1">IFERROR(SUMPRODUCT(('Planning Engine'!$B$4:$B$2500="47mg LP")*(YEAR('Planning Engine'!$A$4:$A$2500)=2032)*('Planning Engine'!$J$4:$J$2500&gt;0)*'Planning Engine'!$J$4:$J$2500)/MAX(1,SUMPRODUCT(('Planning Engine'!$B$4:$B$2500="47mg LP")*(YEAR('Planning Engine'!$A$4:$A$2500)=2032)*('Planning Engine'!$J$4:$J$2500&gt;0))),0)</f>
        <v>0</v>
      </c>
      <c r="I25" s="4" cm="1">
        <f t="array" ref="I25">IFERROR(SUMPRODUCT(('Planning Engine'!$B$4:$B$2500="47mg LP")*(YEAR('Planning Engine'!$A$4:$A$2500)=2032)*(MONTH('Planning Engine'!$A$4:$A$2500)=12)*'Planning Engine'!$H$4:$H$2500),0)</f>
        <v>-473623.70923650556</v>
      </c>
      <c r="J25" cm="1">
        <f t="array" aca="1" ref="J25" ca="1">IFERROR(SUMPRODUCT(('Planning Engine'!$B$4:$B$2500="47mg LP")*(YEAR('Planning Engine'!$A$4:$A$2500)=2032)*'Planning Engine'!$K$4:$K$2500),0)</f>
        <v>6210000</v>
      </c>
      <c r="K25" s="4" t="str" cm="1">
        <f t="array" aca="1" ref="K25" ca="1">IFERROR(IF(SUMPRODUCT(('Planning Engine'!$B$4:$B$2500="47mg LP")*(YEAR('Planning Engine'!$A$4:$A$2500)=2032)*('Planning Engine'!$L$4:$L$2500="High"))&gt;0,"High",IF(SUMPRODUCT(('Planning Engine'!$B$4:$B$2500="47mg LP")*(YEAR('Planning Engine'!$A$4:$A$2500)=2032)*('Planning Engine'!$L$4:$L$2500="Medium"))&gt;0,"Medium",IF(SUMPRODUCT(('Planning Engine'!$B$4:$B$2500="47mg LP")*(YEAR('Planning Engine'!$A$4:$A$2500)=2032)*('Planning Engine'!$L$4:$L$2500="Overstock"))&gt;0,"Overstock","Low"))),"--")</f>
        <v>High</v>
      </c>
    </row>
    <row r="26" spans="1:11" ht="14" customHeight="1" x14ac:dyDescent="0.35">
      <c r="A26" s="61" t="s">
        <v>35</v>
      </c>
      <c r="B26" s="106" t="s">
        <v>28</v>
      </c>
      <c r="C26" s="12">
        <v>2033</v>
      </c>
      <c r="D26" s="95" cm="1">
        <f t="array" ref="D26">IFERROR(SUMPRODUCT(('Planning Engine'!$B$4:$B$2500="47mg LP")*(YEAR('Planning Engine'!$A$4:$A$2500)=2033)*'Planning Engine'!$F$4:$F$2500),0)</f>
        <v>152459.24066715964</v>
      </c>
      <c r="E26" s="95" cm="1">
        <f t="array" ref="E26">IFERROR(SUMPRODUCT(('Planning Engine'!$B$4:$B$2500="47mg LP")*(YEAR('Planning Engine'!$A$4:$A$2500)=2033)*'Planning Engine'!$G$4:$G$2500),0)</f>
        <v>0</v>
      </c>
      <c r="F26" s="95" cm="1">
        <f t="array" ref="F26">IFERROR(SUMPRODUCT(('Planning Engine'!$B$4:$B$2500="47mg LP")*(YEAR('Planning Engine'!$A$4:$A$2500)=2033)*(MONTH('Planning Engine'!$A$4:$A$2500)=6)*'Planning Engine'!$H$4:$H$2500),0)</f>
        <v>-549854.08518906671</v>
      </c>
      <c r="G26" s="95" cm="1">
        <f t="array" ref="G26">IFERROR(SUMPRODUCT(('Planning Engine'!$B$4:$B$2500="47mg LP")*(YEAR('Planning Engine'!$A$4:$A$2500)=2033)*(MONTH('Planning Engine'!$A$4:$A$2500)=12)*'Planning Engine'!$H$4:$H$2500),0)</f>
        <v>-626082.94990366511</v>
      </c>
      <c r="H26" s="95" cm="1">
        <f t="array" aca="1" ref="H26" ca="1">IFERROR(SUMPRODUCT(('Planning Engine'!$B$4:$B$2500="47mg LP")*(YEAR('Planning Engine'!$A$4:$A$2500)=2033)*('Planning Engine'!$J$4:$J$2500&gt;0)*'Planning Engine'!$J$4:$J$2500)/MAX(1,SUMPRODUCT(('Planning Engine'!$B$4:$B$2500="47mg LP")*(YEAR('Planning Engine'!$A$4:$A$2500)=2033)*('Planning Engine'!$J$4:$J$2500&gt;0))),0)</f>
        <v>0</v>
      </c>
      <c r="I26" s="12" cm="1">
        <f t="array" ref="I26">IFERROR(SUMPRODUCT(('Planning Engine'!$B$4:$B$2500="47mg LP")*(YEAR('Planning Engine'!$A$4:$A$2500)=2033)*(MONTH('Planning Engine'!$A$4:$A$2500)=12)*'Planning Engine'!$H$4:$H$2500),0)</f>
        <v>-626082.94990366511</v>
      </c>
      <c r="J26" cm="1">
        <f t="array" aca="1" ref="J26" ca="1">IFERROR(SUMPRODUCT(('Planning Engine'!$B$4:$B$2500="47mg LP")*(YEAR('Planning Engine'!$A$4:$A$2500)=2033)*'Planning Engine'!$K$4:$K$2500),0)</f>
        <v>8040000</v>
      </c>
      <c r="K26" s="12" t="str" cm="1">
        <f t="array" aca="1" ref="K26" ca="1">IFERROR(IF(SUMPRODUCT(('Planning Engine'!$B$4:$B$2500="47mg LP")*(YEAR('Planning Engine'!$A$4:$A$2500)=2033)*('Planning Engine'!$L$4:$L$2500="High"))&gt;0,"High",IF(SUMPRODUCT(('Planning Engine'!$B$4:$B$2500="47mg LP")*(YEAR('Planning Engine'!$A$4:$A$2500)=2033)*('Planning Engine'!$L$4:$L$2500="Medium"))&gt;0,"Medium",IF(SUMPRODUCT(('Planning Engine'!$B$4:$B$2500="47mg LP")*(YEAR('Planning Engine'!$A$4:$A$2500)=2033)*('Planning Engine'!$L$4:$L$2500="Overstock"))&gt;0,"Overstock","Low"))),"--")</f>
        <v>High</v>
      </c>
    </row>
    <row r="27" spans="1:11" ht="14" customHeight="1" x14ac:dyDescent="0.35">
      <c r="A27" s="53" t="s">
        <v>35</v>
      </c>
      <c r="B27" s="107" t="s">
        <v>28</v>
      </c>
      <c r="C27" s="4">
        <v>2034</v>
      </c>
      <c r="D27" s="99" cm="1">
        <f t="array" ref="D27">IFERROR(SUMPRODUCT(('Planning Engine'!$B$4:$B$2500="47mg LP")*(YEAR('Planning Engine'!$A$4:$A$2500)=2034)*'Planning Engine'!$F$4:$F$2500),0)</f>
        <v>153258.87187885016</v>
      </c>
      <c r="E27" s="99" cm="1">
        <f t="array" ref="E27">IFERROR(SUMPRODUCT(('Planning Engine'!$B$4:$B$2500="47mg LP")*(YEAR('Planning Engine'!$A$4:$A$2500)=2034)*'Planning Engine'!$G$4:$G$2500),0)</f>
        <v>0</v>
      </c>
      <c r="F27" s="99" cm="1">
        <f t="array" ref="F27">IFERROR(SUMPRODUCT(('Planning Engine'!$B$4:$B$2500="47mg LP")*(YEAR('Planning Engine'!$A$4:$A$2500)=2034)*(MONTH('Planning Engine'!$A$4:$A$2500)=6)*'Planning Engine'!$H$4:$H$2500),0)</f>
        <v>-703064.53462715459</v>
      </c>
      <c r="G27" s="99" cm="1">
        <f t="array" ref="G27">IFERROR(SUMPRODUCT(('Planning Engine'!$B$4:$B$2500="47mg LP")*(YEAR('Planning Engine'!$A$4:$A$2500)=2034)*(MONTH('Planning Engine'!$A$4:$A$2500)=12)*'Planning Engine'!$H$4:$H$2500),0)</f>
        <v>-779341.82178251538</v>
      </c>
      <c r="H27" s="99" cm="1">
        <f t="array" aca="1" ref="H27" ca="1">IFERROR(SUMPRODUCT(('Planning Engine'!$B$4:$B$2500="47mg LP")*(YEAR('Planning Engine'!$A$4:$A$2500)=2034)*('Planning Engine'!$J$4:$J$2500&gt;0)*'Planning Engine'!$J$4:$J$2500)/MAX(1,SUMPRODUCT(('Planning Engine'!$B$4:$B$2500="47mg LP")*(YEAR('Planning Engine'!$A$4:$A$2500)=2034)*('Planning Engine'!$J$4:$J$2500&gt;0))),0)</f>
        <v>0</v>
      </c>
      <c r="I27" s="4" cm="1">
        <f t="array" ref="I27">IFERROR(SUMPRODUCT(('Planning Engine'!$B$4:$B$2500="47mg LP")*(YEAR('Planning Engine'!$A$4:$A$2500)=2034)*(MONTH('Planning Engine'!$A$4:$A$2500)=12)*'Planning Engine'!$H$4:$H$2500),0)</f>
        <v>-779341.82178251538</v>
      </c>
      <c r="J27" cm="1">
        <f t="array" aca="1" ref="J27" ca="1">IFERROR(SUMPRODUCT(('Planning Engine'!$B$4:$B$2500="47mg LP")*(YEAR('Planning Engine'!$A$4:$A$2500)=2034)*'Planning Engine'!$K$4:$K$2500),0)</f>
        <v>9890000</v>
      </c>
      <c r="K27" s="4" t="str" cm="1">
        <f t="array" aca="1" ref="K27" ca="1">IFERROR(IF(SUMPRODUCT(('Planning Engine'!$B$4:$B$2500="47mg LP")*(YEAR('Planning Engine'!$A$4:$A$2500)=2034)*('Planning Engine'!$L$4:$L$2500="High"))&gt;0,"High",IF(SUMPRODUCT(('Planning Engine'!$B$4:$B$2500="47mg LP")*(YEAR('Planning Engine'!$A$4:$A$2500)=2034)*('Planning Engine'!$L$4:$L$2500="Medium"))&gt;0,"Medium",IF(SUMPRODUCT(('Planning Engine'!$B$4:$B$2500="47mg LP")*(YEAR('Planning Engine'!$A$4:$A$2500)=2034)*('Planning Engine'!$L$4:$L$2500="Overstock"))&gt;0,"Overstock","Low"))),"--")</f>
        <v>High</v>
      </c>
    </row>
    <row r="28" spans="1:11" ht="14" customHeight="1" x14ac:dyDescent="0.35">
      <c r="A28" s="61" t="s">
        <v>35</v>
      </c>
      <c r="B28" s="106" t="s">
        <v>28</v>
      </c>
      <c r="C28" s="12">
        <v>2035</v>
      </c>
      <c r="D28" s="95" cm="1">
        <f t="array" ref="D28">IFERROR(SUMPRODUCT(('Planning Engine'!$B$4:$B$2500="47mg LP")*(YEAR('Planning Engine'!$A$4:$A$2500)=2035)*'Planning Engine'!$F$4:$F$2500),0)</f>
        <v>154196.66800806756</v>
      </c>
      <c r="E28" s="95" cm="1">
        <f t="array" ref="E28">IFERROR(SUMPRODUCT(('Planning Engine'!$B$4:$B$2500="47mg LP")*(YEAR('Planning Engine'!$A$4:$A$2500)=2035)*'Planning Engine'!$G$4:$G$2500),0)</f>
        <v>0</v>
      </c>
      <c r="F28" s="95" cm="1">
        <f t="array" ref="F28">IFERROR(SUMPRODUCT(('Planning Engine'!$B$4:$B$2500="47mg LP")*(YEAR('Planning Engine'!$A$4:$A$2500)=2035)*(MONTH('Planning Engine'!$A$4:$A$2500)=6)*'Planning Engine'!$H$4:$H$2500),0)</f>
        <v>-856743.81601092627</v>
      </c>
      <c r="G28" s="95" cm="1">
        <f t="array" ref="G28">IFERROR(SUMPRODUCT(('Planning Engine'!$B$4:$B$2500="47mg LP")*(YEAR('Planning Engine'!$A$4:$A$2500)=2035)*(MONTH('Planning Engine'!$A$4:$A$2500)=12)*'Planning Engine'!$H$4:$H$2500),0)</f>
        <v>-933538.4897905828</v>
      </c>
      <c r="H28" s="95" cm="1">
        <f t="array" aca="1" ref="H28" ca="1">IFERROR(SUMPRODUCT(('Planning Engine'!$B$4:$B$2500="47mg LP")*(YEAR('Planning Engine'!$A$4:$A$2500)=2035)*('Planning Engine'!$J$4:$J$2500&gt;0)*'Planning Engine'!$J$4:$J$2500)/MAX(1,SUMPRODUCT(('Planning Engine'!$B$4:$B$2500="47mg LP")*(YEAR('Planning Engine'!$A$4:$A$2500)=2035)*('Planning Engine'!$J$4:$J$2500&gt;0))),0)</f>
        <v>0</v>
      </c>
      <c r="I28" s="12" cm="1">
        <f t="array" ref="I28">IFERROR(SUMPRODUCT(('Planning Engine'!$B$4:$B$2500="47mg LP")*(YEAR('Planning Engine'!$A$4:$A$2500)=2035)*(MONTH('Planning Engine'!$A$4:$A$2500)=12)*'Planning Engine'!$H$4:$H$2500),0)</f>
        <v>-933538.4897905828</v>
      </c>
      <c r="J28" cm="1">
        <f t="array" aca="1" ref="J28" ca="1">IFERROR(SUMPRODUCT(('Planning Engine'!$B$4:$B$2500="47mg LP")*(YEAR('Planning Engine'!$A$4:$A$2500)=2035)*'Planning Engine'!$K$4:$K$2500),0)</f>
        <v>11740000</v>
      </c>
      <c r="K28" s="12" t="str" cm="1">
        <f t="array" aca="1" ref="K28" ca="1">IFERROR(IF(SUMPRODUCT(('Planning Engine'!$B$4:$B$2500="47mg LP")*(YEAR('Planning Engine'!$A$4:$A$2500)=2035)*('Planning Engine'!$L$4:$L$2500="High"))&gt;0,"High",IF(SUMPRODUCT(('Planning Engine'!$B$4:$B$2500="47mg LP")*(YEAR('Planning Engine'!$A$4:$A$2500)=2035)*('Planning Engine'!$L$4:$L$2500="Medium"))&gt;0,"Medium",IF(SUMPRODUCT(('Planning Engine'!$B$4:$B$2500="47mg LP")*(YEAR('Planning Engine'!$A$4:$A$2500)=2035)*('Planning Engine'!$L$4:$L$2500="Overstock"))&gt;0,"Overstock","Low"))),"--")</f>
        <v>High</v>
      </c>
    </row>
    <row r="29" spans="1:11" ht="14" customHeight="1" x14ac:dyDescent="0.35">
      <c r="A29" s="53" t="s">
        <v>35</v>
      </c>
      <c r="B29" s="107" t="s">
        <v>28</v>
      </c>
      <c r="C29" s="4">
        <v>2036</v>
      </c>
      <c r="D29" s="99" cm="1">
        <f t="array" ref="D29">IFERROR(SUMPRODUCT(('Planning Engine'!$B$4:$B$2500="47mg LP")*(YEAR('Planning Engine'!$A$4:$A$2500)=2036)*'Planning Engine'!$F$4:$F$2500),0)</f>
        <v>154312.30210794165</v>
      </c>
      <c r="E29" s="99" cm="1">
        <f t="array" ref="E29">IFERROR(SUMPRODUCT(('Planning Engine'!$B$4:$B$2500="47mg LP")*(YEAR('Planning Engine'!$A$4:$A$2500)=2036)*'Planning Engine'!$G$4:$G$2500),0)</f>
        <v>0</v>
      </c>
      <c r="F29" s="99" cm="1">
        <f t="array" ref="F29">IFERROR(SUMPRODUCT(('Planning Engine'!$B$4:$B$2500="47mg LP")*(YEAR('Planning Engine'!$A$4:$A$2500)=2036)*(MONTH('Planning Engine'!$A$4:$A$2500)=6)*'Planning Engine'!$H$4:$H$2500),0)</f>
        <v>-1011393.9171557339</v>
      </c>
      <c r="G29" s="99" cm="1">
        <f t="array" ref="G29">IFERROR(SUMPRODUCT(('Planning Engine'!$B$4:$B$2500="47mg LP")*(YEAR('Planning Engine'!$A$4:$A$2500)=2036)*(MONTH('Planning Engine'!$A$4:$A$2500)=12)*'Planning Engine'!$H$4:$H$2500),0)</f>
        <v>-1087850.7918985242</v>
      </c>
      <c r="H29" s="99" cm="1">
        <f t="array" aca="1" ref="H29" ca="1">IFERROR(SUMPRODUCT(('Planning Engine'!$B$4:$B$2500="47mg LP")*(YEAR('Planning Engine'!$A$4:$A$2500)=2036)*('Planning Engine'!$J$4:$J$2500&gt;0)*'Planning Engine'!$J$4:$J$2500)/MAX(1,SUMPRODUCT(('Planning Engine'!$B$4:$B$2500="47mg LP")*(YEAR('Planning Engine'!$A$4:$A$2500)=2036)*('Planning Engine'!$J$4:$J$2500&gt;0))),0)</f>
        <v>0</v>
      </c>
      <c r="I29" s="4" cm="1">
        <f t="array" ref="I29">IFERROR(SUMPRODUCT(('Planning Engine'!$B$4:$B$2500="47mg LP")*(YEAR('Planning Engine'!$A$4:$A$2500)=2036)*(MONTH('Planning Engine'!$A$4:$A$2500)=12)*'Planning Engine'!$H$4:$H$2500),0)</f>
        <v>-1087850.7918985242</v>
      </c>
      <c r="J29" cm="1">
        <f t="array" aca="1" ref="J29" ca="1">IFERROR(SUMPRODUCT(('Planning Engine'!$B$4:$B$2500="47mg LP")*(YEAR('Planning Engine'!$A$4:$A$2500)=2036)*'Planning Engine'!$K$4:$K$2500),0)</f>
        <v>13620000</v>
      </c>
      <c r="K29" s="4" t="str" cm="1">
        <f t="array" aca="1" ref="K29" ca="1">IFERROR(IF(SUMPRODUCT(('Planning Engine'!$B$4:$B$2500="47mg LP")*(YEAR('Planning Engine'!$A$4:$A$2500)=2036)*('Planning Engine'!$L$4:$L$2500="High"))&gt;0,"High",IF(SUMPRODUCT(('Planning Engine'!$B$4:$B$2500="47mg LP")*(YEAR('Planning Engine'!$A$4:$A$2500)=2036)*('Planning Engine'!$L$4:$L$2500="Medium"))&gt;0,"Medium",IF(SUMPRODUCT(('Planning Engine'!$B$4:$B$2500="47mg LP")*(YEAR('Planning Engine'!$A$4:$A$2500)=2036)*('Planning Engine'!$L$4:$L$2500="Overstock"))&gt;0,"Overstock","Low"))),"--")</f>
        <v>High</v>
      </c>
    </row>
    <row r="30" spans="1:11" ht="14" customHeight="1" x14ac:dyDescent="0.35">
      <c r="A30" s="61" t="s">
        <v>35</v>
      </c>
      <c r="B30" s="106" t="s">
        <v>28</v>
      </c>
      <c r="C30" s="12">
        <v>2037</v>
      </c>
      <c r="D30" s="95" cm="1">
        <f t="array" ref="D30">IFERROR(SUMPRODUCT(('Planning Engine'!$B$4:$B$2500="47mg LP")*(YEAR('Planning Engine'!$A$4:$A$2500)=2037)*'Planning Engine'!$F$4:$F$2500),0)</f>
        <v>144698.77384223405</v>
      </c>
      <c r="E30" s="95" cm="1">
        <f t="array" ref="E30">IFERROR(SUMPRODUCT(('Planning Engine'!$B$4:$B$2500="47mg LP")*(YEAR('Planning Engine'!$A$4:$A$2500)=2037)*'Planning Engine'!$G$4:$G$2500),0)</f>
        <v>0</v>
      </c>
      <c r="F30" s="95" cm="1">
        <f t="array" ref="F30">IFERROR(SUMPRODUCT(('Planning Engine'!$B$4:$B$2500="47mg LP")*(YEAR('Planning Engine'!$A$4:$A$2500)=2037)*(MONTH('Planning Engine'!$A$4:$A$2500)=6)*'Planning Engine'!$H$4:$H$2500),0)</f>
        <v>-1166584.8609340955</v>
      </c>
      <c r="G30" s="95" cm="1">
        <f t="array" ref="G30">IFERROR(SUMPRODUCT(('Planning Engine'!$B$4:$B$2500="47mg LP")*(YEAR('Planning Engine'!$A$4:$A$2500)=2037)*(MONTH('Planning Engine'!$A$4:$A$2500)=12)*'Planning Engine'!$H$4:$H$2500),0)</f>
        <v>-1232549.5657407583</v>
      </c>
      <c r="H30" s="95" cm="1">
        <f t="array" aca="1" ref="H30" ca="1">IFERROR(SUMPRODUCT(('Planning Engine'!$B$4:$B$2500="47mg LP")*(YEAR('Planning Engine'!$A$4:$A$2500)=2037)*('Planning Engine'!$J$4:$J$2500&gt;0)*'Planning Engine'!$J$4:$J$2500)/MAX(1,SUMPRODUCT(('Planning Engine'!$B$4:$B$2500="47mg LP")*(YEAR('Planning Engine'!$A$4:$A$2500)=2037)*('Planning Engine'!$J$4:$J$2500&gt;0))),0)</f>
        <v>0</v>
      </c>
      <c r="I30" s="12" cm="1">
        <f t="array" ref="I30">IFERROR(SUMPRODUCT(('Planning Engine'!$B$4:$B$2500="47mg LP")*(YEAR('Planning Engine'!$A$4:$A$2500)=2037)*(MONTH('Planning Engine'!$A$4:$A$2500)=12)*'Planning Engine'!$H$4:$H$2500),0)</f>
        <v>-1232549.5657407583</v>
      </c>
      <c r="J30" cm="1">
        <f t="array" aca="1" ref="J30" ca="1">IFERROR(SUMPRODUCT(('Planning Engine'!$B$4:$B$2500="47mg LP")*(YEAR('Planning Engine'!$A$4:$A$2500)=2037)*'Planning Engine'!$K$4:$K$2500),0)</f>
        <v>15130000</v>
      </c>
      <c r="K30" s="12" t="str" cm="1">
        <f t="array" aca="1" ref="K30" ca="1">IFERROR(IF(SUMPRODUCT(('Planning Engine'!$B$4:$B$2500="47mg LP")*(YEAR('Planning Engine'!$A$4:$A$2500)=2037)*('Planning Engine'!$L$4:$L$2500="High"))&gt;0,"High",IF(SUMPRODUCT(('Planning Engine'!$B$4:$B$2500="47mg LP")*(YEAR('Planning Engine'!$A$4:$A$2500)=2037)*('Planning Engine'!$L$4:$L$2500="Medium"))&gt;0,"Medium",IF(SUMPRODUCT(('Planning Engine'!$B$4:$B$2500="47mg LP")*(YEAR('Planning Engine'!$A$4:$A$2500)=2037)*('Planning Engine'!$L$4:$L$2500="Overstock"))&gt;0,"Overstock","Low"))),"--")</f>
        <v>High</v>
      </c>
    </row>
    <row r="31" spans="1:11" ht="14" customHeight="1" x14ac:dyDescent="0.35">
      <c r="A31" s="53" t="s">
        <v>35</v>
      </c>
      <c r="B31" s="107" t="s">
        <v>28</v>
      </c>
      <c r="C31" s="4">
        <v>2038</v>
      </c>
      <c r="D31" s="99" cm="1">
        <f t="array" ref="D31">IFERROR(SUMPRODUCT(('Planning Engine'!$B$4:$B$2500="47mg LP")*(YEAR('Planning Engine'!$A$4:$A$2500)=2038)*'Planning Engine'!$F$4:$F$2500),0)</f>
        <v>57783.457164577798</v>
      </c>
      <c r="E31" s="99" cm="1">
        <f t="array" ref="E31">IFERROR(SUMPRODUCT(('Planning Engine'!$B$4:$B$2500="47mg LP")*(YEAR('Planning Engine'!$A$4:$A$2500)=2038)*'Planning Engine'!$G$4:$G$2500),0)</f>
        <v>0</v>
      </c>
      <c r="F31" s="99" cm="1">
        <f t="array" ref="F31">IFERROR(SUMPRODUCT(('Planning Engine'!$B$4:$B$2500="47mg LP")*(YEAR('Planning Engine'!$A$4:$A$2500)=2038)*(MONTH('Planning Engine'!$A$4:$A$2500)=6)*'Planning Engine'!$H$4:$H$2500),0)</f>
        <v>-1270152.1990317416</v>
      </c>
      <c r="G31" s="99" cm="1">
        <f t="array" ref="G31">IFERROR(SUMPRODUCT(('Planning Engine'!$B$4:$B$2500="47mg LP")*(YEAR('Planning Engine'!$A$4:$A$2500)=2038)*(MONTH('Planning Engine'!$A$4:$A$2500)=12)*'Planning Engine'!$H$4:$H$2500),0)</f>
        <v>-1290333.0229053362</v>
      </c>
      <c r="H31" s="99" cm="1">
        <f t="array" aca="1" ref="H31" ca="1">IFERROR(SUMPRODUCT(('Planning Engine'!$B$4:$B$2500="47mg LP")*(YEAR('Planning Engine'!$A$4:$A$2500)=2038)*('Planning Engine'!$J$4:$J$2500&gt;0)*'Planning Engine'!$J$4:$J$2500)/MAX(1,SUMPRODUCT(('Planning Engine'!$B$4:$B$2500="47mg LP")*(YEAR('Planning Engine'!$A$4:$A$2500)=2038)*('Planning Engine'!$J$4:$J$2500&gt;0))),0)</f>
        <v>0</v>
      </c>
      <c r="I31" s="4" cm="1">
        <f t="array" ref="I31">IFERROR(SUMPRODUCT(('Planning Engine'!$B$4:$B$2500="47mg LP")*(YEAR('Planning Engine'!$A$4:$A$2500)=2038)*(MONTH('Planning Engine'!$A$4:$A$2500)=12)*'Planning Engine'!$H$4:$H$2500),0)</f>
        <v>-1290333.0229053362</v>
      </c>
      <c r="J31" cm="1">
        <f t="array" aca="1" ref="J31" ca="1">IFERROR(SUMPRODUCT(('Planning Engine'!$B$4:$B$2500="47mg LP")*(YEAR('Planning Engine'!$A$4:$A$2500)=2038)*'Planning Engine'!$K$4:$K$2500),0)</f>
        <v>15570000</v>
      </c>
      <c r="K31" s="4" t="str" cm="1">
        <f t="array" aca="1" ref="K31" ca="1">IFERROR(IF(SUMPRODUCT(('Planning Engine'!$B$4:$B$2500="47mg LP")*(YEAR('Planning Engine'!$A$4:$A$2500)=2038)*('Planning Engine'!$L$4:$L$2500="High"))&gt;0,"High",IF(SUMPRODUCT(('Planning Engine'!$B$4:$B$2500="47mg LP")*(YEAR('Planning Engine'!$A$4:$A$2500)=2038)*('Planning Engine'!$L$4:$L$2500="Medium"))&gt;0,"Medium",IF(SUMPRODUCT(('Planning Engine'!$B$4:$B$2500="47mg LP")*(YEAR('Planning Engine'!$A$4:$A$2500)=2038)*('Planning Engine'!$L$4:$L$2500="Overstock"))&gt;0,"Overstock","Low"))),"--")</f>
        <v>High</v>
      </c>
    </row>
    <row r="32" spans="1:11" ht="14" customHeight="1" x14ac:dyDescent="0.35">
      <c r="A32" s="61" t="s">
        <v>35</v>
      </c>
      <c r="B32" s="106" t="s">
        <v>28</v>
      </c>
      <c r="C32" s="12">
        <v>2039</v>
      </c>
      <c r="D32" s="95" cm="1">
        <f t="array" ref="D32">IFERROR(SUMPRODUCT(('Planning Engine'!$B$4:$B$2500="47mg LP")*(YEAR('Planning Engine'!$A$4:$A$2500)=2039)*'Planning Engine'!$F$4:$F$2500),0)</f>
        <v>12963.225092047003</v>
      </c>
      <c r="E32" s="95" cm="1">
        <f t="array" ref="E32">IFERROR(SUMPRODUCT(('Planning Engine'!$B$4:$B$2500="47mg LP")*(YEAR('Planning Engine'!$A$4:$A$2500)=2039)*'Planning Engine'!$G$4:$G$2500),0)</f>
        <v>0</v>
      </c>
      <c r="F32" s="95" cm="1">
        <f t="array" ref="F32">IFERROR(SUMPRODUCT(('Planning Engine'!$B$4:$B$2500="47mg LP")*(YEAR('Planning Engine'!$A$4:$A$2500)=2039)*(MONTH('Planning Engine'!$A$4:$A$2500)=6)*'Planning Engine'!$H$4:$H$2500),0)</f>
        <v>-1299351.6344559162</v>
      </c>
      <c r="G32" s="95" cm="1">
        <f t="array" ref="G32">IFERROR(SUMPRODUCT(('Planning Engine'!$B$4:$B$2500="47mg LP")*(YEAR('Planning Engine'!$A$4:$A$2500)=2039)*(MONTH('Planning Engine'!$A$4:$A$2500)=12)*'Planning Engine'!$H$4:$H$2500),0)</f>
        <v>-1303296.2479973829</v>
      </c>
      <c r="H32" s="95" cm="1">
        <f t="array" aca="1" ref="H32" ca="1">IFERROR(SUMPRODUCT(('Planning Engine'!$B$4:$B$2500="47mg LP")*(YEAR('Planning Engine'!$A$4:$A$2500)=2039)*('Planning Engine'!$J$4:$J$2500&gt;0)*'Planning Engine'!$J$4:$J$2500)/MAX(1,SUMPRODUCT(('Planning Engine'!$B$4:$B$2500="47mg LP")*(YEAR('Planning Engine'!$A$4:$A$2500)=2039)*('Planning Engine'!$J$4:$J$2500&gt;0))),0)</f>
        <v>0</v>
      </c>
      <c r="I32" s="12" cm="1">
        <f t="array" ref="I32">IFERROR(SUMPRODUCT(('Planning Engine'!$B$4:$B$2500="47mg LP")*(YEAR('Planning Engine'!$A$4:$A$2500)=2039)*(MONTH('Planning Engine'!$A$4:$A$2500)=12)*'Planning Engine'!$H$4:$H$2500),0)</f>
        <v>-1303296.2479973829</v>
      </c>
      <c r="J32" cm="1">
        <f t="array" aca="1" ref="J32" ca="1">IFERROR(SUMPRODUCT(('Planning Engine'!$B$4:$B$2500="47mg LP")*(YEAR('Planning Engine'!$A$4:$A$2500)=2039)*'Planning Engine'!$K$4:$K$2500),0)</f>
        <v>15690000</v>
      </c>
      <c r="K32" s="12" t="str" cm="1">
        <f t="array" aca="1" ref="K32" ca="1">IFERROR(IF(SUMPRODUCT(('Planning Engine'!$B$4:$B$2500="47mg LP")*(YEAR('Planning Engine'!$A$4:$A$2500)=2039)*('Planning Engine'!$L$4:$L$2500="High"))&gt;0,"High",IF(SUMPRODUCT(('Planning Engine'!$B$4:$B$2500="47mg LP")*(YEAR('Planning Engine'!$A$4:$A$2500)=2039)*('Planning Engine'!$L$4:$L$2500="Medium"))&gt;0,"Medium",IF(SUMPRODUCT(('Planning Engine'!$B$4:$B$2500="47mg LP")*(YEAR('Planning Engine'!$A$4:$A$2500)=2039)*('Planning Engine'!$L$4:$L$2500="Overstock"))&gt;0,"Overstock","Low"))),"--")</f>
        <v>High</v>
      </c>
    </row>
    <row r="33" spans="1:11" ht="14" customHeight="1" x14ac:dyDescent="0.35">
      <c r="A33" s="230" t="s">
        <v>35</v>
      </c>
      <c r="B33" s="338" t="s">
        <v>28</v>
      </c>
      <c r="C33" s="339">
        <v>2040</v>
      </c>
      <c r="D33" s="340" cm="1">
        <f t="array" ref="D33">IFERROR(SUMPRODUCT(('Planning Engine'!$B$4:$B$2500="47mg LP")*(YEAR('Planning Engine'!$A$4:$A$2500)=2040)*'Planning Engine'!$F$4:$F$2500),0)</f>
        <v>8024.4338882375232</v>
      </c>
      <c r="E33" s="340" cm="1">
        <f t="array" ref="E33">IFERROR(SUMPRODUCT(('Planning Engine'!$B$4:$B$2500="47mg LP")*(YEAR('Planning Engine'!$A$4:$A$2500)=2040)*'Planning Engine'!$G$4:$G$2500),0)</f>
        <v>0</v>
      </c>
      <c r="F33" s="340" cm="1">
        <f t="array" ref="F33">IFERROR(SUMPRODUCT(('Planning Engine'!$B$4:$B$2500="47mg LP")*(YEAR('Planning Engine'!$A$4:$A$2500)=2040)*(MONTH('Planning Engine'!$A$4:$A$2500)=6)*'Planning Engine'!$H$4:$H$2500),0)</f>
        <v>-1307342.9539206154</v>
      </c>
      <c r="G33" s="340" cm="1">
        <f t="array" ref="G33">IFERROR(SUMPRODUCT(('Planning Engine'!$B$4:$B$2500="47mg LP")*(YEAR('Planning Engine'!$A$4:$A$2500)=2040)*(MONTH('Planning Engine'!$A$4:$A$2500)=12)*'Planning Engine'!$H$4:$H$2500),0)</f>
        <v>-1311320.6818856203</v>
      </c>
      <c r="H33" s="340" cm="1">
        <f t="array" aca="1" ref="H33" ca="1">IFERROR(SUMPRODUCT(('Planning Engine'!$B$4:$B$2500="47mg LP")*(YEAR('Planning Engine'!$A$4:$A$2500)=2040)*('Planning Engine'!$J$4:$J$2500&gt;0)*'Planning Engine'!$J$4:$J$2500)/MAX(1,SUMPRODUCT(('Planning Engine'!$B$4:$B$2500="47mg LP")*(YEAR('Planning Engine'!$A$4:$A$2500)=2040)*('Planning Engine'!$J$4:$J$2500&gt;0))),0)</f>
        <v>0</v>
      </c>
      <c r="I33" s="339" cm="1">
        <f t="array" ref="I33">IFERROR(SUMPRODUCT(('Planning Engine'!$B$4:$B$2500="47mg LP")*(YEAR('Planning Engine'!$A$4:$A$2500)=2040)*(MONTH('Planning Engine'!$A$4:$A$2500)=12)*'Planning Engine'!$H$4:$H$2500),0)</f>
        <v>-1311320.6818856203</v>
      </c>
      <c r="J33" cm="1">
        <f t="array" aca="1" ref="J33" ca="1">IFERROR(SUMPRODUCT(('Planning Engine'!$B$4:$B$2500="47mg LP")*(YEAR('Planning Engine'!$A$4:$A$2500)=2040)*'Planning Engine'!$K$4:$K$2500),0)</f>
        <v>15760000</v>
      </c>
      <c r="K33" s="339" t="str" cm="1">
        <f t="array" aca="1" ref="K33" ca="1">IFERROR(IF(SUMPRODUCT(('Planning Engine'!$B$4:$B$2500="47mg LP")*(YEAR('Planning Engine'!$A$4:$A$2500)=2040)*('Planning Engine'!$L$4:$L$2500="High"))&gt;0,"High",IF(SUMPRODUCT(('Planning Engine'!$B$4:$B$2500="47mg LP")*(YEAR('Planning Engine'!$A$4:$A$2500)=2040)*('Planning Engine'!$L$4:$L$2500="Medium"))&gt;0,"Medium",IF(SUMPRODUCT(('Planning Engine'!$B$4:$B$2500="47mg LP")*(YEAR('Planning Engine'!$A$4:$A$2500)=2040)*('Planning Engine'!$L$4:$L$2500="Overstock"))&gt;0,"Overstock","Low"))),"--")</f>
        <v>High</v>
      </c>
    </row>
    <row r="34" spans="1:11" ht="14" customHeight="1" x14ac:dyDescent="0.35">
      <c r="A34" s="274" t="s">
        <v>959</v>
      </c>
      <c r="B34" s="336" t="s">
        <v>28</v>
      </c>
      <c r="C34" s="278">
        <v>2026</v>
      </c>
      <c r="D34" s="276" cm="1">
        <f t="array" ref="D34">IFERROR(SUMPRODUCT(('Planning Engine'!$B$4:$B$2500="188mg LP - EU Stock")*(YEAR('Planning Engine'!$A$4:$A$2500)=2026)*'Planning Engine'!$F$4:$F$2500),0)</f>
        <v>0</v>
      </c>
      <c r="E34" s="276" cm="1">
        <f t="array" ref="E34">IFERROR(SUMPRODUCT(('Planning Engine'!$B$4:$B$2500="188mg LP - EU Stock")*(YEAR('Planning Engine'!$A$4:$A$2500)=2026)*'Planning Engine'!$G$4:$G$2500),0)</f>
        <v>0</v>
      </c>
      <c r="F34" s="276" cm="1">
        <f t="array" ref="F34">IFERROR(SUMPRODUCT(('Planning Engine'!$B$4:$B$2500="188mg LP - EU Stock")*(YEAR('Planning Engine'!$A$4:$A$2500)=2026)*(MONTH('Planning Engine'!$A$4:$A$2500)=6)*'Planning Engine'!$H$4:$H$2500),0)</f>
        <v>0</v>
      </c>
      <c r="G34" s="276" cm="1">
        <f t="array" ref="G34">IFERROR(SUMPRODUCT(('Planning Engine'!$B$4:$B$2500="188mg LP - EU Stock")*(YEAR('Planning Engine'!$A$4:$A$2500)=2026)*(MONTH('Planning Engine'!$A$4:$A$2500)=12)*'Planning Engine'!$H$4:$H$2500),0)</f>
        <v>0</v>
      </c>
      <c r="H34" s="276" cm="1">
        <f t="array" aca="1" ref="H34" ca="1">IFERROR(SUMPRODUCT(('Planning Engine'!$B$4:$B$2500="188mg LP - EU Stock")*(YEAR('Planning Engine'!$A$4:$A$2500)=2026)*('Planning Engine'!$J$4:$J$2500&gt;0)*'Planning Engine'!$J$4:$J$2500)/MAX(1,SUMPRODUCT(('Planning Engine'!$B$4:$B$2500="188mg LP - EU Stock")*(YEAR('Planning Engine'!$A$4:$A$2500)=2026)*('Planning Engine'!$J$4:$J$2500&gt;0))),0)</f>
        <v>0</v>
      </c>
      <c r="I34" s="278" cm="1">
        <f t="array" ref="I34">IFERROR(SUMPRODUCT(('Planning Engine'!$B$4:$B$2500="188mg LP - EU Stock")*(YEAR('Planning Engine'!$A$4:$A$2500)=2026)*(MONTH('Planning Engine'!$A$4:$A$2500)=12)*'Planning Engine'!$H$4:$H$2500),0)</f>
        <v>0</v>
      </c>
      <c r="J34" cm="1">
        <f t="array" aca="1" ref="J34" ca="1">IFERROR(SUMPRODUCT(('Planning Engine'!$B$4:$B$2500="188mg LP - EU Stock")*(YEAR('Planning Engine'!$A$4:$A$2500)=2026)*'Planning Engine'!$K$4:$K$2500),0)</f>
        <v>0</v>
      </c>
      <c r="K34" s="278" t="str" cm="1">
        <f t="array" aca="1" ref="K34" ca="1">IFERROR(IF(SUMPRODUCT(('Planning Engine'!$B$4:$B$2500="188mg LP - EU Stock")*(YEAR('Planning Engine'!$A$4:$A$2500)=2026)*('Planning Engine'!$L$4:$L$2500="High"))&gt;0,"High",IF(SUMPRODUCT(('Planning Engine'!$B$4:$B$2500="188mg LP - EU Stock")*(YEAR('Planning Engine'!$A$4:$A$2500)=2026)*('Planning Engine'!$L$4:$L$2500="Medium"))&gt;0,"Medium",IF(SUMPRODUCT(('Planning Engine'!$B$4:$B$2500="188mg LP - EU Stock")*(YEAR('Planning Engine'!$A$4:$A$2500)=2026)*('Planning Engine'!$L$4:$L$2500="Overstock"))&gt;0,"Overstock","Low"))),"--")</f>
        <v>High</v>
      </c>
    </row>
    <row r="35" spans="1:11" ht="14" customHeight="1" x14ac:dyDescent="0.35">
      <c r="A35" s="269" t="s">
        <v>959</v>
      </c>
      <c r="B35" s="337" t="s">
        <v>28</v>
      </c>
      <c r="C35" s="273">
        <v>2027</v>
      </c>
      <c r="D35" s="271" cm="1">
        <f t="array" ref="D35">IFERROR(SUMPRODUCT(('Planning Engine'!$B$4:$B$2500="188mg LP - EU Stock")*(YEAR('Planning Engine'!$A$4:$A$2500)=2027)*'Planning Engine'!$F$4:$F$2500),0)</f>
        <v>0</v>
      </c>
      <c r="E35" s="271" cm="1">
        <f t="array" ref="E35">IFERROR(SUMPRODUCT(('Planning Engine'!$B$4:$B$2500="188mg LP - EU Stock")*(YEAR('Planning Engine'!$A$4:$A$2500)=2027)*'Planning Engine'!$G$4:$G$2500),0)</f>
        <v>0</v>
      </c>
      <c r="F35" s="271" cm="1">
        <f t="array" ref="F35">IFERROR(SUMPRODUCT(('Planning Engine'!$B$4:$B$2500="188mg LP - EU Stock")*(YEAR('Planning Engine'!$A$4:$A$2500)=2027)*(MONTH('Planning Engine'!$A$4:$A$2500)=6)*'Planning Engine'!$H$4:$H$2500),0)</f>
        <v>0</v>
      </c>
      <c r="G35" s="271" cm="1">
        <f t="array" ref="G35">IFERROR(SUMPRODUCT(('Planning Engine'!$B$4:$B$2500="188mg LP - EU Stock")*(YEAR('Planning Engine'!$A$4:$A$2500)=2027)*(MONTH('Planning Engine'!$A$4:$A$2500)=12)*'Planning Engine'!$H$4:$H$2500),0)</f>
        <v>0</v>
      </c>
      <c r="H35" s="271" cm="1">
        <f t="array" aca="1" ref="H35" ca="1">IFERROR(SUMPRODUCT(('Planning Engine'!$B$4:$B$2500="188mg LP - EU Stock")*(YEAR('Planning Engine'!$A$4:$A$2500)=2027)*('Planning Engine'!$J$4:$J$2500&gt;0)*'Planning Engine'!$J$4:$J$2500)/MAX(1,SUMPRODUCT(('Planning Engine'!$B$4:$B$2500="188mg LP - EU Stock")*(YEAR('Planning Engine'!$A$4:$A$2500)=2027)*('Planning Engine'!$J$4:$J$2500&gt;0))),0)</f>
        <v>0</v>
      </c>
      <c r="I35" s="273" cm="1">
        <f t="array" ref="I35">IFERROR(SUMPRODUCT(('Planning Engine'!$B$4:$B$2500="188mg LP - EU Stock")*(YEAR('Planning Engine'!$A$4:$A$2500)=2027)*(MONTH('Planning Engine'!$A$4:$A$2500)=12)*'Planning Engine'!$H$4:$H$2500),0)</f>
        <v>0</v>
      </c>
      <c r="J35" cm="1">
        <f t="array" aca="1" ref="J35" ca="1">IFERROR(SUMPRODUCT(('Planning Engine'!$B$4:$B$2500="188mg LP - EU Stock")*(YEAR('Planning Engine'!$A$4:$A$2500)=2027)*'Planning Engine'!$K$4:$K$2500),0)</f>
        <v>0</v>
      </c>
      <c r="K35" s="273" t="str" cm="1">
        <f t="array" aca="1" ref="K35" ca="1">IFERROR(IF(SUMPRODUCT(('Planning Engine'!$B$4:$B$2500="188mg LP - EU Stock")*(YEAR('Planning Engine'!$A$4:$A$2500)=2027)*('Planning Engine'!$L$4:$L$2500="High"))&gt;0,"High",IF(SUMPRODUCT(('Planning Engine'!$B$4:$B$2500="188mg LP - EU Stock")*(YEAR('Planning Engine'!$A$4:$A$2500)=2027)*('Planning Engine'!$L$4:$L$2500="Medium"))&gt;0,"Medium",IF(SUMPRODUCT(('Planning Engine'!$B$4:$B$2500="188mg LP - EU Stock")*(YEAR('Planning Engine'!$A$4:$A$2500)=2027)*('Planning Engine'!$L$4:$L$2500="Overstock"))&gt;0,"Overstock","Low"))),"--")</f>
        <v>High</v>
      </c>
    </row>
    <row r="36" spans="1:11" ht="14" customHeight="1" x14ac:dyDescent="0.35">
      <c r="A36" s="274" t="s">
        <v>959</v>
      </c>
      <c r="B36" s="336" t="s">
        <v>28</v>
      </c>
      <c r="C36" s="278">
        <v>2028</v>
      </c>
      <c r="D36" s="276" cm="1">
        <f t="array" ref="D36">IFERROR(SUMPRODUCT(('Planning Engine'!$B$4:$B$2500="188mg LP - EU Stock")*(YEAR('Planning Engine'!$A$4:$A$2500)=2028)*'Planning Engine'!$F$4:$F$2500),0)</f>
        <v>0</v>
      </c>
      <c r="E36" s="276" cm="1">
        <f t="array" ref="E36">IFERROR(SUMPRODUCT(('Planning Engine'!$B$4:$B$2500="188mg LP - EU Stock")*(YEAR('Planning Engine'!$A$4:$A$2500)=2028)*'Planning Engine'!$G$4:$G$2500),0)</f>
        <v>0</v>
      </c>
      <c r="F36" s="276" cm="1">
        <f t="array" ref="F36">IFERROR(SUMPRODUCT(('Planning Engine'!$B$4:$B$2500="188mg LP - EU Stock")*(YEAR('Planning Engine'!$A$4:$A$2500)=2028)*(MONTH('Planning Engine'!$A$4:$A$2500)=6)*'Planning Engine'!$H$4:$H$2500),0)</f>
        <v>0</v>
      </c>
      <c r="G36" s="276" cm="1">
        <f t="array" ref="G36">IFERROR(SUMPRODUCT(('Planning Engine'!$B$4:$B$2500="188mg LP - EU Stock")*(YEAR('Planning Engine'!$A$4:$A$2500)=2028)*(MONTH('Planning Engine'!$A$4:$A$2500)=12)*'Planning Engine'!$H$4:$H$2500),0)</f>
        <v>0</v>
      </c>
      <c r="H36" s="276" cm="1">
        <f t="array" aca="1" ref="H36" ca="1">IFERROR(SUMPRODUCT(('Planning Engine'!$B$4:$B$2500="188mg LP - EU Stock")*(YEAR('Planning Engine'!$A$4:$A$2500)=2028)*('Planning Engine'!$J$4:$J$2500&gt;0)*'Planning Engine'!$J$4:$J$2500)/MAX(1,SUMPRODUCT(('Planning Engine'!$B$4:$B$2500="188mg LP - EU Stock")*(YEAR('Planning Engine'!$A$4:$A$2500)=2028)*('Planning Engine'!$J$4:$J$2500&gt;0))),0)</f>
        <v>0</v>
      </c>
      <c r="I36" s="278" cm="1">
        <f t="array" ref="I36">IFERROR(SUMPRODUCT(('Planning Engine'!$B$4:$B$2500="188mg LP - EU Stock")*(YEAR('Planning Engine'!$A$4:$A$2500)=2028)*(MONTH('Planning Engine'!$A$4:$A$2500)=12)*'Planning Engine'!$H$4:$H$2500),0)</f>
        <v>0</v>
      </c>
      <c r="J36" cm="1">
        <f t="array" aca="1" ref="J36" ca="1">IFERROR(SUMPRODUCT(('Planning Engine'!$B$4:$B$2500="188mg LP - EU Stock")*(YEAR('Planning Engine'!$A$4:$A$2500)=2028)*'Planning Engine'!$K$4:$K$2500),0)</f>
        <v>0</v>
      </c>
      <c r="K36" s="278" t="str" cm="1">
        <f t="array" aca="1" ref="K36" ca="1">IFERROR(IF(SUMPRODUCT(('Planning Engine'!$B$4:$B$2500="188mg LP - EU Stock")*(YEAR('Planning Engine'!$A$4:$A$2500)=2028)*('Planning Engine'!$L$4:$L$2500="High"))&gt;0,"High",IF(SUMPRODUCT(('Planning Engine'!$B$4:$B$2500="188mg LP - EU Stock")*(YEAR('Planning Engine'!$A$4:$A$2500)=2028)*('Planning Engine'!$L$4:$L$2500="Medium"))&gt;0,"Medium",IF(SUMPRODUCT(('Planning Engine'!$B$4:$B$2500="188mg LP - EU Stock")*(YEAR('Planning Engine'!$A$4:$A$2500)=2028)*('Planning Engine'!$L$4:$L$2500="Overstock"))&gt;0,"Overstock","Low"))),"--")</f>
        <v>High</v>
      </c>
    </row>
    <row r="37" spans="1:11" ht="14" customHeight="1" x14ac:dyDescent="0.35">
      <c r="A37" s="269" t="s">
        <v>959</v>
      </c>
      <c r="B37" s="337" t="s">
        <v>28</v>
      </c>
      <c r="C37" s="273">
        <v>2029</v>
      </c>
      <c r="D37" s="271" cm="1">
        <f t="array" ref="D37">IFERROR(SUMPRODUCT(('Planning Engine'!$B$4:$B$2500="188mg LP - EU Stock")*(YEAR('Planning Engine'!$A$4:$A$2500)=2029)*'Planning Engine'!$F$4:$F$2500),0)</f>
        <v>0</v>
      </c>
      <c r="E37" s="271" cm="1">
        <f t="array" ref="E37">IFERROR(SUMPRODUCT(('Planning Engine'!$B$4:$B$2500="188mg LP - EU Stock")*(YEAR('Planning Engine'!$A$4:$A$2500)=2029)*'Planning Engine'!$G$4:$G$2500),0)</f>
        <v>0</v>
      </c>
      <c r="F37" s="271" cm="1">
        <f t="array" ref="F37">IFERROR(SUMPRODUCT(('Planning Engine'!$B$4:$B$2500="188mg LP - EU Stock")*(YEAR('Planning Engine'!$A$4:$A$2500)=2029)*(MONTH('Planning Engine'!$A$4:$A$2500)=6)*'Planning Engine'!$H$4:$H$2500),0)</f>
        <v>0</v>
      </c>
      <c r="G37" s="271" cm="1">
        <f t="array" ref="G37">IFERROR(SUMPRODUCT(('Planning Engine'!$B$4:$B$2500="188mg LP - EU Stock")*(YEAR('Planning Engine'!$A$4:$A$2500)=2029)*(MONTH('Planning Engine'!$A$4:$A$2500)=12)*'Planning Engine'!$H$4:$H$2500),0)</f>
        <v>0</v>
      </c>
      <c r="H37" s="271" cm="1">
        <f t="array" aca="1" ref="H37" ca="1">IFERROR(SUMPRODUCT(('Planning Engine'!$B$4:$B$2500="188mg LP - EU Stock")*(YEAR('Planning Engine'!$A$4:$A$2500)=2029)*('Planning Engine'!$J$4:$J$2500&gt;0)*'Planning Engine'!$J$4:$J$2500)/MAX(1,SUMPRODUCT(('Planning Engine'!$B$4:$B$2500="188mg LP - EU Stock")*(YEAR('Planning Engine'!$A$4:$A$2500)=2029)*('Planning Engine'!$J$4:$J$2500&gt;0))),0)</f>
        <v>0</v>
      </c>
      <c r="I37" s="273" cm="1">
        <f t="array" ref="I37">IFERROR(SUMPRODUCT(('Planning Engine'!$B$4:$B$2500="188mg LP - EU Stock")*(YEAR('Planning Engine'!$A$4:$A$2500)=2029)*(MONTH('Planning Engine'!$A$4:$A$2500)=12)*'Planning Engine'!$H$4:$H$2500),0)</f>
        <v>0</v>
      </c>
      <c r="J37" cm="1">
        <f t="array" aca="1" ref="J37" ca="1">IFERROR(SUMPRODUCT(('Planning Engine'!$B$4:$B$2500="188mg LP - EU Stock")*(YEAR('Planning Engine'!$A$4:$A$2500)=2029)*'Planning Engine'!$K$4:$K$2500),0)</f>
        <v>0</v>
      </c>
      <c r="K37" s="273" t="str" cm="1">
        <f t="array" aca="1" ref="K37" ca="1">IFERROR(IF(SUMPRODUCT(('Planning Engine'!$B$4:$B$2500="188mg LP - EU Stock")*(YEAR('Planning Engine'!$A$4:$A$2500)=2029)*('Planning Engine'!$L$4:$L$2500="High"))&gt;0,"High",IF(SUMPRODUCT(('Planning Engine'!$B$4:$B$2500="188mg LP - EU Stock")*(YEAR('Planning Engine'!$A$4:$A$2500)=2029)*('Planning Engine'!$L$4:$L$2500="Medium"))&gt;0,"Medium",IF(SUMPRODUCT(('Planning Engine'!$B$4:$B$2500="188mg LP - EU Stock")*(YEAR('Planning Engine'!$A$4:$A$2500)=2029)*('Planning Engine'!$L$4:$L$2500="Overstock"))&gt;0,"Overstock","Low"))),"--")</f>
        <v>High</v>
      </c>
    </row>
    <row r="38" spans="1:11" ht="14" customHeight="1" x14ac:dyDescent="0.35">
      <c r="A38" s="274" t="s">
        <v>959</v>
      </c>
      <c r="B38" s="336" t="s">
        <v>28</v>
      </c>
      <c r="C38" s="278">
        <v>2030</v>
      </c>
      <c r="D38" s="276" cm="1">
        <f t="array" ref="D38">IFERROR(SUMPRODUCT(('Planning Engine'!$B$4:$B$2500="188mg LP - EU Stock")*(YEAR('Planning Engine'!$A$4:$A$2500)=2030)*'Planning Engine'!$F$4:$F$2500),0)</f>
        <v>0</v>
      </c>
      <c r="E38" s="276" cm="1">
        <f t="array" ref="E38">IFERROR(SUMPRODUCT(('Planning Engine'!$B$4:$B$2500="188mg LP - EU Stock")*(YEAR('Planning Engine'!$A$4:$A$2500)=2030)*'Planning Engine'!$G$4:$G$2500),0)</f>
        <v>0</v>
      </c>
      <c r="F38" s="276" cm="1">
        <f t="array" ref="F38">IFERROR(SUMPRODUCT(('Planning Engine'!$B$4:$B$2500="188mg LP - EU Stock")*(YEAR('Planning Engine'!$A$4:$A$2500)=2030)*(MONTH('Planning Engine'!$A$4:$A$2500)=6)*'Planning Engine'!$H$4:$H$2500),0)</f>
        <v>0</v>
      </c>
      <c r="G38" s="276" cm="1">
        <f t="array" ref="G38">IFERROR(SUMPRODUCT(('Planning Engine'!$B$4:$B$2500="188mg LP - EU Stock")*(YEAR('Planning Engine'!$A$4:$A$2500)=2030)*(MONTH('Planning Engine'!$A$4:$A$2500)=12)*'Planning Engine'!$H$4:$H$2500),0)</f>
        <v>0</v>
      </c>
      <c r="H38" s="276" cm="1">
        <f t="array" aca="1" ref="H38" ca="1">IFERROR(SUMPRODUCT(('Planning Engine'!$B$4:$B$2500="188mg LP - EU Stock")*(YEAR('Planning Engine'!$A$4:$A$2500)=2030)*('Planning Engine'!$J$4:$J$2500&gt;0)*'Planning Engine'!$J$4:$J$2500)/MAX(1,SUMPRODUCT(('Planning Engine'!$B$4:$B$2500="188mg LP - EU Stock")*(YEAR('Planning Engine'!$A$4:$A$2500)=2030)*('Planning Engine'!$J$4:$J$2500&gt;0))),0)</f>
        <v>0</v>
      </c>
      <c r="I38" s="278" cm="1">
        <f t="array" ref="I38">IFERROR(SUMPRODUCT(('Planning Engine'!$B$4:$B$2500="188mg LP - EU Stock")*(YEAR('Planning Engine'!$A$4:$A$2500)=2030)*(MONTH('Planning Engine'!$A$4:$A$2500)=12)*'Planning Engine'!$H$4:$H$2500),0)</f>
        <v>0</v>
      </c>
      <c r="J38" cm="1">
        <f t="array" aca="1" ref="J38" ca="1">IFERROR(SUMPRODUCT(('Planning Engine'!$B$4:$B$2500="188mg LP - EU Stock")*(YEAR('Planning Engine'!$A$4:$A$2500)=2030)*'Planning Engine'!$K$4:$K$2500),0)</f>
        <v>0</v>
      </c>
      <c r="K38" s="278" t="str" cm="1">
        <f t="array" aca="1" ref="K38" ca="1">IFERROR(IF(SUMPRODUCT(('Planning Engine'!$B$4:$B$2500="188mg LP - EU Stock")*(YEAR('Planning Engine'!$A$4:$A$2500)=2030)*('Planning Engine'!$L$4:$L$2500="High"))&gt;0,"High",IF(SUMPRODUCT(('Planning Engine'!$B$4:$B$2500="188mg LP - EU Stock")*(YEAR('Planning Engine'!$A$4:$A$2500)=2030)*('Planning Engine'!$L$4:$L$2500="Medium"))&gt;0,"Medium",IF(SUMPRODUCT(('Planning Engine'!$B$4:$B$2500="188mg LP - EU Stock")*(YEAR('Planning Engine'!$A$4:$A$2500)=2030)*('Planning Engine'!$L$4:$L$2500="Overstock"))&gt;0,"Overstock","Low"))),"--")</f>
        <v>High</v>
      </c>
    </row>
    <row r="39" spans="1:11" ht="14" customHeight="1" x14ac:dyDescent="0.35">
      <c r="A39" s="269" t="s">
        <v>959</v>
      </c>
      <c r="B39" s="337" t="s">
        <v>28</v>
      </c>
      <c r="C39" s="273">
        <v>2031</v>
      </c>
      <c r="D39" s="271" cm="1">
        <f t="array" ref="D39">IFERROR(SUMPRODUCT(('Planning Engine'!$B$4:$B$2500="188mg LP - EU Stock")*(YEAR('Planning Engine'!$A$4:$A$2500)=2031)*'Planning Engine'!$F$4:$F$2500),0)</f>
        <v>0</v>
      </c>
      <c r="E39" s="271" cm="1">
        <f t="array" ref="E39">IFERROR(SUMPRODUCT(('Planning Engine'!$B$4:$B$2500="188mg LP - EU Stock")*(YEAR('Planning Engine'!$A$4:$A$2500)=2031)*'Planning Engine'!$G$4:$G$2500),0)</f>
        <v>0</v>
      </c>
      <c r="F39" s="271" cm="1">
        <f t="array" ref="F39">IFERROR(SUMPRODUCT(('Planning Engine'!$B$4:$B$2500="188mg LP - EU Stock")*(YEAR('Planning Engine'!$A$4:$A$2500)=2031)*(MONTH('Planning Engine'!$A$4:$A$2500)=6)*'Planning Engine'!$H$4:$H$2500),0)</f>
        <v>0</v>
      </c>
      <c r="G39" s="271" cm="1">
        <f t="array" ref="G39">IFERROR(SUMPRODUCT(('Planning Engine'!$B$4:$B$2500="188mg LP - EU Stock")*(YEAR('Planning Engine'!$A$4:$A$2500)=2031)*(MONTH('Planning Engine'!$A$4:$A$2500)=12)*'Planning Engine'!$H$4:$H$2500),0)</f>
        <v>0</v>
      </c>
      <c r="H39" s="271" cm="1">
        <f t="array" aca="1" ref="H39" ca="1">IFERROR(SUMPRODUCT(('Planning Engine'!$B$4:$B$2500="188mg LP - EU Stock")*(YEAR('Planning Engine'!$A$4:$A$2500)=2031)*('Planning Engine'!$J$4:$J$2500&gt;0)*'Planning Engine'!$J$4:$J$2500)/MAX(1,SUMPRODUCT(('Planning Engine'!$B$4:$B$2500="188mg LP - EU Stock")*(YEAR('Planning Engine'!$A$4:$A$2500)=2031)*('Planning Engine'!$J$4:$J$2500&gt;0))),0)</f>
        <v>0</v>
      </c>
      <c r="I39" s="273" cm="1">
        <f t="array" ref="I39">IFERROR(SUMPRODUCT(('Planning Engine'!$B$4:$B$2500="188mg LP - EU Stock")*(YEAR('Planning Engine'!$A$4:$A$2500)=2031)*(MONTH('Planning Engine'!$A$4:$A$2500)=12)*'Planning Engine'!$H$4:$H$2500),0)</f>
        <v>0</v>
      </c>
      <c r="J39" cm="1">
        <f t="array" aca="1" ref="J39" ca="1">IFERROR(SUMPRODUCT(('Planning Engine'!$B$4:$B$2500="188mg LP - EU Stock")*(YEAR('Planning Engine'!$A$4:$A$2500)=2031)*'Planning Engine'!$K$4:$K$2500),0)</f>
        <v>0</v>
      </c>
      <c r="K39" s="273" t="str" cm="1">
        <f t="array" aca="1" ref="K39" ca="1">IFERROR(IF(SUMPRODUCT(('Planning Engine'!$B$4:$B$2500="188mg LP - EU Stock")*(YEAR('Planning Engine'!$A$4:$A$2500)=2031)*('Planning Engine'!$L$4:$L$2500="High"))&gt;0,"High",IF(SUMPRODUCT(('Planning Engine'!$B$4:$B$2500="188mg LP - EU Stock")*(YEAR('Planning Engine'!$A$4:$A$2500)=2031)*('Planning Engine'!$L$4:$L$2500="Medium"))&gt;0,"Medium",IF(SUMPRODUCT(('Planning Engine'!$B$4:$B$2500="188mg LP - EU Stock")*(YEAR('Planning Engine'!$A$4:$A$2500)=2031)*('Planning Engine'!$L$4:$L$2500="Overstock"))&gt;0,"Overstock","Low"))),"--")</f>
        <v>High</v>
      </c>
    </row>
    <row r="40" spans="1:11" ht="14" customHeight="1" x14ac:dyDescent="0.35">
      <c r="A40" s="274" t="s">
        <v>959</v>
      </c>
      <c r="B40" s="336" t="s">
        <v>28</v>
      </c>
      <c r="C40" s="278">
        <v>2032</v>
      </c>
      <c r="D40" s="276" cm="1">
        <f t="array" ref="D40">IFERROR(SUMPRODUCT(('Planning Engine'!$B$4:$B$2500="188mg LP - EU Stock")*(YEAR('Planning Engine'!$A$4:$A$2500)=2032)*'Planning Engine'!$F$4:$F$2500),0)</f>
        <v>0</v>
      </c>
      <c r="E40" s="276" cm="1">
        <f t="array" ref="E40">IFERROR(SUMPRODUCT(('Planning Engine'!$B$4:$B$2500="188mg LP - EU Stock")*(YEAR('Planning Engine'!$A$4:$A$2500)=2032)*'Planning Engine'!$G$4:$G$2500),0)</f>
        <v>0</v>
      </c>
      <c r="F40" s="276" cm="1">
        <f t="array" ref="F40">IFERROR(SUMPRODUCT(('Planning Engine'!$B$4:$B$2500="188mg LP - EU Stock")*(YEAR('Planning Engine'!$A$4:$A$2500)=2032)*(MONTH('Planning Engine'!$A$4:$A$2500)=6)*'Planning Engine'!$H$4:$H$2500),0)</f>
        <v>0</v>
      </c>
      <c r="G40" s="276" cm="1">
        <f t="array" ref="G40">IFERROR(SUMPRODUCT(('Planning Engine'!$B$4:$B$2500="188mg LP - EU Stock")*(YEAR('Planning Engine'!$A$4:$A$2500)=2032)*(MONTH('Planning Engine'!$A$4:$A$2500)=12)*'Planning Engine'!$H$4:$H$2500),0)</f>
        <v>0</v>
      </c>
      <c r="H40" s="276" cm="1">
        <f t="array" aca="1" ref="H40" ca="1">IFERROR(SUMPRODUCT(('Planning Engine'!$B$4:$B$2500="188mg LP - EU Stock")*(YEAR('Planning Engine'!$A$4:$A$2500)=2032)*('Planning Engine'!$J$4:$J$2500&gt;0)*'Planning Engine'!$J$4:$J$2500)/MAX(1,SUMPRODUCT(('Planning Engine'!$B$4:$B$2500="188mg LP - EU Stock")*(YEAR('Planning Engine'!$A$4:$A$2500)=2032)*('Planning Engine'!$J$4:$J$2500&gt;0))),0)</f>
        <v>0</v>
      </c>
      <c r="I40" s="278" cm="1">
        <f t="array" ref="I40">IFERROR(SUMPRODUCT(('Planning Engine'!$B$4:$B$2500="188mg LP - EU Stock")*(YEAR('Planning Engine'!$A$4:$A$2500)=2032)*(MONTH('Planning Engine'!$A$4:$A$2500)=12)*'Planning Engine'!$H$4:$H$2500),0)</f>
        <v>0</v>
      </c>
      <c r="J40" cm="1">
        <f t="array" aca="1" ref="J40" ca="1">IFERROR(SUMPRODUCT(('Planning Engine'!$B$4:$B$2500="188mg LP - EU Stock")*(YEAR('Planning Engine'!$A$4:$A$2500)=2032)*'Planning Engine'!$K$4:$K$2500),0)</f>
        <v>0</v>
      </c>
      <c r="K40" s="278" t="str" cm="1">
        <f t="array" aca="1" ref="K40" ca="1">IFERROR(IF(SUMPRODUCT(('Planning Engine'!$B$4:$B$2500="188mg LP - EU Stock")*(YEAR('Planning Engine'!$A$4:$A$2500)=2032)*('Planning Engine'!$L$4:$L$2500="High"))&gt;0,"High",IF(SUMPRODUCT(('Planning Engine'!$B$4:$B$2500="188mg LP - EU Stock")*(YEAR('Planning Engine'!$A$4:$A$2500)=2032)*('Planning Engine'!$L$4:$L$2500="Medium"))&gt;0,"Medium",IF(SUMPRODUCT(('Planning Engine'!$B$4:$B$2500="188mg LP - EU Stock")*(YEAR('Planning Engine'!$A$4:$A$2500)=2032)*('Planning Engine'!$L$4:$L$2500="Overstock"))&gt;0,"Overstock","Low"))),"--")</f>
        <v>High</v>
      </c>
    </row>
    <row r="41" spans="1:11" ht="14" customHeight="1" x14ac:dyDescent="0.35">
      <c r="A41" s="269" t="s">
        <v>959</v>
      </c>
      <c r="B41" s="337" t="s">
        <v>28</v>
      </c>
      <c r="C41" s="273">
        <v>2033</v>
      </c>
      <c r="D41" s="271" cm="1">
        <f t="array" ref="D41">IFERROR(SUMPRODUCT(('Planning Engine'!$B$4:$B$2500="188mg LP - EU Stock")*(YEAR('Planning Engine'!$A$4:$A$2500)=2033)*'Planning Engine'!$F$4:$F$2500),0)</f>
        <v>0</v>
      </c>
      <c r="E41" s="271" cm="1">
        <f t="array" ref="E41">IFERROR(SUMPRODUCT(('Planning Engine'!$B$4:$B$2500="188mg LP - EU Stock")*(YEAR('Planning Engine'!$A$4:$A$2500)=2033)*'Planning Engine'!$G$4:$G$2500),0)</f>
        <v>0</v>
      </c>
      <c r="F41" s="271" cm="1">
        <f t="array" ref="F41">IFERROR(SUMPRODUCT(('Planning Engine'!$B$4:$B$2500="188mg LP - EU Stock")*(YEAR('Planning Engine'!$A$4:$A$2500)=2033)*(MONTH('Planning Engine'!$A$4:$A$2500)=6)*'Planning Engine'!$H$4:$H$2500),0)</f>
        <v>0</v>
      </c>
      <c r="G41" s="271" cm="1">
        <f t="array" ref="G41">IFERROR(SUMPRODUCT(('Planning Engine'!$B$4:$B$2500="188mg LP - EU Stock")*(YEAR('Planning Engine'!$A$4:$A$2500)=2033)*(MONTH('Planning Engine'!$A$4:$A$2500)=12)*'Planning Engine'!$H$4:$H$2500),0)</f>
        <v>0</v>
      </c>
      <c r="H41" s="271" cm="1">
        <f t="array" aca="1" ref="H41" ca="1">IFERROR(SUMPRODUCT(('Planning Engine'!$B$4:$B$2500="188mg LP - EU Stock")*(YEAR('Planning Engine'!$A$4:$A$2500)=2033)*('Planning Engine'!$J$4:$J$2500&gt;0)*'Planning Engine'!$J$4:$J$2500)/MAX(1,SUMPRODUCT(('Planning Engine'!$B$4:$B$2500="188mg LP - EU Stock")*(YEAR('Planning Engine'!$A$4:$A$2500)=2033)*('Planning Engine'!$J$4:$J$2500&gt;0))),0)</f>
        <v>0</v>
      </c>
      <c r="I41" s="273" cm="1">
        <f t="array" ref="I41">IFERROR(SUMPRODUCT(('Planning Engine'!$B$4:$B$2500="188mg LP - EU Stock")*(YEAR('Planning Engine'!$A$4:$A$2500)=2033)*(MONTH('Planning Engine'!$A$4:$A$2500)=12)*'Planning Engine'!$H$4:$H$2500),0)</f>
        <v>0</v>
      </c>
      <c r="J41" cm="1">
        <f t="array" aca="1" ref="J41" ca="1">IFERROR(SUMPRODUCT(('Planning Engine'!$B$4:$B$2500="188mg LP - EU Stock")*(YEAR('Planning Engine'!$A$4:$A$2500)=2033)*'Planning Engine'!$K$4:$K$2500),0)</f>
        <v>0</v>
      </c>
      <c r="K41" s="273" t="str" cm="1">
        <f t="array" aca="1" ref="K41" ca="1">IFERROR(IF(SUMPRODUCT(('Planning Engine'!$B$4:$B$2500="188mg LP - EU Stock")*(YEAR('Planning Engine'!$A$4:$A$2500)=2033)*('Planning Engine'!$L$4:$L$2500="High"))&gt;0,"High",IF(SUMPRODUCT(('Planning Engine'!$B$4:$B$2500="188mg LP - EU Stock")*(YEAR('Planning Engine'!$A$4:$A$2500)=2033)*('Planning Engine'!$L$4:$L$2500="Medium"))&gt;0,"Medium",IF(SUMPRODUCT(('Planning Engine'!$B$4:$B$2500="188mg LP - EU Stock")*(YEAR('Planning Engine'!$A$4:$A$2500)=2033)*('Planning Engine'!$L$4:$L$2500="Overstock"))&gt;0,"Overstock","Low"))),"--")</f>
        <v>High</v>
      </c>
    </row>
    <row r="42" spans="1:11" ht="14" customHeight="1" x14ac:dyDescent="0.35">
      <c r="A42" s="274" t="s">
        <v>959</v>
      </c>
      <c r="B42" s="336" t="s">
        <v>28</v>
      </c>
      <c r="C42" s="278">
        <v>2034</v>
      </c>
      <c r="D42" s="276" cm="1">
        <f t="array" ref="D42">IFERROR(SUMPRODUCT(('Planning Engine'!$B$4:$B$2500="188mg LP - EU Stock")*(YEAR('Planning Engine'!$A$4:$A$2500)=2034)*'Planning Engine'!$F$4:$F$2500),0)</f>
        <v>0</v>
      </c>
      <c r="E42" s="276" cm="1">
        <f t="array" ref="E42">IFERROR(SUMPRODUCT(('Planning Engine'!$B$4:$B$2500="188mg LP - EU Stock")*(YEAR('Planning Engine'!$A$4:$A$2500)=2034)*'Planning Engine'!$G$4:$G$2500),0)</f>
        <v>0</v>
      </c>
      <c r="F42" s="276" cm="1">
        <f t="array" ref="F42">IFERROR(SUMPRODUCT(('Planning Engine'!$B$4:$B$2500="188mg LP - EU Stock")*(YEAR('Planning Engine'!$A$4:$A$2500)=2034)*(MONTH('Planning Engine'!$A$4:$A$2500)=6)*'Planning Engine'!$H$4:$H$2500),0)</f>
        <v>0</v>
      </c>
      <c r="G42" s="276" cm="1">
        <f t="array" ref="G42">IFERROR(SUMPRODUCT(('Planning Engine'!$B$4:$B$2500="188mg LP - EU Stock")*(YEAR('Planning Engine'!$A$4:$A$2500)=2034)*(MONTH('Planning Engine'!$A$4:$A$2500)=12)*'Planning Engine'!$H$4:$H$2500),0)</f>
        <v>0</v>
      </c>
      <c r="H42" s="276" cm="1">
        <f t="array" aca="1" ref="H42" ca="1">IFERROR(SUMPRODUCT(('Planning Engine'!$B$4:$B$2500="188mg LP - EU Stock")*(YEAR('Planning Engine'!$A$4:$A$2500)=2034)*('Planning Engine'!$J$4:$J$2500&gt;0)*'Planning Engine'!$J$4:$J$2500)/MAX(1,SUMPRODUCT(('Planning Engine'!$B$4:$B$2500="188mg LP - EU Stock")*(YEAR('Planning Engine'!$A$4:$A$2500)=2034)*('Planning Engine'!$J$4:$J$2500&gt;0))),0)</f>
        <v>0</v>
      </c>
      <c r="I42" s="278" cm="1">
        <f t="array" ref="I42">IFERROR(SUMPRODUCT(('Planning Engine'!$B$4:$B$2500="188mg LP - EU Stock")*(YEAR('Planning Engine'!$A$4:$A$2500)=2034)*(MONTH('Planning Engine'!$A$4:$A$2500)=12)*'Planning Engine'!$H$4:$H$2500),0)</f>
        <v>0</v>
      </c>
      <c r="J42" cm="1">
        <f t="array" aca="1" ref="J42" ca="1">IFERROR(SUMPRODUCT(('Planning Engine'!$B$4:$B$2500="188mg LP - EU Stock")*(YEAR('Planning Engine'!$A$4:$A$2500)=2034)*'Planning Engine'!$K$4:$K$2500),0)</f>
        <v>0</v>
      </c>
      <c r="K42" s="278" t="str" cm="1">
        <f t="array" aca="1" ref="K42" ca="1">IFERROR(IF(SUMPRODUCT(('Planning Engine'!$B$4:$B$2500="188mg LP - EU Stock")*(YEAR('Planning Engine'!$A$4:$A$2500)=2034)*('Planning Engine'!$L$4:$L$2500="High"))&gt;0,"High",IF(SUMPRODUCT(('Planning Engine'!$B$4:$B$2500="188mg LP - EU Stock")*(YEAR('Planning Engine'!$A$4:$A$2500)=2034)*('Planning Engine'!$L$4:$L$2500="Medium"))&gt;0,"Medium",IF(SUMPRODUCT(('Planning Engine'!$B$4:$B$2500="188mg LP - EU Stock")*(YEAR('Planning Engine'!$A$4:$A$2500)=2034)*('Planning Engine'!$L$4:$L$2500="Overstock"))&gt;0,"Overstock","Low"))),"--")</f>
        <v>High</v>
      </c>
    </row>
    <row r="43" spans="1:11" ht="14" customHeight="1" x14ac:dyDescent="0.35">
      <c r="A43" s="269" t="s">
        <v>959</v>
      </c>
      <c r="B43" s="337" t="s">
        <v>28</v>
      </c>
      <c r="C43" s="273">
        <v>2035</v>
      </c>
      <c r="D43" s="271" cm="1">
        <f t="array" ref="D43">IFERROR(SUMPRODUCT(('Planning Engine'!$B$4:$B$2500="188mg LP - EU Stock")*(YEAR('Planning Engine'!$A$4:$A$2500)=2035)*'Planning Engine'!$F$4:$F$2500),0)</f>
        <v>0</v>
      </c>
      <c r="E43" s="271" cm="1">
        <f t="array" ref="E43">IFERROR(SUMPRODUCT(('Planning Engine'!$B$4:$B$2500="188mg LP - EU Stock")*(YEAR('Planning Engine'!$A$4:$A$2500)=2035)*'Planning Engine'!$G$4:$G$2500),0)</f>
        <v>0</v>
      </c>
      <c r="F43" s="271" cm="1">
        <f t="array" ref="F43">IFERROR(SUMPRODUCT(('Planning Engine'!$B$4:$B$2500="188mg LP - EU Stock")*(YEAR('Planning Engine'!$A$4:$A$2500)=2035)*(MONTH('Planning Engine'!$A$4:$A$2500)=6)*'Planning Engine'!$H$4:$H$2500),0)</f>
        <v>0</v>
      </c>
      <c r="G43" s="271" cm="1">
        <f t="array" ref="G43">IFERROR(SUMPRODUCT(('Planning Engine'!$B$4:$B$2500="188mg LP - EU Stock")*(YEAR('Planning Engine'!$A$4:$A$2500)=2035)*(MONTH('Planning Engine'!$A$4:$A$2500)=12)*'Planning Engine'!$H$4:$H$2500),0)</f>
        <v>0</v>
      </c>
      <c r="H43" s="271" cm="1">
        <f t="array" aca="1" ref="H43" ca="1">IFERROR(SUMPRODUCT(('Planning Engine'!$B$4:$B$2500="188mg LP - EU Stock")*(YEAR('Planning Engine'!$A$4:$A$2500)=2035)*('Planning Engine'!$J$4:$J$2500&gt;0)*'Planning Engine'!$J$4:$J$2500)/MAX(1,SUMPRODUCT(('Planning Engine'!$B$4:$B$2500="188mg LP - EU Stock")*(YEAR('Planning Engine'!$A$4:$A$2500)=2035)*('Planning Engine'!$J$4:$J$2500&gt;0))),0)</f>
        <v>0</v>
      </c>
      <c r="I43" s="273" cm="1">
        <f t="array" ref="I43">IFERROR(SUMPRODUCT(('Planning Engine'!$B$4:$B$2500="188mg LP - EU Stock")*(YEAR('Planning Engine'!$A$4:$A$2500)=2035)*(MONTH('Planning Engine'!$A$4:$A$2500)=12)*'Planning Engine'!$H$4:$H$2500),0)</f>
        <v>0</v>
      </c>
      <c r="J43" cm="1">
        <f t="array" aca="1" ref="J43" ca="1">IFERROR(SUMPRODUCT(('Planning Engine'!$B$4:$B$2500="188mg LP - EU Stock")*(YEAR('Planning Engine'!$A$4:$A$2500)=2035)*'Planning Engine'!$K$4:$K$2500),0)</f>
        <v>0</v>
      </c>
      <c r="K43" s="273" t="str" cm="1">
        <f t="array" aca="1" ref="K43" ca="1">IFERROR(IF(SUMPRODUCT(('Planning Engine'!$B$4:$B$2500="188mg LP - EU Stock")*(YEAR('Planning Engine'!$A$4:$A$2500)=2035)*('Planning Engine'!$L$4:$L$2500="High"))&gt;0,"High",IF(SUMPRODUCT(('Planning Engine'!$B$4:$B$2500="188mg LP - EU Stock")*(YEAR('Planning Engine'!$A$4:$A$2500)=2035)*('Planning Engine'!$L$4:$L$2500="Medium"))&gt;0,"Medium",IF(SUMPRODUCT(('Planning Engine'!$B$4:$B$2500="188mg LP - EU Stock")*(YEAR('Planning Engine'!$A$4:$A$2500)=2035)*('Planning Engine'!$L$4:$L$2500="Overstock"))&gt;0,"Overstock","Low"))),"--")</f>
        <v>High</v>
      </c>
    </row>
    <row r="44" spans="1:11" ht="14" customHeight="1" x14ac:dyDescent="0.35">
      <c r="A44" s="274" t="s">
        <v>959</v>
      </c>
      <c r="B44" s="336" t="s">
        <v>28</v>
      </c>
      <c r="C44" s="278">
        <v>2036</v>
      </c>
      <c r="D44" s="276" cm="1">
        <f t="array" ref="D44">IFERROR(SUMPRODUCT(('Planning Engine'!$B$4:$B$2500="188mg LP - EU Stock")*(YEAR('Planning Engine'!$A$4:$A$2500)=2036)*'Planning Engine'!$F$4:$F$2500),0)</f>
        <v>0</v>
      </c>
      <c r="E44" s="276" cm="1">
        <f t="array" ref="E44">IFERROR(SUMPRODUCT(('Planning Engine'!$B$4:$B$2500="188mg LP - EU Stock")*(YEAR('Planning Engine'!$A$4:$A$2500)=2036)*'Planning Engine'!$G$4:$G$2500),0)</f>
        <v>0</v>
      </c>
      <c r="F44" s="276" cm="1">
        <f t="array" ref="F44">IFERROR(SUMPRODUCT(('Planning Engine'!$B$4:$B$2500="188mg LP - EU Stock")*(YEAR('Planning Engine'!$A$4:$A$2500)=2036)*(MONTH('Planning Engine'!$A$4:$A$2500)=6)*'Planning Engine'!$H$4:$H$2500),0)</f>
        <v>0</v>
      </c>
      <c r="G44" s="276" cm="1">
        <f t="array" ref="G44">IFERROR(SUMPRODUCT(('Planning Engine'!$B$4:$B$2500="188mg LP - EU Stock")*(YEAR('Planning Engine'!$A$4:$A$2500)=2036)*(MONTH('Planning Engine'!$A$4:$A$2500)=12)*'Planning Engine'!$H$4:$H$2500),0)</f>
        <v>0</v>
      </c>
      <c r="H44" s="276" cm="1">
        <f t="array" aca="1" ref="H44" ca="1">IFERROR(SUMPRODUCT(('Planning Engine'!$B$4:$B$2500="188mg LP - EU Stock")*(YEAR('Planning Engine'!$A$4:$A$2500)=2036)*('Planning Engine'!$J$4:$J$2500&gt;0)*'Planning Engine'!$J$4:$J$2500)/MAX(1,SUMPRODUCT(('Planning Engine'!$B$4:$B$2500="188mg LP - EU Stock")*(YEAR('Planning Engine'!$A$4:$A$2500)=2036)*('Planning Engine'!$J$4:$J$2500&gt;0))),0)</f>
        <v>0</v>
      </c>
      <c r="I44" s="278" cm="1">
        <f t="array" ref="I44">IFERROR(SUMPRODUCT(('Planning Engine'!$B$4:$B$2500="188mg LP - EU Stock")*(YEAR('Planning Engine'!$A$4:$A$2500)=2036)*(MONTH('Planning Engine'!$A$4:$A$2500)=12)*'Planning Engine'!$H$4:$H$2500),0)</f>
        <v>0</v>
      </c>
      <c r="J44" cm="1">
        <f t="array" aca="1" ref="J44" ca="1">IFERROR(SUMPRODUCT(('Planning Engine'!$B$4:$B$2500="188mg LP - EU Stock")*(YEAR('Planning Engine'!$A$4:$A$2500)=2036)*'Planning Engine'!$K$4:$K$2500),0)</f>
        <v>0</v>
      </c>
      <c r="K44" s="278" t="str" cm="1">
        <f t="array" aca="1" ref="K44" ca="1">IFERROR(IF(SUMPRODUCT(('Planning Engine'!$B$4:$B$2500="188mg LP - EU Stock")*(YEAR('Planning Engine'!$A$4:$A$2500)=2036)*('Planning Engine'!$L$4:$L$2500="High"))&gt;0,"High",IF(SUMPRODUCT(('Planning Engine'!$B$4:$B$2500="188mg LP - EU Stock")*(YEAR('Planning Engine'!$A$4:$A$2500)=2036)*('Planning Engine'!$L$4:$L$2500="Medium"))&gt;0,"Medium",IF(SUMPRODUCT(('Planning Engine'!$B$4:$B$2500="188mg LP - EU Stock")*(YEAR('Planning Engine'!$A$4:$A$2500)=2036)*('Planning Engine'!$L$4:$L$2500="Overstock"))&gt;0,"Overstock","Low"))),"--")</f>
        <v>High</v>
      </c>
    </row>
    <row r="45" spans="1:11" ht="14" customHeight="1" x14ac:dyDescent="0.35">
      <c r="A45" s="269" t="s">
        <v>959</v>
      </c>
      <c r="B45" s="337" t="s">
        <v>28</v>
      </c>
      <c r="C45" s="273">
        <v>2037</v>
      </c>
      <c r="D45" s="271" cm="1">
        <f t="array" ref="D45">IFERROR(SUMPRODUCT(('Planning Engine'!$B$4:$B$2500="188mg LP - EU Stock")*(YEAR('Planning Engine'!$A$4:$A$2500)=2037)*'Planning Engine'!$F$4:$F$2500),0)</f>
        <v>0</v>
      </c>
      <c r="E45" s="271" cm="1">
        <f t="array" ref="E45">IFERROR(SUMPRODUCT(('Planning Engine'!$B$4:$B$2500="188mg LP - EU Stock")*(YEAR('Planning Engine'!$A$4:$A$2500)=2037)*'Planning Engine'!$G$4:$G$2500),0)</f>
        <v>0</v>
      </c>
      <c r="F45" s="271" cm="1">
        <f t="array" ref="F45">IFERROR(SUMPRODUCT(('Planning Engine'!$B$4:$B$2500="188mg LP - EU Stock")*(YEAR('Planning Engine'!$A$4:$A$2500)=2037)*(MONTH('Planning Engine'!$A$4:$A$2500)=6)*'Planning Engine'!$H$4:$H$2500),0)</f>
        <v>0</v>
      </c>
      <c r="G45" s="271" cm="1">
        <f t="array" ref="G45">IFERROR(SUMPRODUCT(('Planning Engine'!$B$4:$B$2500="188mg LP - EU Stock")*(YEAR('Planning Engine'!$A$4:$A$2500)=2037)*(MONTH('Planning Engine'!$A$4:$A$2500)=12)*'Planning Engine'!$H$4:$H$2500),0)</f>
        <v>0</v>
      </c>
      <c r="H45" s="271" cm="1">
        <f t="array" aca="1" ref="H45" ca="1">IFERROR(SUMPRODUCT(('Planning Engine'!$B$4:$B$2500="188mg LP - EU Stock")*(YEAR('Planning Engine'!$A$4:$A$2500)=2037)*('Planning Engine'!$J$4:$J$2500&gt;0)*'Planning Engine'!$J$4:$J$2500)/MAX(1,SUMPRODUCT(('Planning Engine'!$B$4:$B$2500="188mg LP - EU Stock")*(YEAR('Planning Engine'!$A$4:$A$2500)=2037)*('Planning Engine'!$J$4:$J$2500&gt;0))),0)</f>
        <v>0</v>
      </c>
      <c r="I45" s="273" cm="1">
        <f t="array" ref="I45">IFERROR(SUMPRODUCT(('Planning Engine'!$B$4:$B$2500="188mg LP - EU Stock")*(YEAR('Planning Engine'!$A$4:$A$2500)=2037)*(MONTH('Planning Engine'!$A$4:$A$2500)=12)*'Planning Engine'!$H$4:$H$2500),0)</f>
        <v>0</v>
      </c>
      <c r="J45" cm="1">
        <f t="array" aca="1" ref="J45" ca="1">IFERROR(SUMPRODUCT(('Planning Engine'!$B$4:$B$2500="188mg LP - EU Stock")*(YEAR('Planning Engine'!$A$4:$A$2500)=2037)*'Planning Engine'!$K$4:$K$2500),0)</f>
        <v>0</v>
      </c>
      <c r="K45" s="273" t="str" cm="1">
        <f t="array" aca="1" ref="K45" ca="1">IFERROR(IF(SUMPRODUCT(('Planning Engine'!$B$4:$B$2500="188mg LP - EU Stock")*(YEAR('Planning Engine'!$A$4:$A$2500)=2037)*('Planning Engine'!$L$4:$L$2500="High"))&gt;0,"High",IF(SUMPRODUCT(('Planning Engine'!$B$4:$B$2500="188mg LP - EU Stock")*(YEAR('Planning Engine'!$A$4:$A$2500)=2037)*('Planning Engine'!$L$4:$L$2500="Medium"))&gt;0,"Medium",IF(SUMPRODUCT(('Planning Engine'!$B$4:$B$2500="188mg LP - EU Stock")*(YEAR('Planning Engine'!$A$4:$A$2500)=2037)*('Planning Engine'!$L$4:$L$2500="Overstock"))&gt;0,"Overstock","Low"))),"--")</f>
        <v>High</v>
      </c>
    </row>
    <row r="46" spans="1:11" ht="14" customHeight="1" x14ac:dyDescent="0.35">
      <c r="A46" s="274" t="s">
        <v>959</v>
      </c>
      <c r="B46" s="336" t="s">
        <v>28</v>
      </c>
      <c r="C46" s="278">
        <v>2038</v>
      </c>
      <c r="D46" s="276" cm="1">
        <f t="array" ref="D46">IFERROR(SUMPRODUCT(('Planning Engine'!$B$4:$B$2500="188mg LP - EU Stock")*(YEAR('Planning Engine'!$A$4:$A$2500)=2038)*'Planning Engine'!$F$4:$F$2500),0)</f>
        <v>0</v>
      </c>
      <c r="E46" s="276" cm="1">
        <f t="array" ref="E46">IFERROR(SUMPRODUCT(('Planning Engine'!$B$4:$B$2500="188mg LP - EU Stock")*(YEAR('Planning Engine'!$A$4:$A$2500)=2038)*'Planning Engine'!$G$4:$G$2500),0)</f>
        <v>0</v>
      </c>
      <c r="F46" s="276" cm="1">
        <f t="array" ref="F46">IFERROR(SUMPRODUCT(('Planning Engine'!$B$4:$B$2500="188mg LP - EU Stock")*(YEAR('Planning Engine'!$A$4:$A$2500)=2038)*(MONTH('Planning Engine'!$A$4:$A$2500)=6)*'Planning Engine'!$H$4:$H$2500),0)</f>
        <v>0</v>
      </c>
      <c r="G46" s="276" cm="1">
        <f t="array" ref="G46">IFERROR(SUMPRODUCT(('Planning Engine'!$B$4:$B$2500="188mg LP - EU Stock")*(YEAR('Planning Engine'!$A$4:$A$2500)=2038)*(MONTH('Planning Engine'!$A$4:$A$2500)=12)*'Planning Engine'!$H$4:$H$2500),0)</f>
        <v>0</v>
      </c>
      <c r="H46" s="276" cm="1">
        <f t="array" aca="1" ref="H46" ca="1">IFERROR(SUMPRODUCT(('Planning Engine'!$B$4:$B$2500="188mg LP - EU Stock")*(YEAR('Planning Engine'!$A$4:$A$2500)=2038)*('Planning Engine'!$J$4:$J$2500&gt;0)*'Planning Engine'!$J$4:$J$2500)/MAX(1,SUMPRODUCT(('Planning Engine'!$B$4:$B$2500="188mg LP - EU Stock")*(YEAR('Planning Engine'!$A$4:$A$2500)=2038)*('Planning Engine'!$J$4:$J$2500&gt;0))),0)</f>
        <v>0</v>
      </c>
      <c r="I46" s="278" cm="1">
        <f t="array" ref="I46">IFERROR(SUMPRODUCT(('Planning Engine'!$B$4:$B$2500="188mg LP - EU Stock")*(YEAR('Planning Engine'!$A$4:$A$2500)=2038)*(MONTH('Planning Engine'!$A$4:$A$2500)=12)*'Planning Engine'!$H$4:$H$2500),0)</f>
        <v>0</v>
      </c>
      <c r="J46" cm="1">
        <f t="array" aca="1" ref="J46" ca="1">IFERROR(SUMPRODUCT(('Planning Engine'!$B$4:$B$2500="188mg LP - EU Stock")*(YEAR('Planning Engine'!$A$4:$A$2500)=2038)*'Planning Engine'!$K$4:$K$2500),0)</f>
        <v>0</v>
      </c>
      <c r="K46" s="278" t="str" cm="1">
        <f t="array" aca="1" ref="K46" ca="1">IFERROR(IF(SUMPRODUCT(('Planning Engine'!$B$4:$B$2500="188mg LP - EU Stock")*(YEAR('Planning Engine'!$A$4:$A$2500)=2038)*('Planning Engine'!$L$4:$L$2500="High"))&gt;0,"High",IF(SUMPRODUCT(('Planning Engine'!$B$4:$B$2500="188mg LP - EU Stock")*(YEAR('Planning Engine'!$A$4:$A$2500)=2038)*('Planning Engine'!$L$4:$L$2500="Medium"))&gt;0,"Medium",IF(SUMPRODUCT(('Planning Engine'!$B$4:$B$2500="188mg LP - EU Stock")*(YEAR('Planning Engine'!$A$4:$A$2500)=2038)*('Planning Engine'!$L$4:$L$2500="Overstock"))&gt;0,"Overstock","Low"))),"--")</f>
        <v>High</v>
      </c>
    </row>
    <row r="47" spans="1:11" ht="14" customHeight="1" x14ac:dyDescent="0.35">
      <c r="A47" s="269" t="s">
        <v>959</v>
      </c>
      <c r="B47" s="337" t="s">
        <v>28</v>
      </c>
      <c r="C47" s="273">
        <v>2039</v>
      </c>
      <c r="D47" s="271" cm="1">
        <f t="array" ref="D47">IFERROR(SUMPRODUCT(('Planning Engine'!$B$4:$B$2500="188mg LP - EU Stock")*(YEAR('Planning Engine'!$A$4:$A$2500)=2039)*'Planning Engine'!$F$4:$F$2500),0)</f>
        <v>0</v>
      </c>
      <c r="E47" s="271" cm="1">
        <f t="array" ref="E47">IFERROR(SUMPRODUCT(('Planning Engine'!$B$4:$B$2500="188mg LP - EU Stock")*(YEAR('Planning Engine'!$A$4:$A$2500)=2039)*'Planning Engine'!$G$4:$G$2500),0)</f>
        <v>0</v>
      </c>
      <c r="F47" s="271" cm="1">
        <f t="array" ref="F47">IFERROR(SUMPRODUCT(('Planning Engine'!$B$4:$B$2500="188mg LP - EU Stock")*(YEAR('Planning Engine'!$A$4:$A$2500)=2039)*(MONTH('Planning Engine'!$A$4:$A$2500)=6)*'Planning Engine'!$H$4:$H$2500),0)</f>
        <v>0</v>
      </c>
      <c r="G47" s="271" cm="1">
        <f t="array" ref="G47">IFERROR(SUMPRODUCT(('Planning Engine'!$B$4:$B$2500="188mg LP - EU Stock")*(YEAR('Planning Engine'!$A$4:$A$2500)=2039)*(MONTH('Planning Engine'!$A$4:$A$2500)=12)*'Planning Engine'!$H$4:$H$2500),0)</f>
        <v>0</v>
      </c>
      <c r="H47" s="271" cm="1">
        <f t="array" aca="1" ref="H47" ca="1">IFERROR(SUMPRODUCT(('Planning Engine'!$B$4:$B$2500="188mg LP - EU Stock")*(YEAR('Planning Engine'!$A$4:$A$2500)=2039)*('Planning Engine'!$J$4:$J$2500&gt;0)*'Planning Engine'!$J$4:$J$2500)/MAX(1,SUMPRODUCT(('Planning Engine'!$B$4:$B$2500="188mg LP - EU Stock")*(YEAR('Planning Engine'!$A$4:$A$2500)=2039)*('Planning Engine'!$J$4:$J$2500&gt;0))),0)</f>
        <v>0</v>
      </c>
      <c r="I47" s="273" cm="1">
        <f t="array" ref="I47">IFERROR(SUMPRODUCT(('Planning Engine'!$B$4:$B$2500="188mg LP - EU Stock")*(YEAR('Planning Engine'!$A$4:$A$2500)=2039)*(MONTH('Planning Engine'!$A$4:$A$2500)=12)*'Planning Engine'!$H$4:$H$2500),0)</f>
        <v>0</v>
      </c>
      <c r="J47" cm="1">
        <f t="array" aca="1" ref="J47" ca="1">IFERROR(SUMPRODUCT(('Planning Engine'!$B$4:$B$2500="188mg LP - EU Stock")*(YEAR('Planning Engine'!$A$4:$A$2500)=2039)*'Planning Engine'!$K$4:$K$2500),0)</f>
        <v>0</v>
      </c>
      <c r="K47" s="273" t="str" cm="1">
        <f t="array" aca="1" ref="K47" ca="1">IFERROR(IF(SUMPRODUCT(('Planning Engine'!$B$4:$B$2500="188mg LP - EU Stock")*(YEAR('Planning Engine'!$A$4:$A$2500)=2039)*('Planning Engine'!$L$4:$L$2500="High"))&gt;0,"High",IF(SUMPRODUCT(('Planning Engine'!$B$4:$B$2500="188mg LP - EU Stock")*(YEAR('Planning Engine'!$A$4:$A$2500)=2039)*('Planning Engine'!$L$4:$L$2500="Medium"))&gt;0,"Medium",IF(SUMPRODUCT(('Planning Engine'!$B$4:$B$2500="188mg LP - EU Stock")*(YEAR('Planning Engine'!$A$4:$A$2500)=2039)*('Planning Engine'!$L$4:$L$2500="Overstock"))&gt;0,"Overstock","Low"))),"--")</f>
        <v>High</v>
      </c>
    </row>
    <row r="48" spans="1:11" ht="14" customHeight="1" x14ac:dyDescent="0.35">
      <c r="A48" s="341" t="s">
        <v>959</v>
      </c>
      <c r="B48" s="342" t="s">
        <v>28</v>
      </c>
      <c r="C48" s="343">
        <v>2040</v>
      </c>
      <c r="D48" s="344" cm="1">
        <f t="array" ref="D48">IFERROR(SUMPRODUCT(('Planning Engine'!$B$4:$B$2500="188mg LP - EU Stock")*(YEAR('Planning Engine'!$A$4:$A$2500)=2040)*'Planning Engine'!$F$4:$F$2500),0)</f>
        <v>0</v>
      </c>
      <c r="E48" s="344" cm="1">
        <f t="array" ref="E48">IFERROR(SUMPRODUCT(('Planning Engine'!$B$4:$B$2500="188mg LP - EU Stock")*(YEAR('Planning Engine'!$A$4:$A$2500)=2040)*'Planning Engine'!$G$4:$G$2500),0)</f>
        <v>0</v>
      </c>
      <c r="F48" s="344" cm="1">
        <f t="array" ref="F48">IFERROR(SUMPRODUCT(('Planning Engine'!$B$4:$B$2500="188mg LP - EU Stock")*(YEAR('Planning Engine'!$A$4:$A$2500)=2040)*(MONTH('Planning Engine'!$A$4:$A$2500)=6)*'Planning Engine'!$H$4:$H$2500),0)</f>
        <v>0</v>
      </c>
      <c r="G48" s="344" cm="1">
        <f t="array" ref="G48">IFERROR(SUMPRODUCT(('Planning Engine'!$B$4:$B$2500="188mg LP - EU Stock")*(YEAR('Planning Engine'!$A$4:$A$2500)=2040)*(MONTH('Planning Engine'!$A$4:$A$2500)=12)*'Planning Engine'!$H$4:$H$2500),0)</f>
        <v>0</v>
      </c>
      <c r="H48" s="344" cm="1">
        <f t="array" aca="1" ref="H48" ca="1">IFERROR(SUMPRODUCT(('Planning Engine'!$B$4:$B$2500="188mg LP - EU Stock")*(YEAR('Planning Engine'!$A$4:$A$2500)=2040)*('Planning Engine'!$J$4:$J$2500&gt;0)*'Planning Engine'!$J$4:$J$2500)/MAX(1,SUMPRODUCT(('Planning Engine'!$B$4:$B$2500="188mg LP - EU Stock")*(YEAR('Planning Engine'!$A$4:$A$2500)=2040)*('Planning Engine'!$J$4:$J$2500&gt;0))),0)</f>
        <v>0</v>
      </c>
      <c r="I48" s="343" cm="1">
        <f t="array" ref="I48">IFERROR(SUMPRODUCT(('Planning Engine'!$B$4:$B$2500="188mg LP - EU Stock")*(YEAR('Planning Engine'!$A$4:$A$2500)=2040)*(MONTH('Planning Engine'!$A$4:$A$2500)=12)*'Planning Engine'!$H$4:$H$2500),0)</f>
        <v>0</v>
      </c>
      <c r="J48" cm="1">
        <f t="array" aca="1" ref="J48" ca="1">IFERROR(SUMPRODUCT(('Planning Engine'!$B$4:$B$2500="188mg LP - EU Stock")*(YEAR('Planning Engine'!$A$4:$A$2500)=2040)*'Planning Engine'!$K$4:$K$2500),0)</f>
        <v>0</v>
      </c>
      <c r="K48" s="343" t="str" cm="1">
        <f t="array" aca="1" ref="K48" ca="1">IFERROR(IF(SUMPRODUCT(('Planning Engine'!$B$4:$B$2500="188mg LP - EU Stock")*(YEAR('Planning Engine'!$A$4:$A$2500)=2040)*('Planning Engine'!$L$4:$L$2500="High"))&gt;0,"High",IF(SUMPRODUCT(('Planning Engine'!$B$4:$B$2500="188mg LP - EU Stock")*(YEAR('Planning Engine'!$A$4:$A$2500)=2040)*('Planning Engine'!$L$4:$L$2500="Medium"))&gt;0,"Medium",IF(SUMPRODUCT(('Planning Engine'!$B$4:$B$2500="188mg LP - EU Stock")*(YEAR('Planning Engine'!$A$4:$A$2500)=2040)*('Planning Engine'!$L$4:$L$2500="Overstock"))&gt;0,"Overstock","Low"))),"--")</f>
        <v>High</v>
      </c>
    </row>
    <row r="49" spans="1:11" ht="14" customHeight="1" x14ac:dyDescent="0.35">
      <c r="A49" s="269" t="s">
        <v>960</v>
      </c>
      <c r="B49" s="337" t="s">
        <v>28</v>
      </c>
      <c r="C49" s="273">
        <v>2026</v>
      </c>
      <c r="D49" s="271" cm="1">
        <f t="array" ref="D49">IFERROR(SUMPRODUCT(('Planning Engine'!$B$4:$B$2500="47mg LP - EU Stock")*(YEAR('Planning Engine'!$A$4:$A$2500)=2026)*'Planning Engine'!$F$4:$F$2500),0)</f>
        <v>0</v>
      </c>
      <c r="E49" s="271" cm="1">
        <f t="array" ref="E49">IFERROR(SUMPRODUCT(('Planning Engine'!$B$4:$B$2500="47mg LP - EU Stock")*(YEAR('Planning Engine'!$A$4:$A$2500)=2026)*'Planning Engine'!$G$4:$G$2500),0)</f>
        <v>0</v>
      </c>
      <c r="F49" s="271" cm="1">
        <f t="array" ref="F49">IFERROR(SUMPRODUCT(('Planning Engine'!$B$4:$B$2500="47mg LP - EU Stock")*(YEAR('Planning Engine'!$A$4:$A$2500)=2026)*(MONTH('Planning Engine'!$A$4:$A$2500)=6)*'Planning Engine'!$H$4:$H$2500),0)</f>
        <v>0</v>
      </c>
      <c r="G49" s="271" cm="1">
        <f t="array" ref="G49">IFERROR(SUMPRODUCT(('Planning Engine'!$B$4:$B$2500="47mg LP - EU Stock")*(YEAR('Planning Engine'!$A$4:$A$2500)=2026)*(MONTH('Planning Engine'!$A$4:$A$2500)=12)*'Planning Engine'!$H$4:$H$2500),0)</f>
        <v>0</v>
      </c>
      <c r="H49" s="271" cm="1">
        <f t="array" aca="1" ref="H49" ca="1">IFERROR(SUMPRODUCT(('Planning Engine'!$B$4:$B$2500="47mg LP - EU Stock")*(YEAR('Planning Engine'!$A$4:$A$2500)=2026)*('Planning Engine'!$J$4:$J$2500&gt;0)*'Planning Engine'!$J$4:$J$2500)/MAX(1,SUMPRODUCT(('Planning Engine'!$B$4:$B$2500="47mg LP - EU Stock")*(YEAR('Planning Engine'!$A$4:$A$2500)=2026)*('Planning Engine'!$J$4:$J$2500&gt;0))),0)</f>
        <v>0</v>
      </c>
      <c r="I49" s="273" cm="1">
        <f t="array" ref="I49">IFERROR(SUMPRODUCT(('Planning Engine'!$B$4:$B$2500="47mg LP - EU Stock")*(YEAR('Planning Engine'!$A$4:$A$2500)=2026)*(MONTH('Planning Engine'!$A$4:$A$2500)=12)*'Planning Engine'!$H$4:$H$2500),0)</f>
        <v>0</v>
      </c>
      <c r="J49" cm="1">
        <f t="array" aca="1" ref="J49" ca="1">IFERROR(SUMPRODUCT(('Planning Engine'!$B$4:$B$2500="47mg LP - EU Stock")*(YEAR('Planning Engine'!$A$4:$A$2500)=2026)*'Planning Engine'!$K$4:$K$2500),0)</f>
        <v>0</v>
      </c>
      <c r="K49" s="273" t="str" cm="1">
        <f t="array" aca="1" ref="K49" ca="1">IFERROR(IF(SUMPRODUCT(('Planning Engine'!$B$4:$B$2500="47mg LP - EU Stock")*(YEAR('Planning Engine'!$A$4:$A$2500)=2026)*('Planning Engine'!$L$4:$L$2500="High"))&gt;0,"High",IF(SUMPRODUCT(('Planning Engine'!$B$4:$B$2500="47mg LP - EU Stock")*(YEAR('Planning Engine'!$A$4:$A$2500)=2026)*('Planning Engine'!$L$4:$L$2500="Medium"))&gt;0,"Medium",IF(SUMPRODUCT(('Planning Engine'!$B$4:$B$2500="47mg LP - EU Stock")*(YEAR('Planning Engine'!$A$4:$A$2500)=2026)*('Planning Engine'!$L$4:$L$2500="Overstock"))&gt;0,"Overstock","Low"))),"--")</f>
        <v>High</v>
      </c>
    </row>
    <row r="50" spans="1:11" ht="14" customHeight="1" x14ac:dyDescent="0.35">
      <c r="A50" s="274" t="s">
        <v>960</v>
      </c>
      <c r="B50" s="336" t="s">
        <v>28</v>
      </c>
      <c r="C50" s="278">
        <v>2027</v>
      </c>
      <c r="D50" s="276" cm="1">
        <f t="array" ref="D50">IFERROR(SUMPRODUCT(('Planning Engine'!$B$4:$B$2500="47mg LP - EU Stock")*(YEAR('Planning Engine'!$A$4:$A$2500)=2027)*'Planning Engine'!$F$4:$F$2500),0)</f>
        <v>0</v>
      </c>
      <c r="E50" s="276" cm="1">
        <f t="array" ref="E50">IFERROR(SUMPRODUCT(('Planning Engine'!$B$4:$B$2500="47mg LP - EU Stock")*(YEAR('Planning Engine'!$A$4:$A$2500)=2027)*'Planning Engine'!$G$4:$G$2500),0)</f>
        <v>0</v>
      </c>
      <c r="F50" s="276" cm="1">
        <f t="array" ref="F50">IFERROR(SUMPRODUCT(('Planning Engine'!$B$4:$B$2500="47mg LP - EU Stock")*(YEAR('Planning Engine'!$A$4:$A$2500)=2027)*(MONTH('Planning Engine'!$A$4:$A$2500)=6)*'Planning Engine'!$H$4:$H$2500),0)</f>
        <v>0</v>
      </c>
      <c r="G50" s="276" cm="1">
        <f t="array" ref="G50">IFERROR(SUMPRODUCT(('Planning Engine'!$B$4:$B$2500="47mg LP - EU Stock")*(YEAR('Planning Engine'!$A$4:$A$2500)=2027)*(MONTH('Planning Engine'!$A$4:$A$2500)=12)*'Planning Engine'!$H$4:$H$2500),0)</f>
        <v>0</v>
      </c>
      <c r="H50" s="276" cm="1">
        <f t="array" aca="1" ref="H50" ca="1">IFERROR(SUMPRODUCT(('Planning Engine'!$B$4:$B$2500="47mg LP - EU Stock")*(YEAR('Planning Engine'!$A$4:$A$2500)=2027)*('Planning Engine'!$J$4:$J$2500&gt;0)*'Planning Engine'!$J$4:$J$2500)/MAX(1,SUMPRODUCT(('Planning Engine'!$B$4:$B$2500="47mg LP - EU Stock")*(YEAR('Planning Engine'!$A$4:$A$2500)=2027)*('Planning Engine'!$J$4:$J$2500&gt;0))),0)</f>
        <v>0</v>
      </c>
      <c r="I50" s="278" cm="1">
        <f t="array" ref="I50">IFERROR(SUMPRODUCT(('Planning Engine'!$B$4:$B$2500="47mg LP - EU Stock")*(YEAR('Planning Engine'!$A$4:$A$2500)=2027)*(MONTH('Planning Engine'!$A$4:$A$2500)=12)*'Planning Engine'!$H$4:$H$2500),0)</f>
        <v>0</v>
      </c>
      <c r="J50" cm="1">
        <f t="array" aca="1" ref="J50" ca="1">IFERROR(SUMPRODUCT(('Planning Engine'!$B$4:$B$2500="47mg LP - EU Stock")*(YEAR('Planning Engine'!$A$4:$A$2500)=2027)*'Planning Engine'!$K$4:$K$2500),0)</f>
        <v>0</v>
      </c>
      <c r="K50" s="278" t="str" cm="1">
        <f t="array" aca="1" ref="K50" ca="1">IFERROR(IF(SUMPRODUCT(('Planning Engine'!$B$4:$B$2500="47mg LP - EU Stock")*(YEAR('Planning Engine'!$A$4:$A$2500)=2027)*('Planning Engine'!$L$4:$L$2500="High"))&gt;0,"High",IF(SUMPRODUCT(('Planning Engine'!$B$4:$B$2500="47mg LP - EU Stock")*(YEAR('Planning Engine'!$A$4:$A$2500)=2027)*('Planning Engine'!$L$4:$L$2500="Medium"))&gt;0,"Medium",IF(SUMPRODUCT(('Planning Engine'!$B$4:$B$2500="47mg LP - EU Stock")*(YEAR('Planning Engine'!$A$4:$A$2500)=2027)*('Planning Engine'!$L$4:$L$2500="Overstock"))&gt;0,"Overstock","Low"))),"--")</f>
        <v>High</v>
      </c>
    </row>
    <row r="51" spans="1:11" ht="14" customHeight="1" x14ac:dyDescent="0.35">
      <c r="A51" s="269" t="s">
        <v>960</v>
      </c>
      <c r="B51" s="337" t="s">
        <v>28</v>
      </c>
      <c r="C51" s="273">
        <v>2028</v>
      </c>
      <c r="D51" s="271" cm="1">
        <f t="array" ref="D51">IFERROR(SUMPRODUCT(('Planning Engine'!$B$4:$B$2500="47mg LP - EU Stock")*(YEAR('Planning Engine'!$A$4:$A$2500)=2028)*'Planning Engine'!$F$4:$F$2500),0)</f>
        <v>0</v>
      </c>
      <c r="E51" s="271" cm="1">
        <f t="array" ref="E51">IFERROR(SUMPRODUCT(('Planning Engine'!$B$4:$B$2500="47mg LP - EU Stock")*(YEAR('Planning Engine'!$A$4:$A$2500)=2028)*'Planning Engine'!$G$4:$G$2500),0)</f>
        <v>0</v>
      </c>
      <c r="F51" s="271" cm="1">
        <f t="array" ref="F51">IFERROR(SUMPRODUCT(('Planning Engine'!$B$4:$B$2500="47mg LP - EU Stock")*(YEAR('Planning Engine'!$A$4:$A$2500)=2028)*(MONTH('Planning Engine'!$A$4:$A$2500)=6)*'Planning Engine'!$H$4:$H$2500),0)</f>
        <v>0</v>
      </c>
      <c r="G51" s="271" cm="1">
        <f t="array" ref="G51">IFERROR(SUMPRODUCT(('Planning Engine'!$B$4:$B$2500="47mg LP - EU Stock")*(YEAR('Planning Engine'!$A$4:$A$2500)=2028)*(MONTH('Planning Engine'!$A$4:$A$2500)=12)*'Planning Engine'!$H$4:$H$2500),0)</f>
        <v>0</v>
      </c>
      <c r="H51" s="271" cm="1">
        <f t="array" aca="1" ref="H51" ca="1">IFERROR(SUMPRODUCT(('Planning Engine'!$B$4:$B$2500="47mg LP - EU Stock")*(YEAR('Planning Engine'!$A$4:$A$2500)=2028)*('Planning Engine'!$J$4:$J$2500&gt;0)*'Planning Engine'!$J$4:$J$2500)/MAX(1,SUMPRODUCT(('Planning Engine'!$B$4:$B$2500="47mg LP - EU Stock")*(YEAR('Planning Engine'!$A$4:$A$2500)=2028)*('Planning Engine'!$J$4:$J$2500&gt;0))),0)</f>
        <v>0</v>
      </c>
      <c r="I51" s="273" cm="1">
        <f t="array" ref="I51">IFERROR(SUMPRODUCT(('Planning Engine'!$B$4:$B$2500="47mg LP - EU Stock")*(YEAR('Planning Engine'!$A$4:$A$2500)=2028)*(MONTH('Planning Engine'!$A$4:$A$2500)=12)*'Planning Engine'!$H$4:$H$2500),0)</f>
        <v>0</v>
      </c>
      <c r="J51" cm="1">
        <f t="array" aca="1" ref="J51" ca="1">IFERROR(SUMPRODUCT(('Planning Engine'!$B$4:$B$2500="47mg LP - EU Stock")*(YEAR('Planning Engine'!$A$4:$A$2500)=2028)*'Planning Engine'!$K$4:$K$2500),0)</f>
        <v>0</v>
      </c>
      <c r="K51" s="273" t="str" cm="1">
        <f t="array" aca="1" ref="K51" ca="1">IFERROR(IF(SUMPRODUCT(('Planning Engine'!$B$4:$B$2500="47mg LP - EU Stock")*(YEAR('Planning Engine'!$A$4:$A$2500)=2028)*('Planning Engine'!$L$4:$L$2500="High"))&gt;0,"High",IF(SUMPRODUCT(('Planning Engine'!$B$4:$B$2500="47mg LP - EU Stock")*(YEAR('Planning Engine'!$A$4:$A$2500)=2028)*('Planning Engine'!$L$4:$L$2500="Medium"))&gt;0,"Medium",IF(SUMPRODUCT(('Planning Engine'!$B$4:$B$2500="47mg LP - EU Stock")*(YEAR('Planning Engine'!$A$4:$A$2500)=2028)*('Planning Engine'!$L$4:$L$2500="Overstock"))&gt;0,"Overstock","Low"))),"--")</f>
        <v>High</v>
      </c>
    </row>
    <row r="52" spans="1:11" ht="14" customHeight="1" x14ac:dyDescent="0.35">
      <c r="A52" s="274" t="s">
        <v>960</v>
      </c>
      <c r="B52" s="336" t="s">
        <v>28</v>
      </c>
      <c r="C52" s="278">
        <v>2029</v>
      </c>
      <c r="D52" s="276" cm="1">
        <f t="array" ref="D52">IFERROR(SUMPRODUCT(('Planning Engine'!$B$4:$B$2500="47mg LP - EU Stock")*(YEAR('Planning Engine'!$A$4:$A$2500)=2029)*'Planning Engine'!$F$4:$F$2500),0)</f>
        <v>0</v>
      </c>
      <c r="E52" s="276" cm="1">
        <f t="array" ref="E52">IFERROR(SUMPRODUCT(('Planning Engine'!$B$4:$B$2500="47mg LP - EU Stock")*(YEAR('Planning Engine'!$A$4:$A$2500)=2029)*'Planning Engine'!$G$4:$G$2500),0)</f>
        <v>0</v>
      </c>
      <c r="F52" s="276" cm="1">
        <f t="array" ref="F52">IFERROR(SUMPRODUCT(('Planning Engine'!$B$4:$B$2500="47mg LP - EU Stock")*(YEAR('Planning Engine'!$A$4:$A$2500)=2029)*(MONTH('Planning Engine'!$A$4:$A$2500)=6)*'Planning Engine'!$H$4:$H$2500),0)</f>
        <v>0</v>
      </c>
      <c r="G52" s="276" cm="1">
        <f t="array" ref="G52">IFERROR(SUMPRODUCT(('Planning Engine'!$B$4:$B$2500="47mg LP - EU Stock")*(YEAR('Planning Engine'!$A$4:$A$2500)=2029)*(MONTH('Planning Engine'!$A$4:$A$2500)=12)*'Planning Engine'!$H$4:$H$2500),0)</f>
        <v>0</v>
      </c>
      <c r="H52" s="276" cm="1">
        <f t="array" aca="1" ref="H52" ca="1">IFERROR(SUMPRODUCT(('Planning Engine'!$B$4:$B$2500="47mg LP - EU Stock")*(YEAR('Planning Engine'!$A$4:$A$2500)=2029)*('Planning Engine'!$J$4:$J$2500&gt;0)*'Planning Engine'!$J$4:$J$2500)/MAX(1,SUMPRODUCT(('Planning Engine'!$B$4:$B$2500="47mg LP - EU Stock")*(YEAR('Planning Engine'!$A$4:$A$2500)=2029)*('Planning Engine'!$J$4:$J$2500&gt;0))),0)</f>
        <v>0</v>
      </c>
      <c r="I52" s="278" cm="1">
        <f t="array" ref="I52">IFERROR(SUMPRODUCT(('Planning Engine'!$B$4:$B$2500="47mg LP - EU Stock")*(YEAR('Planning Engine'!$A$4:$A$2500)=2029)*(MONTH('Planning Engine'!$A$4:$A$2500)=12)*'Planning Engine'!$H$4:$H$2500),0)</f>
        <v>0</v>
      </c>
      <c r="J52" cm="1">
        <f t="array" aca="1" ref="J52" ca="1">IFERROR(SUMPRODUCT(('Planning Engine'!$B$4:$B$2500="47mg LP - EU Stock")*(YEAR('Planning Engine'!$A$4:$A$2500)=2029)*'Planning Engine'!$K$4:$K$2500),0)</f>
        <v>0</v>
      </c>
      <c r="K52" s="278" t="str" cm="1">
        <f t="array" aca="1" ref="K52" ca="1">IFERROR(IF(SUMPRODUCT(('Planning Engine'!$B$4:$B$2500="47mg LP - EU Stock")*(YEAR('Planning Engine'!$A$4:$A$2500)=2029)*('Planning Engine'!$L$4:$L$2500="High"))&gt;0,"High",IF(SUMPRODUCT(('Planning Engine'!$B$4:$B$2500="47mg LP - EU Stock")*(YEAR('Planning Engine'!$A$4:$A$2500)=2029)*('Planning Engine'!$L$4:$L$2500="Medium"))&gt;0,"Medium",IF(SUMPRODUCT(('Planning Engine'!$B$4:$B$2500="47mg LP - EU Stock")*(YEAR('Planning Engine'!$A$4:$A$2500)=2029)*('Planning Engine'!$L$4:$L$2500="Overstock"))&gt;0,"Overstock","Low"))),"--")</f>
        <v>High</v>
      </c>
    </row>
    <row r="53" spans="1:11" ht="14" customHeight="1" x14ac:dyDescent="0.35">
      <c r="A53" s="269" t="s">
        <v>960</v>
      </c>
      <c r="B53" s="337" t="s">
        <v>28</v>
      </c>
      <c r="C53" s="273">
        <v>2030</v>
      </c>
      <c r="D53" s="271" cm="1">
        <f t="array" ref="D53">IFERROR(SUMPRODUCT(('Planning Engine'!$B$4:$B$2500="47mg LP - EU Stock")*(YEAR('Planning Engine'!$A$4:$A$2500)=2030)*'Planning Engine'!$F$4:$F$2500),0)</f>
        <v>0</v>
      </c>
      <c r="E53" s="271" cm="1">
        <f t="array" ref="E53">IFERROR(SUMPRODUCT(('Planning Engine'!$B$4:$B$2500="47mg LP - EU Stock")*(YEAR('Planning Engine'!$A$4:$A$2500)=2030)*'Planning Engine'!$G$4:$G$2500),0)</f>
        <v>0</v>
      </c>
      <c r="F53" s="271" cm="1">
        <f t="array" ref="F53">IFERROR(SUMPRODUCT(('Planning Engine'!$B$4:$B$2500="47mg LP - EU Stock")*(YEAR('Planning Engine'!$A$4:$A$2500)=2030)*(MONTH('Planning Engine'!$A$4:$A$2500)=6)*'Planning Engine'!$H$4:$H$2500),0)</f>
        <v>0</v>
      </c>
      <c r="G53" s="271" cm="1">
        <f t="array" ref="G53">IFERROR(SUMPRODUCT(('Planning Engine'!$B$4:$B$2500="47mg LP - EU Stock")*(YEAR('Planning Engine'!$A$4:$A$2500)=2030)*(MONTH('Planning Engine'!$A$4:$A$2500)=12)*'Planning Engine'!$H$4:$H$2500),0)</f>
        <v>0</v>
      </c>
      <c r="H53" s="271" cm="1">
        <f t="array" aca="1" ref="H53" ca="1">IFERROR(SUMPRODUCT(('Planning Engine'!$B$4:$B$2500="47mg LP - EU Stock")*(YEAR('Planning Engine'!$A$4:$A$2500)=2030)*('Planning Engine'!$J$4:$J$2500&gt;0)*'Planning Engine'!$J$4:$J$2500)/MAX(1,SUMPRODUCT(('Planning Engine'!$B$4:$B$2500="47mg LP - EU Stock")*(YEAR('Planning Engine'!$A$4:$A$2500)=2030)*('Planning Engine'!$J$4:$J$2500&gt;0))),0)</f>
        <v>0</v>
      </c>
      <c r="I53" s="273" cm="1">
        <f t="array" ref="I53">IFERROR(SUMPRODUCT(('Planning Engine'!$B$4:$B$2500="47mg LP - EU Stock")*(YEAR('Planning Engine'!$A$4:$A$2500)=2030)*(MONTH('Planning Engine'!$A$4:$A$2500)=12)*'Planning Engine'!$H$4:$H$2500),0)</f>
        <v>0</v>
      </c>
      <c r="J53" cm="1">
        <f t="array" aca="1" ref="J53" ca="1">IFERROR(SUMPRODUCT(('Planning Engine'!$B$4:$B$2500="47mg LP - EU Stock")*(YEAR('Planning Engine'!$A$4:$A$2500)=2030)*'Planning Engine'!$K$4:$K$2500),0)</f>
        <v>0</v>
      </c>
      <c r="K53" s="273" t="str" cm="1">
        <f t="array" aca="1" ref="K53" ca="1">IFERROR(IF(SUMPRODUCT(('Planning Engine'!$B$4:$B$2500="47mg LP - EU Stock")*(YEAR('Planning Engine'!$A$4:$A$2500)=2030)*('Planning Engine'!$L$4:$L$2500="High"))&gt;0,"High",IF(SUMPRODUCT(('Planning Engine'!$B$4:$B$2500="47mg LP - EU Stock")*(YEAR('Planning Engine'!$A$4:$A$2500)=2030)*('Planning Engine'!$L$4:$L$2500="Medium"))&gt;0,"Medium",IF(SUMPRODUCT(('Planning Engine'!$B$4:$B$2500="47mg LP - EU Stock")*(YEAR('Planning Engine'!$A$4:$A$2500)=2030)*('Planning Engine'!$L$4:$L$2500="Overstock"))&gt;0,"Overstock","Low"))),"--")</f>
        <v>High</v>
      </c>
    </row>
    <row r="54" spans="1:11" ht="14" customHeight="1" x14ac:dyDescent="0.35">
      <c r="A54" s="274" t="s">
        <v>960</v>
      </c>
      <c r="B54" s="336" t="s">
        <v>28</v>
      </c>
      <c r="C54" s="278">
        <v>2031</v>
      </c>
      <c r="D54" s="276" cm="1">
        <f t="array" ref="D54">IFERROR(SUMPRODUCT(('Planning Engine'!$B$4:$B$2500="47mg LP - EU Stock")*(YEAR('Planning Engine'!$A$4:$A$2500)=2031)*'Planning Engine'!$F$4:$F$2500),0)</f>
        <v>0</v>
      </c>
      <c r="E54" s="276" cm="1">
        <f t="array" ref="E54">IFERROR(SUMPRODUCT(('Planning Engine'!$B$4:$B$2500="47mg LP - EU Stock")*(YEAR('Planning Engine'!$A$4:$A$2500)=2031)*'Planning Engine'!$G$4:$G$2500),0)</f>
        <v>0</v>
      </c>
      <c r="F54" s="276" cm="1">
        <f t="array" ref="F54">IFERROR(SUMPRODUCT(('Planning Engine'!$B$4:$B$2500="47mg LP - EU Stock")*(YEAR('Planning Engine'!$A$4:$A$2500)=2031)*(MONTH('Planning Engine'!$A$4:$A$2500)=6)*'Planning Engine'!$H$4:$H$2500),0)</f>
        <v>0</v>
      </c>
      <c r="G54" s="276" cm="1">
        <f t="array" ref="G54">IFERROR(SUMPRODUCT(('Planning Engine'!$B$4:$B$2500="47mg LP - EU Stock")*(YEAR('Planning Engine'!$A$4:$A$2500)=2031)*(MONTH('Planning Engine'!$A$4:$A$2500)=12)*'Planning Engine'!$H$4:$H$2500),0)</f>
        <v>0</v>
      </c>
      <c r="H54" s="276" cm="1">
        <f t="array" aca="1" ref="H54" ca="1">IFERROR(SUMPRODUCT(('Planning Engine'!$B$4:$B$2500="47mg LP - EU Stock")*(YEAR('Planning Engine'!$A$4:$A$2500)=2031)*('Planning Engine'!$J$4:$J$2500&gt;0)*'Planning Engine'!$J$4:$J$2500)/MAX(1,SUMPRODUCT(('Planning Engine'!$B$4:$B$2500="47mg LP - EU Stock")*(YEAR('Planning Engine'!$A$4:$A$2500)=2031)*('Planning Engine'!$J$4:$J$2500&gt;0))),0)</f>
        <v>0</v>
      </c>
      <c r="I54" s="278" cm="1">
        <f t="array" ref="I54">IFERROR(SUMPRODUCT(('Planning Engine'!$B$4:$B$2500="47mg LP - EU Stock")*(YEAR('Planning Engine'!$A$4:$A$2500)=2031)*(MONTH('Planning Engine'!$A$4:$A$2500)=12)*'Planning Engine'!$H$4:$H$2500),0)</f>
        <v>0</v>
      </c>
      <c r="J54" cm="1">
        <f t="array" aca="1" ref="J54" ca="1">IFERROR(SUMPRODUCT(('Planning Engine'!$B$4:$B$2500="47mg LP - EU Stock")*(YEAR('Planning Engine'!$A$4:$A$2500)=2031)*'Planning Engine'!$K$4:$K$2500),0)</f>
        <v>0</v>
      </c>
      <c r="K54" s="278" t="str" cm="1">
        <f t="array" aca="1" ref="K54" ca="1">IFERROR(IF(SUMPRODUCT(('Planning Engine'!$B$4:$B$2500="47mg LP - EU Stock")*(YEAR('Planning Engine'!$A$4:$A$2500)=2031)*('Planning Engine'!$L$4:$L$2500="High"))&gt;0,"High",IF(SUMPRODUCT(('Planning Engine'!$B$4:$B$2500="47mg LP - EU Stock")*(YEAR('Planning Engine'!$A$4:$A$2500)=2031)*('Planning Engine'!$L$4:$L$2500="Medium"))&gt;0,"Medium",IF(SUMPRODUCT(('Planning Engine'!$B$4:$B$2500="47mg LP - EU Stock")*(YEAR('Planning Engine'!$A$4:$A$2500)=2031)*('Planning Engine'!$L$4:$L$2500="Overstock"))&gt;0,"Overstock","Low"))),"--")</f>
        <v>High</v>
      </c>
    </row>
    <row r="55" spans="1:11" ht="14" customHeight="1" x14ac:dyDescent="0.35">
      <c r="A55" s="269" t="s">
        <v>960</v>
      </c>
      <c r="B55" s="337" t="s">
        <v>28</v>
      </c>
      <c r="C55" s="273">
        <v>2032</v>
      </c>
      <c r="D55" s="271" cm="1">
        <f t="array" ref="D55">IFERROR(SUMPRODUCT(('Planning Engine'!$B$4:$B$2500="47mg LP - EU Stock")*(YEAR('Planning Engine'!$A$4:$A$2500)=2032)*'Planning Engine'!$F$4:$F$2500),0)</f>
        <v>0</v>
      </c>
      <c r="E55" s="271" cm="1">
        <f t="array" ref="E55">IFERROR(SUMPRODUCT(('Planning Engine'!$B$4:$B$2500="47mg LP - EU Stock")*(YEAR('Planning Engine'!$A$4:$A$2500)=2032)*'Planning Engine'!$G$4:$G$2500),0)</f>
        <v>0</v>
      </c>
      <c r="F55" s="271" cm="1">
        <f t="array" ref="F55">IFERROR(SUMPRODUCT(('Planning Engine'!$B$4:$B$2500="47mg LP - EU Stock")*(YEAR('Planning Engine'!$A$4:$A$2500)=2032)*(MONTH('Planning Engine'!$A$4:$A$2500)=6)*'Planning Engine'!$H$4:$H$2500),0)</f>
        <v>0</v>
      </c>
      <c r="G55" s="271" cm="1">
        <f t="array" ref="G55">IFERROR(SUMPRODUCT(('Planning Engine'!$B$4:$B$2500="47mg LP - EU Stock")*(YEAR('Planning Engine'!$A$4:$A$2500)=2032)*(MONTH('Planning Engine'!$A$4:$A$2500)=12)*'Planning Engine'!$H$4:$H$2500),0)</f>
        <v>0</v>
      </c>
      <c r="H55" s="271" cm="1">
        <f t="array" aca="1" ref="H55" ca="1">IFERROR(SUMPRODUCT(('Planning Engine'!$B$4:$B$2500="47mg LP - EU Stock")*(YEAR('Planning Engine'!$A$4:$A$2500)=2032)*('Planning Engine'!$J$4:$J$2500&gt;0)*'Planning Engine'!$J$4:$J$2500)/MAX(1,SUMPRODUCT(('Planning Engine'!$B$4:$B$2500="47mg LP - EU Stock")*(YEAR('Planning Engine'!$A$4:$A$2500)=2032)*('Planning Engine'!$J$4:$J$2500&gt;0))),0)</f>
        <v>0</v>
      </c>
      <c r="I55" s="273" cm="1">
        <f t="array" ref="I55">IFERROR(SUMPRODUCT(('Planning Engine'!$B$4:$B$2500="47mg LP - EU Stock")*(YEAR('Planning Engine'!$A$4:$A$2500)=2032)*(MONTH('Planning Engine'!$A$4:$A$2500)=12)*'Planning Engine'!$H$4:$H$2500),0)</f>
        <v>0</v>
      </c>
      <c r="J55" cm="1">
        <f t="array" aca="1" ref="J55" ca="1">IFERROR(SUMPRODUCT(('Planning Engine'!$B$4:$B$2500="47mg LP - EU Stock")*(YEAR('Planning Engine'!$A$4:$A$2500)=2032)*'Planning Engine'!$K$4:$K$2500),0)</f>
        <v>0</v>
      </c>
      <c r="K55" s="273" t="str" cm="1">
        <f t="array" aca="1" ref="K55" ca="1">IFERROR(IF(SUMPRODUCT(('Planning Engine'!$B$4:$B$2500="47mg LP - EU Stock")*(YEAR('Planning Engine'!$A$4:$A$2500)=2032)*('Planning Engine'!$L$4:$L$2500="High"))&gt;0,"High",IF(SUMPRODUCT(('Planning Engine'!$B$4:$B$2500="47mg LP - EU Stock")*(YEAR('Planning Engine'!$A$4:$A$2500)=2032)*('Planning Engine'!$L$4:$L$2500="Medium"))&gt;0,"Medium",IF(SUMPRODUCT(('Planning Engine'!$B$4:$B$2500="47mg LP - EU Stock")*(YEAR('Planning Engine'!$A$4:$A$2500)=2032)*('Planning Engine'!$L$4:$L$2500="Overstock"))&gt;0,"Overstock","Low"))),"--")</f>
        <v>High</v>
      </c>
    </row>
    <row r="56" spans="1:11" ht="14" customHeight="1" x14ac:dyDescent="0.35">
      <c r="A56" s="274" t="s">
        <v>960</v>
      </c>
      <c r="B56" s="336" t="s">
        <v>28</v>
      </c>
      <c r="C56" s="278">
        <v>2033</v>
      </c>
      <c r="D56" s="276" cm="1">
        <f t="array" ref="D56">IFERROR(SUMPRODUCT(('Planning Engine'!$B$4:$B$2500="47mg LP - EU Stock")*(YEAR('Planning Engine'!$A$4:$A$2500)=2033)*'Planning Engine'!$F$4:$F$2500),0)</f>
        <v>0</v>
      </c>
      <c r="E56" s="276" cm="1">
        <f t="array" ref="E56">IFERROR(SUMPRODUCT(('Planning Engine'!$B$4:$B$2500="47mg LP - EU Stock")*(YEAR('Planning Engine'!$A$4:$A$2500)=2033)*'Planning Engine'!$G$4:$G$2500),0)</f>
        <v>0</v>
      </c>
      <c r="F56" s="276" cm="1">
        <f t="array" ref="F56">IFERROR(SUMPRODUCT(('Planning Engine'!$B$4:$B$2500="47mg LP - EU Stock")*(YEAR('Planning Engine'!$A$4:$A$2500)=2033)*(MONTH('Planning Engine'!$A$4:$A$2500)=6)*'Planning Engine'!$H$4:$H$2500),0)</f>
        <v>0</v>
      </c>
      <c r="G56" s="276" cm="1">
        <f t="array" ref="G56">IFERROR(SUMPRODUCT(('Planning Engine'!$B$4:$B$2500="47mg LP - EU Stock")*(YEAR('Planning Engine'!$A$4:$A$2500)=2033)*(MONTH('Planning Engine'!$A$4:$A$2500)=12)*'Planning Engine'!$H$4:$H$2500),0)</f>
        <v>0</v>
      </c>
      <c r="H56" s="276" cm="1">
        <f t="array" aca="1" ref="H56" ca="1">IFERROR(SUMPRODUCT(('Planning Engine'!$B$4:$B$2500="47mg LP - EU Stock")*(YEAR('Planning Engine'!$A$4:$A$2500)=2033)*('Planning Engine'!$J$4:$J$2500&gt;0)*'Planning Engine'!$J$4:$J$2500)/MAX(1,SUMPRODUCT(('Planning Engine'!$B$4:$B$2500="47mg LP - EU Stock")*(YEAR('Planning Engine'!$A$4:$A$2500)=2033)*('Planning Engine'!$J$4:$J$2500&gt;0))),0)</f>
        <v>0</v>
      </c>
      <c r="I56" s="278" cm="1">
        <f t="array" ref="I56">IFERROR(SUMPRODUCT(('Planning Engine'!$B$4:$B$2500="47mg LP - EU Stock")*(YEAR('Planning Engine'!$A$4:$A$2500)=2033)*(MONTH('Planning Engine'!$A$4:$A$2500)=12)*'Planning Engine'!$H$4:$H$2500),0)</f>
        <v>0</v>
      </c>
      <c r="J56" cm="1">
        <f t="array" aca="1" ref="J56" ca="1">IFERROR(SUMPRODUCT(('Planning Engine'!$B$4:$B$2500="47mg LP - EU Stock")*(YEAR('Planning Engine'!$A$4:$A$2500)=2033)*'Planning Engine'!$K$4:$K$2500),0)</f>
        <v>0</v>
      </c>
      <c r="K56" s="278" t="str" cm="1">
        <f t="array" aca="1" ref="K56" ca="1">IFERROR(IF(SUMPRODUCT(('Planning Engine'!$B$4:$B$2500="47mg LP - EU Stock")*(YEAR('Planning Engine'!$A$4:$A$2500)=2033)*('Planning Engine'!$L$4:$L$2500="High"))&gt;0,"High",IF(SUMPRODUCT(('Planning Engine'!$B$4:$B$2500="47mg LP - EU Stock")*(YEAR('Planning Engine'!$A$4:$A$2500)=2033)*('Planning Engine'!$L$4:$L$2500="Medium"))&gt;0,"Medium",IF(SUMPRODUCT(('Planning Engine'!$B$4:$B$2500="47mg LP - EU Stock")*(YEAR('Planning Engine'!$A$4:$A$2500)=2033)*('Planning Engine'!$L$4:$L$2500="Overstock"))&gt;0,"Overstock","Low"))),"--")</f>
        <v>High</v>
      </c>
    </row>
    <row r="57" spans="1:11" ht="14" customHeight="1" x14ac:dyDescent="0.35">
      <c r="A57" s="269" t="s">
        <v>960</v>
      </c>
      <c r="B57" s="337" t="s">
        <v>28</v>
      </c>
      <c r="C57" s="273">
        <v>2034</v>
      </c>
      <c r="D57" s="271" cm="1">
        <f t="array" ref="D57">IFERROR(SUMPRODUCT(('Planning Engine'!$B$4:$B$2500="47mg LP - EU Stock")*(YEAR('Planning Engine'!$A$4:$A$2500)=2034)*'Planning Engine'!$F$4:$F$2500),0)</f>
        <v>0</v>
      </c>
      <c r="E57" s="271" cm="1">
        <f t="array" ref="E57">IFERROR(SUMPRODUCT(('Planning Engine'!$B$4:$B$2500="47mg LP - EU Stock")*(YEAR('Planning Engine'!$A$4:$A$2500)=2034)*'Planning Engine'!$G$4:$G$2500),0)</f>
        <v>0</v>
      </c>
      <c r="F57" s="271" cm="1">
        <f t="array" ref="F57">IFERROR(SUMPRODUCT(('Planning Engine'!$B$4:$B$2500="47mg LP - EU Stock")*(YEAR('Planning Engine'!$A$4:$A$2500)=2034)*(MONTH('Planning Engine'!$A$4:$A$2500)=6)*'Planning Engine'!$H$4:$H$2500),0)</f>
        <v>0</v>
      </c>
      <c r="G57" s="271" cm="1">
        <f t="array" ref="G57">IFERROR(SUMPRODUCT(('Planning Engine'!$B$4:$B$2500="47mg LP - EU Stock")*(YEAR('Planning Engine'!$A$4:$A$2500)=2034)*(MONTH('Planning Engine'!$A$4:$A$2500)=12)*'Planning Engine'!$H$4:$H$2500),0)</f>
        <v>0</v>
      </c>
      <c r="H57" s="271" cm="1">
        <f t="array" aca="1" ref="H57" ca="1">IFERROR(SUMPRODUCT(('Planning Engine'!$B$4:$B$2500="47mg LP - EU Stock")*(YEAR('Planning Engine'!$A$4:$A$2500)=2034)*('Planning Engine'!$J$4:$J$2500&gt;0)*'Planning Engine'!$J$4:$J$2500)/MAX(1,SUMPRODUCT(('Planning Engine'!$B$4:$B$2500="47mg LP - EU Stock")*(YEAR('Planning Engine'!$A$4:$A$2500)=2034)*('Planning Engine'!$J$4:$J$2500&gt;0))),0)</f>
        <v>0</v>
      </c>
      <c r="I57" s="273" cm="1">
        <f t="array" ref="I57">IFERROR(SUMPRODUCT(('Planning Engine'!$B$4:$B$2500="47mg LP - EU Stock")*(YEAR('Planning Engine'!$A$4:$A$2500)=2034)*(MONTH('Planning Engine'!$A$4:$A$2500)=12)*'Planning Engine'!$H$4:$H$2500),0)</f>
        <v>0</v>
      </c>
      <c r="J57" cm="1">
        <f t="array" aca="1" ref="J57" ca="1">IFERROR(SUMPRODUCT(('Planning Engine'!$B$4:$B$2500="47mg LP - EU Stock")*(YEAR('Planning Engine'!$A$4:$A$2500)=2034)*'Planning Engine'!$K$4:$K$2500),0)</f>
        <v>0</v>
      </c>
      <c r="K57" s="273" t="str" cm="1">
        <f t="array" aca="1" ref="K57" ca="1">IFERROR(IF(SUMPRODUCT(('Planning Engine'!$B$4:$B$2500="47mg LP - EU Stock")*(YEAR('Planning Engine'!$A$4:$A$2500)=2034)*('Planning Engine'!$L$4:$L$2500="High"))&gt;0,"High",IF(SUMPRODUCT(('Planning Engine'!$B$4:$B$2500="47mg LP - EU Stock")*(YEAR('Planning Engine'!$A$4:$A$2500)=2034)*('Planning Engine'!$L$4:$L$2500="Medium"))&gt;0,"Medium",IF(SUMPRODUCT(('Planning Engine'!$B$4:$B$2500="47mg LP - EU Stock")*(YEAR('Planning Engine'!$A$4:$A$2500)=2034)*('Planning Engine'!$L$4:$L$2500="Overstock"))&gt;0,"Overstock","Low"))),"--")</f>
        <v>High</v>
      </c>
    </row>
    <row r="58" spans="1:11" ht="14" customHeight="1" x14ac:dyDescent="0.35">
      <c r="A58" s="274" t="s">
        <v>960</v>
      </c>
      <c r="B58" s="336" t="s">
        <v>28</v>
      </c>
      <c r="C58" s="278">
        <v>2035</v>
      </c>
      <c r="D58" s="276" cm="1">
        <f t="array" ref="D58">IFERROR(SUMPRODUCT(('Planning Engine'!$B$4:$B$2500="47mg LP - EU Stock")*(YEAR('Planning Engine'!$A$4:$A$2500)=2035)*'Planning Engine'!$F$4:$F$2500),0)</f>
        <v>0</v>
      </c>
      <c r="E58" s="276" cm="1">
        <f t="array" ref="E58">IFERROR(SUMPRODUCT(('Planning Engine'!$B$4:$B$2500="47mg LP - EU Stock")*(YEAR('Planning Engine'!$A$4:$A$2500)=2035)*'Planning Engine'!$G$4:$G$2500),0)</f>
        <v>0</v>
      </c>
      <c r="F58" s="276" cm="1">
        <f t="array" ref="F58">IFERROR(SUMPRODUCT(('Planning Engine'!$B$4:$B$2500="47mg LP - EU Stock")*(YEAR('Planning Engine'!$A$4:$A$2500)=2035)*(MONTH('Planning Engine'!$A$4:$A$2500)=6)*'Planning Engine'!$H$4:$H$2500),0)</f>
        <v>0</v>
      </c>
      <c r="G58" s="276" cm="1">
        <f t="array" ref="G58">IFERROR(SUMPRODUCT(('Planning Engine'!$B$4:$B$2500="47mg LP - EU Stock")*(YEAR('Planning Engine'!$A$4:$A$2500)=2035)*(MONTH('Planning Engine'!$A$4:$A$2500)=12)*'Planning Engine'!$H$4:$H$2500),0)</f>
        <v>0</v>
      </c>
      <c r="H58" s="276" cm="1">
        <f t="array" aca="1" ref="H58" ca="1">IFERROR(SUMPRODUCT(('Planning Engine'!$B$4:$B$2500="47mg LP - EU Stock")*(YEAR('Planning Engine'!$A$4:$A$2500)=2035)*('Planning Engine'!$J$4:$J$2500&gt;0)*'Planning Engine'!$J$4:$J$2500)/MAX(1,SUMPRODUCT(('Planning Engine'!$B$4:$B$2500="47mg LP - EU Stock")*(YEAR('Planning Engine'!$A$4:$A$2500)=2035)*('Planning Engine'!$J$4:$J$2500&gt;0))),0)</f>
        <v>0</v>
      </c>
      <c r="I58" s="278" cm="1">
        <f t="array" ref="I58">IFERROR(SUMPRODUCT(('Planning Engine'!$B$4:$B$2500="47mg LP - EU Stock")*(YEAR('Planning Engine'!$A$4:$A$2500)=2035)*(MONTH('Planning Engine'!$A$4:$A$2500)=12)*'Planning Engine'!$H$4:$H$2500),0)</f>
        <v>0</v>
      </c>
      <c r="J58" cm="1">
        <f t="array" aca="1" ref="J58" ca="1">IFERROR(SUMPRODUCT(('Planning Engine'!$B$4:$B$2500="47mg LP - EU Stock")*(YEAR('Planning Engine'!$A$4:$A$2500)=2035)*'Planning Engine'!$K$4:$K$2500),0)</f>
        <v>0</v>
      </c>
      <c r="K58" s="278" t="str" cm="1">
        <f t="array" aca="1" ref="K58" ca="1">IFERROR(IF(SUMPRODUCT(('Planning Engine'!$B$4:$B$2500="47mg LP - EU Stock")*(YEAR('Planning Engine'!$A$4:$A$2500)=2035)*('Planning Engine'!$L$4:$L$2500="High"))&gt;0,"High",IF(SUMPRODUCT(('Planning Engine'!$B$4:$B$2500="47mg LP - EU Stock")*(YEAR('Planning Engine'!$A$4:$A$2500)=2035)*('Planning Engine'!$L$4:$L$2500="Medium"))&gt;0,"Medium",IF(SUMPRODUCT(('Planning Engine'!$B$4:$B$2500="47mg LP - EU Stock")*(YEAR('Planning Engine'!$A$4:$A$2500)=2035)*('Planning Engine'!$L$4:$L$2500="Overstock"))&gt;0,"Overstock","Low"))),"--")</f>
        <v>High</v>
      </c>
    </row>
    <row r="59" spans="1:11" ht="14" customHeight="1" x14ac:dyDescent="0.35">
      <c r="A59" s="269" t="s">
        <v>960</v>
      </c>
      <c r="B59" s="337" t="s">
        <v>28</v>
      </c>
      <c r="C59" s="273">
        <v>2036</v>
      </c>
      <c r="D59" s="271" cm="1">
        <f t="array" ref="D59">IFERROR(SUMPRODUCT(('Planning Engine'!$B$4:$B$2500="47mg LP - EU Stock")*(YEAR('Planning Engine'!$A$4:$A$2500)=2036)*'Planning Engine'!$F$4:$F$2500),0)</f>
        <v>0</v>
      </c>
      <c r="E59" s="271" cm="1">
        <f t="array" ref="E59">IFERROR(SUMPRODUCT(('Planning Engine'!$B$4:$B$2500="47mg LP - EU Stock")*(YEAR('Planning Engine'!$A$4:$A$2500)=2036)*'Planning Engine'!$G$4:$G$2500),0)</f>
        <v>0</v>
      </c>
      <c r="F59" s="271" cm="1">
        <f t="array" ref="F59">IFERROR(SUMPRODUCT(('Planning Engine'!$B$4:$B$2500="47mg LP - EU Stock")*(YEAR('Planning Engine'!$A$4:$A$2500)=2036)*(MONTH('Planning Engine'!$A$4:$A$2500)=6)*'Planning Engine'!$H$4:$H$2500),0)</f>
        <v>0</v>
      </c>
      <c r="G59" s="271" cm="1">
        <f t="array" ref="G59">IFERROR(SUMPRODUCT(('Planning Engine'!$B$4:$B$2500="47mg LP - EU Stock")*(YEAR('Planning Engine'!$A$4:$A$2500)=2036)*(MONTH('Planning Engine'!$A$4:$A$2500)=12)*'Planning Engine'!$H$4:$H$2500),0)</f>
        <v>0</v>
      </c>
      <c r="H59" s="271" cm="1">
        <f t="array" aca="1" ref="H59" ca="1">IFERROR(SUMPRODUCT(('Planning Engine'!$B$4:$B$2500="47mg LP - EU Stock")*(YEAR('Planning Engine'!$A$4:$A$2500)=2036)*('Planning Engine'!$J$4:$J$2500&gt;0)*'Planning Engine'!$J$4:$J$2500)/MAX(1,SUMPRODUCT(('Planning Engine'!$B$4:$B$2500="47mg LP - EU Stock")*(YEAR('Planning Engine'!$A$4:$A$2500)=2036)*('Planning Engine'!$J$4:$J$2500&gt;0))),0)</f>
        <v>0</v>
      </c>
      <c r="I59" s="273" cm="1">
        <f t="array" ref="I59">IFERROR(SUMPRODUCT(('Planning Engine'!$B$4:$B$2500="47mg LP - EU Stock")*(YEAR('Planning Engine'!$A$4:$A$2500)=2036)*(MONTH('Planning Engine'!$A$4:$A$2500)=12)*'Planning Engine'!$H$4:$H$2500),0)</f>
        <v>0</v>
      </c>
      <c r="J59" cm="1">
        <f t="array" aca="1" ref="J59" ca="1">IFERROR(SUMPRODUCT(('Planning Engine'!$B$4:$B$2500="47mg LP - EU Stock")*(YEAR('Planning Engine'!$A$4:$A$2500)=2036)*'Planning Engine'!$K$4:$K$2500),0)</f>
        <v>0</v>
      </c>
      <c r="K59" s="273" t="str" cm="1">
        <f t="array" aca="1" ref="K59" ca="1">IFERROR(IF(SUMPRODUCT(('Planning Engine'!$B$4:$B$2500="47mg LP - EU Stock")*(YEAR('Planning Engine'!$A$4:$A$2500)=2036)*('Planning Engine'!$L$4:$L$2500="High"))&gt;0,"High",IF(SUMPRODUCT(('Planning Engine'!$B$4:$B$2500="47mg LP - EU Stock")*(YEAR('Planning Engine'!$A$4:$A$2500)=2036)*('Planning Engine'!$L$4:$L$2500="Medium"))&gt;0,"Medium",IF(SUMPRODUCT(('Planning Engine'!$B$4:$B$2500="47mg LP - EU Stock")*(YEAR('Planning Engine'!$A$4:$A$2500)=2036)*('Planning Engine'!$L$4:$L$2500="Overstock"))&gt;0,"Overstock","Low"))),"--")</f>
        <v>High</v>
      </c>
    </row>
    <row r="60" spans="1:11" ht="14" customHeight="1" x14ac:dyDescent="0.35">
      <c r="A60" s="274" t="s">
        <v>960</v>
      </c>
      <c r="B60" s="336" t="s">
        <v>28</v>
      </c>
      <c r="C60" s="278">
        <v>2037</v>
      </c>
      <c r="D60" s="276" cm="1">
        <f t="array" ref="D60">IFERROR(SUMPRODUCT(('Planning Engine'!$B$4:$B$2500="47mg LP - EU Stock")*(YEAR('Planning Engine'!$A$4:$A$2500)=2037)*'Planning Engine'!$F$4:$F$2500),0)</f>
        <v>0</v>
      </c>
      <c r="E60" s="276" cm="1">
        <f t="array" ref="E60">IFERROR(SUMPRODUCT(('Planning Engine'!$B$4:$B$2500="47mg LP - EU Stock")*(YEAR('Planning Engine'!$A$4:$A$2500)=2037)*'Planning Engine'!$G$4:$G$2500),0)</f>
        <v>0</v>
      </c>
      <c r="F60" s="276" cm="1">
        <f t="array" ref="F60">IFERROR(SUMPRODUCT(('Planning Engine'!$B$4:$B$2500="47mg LP - EU Stock")*(YEAR('Planning Engine'!$A$4:$A$2500)=2037)*(MONTH('Planning Engine'!$A$4:$A$2500)=6)*'Planning Engine'!$H$4:$H$2500),0)</f>
        <v>0</v>
      </c>
      <c r="G60" s="276" cm="1">
        <f t="array" ref="G60">IFERROR(SUMPRODUCT(('Planning Engine'!$B$4:$B$2500="47mg LP - EU Stock")*(YEAR('Planning Engine'!$A$4:$A$2500)=2037)*(MONTH('Planning Engine'!$A$4:$A$2500)=12)*'Planning Engine'!$H$4:$H$2500),0)</f>
        <v>0</v>
      </c>
      <c r="H60" s="276" cm="1">
        <f t="array" aca="1" ref="H60" ca="1">IFERROR(SUMPRODUCT(('Planning Engine'!$B$4:$B$2500="47mg LP - EU Stock")*(YEAR('Planning Engine'!$A$4:$A$2500)=2037)*('Planning Engine'!$J$4:$J$2500&gt;0)*'Planning Engine'!$J$4:$J$2500)/MAX(1,SUMPRODUCT(('Planning Engine'!$B$4:$B$2500="47mg LP - EU Stock")*(YEAR('Planning Engine'!$A$4:$A$2500)=2037)*('Planning Engine'!$J$4:$J$2500&gt;0))),0)</f>
        <v>0</v>
      </c>
      <c r="I60" s="278" cm="1">
        <f t="array" ref="I60">IFERROR(SUMPRODUCT(('Planning Engine'!$B$4:$B$2500="47mg LP - EU Stock")*(YEAR('Planning Engine'!$A$4:$A$2500)=2037)*(MONTH('Planning Engine'!$A$4:$A$2500)=12)*'Planning Engine'!$H$4:$H$2500),0)</f>
        <v>0</v>
      </c>
      <c r="J60" cm="1">
        <f t="array" aca="1" ref="J60" ca="1">IFERROR(SUMPRODUCT(('Planning Engine'!$B$4:$B$2500="47mg LP - EU Stock")*(YEAR('Planning Engine'!$A$4:$A$2500)=2037)*'Planning Engine'!$K$4:$K$2500),0)</f>
        <v>0</v>
      </c>
      <c r="K60" s="278" t="str" cm="1">
        <f t="array" aca="1" ref="K60" ca="1">IFERROR(IF(SUMPRODUCT(('Planning Engine'!$B$4:$B$2500="47mg LP - EU Stock")*(YEAR('Planning Engine'!$A$4:$A$2500)=2037)*('Planning Engine'!$L$4:$L$2500="High"))&gt;0,"High",IF(SUMPRODUCT(('Planning Engine'!$B$4:$B$2500="47mg LP - EU Stock")*(YEAR('Planning Engine'!$A$4:$A$2500)=2037)*('Planning Engine'!$L$4:$L$2500="Medium"))&gt;0,"Medium",IF(SUMPRODUCT(('Planning Engine'!$B$4:$B$2500="47mg LP - EU Stock")*(YEAR('Planning Engine'!$A$4:$A$2500)=2037)*('Planning Engine'!$L$4:$L$2500="Overstock"))&gt;0,"Overstock","Low"))),"--")</f>
        <v>High</v>
      </c>
    </row>
    <row r="61" spans="1:11" ht="14" customHeight="1" x14ac:dyDescent="0.35">
      <c r="A61" s="269" t="s">
        <v>960</v>
      </c>
      <c r="B61" s="337" t="s">
        <v>28</v>
      </c>
      <c r="C61" s="273">
        <v>2038</v>
      </c>
      <c r="D61" s="271" cm="1">
        <f t="array" ref="D61">IFERROR(SUMPRODUCT(('Planning Engine'!$B$4:$B$2500="47mg LP - EU Stock")*(YEAR('Planning Engine'!$A$4:$A$2500)=2038)*'Planning Engine'!$F$4:$F$2500),0)</f>
        <v>0</v>
      </c>
      <c r="E61" s="271" cm="1">
        <f t="array" ref="E61">IFERROR(SUMPRODUCT(('Planning Engine'!$B$4:$B$2500="47mg LP - EU Stock")*(YEAR('Planning Engine'!$A$4:$A$2500)=2038)*'Planning Engine'!$G$4:$G$2500),0)</f>
        <v>0</v>
      </c>
      <c r="F61" s="271" cm="1">
        <f t="array" ref="F61">IFERROR(SUMPRODUCT(('Planning Engine'!$B$4:$B$2500="47mg LP - EU Stock")*(YEAR('Planning Engine'!$A$4:$A$2500)=2038)*(MONTH('Planning Engine'!$A$4:$A$2500)=6)*'Planning Engine'!$H$4:$H$2500),0)</f>
        <v>0</v>
      </c>
      <c r="G61" s="271" cm="1">
        <f t="array" ref="G61">IFERROR(SUMPRODUCT(('Planning Engine'!$B$4:$B$2500="47mg LP - EU Stock")*(YEAR('Planning Engine'!$A$4:$A$2500)=2038)*(MONTH('Planning Engine'!$A$4:$A$2500)=12)*'Planning Engine'!$H$4:$H$2500),0)</f>
        <v>0</v>
      </c>
      <c r="H61" s="271" cm="1">
        <f t="array" aca="1" ref="H61" ca="1">IFERROR(SUMPRODUCT(('Planning Engine'!$B$4:$B$2500="47mg LP - EU Stock")*(YEAR('Planning Engine'!$A$4:$A$2500)=2038)*('Planning Engine'!$J$4:$J$2500&gt;0)*'Planning Engine'!$J$4:$J$2500)/MAX(1,SUMPRODUCT(('Planning Engine'!$B$4:$B$2500="47mg LP - EU Stock")*(YEAR('Planning Engine'!$A$4:$A$2500)=2038)*('Planning Engine'!$J$4:$J$2500&gt;0))),0)</f>
        <v>0</v>
      </c>
      <c r="I61" s="273" cm="1">
        <f t="array" ref="I61">IFERROR(SUMPRODUCT(('Planning Engine'!$B$4:$B$2500="47mg LP - EU Stock")*(YEAR('Planning Engine'!$A$4:$A$2500)=2038)*(MONTH('Planning Engine'!$A$4:$A$2500)=12)*'Planning Engine'!$H$4:$H$2500),0)</f>
        <v>0</v>
      </c>
      <c r="J61" cm="1">
        <f t="array" aca="1" ref="J61" ca="1">IFERROR(SUMPRODUCT(('Planning Engine'!$B$4:$B$2500="47mg LP - EU Stock")*(YEAR('Planning Engine'!$A$4:$A$2500)=2038)*'Planning Engine'!$K$4:$K$2500),0)</f>
        <v>0</v>
      </c>
      <c r="K61" s="273" t="str" cm="1">
        <f t="array" aca="1" ref="K61" ca="1">IFERROR(IF(SUMPRODUCT(('Planning Engine'!$B$4:$B$2500="47mg LP - EU Stock")*(YEAR('Planning Engine'!$A$4:$A$2500)=2038)*('Planning Engine'!$L$4:$L$2500="High"))&gt;0,"High",IF(SUMPRODUCT(('Planning Engine'!$B$4:$B$2500="47mg LP - EU Stock")*(YEAR('Planning Engine'!$A$4:$A$2500)=2038)*('Planning Engine'!$L$4:$L$2500="Medium"))&gt;0,"Medium",IF(SUMPRODUCT(('Planning Engine'!$B$4:$B$2500="47mg LP - EU Stock")*(YEAR('Planning Engine'!$A$4:$A$2500)=2038)*('Planning Engine'!$L$4:$L$2500="Overstock"))&gt;0,"Overstock","Low"))),"--")</f>
        <v>High</v>
      </c>
    </row>
    <row r="62" spans="1:11" ht="14" customHeight="1" x14ac:dyDescent="0.35">
      <c r="A62" s="274" t="s">
        <v>960</v>
      </c>
      <c r="B62" s="336" t="s">
        <v>28</v>
      </c>
      <c r="C62" s="278">
        <v>2039</v>
      </c>
      <c r="D62" s="276" cm="1">
        <f t="array" ref="D62">IFERROR(SUMPRODUCT(('Planning Engine'!$B$4:$B$2500="47mg LP - EU Stock")*(YEAR('Planning Engine'!$A$4:$A$2500)=2039)*'Planning Engine'!$F$4:$F$2500),0)</f>
        <v>0</v>
      </c>
      <c r="E62" s="276" cm="1">
        <f t="array" ref="E62">IFERROR(SUMPRODUCT(('Planning Engine'!$B$4:$B$2500="47mg LP - EU Stock")*(YEAR('Planning Engine'!$A$4:$A$2500)=2039)*'Planning Engine'!$G$4:$G$2500),0)</f>
        <v>0</v>
      </c>
      <c r="F62" s="276" cm="1">
        <f t="array" ref="F62">IFERROR(SUMPRODUCT(('Planning Engine'!$B$4:$B$2500="47mg LP - EU Stock")*(YEAR('Planning Engine'!$A$4:$A$2500)=2039)*(MONTH('Planning Engine'!$A$4:$A$2500)=6)*'Planning Engine'!$H$4:$H$2500),0)</f>
        <v>0</v>
      </c>
      <c r="G62" s="276" cm="1">
        <f t="array" ref="G62">IFERROR(SUMPRODUCT(('Planning Engine'!$B$4:$B$2500="47mg LP - EU Stock")*(YEAR('Planning Engine'!$A$4:$A$2500)=2039)*(MONTH('Planning Engine'!$A$4:$A$2500)=12)*'Planning Engine'!$H$4:$H$2500),0)</f>
        <v>0</v>
      </c>
      <c r="H62" s="276" cm="1">
        <f t="array" aca="1" ref="H62" ca="1">IFERROR(SUMPRODUCT(('Planning Engine'!$B$4:$B$2500="47mg LP - EU Stock")*(YEAR('Planning Engine'!$A$4:$A$2500)=2039)*('Planning Engine'!$J$4:$J$2500&gt;0)*'Planning Engine'!$J$4:$J$2500)/MAX(1,SUMPRODUCT(('Planning Engine'!$B$4:$B$2500="47mg LP - EU Stock")*(YEAR('Planning Engine'!$A$4:$A$2500)=2039)*('Planning Engine'!$J$4:$J$2500&gt;0))),0)</f>
        <v>0</v>
      </c>
      <c r="I62" s="278" cm="1">
        <f t="array" ref="I62">IFERROR(SUMPRODUCT(('Planning Engine'!$B$4:$B$2500="47mg LP - EU Stock")*(YEAR('Planning Engine'!$A$4:$A$2500)=2039)*(MONTH('Planning Engine'!$A$4:$A$2500)=12)*'Planning Engine'!$H$4:$H$2500),0)</f>
        <v>0</v>
      </c>
      <c r="J62" cm="1">
        <f t="array" aca="1" ref="J62" ca="1">IFERROR(SUMPRODUCT(('Planning Engine'!$B$4:$B$2500="47mg LP - EU Stock")*(YEAR('Planning Engine'!$A$4:$A$2500)=2039)*'Planning Engine'!$K$4:$K$2500),0)</f>
        <v>0</v>
      </c>
      <c r="K62" s="278" t="str" cm="1">
        <f t="array" aca="1" ref="K62" ca="1">IFERROR(IF(SUMPRODUCT(('Planning Engine'!$B$4:$B$2500="47mg LP - EU Stock")*(YEAR('Planning Engine'!$A$4:$A$2500)=2039)*('Planning Engine'!$L$4:$L$2500="High"))&gt;0,"High",IF(SUMPRODUCT(('Planning Engine'!$B$4:$B$2500="47mg LP - EU Stock")*(YEAR('Planning Engine'!$A$4:$A$2500)=2039)*('Planning Engine'!$L$4:$L$2500="Medium"))&gt;0,"Medium",IF(SUMPRODUCT(('Planning Engine'!$B$4:$B$2500="47mg LP - EU Stock")*(YEAR('Planning Engine'!$A$4:$A$2500)=2039)*('Planning Engine'!$L$4:$L$2500="Overstock"))&gt;0,"Overstock","Low"))),"--")</f>
        <v>High</v>
      </c>
    </row>
    <row r="63" spans="1:11" ht="14" customHeight="1" x14ac:dyDescent="0.35">
      <c r="A63" s="269" t="s">
        <v>960</v>
      </c>
      <c r="B63" s="337" t="s">
        <v>28</v>
      </c>
      <c r="C63" s="273">
        <v>2040</v>
      </c>
      <c r="D63" s="271" cm="1">
        <f t="array" ref="D63">IFERROR(SUMPRODUCT(('Planning Engine'!$B$4:$B$2500="47mg LP - EU Stock")*(YEAR('Planning Engine'!$A$4:$A$2500)=2040)*'Planning Engine'!$F$4:$F$2500),0)</f>
        <v>0</v>
      </c>
      <c r="E63" s="271" cm="1">
        <f t="array" ref="E63">IFERROR(SUMPRODUCT(('Planning Engine'!$B$4:$B$2500="47mg LP - EU Stock")*(YEAR('Planning Engine'!$A$4:$A$2500)=2040)*'Planning Engine'!$G$4:$G$2500),0)</f>
        <v>0</v>
      </c>
      <c r="F63" s="271" cm="1">
        <f t="array" ref="F63">IFERROR(SUMPRODUCT(('Planning Engine'!$B$4:$B$2500="47mg LP - EU Stock")*(YEAR('Planning Engine'!$A$4:$A$2500)=2040)*(MONTH('Planning Engine'!$A$4:$A$2500)=6)*'Planning Engine'!$H$4:$H$2500),0)</f>
        <v>0</v>
      </c>
      <c r="G63" s="271" cm="1">
        <f t="array" ref="G63">IFERROR(SUMPRODUCT(('Planning Engine'!$B$4:$B$2500="47mg LP - EU Stock")*(YEAR('Planning Engine'!$A$4:$A$2500)=2040)*(MONTH('Planning Engine'!$A$4:$A$2500)=12)*'Planning Engine'!$H$4:$H$2500),0)</f>
        <v>0</v>
      </c>
      <c r="H63" s="271" cm="1">
        <f t="array" aca="1" ref="H63" ca="1">IFERROR(SUMPRODUCT(('Planning Engine'!$B$4:$B$2500="47mg LP - EU Stock")*(YEAR('Planning Engine'!$A$4:$A$2500)=2040)*('Planning Engine'!$J$4:$J$2500&gt;0)*'Planning Engine'!$J$4:$J$2500)/MAX(1,SUMPRODUCT(('Planning Engine'!$B$4:$B$2500="47mg LP - EU Stock")*(YEAR('Planning Engine'!$A$4:$A$2500)=2040)*('Planning Engine'!$J$4:$J$2500&gt;0))),0)</f>
        <v>0</v>
      </c>
      <c r="I63" s="273" cm="1">
        <f t="array" ref="I63">IFERROR(SUMPRODUCT(('Planning Engine'!$B$4:$B$2500="47mg LP - EU Stock")*(YEAR('Planning Engine'!$A$4:$A$2500)=2040)*(MONTH('Planning Engine'!$A$4:$A$2500)=12)*'Planning Engine'!$H$4:$H$2500),0)</f>
        <v>0</v>
      </c>
      <c r="J63" cm="1">
        <f t="array" aca="1" ref="J63" ca="1">IFERROR(SUMPRODUCT(('Planning Engine'!$B$4:$B$2500="47mg LP - EU Stock")*(YEAR('Planning Engine'!$A$4:$A$2500)=2040)*'Planning Engine'!$K$4:$K$2500),0)</f>
        <v>0</v>
      </c>
      <c r="K63" s="273" t="str" cm="1">
        <f t="array" aca="1" ref="K63" ca="1">IFERROR(IF(SUMPRODUCT(('Planning Engine'!$B$4:$B$2500="47mg LP - EU Stock")*(YEAR('Planning Engine'!$A$4:$A$2500)=2040)*('Planning Engine'!$L$4:$L$2500="High"))&gt;0,"High",IF(SUMPRODUCT(('Planning Engine'!$B$4:$B$2500="47mg LP - EU Stock")*(YEAR('Planning Engine'!$A$4:$A$2500)=2040)*('Planning Engine'!$L$4:$L$2500="Medium"))&gt;0,"Medium",IF(SUMPRODUCT(('Planning Engine'!$B$4:$B$2500="47mg LP - EU Stock")*(YEAR('Planning Engine'!$A$4:$A$2500)=2040)*('Planning Engine'!$L$4:$L$2500="Overstock"))&gt;0,"Overstock","Low"))),"--")</f>
        <v>High</v>
      </c>
    </row>
    <row r="64" spans="1:11" ht="14" customHeight="1" x14ac:dyDescent="0.35">
      <c r="A64" s="231" t="s">
        <v>36</v>
      </c>
      <c r="B64" s="345" t="s">
        <v>38</v>
      </c>
      <c r="C64" s="346">
        <v>2026</v>
      </c>
      <c r="D64" s="347" cm="1">
        <f t="array" ref="D64">IFERROR(SUMPRODUCT(('Planning Engine'!$B$4:$B$2500="200mg DP")*(YEAR('Planning Engine'!$A$4:$A$2500)=2026)*'Planning Engine'!$F$4:$F$2500),0)</f>
        <v>35100</v>
      </c>
      <c r="E64" s="347" cm="1">
        <f t="array" ref="E64">IFERROR(SUMPRODUCT(('Planning Engine'!$B$4:$B$2500="200mg DP")*(YEAR('Planning Engine'!$A$4:$A$2500)=2026)*'Planning Engine'!$G$4:$G$2500),0)</f>
        <v>32400</v>
      </c>
      <c r="F64" s="347" cm="1">
        <f t="array" ref="F64">IFERROR(SUMPRODUCT(('Planning Engine'!$B$4:$B$2500="200mg DP")*(YEAR('Planning Engine'!$A$4:$A$2500)=2026)*(MONTH('Planning Engine'!$A$4:$A$2500)=6)*'Planning Engine'!$H$4:$H$2500),0)</f>
        <v>35028</v>
      </c>
      <c r="G64" s="347" cm="1">
        <f t="array" ref="G64">IFERROR(SUMPRODUCT(('Planning Engine'!$B$4:$B$2500="200mg DP")*(YEAR('Planning Engine'!$A$4:$A$2500)=2026)*(MONTH('Planning Engine'!$A$4:$A$2500)=12)*'Planning Engine'!$H$4:$H$2500),0)</f>
        <v>2628</v>
      </c>
      <c r="H64" s="347" cm="1">
        <f t="array" aca="1" ref="H64" ca="1">IFERROR(SUMPRODUCT(('Planning Engine'!$B$4:$B$2500="200mg DP")*(YEAR('Planning Engine'!$A$4:$A$2500)=2026)*('Planning Engine'!$J$4:$J$2500&gt;0)*'Planning Engine'!$J$4:$J$2500)/MAX(1,SUMPRODUCT(('Planning Engine'!$B$4:$B$2500="200mg DP")*(YEAR('Planning Engine'!$A$4:$A$2500)=2026)*('Planning Engine'!$J$4:$J$2500&gt;0))),0)</f>
        <v>182.56284900284899</v>
      </c>
      <c r="I64" s="346" cm="1">
        <f t="array" ref="I64">IFERROR(SUMPRODUCT(('Planning Engine'!$B$4:$B$2500="200mg DP")*(YEAR('Planning Engine'!$A$4:$A$2500)=2026)*(MONTH('Planning Engine'!$A$4:$A$2500)=12)*'Planning Engine'!$H$4:$H$2500),0)</f>
        <v>2628</v>
      </c>
      <c r="J64" cm="1">
        <f t="array" aca="1" ref="J64" ca="1">IFERROR(SUMPRODUCT(('Planning Engine'!$B$4:$B$2500="200mg DP")*(YEAR('Planning Engine'!$A$4:$A$2500)=2026)*'Planning Engine'!$K$4:$K$2500),0)</f>
        <v>1717200</v>
      </c>
      <c r="K64" s="346" t="str" cm="1">
        <f t="array" aca="1" ref="K64" ca="1">IFERROR(IF(SUMPRODUCT(('Planning Engine'!$B$4:$B$2500="200mg DP")*(YEAR('Planning Engine'!$A$4:$A$2500)=2026)*('Planning Engine'!$L$4:$L$2500="High"))&gt;0,"High",IF(SUMPRODUCT(('Planning Engine'!$B$4:$B$2500="200mg DP")*(YEAR('Planning Engine'!$A$4:$A$2500)=2026)*('Planning Engine'!$L$4:$L$2500="Medium"))&gt;0,"Medium",IF(SUMPRODUCT(('Planning Engine'!$B$4:$B$2500="200mg DP")*(YEAR('Planning Engine'!$A$4:$A$2500)=2026)*('Planning Engine'!$L$4:$L$2500="Overstock"))&gt;0,"Overstock","Low"))),"--")</f>
        <v>High</v>
      </c>
    </row>
    <row r="65" spans="1:11" ht="14" customHeight="1" x14ac:dyDescent="0.35">
      <c r="A65" s="53" t="s">
        <v>36</v>
      </c>
      <c r="B65" s="107" t="s">
        <v>38</v>
      </c>
      <c r="C65" s="4">
        <v>2027</v>
      </c>
      <c r="D65" s="99" cm="1">
        <f t="array" ref="D65">IFERROR(SUMPRODUCT(('Planning Engine'!$B$4:$B$2500="200mg DP")*(YEAR('Planning Engine'!$A$4:$A$2500)=2027)*'Planning Engine'!$F$4:$F$2500),0)</f>
        <v>0</v>
      </c>
      <c r="E65" s="99" cm="1">
        <f t="array" ref="E65">IFERROR(SUMPRODUCT(('Planning Engine'!$B$4:$B$2500="200mg DP")*(YEAR('Planning Engine'!$A$4:$A$2500)=2027)*'Planning Engine'!$G$4:$G$2500),0)</f>
        <v>0</v>
      </c>
      <c r="F65" s="99" cm="1">
        <f t="array" ref="F65">IFERROR(SUMPRODUCT(('Planning Engine'!$B$4:$B$2500="200mg DP")*(YEAR('Planning Engine'!$A$4:$A$2500)=2027)*(MONTH('Planning Engine'!$A$4:$A$2500)=6)*'Planning Engine'!$H$4:$H$2500),0)</f>
        <v>2628</v>
      </c>
      <c r="G65" s="99" cm="1">
        <f t="array" ref="G65">IFERROR(SUMPRODUCT(('Planning Engine'!$B$4:$B$2500="200mg DP")*(YEAR('Planning Engine'!$A$4:$A$2500)=2027)*(MONTH('Planning Engine'!$A$4:$A$2500)=12)*'Planning Engine'!$H$4:$H$2500),0)</f>
        <v>2628</v>
      </c>
      <c r="H65" s="99" cm="1">
        <f t="array" aca="1" ref="H65" ca="1">IFERROR(SUMPRODUCT(('Planning Engine'!$B$4:$B$2500="200mg DP")*(YEAR('Planning Engine'!$A$4:$A$2500)=2027)*('Planning Engine'!$J$4:$J$2500&gt;0)*'Planning Engine'!$J$4:$J$2500)/MAX(1,SUMPRODUCT(('Planning Engine'!$B$4:$B$2500="200mg DP")*(YEAR('Planning Engine'!$A$4:$A$2500)=2027)*('Planning Engine'!$J$4:$J$2500&gt;0))),0)</f>
        <v>999</v>
      </c>
      <c r="I65" s="4" cm="1">
        <f t="array" ref="I65">IFERROR(SUMPRODUCT(('Planning Engine'!$B$4:$B$2500="200mg DP")*(YEAR('Planning Engine'!$A$4:$A$2500)=2027)*(MONTH('Planning Engine'!$A$4:$A$2500)=12)*'Planning Engine'!$H$4:$H$2500),0)</f>
        <v>2628</v>
      </c>
      <c r="J65" cm="1">
        <f t="array" aca="1" ref="J65" ca="1">IFERROR(SUMPRODUCT(('Planning Engine'!$B$4:$B$2500="200mg DP")*(YEAR('Planning Engine'!$A$4:$A$2500)=2027)*'Planning Engine'!$K$4:$K$2500),0)</f>
        <v>0</v>
      </c>
      <c r="K65" s="4" t="str" cm="1">
        <f t="array" aca="1" ref="K65" ca="1">IFERROR(IF(SUMPRODUCT(('Planning Engine'!$B$4:$B$2500="200mg DP")*(YEAR('Planning Engine'!$A$4:$A$2500)=2027)*('Planning Engine'!$L$4:$L$2500="High"))&gt;0,"High",IF(SUMPRODUCT(('Planning Engine'!$B$4:$B$2500="200mg DP")*(YEAR('Planning Engine'!$A$4:$A$2500)=2027)*('Planning Engine'!$L$4:$L$2500="Medium"))&gt;0,"Medium",IF(SUMPRODUCT(('Planning Engine'!$B$4:$B$2500="200mg DP")*(YEAR('Planning Engine'!$A$4:$A$2500)=2027)*('Planning Engine'!$L$4:$L$2500="Overstock"))&gt;0,"Overstock","Low"))),"--")</f>
        <v>Overstock</v>
      </c>
    </row>
    <row r="66" spans="1:11" ht="14" customHeight="1" x14ac:dyDescent="0.35">
      <c r="A66" s="61" t="s">
        <v>36</v>
      </c>
      <c r="B66" s="106" t="s">
        <v>38</v>
      </c>
      <c r="C66" s="12">
        <v>2028</v>
      </c>
      <c r="D66" s="95" cm="1">
        <f t="array" ref="D66">IFERROR(SUMPRODUCT(('Planning Engine'!$B$4:$B$2500="200mg DP")*(YEAR('Planning Engine'!$A$4:$A$2500)=2028)*'Planning Engine'!$F$4:$F$2500),0)</f>
        <v>0</v>
      </c>
      <c r="E66" s="95" cm="1">
        <f t="array" ref="E66">IFERROR(SUMPRODUCT(('Planning Engine'!$B$4:$B$2500="200mg DP")*(YEAR('Planning Engine'!$A$4:$A$2500)=2028)*'Planning Engine'!$G$4:$G$2500),0)</f>
        <v>85200</v>
      </c>
      <c r="F66" s="95" cm="1">
        <f t="array" ref="F66">IFERROR(SUMPRODUCT(('Planning Engine'!$B$4:$B$2500="200mg DP")*(YEAR('Planning Engine'!$A$4:$A$2500)=2028)*(MONTH('Planning Engine'!$A$4:$A$2500)=6)*'Planning Engine'!$H$4:$H$2500),0)</f>
        <v>2628</v>
      </c>
      <c r="G66" s="95" cm="1">
        <f t="array" ref="G66">IFERROR(SUMPRODUCT(('Planning Engine'!$B$4:$B$2500="200mg DP")*(YEAR('Planning Engine'!$A$4:$A$2500)=2028)*(MONTH('Planning Engine'!$A$4:$A$2500)=12)*'Planning Engine'!$H$4:$H$2500),0)</f>
        <v>87828</v>
      </c>
      <c r="H66" s="95" cm="1">
        <f t="array" aca="1" ref="H66" ca="1">IFERROR(SUMPRODUCT(('Planning Engine'!$B$4:$B$2500="200mg DP")*(YEAR('Planning Engine'!$A$4:$A$2500)=2028)*('Planning Engine'!$J$4:$J$2500&gt;0)*'Planning Engine'!$J$4:$J$2500)/MAX(1,SUMPRODUCT(('Planning Engine'!$B$4:$B$2500="200mg DP")*(YEAR('Planning Engine'!$A$4:$A$2500)=2028)*('Planning Engine'!$J$4:$J$2500&gt;0))),0)</f>
        <v>999</v>
      </c>
      <c r="I66" s="12" cm="1">
        <f t="array" ref="I66">IFERROR(SUMPRODUCT(('Planning Engine'!$B$4:$B$2500="200mg DP")*(YEAR('Planning Engine'!$A$4:$A$2500)=2028)*(MONTH('Planning Engine'!$A$4:$A$2500)=12)*'Planning Engine'!$H$4:$H$2500),0)</f>
        <v>87828</v>
      </c>
      <c r="J66" cm="1">
        <f t="array" aca="1" ref="J66" ca="1">IFERROR(SUMPRODUCT(('Planning Engine'!$B$4:$B$2500="200mg DP")*(YEAR('Planning Engine'!$A$4:$A$2500)=2028)*'Planning Engine'!$K$4:$K$2500),0)</f>
        <v>0</v>
      </c>
      <c r="K66" s="12" t="str" cm="1">
        <f t="array" aca="1" ref="K66" ca="1">IFERROR(IF(SUMPRODUCT(('Planning Engine'!$B$4:$B$2500="200mg DP")*(YEAR('Planning Engine'!$A$4:$A$2500)=2028)*('Planning Engine'!$L$4:$L$2500="High"))&gt;0,"High",IF(SUMPRODUCT(('Planning Engine'!$B$4:$B$2500="200mg DP")*(YEAR('Planning Engine'!$A$4:$A$2500)=2028)*('Planning Engine'!$L$4:$L$2500="Medium"))&gt;0,"Medium",IF(SUMPRODUCT(('Planning Engine'!$B$4:$B$2500="200mg DP")*(YEAR('Planning Engine'!$A$4:$A$2500)=2028)*('Planning Engine'!$L$4:$L$2500="Overstock"))&gt;0,"Overstock","Low"))),"--")</f>
        <v>Overstock</v>
      </c>
    </row>
    <row r="67" spans="1:11" ht="14" customHeight="1" x14ac:dyDescent="0.35">
      <c r="A67" s="53" t="s">
        <v>36</v>
      </c>
      <c r="B67" s="107" t="s">
        <v>38</v>
      </c>
      <c r="C67" s="4">
        <v>2029</v>
      </c>
      <c r="D67" s="99" cm="1">
        <f t="array" ref="D67">IFERROR(SUMPRODUCT(('Planning Engine'!$B$4:$B$2500="200mg DP")*(YEAR('Planning Engine'!$A$4:$A$2500)=2029)*'Planning Engine'!$F$4:$F$2500),0)</f>
        <v>0</v>
      </c>
      <c r="E67" s="99" cm="1">
        <f t="array" ref="E67">IFERROR(SUMPRODUCT(('Planning Engine'!$B$4:$B$2500="200mg DP")*(YEAR('Planning Engine'!$A$4:$A$2500)=2029)*'Planning Engine'!$G$4:$G$2500),0)</f>
        <v>0</v>
      </c>
      <c r="F67" s="99" cm="1">
        <f t="array" ref="F67">IFERROR(SUMPRODUCT(('Planning Engine'!$B$4:$B$2500="200mg DP")*(YEAR('Planning Engine'!$A$4:$A$2500)=2029)*(MONTH('Planning Engine'!$A$4:$A$2500)=6)*'Planning Engine'!$H$4:$H$2500),0)</f>
        <v>87828</v>
      </c>
      <c r="G67" s="99" cm="1">
        <f t="array" ref="G67">IFERROR(SUMPRODUCT(('Planning Engine'!$B$4:$B$2500="200mg DP")*(YEAR('Planning Engine'!$A$4:$A$2500)=2029)*(MONTH('Planning Engine'!$A$4:$A$2500)=12)*'Planning Engine'!$H$4:$H$2500),0)</f>
        <v>87828</v>
      </c>
      <c r="H67" s="99" cm="1">
        <f t="array" aca="1" ref="H67" ca="1">IFERROR(SUMPRODUCT(('Planning Engine'!$B$4:$B$2500="200mg DP")*(YEAR('Planning Engine'!$A$4:$A$2500)=2029)*('Planning Engine'!$J$4:$J$2500&gt;0)*'Planning Engine'!$J$4:$J$2500)/MAX(1,SUMPRODUCT(('Planning Engine'!$B$4:$B$2500="200mg DP")*(YEAR('Planning Engine'!$A$4:$A$2500)=2029)*('Planning Engine'!$J$4:$J$2500&gt;0))),0)</f>
        <v>999</v>
      </c>
      <c r="I67" s="4" cm="1">
        <f t="array" ref="I67">IFERROR(SUMPRODUCT(('Planning Engine'!$B$4:$B$2500="200mg DP")*(YEAR('Planning Engine'!$A$4:$A$2500)=2029)*(MONTH('Planning Engine'!$A$4:$A$2500)=12)*'Planning Engine'!$H$4:$H$2500),0)</f>
        <v>87828</v>
      </c>
      <c r="J67" cm="1">
        <f t="array" aca="1" ref="J67" ca="1">IFERROR(SUMPRODUCT(('Planning Engine'!$B$4:$B$2500="200mg DP")*(YEAR('Planning Engine'!$A$4:$A$2500)=2029)*'Planning Engine'!$K$4:$K$2500),0)</f>
        <v>0</v>
      </c>
      <c r="K67" s="4" t="str" cm="1">
        <f t="array" aca="1" ref="K67" ca="1">IFERROR(IF(SUMPRODUCT(('Planning Engine'!$B$4:$B$2500="200mg DP")*(YEAR('Planning Engine'!$A$4:$A$2500)=2029)*('Planning Engine'!$L$4:$L$2500="High"))&gt;0,"High",IF(SUMPRODUCT(('Planning Engine'!$B$4:$B$2500="200mg DP")*(YEAR('Planning Engine'!$A$4:$A$2500)=2029)*('Planning Engine'!$L$4:$L$2500="Medium"))&gt;0,"Medium",IF(SUMPRODUCT(('Planning Engine'!$B$4:$B$2500="200mg DP")*(YEAR('Planning Engine'!$A$4:$A$2500)=2029)*('Planning Engine'!$L$4:$L$2500="Overstock"))&gt;0,"Overstock","Low"))),"--")</f>
        <v>Overstock</v>
      </c>
    </row>
    <row r="68" spans="1:11" ht="14" customHeight="1" x14ac:dyDescent="0.35">
      <c r="A68" s="61" t="s">
        <v>36</v>
      </c>
      <c r="B68" s="106" t="s">
        <v>38</v>
      </c>
      <c r="C68" s="12">
        <v>2030</v>
      </c>
      <c r="D68" s="95" cm="1">
        <f t="array" ref="D68">IFERROR(SUMPRODUCT(('Planning Engine'!$B$4:$B$2500="200mg DP")*(YEAR('Planning Engine'!$A$4:$A$2500)=2030)*'Planning Engine'!$F$4:$F$2500),0)</f>
        <v>0</v>
      </c>
      <c r="E68" s="95" cm="1">
        <f t="array" ref="E68">IFERROR(SUMPRODUCT(('Planning Engine'!$B$4:$B$2500="200mg DP")*(YEAR('Planning Engine'!$A$4:$A$2500)=2030)*'Planning Engine'!$G$4:$G$2500),0)</f>
        <v>0</v>
      </c>
      <c r="F68" s="95" cm="1">
        <f t="array" ref="F68">IFERROR(SUMPRODUCT(('Planning Engine'!$B$4:$B$2500="200mg DP")*(YEAR('Planning Engine'!$A$4:$A$2500)=2030)*(MONTH('Planning Engine'!$A$4:$A$2500)=6)*'Planning Engine'!$H$4:$H$2500),0)</f>
        <v>87828</v>
      </c>
      <c r="G68" s="95" cm="1">
        <f t="array" ref="G68">IFERROR(SUMPRODUCT(('Planning Engine'!$B$4:$B$2500="200mg DP")*(YEAR('Planning Engine'!$A$4:$A$2500)=2030)*(MONTH('Planning Engine'!$A$4:$A$2500)=12)*'Planning Engine'!$H$4:$H$2500),0)</f>
        <v>87828</v>
      </c>
      <c r="H68" s="95" cm="1">
        <f t="array" aca="1" ref="H68" ca="1">IFERROR(SUMPRODUCT(('Planning Engine'!$B$4:$B$2500="200mg DP")*(YEAR('Planning Engine'!$A$4:$A$2500)=2030)*('Planning Engine'!$J$4:$J$2500&gt;0)*'Planning Engine'!$J$4:$J$2500)/MAX(1,SUMPRODUCT(('Planning Engine'!$B$4:$B$2500="200mg DP")*(YEAR('Planning Engine'!$A$4:$A$2500)=2030)*('Planning Engine'!$J$4:$J$2500&gt;0))),0)</f>
        <v>999</v>
      </c>
      <c r="I68" s="12" cm="1">
        <f t="array" ref="I68">IFERROR(SUMPRODUCT(('Planning Engine'!$B$4:$B$2500="200mg DP")*(YEAR('Planning Engine'!$A$4:$A$2500)=2030)*(MONTH('Planning Engine'!$A$4:$A$2500)=12)*'Planning Engine'!$H$4:$H$2500),0)</f>
        <v>87828</v>
      </c>
      <c r="J68" cm="1">
        <f t="array" aca="1" ref="J68" ca="1">IFERROR(SUMPRODUCT(('Planning Engine'!$B$4:$B$2500="200mg DP")*(YEAR('Planning Engine'!$A$4:$A$2500)=2030)*'Planning Engine'!$K$4:$K$2500),0)</f>
        <v>0</v>
      </c>
      <c r="K68" s="12" t="str" cm="1">
        <f t="array" aca="1" ref="K68" ca="1">IFERROR(IF(SUMPRODUCT(('Planning Engine'!$B$4:$B$2500="200mg DP")*(YEAR('Planning Engine'!$A$4:$A$2500)=2030)*('Planning Engine'!$L$4:$L$2500="High"))&gt;0,"High",IF(SUMPRODUCT(('Planning Engine'!$B$4:$B$2500="200mg DP")*(YEAR('Planning Engine'!$A$4:$A$2500)=2030)*('Planning Engine'!$L$4:$L$2500="Medium"))&gt;0,"Medium",IF(SUMPRODUCT(('Planning Engine'!$B$4:$B$2500="200mg DP")*(YEAR('Planning Engine'!$A$4:$A$2500)=2030)*('Planning Engine'!$L$4:$L$2500="Overstock"))&gt;0,"Overstock","Low"))),"--")</f>
        <v>Overstock</v>
      </c>
    </row>
    <row r="69" spans="1:11" ht="14" customHeight="1" x14ac:dyDescent="0.35">
      <c r="A69" s="53" t="s">
        <v>36</v>
      </c>
      <c r="B69" s="107" t="s">
        <v>38</v>
      </c>
      <c r="C69" s="4">
        <v>2031</v>
      </c>
      <c r="D69" s="99" cm="1">
        <f t="array" ref="D69">IFERROR(SUMPRODUCT(('Planning Engine'!$B$4:$B$2500="200mg DP")*(YEAR('Planning Engine'!$A$4:$A$2500)=2031)*'Planning Engine'!$F$4:$F$2500),0)</f>
        <v>0</v>
      </c>
      <c r="E69" s="99" cm="1">
        <f t="array" ref="E69">IFERROR(SUMPRODUCT(('Planning Engine'!$B$4:$B$2500="200mg DP")*(YEAR('Planning Engine'!$A$4:$A$2500)=2031)*'Planning Engine'!$G$4:$G$2500),0)</f>
        <v>0</v>
      </c>
      <c r="F69" s="99" cm="1">
        <f t="array" ref="F69">IFERROR(SUMPRODUCT(('Planning Engine'!$B$4:$B$2500="200mg DP")*(YEAR('Planning Engine'!$A$4:$A$2500)=2031)*(MONTH('Planning Engine'!$A$4:$A$2500)=6)*'Planning Engine'!$H$4:$H$2500),0)</f>
        <v>87828</v>
      </c>
      <c r="G69" s="99" cm="1">
        <f t="array" ref="G69">IFERROR(SUMPRODUCT(('Planning Engine'!$B$4:$B$2500="200mg DP")*(YEAR('Planning Engine'!$A$4:$A$2500)=2031)*(MONTH('Planning Engine'!$A$4:$A$2500)=12)*'Planning Engine'!$H$4:$H$2500),0)</f>
        <v>87828</v>
      </c>
      <c r="H69" s="99" cm="1">
        <f t="array" aca="1" ref="H69" ca="1">IFERROR(SUMPRODUCT(('Planning Engine'!$B$4:$B$2500="200mg DP")*(YEAR('Planning Engine'!$A$4:$A$2500)=2031)*('Planning Engine'!$J$4:$J$2500&gt;0)*'Planning Engine'!$J$4:$J$2500)/MAX(1,SUMPRODUCT(('Planning Engine'!$B$4:$B$2500="200mg DP")*(YEAR('Planning Engine'!$A$4:$A$2500)=2031)*('Planning Engine'!$J$4:$J$2500&gt;0))),0)</f>
        <v>999</v>
      </c>
      <c r="I69" s="4" cm="1">
        <f t="array" ref="I69">IFERROR(SUMPRODUCT(('Planning Engine'!$B$4:$B$2500="200mg DP")*(YEAR('Planning Engine'!$A$4:$A$2500)=2031)*(MONTH('Planning Engine'!$A$4:$A$2500)=12)*'Planning Engine'!$H$4:$H$2500),0)</f>
        <v>87828</v>
      </c>
      <c r="J69" cm="1">
        <f t="array" aca="1" ref="J69" ca="1">IFERROR(SUMPRODUCT(('Planning Engine'!$B$4:$B$2500="200mg DP")*(YEAR('Planning Engine'!$A$4:$A$2500)=2031)*'Planning Engine'!$K$4:$K$2500),0)</f>
        <v>0</v>
      </c>
      <c r="K69" s="4" t="str" cm="1">
        <f t="array" aca="1" ref="K69" ca="1">IFERROR(IF(SUMPRODUCT(('Planning Engine'!$B$4:$B$2500="200mg DP")*(YEAR('Planning Engine'!$A$4:$A$2500)=2031)*('Planning Engine'!$L$4:$L$2500="High"))&gt;0,"High",IF(SUMPRODUCT(('Planning Engine'!$B$4:$B$2500="200mg DP")*(YEAR('Planning Engine'!$A$4:$A$2500)=2031)*('Planning Engine'!$L$4:$L$2500="Medium"))&gt;0,"Medium",IF(SUMPRODUCT(('Planning Engine'!$B$4:$B$2500="200mg DP")*(YEAR('Planning Engine'!$A$4:$A$2500)=2031)*('Planning Engine'!$L$4:$L$2500="Overstock"))&gt;0,"Overstock","Low"))),"--")</f>
        <v>Overstock</v>
      </c>
    </row>
    <row r="70" spans="1:11" ht="14" customHeight="1" x14ac:dyDescent="0.35">
      <c r="A70" s="61" t="s">
        <v>36</v>
      </c>
      <c r="B70" s="106" t="s">
        <v>38</v>
      </c>
      <c r="C70" s="12">
        <v>2032</v>
      </c>
      <c r="D70" s="95" cm="1">
        <f t="array" ref="D70">IFERROR(SUMPRODUCT(('Planning Engine'!$B$4:$B$2500="200mg DP")*(YEAR('Planning Engine'!$A$4:$A$2500)=2032)*'Planning Engine'!$F$4:$F$2500),0)</f>
        <v>0</v>
      </c>
      <c r="E70" s="95" cm="1">
        <f t="array" ref="E70">IFERROR(SUMPRODUCT(('Planning Engine'!$B$4:$B$2500="200mg DP")*(YEAR('Planning Engine'!$A$4:$A$2500)=2032)*'Planning Engine'!$G$4:$G$2500),0)</f>
        <v>0</v>
      </c>
      <c r="F70" s="95" cm="1">
        <f t="array" ref="F70">IFERROR(SUMPRODUCT(('Planning Engine'!$B$4:$B$2500="200mg DP")*(YEAR('Planning Engine'!$A$4:$A$2500)=2032)*(MONTH('Planning Engine'!$A$4:$A$2500)=6)*'Planning Engine'!$H$4:$H$2500),0)</f>
        <v>87828</v>
      </c>
      <c r="G70" s="95" cm="1">
        <f t="array" ref="G70">IFERROR(SUMPRODUCT(('Planning Engine'!$B$4:$B$2500="200mg DP")*(YEAR('Planning Engine'!$A$4:$A$2500)=2032)*(MONTH('Planning Engine'!$A$4:$A$2500)=12)*'Planning Engine'!$H$4:$H$2500),0)</f>
        <v>87828</v>
      </c>
      <c r="H70" s="95" cm="1">
        <f t="array" aca="1" ref="H70" ca="1">IFERROR(SUMPRODUCT(('Planning Engine'!$B$4:$B$2500="200mg DP")*(YEAR('Planning Engine'!$A$4:$A$2500)=2032)*('Planning Engine'!$J$4:$J$2500&gt;0)*'Planning Engine'!$J$4:$J$2500)/MAX(1,SUMPRODUCT(('Planning Engine'!$B$4:$B$2500="200mg DP")*(YEAR('Planning Engine'!$A$4:$A$2500)=2032)*('Planning Engine'!$J$4:$J$2500&gt;0))),0)</f>
        <v>999</v>
      </c>
      <c r="I70" s="12" cm="1">
        <f t="array" ref="I70">IFERROR(SUMPRODUCT(('Planning Engine'!$B$4:$B$2500="200mg DP")*(YEAR('Planning Engine'!$A$4:$A$2500)=2032)*(MONTH('Planning Engine'!$A$4:$A$2500)=12)*'Planning Engine'!$H$4:$H$2500),0)</f>
        <v>87828</v>
      </c>
      <c r="J70" cm="1">
        <f t="array" aca="1" ref="J70" ca="1">IFERROR(SUMPRODUCT(('Planning Engine'!$B$4:$B$2500="200mg DP")*(YEAR('Planning Engine'!$A$4:$A$2500)=2032)*'Planning Engine'!$K$4:$K$2500),0)</f>
        <v>0</v>
      </c>
      <c r="K70" s="12" t="str" cm="1">
        <f t="array" aca="1" ref="K70" ca="1">IFERROR(IF(SUMPRODUCT(('Planning Engine'!$B$4:$B$2500="200mg DP")*(YEAR('Planning Engine'!$A$4:$A$2500)=2032)*('Planning Engine'!$L$4:$L$2500="High"))&gt;0,"High",IF(SUMPRODUCT(('Planning Engine'!$B$4:$B$2500="200mg DP")*(YEAR('Planning Engine'!$A$4:$A$2500)=2032)*('Planning Engine'!$L$4:$L$2500="Medium"))&gt;0,"Medium",IF(SUMPRODUCT(('Planning Engine'!$B$4:$B$2500="200mg DP")*(YEAR('Planning Engine'!$A$4:$A$2500)=2032)*('Planning Engine'!$L$4:$L$2500="Overstock"))&gt;0,"Overstock","Low"))),"--")</f>
        <v>Overstock</v>
      </c>
    </row>
    <row r="71" spans="1:11" ht="14" customHeight="1" x14ac:dyDescent="0.35">
      <c r="A71" s="53" t="s">
        <v>36</v>
      </c>
      <c r="B71" s="107" t="s">
        <v>38</v>
      </c>
      <c r="C71" s="4">
        <v>2033</v>
      </c>
      <c r="D71" s="99" cm="1">
        <f t="array" ref="D71">IFERROR(SUMPRODUCT(('Planning Engine'!$B$4:$B$2500="200mg DP")*(YEAR('Planning Engine'!$A$4:$A$2500)=2033)*'Planning Engine'!$F$4:$F$2500),0)</f>
        <v>0</v>
      </c>
      <c r="E71" s="99" cm="1">
        <f t="array" ref="E71">IFERROR(SUMPRODUCT(('Planning Engine'!$B$4:$B$2500="200mg DP")*(YEAR('Planning Engine'!$A$4:$A$2500)=2033)*'Planning Engine'!$G$4:$G$2500),0)</f>
        <v>0</v>
      </c>
      <c r="F71" s="99" cm="1">
        <f t="array" ref="F71">IFERROR(SUMPRODUCT(('Planning Engine'!$B$4:$B$2500="200mg DP")*(YEAR('Planning Engine'!$A$4:$A$2500)=2033)*(MONTH('Planning Engine'!$A$4:$A$2500)=6)*'Planning Engine'!$H$4:$H$2500),0)</f>
        <v>87828</v>
      </c>
      <c r="G71" s="99" cm="1">
        <f t="array" ref="G71">IFERROR(SUMPRODUCT(('Planning Engine'!$B$4:$B$2500="200mg DP")*(YEAR('Planning Engine'!$A$4:$A$2500)=2033)*(MONTH('Planning Engine'!$A$4:$A$2500)=12)*'Planning Engine'!$H$4:$H$2500),0)</f>
        <v>87828</v>
      </c>
      <c r="H71" s="99" cm="1">
        <f t="array" aca="1" ref="H71" ca="1">IFERROR(SUMPRODUCT(('Planning Engine'!$B$4:$B$2500="200mg DP")*(YEAR('Planning Engine'!$A$4:$A$2500)=2033)*('Planning Engine'!$J$4:$J$2500&gt;0)*'Planning Engine'!$J$4:$J$2500)/MAX(1,SUMPRODUCT(('Planning Engine'!$B$4:$B$2500="200mg DP")*(YEAR('Planning Engine'!$A$4:$A$2500)=2033)*('Planning Engine'!$J$4:$J$2500&gt;0))),0)</f>
        <v>999</v>
      </c>
      <c r="I71" s="4" cm="1">
        <f t="array" ref="I71">IFERROR(SUMPRODUCT(('Planning Engine'!$B$4:$B$2500="200mg DP")*(YEAR('Planning Engine'!$A$4:$A$2500)=2033)*(MONTH('Planning Engine'!$A$4:$A$2500)=12)*'Planning Engine'!$H$4:$H$2500),0)</f>
        <v>87828</v>
      </c>
      <c r="J71" cm="1">
        <f t="array" aca="1" ref="J71" ca="1">IFERROR(SUMPRODUCT(('Planning Engine'!$B$4:$B$2500="200mg DP")*(YEAR('Planning Engine'!$A$4:$A$2500)=2033)*'Planning Engine'!$K$4:$K$2500),0)</f>
        <v>0</v>
      </c>
      <c r="K71" s="4" t="str" cm="1">
        <f t="array" aca="1" ref="K71" ca="1">IFERROR(IF(SUMPRODUCT(('Planning Engine'!$B$4:$B$2500="200mg DP")*(YEAR('Planning Engine'!$A$4:$A$2500)=2033)*('Planning Engine'!$L$4:$L$2500="High"))&gt;0,"High",IF(SUMPRODUCT(('Planning Engine'!$B$4:$B$2500="200mg DP")*(YEAR('Planning Engine'!$A$4:$A$2500)=2033)*('Planning Engine'!$L$4:$L$2500="Medium"))&gt;0,"Medium",IF(SUMPRODUCT(('Planning Engine'!$B$4:$B$2500="200mg DP")*(YEAR('Planning Engine'!$A$4:$A$2500)=2033)*('Planning Engine'!$L$4:$L$2500="Overstock"))&gt;0,"Overstock","Low"))),"--")</f>
        <v>Overstock</v>
      </c>
    </row>
    <row r="72" spans="1:11" ht="14" customHeight="1" x14ac:dyDescent="0.35">
      <c r="A72" s="61" t="s">
        <v>36</v>
      </c>
      <c r="B72" s="106" t="s">
        <v>38</v>
      </c>
      <c r="C72" s="12">
        <v>2034</v>
      </c>
      <c r="D72" s="95" cm="1">
        <f t="array" ref="D72">IFERROR(SUMPRODUCT(('Planning Engine'!$B$4:$B$2500="200mg DP")*(YEAR('Planning Engine'!$A$4:$A$2500)=2034)*'Planning Engine'!$F$4:$F$2500),0)</f>
        <v>0</v>
      </c>
      <c r="E72" s="95" cm="1">
        <f t="array" ref="E72">IFERROR(SUMPRODUCT(('Planning Engine'!$B$4:$B$2500="200mg DP")*(YEAR('Planning Engine'!$A$4:$A$2500)=2034)*'Planning Engine'!$G$4:$G$2500),0)</f>
        <v>0</v>
      </c>
      <c r="F72" s="95" cm="1">
        <f t="array" ref="F72">IFERROR(SUMPRODUCT(('Planning Engine'!$B$4:$B$2500="200mg DP")*(YEAR('Planning Engine'!$A$4:$A$2500)=2034)*(MONTH('Planning Engine'!$A$4:$A$2500)=6)*'Planning Engine'!$H$4:$H$2500),0)</f>
        <v>87828</v>
      </c>
      <c r="G72" s="95" cm="1">
        <f t="array" ref="G72">IFERROR(SUMPRODUCT(('Planning Engine'!$B$4:$B$2500="200mg DP")*(YEAR('Planning Engine'!$A$4:$A$2500)=2034)*(MONTH('Planning Engine'!$A$4:$A$2500)=12)*'Planning Engine'!$H$4:$H$2500),0)</f>
        <v>87828</v>
      </c>
      <c r="H72" s="95" cm="1">
        <f t="array" aca="1" ref="H72" ca="1">IFERROR(SUMPRODUCT(('Planning Engine'!$B$4:$B$2500="200mg DP")*(YEAR('Planning Engine'!$A$4:$A$2500)=2034)*('Planning Engine'!$J$4:$J$2500&gt;0)*'Planning Engine'!$J$4:$J$2500)/MAX(1,SUMPRODUCT(('Planning Engine'!$B$4:$B$2500="200mg DP")*(YEAR('Planning Engine'!$A$4:$A$2500)=2034)*('Planning Engine'!$J$4:$J$2500&gt;0))),0)</f>
        <v>999</v>
      </c>
      <c r="I72" s="12" cm="1">
        <f t="array" ref="I72">IFERROR(SUMPRODUCT(('Planning Engine'!$B$4:$B$2500="200mg DP")*(YEAR('Planning Engine'!$A$4:$A$2500)=2034)*(MONTH('Planning Engine'!$A$4:$A$2500)=12)*'Planning Engine'!$H$4:$H$2500),0)</f>
        <v>87828</v>
      </c>
      <c r="J72" cm="1">
        <f t="array" aca="1" ref="J72" ca="1">IFERROR(SUMPRODUCT(('Planning Engine'!$B$4:$B$2500="200mg DP")*(YEAR('Planning Engine'!$A$4:$A$2500)=2034)*'Planning Engine'!$K$4:$K$2500),0)</f>
        <v>0</v>
      </c>
      <c r="K72" s="12" t="str" cm="1">
        <f t="array" aca="1" ref="K72" ca="1">IFERROR(IF(SUMPRODUCT(('Planning Engine'!$B$4:$B$2500="200mg DP")*(YEAR('Planning Engine'!$A$4:$A$2500)=2034)*('Planning Engine'!$L$4:$L$2500="High"))&gt;0,"High",IF(SUMPRODUCT(('Planning Engine'!$B$4:$B$2500="200mg DP")*(YEAR('Planning Engine'!$A$4:$A$2500)=2034)*('Planning Engine'!$L$4:$L$2500="Medium"))&gt;0,"Medium",IF(SUMPRODUCT(('Planning Engine'!$B$4:$B$2500="200mg DP")*(YEAR('Planning Engine'!$A$4:$A$2500)=2034)*('Planning Engine'!$L$4:$L$2500="Overstock"))&gt;0,"Overstock","Low"))),"--")</f>
        <v>Overstock</v>
      </c>
    </row>
    <row r="73" spans="1:11" ht="14" customHeight="1" x14ac:dyDescent="0.35">
      <c r="A73" s="53" t="s">
        <v>36</v>
      </c>
      <c r="B73" s="107" t="s">
        <v>38</v>
      </c>
      <c r="C73" s="4">
        <v>2035</v>
      </c>
      <c r="D73" s="99" cm="1">
        <f t="array" ref="D73">IFERROR(SUMPRODUCT(('Planning Engine'!$B$4:$B$2500="200mg DP")*(YEAR('Planning Engine'!$A$4:$A$2500)=2035)*'Planning Engine'!$F$4:$F$2500),0)</f>
        <v>0</v>
      </c>
      <c r="E73" s="99" cm="1">
        <f t="array" ref="E73">IFERROR(SUMPRODUCT(('Planning Engine'!$B$4:$B$2500="200mg DP")*(YEAR('Planning Engine'!$A$4:$A$2500)=2035)*'Planning Engine'!$G$4:$G$2500),0)</f>
        <v>0</v>
      </c>
      <c r="F73" s="99" cm="1">
        <f t="array" ref="F73">IFERROR(SUMPRODUCT(('Planning Engine'!$B$4:$B$2500="200mg DP")*(YEAR('Planning Engine'!$A$4:$A$2500)=2035)*(MONTH('Planning Engine'!$A$4:$A$2500)=6)*'Planning Engine'!$H$4:$H$2500),0)</f>
        <v>87828</v>
      </c>
      <c r="G73" s="99" cm="1">
        <f t="array" ref="G73">IFERROR(SUMPRODUCT(('Planning Engine'!$B$4:$B$2500="200mg DP")*(YEAR('Planning Engine'!$A$4:$A$2500)=2035)*(MONTH('Planning Engine'!$A$4:$A$2500)=12)*'Planning Engine'!$H$4:$H$2500),0)</f>
        <v>87828</v>
      </c>
      <c r="H73" s="99" cm="1">
        <f t="array" aca="1" ref="H73" ca="1">IFERROR(SUMPRODUCT(('Planning Engine'!$B$4:$B$2500="200mg DP")*(YEAR('Planning Engine'!$A$4:$A$2500)=2035)*('Planning Engine'!$J$4:$J$2500&gt;0)*'Planning Engine'!$J$4:$J$2500)/MAX(1,SUMPRODUCT(('Planning Engine'!$B$4:$B$2500="200mg DP")*(YEAR('Planning Engine'!$A$4:$A$2500)=2035)*('Planning Engine'!$J$4:$J$2500&gt;0))),0)</f>
        <v>999</v>
      </c>
      <c r="I73" s="4" cm="1">
        <f t="array" ref="I73">IFERROR(SUMPRODUCT(('Planning Engine'!$B$4:$B$2500="200mg DP")*(YEAR('Planning Engine'!$A$4:$A$2500)=2035)*(MONTH('Planning Engine'!$A$4:$A$2500)=12)*'Planning Engine'!$H$4:$H$2500),0)</f>
        <v>87828</v>
      </c>
      <c r="J73" cm="1">
        <f t="array" aca="1" ref="J73" ca="1">IFERROR(SUMPRODUCT(('Planning Engine'!$B$4:$B$2500="200mg DP")*(YEAR('Planning Engine'!$A$4:$A$2500)=2035)*'Planning Engine'!$K$4:$K$2500),0)</f>
        <v>0</v>
      </c>
      <c r="K73" s="4" t="str" cm="1">
        <f t="array" aca="1" ref="K73" ca="1">IFERROR(IF(SUMPRODUCT(('Planning Engine'!$B$4:$B$2500="200mg DP")*(YEAR('Planning Engine'!$A$4:$A$2500)=2035)*('Planning Engine'!$L$4:$L$2500="High"))&gt;0,"High",IF(SUMPRODUCT(('Planning Engine'!$B$4:$B$2500="200mg DP")*(YEAR('Planning Engine'!$A$4:$A$2500)=2035)*('Planning Engine'!$L$4:$L$2500="Medium"))&gt;0,"Medium",IF(SUMPRODUCT(('Planning Engine'!$B$4:$B$2500="200mg DP")*(YEAR('Planning Engine'!$A$4:$A$2500)=2035)*('Planning Engine'!$L$4:$L$2500="Overstock"))&gt;0,"Overstock","Low"))),"--")</f>
        <v>Overstock</v>
      </c>
    </row>
    <row r="74" spans="1:11" ht="14" customHeight="1" x14ac:dyDescent="0.35">
      <c r="A74" s="61" t="s">
        <v>36</v>
      </c>
      <c r="B74" s="106" t="s">
        <v>38</v>
      </c>
      <c r="C74" s="12">
        <v>2036</v>
      </c>
      <c r="D74" s="95" cm="1">
        <f t="array" ref="D74">IFERROR(SUMPRODUCT(('Planning Engine'!$B$4:$B$2500="200mg DP")*(YEAR('Planning Engine'!$A$4:$A$2500)=2036)*'Planning Engine'!$F$4:$F$2500),0)</f>
        <v>0</v>
      </c>
      <c r="E74" s="95" cm="1">
        <f t="array" ref="E74">IFERROR(SUMPRODUCT(('Planning Engine'!$B$4:$B$2500="200mg DP")*(YEAR('Planning Engine'!$A$4:$A$2500)=2036)*'Planning Engine'!$G$4:$G$2500),0)</f>
        <v>0</v>
      </c>
      <c r="F74" s="95" cm="1">
        <f t="array" ref="F74">IFERROR(SUMPRODUCT(('Planning Engine'!$B$4:$B$2500="200mg DP")*(YEAR('Planning Engine'!$A$4:$A$2500)=2036)*(MONTH('Planning Engine'!$A$4:$A$2500)=6)*'Planning Engine'!$H$4:$H$2500),0)</f>
        <v>87828</v>
      </c>
      <c r="G74" s="95" cm="1">
        <f t="array" ref="G74">IFERROR(SUMPRODUCT(('Planning Engine'!$B$4:$B$2500="200mg DP")*(YEAR('Planning Engine'!$A$4:$A$2500)=2036)*(MONTH('Planning Engine'!$A$4:$A$2500)=12)*'Planning Engine'!$H$4:$H$2500),0)</f>
        <v>87828</v>
      </c>
      <c r="H74" s="95" cm="1">
        <f t="array" aca="1" ref="H74" ca="1">IFERROR(SUMPRODUCT(('Planning Engine'!$B$4:$B$2500="200mg DP")*(YEAR('Planning Engine'!$A$4:$A$2500)=2036)*('Planning Engine'!$J$4:$J$2500&gt;0)*'Planning Engine'!$J$4:$J$2500)/MAX(1,SUMPRODUCT(('Planning Engine'!$B$4:$B$2500="200mg DP")*(YEAR('Planning Engine'!$A$4:$A$2500)=2036)*('Planning Engine'!$J$4:$J$2500&gt;0))),0)</f>
        <v>999</v>
      </c>
      <c r="I74" s="12" cm="1">
        <f t="array" ref="I74">IFERROR(SUMPRODUCT(('Planning Engine'!$B$4:$B$2500="200mg DP")*(YEAR('Planning Engine'!$A$4:$A$2500)=2036)*(MONTH('Planning Engine'!$A$4:$A$2500)=12)*'Planning Engine'!$H$4:$H$2500),0)</f>
        <v>87828</v>
      </c>
      <c r="J74" cm="1">
        <f t="array" aca="1" ref="J74" ca="1">IFERROR(SUMPRODUCT(('Planning Engine'!$B$4:$B$2500="200mg DP")*(YEAR('Planning Engine'!$A$4:$A$2500)=2036)*'Planning Engine'!$K$4:$K$2500),0)</f>
        <v>0</v>
      </c>
      <c r="K74" s="12" t="str" cm="1">
        <f t="array" aca="1" ref="K74" ca="1">IFERROR(IF(SUMPRODUCT(('Planning Engine'!$B$4:$B$2500="200mg DP")*(YEAR('Planning Engine'!$A$4:$A$2500)=2036)*('Planning Engine'!$L$4:$L$2500="High"))&gt;0,"High",IF(SUMPRODUCT(('Planning Engine'!$B$4:$B$2500="200mg DP")*(YEAR('Planning Engine'!$A$4:$A$2500)=2036)*('Planning Engine'!$L$4:$L$2500="Medium"))&gt;0,"Medium",IF(SUMPRODUCT(('Planning Engine'!$B$4:$B$2500="200mg DP")*(YEAR('Planning Engine'!$A$4:$A$2500)=2036)*('Planning Engine'!$L$4:$L$2500="Overstock"))&gt;0,"Overstock","Low"))),"--")</f>
        <v>Overstock</v>
      </c>
    </row>
    <row r="75" spans="1:11" ht="14" customHeight="1" x14ac:dyDescent="0.35">
      <c r="A75" s="53" t="s">
        <v>36</v>
      </c>
      <c r="B75" s="107" t="s">
        <v>38</v>
      </c>
      <c r="C75" s="4">
        <v>2037</v>
      </c>
      <c r="D75" s="99" cm="1">
        <f t="array" ref="D75">IFERROR(SUMPRODUCT(('Planning Engine'!$B$4:$B$2500="200mg DP")*(YEAR('Planning Engine'!$A$4:$A$2500)=2037)*'Planning Engine'!$F$4:$F$2500),0)</f>
        <v>0</v>
      </c>
      <c r="E75" s="99" cm="1">
        <f t="array" ref="E75">IFERROR(SUMPRODUCT(('Planning Engine'!$B$4:$B$2500="200mg DP")*(YEAR('Planning Engine'!$A$4:$A$2500)=2037)*'Planning Engine'!$G$4:$G$2500),0)</f>
        <v>0</v>
      </c>
      <c r="F75" s="99" cm="1">
        <f t="array" ref="F75">IFERROR(SUMPRODUCT(('Planning Engine'!$B$4:$B$2500="200mg DP")*(YEAR('Planning Engine'!$A$4:$A$2500)=2037)*(MONTH('Planning Engine'!$A$4:$A$2500)=6)*'Planning Engine'!$H$4:$H$2500),0)</f>
        <v>87828</v>
      </c>
      <c r="G75" s="99" cm="1">
        <f t="array" ref="G75">IFERROR(SUMPRODUCT(('Planning Engine'!$B$4:$B$2500="200mg DP")*(YEAR('Planning Engine'!$A$4:$A$2500)=2037)*(MONTH('Planning Engine'!$A$4:$A$2500)=12)*'Planning Engine'!$H$4:$H$2500),0)</f>
        <v>87828</v>
      </c>
      <c r="H75" s="99" cm="1">
        <f t="array" aca="1" ref="H75" ca="1">IFERROR(SUMPRODUCT(('Planning Engine'!$B$4:$B$2500="200mg DP")*(YEAR('Planning Engine'!$A$4:$A$2500)=2037)*('Planning Engine'!$J$4:$J$2500&gt;0)*'Planning Engine'!$J$4:$J$2500)/MAX(1,SUMPRODUCT(('Planning Engine'!$B$4:$B$2500="200mg DP")*(YEAR('Planning Engine'!$A$4:$A$2500)=2037)*('Planning Engine'!$J$4:$J$2500&gt;0))),0)</f>
        <v>999</v>
      </c>
      <c r="I75" s="4" cm="1">
        <f t="array" ref="I75">IFERROR(SUMPRODUCT(('Planning Engine'!$B$4:$B$2500="200mg DP")*(YEAR('Planning Engine'!$A$4:$A$2500)=2037)*(MONTH('Planning Engine'!$A$4:$A$2500)=12)*'Planning Engine'!$H$4:$H$2500),0)</f>
        <v>87828</v>
      </c>
      <c r="J75" cm="1">
        <f t="array" aca="1" ref="J75" ca="1">IFERROR(SUMPRODUCT(('Planning Engine'!$B$4:$B$2500="200mg DP")*(YEAR('Planning Engine'!$A$4:$A$2500)=2037)*'Planning Engine'!$K$4:$K$2500),0)</f>
        <v>0</v>
      </c>
      <c r="K75" s="4" t="str" cm="1">
        <f t="array" aca="1" ref="K75" ca="1">IFERROR(IF(SUMPRODUCT(('Planning Engine'!$B$4:$B$2500="200mg DP")*(YEAR('Planning Engine'!$A$4:$A$2500)=2037)*('Planning Engine'!$L$4:$L$2500="High"))&gt;0,"High",IF(SUMPRODUCT(('Planning Engine'!$B$4:$B$2500="200mg DP")*(YEAR('Planning Engine'!$A$4:$A$2500)=2037)*('Planning Engine'!$L$4:$L$2500="Medium"))&gt;0,"Medium",IF(SUMPRODUCT(('Planning Engine'!$B$4:$B$2500="200mg DP")*(YEAR('Planning Engine'!$A$4:$A$2500)=2037)*('Planning Engine'!$L$4:$L$2500="Overstock"))&gt;0,"Overstock","Low"))),"--")</f>
        <v>Overstock</v>
      </c>
    </row>
    <row r="76" spans="1:11" ht="14" customHeight="1" x14ac:dyDescent="0.35">
      <c r="A76" s="61" t="s">
        <v>36</v>
      </c>
      <c r="B76" s="106" t="s">
        <v>38</v>
      </c>
      <c r="C76" s="12">
        <v>2038</v>
      </c>
      <c r="D76" s="95" cm="1">
        <f t="array" ref="D76">IFERROR(SUMPRODUCT(('Planning Engine'!$B$4:$B$2500="200mg DP")*(YEAR('Planning Engine'!$A$4:$A$2500)=2038)*'Planning Engine'!$F$4:$F$2500),0)</f>
        <v>0</v>
      </c>
      <c r="E76" s="95" cm="1">
        <f t="array" ref="E76">IFERROR(SUMPRODUCT(('Planning Engine'!$B$4:$B$2500="200mg DP")*(YEAR('Planning Engine'!$A$4:$A$2500)=2038)*'Planning Engine'!$G$4:$G$2500),0)</f>
        <v>0</v>
      </c>
      <c r="F76" s="95" cm="1">
        <f t="array" ref="F76">IFERROR(SUMPRODUCT(('Planning Engine'!$B$4:$B$2500="200mg DP")*(YEAR('Planning Engine'!$A$4:$A$2500)=2038)*(MONTH('Planning Engine'!$A$4:$A$2500)=6)*'Planning Engine'!$H$4:$H$2500),0)</f>
        <v>87828</v>
      </c>
      <c r="G76" s="95" cm="1">
        <f t="array" ref="G76">IFERROR(SUMPRODUCT(('Planning Engine'!$B$4:$B$2500="200mg DP")*(YEAR('Planning Engine'!$A$4:$A$2500)=2038)*(MONTH('Planning Engine'!$A$4:$A$2500)=12)*'Planning Engine'!$H$4:$H$2500),0)</f>
        <v>87828</v>
      </c>
      <c r="H76" s="95" cm="1">
        <f t="array" aca="1" ref="H76" ca="1">IFERROR(SUMPRODUCT(('Planning Engine'!$B$4:$B$2500="200mg DP")*(YEAR('Planning Engine'!$A$4:$A$2500)=2038)*('Planning Engine'!$J$4:$J$2500&gt;0)*'Planning Engine'!$J$4:$J$2500)/MAX(1,SUMPRODUCT(('Planning Engine'!$B$4:$B$2500="200mg DP")*(YEAR('Planning Engine'!$A$4:$A$2500)=2038)*('Planning Engine'!$J$4:$J$2500&gt;0))),0)</f>
        <v>999</v>
      </c>
      <c r="I76" s="12" cm="1">
        <f t="array" ref="I76">IFERROR(SUMPRODUCT(('Planning Engine'!$B$4:$B$2500="200mg DP")*(YEAR('Planning Engine'!$A$4:$A$2500)=2038)*(MONTH('Planning Engine'!$A$4:$A$2500)=12)*'Planning Engine'!$H$4:$H$2500),0)</f>
        <v>87828</v>
      </c>
      <c r="J76" cm="1">
        <f t="array" aca="1" ref="J76" ca="1">IFERROR(SUMPRODUCT(('Planning Engine'!$B$4:$B$2500="200mg DP")*(YEAR('Planning Engine'!$A$4:$A$2500)=2038)*'Planning Engine'!$K$4:$K$2500),0)</f>
        <v>0</v>
      </c>
      <c r="K76" s="12" t="str" cm="1">
        <f t="array" aca="1" ref="K76" ca="1">IFERROR(IF(SUMPRODUCT(('Planning Engine'!$B$4:$B$2500="200mg DP")*(YEAR('Planning Engine'!$A$4:$A$2500)=2038)*('Planning Engine'!$L$4:$L$2500="High"))&gt;0,"High",IF(SUMPRODUCT(('Planning Engine'!$B$4:$B$2500="200mg DP")*(YEAR('Planning Engine'!$A$4:$A$2500)=2038)*('Planning Engine'!$L$4:$L$2500="Medium"))&gt;0,"Medium",IF(SUMPRODUCT(('Planning Engine'!$B$4:$B$2500="200mg DP")*(YEAR('Planning Engine'!$A$4:$A$2500)=2038)*('Planning Engine'!$L$4:$L$2500="Overstock"))&gt;0,"Overstock","Low"))),"--")</f>
        <v>Overstock</v>
      </c>
    </row>
    <row r="77" spans="1:11" ht="14" customHeight="1" x14ac:dyDescent="0.35">
      <c r="A77" s="53" t="s">
        <v>36</v>
      </c>
      <c r="B77" s="107" t="s">
        <v>38</v>
      </c>
      <c r="C77" s="4">
        <v>2039</v>
      </c>
      <c r="D77" s="99" cm="1">
        <f t="array" ref="D77">IFERROR(SUMPRODUCT(('Planning Engine'!$B$4:$B$2500="200mg DP")*(YEAR('Planning Engine'!$A$4:$A$2500)=2039)*'Planning Engine'!$F$4:$F$2500),0)</f>
        <v>0</v>
      </c>
      <c r="E77" s="99" cm="1">
        <f t="array" ref="E77">IFERROR(SUMPRODUCT(('Planning Engine'!$B$4:$B$2500="200mg DP")*(YEAR('Planning Engine'!$A$4:$A$2500)=2039)*'Planning Engine'!$G$4:$G$2500),0)</f>
        <v>0</v>
      </c>
      <c r="F77" s="99" cm="1">
        <f t="array" ref="F77">IFERROR(SUMPRODUCT(('Planning Engine'!$B$4:$B$2500="200mg DP")*(YEAR('Planning Engine'!$A$4:$A$2500)=2039)*(MONTH('Planning Engine'!$A$4:$A$2500)=6)*'Planning Engine'!$H$4:$H$2500),0)</f>
        <v>87828</v>
      </c>
      <c r="G77" s="99" cm="1">
        <f t="array" ref="G77">IFERROR(SUMPRODUCT(('Planning Engine'!$B$4:$B$2500="200mg DP")*(YEAR('Planning Engine'!$A$4:$A$2500)=2039)*(MONTH('Planning Engine'!$A$4:$A$2500)=12)*'Planning Engine'!$H$4:$H$2500),0)</f>
        <v>87828</v>
      </c>
      <c r="H77" s="99" cm="1">
        <f t="array" aca="1" ref="H77" ca="1">IFERROR(SUMPRODUCT(('Planning Engine'!$B$4:$B$2500="200mg DP")*(YEAR('Planning Engine'!$A$4:$A$2500)=2039)*('Planning Engine'!$J$4:$J$2500&gt;0)*'Planning Engine'!$J$4:$J$2500)/MAX(1,SUMPRODUCT(('Planning Engine'!$B$4:$B$2500="200mg DP")*(YEAR('Planning Engine'!$A$4:$A$2500)=2039)*('Planning Engine'!$J$4:$J$2500&gt;0))),0)</f>
        <v>999</v>
      </c>
      <c r="I77" s="4" cm="1">
        <f t="array" ref="I77">IFERROR(SUMPRODUCT(('Planning Engine'!$B$4:$B$2500="200mg DP")*(YEAR('Planning Engine'!$A$4:$A$2500)=2039)*(MONTH('Planning Engine'!$A$4:$A$2500)=12)*'Planning Engine'!$H$4:$H$2500),0)</f>
        <v>87828</v>
      </c>
      <c r="J77" cm="1">
        <f t="array" aca="1" ref="J77" ca="1">IFERROR(SUMPRODUCT(('Planning Engine'!$B$4:$B$2500="200mg DP")*(YEAR('Planning Engine'!$A$4:$A$2500)=2039)*'Planning Engine'!$K$4:$K$2500),0)</f>
        <v>0</v>
      </c>
      <c r="K77" s="4" t="str" cm="1">
        <f t="array" aca="1" ref="K77" ca="1">IFERROR(IF(SUMPRODUCT(('Planning Engine'!$B$4:$B$2500="200mg DP")*(YEAR('Planning Engine'!$A$4:$A$2500)=2039)*('Planning Engine'!$L$4:$L$2500="High"))&gt;0,"High",IF(SUMPRODUCT(('Planning Engine'!$B$4:$B$2500="200mg DP")*(YEAR('Planning Engine'!$A$4:$A$2500)=2039)*('Planning Engine'!$L$4:$L$2500="Medium"))&gt;0,"Medium",IF(SUMPRODUCT(('Planning Engine'!$B$4:$B$2500="200mg DP")*(YEAR('Planning Engine'!$A$4:$A$2500)=2039)*('Planning Engine'!$L$4:$L$2500="Overstock"))&gt;0,"Overstock","Low"))),"--")</f>
        <v>Overstock</v>
      </c>
    </row>
    <row r="78" spans="1:11" ht="14" customHeight="1" x14ac:dyDescent="0.35">
      <c r="A78" s="61" t="s">
        <v>36</v>
      </c>
      <c r="B78" s="106" t="s">
        <v>38</v>
      </c>
      <c r="C78" s="12">
        <v>2040</v>
      </c>
      <c r="D78" s="95" cm="1">
        <f t="array" ref="D78">IFERROR(SUMPRODUCT(('Planning Engine'!$B$4:$B$2500="200mg DP")*(YEAR('Planning Engine'!$A$4:$A$2500)=2040)*'Planning Engine'!$F$4:$F$2500),0)</f>
        <v>0</v>
      </c>
      <c r="E78" s="95" cm="1">
        <f t="array" ref="E78">IFERROR(SUMPRODUCT(('Planning Engine'!$B$4:$B$2500="200mg DP")*(YEAR('Planning Engine'!$A$4:$A$2500)=2040)*'Planning Engine'!$G$4:$G$2500),0)</f>
        <v>0</v>
      </c>
      <c r="F78" s="95" cm="1">
        <f t="array" ref="F78">IFERROR(SUMPRODUCT(('Planning Engine'!$B$4:$B$2500="200mg DP")*(YEAR('Planning Engine'!$A$4:$A$2500)=2040)*(MONTH('Planning Engine'!$A$4:$A$2500)=6)*'Planning Engine'!$H$4:$H$2500),0)</f>
        <v>87828</v>
      </c>
      <c r="G78" s="95" cm="1">
        <f t="array" ref="G78">IFERROR(SUMPRODUCT(('Planning Engine'!$B$4:$B$2500="200mg DP")*(YEAR('Planning Engine'!$A$4:$A$2500)=2040)*(MONTH('Planning Engine'!$A$4:$A$2500)=12)*'Planning Engine'!$H$4:$H$2500),0)</f>
        <v>87828</v>
      </c>
      <c r="H78" s="95" cm="1">
        <f t="array" aca="1" ref="H78" ca="1">IFERROR(SUMPRODUCT(('Planning Engine'!$B$4:$B$2500="200mg DP")*(YEAR('Planning Engine'!$A$4:$A$2500)=2040)*('Planning Engine'!$J$4:$J$2500&gt;0)*'Planning Engine'!$J$4:$J$2500)/MAX(1,SUMPRODUCT(('Planning Engine'!$B$4:$B$2500="200mg DP")*(YEAR('Planning Engine'!$A$4:$A$2500)=2040)*('Planning Engine'!$J$4:$J$2500&gt;0))),0)</f>
        <v>999</v>
      </c>
      <c r="I78" s="12" cm="1">
        <f t="array" ref="I78">IFERROR(SUMPRODUCT(('Planning Engine'!$B$4:$B$2500="200mg DP")*(YEAR('Planning Engine'!$A$4:$A$2500)=2040)*(MONTH('Planning Engine'!$A$4:$A$2500)=12)*'Planning Engine'!$H$4:$H$2500),0)</f>
        <v>87828</v>
      </c>
      <c r="J78" cm="1">
        <f t="array" aca="1" ref="J78" ca="1">IFERROR(SUMPRODUCT(('Planning Engine'!$B$4:$B$2500="200mg DP")*(YEAR('Planning Engine'!$A$4:$A$2500)=2040)*'Planning Engine'!$K$4:$K$2500),0)</f>
        <v>0</v>
      </c>
      <c r="K78" s="12" t="str" cm="1">
        <f t="array" aca="1" ref="K78" ca="1">IFERROR(IF(SUMPRODUCT(('Planning Engine'!$B$4:$B$2500="200mg DP")*(YEAR('Planning Engine'!$A$4:$A$2500)=2040)*('Planning Engine'!$L$4:$L$2500="High"))&gt;0,"High",IF(SUMPRODUCT(('Planning Engine'!$B$4:$B$2500="200mg DP")*(YEAR('Planning Engine'!$A$4:$A$2500)=2040)*('Planning Engine'!$L$4:$L$2500="Medium"))&gt;0,"Medium",IF(SUMPRODUCT(('Planning Engine'!$B$4:$B$2500="200mg DP")*(YEAR('Planning Engine'!$A$4:$A$2500)=2040)*('Planning Engine'!$L$4:$L$2500="Overstock"))&gt;0,"Overstock","Low"))),"--")</f>
        <v>Overstock</v>
      </c>
    </row>
    <row r="79" spans="1:11" ht="14" customHeight="1" x14ac:dyDescent="0.35">
      <c r="A79" s="53" t="s">
        <v>43</v>
      </c>
      <c r="B79" s="107" t="s">
        <v>38</v>
      </c>
      <c r="C79" s="4">
        <v>2026</v>
      </c>
      <c r="D79" s="99" cm="1">
        <f t="array" ref="D79">IFERROR(SUMPRODUCT(('Planning Engine'!$B$4:$B$2500="50mg DP")*(YEAR('Planning Engine'!$A$4:$A$2500)=2026)*'Planning Engine'!$F$4:$F$2500),0)</f>
        <v>5</v>
      </c>
      <c r="E79" s="99" cm="1">
        <f t="array" ref="E79">IFERROR(SUMPRODUCT(('Planning Engine'!$B$4:$B$2500="50mg DP")*(YEAR('Planning Engine'!$A$4:$A$2500)=2026)*'Planning Engine'!$G$4:$G$2500),0)</f>
        <v>80000</v>
      </c>
      <c r="F79" s="99" cm="1">
        <f t="array" ref="F79">IFERROR(SUMPRODUCT(('Planning Engine'!$B$4:$B$2500="50mg DP")*(YEAR('Planning Engine'!$A$4:$A$2500)=2026)*(MONTH('Planning Engine'!$A$4:$A$2500)=6)*'Planning Engine'!$H$4:$H$2500),0)</f>
        <v>148107</v>
      </c>
      <c r="G79" s="99" cm="1">
        <f t="array" ref="G79">IFERROR(SUMPRODUCT(('Planning Engine'!$B$4:$B$2500="50mg DP")*(YEAR('Planning Engine'!$A$4:$A$2500)=2026)*(MONTH('Planning Engine'!$A$4:$A$2500)=12)*'Planning Engine'!$H$4:$H$2500),0)</f>
        <v>158107</v>
      </c>
      <c r="H79" s="99" cm="1">
        <f t="array" aca="1" ref="H79" ca="1">IFERROR(SUMPRODUCT(('Planning Engine'!$B$4:$B$2500="50mg DP")*(YEAR('Planning Engine'!$A$4:$A$2500)=2026)*('Planning Engine'!$J$4:$J$2500&gt;0)*'Planning Engine'!$J$4:$J$2500)/MAX(1,SUMPRODUCT(('Planning Engine'!$B$4:$B$2500="50mg DP")*(YEAR('Planning Engine'!$A$4:$A$2500)=2026)*('Planning Engine'!$J$4:$J$2500&gt;0))),0)</f>
        <v>15254.372727272728</v>
      </c>
      <c r="I79" s="4" cm="1">
        <f t="array" ref="I79">IFERROR(SUMPRODUCT(('Planning Engine'!$B$4:$B$2500="50mg DP")*(YEAR('Planning Engine'!$A$4:$A$2500)=2026)*(MONTH('Planning Engine'!$A$4:$A$2500)=12)*'Planning Engine'!$H$4:$H$2500),0)</f>
        <v>158107</v>
      </c>
      <c r="J79" cm="1">
        <f t="array" aca="1" ref="J79" ca="1">IFERROR(SUMPRODUCT(('Planning Engine'!$B$4:$B$2500="50mg DP")*(YEAR('Planning Engine'!$A$4:$A$2500)=2026)*'Planning Engine'!$K$4:$K$2500),0)</f>
        <v>0</v>
      </c>
      <c r="K79" s="4" t="str" cm="1">
        <f t="array" aca="1" ref="K79" ca="1">IFERROR(IF(SUMPRODUCT(('Planning Engine'!$B$4:$B$2500="50mg DP")*(YEAR('Planning Engine'!$A$4:$A$2500)=2026)*('Planning Engine'!$L$4:$L$2500="High"))&gt;0,"High",IF(SUMPRODUCT(('Planning Engine'!$B$4:$B$2500="50mg DP")*(YEAR('Planning Engine'!$A$4:$A$2500)=2026)*('Planning Engine'!$L$4:$L$2500="Medium"))&gt;0,"Medium",IF(SUMPRODUCT(('Planning Engine'!$B$4:$B$2500="50mg DP")*(YEAR('Planning Engine'!$A$4:$A$2500)=2026)*('Planning Engine'!$L$4:$L$2500="Overstock"))&gt;0,"Overstock","Low"))),"--")</f>
        <v>Overstock</v>
      </c>
    </row>
    <row r="80" spans="1:11" ht="14" customHeight="1" x14ac:dyDescent="0.35">
      <c r="A80" s="61" t="s">
        <v>43</v>
      </c>
      <c r="B80" s="106" t="s">
        <v>38</v>
      </c>
      <c r="C80" s="12">
        <v>2027</v>
      </c>
      <c r="D80" s="95" cm="1">
        <f t="array" ref="D80">IFERROR(SUMPRODUCT(('Planning Engine'!$B$4:$B$2500="50mg DP")*(YEAR('Planning Engine'!$A$4:$A$2500)=2027)*'Planning Engine'!$F$4:$F$2500),0)</f>
        <v>0</v>
      </c>
      <c r="E80" s="95" cm="1">
        <f t="array" ref="E80">IFERROR(SUMPRODUCT(('Planning Engine'!$B$4:$B$2500="50mg DP")*(YEAR('Planning Engine'!$A$4:$A$2500)=2027)*'Planning Engine'!$G$4:$G$2500),0)</f>
        <v>0</v>
      </c>
      <c r="F80" s="95" cm="1">
        <f t="array" ref="F80">IFERROR(SUMPRODUCT(('Planning Engine'!$B$4:$B$2500="50mg DP")*(YEAR('Planning Engine'!$A$4:$A$2500)=2027)*(MONTH('Planning Engine'!$A$4:$A$2500)=6)*'Planning Engine'!$H$4:$H$2500),0)</f>
        <v>158107</v>
      </c>
      <c r="G80" s="95" cm="1">
        <f t="array" ref="G80">IFERROR(SUMPRODUCT(('Planning Engine'!$B$4:$B$2500="50mg DP")*(YEAR('Planning Engine'!$A$4:$A$2500)=2027)*(MONTH('Planning Engine'!$A$4:$A$2500)=12)*'Planning Engine'!$H$4:$H$2500),0)</f>
        <v>158107</v>
      </c>
      <c r="H80" s="95" cm="1">
        <f t="array" aca="1" ref="H80" ca="1">IFERROR(SUMPRODUCT(('Planning Engine'!$B$4:$B$2500="50mg DP")*(YEAR('Planning Engine'!$A$4:$A$2500)=2027)*('Planning Engine'!$J$4:$J$2500&gt;0)*'Planning Engine'!$J$4:$J$2500)/MAX(1,SUMPRODUCT(('Planning Engine'!$B$4:$B$2500="50mg DP")*(YEAR('Planning Engine'!$A$4:$A$2500)=2027)*('Planning Engine'!$J$4:$J$2500&gt;0))),0)</f>
        <v>999</v>
      </c>
      <c r="I80" s="12" cm="1">
        <f t="array" ref="I80">IFERROR(SUMPRODUCT(('Planning Engine'!$B$4:$B$2500="50mg DP")*(YEAR('Planning Engine'!$A$4:$A$2500)=2027)*(MONTH('Planning Engine'!$A$4:$A$2500)=12)*'Planning Engine'!$H$4:$H$2500),0)</f>
        <v>158107</v>
      </c>
      <c r="J80" cm="1">
        <f t="array" aca="1" ref="J80" ca="1">IFERROR(SUMPRODUCT(('Planning Engine'!$B$4:$B$2500="50mg DP")*(YEAR('Planning Engine'!$A$4:$A$2500)=2027)*'Planning Engine'!$K$4:$K$2500),0)</f>
        <v>0</v>
      </c>
      <c r="K80" s="12" t="str" cm="1">
        <f t="array" aca="1" ref="K80" ca="1">IFERROR(IF(SUMPRODUCT(('Planning Engine'!$B$4:$B$2500="50mg DP")*(YEAR('Planning Engine'!$A$4:$A$2500)=2027)*('Planning Engine'!$L$4:$L$2500="High"))&gt;0,"High",IF(SUMPRODUCT(('Planning Engine'!$B$4:$B$2500="50mg DP")*(YEAR('Planning Engine'!$A$4:$A$2500)=2027)*('Planning Engine'!$L$4:$L$2500="Medium"))&gt;0,"Medium",IF(SUMPRODUCT(('Planning Engine'!$B$4:$B$2500="50mg DP")*(YEAR('Planning Engine'!$A$4:$A$2500)=2027)*('Planning Engine'!$L$4:$L$2500="Overstock"))&gt;0,"Overstock","Low"))),"--")</f>
        <v>Overstock</v>
      </c>
    </row>
    <row r="81" spans="1:11" ht="14" customHeight="1" x14ac:dyDescent="0.35">
      <c r="A81" s="53" t="s">
        <v>43</v>
      </c>
      <c r="B81" s="107" t="s">
        <v>38</v>
      </c>
      <c r="C81" s="4">
        <v>2028</v>
      </c>
      <c r="D81" s="99" cm="1">
        <f t="array" ref="D81">IFERROR(SUMPRODUCT(('Planning Engine'!$B$4:$B$2500="50mg DP")*(YEAR('Planning Engine'!$A$4:$A$2500)=2028)*'Planning Engine'!$F$4:$F$2500),0)</f>
        <v>0</v>
      </c>
      <c r="E81" s="99" cm="1">
        <f t="array" ref="E81">IFERROR(SUMPRODUCT(('Planning Engine'!$B$4:$B$2500="50mg DP")*(YEAR('Planning Engine'!$A$4:$A$2500)=2028)*'Planning Engine'!$G$4:$G$2500),0)</f>
        <v>109500</v>
      </c>
      <c r="F81" s="99" cm="1">
        <f t="array" ref="F81">IFERROR(SUMPRODUCT(('Planning Engine'!$B$4:$B$2500="50mg DP")*(YEAR('Planning Engine'!$A$4:$A$2500)=2028)*(MONTH('Planning Engine'!$A$4:$A$2500)=6)*'Planning Engine'!$H$4:$H$2500),0)</f>
        <v>158107</v>
      </c>
      <c r="G81" s="99" cm="1">
        <f t="array" ref="G81">IFERROR(SUMPRODUCT(('Planning Engine'!$B$4:$B$2500="50mg DP")*(YEAR('Planning Engine'!$A$4:$A$2500)=2028)*(MONTH('Planning Engine'!$A$4:$A$2500)=12)*'Planning Engine'!$H$4:$H$2500),0)</f>
        <v>267607</v>
      </c>
      <c r="H81" s="99" cm="1">
        <f t="array" aca="1" ref="H81" ca="1">IFERROR(SUMPRODUCT(('Planning Engine'!$B$4:$B$2500="50mg DP")*(YEAR('Planning Engine'!$A$4:$A$2500)=2028)*('Planning Engine'!$J$4:$J$2500&gt;0)*'Planning Engine'!$J$4:$J$2500)/MAX(1,SUMPRODUCT(('Planning Engine'!$B$4:$B$2500="50mg DP")*(YEAR('Planning Engine'!$A$4:$A$2500)=2028)*('Planning Engine'!$J$4:$J$2500&gt;0))),0)</f>
        <v>999</v>
      </c>
      <c r="I81" s="4" cm="1">
        <f t="array" ref="I81">IFERROR(SUMPRODUCT(('Planning Engine'!$B$4:$B$2500="50mg DP")*(YEAR('Planning Engine'!$A$4:$A$2500)=2028)*(MONTH('Planning Engine'!$A$4:$A$2500)=12)*'Planning Engine'!$H$4:$H$2500),0)</f>
        <v>267607</v>
      </c>
      <c r="J81" cm="1">
        <f t="array" aca="1" ref="J81" ca="1">IFERROR(SUMPRODUCT(('Planning Engine'!$B$4:$B$2500="50mg DP")*(YEAR('Planning Engine'!$A$4:$A$2500)=2028)*'Planning Engine'!$K$4:$K$2500),0)</f>
        <v>0</v>
      </c>
      <c r="K81" s="4" t="str" cm="1">
        <f t="array" aca="1" ref="K81" ca="1">IFERROR(IF(SUMPRODUCT(('Planning Engine'!$B$4:$B$2500="50mg DP")*(YEAR('Planning Engine'!$A$4:$A$2500)=2028)*('Planning Engine'!$L$4:$L$2500="High"))&gt;0,"High",IF(SUMPRODUCT(('Planning Engine'!$B$4:$B$2500="50mg DP")*(YEAR('Planning Engine'!$A$4:$A$2500)=2028)*('Planning Engine'!$L$4:$L$2500="Medium"))&gt;0,"Medium",IF(SUMPRODUCT(('Planning Engine'!$B$4:$B$2500="50mg DP")*(YEAR('Planning Engine'!$A$4:$A$2500)=2028)*('Planning Engine'!$L$4:$L$2500="Overstock"))&gt;0,"Overstock","Low"))),"--")</f>
        <v>Overstock</v>
      </c>
    </row>
    <row r="82" spans="1:11" ht="14" customHeight="1" x14ac:dyDescent="0.35">
      <c r="A82" s="61" t="s">
        <v>43</v>
      </c>
      <c r="B82" s="106" t="s">
        <v>38</v>
      </c>
      <c r="C82" s="12">
        <v>2029</v>
      </c>
      <c r="D82" s="95" cm="1">
        <f t="array" ref="D82">IFERROR(SUMPRODUCT(('Planning Engine'!$B$4:$B$2500="50mg DP")*(YEAR('Planning Engine'!$A$4:$A$2500)=2029)*'Planning Engine'!$F$4:$F$2500),0)</f>
        <v>0</v>
      </c>
      <c r="E82" s="95" cm="1">
        <f t="array" ref="E82">IFERROR(SUMPRODUCT(('Planning Engine'!$B$4:$B$2500="50mg DP")*(YEAR('Planning Engine'!$A$4:$A$2500)=2029)*'Planning Engine'!$G$4:$G$2500),0)</f>
        <v>0</v>
      </c>
      <c r="F82" s="95" cm="1">
        <f t="array" ref="F82">IFERROR(SUMPRODUCT(('Planning Engine'!$B$4:$B$2500="50mg DP")*(YEAR('Planning Engine'!$A$4:$A$2500)=2029)*(MONTH('Planning Engine'!$A$4:$A$2500)=6)*'Planning Engine'!$H$4:$H$2500),0)</f>
        <v>267607</v>
      </c>
      <c r="G82" s="95" cm="1">
        <f t="array" ref="G82">IFERROR(SUMPRODUCT(('Planning Engine'!$B$4:$B$2500="50mg DP")*(YEAR('Planning Engine'!$A$4:$A$2500)=2029)*(MONTH('Planning Engine'!$A$4:$A$2500)=12)*'Planning Engine'!$H$4:$H$2500),0)</f>
        <v>267607</v>
      </c>
      <c r="H82" s="95" cm="1">
        <f t="array" aca="1" ref="H82" ca="1">IFERROR(SUMPRODUCT(('Planning Engine'!$B$4:$B$2500="50mg DP")*(YEAR('Planning Engine'!$A$4:$A$2500)=2029)*('Planning Engine'!$J$4:$J$2500&gt;0)*'Planning Engine'!$J$4:$J$2500)/MAX(1,SUMPRODUCT(('Planning Engine'!$B$4:$B$2500="50mg DP")*(YEAR('Planning Engine'!$A$4:$A$2500)=2029)*('Planning Engine'!$J$4:$J$2500&gt;0))),0)</f>
        <v>999</v>
      </c>
      <c r="I82" s="12" cm="1">
        <f t="array" ref="I82">IFERROR(SUMPRODUCT(('Planning Engine'!$B$4:$B$2500="50mg DP")*(YEAR('Planning Engine'!$A$4:$A$2500)=2029)*(MONTH('Planning Engine'!$A$4:$A$2500)=12)*'Planning Engine'!$H$4:$H$2500),0)</f>
        <v>267607</v>
      </c>
      <c r="J82" cm="1">
        <f t="array" aca="1" ref="J82" ca="1">IFERROR(SUMPRODUCT(('Planning Engine'!$B$4:$B$2500="50mg DP")*(YEAR('Planning Engine'!$A$4:$A$2500)=2029)*'Planning Engine'!$K$4:$K$2500),0)</f>
        <v>0</v>
      </c>
      <c r="K82" s="12" t="str" cm="1">
        <f t="array" aca="1" ref="K82" ca="1">IFERROR(IF(SUMPRODUCT(('Planning Engine'!$B$4:$B$2500="50mg DP")*(YEAR('Planning Engine'!$A$4:$A$2500)=2029)*('Planning Engine'!$L$4:$L$2500="High"))&gt;0,"High",IF(SUMPRODUCT(('Planning Engine'!$B$4:$B$2500="50mg DP")*(YEAR('Planning Engine'!$A$4:$A$2500)=2029)*('Planning Engine'!$L$4:$L$2500="Medium"))&gt;0,"Medium",IF(SUMPRODUCT(('Planning Engine'!$B$4:$B$2500="50mg DP")*(YEAR('Planning Engine'!$A$4:$A$2500)=2029)*('Planning Engine'!$L$4:$L$2500="Overstock"))&gt;0,"Overstock","Low"))),"--")</f>
        <v>Overstock</v>
      </c>
    </row>
    <row r="83" spans="1:11" ht="14" customHeight="1" x14ac:dyDescent="0.35">
      <c r="A83" s="53" t="s">
        <v>43</v>
      </c>
      <c r="B83" s="107" t="s">
        <v>38</v>
      </c>
      <c r="C83" s="4">
        <v>2030</v>
      </c>
      <c r="D83" s="99" cm="1">
        <f t="array" ref="D83">IFERROR(SUMPRODUCT(('Planning Engine'!$B$4:$B$2500="50mg DP")*(YEAR('Planning Engine'!$A$4:$A$2500)=2030)*'Planning Engine'!$F$4:$F$2500),0)</f>
        <v>0</v>
      </c>
      <c r="E83" s="99" cm="1">
        <f t="array" ref="E83">IFERROR(SUMPRODUCT(('Planning Engine'!$B$4:$B$2500="50mg DP")*(YEAR('Planning Engine'!$A$4:$A$2500)=2030)*'Planning Engine'!$G$4:$G$2500),0)</f>
        <v>0</v>
      </c>
      <c r="F83" s="99" cm="1">
        <f t="array" ref="F83">IFERROR(SUMPRODUCT(('Planning Engine'!$B$4:$B$2500="50mg DP")*(YEAR('Planning Engine'!$A$4:$A$2500)=2030)*(MONTH('Planning Engine'!$A$4:$A$2500)=6)*'Planning Engine'!$H$4:$H$2500),0)</f>
        <v>267607</v>
      </c>
      <c r="G83" s="99" cm="1">
        <f t="array" ref="G83">IFERROR(SUMPRODUCT(('Planning Engine'!$B$4:$B$2500="50mg DP")*(YEAR('Planning Engine'!$A$4:$A$2500)=2030)*(MONTH('Planning Engine'!$A$4:$A$2500)=12)*'Planning Engine'!$H$4:$H$2500),0)</f>
        <v>267607</v>
      </c>
      <c r="H83" s="99" cm="1">
        <f t="array" aca="1" ref="H83" ca="1">IFERROR(SUMPRODUCT(('Planning Engine'!$B$4:$B$2500="50mg DP")*(YEAR('Planning Engine'!$A$4:$A$2500)=2030)*('Planning Engine'!$J$4:$J$2500&gt;0)*'Planning Engine'!$J$4:$J$2500)/MAX(1,SUMPRODUCT(('Planning Engine'!$B$4:$B$2500="50mg DP")*(YEAR('Planning Engine'!$A$4:$A$2500)=2030)*('Planning Engine'!$J$4:$J$2500&gt;0))),0)</f>
        <v>999</v>
      </c>
      <c r="I83" s="4" cm="1">
        <f t="array" ref="I83">IFERROR(SUMPRODUCT(('Planning Engine'!$B$4:$B$2500="50mg DP")*(YEAR('Planning Engine'!$A$4:$A$2500)=2030)*(MONTH('Planning Engine'!$A$4:$A$2500)=12)*'Planning Engine'!$H$4:$H$2500),0)</f>
        <v>267607</v>
      </c>
      <c r="J83" cm="1">
        <f t="array" aca="1" ref="J83" ca="1">IFERROR(SUMPRODUCT(('Planning Engine'!$B$4:$B$2500="50mg DP")*(YEAR('Planning Engine'!$A$4:$A$2500)=2030)*'Planning Engine'!$K$4:$K$2500),0)</f>
        <v>0</v>
      </c>
      <c r="K83" s="4" t="str" cm="1">
        <f t="array" aca="1" ref="K83" ca="1">IFERROR(IF(SUMPRODUCT(('Planning Engine'!$B$4:$B$2500="50mg DP")*(YEAR('Planning Engine'!$A$4:$A$2500)=2030)*('Planning Engine'!$L$4:$L$2500="High"))&gt;0,"High",IF(SUMPRODUCT(('Planning Engine'!$B$4:$B$2500="50mg DP")*(YEAR('Planning Engine'!$A$4:$A$2500)=2030)*('Planning Engine'!$L$4:$L$2500="Medium"))&gt;0,"Medium",IF(SUMPRODUCT(('Planning Engine'!$B$4:$B$2500="50mg DP")*(YEAR('Planning Engine'!$A$4:$A$2500)=2030)*('Planning Engine'!$L$4:$L$2500="Overstock"))&gt;0,"Overstock","Low"))),"--")</f>
        <v>Overstock</v>
      </c>
    </row>
    <row r="84" spans="1:11" ht="14" customHeight="1" x14ac:dyDescent="0.35">
      <c r="A84" s="61" t="s">
        <v>43</v>
      </c>
      <c r="B84" s="106" t="s">
        <v>38</v>
      </c>
      <c r="C84" s="12">
        <v>2031</v>
      </c>
      <c r="D84" s="95" cm="1">
        <f t="array" ref="D84">IFERROR(SUMPRODUCT(('Planning Engine'!$B$4:$B$2500="50mg DP")*(YEAR('Planning Engine'!$A$4:$A$2500)=2031)*'Planning Engine'!$F$4:$F$2500),0)</f>
        <v>0</v>
      </c>
      <c r="E84" s="95" cm="1">
        <f t="array" ref="E84">IFERROR(SUMPRODUCT(('Planning Engine'!$B$4:$B$2500="50mg DP")*(YEAR('Planning Engine'!$A$4:$A$2500)=2031)*'Planning Engine'!$G$4:$G$2500),0)</f>
        <v>0</v>
      </c>
      <c r="F84" s="95" cm="1">
        <f t="array" ref="F84">IFERROR(SUMPRODUCT(('Planning Engine'!$B$4:$B$2500="50mg DP")*(YEAR('Planning Engine'!$A$4:$A$2500)=2031)*(MONTH('Planning Engine'!$A$4:$A$2500)=6)*'Planning Engine'!$H$4:$H$2500),0)</f>
        <v>267607</v>
      </c>
      <c r="G84" s="95" cm="1">
        <f t="array" ref="G84">IFERROR(SUMPRODUCT(('Planning Engine'!$B$4:$B$2500="50mg DP")*(YEAR('Planning Engine'!$A$4:$A$2500)=2031)*(MONTH('Planning Engine'!$A$4:$A$2500)=12)*'Planning Engine'!$H$4:$H$2500),0)</f>
        <v>267607</v>
      </c>
      <c r="H84" s="95" cm="1">
        <f t="array" aca="1" ref="H84" ca="1">IFERROR(SUMPRODUCT(('Planning Engine'!$B$4:$B$2500="50mg DP")*(YEAR('Planning Engine'!$A$4:$A$2500)=2031)*('Planning Engine'!$J$4:$J$2500&gt;0)*'Planning Engine'!$J$4:$J$2500)/MAX(1,SUMPRODUCT(('Planning Engine'!$B$4:$B$2500="50mg DP")*(YEAR('Planning Engine'!$A$4:$A$2500)=2031)*('Planning Engine'!$J$4:$J$2500&gt;0))),0)</f>
        <v>999</v>
      </c>
      <c r="I84" s="12" cm="1">
        <f t="array" ref="I84">IFERROR(SUMPRODUCT(('Planning Engine'!$B$4:$B$2500="50mg DP")*(YEAR('Planning Engine'!$A$4:$A$2500)=2031)*(MONTH('Planning Engine'!$A$4:$A$2500)=12)*'Planning Engine'!$H$4:$H$2500),0)</f>
        <v>267607</v>
      </c>
      <c r="J84" cm="1">
        <f t="array" aca="1" ref="J84" ca="1">IFERROR(SUMPRODUCT(('Planning Engine'!$B$4:$B$2500="50mg DP")*(YEAR('Planning Engine'!$A$4:$A$2500)=2031)*'Planning Engine'!$K$4:$K$2500),0)</f>
        <v>0</v>
      </c>
      <c r="K84" s="12" t="str" cm="1">
        <f t="array" aca="1" ref="K84" ca="1">IFERROR(IF(SUMPRODUCT(('Planning Engine'!$B$4:$B$2500="50mg DP")*(YEAR('Planning Engine'!$A$4:$A$2500)=2031)*('Planning Engine'!$L$4:$L$2500="High"))&gt;0,"High",IF(SUMPRODUCT(('Planning Engine'!$B$4:$B$2500="50mg DP")*(YEAR('Planning Engine'!$A$4:$A$2500)=2031)*('Planning Engine'!$L$4:$L$2500="Medium"))&gt;0,"Medium",IF(SUMPRODUCT(('Planning Engine'!$B$4:$B$2500="50mg DP")*(YEAR('Planning Engine'!$A$4:$A$2500)=2031)*('Planning Engine'!$L$4:$L$2500="Overstock"))&gt;0,"Overstock","Low"))),"--")</f>
        <v>Overstock</v>
      </c>
    </row>
    <row r="85" spans="1:11" ht="14" customHeight="1" x14ac:dyDescent="0.35">
      <c r="A85" s="53" t="s">
        <v>43</v>
      </c>
      <c r="B85" s="107" t="s">
        <v>38</v>
      </c>
      <c r="C85" s="4">
        <v>2032</v>
      </c>
      <c r="D85" s="99" cm="1">
        <f t="array" ref="D85">IFERROR(SUMPRODUCT(('Planning Engine'!$B$4:$B$2500="50mg DP")*(YEAR('Planning Engine'!$A$4:$A$2500)=2032)*'Planning Engine'!$F$4:$F$2500),0)</f>
        <v>0</v>
      </c>
      <c r="E85" s="99" cm="1">
        <f t="array" ref="E85">IFERROR(SUMPRODUCT(('Planning Engine'!$B$4:$B$2500="50mg DP")*(YEAR('Planning Engine'!$A$4:$A$2500)=2032)*'Planning Engine'!$G$4:$G$2500),0)</f>
        <v>0</v>
      </c>
      <c r="F85" s="99" cm="1">
        <f t="array" ref="F85">IFERROR(SUMPRODUCT(('Planning Engine'!$B$4:$B$2500="50mg DP")*(YEAR('Planning Engine'!$A$4:$A$2500)=2032)*(MONTH('Planning Engine'!$A$4:$A$2500)=6)*'Planning Engine'!$H$4:$H$2500),0)</f>
        <v>267607</v>
      </c>
      <c r="G85" s="99" cm="1">
        <f t="array" ref="G85">IFERROR(SUMPRODUCT(('Planning Engine'!$B$4:$B$2500="50mg DP")*(YEAR('Planning Engine'!$A$4:$A$2500)=2032)*(MONTH('Planning Engine'!$A$4:$A$2500)=12)*'Planning Engine'!$H$4:$H$2500),0)</f>
        <v>267607</v>
      </c>
      <c r="H85" s="99" cm="1">
        <f t="array" aca="1" ref="H85" ca="1">IFERROR(SUMPRODUCT(('Planning Engine'!$B$4:$B$2500="50mg DP")*(YEAR('Planning Engine'!$A$4:$A$2500)=2032)*('Planning Engine'!$J$4:$J$2500&gt;0)*'Planning Engine'!$J$4:$J$2500)/MAX(1,SUMPRODUCT(('Planning Engine'!$B$4:$B$2500="50mg DP")*(YEAR('Planning Engine'!$A$4:$A$2500)=2032)*('Planning Engine'!$J$4:$J$2500&gt;0))),0)</f>
        <v>999</v>
      </c>
      <c r="I85" s="4" cm="1">
        <f t="array" ref="I85">IFERROR(SUMPRODUCT(('Planning Engine'!$B$4:$B$2500="50mg DP")*(YEAR('Planning Engine'!$A$4:$A$2500)=2032)*(MONTH('Planning Engine'!$A$4:$A$2500)=12)*'Planning Engine'!$H$4:$H$2500),0)</f>
        <v>267607</v>
      </c>
      <c r="J85" cm="1">
        <f t="array" aca="1" ref="J85" ca="1">IFERROR(SUMPRODUCT(('Planning Engine'!$B$4:$B$2500="50mg DP")*(YEAR('Planning Engine'!$A$4:$A$2500)=2032)*'Planning Engine'!$K$4:$K$2500),0)</f>
        <v>0</v>
      </c>
      <c r="K85" s="4" t="str" cm="1">
        <f t="array" aca="1" ref="K85" ca="1">IFERROR(IF(SUMPRODUCT(('Planning Engine'!$B$4:$B$2500="50mg DP")*(YEAR('Planning Engine'!$A$4:$A$2500)=2032)*('Planning Engine'!$L$4:$L$2500="High"))&gt;0,"High",IF(SUMPRODUCT(('Planning Engine'!$B$4:$B$2500="50mg DP")*(YEAR('Planning Engine'!$A$4:$A$2500)=2032)*('Planning Engine'!$L$4:$L$2500="Medium"))&gt;0,"Medium",IF(SUMPRODUCT(('Planning Engine'!$B$4:$B$2500="50mg DP")*(YEAR('Planning Engine'!$A$4:$A$2500)=2032)*('Planning Engine'!$L$4:$L$2500="Overstock"))&gt;0,"Overstock","Low"))),"--")</f>
        <v>Overstock</v>
      </c>
    </row>
    <row r="86" spans="1:11" ht="14" customHeight="1" x14ac:dyDescent="0.35">
      <c r="A86" s="61" t="s">
        <v>43</v>
      </c>
      <c r="B86" s="106" t="s">
        <v>38</v>
      </c>
      <c r="C86" s="12">
        <v>2033</v>
      </c>
      <c r="D86" s="95" cm="1">
        <f t="array" ref="D86">IFERROR(SUMPRODUCT(('Planning Engine'!$B$4:$B$2500="50mg DP")*(YEAR('Planning Engine'!$A$4:$A$2500)=2033)*'Planning Engine'!$F$4:$F$2500),0)</f>
        <v>0</v>
      </c>
      <c r="E86" s="95" cm="1">
        <f t="array" ref="E86">IFERROR(SUMPRODUCT(('Planning Engine'!$B$4:$B$2500="50mg DP")*(YEAR('Planning Engine'!$A$4:$A$2500)=2033)*'Planning Engine'!$G$4:$G$2500),0)</f>
        <v>0</v>
      </c>
      <c r="F86" s="95" cm="1">
        <f t="array" ref="F86">IFERROR(SUMPRODUCT(('Planning Engine'!$B$4:$B$2500="50mg DP")*(YEAR('Planning Engine'!$A$4:$A$2500)=2033)*(MONTH('Planning Engine'!$A$4:$A$2500)=6)*'Planning Engine'!$H$4:$H$2500),0)</f>
        <v>267607</v>
      </c>
      <c r="G86" s="95" cm="1">
        <f t="array" ref="G86">IFERROR(SUMPRODUCT(('Planning Engine'!$B$4:$B$2500="50mg DP")*(YEAR('Planning Engine'!$A$4:$A$2500)=2033)*(MONTH('Planning Engine'!$A$4:$A$2500)=12)*'Planning Engine'!$H$4:$H$2500),0)</f>
        <v>267607</v>
      </c>
      <c r="H86" s="95" cm="1">
        <f t="array" aca="1" ref="H86" ca="1">IFERROR(SUMPRODUCT(('Planning Engine'!$B$4:$B$2500="50mg DP")*(YEAR('Planning Engine'!$A$4:$A$2500)=2033)*('Planning Engine'!$J$4:$J$2500&gt;0)*'Planning Engine'!$J$4:$J$2500)/MAX(1,SUMPRODUCT(('Planning Engine'!$B$4:$B$2500="50mg DP")*(YEAR('Planning Engine'!$A$4:$A$2500)=2033)*('Planning Engine'!$J$4:$J$2500&gt;0))),0)</f>
        <v>999</v>
      </c>
      <c r="I86" s="12" cm="1">
        <f t="array" ref="I86">IFERROR(SUMPRODUCT(('Planning Engine'!$B$4:$B$2500="50mg DP")*(YEAR('Planning Engine'!$A$4:$A$2500)=2033)*(MONTH('Planning Engine'!$A$4:$A$2500)=12)*'Planning Engine'!$H$4:$H$2500),0)</f>
        <v>267607</v>
      </c>
      <c r="J86" cm="1">
        <f t="array" aca="1" ref="J86" ca="1">IFERROR(SUMPRODUCT(('Planning Engine'!$B$4:$B$2500="50mg DP")*(YEAR('Planning Engine'!$A$4:$A$2500)=2033)*'Planning Engine'!$K$4:$K$2500),0)</f>
        <v>0</v>
      </c>
      <c r="K86" s="12" t="str" cm="1">
        <f t="array" aca="1" ref="K86" ca="1">IFERROR(IF(SUMPRODUCT(('Planning Engine'!$B$4:$B$2500="50mg DP")*(YEAR('Planning Engine'!$A$4:$A$2500)=2033)*('Planning Engine'!$L$4:$L$2500="High"))&gt;0,"High",IF(SUMPRODUCT(('Planning Engine'!$B$4:$B$2500="50mg DP")*(YEAR('Planning Engine'!$A$4:$A$2500)=2033)*('Planning Engine'!$L$4:$L$2500="Medium"))&gt;0,"Medium",IF(SUMPRODUCT(('Planning Engine'!$B$4:$B$2500="50mg DP")*(YEAR('Planning Engine'!$A$4:$A$2500)=2033)*('Planning Engine'!$L$4:$L$2500="Overstock"))&gt;0,"Overstock","Low"))),"--")</f>
        <v>Overstock</v>
      </c>
    </row>
    <row r="87" spans="1:11" ht="14" customHeight="1" x14ac:dyDescent="0.35">
      <c r="A87" s="53" t="s">
        <v>43</v>
      </c>
      <c r="B87" s="107" t="s">
        <v>38</v>
      </c>
      <c r="C87" s="4">
        <v>2034</v>
      </c>
      <c r="D87" s="99" cm="1">
        <f t="array" ref="D87">IFERROR(SUMPRODUCT(('Planning Engine'!$B$4:$B$2500="50mg DP")*(YEAR('Planning Engine'!$A$4:$A$2500)=2034)*'Planning Engine'!$F$4:$F$2500),0)</f>
        <v>0</v>
      </c>
      <c r="E87" s="99" cm="1">
        <f t="array" ref="E87">IFERROR(SUMPRODUCT(('Planning Engine'!$B$4:$B$2500="50mg DP")*(YEAR('Planning Engine'!$A$4:$A$2500)=2034)*'Planning Engine'!$G$4:$G$2500),0)</f>
        <v>0</v>
      </c>
      <c r="F87" s="99" cm="1">
        <f t="array" ref="F87">IFERROR(SUMPRODUCT(('Planning Engine'!$B$4:$B$2500="50mg DP")*(YEAR('Planning Engine'!$A$4:$A$2500)=2034)*(MONTH('Planning Engine'!$A$4:$A$2500)=6)*'Planning Engine'!$H$4:$H$2500),0)</f>
        <v>267607</v>
      </c>
      <c r="G87" s="99" cm="1">
        <f t="array" ref="G87">IFERROR(SUMPRODUCT(('Planning Engine'!$B$4:$B$2500="50mg DP")*(YEAR('Planning Engine'!$A$4:$A$2500)=2034)*(MONTH('Planning Engine'!$A$4:$A$2500)=12)*'Planning Engine'!$H$4:$H$2500),0)</f>
        <v>267607</v>
      </c>
      <c r="H87" s="99" cm="1">
        <f t="array" aca="1" ref="H87" ca="1">IFERROR(SUMPRODUCT(('Planning Engine'!$B$4:$B$2500="50mg DP")*(YEAR('Planning Engine'!$A$4:$A$2500)=2034)*('Planning Engine'!$J$4:$J$2500&gt;0)*'Planning Engine'!$J$4:$J$2500)/MAX(1,SUMPRODUCT(('Planning Engine'!$B$4:$B$2500="50mg DP")*(YEAR('Planning Engine'!$A$4:$A$2500)=2034)*('Planning Engine'!$J$4:$J$2500&gt;0))),0)</f>
        <v>999</v>
      </c>
      <c r="I87" s="4" cm="1">
        <f t="array" ref="I87">IFERROR(SUMPRODUCT(('Planning Engine'!$B$4:$B$2500="50mg DP")*(YEAR('Planning Engine'!$A$4:$A$2500)=2034)*(MONTH('Planning Engine'!$A$4:$A$2500)=12)*'Planning Engine'!$H$4:$H$2500),0)</f>
        <v>267607</v>
      </c>
      <c r="J87" cm="1">
        <f t="array" aca="1" ref="J87" ca="1">IFERROR(SUMPRODUCT(('Planning Engine'!$B$4:$B$2500="50mg DP")*(YEAR('Planning Engine'!$A$4:$A$2500)=2034)*'Planning Engine'!$K$4:$K$2500),0)</f>
        <v>0</v>
      </c>
      <c r="K87" s="4" t="str" cm="1">
        <f t="array" aca="1" ref="K87" ca="1">IFERROR(IF(SUMPRODUCT(('Planning Engine'!$B$4:$B$2500="50mg DP")*(YEAR('Planning Engine'!$A$4:$A$2500)=2034)*('Planning Engine'!$L$4:$L$2500="High"))&gt;0,"High",IF(SUMPRODUCT(('Planning Engine'!$B$4:$B$2500="50mg DP")*(YEAR('Planning Engine'!$A$4:$A$2500)=2034)*('Planning Engine'!$L$4:$L$2500="Medium"))&gt;0,"Medium",IF(SUMPRODUCT(('Planning Engine'!$B$4:$B$2500="50mg DP")*(YEAR('Planning Engine'!$A$4:$A$2500)=2034)*('Planning Engine'!$L$4:$L$2500="Overstock"))&gt;0,"Overstock","Low"))),"--")</f>
        <v>Overstock</v>
      </c>
    </row>
    <row r="88" spans="1:11" ht="14" customHeight="1" x14ac:dyDescent="0.35">
      <c r="A88" s="61" t="s">
        <v>43</v>
      </c>
      <c r="B88" s="106" t="s">
        <v>38</v>
      </c>
      <c r="C88" s="12">
        <v>2035</v>
      </c>
      <c r="D88" s="95" cm="1">
        <f t="array" ref="D88">IFERROR(SUMPRODUCT(('Planning Engine'!$B$4:$B$2500="50mg DP")*(YEAR('Planning Engine'!$A$4:$A$2500)=2035)*'Planning Engine'!$F$4:$F$2500),0)</f>
        <v>0</v>
      </c>
      <c r="E88" s="95" cm="1">
        <f t="array" ref="E88">IFERROR(SUMPRODUCT(('Planning Engine'!$B$4:$B$2500="50mg DP")*(YEAR('Planning Engine'!$A$4:$A$2500)=2035)*'Planning Engine'!$G$4:$G$2500),0)</f>
        <v>0</v>
      </c>
      <c r="F88" s="95" cm="1">
        <f t="array" ref="F88">IFERROR(SUMPRODUCT(('Planning Engine'!$B$4:$B$2500="50mg DP")*(YEAR('Planning Engine'!$A$4:$A$2500)=2035)*(MONTH('Planning Engine'!$A$4:$A$2500)=6)*'Planning Engine'!$H$4:$H$2500),0)</f>
        <v>267607</v>
      </c>
      <c r="G88" s="95" cm="1">
        <f t="array" ref="G88">IFERROR(SUMPRODUCT(('Planning Engine'!$B$4:$B$2500="50mg DP")*(YEAR('Planning Engine'!$A$4:$A$2500)=2035)*(MONTH('Planning Engine'!$A$4:$A$2500)=12)*'Planning Engine'!$H$4:$H$2500),0)</f>
        <v>267607</v>
      </c>
      <c r="H88" s="95" cm="1">
        <f t="array" aca="1" ref="H88" ca="1">IFERROR(SUMPRODUCT(('Planning Engine'!$B$4:$B$2500="50mg DP")*(YEAR('Planning Engine'!$A$4:$A$2500)=2035)*('Planning Engine'!$J$4:$J$2500&gt;0)*'Planning Engine'!$J$4:$J$2500)/MAX(1,SUMPRODUCT(('Planning Engine'!$B$4:$B$2500="50mg DP")*(YEAR('Planning Engine'!$A$4:$A$2500)=2035)*('Planning Engine'!$J$4:$J$2500&gt;0))),0)</f>
        <v>999</v>
      </c>
      <c r="I88" s="12" cm="1">
        <f t="array" ref="I88">IFERROR(SUMPRODUCT(('Planning Engine'!$B$4:$B$2500="50mg DP")*(YEAR('Planning Engine'!$A$4:$A$2500)=2035)*(MONTH('Planning Engine'!$A$4:$A$2500)=12)*'Planning Engine'!$H$4:$H$2500),0)</f>
        <v>267607</v>
      </c>
      <c r="J88" cm="1">
        <f t="array" aca="1" ref="J88" ca="1">IFERROR(SUMPRODUCT(('Planning Engine'!$B$4:$B$2500="50mg DP")*(YEAR('Planning Engine'!$A$4:$A$2500)=2035)*'Planning Engine'!$K$4:$K$2500),0)</f>
        <v>0</v>
      </c>
      <c r="K88" s="12" t="str" cm="1">
        <f t="array" aca="1" ref="K88" ca="1">IFERROR(IF(SUMPRODUCT(('Planning Engine'!$B$4:$B$2500="50mg DP")*(YEAR('Planning Engine'!$A$4:$A$2500)=2035)*('Planning Engine'!$L$4:$L$2500="High"))&gt;0,"High",IF(SUMPRODUCT(('Planning Engine'!$B$4:$B$2500="50mg DP")*(YEAR('Planning Engine'!$A$4:$A$2500)=2035)*('Planning Engine'!$L$4:$L$2500="Medium"))&gt;0,"Medium",IF(SUMPRODUCT(('Planning Engine'!$B$4:$B$2500="50mg DP")*(YEAR('Planning Engine'!$A$4:$A$2500)=2035)*('Planning Engine'!$L$4:$L$2500="Overstock"))&gt;0,"Overstock","Low"))),"--")</f>
        <v>Overstock</v>
      </c>
    </row>
    <row r="89" spans="1:11" ht="14" customHeight="1" x14ac:dyDescent="0.35">
      <c r="A89" s="53" t="s">
        <v>43</v>
      </c>
      <c r="B89" s="107" t="s">
        <v>38</v>
      </c>
      <c r="C89" s="4">
        <v>2036</v>
      </c>
      <c r="D89" s="99" cm="1">
        <f t="array" ref="D89">IFERROR(SUMPRODUCT(('Planning Engine'!$B$4:$B$2500="50mg DP")*(YEAR('Planning Engine'!$A$4:$A$2500)=2036)*'Planning Engine'!$F$4:$F$2500),0)</f>
        <v>0</v>
      </c>
      <c r="E89" s="99" cm="1">
        <f t="array" ref="E89">IFERROR(SUMPRODUCT(('Planning Engine'!$B$4:$B$2500="50mg DP")*(YEAR('Planning Engine'!$A$4:$A$2500)=2036)*'Planning Engine'!$G$4:$G$2500),0)</f>
        <v>0</v>
      </c>
      <c r="F89" s="99" cm="1">
        <f t="array" ref="F89">IFERROR(SUMPRODUCT(('Planning Engine'!$B$4:$B$2500="50mg DP")*(YEAR('Planning Engine'!$A$4:$A$2500)=2036)*(MONTH('Planning Engine'!$A$4:$A$2500)=6)*'Planning Engine'!$H$4:$H$2500),0)</f>
        <v>267607</v>
      </c>
      <c r="G89" s="99" cm="1">
        <f t="array" ref="G89">IFERROR(SUMPRODUCT(('Planning Engine'!$B$4:$B$2500="50mg DP")*(YEAR('Planning Engine'!$A$4:$A$2500)=2036)*(MONTH('Planning Engine'!$A$4:$A$2500)=12)*'Planning Engine'!$H$4:$H$2500),0)</f>
        <v>267607</v>
      </c>
      <c r="H89" s="99" cm="1">
        <f t="array" aca="1" ref="H89" ca="1">IFERROR(SUMPRODUCT(('Planning Engine'!$B$4:$B$2500="50mg DP")*(YEAR('Planning Engine'!$A$4:$A$2500)=2036)*('Planning Engine'!$J$4:$J$2500&gt;0)*'Planning Engine'!$J$4:$J$2500)/MAX(1,SUMPRODUCT(('Planning Engine'!$B$4:$B$2500="50mg DP")*(YEAR('Planning Engine'!$A$4:$A$2500)=2036)*('Planning Engine'!$J$4:$J$2500&gt;0))),0)</f>
        <v>999</v>
      </c>
      <c r="I89" s="4" cm="1">
        <f t="array" ref="I89">IFERROR(SUMPRODUCT(('Planning Engine'!$B$4:$B$2500="50mg DP")*(YEAR('Planning Engine'!$A$4:$A$2500)=2036)*(MONTH('Planning Engine'!$A$4:$A$2500)=12)*'Planning Engine'!$H$4:$H$2500),0)</f>
        <v>267607</v>
      </c>
      <c r="J89" cm="1">
        <f t="array" aca="1" ref="J89" ca="1">IFERROR(SUMPRODUCT(('Planning Engine'!$B$4:$B$2500="50mg DP")*(YEAR('Planning Engine'!$A$4:$A$2500)=2036)*'Planning Engine'!$K$4:$K$2500),0)</f>
        <v>0</v>
      </c>
      <c r="K89" s="4" t="str" cm="1">
        <f t="array" aca="1" ref="K89" ca="1">IFERROR(IF(SUMPRODUCT(('Planning Engine'!$B$4:$B$2500="50mg DP")*(YEAR('Planning Engine'!$A$4:$A$2500)=2036)*('Planning Engine'!$L$4:$L$2500="High"))&gt;0,"High",IF(SUMPRODUCT(('Planning Engine'!$B$4:$B$2500="50mg DP")*(YEAR('Planning Engine'!$A$4:$A$2500)=2036)*('Planning Engine'!$L$4:$L$2500="Medium"))&gt;0,"Medium",IF(SUMPRODUCT(('Planning Engine'!$B$4:$B$2500="50mg DP")*(YEAR('Planning Engine'!$A$4:$A$2500)=2036)*('Planning Engine'!$L$4:$L$2500="Overstock"))&gt;0,"Overstock","Low"))),"--")</f>
        <v>Overstock</v>
      </c>
    </row>
    <row r="90" spans="1:11" ht="14" customHeight="1" x14ac:dyDescent="0.35">
      <c r="A90" s="61" t="s">
        <v>43</v>
      </c>
      <c r="B90" s="106" t="s">
        <v>38</v>
      </c>
      <c r="C90" s="12">
        <v>2037</v>
      </c>
      <c r="D90" s="95" cm="1">
        <f t="array" ref="D90">IFERROR(SUMPRODUCT(('Planning Engine'!$B$4:$B$2500="50mg DP")*(YEAR('Planning Engine'!$A$4:$A$2500)=2037)*'Planning Engine'!$F$4:$F$2500),0)</f>
        <v>0</v>
      </c>
      <c r="E90" s="95" cm="1">
        <f t="array" ref="E90">IFERROR(SUMPRODUCT(('Planning Engine'!$B$4:$B$2500="50mg DP")*(YEAR('Planning Engine'!$A$4:$A$2500)=2037)*'Planning Engine'!$G$4:$G$2500),0)</f>
        <v>0</v>
      </c>
      <c r="F90" s="95" cm="1">
        <f t="array" ref="F90">IFERROR(SUMPRODUCT(('Planning Engine'!$B$4:$B$2500="50mg DP")*(YEAR('Planning Engine'!$A$4:$A$2500)=2037)*(MONTH('Planning Engine'!$A$4:$A$2500)=6)*'Planning Engine'!$H$4:$H$2500),0)</f>
        <v>267607</v>
      </c>
      <c r="G90" s="95" cm="1">
        <f t="array" ref="G90">IFERROR(SUMPRODUCT(('Planning Engine'!$B$4:$B$2500="50mg DP")*(YEAR('Planning Engine'!$A$4:$A$2500)=2037)*(MONTH('Planning Engine'!$A$4:$A$2500)=12)*'Planning Engine'!$H$4:$H$2500),0)</f>
        <v>267607</v>
      </c>
      <c r="H90" s="95" cm="1">
        <f t="array" aca="1" ref="H90" ca="1">IFERROR(SUMPRODUCT(('Planning Engine'!$B$4:$B$2500="50mg DP")*(YEAR('Planning Engine'!$A$4:$A$2500)=2037)*('Planning Engine'!$J$4:$J$2500&gt;0)*'Planning Engine'!$J$4:$J$2500)/MAX(1,SUMPRODUCT(('Planning Engine'!$B$4:$B$2500="50mg DP")*(YEAR('Planning Engine'!$A$4:$A$2500)=2037)*('Planning Engine'!$J$4:$J$2500&gt;0))),0)</f>
        <v>999</v>
      </c>
      <c r="I90" s="12" cm="1">
        <f t="array" ref="I90">IFERROR(SUMPRODUCT(('Planning Engine'!$B$4:$B$2500="50mg DP")*(YEAR('Planning Engine'!$A$4:$A$2500)=2037)*(MONTH('Planning Engine'!$A$4:$A$2500)=12)*'Planning Engine'!$H$4:$H$2500),0)</f>
        <v>267607</v>
      </c>
      <c r="J90" cm="1">
        <f t="array" aca="1" ref="J90" ca="1">IFERROR(SUMPRODUCT(('Planning Engine'!$B$4:$B$2500="50mg DP")*(YEAR('Planning Engine'!$A$4:$A$2500)=2037)*'Planning Engine'!$K$4:$K$2500),0)</f>
        <v>0</v>
      </c>
      <c r="K90" s="12" t="str" cm="1">
        <f t="array" aca="1" ref="K90" ca="1">IFERROR(IF(SUMPRODUCT(('Planning Engine'!$B$4:$B$2500="50mg DP")*(YEAR('Planning Engine'!$A$4:$A$2500)=2037)*('Planning Engine'!$L$4:$L$2500="High"))&gt;0,"High",IF(SUMPRODUCT(('Planning Engine'!$B$4:$B$2500="50mg DP")*(YEAR('Planning Engine'!$A$4:$A$2500)=2037)*('Planning Engine'!$L$4:$L$2500="Medium"))&gt;0,"Medium",IF(SUMPRODUCT(('Planning Engine'!$B$4:$B$2500="50mg DP")*(YEAR('Planning Engine'!$A$4:$A$2500)=2037)*('Planning Engine'!$L$4:$L$2500="Overstock"))&gt;0,"Overstock","Low"))),"--")</f>
        <v>Overstock</v>
      </c>
    </row>
    <row r="91" spans="1:11" ht="14" customHeight="1" x14ac:dyDescent="0.35">
      <c r="A91" s="53" t="s">
        <v>43</v>
      </c>
      <c r="B91" s="107" t="s">
        <v>38</v>
      </c>
      <c r="C91" s="4">
        <v>2038</v>
      </c>
      <c r="D91" s="99" cm="1">
        <f t="array" ref="D91">IFERROR(SUMPRODUCT(('Planning Engine'!$B$4:$B$2500="50mg DP")*(YEAR('Planning Engine'!$A$4:$A$2500)=2038)*'Planning Engine'!$F$4:$F$2500),0)</f>
        <v>0</v>
      </c>
      <c r="E91" s="99" cm="1">
        <f t="array" ref="E91">IFERROR(SUMPRODUCT(('Planning Engine'!$B$4:$B$2500="50mg DP")*(YEAR('Planning Engine'!$A$4:$A$2500)=2038)*'Planning Engine'!$G$4:$G$2500),0)</f>
        <v>0</v>
      </c>
      <c r="F91" s="99" cm="1">
        <f t="array" ref="F91">IFERROR(SUMPRODUCT(('Planning Engine'!$B$4:$B$2500="50mg DP")*(YEAR('Planning Engine'!$A$4:$A$2500)=2038)*(MONTH('Planning Engine'!$A$4:$A$2500)=6)*'Planning Engine'!$H$4:$H$2500),0)</f>
        <v>267607</v>
      </c>
      <c r="G91" s="99" cm="1">
        <f t="array" ref="G91">IFERROR(SUMPRODUCT(('Planning Engine'!$B$4:$B$2500="50mg DP")*(YEAR('Planning Engine'!$A$4:$A$2500)=2038)*(MONTH('Planning Engine'!$A$4:$A$2500)=12)*'Planning Engine'!$H$4:$H$2500),0)</f>
        <v>267607</v>
      </c>
      <c r="H91" s="99" cm="1">
        <f t="array" aca="1" ref="H91" ca="1">IFERROR(SUMPRODUCT(('Planning Engine'!$B$4:$B$2500="50mg DP")*(YEAR('Planning Engine'!$A$4:$A$2500)=2038)*('Planning Engine'!$J$4:$J$2500&gt;0)*'Planning Engine'!$J$4:$J$2500)/MAX(1,SUMPRODUCT(('Planning Engine'!$B$4:$B$2500="50mg DP")*(YEAR('Planning Engine'!$A$4:$A$2500)=2038)*('Planning Engine'!$J$4:$J$2500&gt;0))),0)</f>
        <v>999</v>
      </c>
      <c r="I91" s="4" cm="1">
        <f t="array" ref="I91">IFERROR(SUMPRODUCT(('Planning Engine'!$B$4:$B$2500="50mg DP")*(YEAR('Planning Engine'!$A$4:$A$2500)=2038)*(MONTH('Planning Engine'!$A$4:$A$2500)=12)*'Planning Engine'!$H$4:$H$2500),0)</f>
        <v>267607</v>
      </c>
      <c r="J91" cm="1">
        <f t="array" aca="1" ref="J91" ca="1">IFERROR(SUMPRODUCT(('Planning Engine'!$B$4:$B$2500="50mg DP")*(YEAR('Planning Engine'!$A$4:$A$2500)=2038)*'Planning Engine'!$K$4:$K$2500),0)</f>
        <v>0</v>
      </c>
      <c r="K91" s="4" t="str" cm="1">
        <f t="array" aca="1" ref="K91" ca="1">IFERROR(IF(SUMPRODUCT(('Planning Engine'!$B$4:$B$2500="50mg DP")*(YEAR('Planning Engine'!$A$4:$A$2500)=2038)*('Planning Engine'!$L$4:$L$2500="High"))&gt;0,"High",IF(SUMPRODUCT(('Planning Engine'!$B$4:$B$2500="50mg DP")*(YEAR('Planning Engine'!$A$4:$A$2500)=2038)*('Planning Engine'!$L$4:$L$2500="Medium"))&gt;0,"Medium",IF(SUMPRODUCT(('Planning Engine'!$B$4:$B$2500="50mg DP")*(YEAR('Planning Engine'!$A$4:$A$2500)=2038)*('Planning Engine'!$L$4:$L$2500="Overstock"))&gt;0,"Overstock","Low"))),"--")</f>
        <v>Overstock</v>
      </c>
    </row>
    <row r="92" spans="1:11" ht="14" customHeight="1" x14ac:dyDescent="0.35">
      <c r="A92" s="61" t="s">
        <v>43</v>
      </c>
      <c r="B92" s="106" t="s">
        <v>38</v>
      </c>
      <c r="C92" s="12">
        <v>2039</v>
      </c>
      <c r="D92" s="95" cm="1">
        <f t="array" ref="D92">IFERROR(SUMPRODUCT(('Planning Engine'!$B$4:$B$2500="50mg DP")*(YEAR('Planning Engine'!$A$4:$A$2500)=2039)*'Planning Engine'!$F$4:$F$2500),0)</f>
        <v>0</v>
      </c>
      <c r="E92" s="95" cm="1">
        <f t="array" ref="E92">IFERROR(SUMPRODUCT(('Planning Engine'!$B$4:$B$2500="50mg DP")*(YEAR('Planning Engine'!$A$4:$A$2500)=2039)*'Planning Engine'!$G$4:$G$2500),0)</f>
        <v>0</v>
      </c>
      <c r="F92" s="95" cm="1">
        <f t="array" ref="F92">IFERROR(SUMPRODUCT(('Planning Engine'!$B$4:$B$2500="50mg DP")*(YEAR('Planning Engine'!$A$4:$A$2500)=2039)*(MONTH('Planning Engine'!$A$4:$A$2500)=6)*'Planning Engine'!$H$4:$H$2500),0)</f>
        <v>267607</v>
      </c>
      <c r="G92" s="95" cm="1">
        <f t="array" ref="G92">IFERROR(SUMPRODUCT(('Planning Engine'!$B$4:$B$2500="50mg DP")*(YEAR('Planning Engine'!$A$4:$A$2500)=2039)*(MONTH('Planning Engine'!$A$4:$A$2500)=12)*'Planning Engine'!$H$4:$H$2500),0)</f>
        <v>267607</v>
      </c>
      <c r="H92" s="95" cm="1">
        <f t="array" aca="1" ref="H92" ca="1">IFERROR(SUMPRODUCT(('Planning Engine'!$B$4:$B$2500="50mg DP")*(YEAR('Planning Engine'!$A$4:$A$2500)=2039)*('Planning Engine'!$J$4:$J$2500&gt;0)*'Planning Engine'!$J$4:$J$2500)/MAX(1,SUMPRODUCT(('Planning Engine'!$B$4:$B$2500="50mg DP")*(YEAR('Planning Engine'!$A$4:$A$2500)=2039)*('Planning Engine'!$J$4:$J$2500&gt;0))),0)</f>
        <v>999</v>
      </c>
      <c r="I92" s="12" cm="1">
        <f t="array" ref="I92">IFERROR(SUMPRODUCT(('Planning Engine'!$B$4:$B$2500="50mg DP")*(YEAR('Planning Engine'!$A$4:$A$2500)=2039)*(MONTH('Planning Engine'!$A$4:$A$2500)=12)*'Planning Engine'!$H$4:$H$2500),0)</f>
        <v>267607</v>
      </c>
      <c r="J92" cm="1">
        <f t="array" aca="1" ref="J92" ca="1">IFERROR(SUMPRODUCT(('Planning Engine'!$B$4:$B$2500="50mg DP")*(YEAR('Planning Engine'!$A$4:$A$2500)=2039)*'Planning Engine'!$K$4:$K$2500),0)</f>
        <v>0</v>
      </c>
      <c r="K92" s="12" t="str" cm="1">
        <f t="array" aca="1" ref="K92" ca="1">IFERROR(IF(SUMPRODUCT(('Planning Engine'!$B$4:$B$2500="50mg DP")*(YEAR('Planning Engine'!$A$4:$A$2500)=2039)*('Planning Engine'!$L$4:$L$2500="High"))&gt;0,"High",IF(SUMPRODUCT(('Planning Engine'!$B$4:$B$2500="50mg DP")*(YEAR('Planning Engine'!$A$4:$A$2500)=2039)*('Planning Engine'!$L$4:$L$2500="Medium"))&gt;0,"Medium",IF(SUMPRODUCT(('Planning Engine'!$B$4:$B$2500="50mg DP")*(YEAR('Planning Engine'!$A$4:$A$2500)=2039)*('Planning Engine'!$L$4:$L$2500="Overstock"))&gt;0,"Overstock","Low"))),"--")</f>
        <v>Overstock</v>
      </c>
    </row>
    <row r="93" spans="1:11" ht="14" customHeight="1" x14ac:dyDescent="0.35">
      <c r="A93" s="53" t="s">
        <v>43</v>
      </c>
      <c r="B93" s="107" t="s">
        <v>38</v>
      </c>
      <c r="C93" s="4">
        <v>2040</v>
      </c>
      <c r="D93" s="99" cm="1">
        <f t="array" ref="D93">IFERROR(SUMPRODUCT(('Planning Engine'!$B$4:$B$2500="50mg DP")*(YEAR('Planning Engine'!$A$4:$A$2500)=2040)*'Planning Engine'!$F$4:$F$2500),0)</f>
        <v>0</v>
      </c>
      <c r="E93" s="99" cm="1">
        <f t="array" ref="E93">IFERROR(SUMPRODUCT(('Planning Engine'!$B$4:$B$2500="50mg DP")*(YEAR('Planning Engine'!$A$4:$A$2500)=2040)*'Planning Engine'!$G$4:$G$2500),0)</f>
        <v>0</v>
      </c>
      <c r="F93" s="99" cm="1">
        <f t="array" ref="F93">IFERROR(SUMPRODUCT(('Planning Engine'!$B$4:$B$2500="50mg DP")*(YEAR('Planning Engine'!$A$4:$A$2500)=2040)*(MONTH('Planning Engine'!$A$4:$A$2500)=6)*'Planning Engine'!$H$4:$H$2500),0)</f>
        <v>267607</v>
      </c>
      <c r="G93" s="99" cm="1">
        <f t="array" ref="G93">IFERROR(SUMPRODUCT(('Planning Engine'!$B$4:$B$2500="50mg DP")*(YEAR('Planning Engine'!$A$4:$A$2500)=2040)*(MONTH('Planning Engine'!$A$4:$A$2500)=12)*'Planning Engine'!$H$4:$H$2500),0)</f>
        <v>267607</v>
      </c>
      <c r="H93" s="99" cm="1">
        <f t="array" aca="1" ref="H93" ca="1">IFERROR(SUMPRODUCT(('Planning Engine'!$B$4:$B$2500="50mg DP")*(YEAR('Planning Engine'!$A$4:$A$2500)=2040)*('Planning Engine'!$J$4:$J$2500&gt;0)*'Planning Engine'!$J$4:$J$2500)/MAX(1,SUMPRODUCT(('Planning Engine'!$B$4:$B$2500="50mg DP")*(YEAR('Planning Engine'!$A$4:$A$2500)=2040)*('Planning Engine'!$J$4:$J$2500&gt;0))),0)</f>
        <v>999</v>
      </c>
      <c r="I93" s="4" cm="1">
        <f t="array" ref="I93">IFERROR(SUMPRODUCT(('Planning Engine'!$B$4:$B$2500="50mg DP")*(YEAR('Planning Engine'!$A$4:$A$2500)=2040)*(MONTH('Planning Engine'!$A$4:$A$2500)=12)*'Planning Engine'!$H$4:$H$2500),0)</f>
        <v>267607</v>
      </c>
      <c r="J93" cm="1">
        <f t="array" aca="1" ref="J93" ca="1">IFERROR(SUMPRODUCT(('Planning Engine'!$B$4:$B$2500="50mg DP")*(YEAR('Planning Engine'!$A$4:$A$2500)=2040)*'Planning Engine'!$K$4:$K$2500),0)</f>
        <v>0</v>
      </c>
      <c r="K93" s="4" t="str" cm="1">
        <f t="array" aca="1" ref="K93" ca="1">IFERROR(IF(SUMPRODUCT(('Planning Engine'!$B$4:$B$2500="50mg DP")*(YEAR('Planning Engine'!$A$4:$A$2500)=2040)*('Planning Engine'!$L$4:$L$2500="High"))&gt;0,"High",IF(SUMPRODUCT(('Planning Engine'!$B$4:$B$2500="50mg DP")*(YEAR('Planning Engine'!$A$4:$A$2500)=2040)*('Planning Engine'!$L$4:$L$2500="Medium"))&gt;0,"Medium",IF(SUMPRODUCT(('Planning Engine'!$B$4:$B$2500="50mg DP")*(YEAR('Planning Engine'!$A$4:$A$2500)=2040)*('Planning Engine'!$L$4:$L$2500="Overstock"))&gt;0,"Overstock","Low"))),"--")</f>
        <v>Overstock</v>
      </c>
    </row>
    <row r="94" spans="1:11" ht="14" customHeight="1" x14ac:dyDescent="0.35">
      <c r="A94" s="61" t="s">
        <v>45</v>
      </c>
      <c r="B94" s="106" t="s">
        <v>47</v>
      </c>
      <c r="C94" s="12">
        <v>2026</v>
      </c>
      <c r="D94" s="95" cm="1">
        <f t="array" ref="D94">IFERROR(SUMPRODUCT(('Planning Engine'!$B$4:$B$2500="Drug Substance")*(YEAR('Planning Engine'!$A$4:$A$2500)=2026)*'Planning Engine'!$F$4:$F$2500),0)</f>
        <v>14.2</v>
      </c>
      <c r="E94" s="95" cm="1">
        <f t="array" ref="E94">IFERROR(SUMPRODUCT(('Planning Engine'!$B$4:$B$2500="Drug Substance")*(YEAR('Planning Engine'!$A$4:$A$2500)=2026)*'Planning Engine'!$G$4:$G$2500),0)</f>
        <v>25.8</v>
      </c>
      <c r="F94" s="95" cm="1">
        <f t="array" ref="F94">IFERROR(SUMPRODUCT(('Planning Engine'!$B$4:$B$2500="Drug Substance")*(YEAR('Planning Engine'!$A$4:$A$2500)=2026)*(MONTH('Planning Engine'!$A$4:$A$2500)=6)*'Planning Engine'!$H$4:$H$2500),0)</f>
        <v>91.82</v>
      </c>
      <c r="G94" s="95" cm="1">
        <f t="array" ref="G94">IFERROR(SUMPRODUCT(('Planning Engine'!$B$4:$B$2500="Drug Substance")*(YEAR('Planning Engine'!$A$4:$A$2500)=2026)*(MONTH('Planning Engine'!$A$4:$A$2500)=12)*'Planning Engine'!$H$4:$H$2500),0)</f>
        <v>95.419999999999987</v>
      </c>
      <c r="H94" s="95" cm="1">
        <f t="array" aca="1" ref="H94" ca="1">IFERROR(SUMPRODUCT(('Planning Engine'!$B$4:$B$2500="Drug Substance")*(YEAR('Planning Engine'!$A$4:$A$2500)=2026)*('Planning Engine'!$J$4:$J$2500&gt;0)*'Planning Engine'!$J$4:$J$2500)/MAX(1,SUMPRODUCT(('Planning Engine'!$B$4:$B$2500="Drug Substance")*(YEAR('Planning Engine'!$A$4:$A$2500)=2026)*('Planning Engine'!$J$4:$J$2500&gt;0))),0)</f>
        <v>477.5735379119638</v>
      </c>
      <c r="I94" s="12" cm="1">
        <f t="array" ref="I94">IFERROR(SUMPRODUCT(('Planning Engine'!$B$4:$B$2500="Drug Substance")*(YEAR('Planning Engine'!$A$4:$A$2500)=2026)*(MONTH('Planning Engine'!$A$4:$A$2500)=12)*'Planning Engine'!$H$4:$H$2500),0)</f>
        <v>95.419999999999987</v>
      </c>
      <c r="J94" cm="1">
        <f t="array" aca="1" ref="J94" ca="1">IFERROR(SUMPRODUCT(('Planning Engine'!$B$4:$B$2500="Drug Substance")*(YEAR('Planning Engine'!$A$4:$A$2500)=2026)*'Planning Engine'!$K$4:$K$2500),0)</f>
        <v>0</v>
      </c>
      <c r="K94" s="12" t="str" cm="1">
        <f t="array" aca="1" ref="K94" ca="1">IFERROR(IF(SUMPRODUCT(('Planning Engine'!$B$4:$B$2500="Drug Substance")*(YEAR('Planning Engine'!$A$4:$A$2500)=2026)*('Planning Engine'!$L$4:$L$2500="High"))&gt;0,"High",IF(SUMPRODUCT(('Planning Engine'!$B$4:$B$2500="Drug Substance")*(YEAR('Planning Engine'!$A$4:$A$2500)=2026)*('Planning Engine'!$L$4:$L$2500="Medium"))&gt;0,"Medium",IF(SUMPRODUCT(('Planning Engine'!$B$4:$B$2500="Drug Substance")*(YEAR('Planning Engine'!$A$4:$A$2500)=2026)*('Planning Engine'!$L$4:$L$2500="Overstock"))&gt;0,"Overstock","Low"))),"--")</f>
        <v>Overstock</v>
      </c>
    </row>
    <row r="95" spans="1:11" ht="14" customHeight="1" x14ac:dyDescent="0.35">
      <c r="A95" s="53" t="s">
        <v>45</v>
      </c>
      <c r="B95" s="107" t="s">
        <v>47</v>
      </c>
      <c r="C95" s="4">
        <v>2027</v>
      </c>
      <c r="D95" s="99" cm="1">
        <f t="array" ref="D95">IFERROR(SUMPRODUCT(('Planning Engine'!$B$4:$B$2500="Drug Substance")*(YEAR('Planning Engine'!$A$4:$A$2500)=2027)*'Planning Engine'!$F$4:$F$2500),0)</f>
        <v>0</v>
      </c>
      <c r="E95" s="99" cm="1">
        <f t="array" ref="E95">IFERROR(SUMPRODUCT(('Planning Engine'!$B$4:$B$2500="Drug Substance")*(YEAR('Planning Engine'!$A$4:$A$2500)=2027)*'Planning Engine'!$G$4:$G$2500),0)</f>
        <v>34.4</v>
      </c>
      <c r="F95" s="99" cm="1">
        <f t="array" ref="F95">IFERROR(SUMPRODUCT(('Planning Engine'!$B$4:$B$2500="Drug Substance")*(YEAR('Planning Engine'!$A$4:$A$2500)=2027)*(MONTH('Planning Engine'!$A$4:$A$2500)=6)*'Planning Engine'!$H$4:$H$2500),0)</f>
        <v>121.21999999999997</v>
      </c>
      <c r="G95" s="99" cm="1">
        <f t="array" ref="G95">IFERROR(SUMPRODUCT(('Planning Engine'!$B$4:$B$2500="Drug Substance")*(YEAR('Planning Engine'!$A$4:$A$2500)=2027)*(MONTH('Planning Engine'!$A$4:$A$2500)=12)*'Planning Engine'!$H$4:$H$2500),0)</f>
        <v>129.81999999999996</v>
      </c>
      <c r="H95" s="99" cm="1">
        <f t="array" aca="1" ref="H95" ca="1">IFERROR(SUMPRODUCT(('Planning Engine'!$B$4:$B$2500="Drug Substance")*(YEAR('Planning Engine'!$A$4:$A$2500)=2027)*('Planning Engine'!$J$4:$J$2500&gt;0)*'Planning Engine'!$J$4:$J$2500)/MAX(1,SUMPRODUCT(('Planning Engine'!$B$4:$B$2500="Drug Substance")*(YEAR('Planning Engine'!$A$4:$A$2500)=2027)*('Planning Engine'!$J$4:$J$2500&gt;0))),0)</f>
        <v>915.93923673359404</v>
      </c>
      <c r="I95" s="4" cm="1">
        <f t="array" ref="I95">IFERROR(SUMPRODUCT(('Planning Engine'!$B$4:$B$2500="Drug Substance")*(YEAR('Planning Engine'!$A$4:$A$2500)=2027)*(MONTH('Planning Engine'!$A$4:$A$2500)=12)*'Planning Engine'!$H$4:$H$2500),0)</f>
        <v>129.81999999999996</v>
      </c>
      <c r="J95" cm="1">
        <f t="array" aca="1" ref="J95" ca="1">IFERROR(SUMPRODUCT(('Planning Engine'!$B$4:$B$2500="Drug Substance")*(YEAR('Planning Engine'!$A$4:$A$2500)=2027)*'Planning Engine'!$K$4:$K$2500),0)</f>
        <v>554.69999999999993</v>
      </c>
      <c r="K95" s="4" t="str" cm="1">
        <f t="array" aca="1" ref="K95" ca="1">IFERROR(IF(SUMPRODUCT(('Planning Engine'!$B$4:$B$2500="Drug Substance")*(YEAR('Planning Engine'!$A$4:$A$2500)=2027)*('Planning Engine'!$L$4:$L$2500="High"))&gt;0,"High",IF(SUMPRODUCT(('Planning Engine'!$B$4:$B$2500="Drug Substance")*(YEAR('Planning Engine'!$A$4:$A$2500)=2027)*('Planning Engine'!$L$4:$L$2500="Medium"))&gt;0,"Medium",IF(SUMPRODUCT(('Planning Engine'!$B$4:$B$2500="Drug Substance")*(YEAR('Planning Engine'!$A$4:$A$2500)=2027)*('Planning Engine'!$L$4:$L$2500="Overstock"))&gt;0,"Overstock","Low"))),"--")</f>
        <v>High</v>
      </c>
    </row>
    <row r="96" spans="1:11" ht="14" customHeight="1" x14ac:dyDescent="0.35">
      <c r="A96" s="61" t="s">
        <v>45</v>
      </c>
      <c r="B96" s="106" t="s">
        <v>47</v>
      </c>
      <c r="C96" s="12">
        <v>2028</v>
      </c>
      <c r="D96" s="95" cm="1">
        <f t="array" ref="D96">IFERROR(SUMPRODUCT(('Planning Engine'!$B$4:$B$2500="Drug Substance")*(YEAR('Planning Engine'!$A$4:$A$2500)=2028)*'Planning Engine'!$F$4:$F$2500),0)</f>
        <v>57.168252314814815</v>
      </c>
      <c r="E96" s="95" cm="1">
        <f t="array" ref="E96">IFERROR(SUMPRODUCT(('Planning Engine'!$B$4:$B$2500="Drug Substance")*(YEAR('Planning Engine'!$A$4:$A$2500)=2028)*'Planning Engine'!$G$4:$G$2500),0)</f>
        <v>0</v>
      </c>
      <c r="F96" s="95" cm="1">
        <f t="array" ref="F96">IFERROR(SUMPRODUCT(('Planning Engine'!$B$4:$B$2500="Drug Substance")*(YEAR('Planning Engine'!$A$4:$A$2500)=2028)*(MONTH('Planning Engine'!$A$4:$A$2500)=6)*'Planning Engine'!$H$4:$H$2500),0)</f>
        <v>129.81999999999996</v>
      </c>
      <c r="G96" s="95" cm="1">
        <f t="array" ref="G96">IFERROR(SUMPRODUCT(('Planning Engine'!$B$4:$B$2500="Drug Substance")*(YEAR('Planning Engine'!$A$4:$A$2500)=2028)*(MONTH('Planning Engine'!$A$4:$A$2500)=12)*'Planning Engine'!$H$4:$H$2500),0)</f>
        <v>72.651747685185143</v>
      </c>
      <c r="H96" s="95" cm="1">
        <f t="array" aca="1" ref="H96" ca="1">IFERROR(SUMPRODUCT(('Planning Engine'!$B$4:$B$2500="Drug Substance")*(YEAR('Planning Engine'!$A$4:$A$2500)=2028)*('Planning Engine'!$J$4:$J$2500&gt;0)*'Planning Engine'!$J$4:$J$2500)/MAX(1,SUMPRODUCT(('Planning Engine'!$B$4:$B$2500="Drug Substance")*(YEAR('Planning Engine'!$A$4:$A$2500)=2028)*('Planning Engine'!$J$4:$J$2500&gt;0))),0)</f>
        <v>334.43056053541869</v>
      </c>
      <c r="I96" s="12" cm="1">
        <f t="array" ref="I96">IFERROR(SUMPRODUCT(('Planning Engine'!$B$4:$B$2500="Drug Substance")*(YEAR('Planning Engine'!$A$4:$A$2500)=2028)*(MONTH('Planning Engine'!$A$4:$A$2500)=12)*'Planning Engine'!$H$4:$H$2500),0)</f>
        <v>72.651747685185143</v>
      </c>
      <c r="J96" cm="1">
        <f t="array" aca="1" ref="J96" ca="1">IFERROR(SUMPRODUCT(('Planning Engine'!$B$4:$B$2500="Drug Substance")*(YEAR('Planning Engine'!$A$4:$A$2500)=2028)*'Planning Engine'!$K$4:$K$2500),0)</f>
        <v>4497.7999999999993</v>
      </c>
      <c r="K96" s="12" t="str" cm="1">
        <f t="array" aca="1" ref="K96" ca="1">IFERROR(IF(SUMPRODUCT(('Planning Engine'!$B$4:$B$2500="Drug Substance")*(YEAR('Planning Engine'!$A$4:$A$2500)=2028)*('Planning Engine'!$L$4:$L$2500="High"))&gt;0,"High",IF(SUMPRODUCT(('Planning Engine'!$B$4:$B$2500="Drug Substance")*(YEAR('Planning Engine'!$A$4:$A$2500)=2028)*('Planning Engine'!$L$4:$L$2500="Medium"))&gt;0,"Medium",IF(SUMPRODUCT(('Planning Engine'!$B$4:$B$2500="Drug Substance")*(YEAR('Planning Engine'!$A$4:$A$2500)=2028)*('Planning Engine'!$L$4:$L$2500="Overstock"))&gt;0,"Overstock","Low"))),"--")</f>
        <v>High</v>
      </c>
    </row>
    <row r="97" spans="1:11" ht="14" customHeight="1" x14ac:dyDescent="0.35">
      <c r="A97" s="53" t="s">
        <v>45</v>
      </c>
      <c r="B97" s="107" t="s">
        <v>47</v>
      </c>
      <c r="C97" s="4">
        <v>2029</v>
      </c>
      <c r="D97" s="99" cm="1">
        <f t="array" ref="D97">IFERROR(SUMPRODUCT(('Planning Engine'!$B$4:$B$2500="Drug Substance")*(YEAR('Planning Engine'!$A$4:$A$2500)=2029)*'Planning Engine'!$F$4:$F$2500),0)</f>
        <v>0</v>
      </c>
      <c r="E97" s="99" cm="1">
        <f t="array" ref="E97">IFERROR(SUMPRODUCT(('Planning Engine'!$B$4:$B$2500="Drug Substance")*(YEAR('Planning Engine'!$A$4:$A$2500)=2029)*'Planning Engine'!$G$4:$G$2500),0)</f>
        <v>0</v>
      </c>
      <c r="F97" s="99" cm="1">
        <f t="array" ref="F97">IFERROR(SUMPRODUCT(('Planning Engine'!$B$4:$B$2500="Drug Substance")*(YEAR('Planning Engine'!$A$4:$A$2500)=2029)*(MONTH('Planning Engine'!$A$4:$A$2500)=6)*'Planning Engine'!$H$4:$H$2500),0)</f>
        <v>72.651747685185143</v>
      </c>
      <c r="G97" s="99" cm="1">
        <f t="array" ref="G97">IFERROR(SUMPRODUCT(('Planning Engine'!$B$4:$B$2500="Drug Substance")*(YEAR('Planning Engine'!$A$4:$A$2500)=2029)*(MONTH('Planning Engine'!$A$4:$A$2500)=12)*'Planning Engine'!$H$4:$H$2500),0)</f>
        <v>72.651747685185143</v>
      </c>
      <c r="H97" s="99" cm="1">
        <f t="array" aca="1" ref="H97" ca="1">IFERROR(SUMPRODUCT(('Planning Engine'!$B$4:$B$2500="Drug Substance")*(YEAR('Planning Engine'!$A$4:$A$2500)=2029)*('Planning Engine'!$J$4:$J$2500&gt;0)*'Planning Engine'!$J$4:$J$2500)/MAX(1,SUMPRODUCT(('Planning Engine'!$B$4:$B$2500="Drug Substance")*(YEAR('Planning Engine'!$A$4:$A$2500)=2029)*('Planning Engine'!$J$4:$J$2500&gt;0))),0)</f>
        <v>999</v>
      </c>
      <c r="I97" s="4" cm="1">
        <f t="array" ref="I97">IFERROR(SUMPRODUCT(('Planning Engine'!$B$4:$B$2500="Drug Substance")*(YEAR('Planning Engine'!$A$4:$A$2500)=2029)*(MONTH('Planning Engine'!$A$4:$A$2500)=12)*'Planning Engine'!$H$4:$H$2500),0)</f>
        <v>72.651747685185143</v>
      </c>
      <c r="J97" cm="1">
        <f t="array" aca="1" ref="J97" ca="1">IFERROR(SUMPRODUCT(('Planning Engine'!$B$4:$B$2500="Drug Substance")*(YEAR('Planning Engine'!$A$4:$A$2500)=2029)*'Planning Engine'!$K$4:$K$2500),0)</f>
        <v>0</v>
      </c>
      <c r="K97" s="4" t="str" cm="1">
        <f t="array" aca="1" ref="K97" ca="1">IFERROR(IF(SUMPRODUCT(('Planning Engine'!$B$4:$B$2500="Drug Substance")*(YEAR('Planning Engine'!$A$4:$A$2500)=2029)*('Planning Engine'!$L$4:$L$2500="High"))&gt;0,"High",IF(SUMPRODUCT(('Planning Engine'!$B$4:$B$2500="Drug Substance")*(YEAR('Planning Engine'!$A$4:$A$2500)=2029)*('Planning Engine'!$L$4:$L$2500="Medium"))&gt;0,"Medium",IF(SUMPRODUCT(('Planning Engine'!$B$4:$B$2500="Drug Substance")*(YEAR('Planning Engine'!$A$4:$A$2500)=2029)*('Planning Engine'!$L$4:$L$2500="Overstock"))&gt;0,"Overstock","Low"))),"--")</f>
        <v>Overstock</v>
      </c>
    </row>
    <row r="98" spans="1:11" ht="14" customHeight="1" x14ac:dyDescent="0.35">
      <c r="A98" s="61" t="s">
        <v>45</v>
      </c>
      <c r="B98" s="106" t="s">
        <v>47</v>
      </c>
      <c r="C98" s="12">
        <v>2030</v>
      </c>
      <c r="D98" s="95" cm="1">
        <f t="array" ref="D98">IFERROR(SUMPRODUCT(('Planning Engine'!$B$4:$B$2500="Drug Substance")*(YEAR('Planning Engine'!$A$4:$A$2500)=2030)*'Planning Engine'!$F$4:$F$2500),0)</f>
        <v>0</v>
      </c>
      <c r="E98" s="95" cm="1">
        <f t="array" ref="E98">IFERROR(SUMPRODUCT(('Planning Engine'!$B$4:$B$2500="Drug Substance")*(YEAR('Planning Engine'!$A$4:$A$2500)=2030)*'Planning Engine'!$G$4:$G$2500),0)</f>
        <v>0</v>
      </c>
      <c r="F98" s="95" cm="1">
        <f t="array" ref="F98">IFERROR(SUMPRODUCT(('Planning Engine'!$B$4:$B$2500="Drug Substance")*(YEAR('Planning Engine'!$A$4:$A$2500)=2030)*(MONTH('Planning Engine'!$A$4:$A$2500)=6)*'Planning Engine'!$H$4:$H$2500),0)</f>
        <v>72.651747685185143</v>
      </c>
      <c r="G98" s="95" cm="1">
        <f t="array" ref="G98">IFERROR(SUMPRODUCT(('Planning Engine'!$B$4:$B$2500="Drug Substance")*(YEAR('Planning Engine'!$A$4:$A$2500)=2030)*(MONTH('Planning Engine'!$A$4:$A$2500)=12)*'Planning Engine'!$H$4:$H$2500),0)</f>
        <v>72.651747685185143</v>
      </c>
      <c r="H98" s="95" cm="1">
        <f t="array" aca="1" ref="H98" ca="1">IFERROR(SUMPRODUCT(('Planning Engine'!$B$4:$B$2500="Drug Substance")*(YEAR('Planning Engine'!$A$4:$A$2500)=2030)*('Planning Engine'!$J$4:$J$2500&gt;0)*'Planning Engine'!$J$4:$J$2500)/MAX(1,SUMPRODUCT(('Planning Engine'!$B$4:$B$2500="Drug Substance")*(YEAR('Planning Engine'!$A$4:$A$2500)=2030)*('Planning Engine'!$J$4:$J$2500&gt;0))),0)</f>
        <v>999</v>
      </c>
      <c r="I98" s="12" cm="1">
        <f t="array" ref="I98">IFERROR(SUMPRODUCT(('Planning Engine'!$B$4:$B$2500="Drug Substance")*(YEAR('Planning Engine'!$A$4:$A$2500)=2030)*(MONTH('Planning Engine'!$A$4:$A$2500)=12)*'Planning Engine'!$H$4:$H$2500),0)</f>
        <v>72.651747685185143</v>
      </c>
      <c r="J98" cm="1">
        <f t="array" aca="1" ref="J98" ca="1">IFERROR(SUMPRODUCT(('Planning Engine'!$B$4:$B$2500="Drug Substance")*(YEAR('Planning Engine'!$A$4:$A$2500)=2030)*'Planning Engine'!$K$4:$K$2500),0)</f>
        <v>0</v>
      </c>
      <c r="K98" s="12" t="str" cm="1">
        <f t="array" aca="1" ref="K98" ca="1">IFERROR(IF(SUMPRODUCT(('Planning Engine'!$B$4:$B$2500="Drug Substance")*(YEAR('Planning Engine'!$A$4:$A$2500)=2030)*('Planning Engine'!$L$4:$L$2500="High"))&gt;0,"High",IF(SUMPRODUCT(('Planning Engine'!$B$4:$B$2500="Drug Substance")*(YEAR('Planning Engine'!$A$4:$A$2500)=2030)*('Planning Engine'!$L$4:$L$2500="Medium"))&gt;0,"Medium",IF(SUMPRODUCT(('Planning Engine'!$B$4:$B$2500="Drug Substance")*(YEAR('Planning Engine'!$A$4:$A$2500)=2030)*('Planning Engine'!$L$4:$L$2500="Overstock"))&gt;0,"Overstock","Low"))),"--")</f>
        <v>Overstock</v>
      </c>
    </row>
    <row r="99" spans="1:11" ht="14" customHeight="1" x14ac:dyDescent="0.35">
      <c r="A99" s="53" t="s">
        <v>45</v>
      </c>
      <c r="B99" s="107" t="s">
        <v>47</v>
      </c>
      <c r="C99" s="4">
        <v>2031</v>
      </c>
      <c r="D99" s="99" cm="1">
        <f t="array" ref="D99">IFERROR(SUMPRODUCT(('Planning Engine'!$B$4:$B$2500="Drug Substance")*(YEAR('Planning Engine'!$A$4:$A$2500)=2031)*'Planning Engine'!$F$4:$F$2500),0)</f>
        <v>0</v>
      </c>
      <c r="E99" s="99" cm="1">
        <f t="array" ref="E99">IFERROR(SUMPRODUCT(('Planning Engine'!$B$4:$B$2500="Drug Substance")*(YEAR('Planning Engine'!$A$4:$A$2500)=2031)*'Planning Engine'!$G$4:$G$2500),0)</f>
        <v>0</v>
      </c>
      <c r="F99" s="99" cm="1">
        <f t="array" ref="F99">IFERROR(SUMPRODUCT(('Planning Engine'!$B$4:$B$2500="Drug Substance")*(YEAR('Planning Engine'!$A$4:$A$2500)=2031)*(MONTH('Planning Engine'!$A$4:$A$2500)=6)*'Planning Engine'!$H$4:$H$2500),0)</f>
        <v>72.651747685185143</v>
      </c>
      <c r="G99" s="99" cm="1">
        <f t="array" ref="G99">IFERROR(SUMPRODUCT(('Planning Engine'!$B$4:$B$2500="Drug Substance")*(YEAR('Planning Engine'!$A$4:$A$2500)=2031)*(MONTH('Planning Engine'!$A$4:$A$2500)=12)*'Planning Engine'!$H$4:$H$2500),0)</f>
        <v>72.651747685185143</v>
      </c>
      <c r="H99" s="99" cm="1">
        <f t="array" aca="1" ref="H99" ca="1">IFERROR(SUMPRODUCT(('Planning Engine'!$B$4:$B$2500="Drug Substance")*(YEAR('Planning Engine'!$A$4:$A$2500)=2031)*('Planning Engine'!$J$4:$J$2500&gt;0)*'Planning Engine'!$J$4:$J$2500)/MAX(1,SUMPRODUCT(('Planning Engine'!$B$4:$B$2500="Drug Substance")*(YEAR('Planning Engine'!$A$4:$A$2500)=2031)*('Planning Engine'!$J$4:$J$2500&gt;0))),0)</f>
        <v>999</v>
      </c>
      <c r="I99" s="4" cm="1">
        <f t="array" ref="I99">IFERROR(SUMPRODUCT(('Planning Engine'!$B$4:$B$2500="Drug Substance")*(YEAR('Planning Engine'!$A$4:$A$2500)=2031)*(MONTH('Planning Engine'!$A$4:$A$2500)=12)*'Planning Engine'!$H$4:$H$2500),0)</f>
        <v>72.651747685185143</v>
      </c>
      <c r="J99" cm="1">
        <f t="array" aca="1" ref="J99" ca="1">IFERROR(SUMPRODUCT(('Planning Engine'!$B$4:$B$2500="Drug Substance")*(YEAR('Planning Engine'!$A$4:$A$2500)=2031)*'Planning Engine'!$K$4:$K$2500),0)</f>
        <v>0</v>
      </c>
      <c r="K99" s="4" t="str" cm="1">
        <f t="array" aca="1" ref="K99" ca="1">IFERROR(IF(SUMPRODUCT(('Planning Engine'!$B$4:$B$2500="Drug Substance")*(YEAR('Planning Engine'!$A$4:$A$2500)=2031)*('Planning Engine'!$L$4:$L$2500="High"))&gt;0,"High",IF(SUMPRODUCT(('Planning Engine'!$B$4:$B$2500="Drug Substance")*(YEAR('Planning Engine'!$A$4:$A$2500)=2031)*('Planning Engine'!$L$4:$L$2500="Medium"))&gt;0,"Medium",IF(SUMPRODUCT(('Planning Engine'!$B$4:$B$2500="Drug Substance")*(YEAR('Planning Engine'!$A$4:$A$2500)=2031)*('Planning Engine'!$L$4:$L$2500="Overstock"))&gt;0,"Overstock","Low"))),"--")</f>
        <v>Overstock</v>
      </c>
    </row>
    <row r="100" spans="1:11" ht="14" customHeight="1" x14ac:dyDescent="0.35">
      <c r="A100" s="61" t="s">
        <v>45</v>
      </c>
      <c r="B100" s="106" t="s">
        <v>47</v>
      </c>
      <c r="C100" s="12">
        <v>2032</v>
      </c>
      <c r="D100" s="95" cm="1">
        <f t="array" ref="D100">IFERROR(SUMPRODUCT(('Planning Engine'!$B$4:$B$2500="Drug Substance")*(YEAR('Planning Engine'!$A$4:$A$2500)=2032)*'Planning Engine'!$F$4:$F$2500),0)</f>
        <v>0</v>
      </c>
      <c r="E100" s="95" cm="1">
        <f t="array" ref="E100">IFERROR(SUMPRODUCT(('Planning Engine'!$B$4:$B$2500="Drug Substance")*(YEAR('Planning Engine'!$A$4:$A$2500)=2032)*'Planning Engine'!$G$4:$G$2500),0)</f>
        <v>0</v>
      </c>
      <c r="F100" s="95" cm="1">
        <f t="array" ref="F100">IFERROR(SUMPRODUCT(('Planning Engine'!$B$4:$B$2500="Drug Substance")*(YEAR('Planning Engine'!$A$4:$A$2500)=2032)*(MONTH('Planning Engine'!$A$4:$A$2500)=6)*'Planning Engine'!$H$4:$H$2500),0)</f>
        <v>72.651747685185143</v>
      </c>
      <c r="G100" s="95" cm="1">
        <f t="array" ref="G100">IFERROR(SUMPRODUCT(('Planning Engine'!$B$4:$B$2500="Drug Substance")*(YEAR('Planning Engine'!$A$4:$A$2500)=2032)*(MONTH('Planning Engine'!$A$4:$A$2500)=12)*'Planning Engine'!$H$4:$H$2500),0)</f>
        <v>72.651747685185143</v>
      </c>
      <c r="H100" s="95" cm="1">
        <f t="array" aca="1" ref="H100" ca="1">IFERROR(SUMPRODUCT(('Planning Engine'!$B$4:$B$2500="Drug Substance")*(YEAR('Planning Engine'!$A$4:$A$2500)=2032)*('Planning Engine'!$J$4:$J$2500&gt;0)*'Planning Engine'!$J$4:$J$2500)/MAX(1,SUMPRODUCT(('Planning Engine'!$B$4:$B$2500="Drug Substance")*(YEAR('Planning Engine'!$A$4:$A$2500)=2032)*('Planning Engine'!$J$4:$J$2500&gt;0))),0)</f>
        <v>999</v>
      </c>
      <c r="I100" s="12" cm="1">
        <f t="array" ref="I100">IFERROR(SUMPRODUCT(('Planning Engine'!$B$4:$B$2500="Drug Substance")*(YEAR('Planning Engine'!$A$4:$A$2500)=2032)*(MONTH('Planning Engine'!$A$4:$A$2500)=12)*'Planning Engine'!$H$4:$H$2500),0)</f>
        <v>72.651747685185143</v>
      </c>
      <c r="J100" cm="1">
        <f t="array" aca="1" ref="J100" ca="1">IFERROR(SUMPRODUCT(('Planning Engine'!$B$4:$B$2500="Drug Substance")*(YEAR('Planning Engine'!$A$4:$A$2500)=2032)*'Planning Engine'!$K$4:$K$2500),0)</f>
        <v>0</v>
      </c>
      <c r="K100" s="12" t="str" cm="1">
        <f t="array" aca="1" ref="K100" ca="1">IFERROR(IF(SUMPRODUCT(('Planning Engine'!$B$4:$B$2500="Drug Substance")*(YEAR('Planning Engine'!$A$4:$A$2500)=2032)*('Planning Engine'!$L$4:$L$2500="High"))&gt;0,"High",IF(SUMPRODUCT(('Planning Engine'!$B$4:$B$2500="Drug Substance")*(YEAR('Planning Engine'!$A$4:$A$2500)=2032)*('Planning Engine'!$L$4:$L$2500="Medium"))&gt;0,"Medium",IF(SUMPRODUCT(('Planning Engine'!$B$4:$B$2500="Drug Substance")*(YEAR('Planning Engine'!$A$4:$A$2500)=2032)*('Planning Engine'!$L$4:$L$2500="Overstock"))&gt;0,"Overstock","Low"))),"--")</f>
        <v>Overstock</v>
      </c>
    </row>
    <row r="101" spans="1:11" ht="14" customHeight="1" x14ac:dyDescent="0.35">
      <c r="A101" s="53" t="s">
        <v>45</v>
      </c>
      <c r="B101" s="107" t="s">
        <v>47</v>
      </c>
      <c r="C101" s="4">
        <v>2033</v>
      </c>
      <c r="D101" s="99" cm="1">
        <f t="array" ref="D101">IFERROR(SUMPRODUCT(('Planning Engine'!$B$4:$B$2500="Drug Substance")*(YEAR('Planning Engine'!$A$4:$A$2500)=2033)*'Planning Engine'!$F$4:$F$2500),0)</f>
        <v>0</v>
      </c>
      <c r="E101" s="99" cm="1">
        <f t="array" ref="E101">IFERROR(SUMPRODUCT(('Planning Engine'!$B$4:$B$2500="Drug Substance")*(YEAR('Planning Engine'!$A$4:$A$2500)=2033)*'Planning Engine'!$G$4:$G$2500),0)</f>
        <v>0</v>
      </c>
      <c r="F101" s="99" cm="1">
        <f t="array" ref="F101">IFERROR(SUMPRODUCT(('Planning Engine'!$B$4:$B$2500="Drug Substance")*(YEAR('Planning Engine'!$A$4:$A$2500)=2033)*(MONTH('Planning Engine'!$A$4:$A$2500)=6)*'Planning Engine'!$H$4:$H$2500),0)</f>
        <v>72.651747685185143</v>
      </c>
      <c r="G101" s="99" cm="1">
        <f t="array" ref="G101">IFERROR(SUMPRODUCT(('Planning Engine'!$B$4:$B$2500="Drug Substance")*(YEAR('Planning Engine'!$A$4:$A$2500)=2033)*(MONTH('Planning Engine'!$A$4:$A$2500)=12)*'Planning Engine'!$H$4:$H$2500),0)</f>
        <v>72.651747685185143</v>
      </c>
      <c r="H101" s="99" cm="1">
        <f t="array" aca="1" ref="H101" ca="1">IFERROR(SUMPRODUCT(('Planning Engine'!$B$4:$B$2500="Drug Substance")*(YEAR('Planning Engine'!$A$4:$A$2500)=2033)*('Planning Engine'!$J$4:$J$2500&gt;0)*'Planning Engine'!$J$4:$J$2500)/MAX(1,SUMPRODUCT(('Planning Engine'!$B$4:$B$2500="Drug Substance")*(YEAR('Planning Engine'!$A$4:$A$2500)=2033)*('Planning Engine'!$J$4:$J$2500&gt;0))),0)</f>
        <v>999</v>
      </c>
      <c r="I101" s="4" cm="1">
        <f t="array" ref="I101">IFERROR(SUMPRODUCT(('Planning Engine'!$B$4:$B$2500="Drug Substance")*(YEAR('Planning Engine'!$A$4:$A$2500)=2033)*(MONTH('Planning Engine'!$A$4:$A$2500)=12)*'Planning Engine'!$H$4:$H$2500),0)</f>
        <v>72.651747685185143</v>
      </c>
      <c r="J101" cm="1">
        <f t="array" aca="1" ref="J101" ca="1">IFERROR(SUMPRODUCT(('Planning Engine'!$B$4:$B$2500="Drug Substance")*(YEAR('Planning Engine'!$A$4:$A$2500)=2033)*'Planning Engine'!$K$4:$K$2500),0)</f>
        <v>0</v>
      </c>
      <c r="K101" s="4" t="str" cm="1">
        <f t="array" aca="1" ref="K101" ca="1">IFERROR(IF(SUMPRODUCT(('Planning Engine'!$B$4:$B$2500="Drug Substance")*(YEAR('Planning Engine'!$A$4:$A$2500)=2033)*('Planning Engine'!$L$4:$L$2500="High"))&gt;0,"High",IF(SUMPRODUCT(('Planning Engine'!$B$4:$B$2500="Drug Substance")*(YEAR('Planning Engine'!$A$4:$A$2500)=2033)*('Planning Engine'!$L$4:$L$2500="Medium"))&gt;0,"Medium",IF(SUMPRODUCT(('Planning Engine'!$B$4:$B$2500="Drug Substance")*(YEAR('Planning Engine'!$A$4:$A$2500)=2033)*('Planning Engine'!$L$4:$L$2500="Overstock"))&gt;0,"Overstock","Low"))),"--")</f>
        <v>Overstock</v>
      </c>
    </row>
    <row r="102" spans="1:11" ht="14" customHeight="1" x14ac:dyDescent="0.35">
      <c r="A102" s="61" t="s">
        <v>45</v>
      </c>
      <c r="B102" s="106" t="s">
        <v>47</v>
      </c>
      <c r="C102" s="12">
        <v>2034</v>
      </c>
      <c r="D102" s="95" cm="1">
        <f t="array" ref="D102">IFERROR(SUMPRODUCT(('Planning Engine'!$B$4:$B$2500="Drug Substance")*(YEAR('Planning Engine'!$A$4:$A$2500)=2034)*'Planning Engine'!$F$4:$F$2500),0)</f>
        <v>0</v>
      </c>
      <c r="E102" s="95" cm="1">
        <f t="array" ref="E102">IFERROR(SUMPRODUCT(('Planning Engine'!$B$4:$B$2500="Drug Substance")*(YEAR('Planning Engine'!$A$4:$A$2500)=2034)*'Planning Engine'!$G$4:$G$2500),0)</f>
        <v>0</v>
      </c>
      <c r="F102" s="95" cm="1">
        <f t="array" ref="F102">IFERROR(SUMPRODUCT(('Planning Engine'!$B$4:$B$2500="Drug Substance")*(YEAR('Planning Engine'!$A$4:$A$2500)=2034)*(MONTH('Planning Engine'!$A$4:$A$2500)=6)*'Planning Engine'!$H$4:$H$2500),0)</f>
        <v>72.651747685185143</v>
      </c>
      <c r="G102" s="95" cm="1">
        <f t="array" ref="G102">IFERROR(SUMPRODUCT(('Planning Engine'!$B$4:$B$2500="Drug Substance")*(YEAR('Planning Engine'!$A$4:$A$2500)=2034)*(MONTH('Planning Engine'!$A$4:$A$2500)=12)*'Planning Engine'!$H$4:$H$2500),0)</f>
        <v>72.651747685185143</v>
      </c>
      <c r="H102" s="95" cm="1">
        <f t="array" aca="1" ref="H102" ca="1">IFERROR(SUMPRODUCT(('Planning Engine'!$B$4:$B$2500="Drug Substance")*(YEAR('Planning Engine'!$A$4:$A$2500)=2034)*('Planning Engine'!$J$4:$J$2500&gt;0)*'Planning Engine'!$J$4:$J$2500)/MAX(1,SUMPRODUCT(('Planning Engine'!$B$4:$B$2500="Drug Substance")*(YEAR('Planning Engine'!$A$4:$A$2500)=2034)*('Planning Engine'!$J$4:$J$2500&gt;0))),0)</f>
        <v>999</v>
      </c>
      <c r="I102" s="12" cm="1">
        <f t="array" ref="I102">IFERROR(SUMPRODUCT(('Planning Engine'!$B$4:$B$2500="Drug Substance")*(YEAR('Planning Engine'!$A$4:$A$2500)=2034)*(MONTH('Planning Engine'!$A$4:$A$2500)=12)*'Planning Engine'!$H$4:$H$2500),0)</f>
        <v>72.651747685185143</v>
      </c>
      <c r="J102" cm="1">
        <f t="array" aca="1" ref="J102" ca="1">IFERROR(SUMPRODUCT(('Planning Engine'!$B$4:$B$2500="Drug Substance")*(YEAR('Planning Engine'!$A$4:$A$2500)=2034)*'Planning Engine'!$K$4:$K$2500),0)</f>
        <v>0</v>
      </c>
      <c r="K102" s="12" t="str" cm="1">
        <f t="array" aca="1" ref="K102" ca="1">IFERROR(IF(SUMPRODUCT(('Planning Engine'!$B$4:$B$2500="Drug Substance")*(YEAR('Planning Engine'!$A$4:$A$2500)=2034)*('Planning Engine'!$L$4:$L$2500="High"))&gt;0,"High",IF(SUMPRODUCT(('Planning Engine'!$B$4:$B$2500="Drug Substance")*(YEAR('Planning Engine'!$A$4:$A$2500)=2034)*('Planning Engine'!$L$4:$L$2500="Medium"))&gt;0,"Medium",IF(SUMPRODUCT(('Planning Engine'!$B$4:$B$2500="Drug Substance")*(YEAR('Planning Engine'!$A$4:$A$2500)=2034)*('Planning Engine'!$L$4:$L$2500="Overstock"))&gt;0,"Overstock","Low"))),"--")</f>
        <v>Overstock</v>
      </c>
    </row>
    <row r="103" spans="1:11" ht="14" customHeight="1" x14ac:dyDescent="0.35">
      <c r="A103" s="53" t="s">
        <v>45</v>
      </c>
      <c r="B103" s="107" t="s">
        <v>47</v>
      </c>
      <c r="C103" s="4">
        <v>2035</v>
      </c>
      <c r="D103" s="99" cm="1">
        <f t="array" ref="D103">IFERROR(SUMPRODUCT(('Planning Engine'!$B$4:$B$2500="Drug Substance")*(YEAR('Planning Engine'!$A$4:$A$2500)=2035)*'Planning Engine'!$F$4:$F$2500),0)</f>
        <v>0</v>
      </c>
      <c r="E103" s="99" cm="1">
        <f t="array" ref="E103">IFERROR(SUMPRODUCT(('Planning Engine'!$B$4:$B$2500="Drug Substance")*(YEAR('Planning Engine'!$A$4:$A$2500)=2035)*'Planning Engine'!$G$4:$G$2500),0)</f>
        <v>0</v>
      </c>
      <c r="F103" s="99" cm="1">
        <f t="array" ref="F103">IFERROR(SUMPRODUCT(('Planning Engine'!$B$4:$B$2500="Drug Substance")*(YEAR('Planning Engine'!$A$4:$A$2500)=2035)*(MONTH('Planning Engine'!$A$4:$A$2500)=6)*'Planning Engine'!$H$4:$H$2500),0)</f>
        <v>72.651747685185143</v>
      </c>
      <c r="G103" s="99" cm="1">
        <f t="array" ref="G103">IFERROR(SUMPRODUCT(('Planning Engine'!$B$4:$B$2500="Drug Substance")*(YEAR('Planning Engine'!$A$4:$A$2500)=2035)*(MONTH('Planning Engine'!$A$4:$A$2500)=12)*'Planning Engine'!$H$4:$H$2500),0)</f>
        <v>72.651747685185143</v>
      </c>
      <c r="H103" s="99" cm="1">
        <f t="array" aca="1" ref="H103" ca="1">IFERROR(SUMPRODUCT(('Planning Engine'!$B$4:$B$2500="Drug Substance")*(YEAR('Planning Engine'!$A$4:$A$2500)=2035)*('Planning Engine'!$J$4:$J$2500&gt;0)*'Planning Engine'!$J$4:$J$2500)/MAX(1,SUMPRODUCT(('Planning Engine'!$B$4:$B$2500="Drug Substance")*(YEAR('Planning Engine'!$A$4:$A$2500)=2035)*('Planning Engine'!$J$4:$J$2500&gt;0))),0)</f>
        <v>999</v>
      </c>
      <c r="I103" s="4" cm="1">
        <f t="array" ref="I103">IFERROR(SUMPRODUCT(('Planning Engine'!$B$4:$B$2500="Drug Substance")*(YEAR('Planning Engine'!$A$4:$A$2500)=2035)*(MONTH('Planning Engine'!$A$4:$A$2500)=12)*'Planning Engine'!$H$4:$H$2500),0)</f>
        <v>72.651747685185143</v>
      </c>
      <c r="J103" cm="1">
        <f t="array" aca="1" ref="J103" ca="1">IFERROR(SUMPRODUCT(('Planning Engine'!$B$4:$B$2500="Drug Substance")*(YEAR('Planning Engine'!$A$4:$A$2500)=2035)*'Planning Engine'!$K$4:$K$2500),0)</f>
        <v>0</v>
      </c>
      <c r="K103" s="4" t="str" cm="1">
        <f t="array" aca="1" ref="K103" ca="1">IFERROR(IF(SUMPRODUCT(('Planning Engine'!$B$4:$B$2500="Drug Substance")*(YEAR('Planning Engine'!$A$4:$A$2500)=2035)*('Planning Engine'!$L$4:$L$2500="High"))&gt;0,"High",IF(SUMPRODUCT(('Planning Engine'!$B$4:$B$2500="Drug Substance")*(YEAR('Planning Engine'!$A$4:$A$2500)=2035)*('Planning Engine'!$L$4:$L$2500="Medium"))&gt;0,"Medium",IF(SUMPRODUCT(('Planning Engine'!$B$4:$B$2500="Drug Substance")*(YEAR('Planning Engine'!$A$4:$A$2500)=2035)*('Planning Engine'!$L$4:$L$2500="Overstock"))&gt;0,"Overstock","Low"))),"--")</f>
        <v>Overstock</v>
      </c>
    </row>
    <row r="104" spans="1:11" ht="14" customHeight="1" x14ac:dyDescent="0.35">
      <c r="A104" s="61" t="s">
        <v>45</v>
      </c>
      <c r="B104" s="106" t="s">
        <v>47</v>
      </c>
      <c r="C104" s="12">
        <v>2036</v>
      </c>
      <c r="D104" s="95" cm="1">
        <f t="array" ref="D104">IFERROR(SUMPRODUCT(('Planning Engine'!$B$4:$B$2500="Drug Substance")*(YEAR('Planning Engine'!$A$4:$A$2500)=2036)*'Planning Engine'!$F$4:$F$2500),0)</f>
        <v>0</v>
      </c>
      <c r="E104" s="95" cm="1">
        <f t="array" ref="E104">IFERROR(SUMPRODUCT(('Planning Engine'!$B$4:$B$2500="Drug Substance")*(YEAR('Planning Engine'!$A$4:$A$2500)=2036)*'Planning Engine'!$G$4:$G$2500),0)</f>
        <v>0</v>
      </c>
      <c r="F104" s="95" cm="1">
        <f t="array" ref="F104">IFERROR(SUMPRODUCT(('Planning Engine'!$B$4:$B$2500="Drug Substance")*(YEAR('Planning Engine'!$A$4:$A$2500)=2036)*(MONTH('Planning Engine'!$A$4:$A$2500)=6)*'Planning Engine'!$H$4:$H$2500),0)</f>
        <v>72.651747685185143</v>
      </c>
      <c r="G104" s="95" cm="1">
        <f t="array" ref="G104">IFERROR(SUMPRODUCT(('Planning Engine'!$B$4:$B$2500="Drug Substance")*(YEAR('Planning Engine'!$A$4:$A$2500)=2036)*(MONTH('Planning Engine'!$A$4:$A$2500)=12)*'Planning Engine'!$H$4:$H$2500),0)</f>
        <v>72.651747685185143</v>
      </c>
      <c r="H104" s="95" cm="1">
        <f t="array" aca="1" ref="H104" ca="1">IFERROR(SUMPRODUCT(('Planning Engine'!$B$4:$B$2500="Drug Substance")*(YEAR('Planning Engine'!$A$4:$A$2500)=2036)*('Planning Engine'!$J$4:$J$2500&gt;0)*'Planning Engine'!$J$4:$J$2500)/MAX(1,SUMPRODUCT(('Planning Engine'!$B$4:$B$2500="Drug Substance")*(YEAR('Planning Engine'!$A$4:$A$2500)=2036)*('Planning Engine'!$J$4:$J$2500&gt;0))),0)</f>
        <v>999</v>
      </c>
      <c r="I104" s="12" cm="1">
        <f t="array" ref="I104">IFERROR(SUMPRODUCT(('Planning Engine'!$B$4:$B$2500="Drug Substance")*(YEAR('Planning Engine'!$A$4:$A$2500)=2036)*(MONTH('Planning Engine'!$A$4:$A$2500)=12)*'Planning Engine'!$H$4:$H$2500),0)</f>
        <v>72.651747685185143</v>
      </c>
      <c r="J104" cm="1">
        <f t="array" aca="1" ref="J104" ca="1">IFERROR(SUMPRODUCT(('Planning Engine'!$B$4:$B$2500="Drug Substance")*(YEAR('Planning Engine'!$A$4:$A$2500)=2036)*'Planning Engine'!$K$4:$K$2500),0)</f>
        <v>0</v>
      </c>
      <c r="K104" s="12" t="str" cm="1">
        <f t="array" aca="1" ref="K104" ca="1">IFERROR(IF(SUMPRODUCT(('Planning Engine'!$B$4:$B$2500="Drug Substance")*(YEAR('Planning Engine'!$A$4:$A$2500)=2036)*('Planning Engine'!$L$4:$L$2500="High"))&gt;0,"High",IF(SUMPRODUCT(('Planning Engine'!$B$4:$B$2500="Drug Substance")*(YEAR('Planning Engine'!$A$4:$A$2500)=2036)*('Planning Engine'!$L$4:$L$2500="Medium"))&gt;0,"Medium",IF(SUMPRODUCT(('Planning Engine'!$B$4:$B$2500="Drug Substance")*(YEAR('Planning Engine'!$A$4:$A$2500)=2036)*('Planning Engine'!$L$4:$L$2500="Overstock"))&gt;0,"Overstock","Low"))),"--")</f>
        <v>Overstock</v>
      </c>
    </row>
    <row r="105" spans="1:11" ht="14" customHeight="1" x14ac:dyDescent="0.35">
      <c r="A105" s="53" t="s">
        <v>45</v>
      </c>
      <c r="B105" s="107" t="s">
        <v>47</v>
      </c>
      <c r="C105" s="4">
        <v>2037</v>
      </c>
      <c r="D105" s="99" cm="1">
        <f t="array" ref="D105">IFERROR(SUMPRODUCT(('Planning Engine'!$B$4:$B$2500="Drug Substance")*(YEAR('Planning Engine'!$A$4:$A$2500)=2037)*'Planning Engine'!$F$4:$F$2500),0)</f>
        <v>0</v>
      </c>
      <c r="E105" s="99" cm="1">
        <f t="array" ref="E105">IFERROR(SUMPRODUCT(('Planning Engine'!$B$4:$B$2500="Drug Substance")*(YEAR('Planning Engine'!$A$4:$A$2500)=2037)*'Planning Engine'!$G$4:$G$2500),0)</f>
        <v>0</v>
      </c>
      <c r="F105" s="99" cm="1">
        <f t="array" ref="F105">IFERROR(SUMPRODUCT(('Planning Engine'!$B$4:$B$2500="Drug Substance")*(YEAR('Planning Engine'!$A$4:$A$2500)=2037)*(MONTH('Planning Engine'!$A$4:$A$2500)=6)*'Planning Engine'!$H$4:$H$2500),0)</f>
        <v>72.651747685185143</v>
      </c>
      <c r="G105" s="99" cm="1">
        <f t="array" ref="G105">IFERROR(SUMPRODUCT(('Planning Engine'!$B$4:$B$2500="Drug Substance")*(YEAR('Planning Engine'!$A$4:$A$2500)=2037)*(MONTH('Planning Engine'!$A$4:$A$2500)=12)*'Planning Engine'!$H$4:$H$2500),0)</f>
        <v>72.651747685185143</v>
      </c>
      <c r="H105" s="99" cm="1">
        <f t="array" aca="1" ref="H105" ca="1">IFERROR(SUMPRODUCT(('Planning Engine'!$B$4:$B$2500="Drug Substance")*(YEAR('Planning Engine'!$A$4:$A$2500)=2037)*('Planning Engine'!$J$4:$J$2500&gt;0)*'Planning Engine'!$J$4:$J$2500)/MAX(1,SUMPRODUCT(('Planning Engine'!$B$4:$B$2500="Drug Substance")*(YEAR('Planning Engine'!$A$4:$A$2500)=2037)*('Planning Engine'!$J$4:$J$2500&gt;0))),0)</f>
        <v>999</v>
      </c>
      <c r="I105" s="4" cm="1">
        <f t="array" ref="I105">IFERROR(SUMPRODUCT(('Planning Engine'!$B$4:$B$2500="Drug Substance")*(YEAR('Planning Engine'!$A$4:$A$2500)=2037)*(MONTH('Planning Engine'!$A$4:$A$2500)=12)*'Planning Engine'!$H$4:$H$2500),0)</f>
        <v>72.651747685185143</v>
      </c>
      <c r="J105" cm="1">
        <f t="array" aca="1" ref="J105" ca="1">IFERROR(SUMPRODUCT(('Planning Engine'!$B$4:$B$2500="Drug Substance")*(YEAR('Planning Engine'!$A$4:$A$2500)=2037)*'Planning Engine'!$K$4:$K$2500),0)</f>
        <v>0</v>
      </c>
      <c r="K105" s="4" t="str" cm="1">
        <f t="array" aca="1" ref="K105" ca="1">IFERROR(IF(SUMPRODUCT(('Planning Engine'!$B$4:$B$2500="Drug Substance")*(YEAR('Planning Engine'!$A$4:$A$2500)=2037)*('Planning Engine'!$L$4:$L$2500="High"))&gt;0,"High",IF(SUMPRODUCT(('Planning Engine'!$B$4:$B$2500="Drug Substance")*(YEAR('Planning Engine'!$A$4:$A$2500)=2037)*('Planning Engine'!$L$4:$L$2500="Medium"))&gt;0,"Medium",IF(SUMPRODUCT(('Planning Engine'!$B$4:$B$2500="Drug Substance")*(YEAR('Planning Engine'!$A$4:$A$2500)=2037)*('Planning Engine'!$L$4:$L$2500="Overstock"))&gt;0,"Overstock","Low"))),"--")</f>
        <v>Overstock</v>
      </c>
    </row>
    <row r="106" spans="1:11" ht="14" customHeight="1" x14ac:dyDescent="0.35">
      <c r="A106" s="61" t="s">
        <v>45</v>
      </c>
      <c r="B106" s="106" t="s">
        <v>47</v>
      </c>
      <c r="C106" s="12">
        <v>2038</v>
      </c>
      <c r="D106" s="95" cm="1">
        <f t="array" ref="D106">IFERROR(SUMPRODUCT(('Planning Engine'!$B$4:$B$2500="Drug Substance")*(YEAR('Planning Engine'!$A$4:$A$2500)=2038)*'Planning Engine'!$F$4:$F$2500),0)</f>
        <v>0</v>
      </c>
      <c r="E106" s="95" cm="1">
        <f t="array" ref="E106">IFERROR(SUMPRODUCT(('Planning Engine'!$B$4:$B$2500="Drug Substance")*(YEAR('Planning Engine'!$A$4:$A$2500)=2038)*'Planning Engine'!$G$4:$G$2500),0)</f>
        <v>0</v>
      </c>
      <c r="F106" s="95" cm="1">
        <f t="array" ref="F106">IFERROR(SUMPRODUCT(('Planning Engine'!$B$4:$B$2500="Drug Substance")*(YEAR('Planning Engine'!$A$4:$A$2500)=2038)*(MONTH('Planning Engine'!$A$4:$A$2500)=6)*'Planning Engine'!$H$4:$H$2500),0)</f>
        <v>72.651747685185143</v>
      </c>
      <c r="G106" s="95" cm="1">
        <f t="array" ref="G106">IFERROR(SUMPRODUCT(('Planning Engine'!$B$4:$B$2500="Drug Substance")*(YEAR('Planning Engine'!$A$4:$A$2500)=2038)*(MONTH('Planning Engine'!$A$4:$A$2500)=12)*'Planning Engine'!$H$4:$H$2500),0)</f>
        <v>72.651747685185143</v>
      </c>
      <c r="H106" s="95" cm="1">
        <f t="array" aca="1" ref="H106" ca="1">IFERROR(SUMPRODUCT(('Planning Engine'!$B$4:$B$2500="Drug Substance")*(YEAR('Planning Engine'!$A$4:$A$2500)=2038)*('Planning Engine'!$J$4:$J$2500&gt;0)*'Planning Engine'!$J$4:$J$2500)/MAX(1,SUMPRODUCT(('Planning Engine'!$B$4:$B$2500="Drug Substance")*(YEAR('Planning Engine'!$A$4:$A$2500)=2038)*('Planning Engine'!$J$4:$J$2500&gt;0))),0)</f>
        <v>999</v>
      </c>
      <c r="I106" s="12" cm="1">
        <f t="array" ref="I106">IFERROR(SUMPRODUCT(('Planning Engine'!$B$4:$B$2500="Drug Substance")*(YEAR('Planning Engine'!$A$4:$A$2500)=2038)*(MONTH('Planning Engine'!$A$4:$A$2500)=12)*'Planning Engine'!$H$4:$H$2500),0)</f>
        <v>72.651747685185143</v>
      </c>
      <c r="J106" cm="1">
        <f t="array" aca="1" ref="J106" ca="1">IFERROR(SUMPRODUCT(('Planning Engine'!$B$4:$B$2500="Drug Substance")*(YEAR('Planning Engine'!$A$4:$A$2500)=2038)*'Planning Engine'!$K$4:$K$2500),0)</f>
        <v>0</v>
      </c>
      <c r="K106" s="12" t="str" cm="1">
        <f t="array" aca="1" ref="K106" ca="1">IFERROR(IF(SUMPRODUCT(('Planning Engine'!$B$4:$B$2500="Drug Substance")*(YEAR('Planning Engine'!$A$4:$A$2500)=2038)*('Planning Engine'!$L$4:$L$2500="High"))&gt;0,"High",IF(SUMPRODUCT(('Planning Engine'!$B$4:$B$2500="Drug Substance")*(YEAR('Planning Engine'!$A$4:$A$2500)=2038)*('Planning Engine'!$L$4:$L$2500="Medium"))&gt;0,"Medium",IF(SUMPRODUCT(('Planning Engine'!$B$4:$B$2500="Drug Substance")*(YEAR('Planning Engine'!$A$4:$A$2500)=2038)*('Planning Engine'!$L$4:$L$2500="Overstock"))&gt;0,"Overstock","Low"))),"--")</f>
        <v>Overstock</v>
      </c>
    </row>
    <row r="107" spans="1:11" ht="14" customHeight="1" x14ac:dyDescent="0.35">
      <c r="A107" s="53" t="s">
        <v>45</v>
      </c>
      <c r="B107" s="107" t="s">
        <v>47</v>
      </c>
      <c r="C107" s="4">
        <v>2039</v>
      </c>
      <c r="D107" s="99" cm="1">
        <f t="array" ref="D107">IFERROR(SUMPRODUCT(('Planning Engine'!$B$4:$B$2500="Drug Substance")*(YEAR('Planning Engine'!$A$4:$A$2500)=2039)*'Planning Engine'!$F$4:$F$2500),0)</f>
        <v>0</v>
      </c>
      <c r="E107" s="99" cm="1">
        <f t="array" ref="E107">IFERROR(SUMPRODUCT(('Planning Engine'!$B$4:$B$2500="Drug Substance")*(YEAR('Planning Engine'!$A$4:$A$2500)=2039)*'Planning Engine'!$G$4:$G$2500),0)</f>
        <v>0</v>
      </c>
      <c r="F107" s="99" cm="1">
        <f t="array" ref="F107">IFERROR(SUMPRODUCT(('Planning Engine'!$B$4:$B$2500="Drug Substance")*(YEAR('Planning Engine'!$A$4:$A$2500)=2039)*(MONTH('Planning Engine'!$A$4:$A$2500)=6)*'Planning Engine'!$H$4:$H$2500),0)</f>
        <v>72.651747685185143</v>
      </c>
      <c r="G107" s="99" cm="1">
        <f t="array" ref="G107">IFERROR(SUMPRODUCT(('Planning Engine'!$B$4:$B$2500="Drug Substance")*(YEAR('Planning Engine'!$A$4:$A$2500)=2039)*(MONTH('Planning Engine'!$A$4:$A$2500)=12)*'Planning Engine'!$H$4:$H$2500),0)</f>
        <v>72.651747685185143</v>
      </c>
      <c r="H107" s="99" cm="1">
        <f t="array" aca="1" ref="H107" ca="1">IFERROR(SUMPRODUCT(('Planning Engine'!$B$4:$B$2500="Drug Substance")*(YEAR('Planning Engine'!$A$4:$A$2500)=2039)*('Planning Engine'!$J$4:$J$2500&gt;0)*'Planning Engine'!$J$4:$J$2500)/MAX(1,SUMPRODUCT(('Planning Engine'!$B$4:$B$2500="Drug Substance")*(YEAR('Planning Engine'!$A$4:$A$2500)=2039)*('Planning Engine'!$J$4:$J$2500&gt;0))),0)</f>
        <v>999</v>
      </c>
      <c r="I107" s="4" cm="1">
        <f t="array" ref="I107">IFERROR(SUMPRODUCT(('Planning Engine'!$B$4:$B$2500="Drug Substance")*(YEAR('Planning Engine'!$A$4:$A$2500)=2039)*(MONTH('Planning Engine'!$A$4:$A$2500)=12)*'Planning Engine'!$H$4:$H$2500),0)</f>
        <v>72.651747685185143</v>
      </c>
      <c r="J107" cm="1">
        <f t="array" aca="1" ref="J107" ca="1">IFERROR(SUMPRODUCT(('Planning Engine'!$B$4:$B$2500="Drug Substance")*(YEAR('Planning Engine'!$A$4:$A$2500)=2039)*'Planning Engine'!$K$4:$K$2500),0)</f>
        <v>0</v>
      </c>
      <c r="K107" s="4" t="str" cm="1">
        <f t="array" aca="1" ref="K107" ca="1">IFERROR(IF(SUMPRODUCT(('Planning Engine'!$B$4:$B$2500="Drug Substance")*(YEAR('Planning Engine'!$A$4:$A$2500)=2039)*('Planning Engine'!$L$4:$L$2500="High"))&gt;0,"High",IF(SUMPRODUCT(('Planning Engine'!$B$4:$B$2500="Drug Substance")*(YEAR('Planning Engine'!$A$4:$A$2500)=2039)*('Planning Engine'!$L$4:$L$2500="Medium"))&gt;0,"Medium",IF(SUMPRODUCT(('Planning Engine'!$B$4:$B$2500="Drug Substance")*(YEAR('Planning Engine'!$A$4:$A$2500)=2039)*('Planning Engine'!$L$4:$L$2500="Overstock"))&gt;0,"Overstock","Low"))),"--")</f>
        <v>Overstock</v>
      </c>
    </row>
    <row r="108" spans="1:11" ht="14" customHeight="1" x14ac:dyDescent="0.35">
      <c r="A108" s="61" t="s">
        <v>45</v>
      </c>
      <c r="B108" s="106" t="s">
        <v>47</v>
      </c>
      <c r="C108" s="12">
        <v>2040</v>
      </c>
      <c r="D108" s="95" cm="1">
        <f t="array" ref="D108">IFERROR(SUMPRODUCT(('Planning Engine'!$B$4:$B$2500="Drug Substance")*(YEAR('Planning Engine'!$A$4:$A$2500)=2040)*'Planning Engine'!$F$4:$F$2500),0)</f>
        <v>0</v>
      </c>
      <c r="E108" s="95" cm="1">
        <f t="array" ref="E108">IFERROR(SUMPRODUCT(('Planning Engine'!$B$4:$B$2500="Drug Substance")*(YEAR('Planning Engine'!$A$4:$A$2500)=2040)*'Planning Engine'!$G$4:$G$2500),0)</f>
        <v>0</v>
      </c>
      <c r="F108" s="95" cm="1">
        <f t="array" ref="F108">IFERROR(SUMPRODUCT(('Planning Engine'!$B$4:$B$2500="Drug Substance")*(YEAR('Planning Engine'!$A$4:$A$2500)=2040)*(MONTH('Planning Engine'!$A$4:$A$2500)=6)*'Planning Engine'!$H$4:$H$2500),0)</f>
        <v>72.651747685185143</v>
      </c>
      <c r="G108" s="95" cm="1">
        <f t="array" ref="G108">IFERROR(SUMPRODUCT(('Planning Engine'!$B$4:$B$2500="Drug Substance")*(YEAR('Planning Engine'!$A$4:$A$2500)=2040)*(MONTH('Planning Engine'!$A$4:$A$2500)=12)*'Planning Engine'!$H$4:$H$2500),0)</f>
        <v>72.651747685185143</v>
      </c>
      <c r="H108" s="95" cm="1">
        <f t="array" aca="1" ref="H108" ca="1">IFERROR(SUMPRODUCT(('Planning Engine'!$B$4:$B$2500="Drug Substance")*(YEAR('Planning Engine'!$A$4:$A$2500)=2040)*('Planning Engine'!$J$4:$J$2500&gt;0)*'Planning Engine'!$J$4:$J$2500)/MAX(1,SUMPRODUCT(('Planning Engine'!$B$4:$B$2500="Drug Substance")*(YEAR('Planning Engine'!$A$4:$A$2500)=2040)*('Planning Engine'!$J$4:$J$2500&gt;0))),0)</f>
        <v>999</v>
      </c>
      <c r="I108" s="12" cm="1">
        <f t="array" ref="I108">IFERROR(SUMPRODUCT(('Planning Engine'!$B$4:$B$2500="Drug Substance")*(YEAR('Planning Engine'!$A$4:$A$2500)=2040)*(MONTH('Planning Engine'!$A$4:$A$2500)=12)*'Planning Engine'!$H$4:$H$2500),0)</f>
        <v>72.651747685185143</v>
      </c>
      <c r="J108" cm="1">
        <f t="array" aca="1" ref="J108" ca="1">IFERROR(SUMPRODUCT(('Planning Engine'!$B$4:$B$2500="Drug Substance")*(YEAR('Planning Engine'!$A$4:$A$2500)=2040)*'Planning Engine'!$K$4:$K$2500),0)</f>
        <v>0</v>
      </c>
      <c r="K108" s="12" t="str" cm="1">
        <f t="array" aca="1" ref="K108" ca="1">IFERROR(IF(SUMPRODUCT(('Planning Engine'!$B$4:$B$2500="Drug Substance")*(YEAR('Planning Engine'!$A$4:$A$2500)=2040)*('Planning Engine'!$L$4:$L$2500="High"))&gt;0,"High",IF(SUMPRODUCT(('Planning Engine'!$B$4:$B$2500="Drug Substance")*(YEAR('Planning Engine'!$A$4:$A$2500)=2040)*('Planning Engine'!$L$4:$L$2500="Medium"))&gt;0,"Medium",IF(SUMPRODUCT(('Planning Engine'!$B$4:$B$2500="Drug Substance")*(YEAR('Planning Engine'!$A$4:$A$2500)=2040)*('Planning Engine'!$L$4:$L$2500="Overstock"))&gt;0,"Overstock","Low"))),"--")</f>
        <v>Overstock</v>
      </c>
    </row>
    <row r="109" spans="1:11" ht="14" customHeight="1" x14ac:dyDescent="0.35">
      <c r="A109" s="53" t="s">
        <v>54</v>
      </c>
      <c r="B109" s="107" t="s">
        <v>52</v>
      </c>
      <c r="C109" s="4">
        <v>2026</v>
      </c>
      <c r="D109" s="99" cm="1">
        <f t="array" ref="D109">IFERROR(SUMPRODUCT(('Planning Engine'!$B$4:$B$2500="APAD")*(YEAR('Planning Engine'!$A$4:$A$2500)=2026)*'Planning Engine'!$F$4:$F$2500),0)</f>
        <v>176.16000000000003</v>
      </c>
      <c r="E109" s="99" cm="1">
        <f t="array" ref="E109">IFERROR(SUMPRODUCT(('Planning Engine'!$B$4:$B$2500="APAD")*(YEAR('Planning Engine'!$A$4:$A$2500)=2026)*'Planning Engine'!$G$4:$G$2500),0)</f>
        <v>0</v>
      </c>
      <c r="F109" s="99" cm="1">
        <f t="array" ref="F109">IFERROR(SUMPRODUCT(('Planning Engine'!$B$4:$B$2500="APAD")*(YEAR('Planning Engine'!$A$4:$A$2500)=2026)*(MONTH('Planning Engine'!$A$4:$A$2500)=6)*'Planning Engine'!$H$4:$H$2500),0)</f>
        <v>228.04</v>
      </c>
      <c r="G109" s="99" cm="1">
        <f t="array" ref="G109">IFERROR(SUMPRODUCT(('Planning Engine'!$B$4:$B$2500="APAD")*(YEAR('Planning Engine'!$A$4:$A$2500)=2026)*(MONTH('Planning Engine'!$A$4:$A$2500)=12)*'Planning Engine'!$H$4:$H$2500),0)</f>
        <v>198.68</v>
      </c>
      <c r="H109" s="99" cm="1">
        <f t="array" aca="1" ref="H109" ca="1">IFERROR(SUMPRODUCT(('Planning Engine'!$B$4:$B$2500="APAD")*(YEAR('Planning Engine'!$A$4:$A$2500)=2026)*('Planning Engine'!$J$4:$J$2500&gt;0)*'Planning Engine'!$J$4:$J$2500)/MAX(1,SUMPRODUCT(('Planning Engine'!$B$4:$B$2500="APAD")*(YEAR('Planning Engine'!$A$4:$A$2500)=2026)*('Planning Engine'!$J$4:$J$2500&gt;0))),0)</f>
        <v>4.7365618033192955</v>
      </c>
      <c r="I109" s="4" cm="1">
        <f t="array" ref="I109">IFERROR(SUMPRODUCT(('Planning Engine'!$B$4:$B$2500="APAD")*(YEAR('Planning Engine'!$A$4:$A$2500)=2026)*(MONTH('Planning Engine'!$A$4:$A$2500)=12)*'Planning Engine'!$H$4:$H$2500),0)</f>
        <v>198.68</v>
      </c>
      <c r="J109" cm="1">
        <f t="array" aca="1" ref="J109" ca="1">IFERROR(SUMPRODUCT(('Planning Engine'!$B$4:$B$2500="APAD")*(YEAR('Planning Engine'!$A$4:$A$2500)=2026)*'Planning Engine'!$K$4:$K$2500),0)</f>
        <v>0</v>
      </c>
      <c r="K109" s="4" t="str" cm="1">
        <f t="array" aca="1" ref="K109" ca="1">IFERROR(IF(SUMPRODUCT(('Planning Engine'!$B$4:$B$2500="APAD")*(YEAR('Planning Engine'!$A$4:$A$2500)=2026)*('Planning Engine'!$L$4:$L$2500="High"))&gt;0,"High",IF(SUMPRODUCT(('Planning Engine'!$B$4:$B$2500="APAD")*(YEAR('Planning Engine'!$A$4:$A$2500)=2026)*('Planning Engine'!$L$4:$L$2500="Medium"))&gt;0,"Medium",IF(SUMPRODUCT(('Planning Engine'!$B$4:$B$2500="APAD")*(YEAR('Planning Engine'!$A$4:$A$2500)=2026)*('Planning Engine'!$L$4:$L$2500="Overstock"))&gt;0,"Overstock","Low"))),"--")</f>
        <v>Medium</v>
      </c>
    </row>
    <row r="110" spans="1:11" ht="14" customHeight="1" x14ac:dyDescent="0.35">
      <c r="A110" s="61" t="s">
        <v>54</v>
      </c>
      <c r="B110" s="106" t="s">
        <v>52</v>
      </c>
      <c r="C110" s="12">
        <v>2027</v>
      </c>
      <c r="D110" s="95" cm="1">
        <f t="array" ref="D110">IFERROR(SUMPRODUCT(('Planning Engine'!$B$4:$B$2500="APAD")*(YEAR('Planning Engine'!$A$4:$A$2500)=2027)*'Planning Engine'!$F$4:$F$2500),0)</f>
        <v>234.88</v>
      </c>
      <c r="E110" s="95" cm="1">
        <f t="array" ref="E110">IFERROR(SUMPRODUCT(('Planning Engine'!$B$4:$B$2500="APAD")*(YEAR('Planning Engine'!$A$4:$A$2500)=2027)*'Planning Engine'!$G$4:$G$2500),0)</f>
        <v>165</v>
      </c>
      <c r="F110" s="95" cm="1">
        <f t="array" ref="F110">IFERROR(SUMPRODUCT(('Planning Engine'!$B$4:$B$2500="APAD")*(YEAR('Planning Engine'!$A$4:$A$2500)=2027)*(MONTH('Planning Engine'!$A$4:$A$2500)=6)*'Planning Engine'!$H$4:$H$2500),0)</f>
        <v>187.52000000000004</v>
      </c>
      <c r="G110" s="95" cm="1">
        <f t="array" ref="G110">IFERROR(SUMPRODUCT(('Planning Engine'!$B$4:$B$2500="APAD")*(YEAR('Planning Engine'!$A$4:$A$2500)=2027)*(MONTH('Planning Engine'!$A$4:$A$2500)=12)*'Planning Engine'!$H$4:$H$2500),0)</f>
        <v>128.80000000000004</v>
      </c>
      <c r="H110" s="95" cm="1">
        <f t="array" aca="1" ref="H110" ca="1">IFERROR(SUMPRODUCT(('Planning Engine'!$B$4:$B$2500="APAD")*(YEAR('Planning Engine'!$A$4:$A$2500)=2027)*('Planning Engine'!$J$4:$J$2500&gt;0)*'Planning Engine'!$J$4:$J$2500)/MAX(1,SUMPRODUCT(('Planning Engine'!$B$4:$B$2500="APAD")*(YEAR('Planning Engine'!$A$4:$A$2500)=2027)*('Planning Engine'!$J$4:$J$2500&gt;0))),0)</f>
        <v>419.02951861943689</v>
      </c>
      <c r="I110" s="12" cm="1">
        <f t="array" ref="I110">IFERROR(SUMPRODUCT(('Planning Engine'!$B$4:$B$2500="APAD")*(YEAR('Planning Engine'!$A$4:$A$2500)=2027)*(MONTH('Planning Engine'!$A$4:$A$2500)=12)*'Planning Engine'!$H$4:$H$2500),0)</f>
        <v>128.80000000000004</v>
      </c>
      <c r="J110" cm="1">
        <f t="array" aca="1" ref="J110" ca="1">IFERROR(SUMPRODUCT(('Planning Engine'!$B$4:$B$2500="APAD")*(YEAR('Planning Engine'!$A$4:$A$2500)=2027)*'Planning Engine'!$K$4:$K$2500),0)</f>
        <v>165</v>
      </c>
      <c r="K110" s="12" t="str" cm="1">
        <f t="array" aca="1" ref="K110" ca="1">IFERROR(IF(SUMPRODUCT(('Planning Engine'!$B$4:$B$2500="APAD")*(YEAR('Planning Engine'!$A$4:$A$2500)=2027)*('Planning Engine'!$L$4:$L$2500="High"))&gt;0,"High",IF(SUMPRODUCT(('Planning Engine'!$B$4:$B$2500="APAD")*(YEAR('Planning Engine'!$A$4:$A$2500)=2027)*('Planning Engine'!$L$4:$L$2500="Medium"))&gt;0,"Medium",IF(SUMPRODUCT(('Planning Engine'!$B$4:$B$2500="APAD")*(YEAR('Planning Engine'!$A$4:$A$2500)=2027)*('Planning Engine'!$L$4:$L$2500="Overstock"))&gt;0,"Overstock","Low"))),"--")</f>
        <v>High</v>
      </c>
    </row>
    <row r="111" spans="1:11" ht="14" customHeight="1" x14ac:dyDescent="0.35">
      <c r="A111" s="53" t="s">
        <v>54</v>
      </c>
      <c r="B111" s="107" t="s">
        <v>52</v>
      </c>
      <c r="C111" s="4">
        <v>2028</v>
      </c>
      <c r="D111" s="99" cm="1">
        <f t="array" ref="D111">IFERROR(SUMPRODUCT(('Planning Engine'!$B$4:$B$2500="APAD")*(YEAR('Planning Engine'!$A$4:$A$2500)=2028)*'Planning Engine'!$F$4:$F$2500),0)</f>
        <v>0</v>
      </c>
      <c r="E111" s="99" cm="1">
        <f t="array" ref="E111">IFERROR(SUMPRODUCT(('Planning Engine'!$B$4:$B$2500="APAD")*(YEAR('Planning Engine'!$A$4:$A$2500)=2028)*'Planning Engine'!$G$4:$G$2500),0)</f>
        <v>0</v>
      </c>
      <c r="F111" s="99" cm="1">
        <f t="array" ref="F111">IFERROR(SUMPRODUCT(('Planning Engine'!$B$4:$B$2500="APAD")*(YEAR('Planning Engine'!$A$4:$A$2500)=2028)*(MONTH('Planning Engine'!$A$4:$A$2500)=6)*'Planning Engine'!$H$4:$H$2500),0)</f>
        <v>128.80000000000004</v>
      </c>
      <c r="G111" s="99" cm="1">
        <f t="array" ref="G111">IFERROR(SUMPRODUCT(('Planning Engine'!$B$4:$B$2500="APAD")*(YEAR('Planning Engine'!$A$4:$A$2500)=2028)*(MONTH('Planning Engine'!$A$4:$A$2500)=12)*'Planning Engine'!$H$4:$H$2500),0)</f>
        <v>128.80000000000004</v>
      </c>
      <c r="H111" s="99" cm="1">
        <f t="array" aca="1" ref="H111" ca="1">IFERROR(SUMPRODUCT(('Planning Engine'!$B$4:$B$2500="APAD")*(YEAR('Planning Engine'!$A$4:$A$2500)=2028)*('Planning Engine'!$J$4:$J$2500&gt;0)*'Planning Engine'!$J$4:$J$2500)/MAX(1,SUMPRODUCT(('Planning Engine'!$B$4:$B$2500="APAD")*(YEAR('Planning Engine'!$A$4:$A$2500)=2028)*('Planning Engine'!$J$4:$J$2500&gt;0))),0)</f>
        <v>999</v>
      </c>
      <c r="I111" s="4" cm="1">
        <f t="array" ref="I111">IFERROR(SUMPRODUCT(('Planning Engine'!$B$4:$B$2500="APAD")*(YEAR('Planning Engine'!$A$4:$A$2500)=2028)*(MONTH('Planning Engine'!$A$4:$A$2500)=12)*'Planning Engine'!$H$4:$H$2500),0)</f>
        <v>128.80000000000004</v>
      </c>
      <c r="J111" cm="1">
        <f t="array" aca="1" ref="J111" ca="1">IFERROR(SUMPRODUCT(('Planning Engine'!$B$4:$B$2500="APAD")*(YEAR('Planning Engine'!$A$4:$A$2500)=2028)*'Planning Engine'!$K$4:$K$2500),0)</f>
        <v>0</v>
      </c>
      <c r="K111" s="4" t="str" cm="1">
        <f t="array" aca="1" ref="K111" ca="1">IFERROR(IF(SUMPRODUCT(('Planning Engine'!$B$4:$B$2500="APAD")*(YEAR('Planning Engine'!$A$4:$A$2500)=2028)*('Planning Engine'!$L$4:$L$2500="High"))&gt;0,"High",IF(SUMPRODUCT(('Planning Engine'!$B$4:$B$2500="APAD")*(YEAR('Planning Engine'!$A$4:$A$2500)=2028)*('Planning Engine'!$L$4:$L$2500="Medium"))&gt;0,"Medium",IF(SUMPRODUCT(('Planning Engine'!$B$4:$B$2500="APAD")*(YEAR('Planning Engine'!$A$4:$A$2500)=2028)*('Planning Engine'!$L$4:$L$2500="Overstock"))&gt;0,"Overstock","Low"))),"--")</f>
        <v>Overstock</v>
      </c>
    </row>
    <row r="112" spans="1:11" ht="14" customHeight="1" x14ac:dyDescent="0.35">
      <c r="A112" s="61" t="s">
        <v>54</v>
      </c>
      <c r="B112" s="106" t="s">
        <v>52</v>
      </c>
      <c r="C112" s="12">
        <v>2029</v>
      </c>
      <c r="D112" s="95" cm="1">
        <f t="array" ref="D112">IFERROR(SUMPRODUCT(('Planning Engine'!$B$4:$B$2500="APAD")*(YEAR('Planning Engine'!$A$4:$A$2500)=2029)*'Planning Engine'!$F$4:$F$2500),0)</f>
        <v>0</v>
      </c>
      <c r="E112" s="95" cm="1">
        <f t="array" ref="E112">IFERROR(SUMPRODUCT(('Planning Engine'!$B$4:$B$2500="APAD")*(YEAR('Planning Engine'!$A$4:$A$2500)=2029)*'Planning Engine'!$G$4:$G$2500),0)</f>
        <v>0</v>
      </c>
      <c r="F112" s="95" cm="1">
        <f t="array" ref="F112">IFERROR(SUMPRODUCT(('Planning Engine'!$B$4:$B$2500="APAD")*(YEAR('Planning Engine'!$A$4:$A$2500)=2029)*(MONTH('Planning Engine'!$A$4:$A$2500)=6)*'Planning Engine'!$H$4:$H$2500),0)</f>
        <v>128.80000000000004</v>
      </c>
      <c r="G112" s="95" cm="1">
        <f t="array" ref="G112">IFERROR(SUMPRODUCT(('Planning Engine'!$B$4:$B$2500="APAD")*(YEAR('Planning Engine'!$A$4:$A$2500)=2029)*(MONTH('Planning Engine'!$A$4:$A$2500)=12)*'Planning Engine'!$H$4:$H$2500),0)</f>
        <v>128.80000000000004</v>
      </c>
      <c r="H112" s="95" cm="1">
        <f t="array" aca="1" ref="H112" ca="1">IFERROR(SUMPRODUCT(('Planning Engine'!$B$4:$B$2500="APAD")*(YEAR('Planning Engine'!$A$4:$A$2500)=2029)*('Planning Engine'!$J$4:$J$2500&gt;0)*'Planning Engine'!$J$4:$J$2500)/MAX(1,SUMPRODUCT(('Planning Engine'!$B$4:$B$2500="APAD")*(YEAR('Planning Engine'!$A$4:$A$2500)=2029)*('Planning Engine'!$J$4:$J$2500&gt;0))),0)</f>
        <v>999</v>
      </c>
      <c r="I112" s="12" cm="1">
        <f t="array" ref="I112">IFERROR(SUMPRODUCT(('Planning Engine'!$B$4:$B$2500="APAD")*(YEAR('Planning Engine'!$A$4:$A$2500)=2029)*(MONTH('Planning Engine'!$A$4:$A$2500)=12)*'Planning Engine'!$H$4:$H$2500),0)</f>
        <v>128.80000000000004</v>
      </c>
      <c r="J112" cm="1">
        <f t="array" aca="1" ref="J112" ca="1">IFERROR(SUMPRODUCT(('Planning Engine'!$B$4:$B$2500="APAD")*(YEAR('Planning Engine'!$A$4:$A$2500)=2029)*'Planning Engine'!$K$4:$K$2500),0)</f>
        <v>0</v>
      </c>
      <c r="K112" s="12" t="str" cm="1">
        <f t="array" aca="1" ref="K112" ca="1">IFERROR(IF(SUMPRODUCT(('Planning Engine'!$B$4:$B$2500="APAD")*(YEAR('Planning Engine'!$A$4:$A$2500)=2029)*('Planning Engine'!$L$4:$L$2500="High"))&gt;0,"High",IF(SUMPRODUCT(('Planning Engine'!$B$4:$B$2500="APAD")*(YEAR('Planning Engine'!$A$4:$A$2500)=2029)*('Planning Engine'!$L$4:$L$2500="Medium"))&gt;0,"Medium",IF(SUMPRODUCT(('Planning Engine'!$B$4:$B$2500="APAD")*(YEAR('Planning Engine'!$A$4:$A$2500)=2029)*('Planning Engine'!$L$4:$L$2500="Overstock"))&gt;0,"Overstock","Low"))),"--")</f>
        <v>Overstock</v>
      </c>
    </row>
    <row r="113" spans="1:11" ht="14" customHeight="1" x14ac:dyDescent="0.35">
      <c r="A113" s="53" t="s">
        <v>54</v>
      </c>
      <c r="B113" s="107" t="s">
        <v>52</v>
      </c>
      <c r="C113" s="4">
        <v>2030</v>
      </c>
      <c r="D113" s="99" cm="1">
        <f t="array" ref="D113">IFERROR(SUMPRODUCT(('Planning Engine'!$B$4:$B$2500="APAD")*(YEAR('Planning Engine'!$A$4:$A$2500)=2030)*'Planning Engine'!$F$4:$F$2500),0)</f>
        <v>0</v>
      </c>
      <c r="E113" s="99" cm="1">
        <f t="array" ref="E113">IFERROR(SUMPRODUCT(('Planning Engine'!$B$4:$B$2500="APAD")*(YEAR('Planning Engine'!$A$4:$A$2500)=2030)*'Planning Engine'!$G$4:$G$2500),0)</f>
        <v>0</v>
      </c>
      <c r="F113" s="99" cm="1">
        <f t="array" ref="F113">IFERROR(SUMPRODUCT(('Planning Engine'!$B$4:$B$2500="APAD")*(YEAR('Planning Engine'!$A$4:$A$2500)=2030)*(MONTH('Planning Engine'!$A$4:$A$2500)=6)*'Planning Engine'!$H$4:$H$2500),0)</f>
        <v>128.80000000000004</v>
      </c>
      <c r="G113" s="99" cm="1">
        <f t="array" ref="G113">IFERROR(SUMPRODUCT(('Planning Engine'!$B$4:$B$2500="APAD")*(YEAR('Planning Engine'!$A$4:$A$2500)=2030)*(MONTH('Planning Engine'!$A$4:$A$2500)=12)*'Planning Engine'!$H$4:$H$2500),0)</f>
        <v>128.80000000000004</v>
      </c>
      <c r="H113" s="99" cm="1">
        <f t="array" aca="1" ref="H113" ca="1">IFERROR(SUMPRODUCT(('Planning Engine'!$B$4:$B$2500="APAD")*(YEAR('Planning Engine'!$A$4:$A$2500)=2030)*('Planning Engine'!$J$4:$J$2500&gt;0)*'Planning Engine'!$J$4:$J$2500)/MAX(1,SUMPRODUCT(('Planning Engine'!$B$4:$B$2500="APAD")*(YEAR('Planning Engine'!$A$4:$A$2500)=2030)*('Planning Engine'!$J$4:$J$2500&gt;0))),0)</f>
        <v>999</v>
      </c>
      <c r="I113" s="4" cm="1">
        <f t="array" ref="I113">IFERROR(SUMPRODUCT(('Planning Engine'!$B$4:$B$2500="APAD")*(YEAR('Planning Engine'!$A$4:$A$2500)=2030)*(MONTH('Planning Engine'!$A$4:$A$2500)=12)*'Planning Engine'!$H$4:$H$2500),0)</f>
        <v>128.80000000000004</v>
      </c>
      <c r="J113" cm="1">
        <f t="array" aca="1" ref="J113" ca="1">IFERROR(SUMPRODUCT(('Planning Engine'!$B$4:$B$2500="APAD")*(YEAR('Planning Engine'!$A$4:$A$2500)=2030)*'Planning Engine'!$K$4:$K$2500),0)</f>
        <v>0</v>
      </c>
      <c r="K113" s="4" t="str" cm="1">
        <f t="array" aca="1" ref="K113" ca="1">IFERROR(IF(SUMPRODUCT(('Planning Engine'!$B$4:$B$2500="APAD")*(YEAR('Planning Engine'!$A$4:$A$2500)=2030)*('Planning Engine'!$L$4:$L$2500="High"))&gt;0,"High",IF(SUMPRODUCT(('Planning Engine'!$B$4:$B$2500="APAD")*(YEAR('Planning Engine'!$A$4:$A$2500)=2030)*('Planning Engine'!$L$4:$L$2500="Medium"))&gt;0,"Medium",IF(SUMPRODUCT(('Planning Engine'!$B$4:$B$2500="APAD")*(YEAR('Planning Engine'!$A$4:$A$2500)=2030)*('Planning Engine'!$L$4:$L$2500="Overstock"))&gt;0,"Overstock","Low"))),"--")</f>
        <v>Overstock</v>
      </c>
    </row>
    <row r="114" spans="1:11" ht="14" customHeight="1" x14ac:dyDescent="0.35">
      <c r="A114" s="61" t="s">
        <v>54</v>
      </c>
      <c r="B114" s="106" t="s">
        <v>52</v>
      </c>
      <c r="C114" s="12">
        <v>2031</v>
      </c>
      <c r="D114" s="95" cm="1">
        <f t="array" ref="D114">IFERROR(SUMPRODUCT(('Planning Engine'!$B$4:$B$2500="APAD")*(YEAR('Planning Engine'!$A$4:$A$2500)=2031)*'Planning Engine'!$F$4:$F$2500),0)</f>
        <v>0</v>
      </c>
      <c r="E114" s="95" cm="1">
        <f t="array" ref="E114">IFERROR(SUMPRODUCT(('Planning Engine'!$B$4:$B$2500="APAD")*(YEAR('Planning Engine'!$A$4:$A$2500)=2031)*'Planning Engine'!$G$4:$G$2500),0)</f>
        <v>0</v>
      </c>
      <c r="F114" s="95" cm="1">
        <f t="array" ref="F114">IFERROR(SUMPRODUCT(('Planning Engine'!$B$4:$B$2500="APAD")*(YEAR('Planning Engine'!$A$4:$A$2500)=2031)*(MONTH('Planning Engine'!$A$4:$A$2500)=6)*'Planning Engine'!$H$4:$H$2500),0)</f>
        <v>128.80000000000004</v>
      </c>
      <c r="G114" s="95" cm="1">
        <f t="array" ref="G114">IFERROR(SUMPRODUCT(('Planning Engine'!$B$4:$B$2500="APAD")*(YEAR('Planning Engine'!$A$4:$A$2500)=2031)*(MONTH('Planning Engine'!$A$4:$A$2500)=12)*'Planning Engine'!$H$4:$H$2500),0)</f>
        <v>128.80000000000004</v>
      </c>
      <c r="H114" s="95" cm="1">
        <f t="array" aca="1" ref="H114" ca="1">IFERROR(SUMPRODUCT(('Planning Engine'!$B$4:$B$2500="APAD")*(YEAR('Planning Engine'!$A$4:$A$2500)=2031)*('Planning Engine'!$J$4:$J$2500&gt;0)*'Planning Engine'!$J$4:$J$2500)/MAX(1,SUMPRODUCT(('Planning Engine'!$B$4:$B$2500="APAD")*(YEAR('Planning Engine'!$A$4:$A$2500)=2031)*('Planning Engine'!$J$4:$J$2500&gt;0))),0)</f>
        <v>999</v>
      </c>
      <c r="I114" s="12" cm="1">
        <f t="array" ref="I114">IFERROR(SUMPRODUCT(('Planning Engine'!$B$4:$B$2500="APAD")*(YEAR('Planning Engine'!$A$4:$A$2500)=2031)*(MONTH('Planning Engine'!$A$4:$A$2500)=12)*'Planning Engine'!$H$4:$H$2500),0)</f>
        <v>128.80000000000004</v>
      </c>
      <c r="J114" cm="1">
        <f t="array" aca="1" ref="J114" ca="1">IFERROR(SUMPRODUCT(('Planning Engine'!$B$4:$B$2500="APAD")*(YEAR('Planning Engine'!$A$4:$A$2500)=2031)*'Planning Engine'!$K$4:$K$2500),0)</f>
        <v>0</v>
      </c>
      <c r="K114" s="12" t="str" cm="1">
        <f t="array" aca="1" ref="K114" ca="1">IFERROR(IF(SUMPRODUCT(('Planning Engine'!$B$4:$B$2500="APAD")*(YEAR('Planning Engine'!$A$4:$A$2500)=2031)*('Planning Engine'!$L$4:$L$2500="High"))&gt;0,"High",IF(SUMPRODUCT(('Planning Engine'!$B$4:$B$2500="APAD")*(YEAR('Planning Engine'!$A$4:$A$2500)=2031)*('Planning Engine'!$L$4:$L$2500="Medium"))&gt;0,"Medium",IF(SUMPRODUCT(('Planning Engine'!$B$4:$B$2500="APAD")*(YEAR('Planning Engine'!$A$4:$A$2500)=2031)*('Planning Engine'!$L$4:$L$2500="Overstock"))&gt;0,"Overstock","Low"))),"--")</f>
        <v>Overstock</v>
      </c>
    </row>
    <row r="115" spans="1:11" ht="14" customHeight="1" x14ac:dyDescent="0.35">
      <c r="A115" s="53" t="s">
        <v>54</v>
      </c>
      <c r="B115" s="107" t="s">
        <v>52</v>
      </c>
      <c r="C115" s="4">
        <v>2032</v>
      </c>
      <c r="D115" s="99" cm="1">
        <f t="array" ref="D115">IFERROR(SUMPRODUCT(('Planning Engine'!$B$4:$B$2500="APAD")*(YEAR('Planning Engine'!$A$4:$A$2500)=2032)*'Planning Engine'!$F$4:$F$2500),0)</f>
        <v>0</v>
      </c>
      <c r="E115" s="99" cm="1">
        <f t="array" ref="E115">IFERROR(SUMPRODUCT(('Planning Engine'!$B$4:$B$2500="APAD")*(YEAR('Planning Engine'!$A$4:$A$2500)=2032)*'Planning Engine'!$G$4:$G$2500),0)</f>
        <v>0</v>
      </c>
      <c r="F115" s="99" cm="1">
        <f t="array" ref="F115">IFERROR(SUMPRODUCT(('Planning Engine'!$B$4:$B$2500="APAD")*(YEAR('Planning Engine'!$A$4:$A$2500)=2032)*(MONTH('Planning Engine'!$A$4:$A$2500)=6)*'Planning Engine'!$H$4:$H$2500),0)</f>
        <v>128.80000000000004</v>
      </c>
      <c r="G115" s="99" cm="1">
        <f t="array" ref="G115">IFERROR(SUMPRODUCT(('Planning Engine'!$B$4:$B$2500="APAD")*(YEAR('Planning Engine'!$A$4:$A$2500)=2032)*(MONTH('Planning Engine'!$A$4:$A$2500)=12)*'Planning Engine'!$H$4:$H$2500),0)</f>
        <v>128.80000000000004</v>
      </c>
      <c r="H115" s="99" cm="1">
        <f t="array" aca="1" ref="H115" ca="1">IFERROR(SUMPRODUCT(('Planning Engine'!$B$4:$B$2500="APAD")*(YEAR('Planning Engine'!$A$4:$A$2500)=2032)*('Planning Engine'!$J$4:$J$2500&gt;0)*'Planning Engine'!$J$4:$J$2500)/MAX(1,SUMPRODUCT(('Planning Engine'!$B$4:$B$2500="APAD")*(YEAR('Planning Engine'!$A$4:$A$2500)=2032)*('Planning Engine'!$J$4:$J$2500&gt;0))),0)</f>
        <v>999</v>
      </c>
      <c r="I115" s="4" cm="1">
        <f t="array" ref="I115">IFERROR(SUMPRODUCT(('Planning Engine'!$B$4:$B$2500="APAD")*(YEAR('Planning Engine'!$A$4:$A$2500)=2032)*(MONTH('Planning Engine'!$A$4:$A$2500)=12)*'Planning Engine'!$H$4:$H$2500),0)</f>
        <v>128.80000000000004</v>
      </c>
      <c r="J115" cm="1">
        <f t="array" aca="1" ref="J115" ca="1">IFERROR(SUMPRODUCT(('Planning Engine'!$B$4:$B$2500="APAD")*(YEAR('Planning Engine'!$A$4:$A$2500)=2032)*'Planning Engine'!$K$4:$K$2500),0)</f>
        <v>0</v>
      </c>
      <c r="K115" s="4" t="str" cm="1">
        <f t="array" aca="1" ref="K115" ca="1">IFERROR(IF(SUMPRODUCT(('Planning Engine'!$B$4:$B$2500="APAD")*(YEAR('Planning Engine'!$A$4:$A$2500)=2032)*('Planning Engine'!$L$4:$L$2500="High"))&gt;0,"High",IF(SUMPRODUCT(('Planning Engine'!$B$4:$B$2500="APAD")*(YEAR('Planning Engine'!$A$4:$A$2500)=2032)*('Planning Engine'!$L$4:$L$2500="Medium"))&gt;0,"Medium",IF(SUMPRODUCT(('Planning Engine'!$B$4:$B$2500="APAD")*(YEAR('Planning Engine'!$A$4:$A$2500)=2032)*('Planning Engine'!$L$4:$L$2500="Overstock"))&gt;0,"Overstock","Low"))),"--")</f>
        <v>Overstock</v>
      </c>
    </row>
    <row r="116" spans="1:11" ht="14" customHeight="1" x14ac:dyDescent="0.35">
      <c r="A116" s="61" t="s">
        <v>54</v>
      </c>
      <c r="B116" s="106" t="s">
        <v>52</v>
      </c>
      <c r="C116" s="12">
        <v>2033</v>
      </c>
      <c r="D116" s="95" cm="1">
        <f t="array" ref="D116">IFERROR(SUMPRODUCT(('Planning Engine'!$B$4:$B$2500="APAD")*(YEAR('Planning Engine'!$A$4:$A$2500)=2033)*'Planning Engine'!$F$4:$F$2500),0)</f>
        <v>0</v>
      </c>
      <c r="E116" s="95" cm="1">
        <f t="array" ref="E116">IFERROR(SUMPRODUCT(('Planning Engine'!$B$4:$B$2500="APAD")*(YEAR('Planning Engine'!$A$4:$A$2500)=2033)*'Planning Engine'!$G$4:$G$2500),0)</f>
        <v>0</v>
      </c>
      <c r="F116" s="95" cm="1">
        <f t="array" ref="F116">IFERROR(SUMPRODUCT(('Planning Engine'!$B$4:$B$2500="APAD")*(YEAR('Planning Engine'!$A$4:$A$2500)=2033)*(MONTH('Planning Engine'!$A$4:$A$2500)=6)*'Planning Engine'!$H$4:$H$2500),0)</f>
        <v>128.80000000000004</v>
      </c>
      <c r="G116" s="95" cm="1">
        <f t="array" ref="G116">IFERROR(SUMPRODUCT(('Planning Engine'!$B$4:$B$2500="APAD")*(YEAR('Planning Engine'!$A$4:$A$2500)=2033)*(MONTH('Planning Engine'!$A$4:$A$2500)=12)*'Planning Engine'!$H$4:$H$2500),0)</f>
        <v>128.80000000000004</v>
      </c>
      <c r="H116" s="95" cm="1">
        <f t="array" aca="1" ref="H116" ca="1">IFERROR(SUMPRODUCT(('Planning Engine'!$B$4:$B$2500="APAD")*(YEAR('Planning Engine'!$A$4:$A$2500)=2033)*('Planning Engine'!$J$4:$J$2500&gt;0)*'Planning Engine'!$J$4:$J$2500)/MAX(1,SUMPRODUCT(('Planning Engine'!$B$4:$B$2500="APAD")*(YEAR('Planning Engine'!$A$4:$A$2500)=2033)*('Planning Engine'!$J$4:$J$2500&gt;0))),0)</f>
        <v>999</v>
      </c>
      <c r="I116" s="12" cm="1">
        <f t="array" ref="I116">IFERROR(SUMPRODUCT(('Planning Engine'!$B$4:$B$2500="APAD")*(YEAR('Planning Engine'!$A$4:$A$2500)=2033)*(MONTH('Planning Engine'!$A$4:$A$2500)=12)*'Planning Engine'!$H$4:$H$2500),0)</f>
        <v>128.80000000000004</v>
      </c>
      <c r="J116" cm="1">
        <f t="array" aca="1" ref="J116" ca="1">IFERROR(SUMPRODUCT(('Planning Engine'!$B$4:$B$2500="APAD")*(YEAR('Planning Engine'!$A$4:$A$2500)=2033)*'Planning Engine'!$K$4:$K$2500),0)</f>
        <v>0</v>
      </c>
      <c r="K116" s="12" t="str" cm="1">
        <f t="array" aca="1" ref="K116" ca="1">IFERROR(IF(SUMPRODUCT(('Planning Engine'!$B$4:$B$2500="APAD")*(YEAR('Planning Engine'!$A$4:$A$2500)=2033)*('Planning Engine'!$L$4:$L$2500="High"))&gt;0,"High",IF(SUMPRODUCT(('Planning Engine'!$B$4:$B$2500="APAD")*(YEAR('Planning Engine'!$A$4:$A$2500)=2033)*('Planning Engine'!$L$4:$L$2500="Medium"))&gt;0,"Medium",IF(SUMPRODUCT(('Planning Engine'!$B$4:$B$2500="APAD")*(YEAR('Planning Engine'!$A$4:$A$2500)=2033)*('Planning Engine'!$L$4:$L$2500="Overstock"))&gt;0,"Overstock","Low"))),"--")</f>
        <v>Overstock</v>
      </c>
    </row>
    <row r="117" spans="1:11" ht="14" customHeight="1" x14ac:dyDescent="0.35">
      <c r="A117" s="53" t="s">
        <v>54</v>
      </c>
      <c r="B117" s="107" t="s">
        <v>52</v>
      </c>
      <c r="C117" s="4">
        <v>2034</v>
      </c>
      <c r="D117" s="99" cm="1">
        <f t="array" ref="D117">IFERROR(SUMPRODUCT(('Planning Engine'!$B$4:$B$2500="APAD")*(YEAR('Planning Engine'!$A$4:$A$2500)=2034)*'Planning Engine'!$F$4:$F$2500),0)</f>
        <v>0</v>
      </c>
      <c r="E117" s="99" cm="1">
        <f t="array" ref="E117">IFERROR(SUMPRODUCT(('Planning Engine'!$B$4:$B$2500="APAD")*(YEAR('Planning Engine'!$A$4:$A$2500)=2034)*'Planning Engine'!$G$4:$G$2500),0)</f>
        <v>0</v>
      </c>
      <c r="F117" s="99" cm="1">
        <f t="array" ref="F117">IFERROR(SUMPRODUCT(('Planning Engine'!$B$4:$B$2500="APAD")*(YEAR('Planning Engine'!$A$4:$A$2500)=2034)*(MONTH('Planning Engine'!$A$4:$A$2500)=6)*'Planning Engine'!$H$4:$H$2500),0)</f>
        <v>128.80000000000004</v>
      </c>
      <c r="G117" s="99" cm="1">
        <f t="array" ref="G117">IFERROR(SUMPRODUCT(('Planning Engine'!$B$4:$B$2500="APAD")*(YEAR('Planning Engine'!$A$4:$A$2500)=2034)*(MONTH('Planning Engine'!$A$4:$A$2500)=12)*'Planning Engine'!$H$4:$H$2500),0)</f>
        <v>128.80000000000004</v>
      </c>
      <c r="H117" s="99" cm="1">
        <f t="array" aca="1" ref="H117" ca="1">IFERROR(SUMPRODUCT(('Planning Engine'!$B$4:$B$2500="APAD")*(YEAR('Planning Engine'!$A$4:$A$2500)=2034)*('Planning Engine'!$J$4:$J$2500&gt;0)*'Planning Engine'!$J$4:$J$2500)/MAX(1,SUMPRODUCT(('Planning Engine'!$B$4:$B$2500="APAD")*(YEAR('Planning Engine'!$A$4:$A$2500)=2034)*('Planning Engine'!$J$4:$J$2500&gt;0))),0)</f>
        <v>999</v>
      </c>
      <c r="I117" s="4" cm="1">
        <f t="array" ref="I117">IFERROR(SUMPRODUCT(('Planning Engine'!$B$4:$B$2500="APAD")*(YEAR('Planning Engine'!$A$4:$A$2500)=2034)*(MONTH('Planning Engine'!$A$4:$A$2500)=12)*'Planning Engine'!$H$4:$H$2500),0)</f>
        <v>128.80000000000004</v>
      </c>
      <c r="J117" cm="1">
        <f t="array" aca="1" ref="J117" ca="1">IFERROR(SUMPRODUCT(('Planning Engine'!$B$4:$B$2500="APAD")*(YEAR('Planning Engine'!$A$4:$A$2500)=2034)*'Planning Engine'!$K$4:$K$2500),0)</f>
        <v>0</v>
      </c>
      <c r="K117" s="4" t="str" cm="1">
        <f t="array" aca="1" ref="K117" ca="1">IFERROR(IF(SUMPRODUCT(('Planning Engine'!$B$4:$B$2500="APAD")*(YEAR('Planning Engine'!$A$4:$A$2500)=2034)*('Planning Engine'!$L$4:$L$2500="High"))&gt;0,"High",IF(SUMPRODUCT(('Planning Engine'!$B$4:$B$2500="APAD")*(YEAR('Planning Engine'!$A$4:$A$2500)=2034)*('Planning Engine'!$L$4:$L$2500="Medium"))&gt;0,"Medium",IF(SUMPRODUCT(('Planning Engine'!$B$4:$B$2500="APAD")*(YEAR('Planning Engine'!$A$4:$A$2500)=2034)*('Planning Engine'!$L$4:$L$2500="Overstock"))&gt;0,"Overstock","Low"))),"--")</f>
        <v>Overstock</v>
      </c>
    </row>
    <row r="118" spans="1:11" ht="14" customHeight="1" x14ac:dyDescent="0.35">
      <c r="A118" s="61" t="s">
        <v>54</v>
      </c>
      <c r="B118" s="106" t="s">
        <v>52</v>
      </c>
      <c r="C118" s="12">
        <v>2035</v>
      </c>
      <c r="D118" s="95" cm="1">
        <f t="array" ref="D118">IFERROR(SUMPRODUCT(('Planning Engine'!$B$4:$B$2500="APAD")*(YEAR('Planning Engine'!$A$4:$A$2500)=2035)*'Planning Engine'!$F$4:$F$2500),0)</f>
        <v>0</v>
      </c>
      <c r="E118" s="95" cm="1">
        <f t="array" ref="E118">IFERROR(SUMPRODUCT(('Planning Engine'!$B$4:$B$2500="APAD")*(YEAR('Planning Engine'!$A$4:$A$2500)=2035)*'Planning Engine'!$G$4:$G$2500),0)</f>
        <v>0</v>
      </c>
      <c r="F118" s="95" cm="1">
        <f t="array" ref="F118">IFERROR(SUMPRODUCT(('Planning Engine'!$B$4:$B$2500="APAD")*(YEAR('Planning Engine'!$A$4:$A$2500)=2035)*(MONTH('Planning Engine'!$A$4:$A$2500)=6)*'Planning Engine'!$H$4:$H$2500),0)</f>
        <v>128.80000000000004</v>
      </c>
      <c r="G118" s="95" cm="1">
        <f t="array" ref="G118">IFERROR(SUMPRODUCT(('Planning Engine'!$B$4:$B$2500="APAD")*(YEAR('Planning Engine'!$A$4:$A$2500)=2035)*(MONTH('Planning Engine'!$A$4:$A$2500)=12)*'Planning Engine'!$H$4:$H$2500),0)</f>
        <v>128.80000000000004</v>
      </c>
      <c r="H118" s="95" cm="1">
        <f t="array" aca="1" ref="H118" ca="1">IFERROR(SUMPRODUCT(('Planning Engine'!$B$4:$B$2500="APAD")*(YEAR('Planning Engine'!$A$4:$A$2500)=2035)*('Planning Engine'!$J$4:$J$2500&gt;0)*'Planning Engine'!$J$4:$J$2500)/MAX(1,SUMPRODUCT(('Planning Engine'!$B$4:$B$2500="APAD")*(YEAR('Planning Engine'!$A$4:$A$2500)=2035)*('Planning Engine'!$J$4:$J$2500&gt;0))),0)</f>
        <v>999</v>
      </c>
      <c r="I118" s="12" cm="1">
        <f t="array" ref="I118">IFERROR(SUMPRODUCT(('Planning Engine'!$B$4:$B$2500="APAD")*(YEAR('Planning Engine'!$A$4:$A$2500)=2035)*(MONTH('Planning Engine'!$A$4:$A$2500)=12)*'Planning Engine'!$H$4:$H$2500),0)</f>
        <v>128.80000000000004</v>
      </c>
      <c r="J118" cm="1">
        <f t="array" aca="1" ref="J118" ca="1">IFERROR(SUMPRODUCT(('Planning Engine'!$B$4:$B$2500="APAD")*(YEAR('Planning Engine'!$A$4:$A$2500)=2035)*'Planning Engine'!$K$4:$K$2500),0)</f>
        <v>0</v>
      </c>
      <c r="K118" s="12" t="str" cm="1">
        <f t="array" aca="1" ref="K118" ca="1">IFERROR(IF(SUMPRODUCT(('Planning Engine'!$B$4:$B$2500="APAD")*(YEAR('Planning Engine'!$A$4:$A$2500)=2035)*('Planning Engine'!$L$4:$L$2500="High"))&gt;0,"High",IF(SUMPRODUCT(('Planning Engine'!$B$4:$B$2500="APAD")*(YEAR('Planning Engine'!$A$4:$A$2500)=2035)*('Planning Engine'!$L$4:$L$2500="Medium"))&gt;0,"Medium",IF(SUMPRODUCT(('Planning Engine'!$B$4:$B$2500="APAD")*(YEAR('Planning Engine'!$A$4:$A$2500)=2035)*('Planning Engine'!$L$4:$L$2500="Overstock"))&gt;0,"Overstock","Low"))),"--")</f>
        <v>Overstock</v>
      </c>
    </row>
    <row r="119" spans="1:11" ht="14" customHeight="1" x14ac:dyDescent="0.35">
      <c r="A119" s="53" t="s">
        <v>54</v>
      </c>
      <c r="B119" s="107" t="s">
        <v>52</v>
      </c>
      <c r="C119" s="4">
        <v>2036</v>
      </c>
      <c r="D119" s="99" cm="1">
        <f t="array" ref="D119">IFERROR(SUMPRODUCT(('Planning Engine'!$B$4:$B$2500="APAD")*(YEAR('Planning Engine'!$A$4:$A$2500)=2036)*'Planning Engine'!$F$4:$F$2500),0)</f>
        <v>0</v>
      </c>
      <c r="E119" s="99" cm="1">
        <f t="array" ref="E119">IFERROR(SUMPRODUCT(('Planning Engine'!$B$4:$B$2500="APAD")*(YEAR('Planning Engine'!$A$4:$A$2500)=2036)*'Planning Engine'!$G$4:$G$2500),0)</f>
        <v>0</v>
      </c>
      <c r="F119" s="99" cm="1">
        <f t="array" ref="F119">IFERROR(SUMPRODUCT(('Planning Engine'!$B$4:$B$2500="APAD")*(YEAR('Planning Engine'!$A$4:$A$2500)=2036)*(MONTH('Planning Engine'!$A$4:$A$2500)=6)*'Planning Engine'!$H$4:$H$2500),0)</f>
        <v>128.80000000000004</v>
      </c>
      <c r="G119" s="99" cm="1">
        <f t="array" ref="G119">IFERROR(SUMPRODUCT(('Planning Engine'!$B$4:$B$2500="APAD")*(YEAR('Planning Engine'!$A$4:$A$2500)=2036)*(MONTH('Planning Engine'!$A$4:$A$2500)=12)*'Planning Engine'!$H$4:$H$2500),0)</f>
        <v>128.80000000000004</v>
      </c>
      <c r="H119" s="99" cm="1">
        <f t="array" aca="1" ref="H119" ca="1">IFERROR(SUMPRODUCT(('Planning Engine'!$B$4:$B$2500="APAD")*(YEAR('Planning Engine'!$A$4:$A$2500)=2036)*('Planning Engine'!$J$4:$J$2500&gt;0)*'Planning Engine'!$J$4:$J$2500)/MAX(1,SUMPRODUCT(('Planning Engine'!$B$4:$B$2500="APAD")*(YEAR('Planning Engine'!$A$4:$A$2500)=2036)*('Planning Engine'!$J$4:$J$2500&gt;0))),0)</f>
        <v>999</v>
      </c>
      <c r="I119" s="4" cm="1">
        <f t="array" ref="I119">IFERROR(SUMPRODUCT(('Planning Engine'!$B$4:$B$2500="APAD")*(YEAR('Planning Engine'!$A$4:$A$2500)=2036)*(MONTH('Planning Engine'!$A$4:$A$2500)=12)*'Planning Engine'!$H$4:$H$2500),0)</f>
        <v>128.80000000000004</v>
      </c>
      <c r="J119" cm="1">
        <f t="array" aca="1" ref="J119" ca="1">IFERROR(SUMPRODUCT(('Planning Engine'!$B$4:$B$2500="APAD")*(YEAR('Planning Engine'!$A$4:$A$2500)=2036)*'Planning Engine'!$K$4:$K$2500),0)</f>
        <v>0</v>
      </c>
      <c r="K119" s="4" t="str" cm="1">
        <f t="array" aca="1" ref="K119" ca="1">IFERROR(IF(SUMPRODUCT(('Planning Engine'!$B$4:$B$2500="APAD")*(YEAR('Planning Engine'!$A$4:$A$2500)=2036)*('Planning Engine'!$L$4:$L$2500="High"))&gt;0,"High",IF(SUMPRODUCT(('Planning Engine'!$B$4:$B$2500="APAD")*(YEAR('Planning Engine'!$A$4:$A$2500)=2036)*('Planning Engine'!$L$4:$L$2500="Medium"))&gt;0,"Medium",IF(SUMPRODUCT(('Planning Engine'!$B$4:$B$2500="APAD")*(YEAR('Planning Engine'!$A$4:$A$2500)=2036)*('Planning Engine'!$L$4:$L$2500="Overstock"))&gt;0,"Overstock","Low"))),"--")</f>
        <v>Overstock</v>
      </c>
    </row>
    <row r="120" spans="1:11" ht="14" customHeight="1" x14ac:dyDescent="0.35">
      <c r="A120" s="61" t="s">
        <v>54</v>
      </c>
      <c r="B120" s="106" t="s">
        <v>52</v>
      </c>
      <c r="C120" s="12">
        <v>2037</v>
      </c>
      <c r="D120" s="95" cm="1">
        <f t="array" ref="D120">IFERROR(SUMPRODUCT(('Planning Engine'!$B$4:$B$2500="APAD")*(YEAR('Planning Engine'!$A$4:$A$2500)=2037)*'Planning Engine'!$F$4:$F$2500),0)</f>
        <v>0</v>
      </c>
      <c r="E120" s="95" cm="1">
        <f t="array" ref="E120">IFERROR(SUMPRODUCT(('Planning Engine'!$B$4:$B$2500="APAD")*(YEAR('Planning Engine'!$A$4:$A$2500)=2037)*'Planning Engine'!$G$4:$G$2500),0)</f>
        <v>0</v>
      </c>
      <c r="F120" s="95" cm="1">
        <f t="array" ref="F120">IFERROR(SUMPRODUCT(('Planning Engine'!$B$4:$B$2500="APAD")*(YEAR('Planning Engine'!$A$4:$A$2500)=2037)*(MONTH('Planning Engine'!$A$4:$A$2500)=6)*'Planning Engine'!$H$4:$H$2500),0)</f>
        <v>128.80000000000004</v>
      </c>
      <c r="G120" s="95" cm="1">
        <f t="array" ref="G120">IFERROR(SUMPRODUCT(('Planning Engine'!$B$4:$B$2500="APAD")*(YEAR('Planning Engine'!$A$4:$A$2500)=2037)*(MONTH('Planning Engine'!$A$4:$A$2500)=12)*'Planning Engine'!$H$4:$H$2500),0)</f>
        <v>128.80000000000004</v>
      </c>
      <c r="H120" s="95" cm="1">
        <f t="array" aca="1" ref="H120" ca="1">IFERROR(SUMPRODUCT(('Planning Engine'!$B$4:$B$2500="APAD")*(YEAR('Planning Engine'!$A$4:$A$2500)=2037)*('Planning Engine'!$J$4:$J$2500&gt;0)*'Planning Engine'!$J$4:$J$2500)/MAX(1,SUMPRODUCT(('Planning Engine'!$B$4:$B$2500="APAD")*(YEAR('Planning Engine'!$A$4:$A$2500)=2037)*('Planning Engine'!$J$4:$J$2500&gt;0))),0)</f>
        <v>999</v>
      </c>
      <c r="I120" s="12" cm="1">
        <f t="array" ref="I120">IFERROR(SUMPRODUCT(('Planning Engine'!$B$4:$B$2500="APAD")*(YEAR('Planning Engine'!$A$4:$A$2500)=2037)*(MONTH('Planning Engine'!$A$4:$A$2500)=12)*'Planning Engine'!$H$4:$H$2500),0)</f>
        <v>128.80000000000004</v>
      </c>
      <c r="J120" cm="1">
        <f t="array" aca="1" ref="J120" ca="1">IFERROR(SUMPRODUCT(('Planning Engine'!$B$4:$B$2500="APAD")*(YEAR('Planning Engine'!$A$4:$A$2500)=2037)*'Planning Engine'!$K$4:$K$2500),0)</f>
        <v>0</v>
      </c>
      <c r="K120" s="12" t="str" cm="1">
        <f t="array" aca="1" ref="K120" ca="1">IFERROR(IF(SUMPRODUCT(('Planning Engine'!$B$4:$B$2500="APAD")*(YEAR('Planning Engine'!$A$4:$A$2500)=2037)*('Planning Engine'!$L$4:$L$2500="High"))&gt;0,"High",IF(SUMPRODUCT(('Planning Engine'!$B$4:$B$2500="APAD")*(YEAR('Planning Engine'!$A$4:$A$2500)=2037)*('Planning Engine'!$L$4:$L$2500="Medium"))&gt;0,"Medium",IF(SUMPRODUCT(('Planning Engine'!$B$4:$B$2500="APAD")*(YEAR('Planning Engine'!$A$4:$A$2500)=2037)*('Planning Engine'!$L$4:$L$2500="Overstock"))&gt;0,"Overstock","Low"))),"--")</f>
        <v>Overstock</v>
      </c>
    </row>
    <row r="121" spans="1:11" ht="14" customHeight="1" x14ac:dyDescent="0.35">
      <c r="A121" s="53" t="s">
        <v>54</v>
      </c>
      <c r="B121" s="107" t="s">
        <v>52</v>
      </c>
      <c r="C121" s="4">
        <v>2038</v>
      </c>
      <c r="D121" s="99" cm="1">
        <f t="array" ref="D121">IFERROR(SUMPRODUCT(('Planning Engine'!$B$4:$B$2500="APAD")*(YEAR('Planning Engine'!$A$4:$A$2500)=2038)*'Planning Engine'!$F$4:$F$2500),0)</f>
        <v>0</v>
      </c>
      <c r="E121" s="99" cm="1">
        <f t="array" ref="E121">IFERROR(SUMPRODUCT(('Planning Engine'!$B$4:$B$2500="APAD")*(YEAR('Planning Engine'!$A$4:$A$2500)=2038)*'Planning Engine'!$G$4:$G$2500),0)</f>
        <v>0</v>
      </c>
      <c r="F121" s="99" cm="1">
        <f t="array" ref="F121">IFERROR(SUMPRODUCT(('Planning Engine'!$B$4:$B$2500="APAD")*(YEAR('Planning Engine'!$A$4:$A$2500)=2038)*(MONTH('Planning Engine'!$A$4:$A$2500)=6)*'Planning Engine'!$H$4:$H$2500),0)</f>
        <v>128.80000000000004</v>
      </c>
      <c r="G121" s="99" cm="1">
        <f t="array" ref="G121">IFERROR(SUMPRODUCT(('Planning Engine'!$B$4:$B$2500="APAD")*(YEAR('Planning Engine'!$A$4:$A$2500)=2038)*(MONTH('Planning Engine'!$A$4:$A$2500)=12)*'Planning Engine'!$H$4:$H$2500),0)</f>
        <v>128.80000000000004</v>
      </c>
      <c r="H121" s="99" cm="1">
        <f t="array" aca="1" ref="H121" ca="1">IFERROR(SUMPRODUCT(('Planning Engine'!$B$4:$B$2500="APAD")*(YEAR('Planning Engine'!$A$4:$A$2500)=2038)*('Planning Engine'!$J$4:$J$2500&gt;0)*'Planning Engine'!$J$4:$J$2500)/MAX(1,SUMPRODUCT(('Planning Engine'!$B$4:$B$2500="APAD")*(YEAR('Planning Engine'!$A$4:$A$2500)=2038)*('Planning Engine'!$J$4:$J$2500&gt;0))),0)</f>
        <v>999</v>
      </c>
      <c r="I121" s="4" cm="1">
        <f t="array" ref="I121">IFERROR(SUMPRODUCT(('Planning Engine'!$B$4:$B$2500="APAD")*(YEAR('Planning Engine'!$A$4:$A$2500)=2038)*(MONTH('Planning Engine'!$A$4:$A$2500)=12)*'Planning Engine'!$H$4:$H$2500),0)</f>
        <v>128.80000000000004</v>
      </c>
      <c r="J121" cm="1">
        <f t="array" aca="1" ref="J121" ca="1">IFERROR(SUMPRODUCT(('Planning Engine'!$B$4:$B$2500="APAD")*(YEAR('Planning Engine'!$A$4:$A$2500)=2038)*'Planning Engine'!$K$4:$K$2500),0)</f>
        <v>0</v>
      </c>
      <c r="K121" s="4" t="str" cm="1">
        <f t="array" aca="1" ref="K121" ca="1">IFERROR(IF(SUMPRODUCT(('Planning Engine'!$B$4:$B$2500="APAD")*(YEAR('Planning Engine'!$A$4:$A$2500)=2038)*('Planning Engine'!$L$4:$L$2500="High"))&gt;0,"High",IF(SUMPRODUCT(('Planning Engine'!$B$4:$B$2500="APAD")*(YEAR('Planning Engine'!$A$4:$A$2500)=2038)*('Planning Engine'!$L$4:$L$2500="Medium"))&gt;0,"Medium",IF(SUMPRODUCT(('Planning Engine'!$B$4:$B$2500="APAD")*(YEAR('Planning Engine'!$A$4:$A$2500)=2038)*('Planning Engine'!$L$4:$L$2500="Overstock"))&gt;0,"Overstock","Low"))),"--")</f>
        <v>Overstock</v>
      </c>
    </row>
    <row r="122" spans="1:11" ht="14" customHeight="1" x14ac:dyDescent="0.35">
      <c r="A122" s="61" t="s">
        <v>54</v>
      </c>
      <c r="B122" s="106" t="s">
        <v>52</v>
      </c>
      <c r="C122" s="12">
        <v>2039</v>
      </c>
      <c r="D122" s="95" cm="1">
        <f t="array" ref="D122">IFERROR(SUMPRODUCT(('Planning Engine'!$B$4:$B$2500="APAD")*(YEAR('Planning Engine'!$A$4:$A$2500)=2039)*'Planning Engine'!$F$4:$F$2500),0)</f>
        <v>0</v>
      </c>
      <c r="E122" s="95" cm="1">
        <f t="array" ref="E122">IFERROR(SUMPRODUCT(('Planning Engine'!$B$4:$B$2500="APAD")*(YEAR('Planning Engine'!$A$4:$A$2500)=2039)*'Planning Engine'!$G$4:$G$2500),0)</f>
        <v>0</v>
      </c>
      <c r="F122" s="95" cm="1">
        <f t="array" ref="F122">IFERROR(SUMPRODUCT(('Planning Engine'!$B$4:$B$2500="APAD")*(YEAR('Planning Engine'!$A$4:$A$2500)=2039)*(MONTH('Planning Engine'!$A$4:$A$2500)=6)*'Planning Engine'!$H$4:$H$2500),0)</f>
        <v>128.80000000000004</v>
      </c>
      <c r="G122" s="95" cm="1">
        <f t="array" ref="G122">IFERROR(SUMPRODUCT(('Planning Engine'!$B$4:$B$2500="APAD")*(YEAR('Planning Engine'!$A$4:$A$2500)=2039)*(MONTH('Planning Engine'!$A$4:$A$2500)=12)*'Planning Engine'!$H$4:$H$2500),0)</f>
        <v>128.80000000000004</v>
      </c>
      <c r="H122" s="95" cm="1">
        <f t="array" aca="1" ref="H122" ca="1">IFERROR(SUMPRODUCT(('Planning Engine'!$B$4:$B$2500="APAD")*(YEAR('Planning Engine'!$A$4:$A$2500)=2039)*('Planning Engine'!$J$4:$J$2500&gt;0)*'Planning Engine'!$J$4:$J$2500)/MAX(1,SUMPRODUCT(('Planning Engine'!$B$4:$B$2500="APAD")*(YEAR('Planning Engine'!$A$4:$A$2500)=2039)*('Planning Engine'!$J$4:$J$2500&gt;0))),0)</f>
        <v>999</v>
      </c>
      <c r="I122" s="12" cm="1">
        <f t="array" ref="I122">IFERROR(SUMPRODUCT(('Planning Engine'!$B$4:$B$2500="APAD")*(YEAR('Planning Engine'!$A$4:$A$2500)=2039)*(MONTH('Planning Engine'!$A$4:$A$2500)=12)*'Planning Engine'!$H$4:$H$2500),0)</f>
        <v>128.80000000000004</v>
      </c>
      <c r="J122" cm="1">
        <f t="array" aca="1" ref="J122" ca="1">IFERROR(SUMPRODUCT(('Planning Engine'!$B$4:$B$2500="APAD")*(YEAR('Planning Engine'!$A$4:$A$2500)=2039)*'Planning Engine'!$K$4:$K$2500),0)</f>
        <v>0</v>
      </c>
      <c r="K122" s="12" t="str" cm="1">
        <f t="array" aca="1" ref="K122" ca="1">IFERROR(IF(SUMPRODUCT(('Planning Engine'!$B$4:$B$2500="APAD")*(YEAR('Planning Engine'!$A$4:$A$2500)=2039)*('Planning Engine'!$L$4:$L$2500="High"))&gt;0,"High",IF(SUMPRODUCT(('Planning Engine'!$B$4:$B$2500="APAD")*(YEAR('Planning Engine'!$A$4:$A$2500)=2039)*('Planning Engine'!$L$4:$L$2500="Medium"))&gt;0,"Medium",IF(SUMPRODUCT(('Planning Engine'!$B$4:$B$2500="APAD")*(YEAR('Planning Engine'!$A$4:$A$2500)=2039)*('Planning Engine'!$L$4:$L$2500="Overstock"))&gt;0,"Overstock","Low"))),"--")</f>
        <v>Overstock</v>
      </c>
    </row>
    <row r="123" spans="1:11" ht="14" customHeight="1" x14ac:dyDescent="0.35">
      <c r="A123" s="53" t="s">
        <v>54</v>
      </c>
      <c r="B123" s="107" t="s">
        <v>52</v>
      </c>
      <c r="C123" s="4">
        <v>2040</v>
      </c>
      <c r="D123" s="99" cm="1">
        <f t="array" ref="D123">IFERROR(SUMPRODUCT(('Planning Engine'!$B$4:$B$2500="APAD")*(YEAR('Planning Engine'!$A$4:$A$2500)=2040)*'Planning Engine'!$F$4:$F$2500),0)</f>
        <v>0</v>
      </c>
      <c r="E123" s="99" cm="1">
        <f t="array" ref="E123">IFERROR(SUMPRODUCT(('Planning Engine'!$B$4:$B$2500="APAD")*(YEAR('Planning Engine'!$A$4:$A$2500)=2040)*'Planning Engine'!$G$4:$G$2500),0)</f>
        <v>0</v>
      </c>
      <c r="F123" s="99" cm="1">
        <f t="array" ref="F123">IFERROR(SUMPRODUCT(('Planning Engine'!$B$4:$B$2500="APAD")*(YEAR('Planning Engine'!$A$4:$A$2500)=2040)*(MONTH('Planning Engine'!$A$4:$A$2500)=6)*'Planning Engine'!$H$4:$H$2500),0)</f>
        <v>128.80000000000004</v>
      </c>
      <c r="G123" s="99" cm="1">
        <f t="array" ref="G123">IFERROR(SUMPRODUCT(('Planning Engine'!$B$4:$B$2500="APAD")*(YEAR('Planning Engine'!$A$4:$A$2500)=2040)*(MONTH('Planning Engine'!$A$4:$A$2500)=12)*'Planning Engine'!$H$4:$H$2500),0)</f>
        <v>128.80000000000004</v>
      </c>
      <c r="H123" s="99" cm="1">
        <f t="array" aca="1" ref="H123" ca="1">IFERROR(SUMPRODUCT(('Planning Engine'!$B$4:$B$2500="APAD")*(YEAR('Planning Engine'!$A$4:$A$2500)=2040)*('Planning Engine'!$J$4:$J$2500&gt;0)*'Planning Engine'!$J$4:$J$2500)/MAX(1,SUMPRODUCT(('Planning Engine'!$B$4:$B$2500="APAD")*(YEAR('Planning Engine'!$A$4:$A$2500)=2040)*('Planning Engine'!$J$4:$J$2500&gt;0))),0)</f>
        <v>999</v>
      </c>
      <c r="I123" s="4" cm="1">
        <f t="array" ref="I123">IFERROR(SUMPRODUCT(('Planning Engine'!$B$4:$B$2500="APAD")*(YEAR('Planning Engine'!$A$4:$A$2500)=2040)*(MONTH('Planning Engine'!$A$4:$A$2500)=12)*'Planning Engine'!$H$4:$H$2500),0)</f>
        <v>128.80000000000004</v>
      </c>
      <c r="J123" cm="1">
        <f t="array" aca="1" ref="J123" ca="1">IFERROR(SUMPRODUCT(('Planning Engine'!$B$4:$B$2500="APAD")*(YEAR('Planning Engine'!$A$4:$A$2500)=2040)*'Planning Engine'!$K$4:$K$2500),0)</f>
        <v>0</v>
      </c>
      <c r="K123" s="4" t="str" cm="1">
        <f t="array" aca="1" ref="K123" ca="1">IFERROR(IF(SUMPRODUCT(('Planning Engine'!$B$4:$B$2500="APAD")*(YEAR('Planning Engine'!$A$4:$A$2500)=2040)*('Planning Engine'!$L$4:$L$2500="High"))&gt;0,"High",IF(SUMPRODUCT(('Planning Engine'!$B$4:$B$2500="APAD")*(YEAR('Planning Engine'!$A$4:$A$2500)=2040)*('Planning Engine'!$L$4:$L$2500="Medium"))&gt;0,"Medium",IF(SUMPRODUCT(('Planning Engine'!$B$4:$B$2500="APAD")*(YEAR('Planning Engine'!$A$4:$A$2500)=2040)*('Planning Engine'!$L$4:$L$2500="Overstock"))&gt;0,"Overstock","Low"))),"--")</f>
        <v>Overstock</v>
      </c>
    </row>
    <row r="124" spans="1:11" ht="14" customHeight="1" x14ac:dyDescent="0.35">
      <c r="A124" s="61" t="s">
        <v>56</v>
      </c>
      <c r="B124" s="106" t="s">
        <v>52</v>
      </c>
      <c r="C124" s="12">
        <v>2026</v>
      </c>
      <c r="D124" s="95" cm="1">
        <f t="array" ref="D124">IFERROR(SUMPRODUCT(('Planning Engine'!$B$4:$B$2500="APC")*(YEAR('Planning Engine'!$A$4:$A$2500)=2026)*'Planning Engine'!$F$4:$F$2500),0)</f>
        <v>36.960000000000008</v>
      </c>
      <c r="E124" s="95" cm="1">
        <f t="array" ref="E124">IFERROR(SUMPRODUCT(('Planning Engine'!$B$4:$B$2500="APC")*(YEAR('Planning Engine'!$A$4:$A$2500)=2026)*'Planning Engine'!$G$4:$G$2500),0)</f>
        <v>0</v>
      </c>
      <c r="F124" s="95" cm="1">
        <f t="array" ref="F124">IFERROR(SUMPRODUCT(('Planning Engine'!$B$4:$B$2500="APC")*(YEAR('Planning Engine'!$A$4:$A$2500)=2026)*(MONTH('Planning Engine'!$A$4:$A$2500)=6)*'Planning Engine'!$H$4:$H$2500),0)</f>
        <v>48.11999999999999</v>
      </c>
      <c r="G124" s="95" cm="1">
        <f t="array" ref="G124">IFERROR(SUMPRODUCT(('Planning Engine'!$B$4:$B$2500="APC")*(YEAR('Planning Engine'!$A$4:$A$2500)=2026)*(MONTH('Planning Engine'!$A$4:$A$2500)=12)*'Planning Engine'!$H$4:$H$2500),0)</f>
        <v>41.959999999999994</v>
      </c>
      <c r="H124" s="95" cm="1">
        <f t="array" aca="1" ref="H124" ca="1">IFERROR(SUMPRODUCT(('Planning Engine'!$B$4:$B$2500="APC")*(YEAR('Planning Engine'!$A$4:$A$2500)=2026)*('Planning Engine'!$J$4:$J$2500&gt;0)*'Planning Engine'!$J$4:$J$2500)/MAX(1,SUMPRODUCT(('Planning Engine'!$B$4:$B$2500="APC")*(YEAR('Planning Engine'!$A$4:$A$2500)=2026)*('Planning Engine'!$J$4:$J$2500&gt;0))),0)</f>
        <v>4.7609208972845334</v>
      </c>
      <c r="I124" s="12" cm="1">
        <f t="array" ref="I124">IFERROR(SUMPRODUCT(('Planning Engine'!$B$4:$B$2500="APC")*(YEAR('Planning Engine'!$A$4:$A$2500)=2026)*(MONTH('Planning Engine'!$A$4:$A$2500)=12)*'Planning Engine'!$H$4:$H$2500),0)</f>
        <v>41.959999999999994</v>
      </c>
      <c r="J124" cm="1">
        <f t="array" aca="1" ref="J124" ca="1">IFERROR(SUMPRODUCT(('Planning Engine'!$B$4:$B$2500="APC")*(YEAR('Planning Engine'!$A$4:$A$2500)=2026)*'Planning Engine'!$K$4:$K$2500),0)</f>
        <v>0</v>
      </c>
      <c r="K124" s="12" t="str" cm="1">
        <f t="array" aca="1" ref="K124" ca="1">IFERROR(IF(SUMPRODUCT(('Planning Engine'!$B$4:$B$2500="APC")*(YEAR('Planning Engine'!$A$4:$A$2500)=2026)*('Planning Engine'!$L$4:$L$2500="High"))&gt;0,"High",IF(SUMPRODUCT(('Planning Engine'!$B$4:$B$2500="APC")*(YEAR('Planning Engine'!$A$4:$A$2500)=2026)*('Planning Engine'!$L$4:$L$2500="Medium"))&gt;0,"Medium",IF(SUMPRODUCT(('Planning Engine'!$B$4:$B$2500="APC")*(YEAR('Planning Engine'!$A$4:$A$2500)=2026)*('Planning Engine'!$L$4:$L$2500="Overstock"))&gt;0,"Overstock","Low"))),"--")</f>
        <v>Medium</v>
      </c>
    </row>
    <row r="125" spans="1:11" ht="14" customHeight="1" x14ac:dyDescent="0.35">
      <c r="A125" s="53" t="s">
        <v>56</v>
      </c>
      <c r="B125" s="107" t="s">
        <v>52</v>
      </c>
      <c r="C125" s="4">
        <v>2027</v>
      </c>
      <c r="D125" s="99" cm="1">
        <f t="array" ref="D125">IFERROR(SUMPRODUCT(('Planning Engine'!$B$4:$B$2500="APC")*(YEAR('Planning Engine'!$A$4:$A$2500)=2027)*'Planning Engine'!$F$4:$F$2500),0)</f>
        <v>49.28</v>
      </c>
      <c r="E125" s="99" cm="1">
        <f t="array" ref="E125">IFERROR(SUMPRODUCT(('Planning Engine'!$B$4:$B$2500="APC")*(YEAR('Planning Engine'!$A$4:$A$2500)=2027)*'Planning Engine'!$G$4:$G$2500),0)</f>
        <v>40</v>
      </c>
      <c r="F125" s="99" cm="1">
        <f t="array" ref="F125">IFERROR(SUMPRODUCT(('Planning Engine'!$B$4:$B$2500="APC")*(YEAR('Planning Engine'!$A$4:$A$2500)=2027)*(MONTH('Planning Engine'!$A$4:$A$2500)=6)*'Planning Engine'!$H$4:$H$2500),0)</f>
        <v>44.999999999999986</v>
      </c>
      <c r="G125" s="99" cm="1">
        <f t="array" ref="G125">IFERROR(SUMPRODUCT(('Planning Engine'!$B$4:$B$2500="APC")*(YEAR('Planning Engine'!$A$4:$A$2500)=2027)*(MONTH('Planning Engine'!$A$4:$A$2500)=12)*'Planning Engine'!$H$4:$H$2500),0)</f>
        <v>32.679999999999986</v>
      </c>
      <c r="H125" s="99" cm="1">
        <f t="array" aca="1" ref="H125" ca="1">IFERROR(SUMPRODUCT(('Planning Engine'!$B$4:$B$2500="APC")*(YEAR('Planning Engine'!$A$4:$A$2500)=2027)*('Planning Engine'!$J$4:$J$2500&gt;0)*'Planning Engine'!$J$4:$J$2500)/MAX(1,SUMPRODUCT(('Planning Engine'!$B$4:$B$2500="APC")*(YEAR('Planning Engine'!$A$4:$A$2500)=2027)*('Planning Engine'!$J$4:$J$2500&gt;0))),0)</f>
        <v>419.2973484848485</v>
      </c>
      <c r="I125" s="4" cm="1">
        <f t="array" ref="I125">IFERROR(SUMPRODUCT(('Planning Engine'!$B$4:$B$2500="APC")*(YEAR('Planning Engine'!$A$4:$A$2500)=2027)*(MONTH('Planning Engine'!$A$4:$A$2500)=12)*'Planning Engine'!$H$4:$H$2500),0)</f>
        <v>32.679999999999986</v>
      </c>
      <c r="J125" cm="1">
        <f t="array" aca="1" ref="J125" ca="1">IFERROR(SUMPRODUCT(('Planning Engine'!$B$4:$B$2500="APC")*(YEAR('Planning Engine'!$A$4:$A$2500)=2027)*'Planning Engine'!$K$4:$K$2500),0)</f>
        <v>0</v>
      </c>
      <c r="K125" s="4" t="str" cm="1">
        <f t="array" aca="1" ref="K125" ca="1">IFERROR(IF(SUMPRODUCT(('Planning Engine'!$B$4:$B$2500="APC")*(YEAR('Planning Engine'!$A$4:$A$2500)=2027)*('Planning Engine'!$L$4:$L$2500="High"))&gt;0,"High",IF(SUMPRODUCT(('Planning Engine'!$B$4:$B$2500="APC")*(YEAR('Planning Engine'!$A$4:$A$2500)=2027)*('Planning Engine'!$L$4:$L$2500="Medium"))&gt;0,"Medium",IF(SUMPRODUCT(('Planning Engine'!$B$4:$B$2500="APC")*(YEAR('Planning Engine'!$A$4:$A$2500)=2027)*('Planning Engine'!$L$4:$L$2500="Overstock"))&gt;0,"Overstock","Low"))),"--")</f>
        <v>High</v>
      </c>
    </row>
    <row r="126" spans="1:11" ht="14" customHeight="1" x14ac:dyDescent="0.35">
      <c r="A126" s="61" t="s">
        <v>56</v>
      </c>
      <c r="B126" s="106" t="s">
        <v>52</v>
      </c>
      <c r="C126" s="12">
        <v>2028</v>
      </c>
      <c r="D126" s="95" cm="1">
        <f t="array" ref="D126">IFERROR(SUMPRODUCT(('Planning Engine'!$B$4:$B$2500="APC")*(YEAR('Planning Engine'!$A$4:$A$2500)=2028)*'Planning Engine'!$F$4:$F$2500),0)</f>
        <v>0</v>
      </c>
      <c r="E126" s="95" cm="1">
        <f t="array" ref="E126">IFERROR(SUMPRODUCT(('Planning Engine'!$B$4:$B$2500="APC")*(YEAR('Planning Engine'!$A$4:$A$2500)=2028)*'Planning Engine'!$G$4:$G$2500),0)</f>
        <v>0</v>
      </c>
      <c r="F126" s="95" cm="1">
        <f t="array" ref="F126">IFERROR(SUMPRODUCT(('Planning Engine'!$B$4:$B$2500="APC")*(YEAR('Planning Engine'!$A$4:$A$2500)=2028)*(MONTH('Planning Engine'!$A$4:$A$2500)=6)*'Planning Engine'!$H$4:$H$2500),0)</f>
        <v>32.679999999999986</v>
      </c>
      <c r="G126" s="95" cm="1">
        <f t="array" ref="G126">IFERROR(SUMPRODUCT(('Planning Engine'!$B$4:$B$2500="APC")*(YEAR('Planning Engine'!$A$4:$A$2500)=2028)*(MONTH('Planning Engine'!$A$4:$A$2500)=12)*'Planning Engine'!$H$4:$H$2500),0)</f>
        <v>32.679999999999986</v>
      </c>
      <c r="H126" s="95" cm="1">
        <f t="array" aca="1" ref="H126" ca="1">IFERROR(SUMPRODUCT(('Planning Engine'!$B$4:$B$2500="APC")*(YEAR('Planning Engine'!$A$4:$A$2500)=2028)*('Planning Engine'!$J$4:$J$2500&gt;0)*'Planning Engine'!$J$4:$J$2500)/MAX(1,SUMPRODUCT(('Planning Engine'!$B$4:$B$2500="APC")*(YEAR('Planning Engine'!$A$4:$A$2500)=2028)*('Planning Engine'!$J$4:$J$2500&gt;0))),0)</f>
        <v>999</v>
      </c>
      <c r="I126" s="12" cm="1">
        <f t="array" ref="I126">IFERROR(SUMPRODUCT(('Planning Engine'!$B$4:$B$2500="APC")*(YEAR('Planning Engine'!$A$4:$A$2500)=2028)*(MONTH('Planning Engine'!$A$4:$A$2500)=12)*'Planning Engine'!$H$4:$H$2500),0)</f>
        <v>32.679999999999986</v>
      </c>
      <c r="J126" cm="1">
        <f t="array" aca="1" ref="J126" ca="1">IFERROR(SUMPRODUCT(('Planning Engine'!$B$4:$B$2500="APC")*(YEAR('Planning Engine'!$A$4:$A$2500)=2028)*'Planning Engine'!$K$4:$K$2500),0)</f>
        <v>0</v>
      </c>
      <c r="K126" s="12" t="str" cm="1">
        <f t="array" aca="1" ref="K126" ca="1">IFERROR(IF(SUMPRODUCT(('Planning Engine'!$B$4:$B$2500="APC")*(YEAR('Planning Engine'!$A$4:$A$2500)=2028)*('Planning Engine'!$L$4:$L$2500="High"))&gt;0,"High",IF(SUMPRODUCT(('Planning Engine'!$B$4:$B$2500="APC")*(YEAR('Planning Engine'!$A$4:$A$2500)=2028)*('Planning Engine'!$L$4:$L$2500="Medium"))&gt;0,"Medium",IF(SUMPRODUCT(('Planning Engine'!$B$4:$B$2500="APC")*(YEAR('Planning Engine'!$A$4:$A$2500)=2028)*('Planning Engine'!$L$4:$L$2500="Overstock"))&gt;0,"Overstock","Low"))),"--")</f>
        <v>Overstock</v>
      </c>
    </row>
    <row r="127" spans="1:11" ht="14" customHeight="1" x14ac:dyDescent="0.35">
      <c r="A127" s="53" t="s">
        <v>56</v>
      </c>
      <c r="B127" s="107" t="s">
        <v>52</v>
      </c>
      <c r="C127" s="4">
        <v>2029</v>
      </c>
      <c r="D127" s="99" cm="1">
        <f t="array" ref="D127">IFERROR(SUMPRODUCT(('Planning Engine'!$B$4:$B$2500="APC")*(YEAR('Planning Engine'!$A$4:$A$2500)=2029)*'Planning Engine'!$F$4:$F$2500),0)</f>
        <v>0</v>
      </c>
      <c r="E127" s="99" cm="1">
        <f t="array" ref="E127">IFERROR(SUMPRODUCT(('Planning Engine'!$B$4:$B$2500="APC")*(YEAR('Planning Engine'!$A$4:$A$2500)=2029)*'Planning Engine'!$G$4:$G$2500),0)</f>
        <v>0</v>
      </c>
      <c r="F127" s="99" cm="1">
        <f t="array" ref="F127">IFERROR(SUMPRODUCT(('Planning Engine'!$B$4:$B$2500="APC")*(YEAR('Planning Engine'!$A$4:$A$2500)=2029)*(MONTH('Planning Engine'!$A$4:$A$2500)=6)*'Planning Engine'!$H$4:$H$2500),0)</f>
        <v>32.679999999999986</v>
      </c>
      <c r="G127" s="99" cm="1">
        <f t="array" ref="G127">IFERROR(SUMPRODUCT(('Planning Engine'!$B$4:$B$2500="APC")*(YEAR('Planning Engine'!$A$4:$A$2500)=2029)*(MONTH('Planning Engine'!$A$4:$A$2500)=12)*'Planning Engine'!$H$4:$H$2500),0)</f>
        <v>32.679999999999986</v>
      </c>
      <c r="H127" s="99" cm="1">
        <f t="array" aca="1" ref="H127" ca="1">IFERROR(SUMPRODUCT(('Planning Engine'!$B$4:$B$2500="APC")*(YEAR('Planning Engine'!$A$4:$A$2500)=2029)*('Planning Engine'!$J$4:$J$2500&gt;0)*'Planning Engine'!$J$4:$J$2500)/MAX(1,SUMPRODUCT(('Planning Engine'!$B$4:$B$2500="APC")*(YEAR('Planning Engine'!$A$4:$A$2500)=2029)*('Planning Engine'!$J$4:$J$2500&gt;0))),0)</f>
        <v>999</v>
      </c>
      <c r="I127" s="4" cm="1">
        <f t="array" ref="I127">IFERROR(SUMPRODUCT(('Planning Engine'!$B$4:$B$2500="APC")*(YEAR('Planning Engine'!$A$4:$A$2500)=2029)*(MONTH('Planning Engine'!$A$4:$A$2500)=12)*'Planning Engine'!$H$4:$H$2500),0)</f>
        <v>32.679999999999986</v>
      </c>
      <c r="J127" cm="1">
        <f t="array" aca="1" ref="J127" ca="1">IFERROR(SUMPRODUCT(('Planning Engine'!$B$4:$B$2500="APC")*(YEAR('Planning Engine'!$A$4:$A$2500)=2029)*'Planning Engine'!$K$4:$K$2500),0)</f>
        <v>0</v>
      </c>
      <c r="K127" s="4" t="str" cm="1">
        <f t="array" aca="1" ref="K127" ca="1">IFERROR(IF(SUMPRODUCT(('Planning Engine'!$B$4:$B$2500="APC")*(YEAR('Planning Engine'!$A$4:$A$2500)=2029)*('Planning Engine'!$L$4:$L$2500="High"))&gt;0,"High",IF(SUMPRODUCT(('Planning Engine'!$B$4:$B$2500="APC")*(YEAR('Planning Engine'!$A$4:$A$2500)=2029)*('Planning Engine'!$L$4:$L$2500="Medium"))&gt;0,"Medium",IF(SUMPRODUCT(('Planning Engine'!$B$4:$B$2500="APC")*(YEAR('Planning Engine'!$A$4:$A$2500)=2029)*('Planning Engine'!$L$4:$L$2500="Overstock"))&gt;0,"Overstock","Low"))),"--")</f>
        <v>Overstock</v>
      </c>
    </row>
    <row r="128" spans="1:11" ht="14" customHeight="1" x14ac:dyDescent="0.35">
      <c r="A128" s="61" t="s">
        <v>56</v>
      </c>
      <c r="B128" s="106" t="s">
        <v>52</v>
      </c>
      <c r="C128" s="12">
        <v>2030</v>
      </c>
      <c r="D128" s="95" cm="1">
        <f t="array" ref="D128">IFERROR(SUMPRODUCT(('Planning Engine'!$B$4:$B$2500="APC")*(YEAR('Planning Engine'!$A$4:$A$2500)=2030)*'Planning Engine'!$F$4:$F$2500),0)</f>
        <v>0</v>
      </c>
      <c r="E128" s="95" cm="1">
        <f t="array" ref="E128">IFERROR(SUMPRODUCT(('Planning Engine'!$B$4:$B$2500="APC")*(YEAR('Planning Engine'!$A$4:$A$2500)=2030)*'Planning Engine'!$G$4:$G$2500),0)</f>
        <v>0</v>
      </c>
      <c r="F128" s="95" cm="1">
        <f t="array" ref="F128">IFERROR(SUMPRODUCT(('Planning Engine'!$B$4:$B$2500="APC")*(YEAR('Planning Engine'!$A$4:$A$2500)=2030)*(MONTH('Planning Engine'!$A$4:$A$2500)=6)*'Planning Engine'!$H$4:$H$2500),0)</f>
        <v>32.679999999999986</v>
      </c>
      <c r="G128" s="95" cm="1">
        <f t="array" ref="G128">IFERROR(SUMPRODUCT(('Planning Engine'!$B$4:$B$2500="APC")*(YEAR('Planning Engine'!$A$4:$A$2500)=2030)*(MONTH('Planning Engine'!$A$4:$A$2500)=12)*'Planning Engine'!$H$4:$H$2500),0)</f>
        <v>32.679999999999986</v>
      </c>
      <c r="H128" s="95" cm="1">
        <f t="array" aca="1" ref="H128" ca="1">IFERROR(SUMPRODUCT(('Planning Engine'!$B$4:$B$2500="APC")*(YEAR('Planning Engine'!$A$4:$A$2500)=2030)*('Planning Engine'!$J$4:$J$2500&gt;0)*'Planning Engine'!$J$4:$J$2500)/MAX(1,SUMPRODUCT(('Planning Engine'!$B$4:$B$2500="APC")*(YEAR('Planning Engine'!$A$4:$A$2500)=2030)*('Planning Engine'!$J$4:$J$2500&gt;0))),0)</f>
        <v>999</v>
      </c>
      <c r="I128" s="12" cm="1">
        <f t="array" ref="I128">IFERROR(SUMPRODUCT(('Planning Engine'!$B$4:$B$2500="APC")*(YEAR('Planning Engine'!$A$4:$A$2500)=2030)*(MONTH('Planning Engine'!$A$4:$A$2500)=12)*'Planning Engine'!$H$4:$H$2500),0)</f>
        <v>32.679999999999986</v>
      </c>
      <c r="J128" cm="1">
        <f t="array" aca="1" ref="J128" ca="1">IFERROR(SUMPRODUCT(('Planning Engine'!$B$4:$B$2500="APC")*(YEAR('Planning Engine'!$A$4:$A$2500)=2030)*'Planning Engine'!$K$4:$K$2500),0)</f>
        <v>0</v>
      </c>
      <c r="K128" s="12" t="str" cm="1">
        <f t="array" aca="1" ref="K128" ca="1">IFERROR(IF(SUMPRODUCT(('Planning Engine'!$B$4:$B$2500="APC")*(YEAR('Planning Engine'!$A$4:$A$2500)=2030)*('Planning Engine'!$L$4:$L$2500="High"))&gt;0,"High",IF(SUMPRODUCT(('Planning Engine'!$B$4:$B$2500="APC")*(YEAR('Planning Engine'!$A$4:$A$2500)=2030)*('Planning Engine'!$L$4:$L$2500="Medium"))&gt;0,"Medium",IF(SUMPRODUCT(('Planning Engine'!$B$4:$B$2500="APC")*(YEAR('Planning Engine'!$A$4:$A$2500)=2030)*('Planning Engine'!$L$4:$L$2500="Overstock"))&gt;0,"Overstock","Low"))),"--")</f>
        <v>Overstock</v>
      </c>
    </row>
    <row r="129" spans="1:11" ht="14" customHeight="1" x14ac:dyDescent="0.35">
      <c r="A129" s="53" t="s">
        <v>56</v>
      </c>
      <c r="B129" s="107" t="s">
        <v>52</v>
      </c>
      <c r="C129" s="4">
        <v>2031</v>
      </c>
      <c r="D129" s="99" cm="1">
        <f t="array" ref="D129">IFERROR(SUMPRODUCT(('Planning Engine'!$B$4:$B$2500="APC")*(YEAR('Planning Engine'!$A$4:$A$2500)=2031)*'Planning Engine'!$F$4:$F$2500),0)</f>
        <v>0</v>
      </c>
      <c r="E129" s="99" cm="1">
        <f t="array" ref="E129">IFERROR(SUMPRODUCT(('Planning Engine'!$B$4:$B$2500="APC")*(YEAR('Planning Engine'!$A$4:$A$2500)=2031)*'Planning Engine'!$G$4:$G$2500),0)</f>
        <v>0</v>
      </c>
      <c r="F129" s="99" cm="1">
        <f t="array" ref="F129">IFERROR(SUMPRODUCT(('Planning Engine'!$B$4:$B$2500="APC")*(YEAR('Planning Engine'!$A$4:$A$2500)=2031)*(MONTH('Planning Engine'!$A$4:$A$2500)=6)*'Planning Engine'!$H$4:$H$2500),0)</f>
        <v>32.679999999999986</v>
      </c>
      <c r="G129" s="99" cm="1">
        <f t="array" ref="G129">IFERROR(SUMPRODUCT(('Planning Engine'!$B$4:$B$2500="APC")*(YEAR('Planning Engine'!$A$4:$A$2500)=2031)*(MONTH('Planning Engine'!$A$4:$A$2500)=12)*'Planning Engine'!$H$4:$H$2500),0)</f>
        <v>32.679999999999986</v>
      </c>
      <c r="H129" s="99" cm="1">
        <f t="array" aca="1" ref="H129" ca="1">IFERROR(SUMPRODUCT(('Planning Engine'!$B$4:$B$2500="APC")*(YEAR('Planning Engine'!$A$4:$A$2500)=2031)*('Planning Engine'!$J$4:$J$2500&gt;0)*'Planning Engine'!$J$4:$J$2500)/MAX(1,SUMPRODUCT(('Planning Engine'!$B$4:$B$2500="APC")*(YEAR('Planning Engine'!$A$4:$A$2500)=2031)*('Planning Engine'!$J$4:$J$2500&gt;0))),0)</f>
        <v>999</v>
      </c>
      <c r="I129" s="4" cm="1">
        <f t="array" ref="I129">IFERROR(SUMPRODUCT(('Planning Engine'!$B$4:$B$2500="APC")*(YEAR('Planning Engine'!$A$4:$A$2500)=2031)*(MONTH('Planning Engine'!$A$4:$A$2500)=12)*'Planning Engine'!$H$4:$H$2500),0)</f>
        <v>32.679999999999986</v>
      </c>
      <c r="J129" cm="1">
        <f t="array" aca="1" ref="J129" ca="1">IFERROR(SUMPRODUCT(('Planning Engine'!$B$4:$B$2500="APC")*(YEAR('Planning Engine'!$A$4:$A$2500)=2031)*'Planning Engine'!$K$4:$K$2500),0)</f>
        <v>0</v>
      </c>
      <c r="K129" s="4" t="str" cm="1">
        <f t="array" aca="1" ref="K129" ca="1">IFERROR(IF(SUMPRODUCT(('Planning Engine'!$B$4:$B$2500="APC")*(YEAR('Planning Engine'!$A$4:$A$2500)=2031)*('Planning Engine'!$L$4:$L$2500="High"))&gt;0,"High",IF(SUMPRODUCT(('Planning Engine'!$B$4:$B$2500="APC")*(YEAR('Planning Engine'!$A$4:$A$2500)=2031)*('Planning Engine'!$L$4:$L$2500="Medium"))&gt;0,"Medium",IF(SUMPRODUCT(('Planning Engine'!$B$4:$B$2500="APC")*(YEAR('Planning Engine'!$A$4:$A$2500)=2031)*('Planning Engine'!$L$4:$L$2500="Overstock"))&gt;0,"Overstock","Low"))),"--")</f>
        <v>Overstock</v>
      </c>
    </row>
    <row r="130" spans="1:11" ht="14" customHeight="1" x14ac:dyDescent="0.35">
      <c r="A130" s="61" t="s">
        <v>56</v>
      </c>
      <c r="B130" s="106" t="s">
        <v>52</v>
      </c>
      <c r="C130" s="12">
        <v>2032</v>
      </c>
      <c r="D130" s="95" cm="1">
        <f t="array" ref="D130">IFERROR(SUMPRODUCT(('Planning Engine'!$B$4:$B$2500="APC")*(YEAR('Planning Engine'!$A$4:$A$2500)=2032)*'Planning Engine'!$F$4:$F$2500),0)</f>
        <v>0</v>
      </c>
      <c r="E130" s="95" cm="1">
        <f t="array" ref="E130">IFERROR(SUMPRODUCT(('Planning Engine'!$B$4:$B$2500="APC")*(YEAR('Planning Engine'!$A$4:$A$2500)=2032)*'Planning Engine'!$G$4:$G$2500),0)</f>
        <v>0</v>
      </c>
      <c r="F130" s="95" cm="1">
        <f t="array" ref="F130">IFERROR(SUMPRODUCT(('Planning Engine'!$B$4:$B$2500="APC")*(YEAR('Planning Engine'!$A$4:$A$2500)=2032)*(MONTH('Planning Engine'!$A$4:$A$2500)=6)*'Planning Engine'!$H$4:$H$2500),0)</f>
        <v>32.679999999999986</v>
      </c>
      <c r="G130" s="95" cm="1">
        <f t="array" ref="G130">IFERROR(SUMPRODUCT(('Planning Engine'!$B$4:$B$2500="APC")*(YEAR('Planning Engine'!$A$4:$A$2500)=2032)*(MONTH('Planning Engine'!$A$4:$A$2500)=12)*'Planning Engine'!$H$4:$H$2500),0)</f>
        <v>32.679999999999986</v>
      </c>
      <c r="H130" s="95" cm="1">
        <f t="array" aca="1" ref="H130" ca="1">IFERROR(SUMPRODUCT(('Planning Engine'!$B$4:$B$2500="APC")*(YEAR('Planning Engine'!$A$4:$A$2500)=2032)*('Planning Engine'!$J$4:$J$2500&gt;0)*'Planning Engine'!$J$4:$J$2500)/MAX(1,SUMPRODUCT(('Planning Engine'!$B$4:$B$2500="APC")*(YEAR('Planning Engine'!$A$4:$A$2500)=2032)*('Planning Engine'!$J$4:$J$2500&gt;0))),0)</f>
        <v>999</v>
      </c>
      <c r="I130" s="12" cm="1">
        <f t="array" ref="I130">IFERROR(SUMPRODUCT(('Planning Engine'!$B$4:$B$2500="APC")*(YEAR('Planning Engine'!$A$4:$A$2500)=2032)*(MONTH('Planning Engine'!$A$4:$A$2500)=12)*'Planning Engine'!$H$4:$H$2500),0)</f>
        <v>32.679999999999986</v>
      </c>
      <c r="J130" cm="1">
        <f t="array" aca="1" ref="J130" ca="1">IFERROR(SUMPRODUCT(('Planning Engine'!$B$4:$B$2500="APC")*(YEAR('Planning Engine'!$A$4:$A$2500)=2032)*'Planning Engine'!$K$4:$K$2500),0)</f>
        <v>0</v>
      </c>
      <c r="K130" s="12" t="str" cm="1">
        <f t="array" aca="1" ref="K130" ca="1">IFERROR(IF(SUMPRODUCT(('Planning Engine'!$B$4:$B$2500="APC")*(YEAR('Planning Engine'!$A$4:$A$2500)=2032)*('Planning Engine'!$L$4:$L$2500="High"))&gt;0,"High",IF(SUMPRODUCT(('Planning Engine'!$B$4:$B$2500="APC")*(YEAR('Planning Engine'!$A$4:$A$2500)=2032)*('Planning Engine'!$L$4:$L$2500="Medium"))&gt;0,"Medium",IF(SUMPRODUCT(('Planning Engine'!$B$4:$B$2500="APC")*(YEAR('Planning Engine'!$A$4:$A$2500)=2032)*('Planning Engine'!$L$4:$L$2500="Overstock"))&gt;0,"Overstock","Low"))),"--")</f>
        <v>Overstock</v>
      </c>
    </row>
    <row r="131" spans="1:11" ht="14" customHeight="1" x14ac:dyDescent="0.35">
      <c r="A131" s="53" t="s">
        <v>56</v>
      </c>
      <c r="B131" s="107" t="s">
        <v>52</v>
      </c>
      <c r="C131" s="4">
        <v>2033</v>
      </c>
      <c r="D131" s="99" cm="1">
        <f t="array" ref="D131">IFERROR(SUMPRODUCT(('Planning Engine'!$B$4:$B$2500="APC")*(YEAR('Planning Engine'!$A$4:$A$2500)=2033)*'Planning Engine'!$F$4:$F$2500),0)</f>
        <v>0</v>
      </c>
      <c r="E131" s="99" cm="1">
        <f t="array" ref="E131">IFERROR(SUMPRODUCT(('Planning Engine'!$B$4:$B$2500="APC")*(YEAR('Planning Engine'!$A$4:$A$2500)=2033)*'Planning Engine'!$G$4:$G$2500),0)</f>
        <v>0</v>
      </c>
      <c r="F131" s="99" cm="1">
        <f t="array" ref="F131">IFERROR(SUMPRODUCT(('Planning Engine'!$B$4:$B$2500="APC")*(YEAR('Planning Engine'!$A$4:$A$2500)=2033)*(MONTH('Planning Engine'!$A$4:$A$2500)=6)*'Planning Engine'!$H$4:$H$2500),0)</f>
        <v>32.679999999999986</v>
      </c>
      <c r="G131" s="99" cm="1">
        <f t="array" ref="G131">IFERROR(SUMPRODUCT(('Planning Engine'!$B$4:$B$2500="APC")*(YEAR('Planning Engine'!$A$4:$A$2500)=2033)*(MONTH('Planning Engine'!$A$4:$A$2500)=12)*'Planning Engine'!$H$4:$H$2500),0)</f>
        <v>32.679999999999986</v>
      </c>
      <c r="H131" s="99" cm="1">
        <f t="array" aca="1" ref="H131" ca="1">IFERROR(SUMPRODUCT(('Planning Engine'!$B$4:$B$2500="APC")*(YEAR('Planning Engine'!$A$4:$A$2500)=2033)*('Planning Engine'!$J$4:$J$2500&gt;0)*'Planning Engine'!$J$4:$J$2500)/MAX(1,SUMPRODUCT(('Planning Engine'!$B$4:$B$2500="APC")*(YEAR('Planning Engine'!$A$4:$A$2500)=2033)*('Planning Engine'!$J$4:$J$2500&gt;0))),0)</f>
        <v>999</v>
      </c>
      <c r="I131" s="4" cm="1">
        <f t="array" ref="I131">IFERROR(SUMPRODUCT(('Planning Engine'!$B$4:$B$2500="APC")*(YEAR('Planning Engine'!$A$4:$A$2500)=2033)*(MONTH('Planning Engine'!$A$4:$A$2500)=12)*'Planning Engine'!$H$4:$H$2500),0)</f>
        <v>32.679999999999986</v>
      </c>
      <c r="J131" cm="1">
        <f t="array" aca="1" ref="J131" ca="1">IFERROR(SUMPRODUCT(('Planning Engine'!$B$4:$B$2500="APC")*(YEAR('Planning Engine'!$A$4:$A$2500)=2033)*'Planning Engine'!$K$4:$K$2500),0)</f>
        <v>0</v>
      </c>
      <c r="K131" s="4" t="str" cm="1">
        <f t="array" aca="1" ref="K131" ca="1">IFERROR(IF(SUMPRODUCT(('Planning Engine'!$B$4:$B$2500="APC")*(YEAR('Planning Engine'!$A$4:$A$2500)=2033)*('Planning Engine'!$L$4:$L$2500="High"))&gt;0,"High",IF(SUMPRODUCT(('Planning Engine'!$B$4:$B$2500="APC")*(YEAR('Planning Engine'!$A$4:$A$2500)=2033)*('Planning Engine'!$L$4:$L$2500="Medium"))&gt;0,"Medium",IF(SUMPRODUCT(('Planning Engine'!$B$4:$B$2500="APC")*(YEAR('Planning Engine'!$A$4:$A$2500)=2033)*('Planning Engine'!$L$4:$L$2500="Overstock"))&gt;0,"Overstock","Low"))),"--")</f>
        <v>Overstock</v>
      </c>
    </row>
    <row r="132" spans="1:11" ht="14" customHeight="1" x14ac:dyDescent="0.35">
      <c r="A132" s="61" t="s">
        <v>56</v>
      </c>
      <c r="B132" s="106" t="s">
        <v>52</v>
      </c>
      <c r="C132" s="12">
        <v>2034</v>
      </c>
      <c r="D132" s="95" cm="1">
        <f t="array" ref="D132">IFERROR(SUMPRODUCT(('Planning Engine'!$B$4:$B$2500="APC")*(YEAR('Planning Engine'!$A$4:$A$2500)=2034)*'Planning Engine'!$F$4:$F$2500),0)</f>
        <v>0</v>
      </c>
      <c r="E132" s="95" cm="1">
        <f t="array" ref="E132">IFERROR(SUMPRODUCT(('Planning Engine'!$B$4:$B$2500="APC")*(YEAR('Planning Engine'!$A$4:$A$2500)=2034)*'Planning Engine'!$G$4:$G$2500),0)</f>
        <v>0</v>
      </c>
      <c r="F132" s="95" cm="1">
        <f t="array" ref="F132">IFERROR(SUMPRODUCT(('Planning Engine'!$B$4:$B$2500="APC")*(YEAR('Planning Engine'!$A$4:$A$2500)=2034)*(MONTH('Planning Engine'!$A$4:$A$2500)=6)*'Planning Engine'!$H$4:$H$2500),0)</f>
        <v>32.679999999999986</v>
      </c>
      <c r="G132" s="95" cm="1">
        <f t="array" ref="G132">IFERROR(SUMPRODUCT(('Planning Engine'!$B$4:$B$2500="APC")*(YEAR('Planning Engine'!$A$4:$A$2500)=2034)*(MONTH('Planning Engine'!$A$4:$A$2500)=12)*'Planning Engine'!$H$4:$H$2500),0)</f>
        <v>32.679999999999986</v>
      </c>
      <c r="H132" s="95" cm="1">
        <f t="array" aca="1" ref="H132" ca="1">IFERROR(SUMPRODUCT(('Planning Engine'!$B$4:$B$2500="APC")*(YEAR('Planning Engine'!$A$4:$A$2500)=2034)*('Planning Engine'!$J$4:$J$2500&gt;0)*'Planning Engine'!$J$4:$J$2500)/MAX(1,SUMPRODUCT(('Planning Engine'!$B$4:$B$2500="APC")*(YEAR('Planning Engine'!$A$4:$A$2500)=2034)*('Planning Engine'!$J$4:$J$2500&gt;0))),0)</f>
        <v>999</v>
      </c>
      <c r="I132" s="12" cm="1">
        <f t="array" ref="I132">IFERROR(SUMPRODUCT(('Planning Engine'!$B$4:$B$2500="APC")*(YEAR('Planning Engine'!$A$4:$A$2500)=2034)*(MONTH('Planning Engine'!$A$4:$A$2500)=12)*'Planning Engine'!$H$4:$H$2500),0)</f>
        <v>32.679999999999986</v>
      </c>
      <c r="J132" cm="1">
        <f t="array" aca="1" ref="J132" ca="1">IFERROR(SUMPRODUCT(('Planning Engine'!$B$4:$B$2500="APC")*(YEAR('Planning Engine'!$A$4:$A$2500)=2034)*'Planning Engine'!$K$4:$K$2500),0)</f>
        <v>0</v>
      </c>
      <c r="K132" s="12" t="str" cm="1">
        <f t="array" aca="1" ref="K132" ca="1">IFERROR(IF(SUMPRODUCT(('Planning Engine'!$B$4:$B$2500="APC")*(YEAR('Planning Engine'!$A$4:$A$2500)=2034)*('Planning Engine'!$L$4:$L$2500="High"))&gt;0,"High",IF(SUMPRODUCT(('Planning Engine'!$B$4:$B$2500="APC")*(YEAR('Planning Engine'!$A$4:$A$2500)=2034)*('Planning Engine'!$L$4:$L$2500="Medium"))&gt;0,"Medium",IF(SUMPRODUCT(('Planning Engine'!$B$4:$B$2500="APC")*(YEAR('Planning Engine'!$A$4:$A$2500)=2034)*('Planning Engine'!$L$4:$L$2500="Overstock"))&gt;0,"Overstock","Low"))),"--")</f>
        <v>Overstock</v>
      </c>
    </row>
    <row r="133" spans="1:11" ht="14" customHeight="1" x14ac:dyDescent="0.35">
      <c r="A133" s="53" t="s">
        <v>56</v>
      </c>
      <c r="B133" s="107" t="s">
        <v>52</v>
      </c>
      <c r="C133" s="4">
        <v>2035</v>
      </c>
      <c r="D133" s="99" cm="1">
        <f t="array" ref="D133">IFERROR(SUMPRODUCT(('Planning Engine'!$B$4:$B$2500="APC")*(YEAR('Planning Engine'!$A$4:$A$2500)=2035)*'Planning Engine'!$F$4:$F$2500),0)</f>
        <v>0</v>
      </c>
      <c r="E133" s="99" cm="1">
        <f t="array" ref="E133">IFERROR(SUMPRODUCT(('Planning Engine'!$B$4:$B$2500="APC")*(YEAR('Planning Engine'!$A$4:$A$2500)=2035)*'Planning Engine'!$G$4:$G$2500),0)</f>
        <v>0</v>
      </c>
      <c r="F133" s="99" cm="1">
        <f t="array" ref="F133">IFERROR(SUMPRODUCT(('Planning Engine'!$B$4:$B$2500="APC")*(YEAR('Planning Engine'!$A$4:$A$2500)=2035)*(MONTH('Planning Engine'!$A$4:$A$2500)=6)*'Planning Engine'!$H$4:$H$2500),0)</f>
        <v>32.679999999999986</v>
      </c>
      <c r="G133" s="99" cm="1">
        <f t="array" ref="G133">IFERROR(SUMPRODUCT(('Planning Engine'!$B$4:$B$2500="APC")*(YEAR('Planning Engine'!$A$4:$A$2500)=2035)*(MONTH('Planning Engine'!$A$4:$A$2500)=12)*'Planning Engine'!$H$4:$H$2500),0)</f>
        <v>32.679999999999986</v>
      </c>
      <c r="H133" s="99" cm="1">
        <f t="array" aca="1" ref="H133" ca="1">IFERROR(SUMPRODUCT(('Planning Engine'!$B$4:$B$2500="APC")*(YEAR('Planning Engine'!$A$4:$A$2500)=2035)*('Planning Engine'!$J$4:$J$2500&gt;0)*'Planning Engine'!$J$4:$J$2500)/MAX(1,SUMPRODUCT(('Planning Engine'!$B$4:$B$2500="APC")*(YEAR('Planning Engine'!$A$4:$A$2500)=2035)*('Planning Engine'!$J$4:$J$2500&gt;0))),0)</f>
        <v>999</v>
      </c>
      <c r="I133" s="4" cm="1">
        <f t="array" ref="I133">IFERROR(SUMPRODUCT(('Planning Engine'!$B$4:$B$2500="APC")*(YEAR('Planning Engine'!$A$4:$A$2500)=2035)*(MONTH('Planning Engine'!$A$4:$A$2500)=12)*'Planning Engine'!$H$4:$H$2500),0)</f>
        <v>32.679999999999986</v>
      </c>
      <c r="J133" cm="1">
        <f t="array" aca="1" ref="J133" ca="1">IFERROR(SUMPRODUCT(('Planning Engine'!$B$4:$B$2500="APC")*(YEAR('Planning Engine'!$A$4:$A$2500)=2035)*'Planning Engine'!$K$4:$K$2500),0)</f>
        <v>0</v>
      </c>
      <c r="K133" s="4" t="str" cm="1">
        <f t="array" aca="1" ref="K133" ca="1">IFERROR(IF(SUMPRODUCT(('Planning Engine'!$B$4:$B$2500="APC")*(YEAR('Planning Engine'!$A$4:$A$2500)=2035)*('Planning Engine'!$L$4:$L$2500="High"))&gt;0,"High",IF(SUMPRODUCT(('Planning Engine'!$B$4:$B$2500="APC")*(YEAR('Planning Engine'!$A$4:$A$2500)=2035)*('Planning Engine'!$L$4:$L$2500="Medium"))&gt;0,"Medium",IF(SUMPRODUCT(('Planning Engine'!$B$4:$B$2500="APC")*(YEAR('Planning Engine'!$A$4:$A$2500)=2035)*('Planning Engine'!$L$4:$L$2500="Overstock"))&gt;0,"Overstock","Low"))),"--")</f>
        <v>Overstock</v>
      </c>
    </row>
    <row r="134" spans="1:11" ht="14" customHeight="1" x14ac:dyDescent="0.35">
      <c r="A134" s="61" t="s">
        <v>56</v>
      </c>
      <c r="B134" s="106" t="s">
        <v>52</v>
      </c>
      <c r="C134" s="12">
        <v>2036</v>
      </c>
      <c r="D134" s="95" cm="1">
        <f t="array" ref="D134">IFERROR(SUMPRODUCT(('Planning Engine'!$B$4:$B$2500="APC")*(YEAR('Planning Engine'!$A$4:$A$2500)=2036)*'Planning Engine'!$F$4:$F$2500),0)</f>
        <v>0</v>
      </c>
      <c r="E134" s="95" cm="1">
        <f t="array" ref="E134">IFERROR(SUMPRODUCT(('Planning Engine'!$B$4:$B$2500="APC")*(YEAR('Planning Engine'!$A$4:$A$2500)=2036)*'Planning Engine'!$G$4:$G$2500),0)</f>
        <v>0</v>
      </c>
      <c r="F134" s="95" cm="1">
        <f t="array" ref="F134">IFERROR(SUMPRODUCT(('Planning Engine'!$B$4:$B$2500="APC")*(YEAR('Planning Engine'!$A$4:$A$2500)=2036)*(MONTH('Planning Engine'!$A$4:$A$2500)=6)*'Planning Engine'!$H$4:$H$2500),0)</f>
        <v>32.679999999999986</v>
      </c>
      <c r="G134" s="95" cm="1">
        <f t="array" ref="G134">IFERROR(SUMPRODUCT(('Planning Engine'!$B$4:$B$2500="APC")*(YEAR('Planning Engine'!$A$4:$A$2500)=2036)*(MONTH('Planning Engine'!$A$4:$A$2500)=12)*'Planning Engine'!$H$4:$H$2500),0)</f>
        <v>32.679999999999986</v>
      </c>
      <c r="H134" s="95" cm="1">
        <f t="array" aca="1" ref="H134" ca="1">IFERROR(SUMPRODUCT(('Planning Engine'!$B$4:$B$2500="APC")*(YEAR('Planning Engine'!$A$4:$A$2500)=2036)*('Planning Engine'!$J$4:$J$2500&gt;0)*'Planning Engine'!$J$4:$J$2500)/MAX(1,SUMPRODUCT(('Planning Engine'!$B$4:$B$2500="APC")*(YEAR('Planning Engine'!$A$4:$A$2500)=2036)*('Planning Engine'!$J$4:$J$2500&gt;0))),0)</f>
        <v>999</v>
      </c>
      <c r="I134" s="12" cm="1">
        <f t="array" ref="I134">IFERROR(SUMPRODUCT(('Planning Engine'!$B$4:$B$2500="APC")*(YEAR('Planning Engine'!$A$4:$A$2500)=2036)*(MONTH('Planning Engine'!$A$4:$A$2500)=12)*'Planning Engine'!$H$4:$H$2500),0)</f>
        <v>32.679999999999986</v>
      </c>
      <c r="J134" cm="1">
        <f t="array" aca="1" ref="J134" ca="1">IFERROR(SUMPRODUCT(('Planning Engine'!$B$4:$B$2500="APC")*(YEAR('Planning Engine'!$A$4:$A$2500)=2036)*'Planning Engine'!$K$4:$K$2500),0)</f>
        <v>0</v>
      </c>
      <c r="K134" s="12" t="str" cm="1">
        <f t="array" aca="1" ref="K134" ca="1">IFERROR(IF(SUMPRODUCT(('Planning Engine'!$B$4:$B$2500="APC")*(YEAR('Planning Engine'!$A$4:$A$2500)=2036)*('Planning Engine'!$L$4:$L$2500="High"))&gt;0,"High",IF(SUMPRODUCT(('Planning Engine'!$B$4:$B$2500="APC")*(YEAR('Planning Engine'!$A$4:$A$2500)=2036)*('Planning Engine'!$L$4:$L$2500="Medium"))&gt;0,"Medium",IF(SUMPRODUCT(('Planning Engine'!$B$4:$B$2500="APC")*(YEAR('Planning Engine'!$A$4:$A$2500)=2036)*('Planning Engine'!$L$4:$L$2500="Overstock"))&gt;0,"Overstock","Low"))),"--")</f>
        <v>Overstock</v>
      </c>
    </row>
    <row r="135" spans="1:11" ht="14" customHeight="1" x14ac:dyDescent="0.35">
      <c r="A135" s="53" t="s">
        <v>56</v>
      </c>
      <c r="B135" s="107" t="s">
        <v>52</v>
      </c>
      <c r="C135" s="4">
        <v>2037</v>
      </c>
      <c r="D135" s="99" cm="1">
        <f t="array" ref="D135">IFERROR(SUMPRODUCT(('Planning Engine'!$B$4:$B$2500="APC")*(YEAR('Planning Engine'!$A$4:$A$2500)=2037)*'Planning Engine'!$F$4:$F$2500),0)</f>
        <v>0</v>
      </c>
      <c r="E135" s="99" cm="1">
        <f t="array" ref="E135">IFERROR(SUMPRODUCT(('Planning Engine'!$B$4:$B$2500="APC")*(YEAR('Planning Engine'!$A$4:$A$2500)=2037)*'Planning Engine'!$G$4:$G$2500),0)</f>
        <v>0</v>
      </c>
      <c r="F135" s="99" cm="1">
        <f t="array" ref="F135">IFERROR(SUMPRODUCT(('Planning Engine'!$B$4:$B$2500="APC")*(YEAR('Planning Engine'!$A$4:$A$2500)=2037)*(MONTH('Planning Engine'!$A$4:$A$2500)=6)*'Planning Engine'!$H$4:$H$2500),0)</f>
        <v>32.679999999999986</v>
      </c>
      <c r="G135" s="99" cm="1">
        <f t="array" ref="G135">IFERROR(SUMPRODUCT(('Planning Engine'!$B$4:$B$2500="APC")*(YEAR('Planning Engine'!$A$4:$A$2500)=2037)*(MONTH('Planning Engine'!$A$4:$A$2500)=12)*'Planning Engine'!$H$4:$H$2500),0)</f>
        <v>32.679999999999986</v>
      </c>
      <c r="H135" s="99" cm="1">
        <f t="array" aca="1" ref="H135" ca="1">IFERROR(SUMPRODUCT(('Planning Engine'!$B$4:$B$2500="APC")*(YEAR('Planning Engine'!$A$4:$A$2500)=2037)*('Planning Engine'!$J$4:$J$2500&gt;0)*'Planning Engine'!$J$4:$J$2500)/MAX(1,SUMPRODUCT(('Planning Engine'!$B$4:$B$2500="APC")*(YEAR('Planning Engine'!$A$4:$A$2500)=2037)*('Planning Engine'!$J$4:$J$2500&gt;0))),0)</f>
        <v>999</v>
      </c>
      <c r="I135" s="4" cm="1">
        <f t="array" ref="I135">IFERROR(SUMPRODUCT(('Planning Engine'!$B$4:$B$2500="APC")*(YEAR('Planning Engine'!$A$4:$A$2500)=2037)*(MONTH('Planning Engine'!$A$4:$A$2500)=12)*'Planning Engine'!$H$4:$H$2500),0)</f>
        <v>32.679999999999986</v>
      </c>
      <c r="J135" cm="1">
        <f t="array" aca="1" ref="J135" ca="1">IFERROR(SUMPRODUCT(('Planning Engine'!$B$4:$B$2500="APC")*(YEAR('Planning Engine'!$A$4:$A$2500)=2037)*'Planning Engine'!$K$4:$K$2500),0)</f>
        <v>0</v>
      </c>
      <c r="K135" s="4" t="str" cm="1">
        <f t="array" aca="1" ref="K135" ca="1">IFERROR(IF(SUMPRODUCT(('Planning Engine'!$B$4:$B$2500="APC")*(YEAR('Planning Engine'!$A$4:$A$2500)=2037)*('Planning Engine'!$L$4:$L$2500="High"))&gt;0,"High",IF(SUMPRODUCT(('Planning Engine'!$B$4:$B$2500="APC")*(YEAR('Planning Engine'!$A$4:$A$2500)=2037)*('Planning Engine'!$L$4:$L$2500="Medium"))&gt;0,"Medium",IF(SUMPRODUCT(('Planning Engine'!$B$4:$B$2500="APC")*(YEAR('Planning Engine'!$A$4:$A$2500)=2037)*('Planning Engine'!$L$4:$L$2500="Overstock"))&gt;0,"Overstock","Low"))),"--")</f>
        <v>Overstock</v>
      </c>
    </row>
    <row r="136" spans="1:11" ht="14" customHeight="1" x14ac:dyDescent="0.35">
      <c r="A136" s="61" t="s">
        <v>56</v>
      </c>
      <c r="B136" s="106" t="s">
        <v>52</v>
      </c>
      <c r="C136" s="12">
        <v>2038</v>
      </c>
      <c r="D136" s="95" cm="1">
        <f t="array" ref="D136">IFERROR(SUMPRODUCT(('Planning Engine'!$B$4:$B$2500="APC")*(YEAR('Planning Engine'!$A$4:$A$2500)=2038)*'Planning Engine'!$F$4:$F$2500),0)</f>
        <v>0</v>
      </c>
      <c r="E136" s="95" cm="1">
        <f t="array" ref="E136">IFERROR(SUMPRODUCT(('Planning Engine'!$B$4:$B$2500="APC")*(YEAR('Planning Engine'!$A$4:$A$2500)=2038)*'Planning Engine'!$G$4:$G$2500),0)</f>
        <v>0</v>
      </c>
      <c r="F136" s="95" cm="1">
        <f t="array" ref="F136">IFERROR(SUMPRODUCT(('Planning Engine'!$B$4:$B$2500="APC")*(YEAR('Planning Engine'!$A$4:$A$2500)=2038)*(MONTH('Planning Engine'!$A$4:$A$2500)=6)*'Planning Engine'!$H$4:$H$2500),0)</f>
        <v>32.679999999999986</v>
      </c>
      <c r="G136" s="95" cm="1">
        <f t="array" ref="G136">IFERROR(SUMPRODUCT(('Planning Engine'!$B$4:$B$2500="APC")*(YEAR('Planning Engine'!$A$4:$A$2500)=2038)*(MONTH('Planning Engine'!$A$4:$A$2500)=12)*'Planning Engine'!$H$4:$H$2500),0)</f>
        <v>32.679999999999986</v>
      </c>
      <c r="H136" s="95" cm="1">
        <f t="array" aca="1" ref="H136" ca="1">IFERROR(SUMPRODUCT(('Planning Engine'!$B$4:$B$2500="APC")*(YEAR('Planning Engine'!$A$4:$A$2500)=2038)*('Planning Engine'!$J$4:$J$2500&gt;0)*'Planning Engine'!$J$4:$J$2500)/MAX(1,SUMPRODUCT(('Planning Engine'!$B$4:$B$2500="APC")*(YEAR('Planning Engine'!$A$4:$A$2500)=2038)*('Planning Engine'!$J$4:$J$2500&gt;0))),0)</f>
        <v>999</v>
      </c>
      <c r="I136" s="12" cm="1">
        <f t="array" ref="I136">IFERROR(SUMPRODUCT(('Planning Engine'!$B$4:$B$2500="APC")*(YEAR('Planning Engine'!$A$4:$A$2500)=2038)*(MONTH('Planning Engine'!$A$4:$A$2500)=12)*'Planning Engine'!$H$4:$H$2500),0)</f>
        <v>32.679999999999986</v>
      </c>
      <c r="J136" cm="1">
        <f t="array" aca="1" ref="J136" ca="1">IFERROR(SUMPRODUCT(('Planning Engine'!$B$4:$B$2500="APC")*(YEAR('Planning Engine'!$A$4:$A$2500)=2038)*'Planning Engine'!$K$4:$K$2500),0)</f>
        <v>0</v>
      </c>
      <c r="K136" s="12" t="str" cm="1">
        <f t="array" aca="1" ref="K136" ca="1">IFERROR(IF(SUMPRODUCT(('Planning Engine'!$B$4:$B$2500="APC")*(YEAR('Planning Engine'!$A$4:$A$2500)=2038)*('Planning Engine'!$L$4:$L$2500="High"))&gt;0,"High",IF(SUMPRODUCT(('Planning Engine'!$B$4:$B$2500="APC")*(YEAR('Planning Engine'!$A$4:$A$2500)=2038)*('Planning Engine'!$L$4:$L$2500="Medium"))&gt;0,"Medium",IF(SUMPRODUCT(('Planning Engine'!$B$4:$B$2500="APC")*(YEAR('Planning Engine'!$A$4:$A$2500)=2038)*('Planning Engine'!$L$4:$L$2500="Overstock"))&gt;0,"Overstock","Low"))),"--")</f>
        <v>Overstock</v>
      </c>
    </row>
    <row r="137" spans="1:11" ht="14" customHeight="1" x14ac:dyDescent="0.35">
      <c r="A137" s="53" t="s">
        <v>56</v>
      </c>
      <c r="B137" s="107" t="s">
        <v>52</v>
      </c>
      <c r="C137" s="4">
        <v>2039</v>
      </c>
      <c r="D137" s="99" cm="1">
        <f t="array" ref="D137">IFERROR(SUMPRODUCT(('Planning Engine'!$B$4:$B$2500="APC")*(YEAR('Planning Engine'!$A$4:$A$2500)=2039)*'Planning Engine'!$F$4:$F$2500),0)</f>
        <v>0</v>
      </c>
      <c r="E137" s="99" cm="1">
        <f t="array" ref="E137">IFERROR(SUMPRODUCT(('Planning Engine'!$B$4:$B$2500="APC")*(YEAR('Planning Engine'!$A$4:$A$2500)=2039)*'Planning Engine'!$G$4:$G$2500),0)</f>
        <v>0</v>
      </c>
      <c r="F137" s="99" cm="1">
        <f t="array" ref="F137">IFERROR(SUMPRODUCT(('Planning Engine'!$B$4:$B$2500="APC")*(YEAR('Planning Engine'!$A$4:$A$2500)=2039)*(MONTH('Planning Engine'!$A$4:$A$2500)=6)*'Planning Engine'!$H$4:$H$2500),0)</f>
        <v>32.679999999999986</v>
      </c>
      <c r="G137" s="99" cm="1">
        <f t="array" ref="G137">IFERROR(SUMPRODUCT(('Planning Engine'!$B$4:$B$2500="APC")*(YEAR('Planning Engine'!$A$4:$A$2500)=2039)*(MONTH('Planning Engine'!$A$4:$A$2500)=12)*'Planning Engine'!$H$4:$H$2500),0)</f>
        <v>32.679999999999986</v>
      </c>
      <c r="H137" s="99" cm="1">
        <f t="array" aca="1" ref="H137" ca="1">IFERROR(SUMPRODUCT(('Planning Engine'!$B$4:$B$2500="APC")*(YEAR('Planning Engine'!$A$4:$A$2500)=2039)*('Planning Engine'!$J$4:$J$2500&gt;0)*'Planning Engine'!$J$4:$J$2500)/MAX(1,SUMPRODUCT(('Planning Engine'!$B$4:$B$2500="APC")*(YEAR('Planning Engine'!$A$4:$A$2500)=2039)*('Planning Engine'!$J$4:$J$2500&gt;0))),0)</f>
        <v>999</v>
      </c>
      <c r="I137" s="4" cm="1">
        <f t="array" ref="I137">IFERROR(SUMPRODUCT(('Planning Engine'!$B$4:$B$2500="APC")*(YEAR('Planning Engine'!$A$4:$A$2500)=2039)*(MONTH('Planning Engine'!$A$4:$A$2500)=12)*'Planning Engine'!$H$4:$H$2500),0)</f>
        <v>32.679999999999986</v>
      </c>
      <c r="J137" cm="1">
        <f t="array" aca="1" ref="J137" ca="1">IFERROR(SUMPRODUCT(('Planning Engine'!$B$4:$B$2500="APC")*(YEAR('Planning Engine'!$A$4:$A$2500)=2039)*'Planning Engine'!$K$4:$K$2500),0)</f>
        <v>0</v>
      </c>
      <c r="K137" s="4" t="str" cm="1">
        <f t="array" aca="1" ref="K137" ca="1">IFERROR(IF(SUMPRODUCT(('Planning Engine'!$B$4:$B$2500="APC")*(YEAR('Planning Engine'!$A$4:$A$2500)=2039)*('Planning Engine'!$L$4:$L$2500="High"))&gt;0,"High",IF(SUMPRODUCT(('Planning Engine'!$B$4:$B$2500="APC")*(YEAR('Planning Engine'!$A$4:$A$2500)=2039)*('Planning Engine'!$L$4:$L$2500="Medium"))&gt;0,"Medium",IF(SUMPRODUCT(('Planning Engine'!$B$4:$B$2500="APC")*(YEAR('Planning Engine'!$A$4:$A$2500)=2039)*('Planning Engine'!$L$4:$L$2500="Overstock"))&gt;0,"Overstock","Low"))),"--")</f>
        <v>Overstock</v>
      </c>
    </row>
    <row r="138" spans="1:11" ht="14" customHeight="1" x14ac:dyDescent="0.35">
      <c r="A138" s="61" t="s">
        <v>56</v>
      </c>
      <c r="B138" s="106" t="s">
        <v>52</v>
      </c>
      <c r="C138" s="12">
        <v>2040</v>
      </c>
      <c r="D138" s="95" cm="1">
        <f t="array" ref="D138">IFERROR(SUMPRODUCT(('Planning Engine'!$B$4:$B$2500="APC")*(YEAR('Planning Engine'!$A$4:$A$2500)=2040)*'Planning Engine'!$F$4:$F$2500),0)</f>
        <v>0</v>
      </c>
      <c r="E138" s="95" cm="1">
        <f t="array" ref="E138">IFERROR(SUMPRODUCT(('Planning Engine'!$B$4:$B$2500="APC")*(YEAR('Planning Engine'!$A$4:$A$2500)=2040)*'Planning Engine'!$G$4:$G$2500),0)</f>
        <v>0</v>
      </c>
      <c r="F138" s="95" cm="1">
        <f t="array" ref="F138">IFERROR(SUMPRODUCT(('Planning Engine'!$B$4:$B$2500="APC")*(YEAR('Planning Engine'!$A$4:$A$2500)=2040)*(MONTH('Planning Engine'!$A$4:$A$2500)=6)*'Planning Engine'!$H$4:$H$2500),0)</f>
        <v>32.679999999999986</v>
      </c>
      <c r="G138" s="95" cm="1">
        <f t="array" ref="G138">IFERROR(SUMPRODUCT(('Planning Engine'!$B$4:$B$2500="APC")*(YEAR('Planning Engine'!$A$4:$A$2500)=2040)*(MONTH('Planning Engine'!$A$4:$A$2500)=12)*'Planning Engine'!$H$4:$H$2500),0)</f>
        <v>32.679999999999986</v>
      </c>
      <c r="H138" s="95" cm="1">
        <f t="array" aca="1" ref="H138" ca="1">IFERROR(SUMPRODUCT(('Planning Engine'!$B$4:$B$2500="APC")*(YEAR('Planning Engine'!$A$4:$A$2500)=2040)*('Planning Engine'!$J$4:$J$2500&gt;0)*'Planning Engine'!$J$4:$J$2500)/MAX(1,SUMPRODUCT(('Planning Engine'!$B$4:$B$2500="APC")*(YEAR('Planning Engine'!$A$4:$A$2500)=2040)*('Planning Engine'!$J$4:$J$2500&gt;0))),0)</f>
        <v>999</v>
      </c>
      <c r="I138" s="12" cm="1">
        <f t="array" ref="I138">IFERROR(SUMPRODUCT(('Planning Engine'!$B$4:$B$2500="APC")*(YEAR('Planning Engine'!$A$4:$A$2500)=2040)*(MONTH('Planning Engine'!$A$4:$A$2500)=12)*'Planning Engine'!$H$4:$H$2500),0)</f>
        <v>32.679999999999986</v>
      </c>
      <c r="J138" cm="1">
        <f t="array" aca="1" ref="J138" ca="1">IFERROR(SUMPRODUCT(('Planning Engine'!$B$4:$B$2500="APC")*(YEAR('Planning Engine'!$A$4:$A$2500)=2040)*'Planning Engine'!$K$4:$K$2500),0)</f>
        <v>0</v>
      </c>
      <c r="K138" s="12" t="str" cm="1">
        <f t="array" aca="1" ref="K138" ca="1">IFERROR(IF(SUMPRODUCT(('Planning Engine'!$B$4:$B$2500="APC")*(YEAR('Planning Engine'!$A$4:$A$2500)=2040)*('Planning Engine'!$L$4:$L$2500="High"))&gt;0,"High",IF(SUMPRODUCT(('Planning Engine'!$B$4:$B$2500="APC")*(YEAR('Planning Engine'!$A$4:$A$2500)=2040)*('Planning Engine'!$L$4:$L$2500="Medium"))&gt;0,"Medium",IF(SUMPRODUCT(('Planning Engine'!$B$4:$B$2500="APC")*(YEAR('Planning Engine'!$A$4:$A$2500)=2040)*('Planning Engine'!$L$4:$L$2500="Overstock"))&gt;0,"Overstock","Low"))),"--")</f>
        <v>Overstock</v>
      </c>
    </row>
    <row r="139" spans="1:11" ht="14" customHeight="1" x14ac:dyDescent="0.35">
      <c r="A139" s="53" t="s">
        <v>57</v>
      </c>
      <c r="B139" s="107" t="s">
        <v>52</v>
      </c>
      <c r="C139" s="4">
        <v>2026</v>
      </c>
      <c r="D139" s="99" cm="1">
        <f t="array" ref="D139">IFERROR(SUMPRODUCT(('Planning Engine'!$B$4:$B$2500="APG")*(YEAR('Planning Engine'!$A$4:$A$2500)=2026)*'Planning Engine'!$F$4:$F$2500),0)</f>
        <v>132.36000000000001</v>
      </c>
      <c r="E139" s="99" cm="1">
        <f t="array" ref="E139">IFERROR(SUMPRODUCT(('Planning Engine'!$B$4:$B$2500="APG")*(YEAR('Planning Engine'!$A$4:$A$2500)=2026)*'Planning Engine'!$G$4:$G$2500),0)</f>
        <v>0</v>
      </c>
      <c r="F139" s="99" cm="1">
        <f t="array" ref="F139">IFERROR(SUMPRODUCT(('Planning Engine'!$B$4:$B$2500="APG")*(YEAR('Planning Engine'!$A$4:$A$2500)=2026)*(MONTH('Planning Engine'!$A$4:$A$2500)=6)*'Planning Engine'!$H$4:$H$2500),0)</f>
        <v>205.21199999999999</v>
      </c>
      <c r="G139" s="99" cm="1">
        <f t="array" ref="G139">IFERROR(SUMPRODUCT(('Planning Engine'!$B$4:$B$2500="APG")*(YEAR('Planning Engine'!$A$4:$A$2500)=2026)*(MONTH('Planning Engine'!$A$4:$A$2500)=12)*'Planning Engine'!$H$4:$H$2500),0)</f>
        <v>183.15199999999999</v>
      </c>
      <c r="H139" s="99" cm="1">
        <f t="array" aca="1" ref="H139" ca="1">IFERROR(SUMPRODUCT(('Planning Engine'!$B$4:$B$2500="APG")*(YEAR('Planning Engine'!$A$4:$A$2500)=2026)*('Planning Engine'!$J$4:$J$2500&gt;0)*'Planning Engine'!$J$4:$J$2500)/MAX(1,SUMPRODUCT(('Planning Engine'!$B$4:$B$2500="APG")*(YEAR('Planning Engine'!$A$4:$A$2500)=2026)*('Planning Engine'!$J$4:$J$2500&gt;0))),0)</f>
        <v>5.5740624742437985</v>
      </c>
      <c r="I139" s="4" cm="1">
        <f t="array" ref="I139">IFERROR(SUMPRODUCT(('Planning Engine'!$B$4:$B$2500="APG")*(YEAR('Planning Engine'!$A$4:$A$2500)=2026)*(MONTH('Planning Engine'!$A$4:$A$2500)=12)*'Planning Engine'!$H$4:$H$2500),0)</f>
        <v>183.15199999999999</v>
      </c>
      <c r="J139" cm="1">
        <f t="array" aca="1" ref="J139" ca="1">IFERROR(SUMPRODUCT(('Planning Engine'!$B$4:$B$2500="APG")*(YEAR('Planning Engine'!$A$4:$A$2500)=2026)*'Planning Engine'!$K$4:$K$2500),0)</f>
        <v>0</v>
      </c>
      <c r="K139" s="4" t="str" cm="1">
        <f t="array" aca="1" ref="K139" ca="1">IFERROR(IF(SUMPRODUCT(('Planning Engine'!$B$4:$B$2500="APG")*(YEAR('Planning Engine'!$A$4:$A$2500)=2026)*('Planning Engine'!$L$4:$L$2500="High"))&gt;0,"High",IF(SUMPRODUCT(('Planning Engine'!$B$4:$B$2500="APG")*(YEAR('Planning Engine'!$A$4:$A$2500)=2026)*('Planning Engine'!$L$4:$L$2500="Medium"))&gt;0,"Medium",IF(SUMPRODUCT(('Planning Engine'!$B$4:$B$2500="APG")*(YEAR('Planning Engine'!$A$4:$A$2500)=2026)*('Planning Engine'!$L$4:$L$2500="Overstock"))&gt;0,"Overstock","Low"))),"--")</f>
        <v>Low</v>
      </c>
    </row>
    <row r="140" spans="1:11" ht="14" customHeight="1" x14ac:dyDescent="0.35">
      <c r="A140" s="61" t="s">
        <v>57</v>
      </c>
      <c r="B140" s="106" t="s">
        <v>52</v>
      </c>
      <c r="C140" s="12">
        <v>2027</v>
      </c>
      <c r="D140" s="95" cm="1">
        <f t="array" ref="D140">IFERROR(SUMPRODUCT(('Planning Engine'!$B$4:$B$2500="APG")*(YEAR('Planning Engine'!$A$4:$A$2500)=2027)*'Planning Engine'!$F$4:$F$2500),0)</f>
        <v>176.48</v>
      </c>
      <c r="E140" s="95" cm="1">
        <f t="array" ref="E140">IFERROR(SUMPRODUCT(('Planning Engine'!$B$4:$B$2500="APG")*(YEAR('Planning Engine'!$A$4:$A$2500)=2027)*'Planning Engine'!$G$4:$G$2500),0)</f>
        <v>100</v>
      </c>
      <c r="F140" s="95" cm="1">
        <f t="array" ref="F140">IFERROR(SUMPRODUCT(('Planning Engine'!$B$4:$B$2500="APG")*(YEAR('Planning Engine'!$A$4:$A$2500)=2027)*(MONTH('Planning Engine'!$A$4:$A$2500)=6)*'Planning Engine'!$H$4:$H$2500),0)</f>
        <v>150.79199999999997</v>
      </c>
      <c r="G140" s="95" cm="1">
        <f t="array" ref="G140">IFERROR(SUMPRODUCT(('Planning Engine'!$B$4:$B$2500="APG")*(YEAR('Planning Engine'!$A$4:$A$2500)=2027)*(MONTH('Planning Engine'!$A$4:$A$2500)=12)*'Planning Engine'!$H$4:$H$2500),0)</f>
        <v>106.67199999999997</v>
      </c>
      <c r="H140" s="95" cm="1">
        <f t="array" aca="1" ref="H140" ca="1">IFERROR(SUMPRODUCT(('Planning Engine'!$B$4:$B$2500="APG")*(YEAR('Planning Engine'!$A$4:$A$2500)=2027)*('Planning Engine'!$J$4:$J$2500&gt;0)*'Planning Engine'!$J$4:$J$2500)/MAX(1,SUMPRODUCT(('Planning Engine'!$B$4:$B$2500="APG")*(YEAR('Planning Engine'!$A$4:$A$2500)=2027)*('Planning Engine'!$J$4:$J$2500&gt;0))),0)</f>
        <v>419.16036566938652</v>
      </c>
      <c r="I140" s="12" cm="1">
        <f t="array" ref="I140">IFERROR(SUMPRODUCT(('Planning Engine'!$B$4:$B$2500="APG")*(YEAR('Planning Engine'!$A$4:$A$2500)=2027)*(MONTH('Planning Engine'!$A$4:$A$2500)=12)*'Planning Engine'!$H$4:$H$2500),0)</f>
        <v>106.67199999999997</v>
      </c>
      <c r="J140" cm="1">
        <f t="array" aca="1" ref="J140" ca="1">IFERROR(SUMPRODUCT(('Planning Engine'!$B$4:$B$2500="APG")*(YEAR('Planning Engine'!$A$4:$A$2500)=2027)*'Planning Engine'!$K$4:$K$2500),0)</f>
        <v>95</v>
      </c>
      <c r="K140" s="12" t="str" cm="1">
        <f t="array" aca="1" ref="K140" ca="1">IFERROR(IF(SUMPRODUCT(('Planning Engine'!$B$4:$B$2500="APG")*(YEAR('Planning Engine'!$A$4:$A$2500)=2027)*('Planning Engine'!$L$4:$L$2500="High"))&gt;0,"High",IF(SUMPRODUCT(('Planning Engine'!$B$4:$B$2500="APG")*(YEAR('Planning Engine'!$A$4:$A$2500)=2027)*('Planning Engine'!$L$4:$L$2500="Medium"))&gt;0,"Medium",IF(SUMPRODUCT(('Planning Engine'!$B$4:$B$2500="APG")*(YEAR('Planning Engine'!$A$4:$A$2500)=2027)*('Planning Engine'!$L$4:$L$2500="Overstock"))&gt;0,"Overstock","Low"))),"--")</f>
        <v>High</v>
      </c>
    </row>
    <row r="141" spans="1:11" ht="14" customHeight="1" x14ac:dyDescent="0.35">
      <c r="A141" s="53" t="s">
        <v>57</v>
      </c>
      <c r="B141" s="107" t="s">
        <v>52</v>
      </c>
      <c r="C141" s="4">
        <v>2028</v>
      </c>
      <c r="D141" s="99" cm="1">
        <f t="array" ref="D141">IFERROR(SUMPRODUCT(('Planning Engine'!$B$4:$B$2500="APG")*(YEAR('Planning Engine'!$A$4:$A$2500)=2028)*'Planning Engine'!$F$4:$F$2500),0)</f>
        <v>0</v>
      </c>
      <c r="E141" s="99" cm="1">
        <f t="array" ref="E141">IFERROR(SUMPRODUCT(('Planning Engine'!$B$4:$B$2500="APG")*(YEAR('Planning Engine'!$A$4:$A$2500)=2028)*'Planning Engine'!$G$4:$G$2500),0)</f>
        <v>0</v>
      </c>
      <c r="F141" s="99" cm="1">
        <f t="array" ref="F141">IFERROR(SUMPRODUCT(('Planning Engine'!$B$4:$B$2500="APG")*(YEAR('Planning Engine'!$A$4:$A$2500)=2028)*(MONTH('Planning Engine'!$A$4:$A$2500)=6)*'Planning Engine'!$H$4:$H$2500),0)</f>
        <v>106.67199999999997</v>
      </c>
      <c r="G141" s="99" cm="1">
        <f t="array" ref="G141">IFERROR(SUMPRODUCT(('Planning Engine'!$B$4:$B$2500="APG")*(YEAR('Planning Engine'!$A$4:$A$2500)=2028)*(MONTH('Planning Engine'!$A$4:$A$2500)=12)*'Planning Engine'!$H$4:$H$2500),0)</f>
        <v>106.67199999999997</v>
      </c>
      <c r="H141" s="99" cm="1">
        <f t="array" aca="1" ref="H141" ca="1">IFERROR(SUMPRODUCT(('Planning Engine'!$B$4:$B$2500="APG")*(YEAR('Planning Engine'!$A$4:$A$2500)=2028)*('Planning Engine'!$J$4:$J$2500&gt;0)*'Planning Engine'!$J$4:$J$2500)/MAX(1,SUMPRODUCT(('Planning Engine'!$B$4:$B$2500="APG")*(YEAR('Planning Engine'!$A$4:$A$2500)=2028)*('Planning Engine'!$J$4:$J$2500&gt;0))),0)</f>
        <v>999</v>
      </c>
      <c r="I141" s="4" cm="1">
        <f t="array" ref="I141">IFERROR(SUMPRODUCT(('Planning Engine'!$B$4:$B$2500="APG")*(YEAR('Planning Engine'!$A$4:$A$2500)=2028)*(MONTH('Planning Engine'!$A$4:$A$2500)=12)*'Planning Engine'!$H$4:$H$2500),0)</f>
        <v>106.67199999999997</v>
      </c>
      <c r="J141" cm="1">
        <f t="array" aca="1" ref="J141" ca="1">IFERROR(SUMPRODUCT(('Planning Engine'!$B$4:$B$2500="APG")*(YEAR('Planning Engine'!$A$4:$A$2500)=2028)*'Planning Engine'!$K$4:$K$2500),0)</f>
        <v>0</v>
      </c>
      <c r="K141" s="4" t="str" cm="1">
        <f t="array" aca="1" ref="K141" ca="1">IFERROR(IF(SUMPRODUCT(('Planning Engine'!$B$4:$B$2500="APG")*(YEAR('Planning Engine'!$A$4:$A$2500)=2028)*('Planning Engine'!$L$4:$L$2500="High"))&gt;0,"High",IF(SUMPRODUCT(('Planning Engine'!$B$4:$B$2500="APG")*(YEAR('Planning Engine'!$A$4:$A$2500)=2028)*('Planning Engine'!$L$4:$L$2500="Medium"))&gt;0,"Medium",IF(SUMPRODUCT(('Planning Engine'!$B$4:$B$2500="APG")*(YEAR('Planning Engine'!$A$4:$A$2500)=2028)*('Planning Engine'!$L$4:$L$2500="Overstock"))&gt;0,"Overstock","Low"))),"--")</f>
        <v>Overstock</v>
      </c>
    </row>
    <row r="142" spans="1:11" ht="14" customHeight="1" x14ac:dyDescent="0.35">
      <c r="A142" s="61" t="s">
        <v>57</v>
      </c>
      <c r="B142" s="106" t="s">
        <v>52</v>
      </c>
      <c r="C142" s="12">
        <v>2029</v>
      </c>
      <c r="D142" s="95" cm="1">
        <f t="array" ref="D142">IFERROR(SUMPRODUCT(('Planning Engine'!$B$4:$B$2500="APG")*(YEAR('Planning Engine'!$A$4:$A$2500)=2029)*'Planning Engine'!$F$4:$F$2500),0)</f>
        <v>0</v>
      </c>
      <c r="E142" s="95" cm="1">
        <f t="array" ref="E142">IFERROR(SUMPRODUCT(('Planning Engine'!$B$4:$B$2500="APG")*(YEAR('Planning Engine'!$A$4:$A$2500)=2029)*'Planning Engine'!$G$4:$G$2500),0)</f>
        <v>0</v>
      </c>
      <c r="F142" s="95" cm="1">
        <f t="array" ref="F142">IFERROR(SUMPRODUCT(('Planning Engine'!$B$4:$B$2500="APG")*(YEAR('Planning Engine'!$A$4:$A$2500)=2029)*(MONTH('Planning Engine'!$A$4:$A$2500)=6)*'Planning Engine'!$H$4:$H$2500),0)</f>
        <v>106.67199999999997</v>
      </c>
      <c r="G142" s="95" cm="1">
        <f t="array" ref="G142">IFERROR(SUMPRODUCT(('Planning Engine'!$B$4:$B$2500="APG")*(YEAR('Planning Engine'!$A$4:$A$2500)=2029)*(MONTH('Planning Engine'!$A$4:$A$2500)=12)*'Planning Engine'!$H$4:$H$2500),0)</f>
        <v>106.67199999999997</v>
      </c>
      <c r="H142" s="95" cm="1">
        <f t="array" aca="1" ref="H142" ca="1">IFERROR(SUMPRODUCT(('Planning Engine'!$B$4:$B$2500="APG")*(YEAR('Planning Engine'!$A$4:$A$2500)=2029)*('Planning Engine'!$J$4:$J$2500&gt;0)*'Planning Engine'!$J$4:$J$2500)/MAX(1,SUMPRODUCT(('Planning Engine'!$B$4:$B$2500="APG")*(YEAR('Planning Engine'!$A$4:$A$2500)=2029)*('Planning Engine'!$J$4:$J$2500&gt;0))),0)</f>
        <v>999</v>
      </c>
      <c r="I142" s="12" cm="1">
        <f t="array" ref="I142">IFERROR(SUMPRODUCT(('Planning Engine'!$B$4:$B$2500="APG")*(YEAR('Planning Engine'!$A$4:$A$2500)=2029)*(MONTH('Planning Engine'!$A$4:$A$2500)=12)*'Planning Engine'!$H$4:$H$2500),0)</f>
        <v>106.67199999999997</v>
      </c>
      <c r="J142" cm="1">
        <f t="array" aca="1" ref="J142" ca="1">IFERROR(SUMPRODUCT(('Planning Engine'!$B$4:$B$2500="APG")*(YEAR('Planning Engine'!$A$4:$A$2500)=2029)*'Planning Engine'!$K$4:$K$2500),0)</f>
        <v>0</v>
      </c>
      <c r="K142" s="12" t="str" cm="1">
        <f t="array" aca="1" ref="K142" ca="1">IFERROR(IF(SUMPRODUCT(('Planning Engine'!$B$4:$B$2500="APG")*(YEAR('Planning Engine'!$A$4:$A$2500)=2029)*('Planning Engine'!$L$4:$L$2500="High"))&gt;0,"High",IF(SUMPRODUCT(('Planning Engine'!$B$4:$B$2500="APG")*(YEAR('Planning Engine'!$A$4:$A$2500)=2029)*('Planning Engine'!$L$4:$L$2500="Medium"))&gt;0,"Medium",IF(SUMPRODUCT(('Planning Engine'!$B$4:$B$2500="APG")*(YEAR('Planning Engine'!$A$4:$A$2500)=2029)*('Planning Engine'!$L$4:$L$2500="Overstock"))&gt;0,"Overstock","Low"))),"--")</f>
        <v>Overstock</v>
      </c>
    </row>
    <row r="143" spans="1:11" ht="14" customHeight="1" x14ac:dyDescent="0.35">
      <c r="A143" s="53" t="s">
        <v>57</v>
      </c>
      <c r="B143" s="107" t="s">
        <v>52</v>
      </c>
      <c r="C143" s="4">
        <v>2030</v>
      </c>
      <c r="D143" s="99" cm="1">
        <f t="array" ref="D143">IFERROR(SUMPRODUCT(('Planning Engine'!$B$4:$B$2500="APG")*(YEAR('Planning Engine'!$A$4:$A$2500)=2030)*'Planning Engine'!$F$4:$F$2500),0)</f>
        <v>0</v>
      </c>
      <c r="E143" s="99" cm="1">
        <f t="array" ref="E143">IFERROR(SUMPRODUCT(('Planning Engine'!$B$4:$B$2500="APG")*(YEAR('Planning Engine'!$A$4:$A$2500)=2030)*'Planning Engine'!$G$4:$G$2500),0)</f>
        <v>0</v>
      </c>
      <c r="F143" s="99" cm="1">
        <f t="array" ref="F143">IFERROR(SUMPRODUCT(('Planning Engine'!$B$4:$B$2500="APG")*(YEAR('Planning Engine'!$A$4:$A$2500)=2030)*(MONTH('Planning Engine'!$A$4:$A$2500)=6)*'Planning Engine'!$H$4:$H$2500),0)</f>
        <v>106.67199999999997</v>
      </c>
      <c r="G143" s="99" cm="1">
        <f t="array" ref="G143">IFERROR(SUMPRODUCT(('Planning Engine'!$B$4:$B$2500="APG")*(YEAR('Planning Engine'!$A$4:$A$2500)=2030)*(MONTH('Planning Engine'!$A$4:$A$2500)=12)*'Planning Engine'!$H$4:$H$2500),0)</f>
        <v>106.67199999999997</v>
      </c>
      <c r="H143" s="99" cm="1">
        <f t="array" aca="1" ref="H143" ca="1">IFERROR(SUMPRODUCT(('Planning Engine'!$B$4:$B$2500="APG")*(YEAR('Planning Engine'!$A$4:$A$2500)=2030)*('Planning Engine'!$J$4:$J$2500&gt;0)*'Planning Engine'!$J$4:$J$2500)/MAX(1,SUMPRODUCT(('Planning Engine'!$B$4:$B$2500="APG")*(YEAR('Planning Engine'!$A$4:$A$2500)=2030)*('Planning Engine'!$J$4:$J$2500&gt;0))),0)</f>
        <v>999</v>
      </c>
      <c r="I143" s="4" cm="1">
        <f t="array" ref="I143">IFERROR(SUMPRODUCT(('Planning Engine'!$B$4:$B$2500="APG")*(YEAR('Planning Engine'!$A$4:$A$2500)=2030)*(MONTH('Planning Engine'!$A$4:$A$2500)=12)*'Planning Engine'!$H$4:$H$2500),0)</f>
        <v>106.67199999999997</v>
      </c>
      <c r="J143" cm="1">
        <f t="array" aca="1" ref="J143" ca="1">IFERROR(SUMPRODUCT(('Planning Engine'!$B$4:$B$2500="APG")*(YEAR('Planning Engine'!$A$4:$A$2500)=2030)*'Planning Engine'!$K$4:$K$2500),0)</f>
        <v>0</v>
      </c>
      <c r="K143" s="4" t="str" cm="1">
        <f t="array" aca="1" ref="K143" ca="1">IFERROR(IF(SUMPRODUCT(('Planning Engine'!$B$4:$B$2500="APG")*(YEAR('Planning Engine'!$A$4:$A$2500)=2030)*('Planning Engine'!$L$4:$L$2500="High"))&gt;0,"High",IF(SUMPRODUCT(('Planning Engine'!$B$4:$B$2500="APG")*(YEAR('Planning Engine'!$A$4:$A$2500)=2030)*('Planning Engine'!$L$4:$L$2500="Medium"))&gt;0,"Medium",IF(SUMPRODUCT(('Planning Engine'!$B$4:$B$2500="APG")*(YEAR('Planning Engine'!$A$4:$A$2500)=2030)*('Planning Engine'!$L$4:$L$2500="Overstock"))&gt;0,"Overstock","Low"))),"--")</f>
        <v>Overstock</v>
      </c>
    </row>
    <row r="144" spans="1:11" ht="14" customHeight="1" x14ac:dyDescent="0.35">
      <c r="A144" s="61" t="s">
        <v>57</v>
      </c>
      <c r="B144" s="106" t="s">
        <v>52</v>
      </c>
      <c r="C144" s="12">
        <v>2031</v>
      </c>
      <c r="D144" s="95" cm="1">
        <f t="array" ref="D144">IFERROR(SUMPRODUCT(('Planning Engine'!$B$4:$B$2500="APG")*(YEAR('Planning Engine'!$A$4:$A$2500)=2031)*'Planning Engine'!$F$4:$F$2500),0)</f>
        <v>0</v>
      </c>
      <c r="E144" s="95" cm="1">
        <f t="array" ref="E144">IFERROR(SUMPRODUCT(('Planning Engine'!$B$4:$B$2500="APG")*(YEAR('Planning Engine'!$A$4:$A$2500)=2031)*'Planning Engine'!$G$4:$G$2500),0)</f>
        <v>0</v>
      </c>
      <c r="F144" s="95" cm="1">
        <f t="array" ref="F144">IFERROR(SUMPRODUCT(('Planning Engine'!$B$4:$B$2500="APG")*(YEAR('Planning Engine'!$A$4:$A$2500)=2031)*(MONTH('Planning Engine'!$A$4:$A$2500)=6)*'Planning Engine'!$H$4:$H$2500),0)</f>
        <v>106.67199999999997</v>
      </c>
      <c r="G144" s="95" cm="1">
        <f t="array" ref="G144">IFERROR(SUMPRODUCT(('Planning Engine'!$B$4:$B$2500="APG")*(YEAR('Planning Engine'!$A$4:$A$2500)=2031)*(MONTH('Planning Engine'!$A$4:$A$2500)=12)*'Planning Engine'!$H$4:$H$2500),0)</f>
        <v>106.67199999999997</v>
      </c>
      <c r="H144" s="95" cm="1">
        <f t="array" aca="1" ref="H144" ca="1">IFERROR(SUMPRODUCT(('Planning Engine'!$B$4:$B$2500="APG")*(YEAR('Planning Engine'!$A$4:$A$2500)=2031)*('Planning Engine'!$J$4:$J$2500&gt;0)*'Planning Engine'!$J$4:$J$2500)/MAX(1,SUMPRODUCT(('Planning Engine'!$B$4:$B$2500="APG")*(YEAR('Planning Engine'!$A$4:$A$2500)=2031)*('Planning Engine'!$J$4:$J$2500&gt;0))),0)</f>
        <v>999</v>
      </c>
      <c r="I144" s="12" cm="1">
        <f t="array" ref="I144">IFERROR(SUMPRODUCT(('Planning Engine'!$B$4:$B$2500="APG")*(YEAR('Planning Engine'!$A$4:$A$2500)=2031)*(MONTH('Planning Engine'!$A$4:$A$2500)=12)*'Planning Engine'!$H$4:$H$2500),0)</f>
        <v>106.67199999999997</v>
      </c>
      <c r="J144" cm="1">
        <f t="array" aca="1" ref="J144" ca="1">IFERROR(SUMPRODUCT(('Planning Engine'!$B$4:$B$2500="APG")*(YEAR('Planning Engine'!$A$4:$A$2500)=2031)*'Planning Engine'!$K$4:$K$2500),0)</f>
        <v>0</v>
      </c>
      <c r="K144" s="12" t="str" cm="1">
        <f t="array" aca="1" ref="K144" ca="1">IFERROR(IF(SUMPRODUCT(('Planning Engine'!$B$4:$B$2500="APG")*(YEAR('Planning Engine'!$A$4:$A$2500)=2031)*('Planning Engine'!$L$4:$L$2500="High"))&gt;0,"High",IF(SUMPRODUCT(('Planning Engine'!$B$4:$B$2500="APG")*(YEAR('Planning Engine'!$A$4:$A$2500)=2031)*('Planning Engine'!$L$4:$L$2500="Medium"))&gt;0,"Medium",IF(SUMPRODUCT(('Planning Engine'!$B$4:$B$2500="APG")*(YEAR('Planning Engine'!$A$4:$A$2500)=2031)*('Planning Engine'!$L$4:$L$2500="Overstock"))&gt;0,"Overstock","Low"))),"--")</f>
        <v>Overstock</v>
      </c>
    </row>
    <row r="145" spans="1:11" ht="14" customHeight="1" x14ac:dyDescent="0.35">
      <c r="A145" s="53" t="s">
        <v>57</v>
      </c>
      <c r="B145" s="107" t="s">
        <v>52</v>
      </c>
      <c r="C145" s="4">
        <v>2032</v>
      </c>
      <c r="D145" s="99" cm="1">
        <f t="array" ref="D145">IFERROR(SUMPRODUCT(('Planning Engine'!$B$4:$B$2500="APG")*(YEAR('Planning Engine'!$A$4:$A$2500)=2032)*'Planning Engine'!$F$4:$F$2500),0)</f>
        <v>0</v>
      </c>
      <c r="E145" s="99" cm="1">
        <f t="array" ref="E145">IFERROR(SUMPRODUCT(('Planning Engine'!$B$4:$B$2500="APG")*(YEAR('Planning Engine'!$A$4:$A$2500)=2032)*'Planning Engine'!$G$4:$G$2500),0)</f>
        <v>0</v>
      </c>
      <c r="F145" s="99" cm="1">
        <f t="array" ref="F145">IFERROR(SUMPRODUCT(('Planning Engine'!$B$4:$B$2500="APG")*(YEAR('Planning Engine'!$A$4:$A$2500)=2032)*(MONTH('Planning Engine'!$A$4:$A$2500)=6)*'Planning Engine'!$H$4:$H$2500),0)</f>
        <v>106.67199999999997</v>
      </c>
      <c r="G145" s="99" cm="1">
        <f t="array" ref="G145">IFERROR(SUMPRODUCT(('Planning Engine'!$B$4:$B$2500="APG")*(YEAR('Planning Engine'!$A$4:$A$2500)=2032)*(MONTH('Planning Engine'!$A$4:$A$2500)=12)*'Planning Engine'!$H$4:$H$2500),0)</f>
        <v>106.67199999999997</v>
      </c>
      <c r="H145" s="99" cm="1">
        <f t="array" aca="1" ref="H145" ca="1">IFERROR(SUMPRODUCT(('Planning Engine'!$B$4:$B$2500="APG")*(YEAR('Planning Engine'!$A$4:$A$2500)=2032)*('Planning Engine'!$J$4:$J$2500&gt;0)*'Planning Engine'!$J$4:$J$2500)/MAX(1,SUMPRODUCT(('Planning Engine'!$B$4:$B$2500="APG")*(YEAR('Planning Engine'!$A$4:$A$2500)=2032)*('Planning Engine'!$J$4:$J$2500&gt;0))),0)</f>
        <v>999</v>
      </c>
      <c r="I145" s="4" cm="1">
        <f t="array" ref="I145">IFERROR(SUMPRODUCT(('Planning Engine'!$B$4:$B$2500="APG")*(YEAR('Planning Engine'!$A$4:$A$2500)=2032)*(MONTH('Planning Engine'!$A$4:$A$2500)=12)*'Planning Engine'!$H$4:$H$2500),0)</f>
        <v>106.67199999999997</v>
      </c>
      <c r="J145" cm="1">
        <f t="array" aca="1" ref="J145" ca="1">IFERROR(SUMPRODUCT(('Planning Engine'!$B$4:$B$2500="APG")*(YEAR('Planning Engine'!$A$4:$A$2500)=2032)*'Planning Engine'!$K$4:$K$2500),0)</f>
        <v>0</v>
      </c>
      <c r="K145" s="4" t="str" cm="1">
        <f t="array" aca="1" ref="K145" ca="1">IFERROR(IF(SUMPRODUCT(('Planning Engine'!$B$4:$B$2500="APG")*(YEAR('Planning Engine'!$A$4:$A$2500)=2032)*('Planning Engine'!$L$4:$L$2500="High"))&gt;0,"High",IF(SUMPRODUCT(('Planning Engine'!$B$4:$B$2500="APG")*(YEAR('Planning Engine'!$A$4:$A$2500)=2032)*('Planning Engine'!$L$4:$L$2500="Medium"))&gt;0,"Medium",IF(SUMPRODUCT(('Planning Engine'!$B$4:$B$2500="APG")*(YEAR('Planning Engine'!$A$4:$A$2500)=2032)*('Planning Engine'!$L$4:$L$2500="Overstock"))&gt;0,"Overstock","Low"))),"--")</f>
        <v>Overstock</v>
      </c>
    </row>
    <row r="146" spans="1:11" ht="14" customHeight="1" x14ac:dyDescent="0.35">
      <c r="A146" s="61" t="s">
        <v>57</v>
      </c>
      <c r="B146" s="106" t="s">
        <v>52</v>
      </c>
      <c r="C146" s="12">
        <v>2033</v>
      </c>
      <c r="D146" s="95" cm="1">
        <f t="array" ref="D146">IFERROR(SUMPRODUCT(('Planning Engine'!$B$4:$B$2500="APG")*(YEAR('Planning Engine'!$A$4:$A$2500)=2033)*'Planning Engine'!$F$4:$F$2500),0)</f>
        <v>0</v>
      </c>
      <c r="E146" s="95" cm="1">
        <f t="array" ref="E146">IFERROR(SUMPRODUCT(('Planning Engine'!$B$4:$B$2500="APG")*(YEAR('Planning Engine'!$A$4:$A$2500)=2033)*'Planning Engine'!$G$4:$G$2500),0)</f>
        <v>0</v>
      </c>
      <c r="F146" s="95" cm="1">
        <f t="array" ref="F146">IFERROR(SUMPRODUCT(('Planning Engine'!$B$4:$B$2500="APG")*(YEAR('Planning Engine'!$A$4:$A$2500)=2033)*(MONTH('Planning Engine'!$A$4:$A$2500)=6)*'Planning Engine'!$H$4:$H$2500),0)</f>
        <v>106.67199999999997</v>
      </c>
      <c r="G146" s="95" cm="1">
        <f t="array" ref="G146">IFERROR(SUMPRODUCT(('Planning Engine'!$B$4:$B$2500="APG")*(YEAR('Planning Engine'!$A$4:$A$2500)=2033)*(MONTH('Planning Engine'!$A$4:$A$2500)=12)*'Planning Engine'!$H$4:$H$2500),0)</f>
        <v>106.67199999999997</v>
      </c>
      <c r="H146" s="95" cm="1">
        <f t="array" aca="1" ref="H146" ca="1">IFERROR(SUMPRODUCT(('Planning Engine'!$B$4:$B$2500="APG")*(YEAR('Planning Engine'!$A$4:$A$2500)=2033)*('Planning Engine'!$J$4:$J$2500&gt;0)*'Planning Engine'!$J$4:$J$2500)/MAX(1,SUMPRODUCT(('Planning Engine'!$B$4:$B$2500="APG")*(YEAR('Planning Engine'!$A$4:$A$2500)=2033)*('Planning Engine'!$J$4:$J$2500&gt;0))),0)</f>
        <v>999</v>
      </c>
      <c r="I146" s="12" cm="1">
        <f t="array" ref="I146">IFERROR(SUMPRODUCT(('Planning Engine'!$B$4:$B$2500="APG")*(YEAR('Planning Engine'!$A$4:$A$2500)=2033)*(MONTH('Planning Engine'!$A$4:$A$2500)=12)*'Planning Engine'!$H$4:$H$2500),0)</f>
        <v>106.67199999999997</v>
      </c>
      <c r="J146" cm="1">
        <f t="array" aca="1" ref="J146" ca="1">IFERROR(SUMPRODUCT(('Planning Engine'!$B$4:$B$2500="APG")*(YEAR('Planning Engine'!$A$4:$A$2500)=2033)*'Planning Engine'!$K$4:$K$2500),0)</f>
        <v>0</v>
      </c>
      <c r="K146" s="12" t="str" cm="1">
        <f t="array" aca="1" ref="K146" ca="1">IFERROR(IF(SUMPRODUCT(('Planning Engine'!$B$4:$B$2500="APG")*(YEAR('Planning Engine'!$A$4:$A$2500)=2033)*('Planning Engine'!$L$4:$L$2500="High"))&gt;0,"High",IF(SUMPRODUCT(('Planning Engine'!$B$4:$B$2500="APG")*(YEAR('Planning Engine'!$A$4:$A$2500)=2033)*('Planning Engine'!$L$4:$L$2500="Medium"))&gt;0,"Medium",IF(SUMPRODUCT(('Planning Engine'!$B$4:$B$2500="APG")*(YEAR('Planning Engine'!$A$4:$A$2500)=2033)*('Planning Engine'!$L$4:$L$2500="Overstock"))&gt;0,"Overstock","Low"))),"--")</f>
        <v>Overstock</v>
      </c>
    </row>
    <row r="147" spans="1:11" ht="14" customHeight="1" x14ac:dyDescent="0.35">
      <c r="A147" s="53" t="s">
        <v>57</v>
      </c>
      <c r="B147" s="107" t="s">
        <v>52</v>
      </c>
      <c r="C147" s="4">
        <v>2034</v>
      </c>
      <c r="D147" s="99" cm="1">
        <f t="array" ref="D147">IFERROR(SUMPRODUCT(('Planning Engine'!$B$4:$B$2500="APG")*(YEAR('Planning Engine'!$A$4:$A$2500)=2034)*'Planning Engine'!$F$4:$F$2500),0)</f>
        <v>0</v>
      </c>
      <c r="E147" s="99" cm="1">
        <f t="array" ref="E147">IFERROR(SUMPRODUCT(('Planning Engine'!$B$4:$B$2500="APG")*(YEAR('Planning Engine'!$A$4:$A$2500)=2034)*'Planning Engine'!$G$4:$G$2500),0)</f>
        <v>0</v>
      </c>
      <c r="F147" s="99" cm="1">
        <f t="array" ref="F147">IFERROR(SUMPRODUCT(('Planning Engine'!$B$4:$B$2500="APG")*(YEAR('Planning Engine'!$A$4:$A$2500)=2034)*(MONTH('Planning Engine'!$A$4:$A$2500)=6)*'Planning Engine'!$H$4:$H$2500),0)</f>
        <v>106.67199999999997</v>
      </c>
      <c r="G147" s="99" cm="1">
        <f t="array" ref="G147">IFERROR(SUMPRODUCT(('Planning Engine'!$B$4:$B$2500="APG")*(YEAR('Planning Engine'!$A$4:$A$2500)=2034)*(MONTH('Planning Engine'!$A$4:$A$2500)=12)*'Planning Engine'!$H$4:$H$2500),0)</f>
        <v>106.67199999999997</v>
      </c>
      <c r="H147" s="99" cm="1">
        <f t="array" aca="1" ref="H147" ca="1">IFERROR(SUMPRODUCT(('Planning Engine'!$B$4:$B$2500="APG")*(YEAR('Planning Engine'!$A$4:$A$2500)=2034)*('Planning Engine'!$J$4:$J$2500&gt;0)*'Planning Engine'!$J$4:$J$2500)/MAX(1,SUMPRODUCT(('Planning Engine'!$B$4:$B$2500="APG")*(YEAR('Planning Engine'!$A$4:$A$2500)=2034)*('Planning Engine'!$J$4:$J$2500&gt;0))),0)</f>
        <v>999</v>
      </c>
      <c r="I147" s="4" cm="1">
        <f t="array" ref="I147">IFERROR(SUMPRODUCT(('Planning Engine'!$B$4:$B$2500="APG")*(YEAR('Planning Engine'!$A$4:$A$2500)=2034)*(MONTH('Planning Engine'!$A$4:$A$2500)=12)*'Planning Engine'!$H$4:$H$2500),0)</f>
        <v>106.67199999999997</v>
      </c>
      <c r="J147" cm="1">
        <f t="array" aca="1" ref="J147" ca="1">IFERROR(SUMPRODUCT(('Planning Engine'!$B$4:$B$2500="APG")*(YEAR('Planning Engine'!$A$4:$A$2500)=2034)*'Planning Engine'!$K$4:$K$2500),0)</f>
        <v>0</v>
      </c>
      <c r="K147" s="4" t="str" cm="1">
        <f t="array" aca="1" ref="K147" ca="1">IFERROR(IF(SUMPRODUCT(('Planning Engine'!$B$4:$B$2500="APG")*(YEAR('Planning Engine'!$A$4:$A$2500)=2034)*('Planning Engine'!$L$4:$L$2500="High"))&gt;0,"High",IF(SUMPRODUCT(('Planning Engine'!$B$4:$B$2500="APG")*(YEAR('Planning Engine'!$A$4:$A$2500)=2034)*('Planning Engine'!$L$4:$L$2500="Medium"))&gt;0,"Medium",IF(SUMPRODUCT(('Planning Engine'!$B$4:$B$2500="APG")*(YEAR('Planning Engine'!$A$4:$A$2500)=2034)*('Planning Engine'!$L$4:$L$2500="Overstock"))&gt;0,"Overstock","Low"))),"--")</f>
        <v>Overstock</v>
      </c>
    </row>
    <row r="148" spans="1:11" ht="14" customHeight="1" x14ac:dyDescent="0.35">
      <c r="A148" s="61" t="s">
        <v>57</v>
      </c>
      <c r="B148" s="106" t="s">
        <v>52</v>
      </c>
      <c r="C148" s="12">
        <v>2035</v>
      </c>
      <c r="D148" s="95" cm="1">
        <f t="array" ref="D148">IFERROR(SUMPRODUCT(('Planning Engine'!$B$4:$B$2500="APG")*(YEAR('Planning Engine'!$A$4:$A$2500)=2035)*'Planning Engine'!$F$4:$F$2500),0)</f>
        <v>0</v>
      </c>
      <c r="E148" s="95" cm="1">
        <f t="array" ref="E148">IFERROR(SUMPRODUCT(('Planning Engine'!$B$4:$B$2500="APG")*(YEAR('Planning Engine'!$A$4:$A$2500)=2035)*'Planning Engine'!$G$4:$G$2500),0)</f>
        <v>0</v>
      </c>
      <c r="F148" s="95" cm="1">
        <f t="array" ref="F148">IFERROR(SUMPRODUCT(('Planning Engine'!$B$4:$B$2500="APG")*(YEAR('Planning Engine'!$A$4:$A$2500)=2035)*(MONTH('Planning Engine'!$A$4:$A$2500)=6)*'Planning Engine'!$H$4:$H$2500),0)</f>
        <v>106.67199999999997</v>
      </c>
      <c r="G148" s="95" cm="1">
        <f t="array" ref="G148">IFERROR(SUMPRODUCT(('Planning Engine'!$B$4:$B$2500="APG")*(YEAR('Planning Engine'!$A$4:$A$2500)=2035)*(MONTH('Planning Engine'!$A$4:$A$2500)=12)*'Planning Engine'!$H$4:$H$2500),0)</f>
        <v>106.67199999999997</v>
      </c>
      <c r="H148" s="95" cm="1">
        <f t="array" aca="1" ref="H148" ca="1">IFERROR(SUMPRODUCT(('Planning Engine'!$B$4:$B$2500="APG")*(YEAR('Planning Engine'!$A$4:$A$2500)=2035)*('Planning Engine'!$J$4:$J$2500&gt;0)*'Planning Engine'!$J$4:$J$2500)/MAX(1,SUMPRODUCT(('Planning Engine'!$B$4:$B$2500="APG")*(YEAR('Planning Engine'!$A$4:$A$2500)=2035)*('Planning Engine'!$J$4:$J$2500&gt;0))),0)</f>
        <v>999</v>
      </c>
      <c r="I148" s="12" cm="1">
        <f t="array" ref="I148">IFERROR(SUMPRODUCT(('Planning Engine'!$B$4:$B$2500="APG")*(YEAR('Planning Engine'!$A$4:$A$2500)=2035)*(MONTH('Planning Engine'!$A$4:$A$2500)=12)*'Planning Engine'!$H$4:$H$2500),0)</f>
        <v>106.67199999999997</v>
      </c>
      <c r="J148" cm="1">
        <f t="array" aca="1" ref="J148" ca="1">IFERROR(SUMPRODUCT(('Planning Engine'!$B$4:$B$2500="APG")*(YEAR('Planning Engine'!$A$4:$A$2500)=2035)*'Planning Engine'!$K$4:$K$2500),0)</f>
        <v>0</v>
      </c>
      <c r="K148" s="12" t="str" cm="1">
        <f t="array" aca="1" ref="K148" ca="1">IFERROR(IF(SUMPRODUCT(('Planning Engine'!$B$4:$B$2500="APG")*(YEAR('Planning Engine'!$A$4:$A$2500)=2035)*('Planning Engine'!$L$4:$L$2500="High"))&gt;0,"High",IF(SUMPRODUCT(('Planning Engine'!$B$4:$B$2500="APG")*(YEAR('Planning Engine'!$A$4:$A$2500)=2035)*('Planning Engine'!$L$4:$L$2500="Medium"))&gt;0,"Medium",IF(SUMPRODUCT(('Planning Engine'!$B$4:$B$2500="APG")*(YEAR('Planning Engine'!$A$4:$A$2500)=2035)*('Planning Engine'!$L$4:$L$2500="Overstock"))&gt;0,"Overstock","Low"))),"--")</f>
        <v>Overstock</v>
      </c>
    </row>
    <row r="149" spans="1:11" ht="14" customHeight="1" x14ac:dyDescent="0.35">
      <c r="A149" s="53" t="s">
        <v>57</v>
      </c>
      <c r="B149" s="107" t="s">
        <v>52</v>
      </c>
      <c r="C149" s="4">
        <v>2036</v>
      </c>
      <c r="D149" s="99" cm="1">
        <f t="array" ref="D149">IFERROR(SUMPRODUCT(('Planning Engine'!$B$4:$B$2500="APG")*(YEAR('Planning Engine'!$A$4:$A$2500)=2036)*'Planning Engine'!$F$4:$F$2500),0)</f>
        <v>0</v>
      </c>
      <c r="E149" s="99" cm="1">
        <f t="array" ref="E149">IFERROR(SUMPRODUCT(('Planning Engine'!$B$4:$B$2500="APG")*(YEAR('Planning Engine'!$A$4:$A$2500)=2036)*'Planning Engine'!$G$4:$G$2500),0)</f>
        <v>0</v>
      </c>
      <c r="F149" s="99" cm="1">
        <f t="array" ref="F149">IFERROR(SUMPRODUCT(('Planning Engine'!$B$4:$B$2500="APG")*(YEAR('Planning Engine'!$A$4:$A$2500)=2036)*(MONTH('Planning Engine'!$A$4:$A$2500)=6)*'Planning Engine'!$H$4:$H$2500),0)</f>
        <v>106.67199999999997</v>
      </c>
      <c r="G149" s="99" cm="1">
        <f t="array" ref="G149">IFERROR(SUMPRODUCT(('Planning Engine'!$B$4:$B$2500="APG")*(YEAR('Planning Engine'!$A$4:$A$2500)=2036)*(MONTH('Planning Engine'!$A$4:$A$2500)=12)*'Planning Engine'!$H$4:$H$2500),0)</f>
        <v>106.67199999999997</v>
      </c>
      <c r="H149" s="99" cm="1">
        <f t="array" aca="1" ref="H149" ca="1">IFERROR(SUMPRODUCT(('Planning Engine'!$B$4:$B$2500="APG")*(YEAR('Planning Engine'!$A$4:$A$2500)=2036)*('Planning Engine'!$J$4:$J$2500&gt;0)*'Planning Engine'!$J$4:$J$2500)/MAX(1,SUMPRODUCT(('Planning Engine'!$B$4:$B$2500="APG")*(YEAR('Planning Engine'!$A$4:$A$2500)=2036)*('Planning Engine'!$J$4:$J$2500&gt;0))),0)</f>
        <v>999</v>
      </c>
      <c r="I149" s="4" cm="1">
        <f t="array" ref="I149">IFERROR(SUMPRODUCT(('Planning Engine'!$B$4:$B$2500="APG")*(YEAR('Planning Engine'!$A$4:$A$2500)=2036)*(MONTH('Planning Engine'!$A$4:$A$2500)=12)*'Planning Engine'!$H$4:$H$2500),0)</f>
        <v>106.67199999999997</v>
      </c>
      <c r="J149" cm="1">
        <f t="array" aca="1" ref="J149" ca="1">IFERROR(SUMPRODUCT(('Planning Engine'!$B$4:$B$2500="APG")*(YEAR('Planning Engine'!$A$4:$A$2500)=2036)*'Planning Engine'!$K$4:$K$2500),0)</f>
        <v>0</v>
      </c>
      <c r="K149" s="4" t="str" cm="1">
        <f t="array" aca="1" ref="K149" ca="1">IFERROR(IF(SUMPRODUCT(('Planning Engine'!$B$4:$B$2500="APG")*(YEAR('Planning Engine'!$A$4:$A$2500)=2036)*('Planning Engine'!$L$4:$L$2500="High"))&gt;0,"High",IF(SUMPRODUCT(('Planning Engine'!$B$4:$B$2500="APG")*(YEAR('Planning Engine'!$A$4:$A$2500)=2036)*('Planning Engine'!$L$4:$L$2500="Medium"))&gt;0,"Medium",IF(SUMPRODUCT(('Planning Engine'!$B$4:$B$2500="APG")*(YEAR('Planning Engine'!$A$4:$A$2500)=2036)*('Planning Engine'!$L$4:$L$2500="Overstock"))&gt;0,"Overstock","Low"))),"--")</f>
        <v>Overstock</v>
      </c>
    </row>
    <row r="150" spans="1:11" ht="14" customHeight="1" x14ac:dyDescent="0.35">
      <c r="A150" s="61" t="s">
        <v>57</v>
      </c>
      <c r="B150" s="106" t="s">
        <v>52</v>
      </c>
      <c r="C150" s="12">
        <v>2037</v>
      </c>
      <c r="D150" s="95" cm="1">
        <f t="array" ref="D150">IFERROR(SUMPRODUCT(('Planning Engine'!$B$4:$B$2500="APG")*(YEAR('Planning Engine'!$A$4:$A$2500)=2037)*'Planning Engine'!$F$4:$F$2500),0)</f>
        <v>0</v>
      </c>
      <c r="E150" s="95" cm="1">
        <f t="array" ref="E150">IFERROR(SUMPRODUCT(('Planning Engine'!$B$4:$B$2500="APG")*(YEAR('Planning Engine'!$A$4:$A$2500)=2037)*'Planning Engine'!$G$4:$G$2500),0)</f>
        <v>0</v>
      </c>
      <c r="F150" s="95" cm="1">
        <f t="array" ref="F150">IFERROR(SUMPRODUCT(('Planning Engine'!$B$4:$B$2500="APG")*(YEAR('Planning Engine'!$A$4:$A$2500)=2037)*(MONTH('Planning Engine'!$A$4:$A$2500)=6)*'Planning Engine'!$H$4:$H$2500),0)</f>
        <v>106.67199999999997</v>
      </c>
      <c r="G150" s="95" cm="1">
        <f t="array" ref="G150">IFERROR(SUMPRODUCT(('Planning Engine'!$B$4:$B$2500="APG")*(YEAR('Planning Engine'!$A$4:$A$2500)=2037)*(MONTH('Planning Engine'!$A$4:$A$2500)=12)*'Planning Engine'!$H$4:$H$2500),0)</f>
        <v>106.67199999999997</v>
      </c>
      <c r="H150" s="95" cm="1">
        <f t="array" aca="1" ref="H150" ca="1">IFERROR(SUMPRODUCT(('Planning Engine'!$B$4:$B$2500="APG")*(YEAR('Planning Engine'!$A$4:$A$2500)=2037)*('Planning Engine'!$J$4:$J$2500&gt;0)*'Planning Engine'!$J$4:$J$2500)/MAX(1,SUMPRODUCT(('Planning Engine'!$B$4:$B$2500="APG")*(YEAR('Planning Engine'!$A$4:$A$2500)=2037)*('Planning Engine'!$J$4:$J$2500&gt;0))),0)</f>
        <v>999</v>
      </c>
      <c r="I150" s="12" cm="1">
        <f t="array" ref="I150">IFERROR(SUMPRODUCT(('Planning Engine'!$B$4:$B$2500="APG")*(YEAR('Planning Engine'!$A$4:$A$2500)=2037)*(MONTH('Planning Engine'!$A$4:$A$2500)=12)*'Planning Engine'!$H$4:$H$2500),0)</f>
        <v>106.67199999999997</v>
      </c>
      <c r="J150" cm="1">
        <f t="array" aca="1" ref="J150" ca="1">IFERROR(SUMPRODUCT(('Planning Engine'!$B$4:$B$2500="APG")*(YEAR('Planning Engine'!$A$4:$A$2500)=2037)*'Planning Engine'!$K$4:$K$2500),0)</f>
        <v>0</v>
      </c>
      <c r="K150" s="12" t="str" cm="1">
        <f t="array" aca="1" ref="K150" ca="1">IFERROR(IF(SUMPRODUCT(('Planning Engine'!$B$4:$B$2500="APG")*(YEAR('Planning Engine'!$A$4:$A$2500)=2037)*('Planning Engine'!$L$4:$L$2500="High"))&gt;0,"High",IF(SUMPRODUCT(('Planning Engine'!$B$4:$B$2500="APG")*(YEAR('Planning Engine'!$A$4:$A$2500)=2037)*('Planning Engine'!$L$4:$L$2500="Medium"))&gt;0,"Medium",IF(SUMPRODUCT(('Planning Engine'!$B$4:$B$2500="APG")*(YEAR('Planning Engine'!$A$4:$A$2500)=2037)*('Planning Engine'!$L$4:$L$2500="Overstock"))&gt;0,"Overstock","Low"))),"--")</f>
        <v>Overstock</v>
      </c>
    </row>
    <row r="151" spans="1:11" ht="14" customHeight="1" x14ac:dyDescent="0.35">
      <c r="A151" s="53" t="s">
        <v>57</v>
      </c>
      <c r="B151" s="107" t="s">
        <v>52</v>
      </c>
      <c r="C151" s="4">
        <v>2038</v>
      </c>
      <c r="D151" s="99" cm="1">
        <f t="array" ref="D151">IFERROR(SUMPRODUCT(('Planning Engine'!$B$4:$B$2500="APG")*(YEAR('Planning Engine'!$A$4:$A$2500)=2038)*'Planning Engine'!$F$4:$F$2500),0)</f>
        <v>0</v>
      </c>
      <c r="E151" s="99" cm="1">
        <f t="array" ref="E151">IFERROR(SUMPRODUCT(('Planning Engine'!$B$4:$B$2500="APG")*(YEAR('Planning Engine'!$A$4:$A$2500)=2038)*'Planning Engine'!$G$4:$G$2500),0)</f>
        <v>0</v>
      </c>
      <c r="F151" s="99" cm="1">
        <f t="array" ref="F151">IFERROR(SUMPRODUCT(('Planning Engine'!$B$4:$B$2500="APG")*(YEAR('Planning Engine'!$A$4:$A$2500)=2038)*(MONTH('Planning Engine'!$A$4:$A$2500)=6)*'Planning Engine'!$H$4:$H$2500),0)</f>
        <v>106.67199999999997</v>
      </c>
      <c r="G151" s="99" cm="1">
        <f t="array" ref="G151">IFERROR(SUMPRODUCT(('Planning Engine'!$B$4:$B$2500="APG")*(YEAR('Planning Engine'!$A$4:$A$2500)=2038)*(MONTH('Planning Engine'!$A$4:$A$2500)=12)*'Planning Engine'!$H$4:$H$2500),0)</f>
        <v>106.67199999999997</v>
      </c>
      <c r="H151" s="99" cm="1">
        <f t="array" aca="1" ref="H151" ca="1">IFERROR(SUMPRODUCT(('Planning Engine'!$B$4:$B$2500="APG")*(YEAR('Planning Engine'!$A$4:$A$2500)=2038)*('Planning Engine'!$J$4:$J$2500&gt;0)*'Planning Engine'!$J$4:$J$2500)/MAX(1,SUMPRODUCT(('Planning Engine'!$B$4:$B$2500="APG")*(YEAR('Planning Engine'!$A$4:$A$2500)=2038)*('Planning Engine'!$J$4:$J$2500&gt;0))),0)</f>
        <v>999</v>
      </c>
      <c r="I151" s="4" cm="1">
        <f t="array" ref="I151">IFERROR(SUMPRODUCT(('Planning Engine'!$B$4:$B$2500="APG")*(YEAR('Planning Engine'!$A$4:$A$2500)=2038)*(MONTH('Planning Engine'!$A$4:$A$2500)=12)*'Planning Engine'!$H$4:$H$2500),0)</f>
        <v>106.67199999999997</v>
      </c>
      <c r="J151" cm="1">
        <f t="array" aca="1" ref="J151" ca="1">IFERROR(SUMPRODUCT(('Planning Engine'!$B$4:$B$2500="APG")*(YEAR('Planning Engine'!$A$4:$A$2500)=2038)*'Planning Engine'!$K$4:$K$2500),0)</f>
        <v>0</v>
      </c>
      <c r="K151" s="4" t="str" cm="1">
        <f t="array" aca="1" ref="K151" ca="1">IFERROR(IF(SUMPRODUCT(('Planning Engine'!$B$4:$B$2500="APG")*(YEAR('Planning Engine'!$A$4:$A$2500)=2038)*('Planning Engine'!$L$4:$L$2500="High"))&gt;0,"High",IF(SUMPRODUCT(('Planning Engine'!$B$4:$B$2500="APG")*(YEAR('Planning Engine'!$A$4:$A$2500)=2038)*('Planning Engine'!$L$4:$L$2500="Medium"))&gt;0,"Medium",IF(SUMPRODUCT(('Planning Engine'!$B$4:$B$2500="APG")*(YEAR('Planning Engine'!$A$4:$A$2500)=2038)*('Planning Engine'!$L$4:$L$2500="Overstock"))&gt;0,"Overstock","Low"))),"--")</f>
        <v>Overstock</v>
      </c>
    </row>
    <row r="152" spans="1:11" ht="14" customHeight="1" x14ac:dyDescent="0.35">
      <c r="A152" s="61" t="s">
        <v>57</v>
      </c>
      <c r="B152" s="106" t="s">
        <v>52</v>
      </c>
      <c r="C152" s="12">
        <v>2039</v>
      </c>
      <c r="D152" s="95" cm="1">
        <f t="array" ref="D152">IFERROR(SUMPRODUCT(('Planning Engine'!$B$4:$B$2500="APG")*(YEAR('Planning Engine'!$A$4:$A$2500)=2039)*'Planning Engine'!$F$4:$F$2500),0)</f>
        <v>0</v>
      </c>
      <c r="E152" s="95" cm="1">
        <f t="array" ref="E152">IFERROR(SUMPRODUCT(('Planning Engine'!$B$4:$B$2500="APG")*(YEAR('Planning Engine'!$A$4:$A$2500)=2039)*'Planning Engine'!$G$4:$G$2500),0)</f>
        <v>0</v>
      </c>
      <c r="F152" s="95" cm="1">
        <f t="array" ref="F152">IFERROR(SUMPRODUCT(('Planning Engine'!$B$4:$B$2500="APG")*(YEAR('Planning Engine'!$A$4:$A$2500)=2039)*(MONTH('Planning Engine'!$A$4:$A$2500)=6)*'Planning Engine'!$H$4:$H$2500),0)</f>
        <v>106.67199999999997</v>
      </c>
      <c r="G152" s="95" cm="1">
        <f t="array" ref="G152">IFERROR(SUMPRODUCT(('Planning Engine'!$B$4:$B$2500="APG")*(YEAR('Planning Engine'!$A$4:$A$2500)=2039)*(MONTH('Planning Engine'!$A$4:$A$2500)=12)*'Planning Engine'!$H$4:$H$2500),0)</f>
        <v>106.67199999999997</v>
      </c>
      <c r="H152" s="95" cm="1">
        <f t="array" aca="1" ref="H152" ca="1">IFERROR(SUMPRODUCT(('Planning Engine'!$B$4:$B$2500="APG")*(YEAR('Planning Engine'!$A$4:$A$2500)=2039)*('Planning Engine'!$J$4:$J$2500&gt;0)*'Planning Engine'!$J$4:$J$2500)/MAX(1,SUMPRODUCT(('Planning Engine'!$B$4:$B$2500="APG")*(YEAR('Planning Engine'!$A$4:$A$2500)=2039)*('Planning Engine'!$J$4:$J$2500&gt;0))),0)</f>
        <v>999</v>
      </c>
      <c r="I152" s="12" cm="1">
        <f t="array" ref="I152">IFERROR(SUMPRODUCT(('Planning Engine'!$B$4:$B$2500="APG")*(YEAR('Planning Engine'!$A$4:$A$2500)=2039)*(MONTH('Planning Engine'!$A$4:$A$2500)=12)*'Planning Engine'!$H$4:$H$2500),0)</f>
        <v>106.67199999999997</v>
      </c>
      <c r="J152" cm="1">
        <f t="array" aca="1" ref="J152" ca="1">IFERROR(SUMPRODUCT(('Planning Engine'!$B$4:$B$2500="APG")*(YEAR('Planning Engine'!$A$4:$A$2500)=2039)*'Planning Engine'!$K$4:$K$2500),0)</f>
        <v>0</v>
      </c>
      <c r="K152" s="12" t="str" cm="1">
        <f t="array" aca="1" ref="K152" ca="1">IFERROR(IF(SUMPRODUCT(('Planning Engine'!$B$4:$B$2500="APG")*(YEAR('Planning Engine'!$A$4:$A$2500)=2039)*('Planning Engine'!$L$4:$L$2500="High"))&gt;0,"High",IF(SUMPRODUCT(('Planning Engine'!$B$4:$B$2500="APG")*(YEAR('Planning Engine'!$A$4:$A$2500)=2039)*('Planning Engine'!$L$4:$L$2500="Medium"))&gt;0,"Medium",IF(SUMPRODUCT(('Planning Engine'!$B$4:$B$2500="APG")*(YEAR('Planning Engine'!$A$4:$A$2500)=2039)*('Planning Engine'!$L$4:$L$2500="Overstock"))&gt;0,"Overstock","Low"))),"--")</f>
        <v>Overstock</v>
      </c>
    </row>
    <row r="153" spans="1:11" ht="14" customHeight="1" x14ac:dyDescent="0.35">
      <c r="A153" s="53" t="s">
        <v>57</v>
      </c>
      <c r="B153" s="107" t="s">
        <v>52</v>
      </c>
      <c r="C153" s="4">
        <v>2040</v>
      </c>
      <c r="D153" s="99" cm="1">
        <f t="array" ref="D153">IFERROR(SUMPRODUCT(('Planning Engine'!$B$4:$B$2500="APG")*(YEAR('Planning Engine'!$A$4:$A$2500)=2040)*'Planning Engine'!$F$4:$F$2500),0)</f>
        <v>0</v>
      </c>
      <c r="E153" s="99" cm="1">
        <f t="array" ref="E153">IFERROR(SUMPRODUCT(('Planning Engine'!$B$4:$B$2500="APG")*(YEAR('Planning Engine'!$A$4:$A$2500)=2040)*'Planning Engine'!$G$4:$G$2500),0)</f>
        <v>0</v>
      </c>
      <c r="F153" s="99" cm="1">
        <f t="array" ref="F153">IFERROR(SUMPRODUCT(('Planning Engine'!$B$4:$B$2500="APG")*(YEAR('Planning Engine'!$A$4:$A$2500)=2040)*(MONTH('Planning Engine'!$A$4:$A$2500)=6)*'Planning Engine'!$H$4:$H$2500),0)</f>
        <v>106.67199999999997</v>
      </c>
      <c r="G153" s="99" cm="1">
        <f t="array" ref="G153">IFERROR(SUMPRODUCT(('Planning Engine'!$B$4:$B$2500="APG")*(YEAR('Planning Engine'!$A$4:$A$2500)=2040)*(MONTH('Planning Engine'!$A$4:$A$2500)=12)*'Planning Engine'!$H$4:$H$2500),0)</f>
        <v>106.67199999999997</v>
      </c>
      <c r="H153" s="99" cm="1">
        <f t="array" aca="1" ref="H153" ca="1">IFERROR(SUMPRODUCT(('Planning Engine'!$B$4:$B$2500="APG")*(YEAR('Planning Engine'!$A$4:$A$2500)=2040)*('Planning Engine'!$J$4:$J$2500&gt;0)*'Planning Engine'!$J$4:$J$2500)/MAX(1,SUMPRODUCT(('Planning Engine'!$B$4:$B$2500="APG")*(YEAR('Planning Engine'!$A$4:$A$2500)=2040)*('Planning Engine'!$J$4:$J$2500&gt;0))),0)</f>
        <v>999</v>
      </c>
      <c r="I153" s="4" cm="1">
        <f t="array" ref="I153">IFERROR(SUMPRODUCT(('Planning Engine'!$B$4:$B$2500="APG")*(YEAR('Planning Engine'!$A$4:$A$2500)=2040)*(MONTH('Planning Engine'!$A$4:$A$2500)=12)*'Planning Engine'!$H$4:$H$2500),0)</f>
        <v>106.67199999999997</v>
      </c>
      <c r="J153" cm="1">
        <f t="array" aca="1" ref="J153" ca="1">IFERROR(SUMPRODUCT(('Planning Engine'!$B$4:$B$2500="APG")*(YEAR('Planning Engine'!$A$4:$A$2500)=2040)*'Planning Engine'!$K$4:$K$2500),0)</f>
        <v>0</v>
      </c>
      <c r="K153" s="4" t="str" cm="1">
        <f t="array" aca="1" ref="K153" ca="1">IFERROR(IF(SUMPRODUCT(('Planning Engine'!$B$4:$B$2500="APG")*(YEAR('Planning Engine'!$A$4:$A$2500)=2040)*('Planning Engine'!$L$4:$L$2500="High"))&gt;0,"High",IF(SUMPRODUCT(('Planning Engine'!$B$4:$B$2500="APG")*(YEAR('Planning Engine'!$A$4:$A$2500)=2040)*('Planning Engine'!$L$4:$L$2500="Medium"))&gt;0,"Medium",IF(SUMPRODUCT(('Planning Engine'!$B$4:$B$2500="APG")*(YEAR('Planning Engine'!$A$4:$A$2500)=2040)*('Planning Engine'!$L$4:$L$2500="Overstock"))&gt;0,"Overstock","Low"))),"--")</f>
        <v>Overstock</v>
      </c>
    </row>
    <row r="154" spans="1:11" ht="14" customHeight="1" x14ac:dyDescent="0.35">
      <c r="A154" s="61" t="s">
        <v>58</v>
      </c>
      <c r="B154" s="106" t="s">
        <v>52</v>
      </c>
      <c r="C154" s="12">
        <v>2026</v>
      </c>
      <c r="D154" s="95" cm="1">
        <f t="array" ref="D154">IFERROR(SUMPRODUCT(('Planning Engine'!$B$4:$B$2500="APT")*(YEAR('Planning Engine'!$A$4:$A$2500)=2026)*'Planning Engine'!$F$4:$F$2500),0)</f>
        <v>116.16</v>
      </c>
      <c r="E154" s="95" cm="1">
        <f t="array" ref="E154">IFERROR(SUMPRODUCT(('Planning Engine'!$B$4:$B$2500="APT")*(YEAR('Planning Engine'!$A$4:$A$2500)=2026)*'Planning Engine'!$G$4:$G$2500),0)</f>
        <v>0</v>
      </c>
      <c r="F154" s="95" cm="1">
        <f t="array" ref="F154">IFERROR(SUMPRODUCT(('Planning Engine'!$B$4:$B$2500="APT")*(YEAR('Planning Engine'!$A$4:$A$2500)=2026)*(MONTH('Planning Engine'!$A$4:$A$2500)=6)*'Planning Engine'!$H$4:$H$2500),0)</f>
        <v>99.05</v>
      </c>
      <c r="G154" s="95" cm="1">
        <f t="array" ref="G154">IFERROR(SUMPRODUCT(('Planning Engine'!$B$4:$B$2500="APT")*(YEAR('Planning Engine'!$A$4:$A$2500)=2026)*(MONTH('Planning Engine'!$A$4:$A$2500)=12)*'Planning Engine'!$H$4:$H$2500),0)</f>
        <v>79.69</v>
      </c>
      <c r="H154" s="95" cm="1">
        <f t="array" aca="1" ref="H154" ca="1">IFERROR(SUMPRODUCT(('Planning Engine'!$B$4:$B$2500="APT")*(YEAR('Planning Engine'!$A$4:$A$2500)=2026)*('Planning Engine'!$J$4:$J$2500&gt;0)*'Planning Engine'!$J$4:$J$2500)/MAX(1,SUMPRODUCT(('Planning Engine'!$B$4:$B$2500="APT")*(YEAR('Planning Engine'!$A$4:$A$2500)=2026)*('Planning Engine'!$J$4:$J$2500&gt;0))),0)</f>
        <v>3.290664913598798</v>
      </c>
      <c r="I154" s="12" cm="1">
        <f t="array" ref="I154">IFERROR(SUMPRODUCT(('Planning Engine'!$B$4:$B$2500="APT")*(YEAR('Planning Engine'!$A$4:$A$2500)=2026)*(MONTH('Planning Engine'!$A$4:$A$2500)=12)*'Planning Engine'!$H$4:$H$2500),0)</f>
        <v>79.69</v>
      </c>
      <c r="J154" cm="1">
        <f t="array" aca="1" ref="J154" ca="1">IFERROR(SUMPRODUCT(('Planning Engine'!$B$4:$B$2500="APT")*(YEAR('Planning Engine'!$A$4:$A$2500)=2026)*'Planning Engine'!$K$4:$K$2500),0)</f>
        <v>0</v>
      </c>
      <c r="K154" s="12" t="str" cm="1">
        <f t="array" aca="1" ref="K154" ca="1">IFERROR(IF(SUMPRODUCT(('Planning Engine'!$B$4:$B$2500="APT")*(YEAR('Planning Engine'!$A$4:$A$2500)=2026)*('Planning Engine'!$L$4:$L$2500="High"))&gt;0,"High",IF(SUMPRODUCT(('Planning Engine'!$B$4:$B$2500="APT")*(YEAR('Planning Engine'!$A$4:$A$2500)=2026)*('Planning Engine'!$L$4:$L$2500="Medium"))&gt;0,"Medium",IF(SUMPRODUCT(('Planning Engine'!$B$4:$B$2500="APT")*(YEAR('Planning Engine'!$A$4:$A$2500)=2026)*('Planning Engine'!$L$4:$L$2500="Overstock"))&gt;0,"Overstock","Low"))),"--")</f>
        <v>High</v>
      </c>
    </row>
    <row r="155" spans="1:11" ht="14" customHeight="1" x14ac:dyDescent="0.35">
      <c r="A155" s="53" t="s">
        <v>58</v>
      </c>
      <c r="B155" s="107" t="s">
        <v>52</v>
      </c>
      <c r="C155" s="4">
        <v>2027</v>
      </c>
      <c r="D155" s="99" cm="1">
        <f t="array" ref="D155">IFERROR(SUMPRODUCT(('Planning Engine'!$B$4:$B$2500="APT")*(YEAR('Planning Engine'!$A$4:$A$2500)=2027)*'Planning Engine'!$F$4:$F$2500),0)</f>
        <v>154.88</v>
      </c>
      <c r="E155" s="99" cm="1">
        <f t="array" ref="E155">IFERROR(SUMPRODUCT(('Planning Engine'!$B$4:$B$2500="APT")*(YEAR('Planning Engine'!$A$4:$A$2500)=2027)*'Planning Engine'!$G$4:$G$2500),0)</f>
        <v>165</v>
      </c>
      <c r="F155" s="99" cm="1">
        <f t="array" ref="F155">IFERROR(SUMPRODUCT(('Planning Engine'!$B$4:$B$2500="APT")*(YEAR('Planning Engine'!$A$4:$A$2500)=2027)*(MONTH('Planning Engine'!$A$4:$A$2500)=6)*'Planning Engine'!$H$4:$H$2500),0)</f>
        <v>128.53</v>
      </c>
      <c r="G155" s="99" cm="1">
        <f t="array" ref="G155">IFERROR(SUMPRODUCT(('Planning Engine'!$B$4:$B$2500="APT")*(YEAR('Planning Engine'!$A$4:$A$2500)=2027)*(MONTH('Planning Engine'!$A$4:$A$2500)=12)*'Planning Engine'!$H$4:$H$2500),0)</f>
        <v>89.81</v>
      </c>
      <c r="H155" s="99" cm="1">
        <f t="array" aca="1" ref="H155" ca="1">IFERROR(SUMPRODUCT(('Planning Engine'!$B$4:$B$2500="APT")*(YEAR('Planning Engine'!$A$4:$A$2500)=2027)*('Planning Engine'!$J$4:$J$2500&gt;0)*'Planning Engine'!$J$4:$J$2500)/MAX(1,SUMPRODUCT(('Planning Engine'!$B$4:$B$2500="APT")*(YEAR('Planning Engine'!$A$4:$A$2500)=2027)*('Planning Engine'!$J$4:$J$2500&gt;0))),0)</f>
        <v>419.10302599862257</v>
      </c>
      <c r="I155" s="4" cm="1">
        <f t="array" ref="I155">IFERROR(SUMPRODUCT(('Planning Engine'!$B$4:$B$2500="APT")*(YEAR('Planning Engine'!$A$4:$A$2500)=2027)*(MONTH('Planning Engine'!$A$4:$A$2500)=12)*'Planning Engine'!$H$4:$H$2500),0)</f>
        <v>89.81</v>
      </c>
      <c r="J155" cm="1">
        <f t="array" aca="1" ref="J155" ca="1">IFERROR(SUMPRODUCT(('Planning Engine'!$B$4:$B$2500="APT")*(YEAR('Planning Engine'!$A$4:$A$2500)=2027)*'Planning Engine'!$K$4:$K$2500),0)</f>
        <v>0</v>
      </c>
      <c r="K155" s="4" t="str" cm="1">
        <f t="array" aca="1" ref="K155" ca="1">IFERROR(IF(SUMPRODUCT(('Planning Engine'!$B$4:$B$2500="APT")*(YEAR('Planning Engine'!$A$4:$A$2500)=2027)*('Planning Engine'!$L$4:$L$2500="High"))&gt;0,"High",IF(SUMPRODUCT(('Planning Engine'!$B$4:$B$2500="APT")*(YEAR('Planning Engine'!$A$4:$A$2500)=2027)*('Planning Engine'!$L$4:$L$2500="Medium"))&gt;0,"Medium",IF(SUMPRODUCT(('Planning Engine'!$B$4:$B$2500="APT")*(YEAR('Planning Engine'!$A$4:$A$2500)=2027)*('Planning Engine'!$L$4:$L$2500="Overstock"))&gt;0,"Overstock","Low"))),"--")</f>
        <v>High</v>
      </c>
    </row>
    <row r="156" spans="1:11" ht="14" customHeight="1" x14ac:dyDescent="0.35">
      <c r="A156" s="61" t="s">
        <v>58</v>
      </c>
      <c r="B156" s="106" t="s">
        <v>52</v>
      </c>
      <c r="C156" s="12">
        <v>2028</v>
      </c>
      <c r="D156" s="95" cm="1">
        <f t="array" ref="D156">IFERROR(SUMPRODUCT(('Planning Engine'!$B$4:$B$2500="APT")*(YEAR('Planning Engine'!$A$4:$A$2500)=2028)*'Planning Engine'!$F$4:$F$2500),0)</f>
        <v>0</v>
      </c>
      <c r="E156" s="95" cm="1">
        <f t="array" ref="E156">IFERROR(SUMPRODUCT(('Planning Engine'!$B$4:$B$2500="APT")*(YEAR('Planning Engine'!$A$4:$A$2500)=2028)*'Planning Engine'!$G$4:$G$2500),0)</f>
        <v>0</v>
      </c>
      <c r="F156" s="95" cm="1">
        <f t="array" ref="F156">IFERROR(SUMPRODUCT(('Planning Engine'!$B$4:$B$2500="APT")*(YEAR('Planning Engine'!$A$4:$A$2500)=2028)*(MONTH('Planning Engine'!$A$4:$A$2500)=6)*'Planning Engine'!$H$4:$H$2500),0)</f>
        <v>89.81</v>
      </c>
      <c r="G156" s="95" cm="1">
        <f t="array" ref="G156">IFERROR(SUMPRODUCT(('Planning Engine'!$B$4:$B$2500="APT")*(YEAR('Planning Engine'!$A$4:$A$2500)=2028)*(MONTH('Planning Engine'!$A$4:$A$2500)=12)*'Planning Engine'!$H$4:$H$2500),0)</f>
        <v>89.81</v>
      </c>
      <c r="H156" s="95" cm="1">
        <f t="array" aca="1" ref="H156" ca="1">IFERROR(SUMPRODUCT(('Planning Engine'!$B$4:$B$2500="APT")*(YEAR('Planning Engine'!$A$4:$A$2500)=2028)*('Planning Engine'!$J$4:$J$2500&gt;0)*'Planning Engine'!$J$4:$J$2500)/MAX(1,SUMPRODUCT(('Planning Engine'!$B$4:$B$2500="APT")*(YEAR('Planning Engine'!$A$4:$A$2500)=2028)*('Planning Engine'!$J$4:$J$2500&gt;0))),0)</f>
        <v>999</v>
      </c>
      <c r="I156" s="12" cm="1">
        <f t="array" ref="I156">IFERROR(SUMPRODUCT(('Planning Engine'!$B$4:$B$2500="APT")*(YEAR('Planning Engine'!$A$4:$A$2500)=2028)*(MONTH('Planning Engine'!$A$4:$A$2500)=12)*'Planning Engine'!$H$4:$H$2500),0)</f>
        <v>89.81</v>
      </c>
      <c r="J156" cm="1">
        <f t="array" aca="1" ref="J156" ca="1">IFERROR(SUMPRODUCT(('Planning Engine'!$B$4:$B$2500="APT")*(YEAR('Planning Engine'!$A$4:$A$2500)=2028)*'Planning Engine'!$K$4:$K$2500),0)</f>
        <v>0</v>
      </c>
      <c r="K156" s="12" t="str" cm="1">
        <f t="array" aca="1" ref="K156" ca="1">IFERROR(IF(SUMPRODUCT(('Planning Engine'!$B$4:$B$2500="APT")*(YEAR('Planning Engine'!$A$4:$A$2500)=2028)*('Planning Engine'!$L$4:$L$2500="High"))&gt;0,"High",IF(SUMPRODUCT(('Planning Engine'!$B$4:$B$2500="APT")*(YEAR('Planning Engine'!$A$4:$A$2500)=2028)*('Planning Engine'!$L$4:$L$2500="Medium"))&gt;0,"Medium",IF(SUMPRODUCT(('Planning Engine'!$B$4:$B$2500="APT")*(YEAR('Planning Engine'!$A$4:$A$2500)=2028)*('Planning Engine'!$L$4:$L$2500="Overstock"))&gt;0,"Overstock","Low"))),"--")</f>
        <v>Overstock</v>
      </c>
    </row>
    <row r="157" spans="1:11" ht="14" customHeight="1" x14ac:dyDescent="0.35">
      <c r="A157" s="53" t="s">
        <v>58</v>
      </c>
      <c r="B157" s="107" t="s">
        <v>52</v>
      </c>
      <c r="C157" s="4">
        <v>2029</v>
      </c>
      <c r="D157" s="99" cm="1">
        <f t="array" ref="D157">IFERROR(SUMPRODUCT(('Planning Engine'!$B$4:$B$2500="APT")*(YEAR('Planning Engine'!$A$4:$A$2500)=2029)*'Planning Engine'!$F$4:$F$2500),0)</f>
        <v>0</v>
      </c>
      <c r="E157" s="99" cm="1">
        <f t="array" ref="E157">IFERROR(SUMPRODUCT(('Planning Engine'!$B$4:$B$2500="APT")*(YEAR('Planning Engine'!$A$4:$A$2500)=2029)*'Planning Engine'!$G$4:$G$2500),0)</f>
        <v>0</v>
      </c>
      <c r="F157" s="99" cm="1">
        <f t="array" ref="F157">IFERROR(SUMPRODUCT(('Planning Engine'!$B$4:$B$2500="APT")*(YEAR('Planning Engine'!$A$4:$A$2500)=2029)*(MONTH('Planning Engine'!$A$4:$A$2500)=6)*'Planning Engine'!$H$4:$H$2500),0)</f>
        <v>89.81</v>
      </c>
      <c r="G157" s="99" cm="1">
        <f t="array" ref="G157">IFERROR(SUMPRODUCT(('Planning Engine'!$B$4:$B$2500="APT")*(YEAR('Planning Engine'!$A$4:$A$2500)=2029)*(MONTH('Planning Engine'!$A$4:$A$2500)=12)*'Planning Engine'!$H$4:$H$2500),0)</f>
        <v>89.81</v>
      </c>
      <c r="H157" s="99" cm="1">
        <f t="array" aca="1" ref="H157" ca="1">IFERROR(SUMPRODUCT(('Planning Engine'!$B$4:$B$2500="APT")*(YEAR('Planning Engine'!$A$4:$A$2500)=2029)*('Planning Engine'!$J$4:$J$2500&gt;0)*'Planning Engine'!$J$4:$J$2500)/MAX(1,SUMPRODUCT(('Planning Engine'!$B$4:$B$2500="APT")*(YEAR('Planning Engine'!$A$4:$A$2500)=2029)*('Planning Engine'!$J$4:$J$2500&gt;0))),0)</f>
        <v>999</v>
      </c>
      <c r="I157" s="4" cm="1">
        <f t="array" ref="I157">IFERROR(SUMPRODUCT(('Planning Engine'!$B$4:$B$2500="APT")*(YEAR('Planning Engine'!$A$4:$A$2500)=2029)*(MONTH('Planning Engine'!$A$4:$A$2500)=12)*'Planning Engine'!$H$4:$H$2500),0)</f>
        <v>89.81</v>
      </c>
      <c r="J157" cm="1">
        <f t="array" aca="1" ref="J157" ca="1">IFERROR(SUMPRODUCT(('Planning Engine'!$B$4:$B$2500="APT")*(YEAR('Planning Engine'!$A$4:$A$2500)=2029)*'Planning Engine'!$K$4:$K$2500),0)</f>
        <v>0</v>
      </c>
      <c r="K157" s="4" t="str" cm="1">
        <f t="array" aca="1" ref="K157" ca="1">IFERROR(IF(SUMPRODUCT(('Planning Engine'!$B$4:$B$2500="APT")*(YEAR('Planning Engine'!$A$4:$A$2500)=2029)*('Planning Engine'!$L$4:$L$2500="High"))&gt;0,"High",IF(SUMPRODUCT(('Planning Engine'!$B$4:$B$2500="APT")*(YEAR('Planning Engine'!$A$4:$A$2500)=2029)*('Planning Engine'!$L$4:$L$2500="Medium"))&gt;0,"Medium",IF(SUMPRODUCT(('Planning Engine'!$B$4:$B$2500="APT")*(YEAR('Planning Engine'!$A$4:$A$2500)=2029)*('Planning Engine'!$L$4:$L$2500="Overstock"))&gt;0,"Overstock","Low"))),"--")</f>
        <v>Overstock</v>
      </c>
    </row>
    <row r="158" spans="1:11" ht="14" customHeight="1" x14ac:dyDescent="0.35">
      <c r="A158" s="61" t="s">
        <v>58</v>
      </c>
      <c r="B158" s="106" t="s">
        <v>52</v>
      </c>
      <c r="C158" s="12">
        <v>2030</v>
      </c>
      <c r="D158" s="95" cm="1">
        <f t="array" ref="D158">IFERROR(SUMPRODUCT(('Planning Engine'!$B$4:$B$2500="APT")*(YEAR('Planning Engine'!$A$4:$A$2500)=2030)*'Planning Engine'!$F$4:$F$2500),0)</f>
        <v>0</v>
      </c>
      <c r="E158" s="95" cm="1">
        <f t="array" ref="E158">IFERROR(SUMPRODUCT(('Planning Engine'!$B$4:$B$2500="APT")*(YEAR('Planning Engine'!$A$4:$A$2500)=2030)*'Planning Engine'!$G$4:$G$2500),0)</f>
        <v>0</v>
      </c>
      <c r="F158" s="95" cm="1">
        <f t="array" ref="F158">IFERROR(SUMPRODUCT(('Planning Engine'!$B$4:$B$2500="APT")*(YEAR('Planning Engine'!$A$4:$A$2500)=2030)*(MONTH('Planning Engine'!$A$4:$A$2500)=6)*'Planning Engine'!$H$4:$H$2500),0)</f>
        <v>89.81</v>
      </c>
      <c r="G158" s="95" cm="1">
        <f t="array" ref="G158">IFERROR(SUMPRODUCT(('Planning Engine'!$B$4:$B$2500="APT")*(YEAR('Planning Engine'!$A$4:$A$2500)=2030)*(MONTH('Planning Engine'!$A$4:$A$2500)=12)*'Planning Engine'!$H$4:$H$2500),0)</f>
        <v>89.81</v>
      </c>
      <c r="H158" s="95" cm="1">
        <f t="array" aca="1" ref="H158" ca="1">IFERROR(SUMPRODUCT(('Planning Engine'!$B$4:$B$2500="APT")*(YEAR('Planning Engine'!$A$4:$A$2500)=2030)*('Planning Engine'!$J$4:$J$2500&gt;0)*'Planning Engine'!$J$4:$J$2500)/MAX(1,SUMPRODUCT(('Planning Engine'!$B$4:$B$2500="APT")*(YEAR('Planning Engine'!$A$4:$A$2500)=2030)*('Planning Engine'!$J$4:$J$2500&gt;0))),0)</f>
        <v>999</v>
      </c>
      <c r="I158" s="12" cm="1">
        <f t="array" ref="I158">IFERROR(SUMPRODUCT(('Planning Engine'!$B$4:$B$2500="APT")*(YEAR('Planning Engine'!$A$4:$A$2500)=2030)*(MONTH('Planning Engine'!$A$4:$A$2500)=12)*'Planning Engine'!$H$4:$H$2500),0)</f>
        <v>89.81</v>
      </c>
      <c r="J158" cm="1">
        <f t="array" aca="1" ref="J158" ca="1">IFERROR(SUMPRODUCT(('Planning Engine'!$B$4:$B$2500="APT")*(YEAR('Planning Engine'!$A$4:$A$2500)=2030)*'Planning Engine'!$K$4:$K$2500),0)</f>
        <v>0</v>
      </c>
      <c r="K158" s="12" t="str" cm="1">
        <f t="array" aca="1" ref="K158" ca="1">IFERROR(IF(SUMPRODUCT(('Planning Engine'!$B$4:$B$2500="APT")*(YEAR('Planning Engine'!$A$4:$A$2500)=2030)*('Planning Engine'!$L$4:$L$2500="High"))&gt;0,"High",IF(SUMPRODUCT(('Planning Engine'!$B$4:$B$2500="APT")*(YEAR('Planning Engine'!$A$4:$A$2500)=2030)*('Planning Engine'!$L$4:$L$2500="Medium"))&gt;0,"Medium",IF(SUMPRODUCT(('Planning Engine'!$B$4:$B$2500="APT")*(YEAR('Planning Engine'!$A$4:$A$2500)=2030)*('Planning Engine'!$L$4:$L$2500="Overstock"))&gt;0,"Overstock","Low"))),"--")</f>
        <v>Overstock</v>
      </c>
    </row>
    <row r="159" spans="1:11" ht="14" customHeight="1" x14ac:dyDescent="0.35">
      <c r="A159" s="53" t="s">
        <v>58</v>
      </c>
      <c r="B159" s="107" t="s">
        <v>52</v>
      </c>
      <c r="C159" s="4">
        <v>2031</v>
      </c>
      <c r="D159" s="99" cm="1">
        <f t="array" ref="D159">IFERROR(SUMPRODUCT(('Planning Engine'!$B$4:$B$2500="APT")*(YEAR('Planning Engine'!$A$4:$A$2500)=2031)*'Planning Engine'!$F$4:$F$2500),0)</f>
        <v>0</v>
      </c>
      <c r="E159" s="99" cm="1">
        <f t="array" ref="E159">IFERROR(SUMPRODUCT(('Planning Engine'!$B$4:$B$2500="APT")*(YEAR('Planning Engine'!$A$4:$A$2500)=2031)*'Planning Engine'!$G$4:$G$2500),0)</f>
        <v>0</v>
      </c>
      <c r="F159" s="99" cm="1">
        <f t="array" ref="F159">IFERROR(SUMPRODUCT(('Planning Engine'!$B$4:$B$2500="APT")*(YEAR('Planning Engine'!$A$4:$A$2500)=2031)*(MONTH('Planning Engine'!$A$4:$A$2500)=6)*'Planning Engine'!$H$4:$H$2500),0)</f>
        <v>89.81</v>
      </c>
      <c r="G159" s="99" cm="1">
        <f t="array" ref="G159">IFERROR(SUMPRODUCT(('Planning Engine'!$B$4:$B$2500="APT")*(YEAR('Planning Engine'!$A$4:$A$2500)=2031)*(MONTH('Planning Engine'!$A$4:$A$2500)=12)*'Planning Engine'!$H$4:$H$2500),0)</f>
        <v>89.81</v>
      </c>
      <c r="H159" s="99" cm="1">
        <f t="array" aca="1" ref="H159" ca="1">IFERROR(SUMPRODUCT(('Planning Engine'!$B$4:$B$2500="APT")*(YEAR('Planning Engine'!$A$4:$A$2500)=2031)*('Planning Engine'!$J$4:$J$2500&gt;0)*'Planning Engine'!$J$4:$J$2500)/MAX(1,SUMPRODUCT(('Planning Engine'!$B$4:$B$2500="APT")*(YEAR('Planning Engine'!$A$4:$A$2500)=2031)*('Planning Engine'!$J$4:$J$2500&gt;0))),0)</f>
        <v>999</v>
      </c>
      <c r="I159" s="4" cm="1">
        <f t="array" ref="I159">IFERROR(SUMPRODUCT(('Planning Engine'!$B$4:$B$2500="APT")*(YEAR('Planning Engine'!$A$4:$A$2500)=2031)*(MONTH('Planning Engine'!$A$4:$A$2500)=12)*'Planning Engine'!$H$4:$H$2500),0)</f>
        <v>89.81</v>
      </c>
      <c r="J159" cm="1">
        <f t="array" aca="1" ref="J159" ca="1">IFERROR(SUMPRODUCT(('Planning Engine'!$B$4:$B$2500="APT")*(YEAR('Planning Engine'!$A$4:$A$2500)=2031)*'Planning Engine'!$K$4:$K$2500),0)</f>
        <v>0</v>
      </c>
      <c r="K159" s="4" t="str" cm="1">
        <f t="array" aca="1" ref="K159" ca="1">IFERROR(IF(SUMPRODUCT(('Planning Engine'!$B$4:$B$2500="APT")*(YEAR('Planning Engine'!$A$4:$A$2500)=2031)*('Planning Engine'!$L$4:$L$2500="High"))&gt;0,"High",IF(SUMPRODUCT(('Planning Engine'!$B$4:$B$2500="APT")*(YEAR('Planning Engine'!$A$4:$A$2500)=2031)*('Planning Engine'!$L$4:$L$2500="Medium"))&gt;0,"Medium",IF(SUMPRODUCT(('Planning Engine'!$B$4:$B$2500="APT")*(YEAR('Planning Engine'!$A$4:$A$2500)=2031)*('Planning Engine'!$L$4:$L$2500="Overstock"))&gt;0,"Overstock","Low"))),"--")</f>
        <v>Overstock</v>
      </c>
    </row>
    <row r="160" spans="1:11" ht="14" customHeight="1" x14ac:dyDescent="0.35">
      <c r="A160" s="61" t="s">
        <v>58</v>
      </c>
      <c r="B160" s="106" t="s">
        <v>52</v>
      </c>
      <c r="C160" s="12">
        <v>2032</v>
      </c>
      <c r="D160" s="95" cm="1">
        <f t="array" ref="D160">IFERROR(SUMPRODUCT(('Planning Engine'!$B$4:$B$2500="APT")*(YEAR('Planning Engine'!$A$4:$A$2500)=2032)*'Planning Engine'!$F$4:$F$2500),0)</f>
        <v>0</v>
      </c>
      <c r="E160" s="95" cm="1">
        <f t="array" ref="E160">IFERROR(SUMPRODUCT(('Planning Engine'!$B$4:$B$2500="APT")*(YEAR('Planning Engine'!$A$4:$A$2500)=2032)*'Planning Engine'!$G$4:$G$2500),0)</f>
        <v>0</v>
      </c>
      <c r="F160" s="95" cm="1">
        <f t="array" ref="F160">IFERROR(SUMPRODUCT(('Planning Engine'!$B$4:$B$2500="APT")*(YEAR('Planning Engine'!$A$4:$A$2500)=2032)*(MONTH('Planning Engine'!$A$4:$A$2500)=6)*'Planning Engine'!$H$4:$H$2500),0)</f>
        <v>89.81</v>
      </c>
      <c r="G160" s="95" cm="1">
        <f t="array" ref="G160">IFERROR(SUMPRODUCT(('Planning Engine'!$B$4:$B$2500="APT")*(YEAR('Planning Engine'!$A$4:$A$2500)=2032)*(MONTH('Planning Engine'!$A$4:$A$2500)=12)*'Planning Engine'!$H$4:$H$2500),0)</f>
        <v>89.81</v>
      </c>
      <c r="H160" s="95" cm="1">
        <f t="array" aca="1" ref="H160" ca="1">IFERROR(SUMPRODUCT(('Planning Engine'!$B$4:$B$2500="APT")*(YEAR('Planning Engine'!$A$4:$A$2500)=2032)*('Planning Engine'!$J$4:$J$2500&gt;0)*'Planning Engine'!$J$4:$J$2500)/MAX(1,SUMPRODUCT(('Planning Engine'!$B$4:$B$2500="APT")*(YEAR('Planning Engine'!$A$4:$A$2500)=2032)*('Planning Engine'!$J$4:$J$2500&gt;0))),0)</f>
        <v>999</v>
      </c>
      <c r="I160" s="12" cm="1">
        <f t="array" ref="I160">IFERROR(SUMPRODUCT(('Planning Engine'!$B$4:$B$2500="APT")*(YEAR('Planning Engine'!$A$4:$A$2500)=2032)*(MONTH('Planning Engine'!$A$4:$A$2500)=12)*'Planning Engine'!$H$4:$H$2500),0)</f>
        <v>89.81</v>
      </c>
      <c r="J160" cm="1">
        <f t="array" aca="1" ref="J160" ca="1">IFERROR(SUMPRODUCT(('Planning Engine'!$B$4:$B$2500="APT")*(YEAR('Planning Engine'!$A$4:$A$2500)=2032)*'Planning Engine'!$K$4:$K$2500),0)</f>
        <v>0</v>
      </c>
      <c r="K160" s="12" t="str" cm="1">
        <f t="array" aca="1" ref="K160" ca="1">IFERROR(IF(SUMPRODUCT(('Planning Engine'!$B$4:$B$2500="APT")*(YEAR('Planning Engine'!$A$4:$A$2500)=2032)*('Planning Engine'!$L$4:$L$2500="High"))&gt;0,"High",IF(SUMPRODUCT(('Planning Engine'!$B$4:$B$2500="APT")*(YEAR('Planning Engine'!$A$4:$A$2500)=2032)*('Planning Engine'!$L$4:$L$2500="Medium"))&gt;0,"Medium",IF(SUMPRODUCT(('Planning Engine'!$B$4:$B$2500="APT")*(YEAR('Planning Engine'!$A$4:$A$2500)=2032)*('Planning Engine'!$L$4:$L$2500="Overstock"))&gt;0,"Overstock","Low"))),"--")</f>
        <v>Overstock</v>
      </c>
    </row>
    <row r="161" spans="1:11" ht="14" customHeight="1" x14ac:dyDescent="0.35">
      <c r="A161" s="53" t="s">
        <v>58</v>
      </c>
      <c r="B161" s="107" t="s">
        <v>52</v>
      </c>
      <c r="C161" s="4">
        <v>2033</v>
      </c>
      <c r="D161" s="99" cm="1">
        <f t="array" ref="D161">IFERROR(SUMPRODUCT(('Planning Engine'!$B$4:$B$2500="APT")*(YEAR('Planning Engine'!$A$4:$A$2500)=2033)*'Planning Engine'!$F$4:$F$2500),0)</f>
        <v>0</v>
      </c>
      <c r="E161" s="99" cm="1">
        <f t="array" ref="E161">IFERROR(SUMPRODUCT(('Planning Engine'!$B$4:$B$2500="APT")*(YEAR('Planning Engine'!$A$4:$A$2500)=2033)*'Planning Engine'!$G$4:$G$2500),0)</f>
        <v>0</v>
      </c>
      <c r="F161" s="99" cm="1">
        <f t="array" ref="F161">IFERROR(SUMPRODUCT(('Planning Engine'!$B$4:$B$2500="APT")*(YEAR('Planning Engine'!$A$4:$A$2500)=2033)*(MONTH('Planning Engine'!$A$4:$A$2500)=6)*'Planning Engine'!$H$4:$H$2500),0)</f>
        <v>89.81</v>
      </c>
      <c r="G161" s="99" cm="1">
        <f t="array" ref="G161">IFERROR(SUMPRODUCT(('Planning Engine'!$B$4:$B$2500="APT")*(YEAR('Planning Engine'!$A$4:$A$2500)=2033)*(MONTH('Planning Engine'!$A$4:$A$2500)=12)*'Planning Engine'!$H$4:$H$2500),0)</f>
        <v>89.81</v>
      </c>
      <c r="H161" s="99" cm="1">
        <f t="array" aca="1" ref="H161" ca="1">IFERROR(SUMPRODUCT(('Planning Engine'!$B$4:$B$2500="APT")*(YEAR('Planning Engine'!$A$4:$A$2500)=2033)*('Planning Engine'!$J$4:$J$2500&gt;0)*'Planning Engine'!$J$4:$J$2500)/MAX(1,SUMPRODUCT(('Planning Engine'!$B$4:$B$2500="APT")*(YEAR('Planning Engine'!$A$4:$A$2500)=2033)*('Planning Engine'!$J$4:$J$2500&gt;0))),0)</f>
        <v>999</v>
      </c>
      <c r="I161" s="4" cm="1">
        <f t="array" ref="I161">IFERROR(SUMPRODUCT(('Planning Engine'!$B$4:$B$2500="APT")*(YEAR('Planning Engine'!$A$4:$A$2500)=2033)*(MONTH('Planning Engine'!$A$4:$A$2500)=12)*'Planning Engine'!$H$4:$H$2500),0)</f>
        <v>89.81</v>
      </c>
      <c r="J161" cm="1">
        <f t="array" aca="1" ref="J161" ca="1">IFERROR(SUMPRODUCT(('Planning Engine'!$B$4:$B$2500="APT")*(YEAR('Planning Engine'!$A$4:$A$2500)=2033)*'Planning Engine'!$K$4:$K$2500),0)</f>
        <v>0</v>
      </c>
      <c r="K161" s="4" t="str" cm="1">
        <f t="array" aca="1" ref="K161" ca="1">IFERROR(IF(SUMPRODUCT(('Planning Engine'!$B$4:$B$2500="APT")*(YEAR('Planning Engine'!$A$4:$A$2500)=2033)*('Planning Engine'!$L$4:$L$2500="High"))&gt;0,"High",IF(SUMPRODUCT(('Planning Engine'!$B$4:$B$2500="APT")*(YEAR('Planning Engine'!$A$4:$A$2500)=2033)*('Planning Engine'!$L$4:$L$2500="Medium"))&gt;0,"Medium",IF(SUMPRODUCT(('Planning Engine'!$B$4:$B$2500="APT")*(YEAR('Planning Engine'!$A$4:$A$2500)=2033)*('Planning Engine'!$L$4:$L$2500="Overstock"))&gt;0,"Overstock","Low"))),"--")</f>
        <v>Overstock</v>
      </c>
    </row>
    <row r="162" spans="1:11" ht="14" customHeight="1" x14ac:dyDescent="0.35">
      <c r="A162" s="61" t="s">
        <v>58</v>
      </c>
      <c r="B162" s="106" t="s">
        <v>52</v>
      </c>
      <c r="C162" s="12">
        <v>2034</v>
      </c>
      <c r="D162" s="95" cm="1">
        <f t="array" ref="D162">IFERROR(SUMPRODUCT(('Planning Engine'!$B$4:$B$2500="APT")*(YEAR('Planning Engine'!$A$4:$A$2500)=2034)*'Planning Engine'!$F$4:$F$2500),0)</f>
        <v>0</v>
      </c>
      <c r="E162" s="95" cm="1">
        <f t="array" ref="E162">IFERROR(SUMPRODUCT(('Planning Engine'!$B$4:$B$2500="APT")*(YEAR('Planning Engine'!$A$4:$A$2500)=2034)*'Planning Engine'!$G$4:$G$2500),0)</f>
        <v>0</v>
      </c>
      <c r="F162" s="95" cm="1">
        <f t="array" ref="F162">IFERROR(SUMPRODUCT(('Planning Engine'!$B$4:$B$2500="APT")*(YEAR('Planning Engine'!$A$4:$A$2500)=2034)*(MONTH('Planning Engine'!$A$4:$A$2500)=6)*'Planning Engine'!$H$4:$H$2500),0)</f>
        <v>89.81</v>
      </c>
      <c r="G162" s="95" cm="1">
        <f t="array" ref="G162">IFERROR(SUMPRODUCT(('Planning Engine'!$B$4:$B$2500="APT")*(YEAR('Planning Engine'!$A$4:$A$2500)=2034)*(MONTH('Planning Engine'!$A$4:$A$2500)=12)*'Planning Engine'!$H$4:$H$2500),0)</f>
        <v>89.81</v>
      </c>
      <c r="H162" s="95" cm="1">
        <f t="array" aca="1" ref="H162" ca="1">IFERROR(SUMPRODUCT(('Planning Engine'!$B$4:$B$2500="APT")*(YEAR('Planning Engine'!$A$4:$A$2500)=2034)*('Planning Engine'!$J$4:$J$2500&gt;0)*'Planning Engine'!$J$4:$J$2500)/MAX(1,SUMPRODUCT(('Planning Engine'!$B$4:$B$2500="APT")*(YEAR('Planning Engine'!$A$4:$A$2500)=2034)*('Planning Engine'!$J$4:$J$2500&gt;0))),0)</f>
        <v>999</v>
      </c>
      <c r="I162" s="12" cm="1">
        <f t="array" ref="I162">IFERROR(SUMPRODUCT(('Planning Engine'!$B$4:$B$2500="APT")*(YEAR('Planning Engine'!$A$4:$A$2500)=2034)*(MONTH('Planning Engine'!$A$4:$A$2500)=12)*'Planning Engine'!$H$4:$H$2500),0)</f>
        <v>89.81</v>
      </c>
      <c r="J162" cm="1">
        <f t="array" aca="1" ref="J162" ca="1">IFERROR(SUMPRODUCT(('Planning Engine'!$B$4:$B$2500="APT")*(YEAR('Planning Engine'!$A$4:$A$2500)=2034)*'Planning Engine'!$K$4:$K$2500),0)</f>
        <v>0</v>
      </c>
      <c r="K162" s="12" t="str" cm="1">
        <f t="array" aca="1" ref="K162" ca="1">IFERROR(IF(SUMPRODUCT(('Planning Engine'!$B$4:$B$2500="APT")*(YEAR('Planning Engine'!$A$4:$A$2500)=2034)*('Planning Engine'!$L$4:$L$2500="High"))&gt;0,"High",IF(SUMPRODUCT(('Planning Engine'!$B$4:$B$2500="APT")*(YEAR('Planning Engine'!$A$4:$A$2500)=2034)*('Planning Engine'!$L$4:$L$2500="Medium"))&gt;0,"Medium",IF(SUMPRODUCT(('Planning Engine'!$B$4:$B$2500="APT")*(YEAR('Planning Engine'!$A$4:$A$2500)=2034)*('Planning Engine'!$L$4:$L$2500="Overstock"))&gt;0,"Overstock","Low"))),"--")</f>
        <v>Overstock</v>
      </c>
    </row>
    <row r="163" spans="1:11" ht="14" customHeight="1" x14ac:dyDescent="0.35">
      <c r="A163" s="53" t="s">
        <v>58</v>
      </c>
      <c r="B163" s="107" t="s">
        <v>52</v>
      </c>
      <c r="C163" s="4">
        <v>2035</v>
      </c>
      <c r="D163" s="99" cm="1">
        <f t="array" ref="D163">IFERROR(SUMPRODUCT(('Planning Engine'!$B$4:$B$2500="APT")*(YEAR('Planning Engine'!$A$4:$A$2500)=2035)*'Planning Engine'!$F$4:$F$2500),0)</f>
        <v>0</v>
      </c>
      <c r="E163" s="99" cm="1">
        <f t="array" ref="E163">IFERROR(SUMPRODUCT(('Planning Engine'!$B$4:$B$2500="APT")*(YEAR('Planning Engine'!$A$4:$A$2500)=2035)*'Planning Engine'!$G$4:$G$2500),0)</f>
        <v>0</v>
      </c>
      <c r="F163" s="99" cm="1">
        <f t="array" ref="F163">IFERROR(SUMPRODUCT(('Planning Engine'!$B$4:$B$2500="APT")*(YEAR('Planning Engine'!$A$4:$A$2500)=2035)*(MONTH('Planning Engine'!$A$4:$A$2500)=6)*'Planning Engine'!$H$4:$H$2500),0)</f>
        <v>89.81</v>
      </c>
      <c r="G163" s="99" cm="1">
        <f t="array" ref="G163">IFERROR(SUMPRODUCT(('Planning Engine'!$B$4:$B$2500="APT")*(YEAR('Planning Engine'!$A$4:$A$2500)=2035)*(MONTH('Planning Engine'!$A$4:$A$2500)=12)*'Planning Engine'!$H$4:$H$2500),0)</f>
        <v>89.81</v>
      </c>
      <c r="H163" s="99" cm="1">
        <f t="array" aca="1" ref="H163" ca="1">IFERROR(SUMPRODUCT(('Planning Engine'!$B$4:$B$2500="APT")*(YEAR('Planning Engine'!$A$4:$A$2500)=2035)*('Planning Engine'!$J$4:$J$2500&gt;0)*'Planning Engine'!$J$4:$J$2500)/MAX(1,SUMPRODUCT(('Planning Engine'!$B$4:$B$2500="APT")*(YEAR('Planning Engine'!$A$4:$A$2500)=2035)*('Planning Engine'!$J$4:$J$2500&gt;0))),0)</f>
        <v>999</v>
      </c>
      <c r="I163" s="4" cm="1">
        <f t="array" ref="I163">IFERROR(SUMPRODUCT(('Planning Engine'!$B$4:$B$2500="APT")*(YEAR('Planning Engine'!$A$4:$A$2500)=2035)*(MONTH('Planning Engine'!$A$4:$A$2500)=12)*'Planning Engine'!$H$4:$H$2500),0)</f>
        <v>89.81</v>
      </c>
      <c r="J163" cm="1">
        <f t="array" aca="1" ref="J163" ca="1">IFERROR(SUMPRODUCT(('Planning Engine'!$B$4:$B$2500="APT")*(YEAR('Planning Engine'!$A$4:$A$2500)=2035)*'Planning Engine'!$K$4:$K$2500),0)</f>
        <v>0</v>
      </c>
      <c r="K163" s="4" t="str" cm="1">
        <f t="array" aca="1" ref="K163" ca="1">IFERROR(IF(SUMPRODUCT(('Planning Engine'!$B$4:$B$2500="APT")*(YEAR('Planning Engine'!$A$4:$A$2500)=2035)*('Planning Engine'!$L$4:$L$2500="High"))&gt;0,"High",IF(SUMPRODUCT(('Planning Engine'!$B$4:$B$2500="APT")*(YEAR('Planning Engine'!$A$4:$A$2500)=2035)*('Planning Engine'!$L$4:$L$2500="Medium"))&gt;0,"Medium",IF(SUMPRODUCT(('Planning Engine'!$B$4:$B$2500="APT")*(YEAR('Planning Engine'!$A$4:$A$2500)=2035)*('Planning Engine'!$L$4:$L$2500="Overstock"))&gt;0,"Overstock","Low"))),"--")</f>
        <v>Overstock</v>
      </c>
    </row>
    <row r="164" spans="1:11" ht="14" customHeight="1" x14ac:dyDescent="0.35">
      <c r="A164" s="61" t="s">
        <v>58</v>
      </c>
      <c r="B164" s="106" t="s">
        <v>52</v>
      </c>
      <c r="C164" s="12">
        <v>2036</v>
      </c>
      <c r="D164" s="95" cm="1">
        <f t="array" ref="D164">IFERROR(SUMPRODUCT(('Planning Engine'!$B$4:$B$2500="APT")*(YEAR('Planning Engine'!$A$4:$A$2500)=2036)*'Planning Engine'!$F$4:$F$2500),0)</f>
        <v>0</v>
      </c>
      <c r="E164" s="95" cm="1">
        <f t="array" ref="E164">IFERROR(SUMPRODUCT(('Planning Engine'!$B$4:$B$2500="APT")*(YEAR('Planning Engine'!$A$4:$A$2500)=2036)*'Planning Engine'!$G$4:$G$2500),0)</f>
        <v>0</v>
      </c>
      <c r="F164" s="95" cm="1">
        <f t="array" ref="F164">IFERROR(SUMPRODUCT(('Planning Engine'!$B$4:$B$2500="APT")*(YEAR('Planning Engine'!$A$4:$A$2500)=2036)*(MONTH('Planning Engine'!$A$4:$A$2500)=6)*'Planning Engine'!$H$4:$H$2500),0)</f>
        <v>89.81</v>
      </c>
      <c r="G164" s="95" cm="1">
        <f t="array" ref="G164">IFERROR(SUMPRODUCT(('Planning Engine'!$B$4:$B$2500="APT")*(YEAR('Planning Engine'!$A$4:$A$2500)=2036)*(MONTH('Planning Engine'!$A$4:$A$2500)=12)*'Planning Engine'!$H$4:$H$2500),0)</f>
        <v>89.81</v>
      </c>
      <c r="H164" s="95" cm="1">
        <f t="array" aca="1" ref="H164" ca="1">IFERROR(SUMPRODUCT(('Planning Engine'!$B$4:$B$2500="APT")*(YEAR('Planning Engine'!$A$4:$A$2500)=2036)*('Planning Engine'!$J$4:$J$2500&gt;0)*'Planning Engine'!$J$4:$J$2500)/MAX(1,SUMPRODUCT(('Planning Engine'!$B$4:$B$2500="APT")*(YEAR('Planning Engine'!$A$4:$A$2500)=2036)*('Planning Engine'!$J$4:$J$2500&gt;0))),0)</f>
        <v>999</v>
      </c>
      <c r="I164" s="12" cm="1">
        <f t="array" ref="I164">IFERROR(SUMPRODUCT(('Planning Engine'!$B$4:$B$2500="APT")*(YEAR('Planning Engine'!$A$4:$A$2500)=2036)*(MONTH('Planning Engine'!$A$4:$A$2500)=12)*'Planning Engine'!$H$4:$H$2500),0)</f>
        <v>89.81</v>
      </c>
      <c r="J164" cm="1">
        <f t="array" aca="1" ref="J164" ca="1">IFERROR(SUMPRODUCT(('Planning Engine'!$B$4:$B$2500="APT")*(YEAR('Planning Engine'!$A$4:$A$2500)=2036)*'Planning Engine'!$K$4:$K$2500),0)</f>
        <v>0</v>
      </c>
      <c r="K164" s="12" t="str" cm="1">
        <f t="array" aca="1" ref="K164" ca="1">IFERROR(IF(SUMPRODUCT(('Planning Engine'!$B$4:$B$2500="APT")*(YEAR('Planning Engine'!$A$4:$A$2500)=2036)*('Planning Engine'!$L$4:$L$2500="High"))&gt;0,"High",IF(SUMPRODUCT(('Planning Engine'!$B$4:$B$2500="APT")*(YEAR('Planning Engine'!$A$4:$A$2500)=2036)*('Planning Engine'!$L$4:$L$2500="Medium"))&gt;0,"Medium",IF(SUMPRODUCT(('Planning Engine'!$B$4:$B$2500="APT")*(YEAR('Planning Engine'!$A$4:$A$2500)=2036)*('Planning Engine'!$L$4:$L$2500="Overstock"))&gt;0,"Overstock","Low"))),"--")</f>
        <v>Overstock</v>
      </c>
    </row>
    <row r="165" spans="1:11" ht="14" customHeight="1" x14ac:dyDescent="0.35">
      <c r="A165" s="53" t="s">
        <v>58</v>
      </c>
      <c r="B165" s="107" t="s">
        <v>52</v>
      </c>
      <c r="C165" s="4">
        <v>2037</v>
      </c>
      <c r="D165" s="99" cm="1">
        <f t="array" ref="D165">IFERROR(SUMPRODUCT(('Planning Engine'!$B$4:$B$2500="APT")*(YEAR('Planning Engine'!$A$4:$A$2500)=2037)*'Planning Engine'!$F$4:$F$2500),0)</f>
        <v>0</v>
      </c>
      <c r="E165" s="99" cm="1">
        <f t="array" ref="E165">IFERROR(SUMPRODUCT(('Planning Engine'!$B$4:$B$2500="APT")*(YEAR('Planning Engine'!$A$4:$A$2500)=2037)*'Planning Engine'!$G$4:$G$2500),0)</f>
        <v>0</v>
      </c>
      <c r="F165" s="99" cm="1">
        <f t="array" ref="F165">IFERROR(SUMPRODUCT(('Planning Engine'!$B$4:$B$2500="APT")*(YEAR('Planning Engine'!$A$4:$A$2500)=2037)*(MONTH('Planning Engine'!$A$4:$A$2500)=6)*'Planning Engine'!$H$4:$H$2500),0)</f>
        <v>89.81</v>
      </c>
      <c r="G165" s="99" cm="1">
        <f t="array" ref="G165">IFERROR(SUMPRODUCT(('Planning Engine'!$B$4:$B$2500="APT")*(YEAR('Planning Engine'!$A$4:$A$2500)=2037)*(MONTH('Planning Engine'!$A$4:$A$2500)=12)*'Planning Engine'!$H$4:$H$2500),0)</f>
        <v>89.81</v>
      </c>
      <c r="H165" s="99" cm="1">
        <f t="array" aca="1" ref="H165" ca="1">IFERROR(SUMPRODUCT(('Planning Engine'!$B$4:$B$2500="APT")*(YEAR('Planning Engine'!$A$4:$A$2500)=2037)*('Planning Engine'!$J$4:$J$2500&gt;0)*'Planning Engine'!$J$4:$J$2500)/MAX(1,SUMPRODUCT(('Planning Engine'!$B$4:$B$2500="APT")*(YEAR('Planning Engine'!$A$4:$A$2500)=2037)*('Planning Engine'!$J$4:$J$2500&gt;0))),0)</f>
        <v>999</v>
      </c>
      <c r="I165" s="4" cm="1">
        <f t="array" ref="I165">IFERROR(SUMPRODUCT(('Planning Engine'!$B$4:$B$2500="APT")*(YEAR('Planning Engine'!$A$4:$A$2500)=2037)*(MONTH('Planning Engine'!$A$4:$A$2500)=12)*'Planning Engine'!$H$4:$H$2500),0)</f>
        <v>89.81</v>
      </c>
      <c r="J165" cm="1">
        <f t="array" aca="1" ref="J165" ca="1">IFERROR(SUMPRODUCT(('Planning Engine'!$B$4:$B$2500="APT")*(YEAR('Planning Engine'!$A$4:$A$2500)=2037)*'Planning Engine'!$K$4:$K$2500),0)</f>
        <v>0</v>
      </c>
      <c r="K165" s="4" t="str" cm="1">
        <f t="array" aca="1" ref="K165" ca="1">IFERROR(IF(SUMPRODUCT(('Planning Engine'!$B$4:$B$2500="APT")*(YEAR('Planning Engine'!$A$4:$A$2500)=2037)*('Planning Engine'!$L$4:$L$2500="High"))&gt;0,"High",IF(SUMPRODUCT(('Planning Engine'!$B$4:$B$2500="APT")*(YEAR('Planning Engine'!$A$4:$A$2500)=2037)*('Planning Engine'!$L$4:$L$2500="Medium"))&gt;0,"Medium",IF(SUMPRODUCT(('Planning Engine'!$B$4:$B$2500="APT")*(YEAR('Planning Engine'!$A$4:$A$2500)=2037)*('Planning Engine'!$L$4:$L$2500="Overstock"))&gt;0,"Overstock","Low"))),"--")</f>
        <v>Overstock</v>
      </c>
    </row>
    <row r="166" spans="1:11" ht="14" customHeight="1" x14ac:dyDescent="0.35">
      <c r="A166" s="61" t="s">
        <v>58</v>
      </c>
      <c r="B166" s="106" t="s">
        <v>52</v>
      </c>
      <c r="C166" s="12">
        <v>2038</v>
      </c>
      <c r="D166" s="95" cm="1">
        <f t="array" ref="D166">IFERROR(SUMPRODUCT(('Planning Engine'!$B$4:$B$2500="APT")*(YEAR('Planning Engine'!$A$4:$A$2500)=2038)*'Planning Engine'!$F$4:$F$2500),0)</f>
        <v>0</v>
      </c>
      <c r="E166" s="95" cm="1">
        <f t="array" ref="E166">IFERROR(SUMPRODUCT(('Planning Engine'!$B$4:$B$2500="APT")*(YEAR('Planning Engine'!$A$4:$A$2500)=2038)*'Planning Engine'!$G$4:$G$2500),0)</f>
        <v>0</v>
      </c>
      <c r="F166" s="95" cm="1">
        <f t="array" ref="F166">IFERROR(SUMPRODUCT(('Planning Engine'!$B$4:$B$2500="APT")*(YEAR('Planning Engine'!$A$4:$A$2500)=2038)*(MONTH('Planning Engine'!$A$4:$A$2500)=6)*'Planning Engine'!$H$4:$H$2500),0)</f>
        <v>89.81</v>
      </c>
      <c r="G166" s="95" cm="1">
        <f t="array" ref="G166">IFERROR(SUMPRODUCT(('Planning Engine'!$B$4:$B$2500="APT")*(YEAR('Planning Engine'!$A$4:$A$2500)=2038)*(MONTH('Planning Engine'!$A$4:$A$2500)=12)*'Planning Engine'!$H$4:$H$2500),0)</f>
        <v>89.81</v>
      </c>
      <c r="H166" s="95" cm="1">
        <f t="array" aca="1" ref="H166" ca="1">IFERROR(SUMPRODUCT(('Planning Engine'!$B$4:$B$2500="APT")*(YEAR('Planning Engine'!$A$4:$A$2500)=2038)*('Planning Engine'!$J$4:$J$2500&gt;0)*'Planning Engine'!$J$4:$J$2500)/MAX(1,SUMPRODUCT(('Planning Engine'!$B$4:$B$2500="APT")*(YEAR('Planning Engine'!$A$4:$A$2500)=2038)*('Planning Engine'!$J$4:$J$2500&gt;0))),0)</f>
        <v>999</v>
      </c>
      <c r="I166" s="12" cm="1">
        <f t="array" ref="I166">IFERROR(SUMPRODUCT(('Planning Engine'!$B$4:$B$2500="APT")*(YEAR('Planning Engine'!$A$4:$A$2500)=2038)*(MONTH('Planning Engine'!$A$4:$A$2500)=12)*'Planning Engine'!$H$4:$H$2500),0)</f>
        <v>89.81</v>
      </c>
      <c r="J166" cm="1">
        <f t="array" aca="1" ref="J166" ca="1">IFERROR(SUMPRODUCT(('Planning Engine'!$B$4:$B$2500="APT")*(YEAR('Planning Engine'!$A$4:$A$2500)=2038)*'Planning Engine'!$K$4:$K$2500),0)</f>
        <v>0</v>
      </c>
      <c r="K166" s="12" t="str" cm="1">
        <f t="array" aca="1" ref="K166" ca="1">IFERROR(IF(SUMPRODUCT(('Planning Engine'!$B$4:$B$2500="APT")*(YEAR('Planning Engine'!$A$4:$A$2500)=2038)*('Planning Engine'!$L$4:$L$2500="High"))&gt;0,"High",IF(SUMPRODUCT(('Planning Engine'!$B$4:$B$2500="APT")*(YEAR('Planning Engine'!$A$4:$A$2500)=2038)*('Planning Engine'!$L$4:$L$2500="Medium"))&gt;0,"Medium",IF(SUMPRODUCT(('Planning Engine'!$B$4:$B$2500="APT")*(YEAR('Planning Engine'!$A$4:$A$2500)=2038)*('Planning Engine'!$L$4:$L$2500="Overstock"))&gt;0,"Overstock","Low"))),"--")</f>
        <v>Overstock</v>
      </c>
    </row>
    <row r="167" spans="1:11" ht="14" customHeight="1" x14ac:dyDescent="0.35">
      <c r="A167" s="53" t="s">
        <v>58</v>
      </c>
      <c r="B167" s="107" t="s">
        <v>52</v>
      </c>
      <c r="C167" s="4">
        <v>2039</v>
      </c>
      <c r="D167" s="99" cm="1">
        <f t="array" ref="D167">IFERROR(SUMPRODUCT(('Planning Engine'!$B$4:$B$2500="APT")*(YEAR('Planning Engine'!$A$4:$A$2500)=2039)*'Planning Engine'!$F$4:$F$2500),0)</f>
        <v>0</v>
      </c>
      <c r="E167" s="99" cm="1">
        <f t="array" ref="E167">IFERROR(SUMPRODUCT(('Planning Engine'!$B$4:$B$2500="APT")*(YEAR('Planning Engine'!$A$4:$A$2500)=2039)*'Planning Engine'!$G$4:$G$2500),0)</f>
        <v>0</v>
      </c>
      <c r="F167" s="99" cm="1">
        <f t="array" ref="F167">IFERROR(SUMPRODUCT(('Planning Engine'!$B$4:$B$2500="APT")*(YEAR('Planning Engine'!$A$4:$A$2500)=2039)*(MONTH('Planning Engine'!$A$4:$A$2500)=6)*'Planning Engine'!$H$4:$H$2500),0)</f>
        <v>89.81</v>
      </c>
      <c r="G167" s="99" cm="1">
        <f t="array" ref="G167">IFERROR(SUMPRODUCT(('Planning Engine'!$B$4:$B$2500="APT")*(YEAR('Planning Engine'!$A$4:$A$2500)=2039)*(MONTH('Planning Engine'!$A$4:$A$2500)=12)*'Planning Engine'!$H$4:$H$2500),0)</f>
        <v>89.81</v>
      </c>
      <c r="H167" s="99" cm="1">
        <f t="array" aca="1" ref="H167" ca="1">IFERROR(SUMPRODUCT(('Planning Engine'!$B$4:$B$2500="APT")*(YEAR('Planning Engine'!$A$4:$A$2500)=2039)*('Planning Engine'!$J$4:$J$2500&gt;0)*'Planning Engine'!$J$4:$J$2500)/MAX(1,SUMPRODUCT(('Planning Engine'!$B$4:$B$2500="APT")*(YEAR('Planning Engine'!$A$4:$A$2500)=2039)*('Planning Engine'!$J$4:$J$2500&gt;0))),0)</f>
        <v>999</v>
      </c>
      <c r="I167" s="4" cm="1">
        <f t="array" ref="I167">IFERROR(SUMPRODUCT(('Planning Engine'!$B$4:$B$2500="APT")*(YEAR('Planning Engine'!$A$4:$A$2500)=2039)*(MONTH('Planning Engine'!$A$4:$A$2500)=12)*'Planning Engine'!$H$4:$H$2500),0)</f>
        <v>89.81</v>
      </c>
      <c r="J167" cm="1">
        <f t="array" aca="1" ref="J167" ca="1">IFERROR(SUMPRODUCT(('Planning Engine'!$B$4:$B$2500="APT")*(YEAR('Planning Engine'!$A$4:$A$2500)=2039)*'Planning Engine'!$K$4:$K$2500),0)</f>
        <v>0</v>
      </c>
      <c r="K167" s="4" t="str" cm="1">
        <f t="array" aca="1" ref="K167" ca="1">IFERROR(IF(SUMPRODUCT(('Planning Engine'!$B$4:$B$2500="APT")*(YEAR('Planning Engine'!$A$4:$A$2500)=2039)*('Planning Engine'!$L$4:$L$2500="High"))&gt;0,"High",IF(SUMPRODUCT(('Planning Engine'!$B$4:$B$2500="APT")*(YEAR('Planning Engine'!$A$4:$A$2500)=2039)*('Planning Engine'!$L$4:$L$2500="Medium"))&gt;0,"Medium",IF(SUMPRODUCT(('Planning Engine'!$B$4:$B$2500="APT")*(YEAR('Planning Engine'!$A$4:$A$2500)=2039)*('Planning Engine'!$L$4:$L$2500="Overstock"))&gt;0,"Overstock","Low"))),"--")</f>
        <v>Overstock</v>
      </c>
    </row>
    <row r="168" spans="1:11" ht="14" customHeight="1" x14ac:dyDescent="0.35">
      <c r="A168" s="61" t="s">
        <v>58</v>
      </c>
      <c r="B168" s="106" t="s">
        <v>52</v>
      </c>
      <c r="C168" s="12">
        <v>2040</v>
      </c>
      <c r="D168" s="95" cm="1">
        <f t="array" ref="D168">IFERROR(SUMPRODUCT(('Planning Engine'!$B$4:$B$2500="APT")*(YEAR('Planning Engine'!$A$4:$A$2500)=2040)*'Planning Engine'!$F$4:$F$2500),0)</f>
        <v>0</v>
      </c>
      <c r="E168" s="95" cm="1">
        <f t="array" ref="E168">IFERROR(SUMPRODUCT(('Planning Engine'!$B$4:$B$2500="APT")*(YEAR('Planning Engine'!$A$4:$A$2500)=2040)*'Planning Engine'!$G$4:$G$2500),0)</f>
        <v>0</v>
      </c>
      <c r="F168" s="95" cm="1">
        <f t="array" ref="F168">IFERROR(SUMPRODUCT(('Planning Engine'!$B$4:$B$2500="APT")*(YEAR('Planning Engine'!$A$4:$A$2500)=2040)*(MONTH('Planning Engine'!$A$4:$A$2500)=6)*'Planning Engine'!$H$4:$H$2500),0)</f>
        <v>89.81</v>
      </c>
      <c r="G168" s="95" cm="1">
        <f t="array" ref="G168">IFERROR(SUMPRODUCT(('Planning Engine'!$B$4:$B$2500="APT")*(YEAR('Planning Engine'!$A$4:$A$2500)=2040)*(MONTH('Planning Engine'!$A$4:$A$2500)=12)*'Planning Engine'!$H$4:$H$2500),0)</f>
        <v>89.81</v>
      </c>
      <c r="H168" s="95" cm="1">
        <f t="array" aca="1" ref="H168" ca="1">IFERROR(SUMPRODUCT(('Planning Engine'!$B$4:$B$2500="APT")*(YEAR('Planning Engine'!$A$4:$A$2500)=2040)*('Planning Engine'!$J$4:$J$2500&gt;0)*'Planning Engine'!$J$4:$J$2500)/MAX(1,SUMPRODUCT(('Planning Engine'!$B$4:$B$2500="APT")*(YEAR('Planning Engine'!$A$4:$A$2500)=2040)*('Planning Engine'!$J$4:$J$2500&gt;0))),0)</f>
        <v>999</v>
      </c>
      <c r="I168" s="12" cm="1">
        <f t="array" ref="I168">IFERROR(SUMPRODUCT(('Planning Engine'!$B$4:$B$2500="APT")*(YEAR('Planning Engine'!$A$4:$A$2500)=2040)*(MONTH('Planning Engine'!$A$4:$A$2500)=12)*'Planning Engine'!$H$4:$H$2500),0)</f>
        <v>89.81</v>
      </c>
      <c r="J168" cm="1">
        <f t="array" aca="1" ref="J168" ca="1">IFERROR(SUMPRODUCT(('Planning Engine'!$B$4:$B$2500="APT")*(YEAR('Planning Engine'!$A$4:$A$2500)=2040)*'Planning Engine'!$K$4:$K$2500),0)</f>
        <v>0</v>
      </c>
      <c r="K168" s="12" t="str" cm="1">
        <f t="array" aca="1" ref="K168" ca="1">IFERROR(IF(SUMPRODUCT(('Planning Engine'!$B$4:$B$2500="APT")*(YEAR('Planning Engine'!$A$4:$A$2500)=2040)*('Planning Engine'!$L$4:$L$2500="High"))&gt;0,"High",IF(SUMPRODUCT(('Planning Engine'!$B$4:$B$2500="APT")*(YEAR('Planning Engine'!$A$4:$A$2500)=2040)*('Planning Engine'!$L$4:$L$2500="Medium"))&gt;0,"Medium",IF(SUMPRODUCT(('Planning Engine'!$B$4:$B$2500="APT")*(YEAR('Planning Engine'!$A$4:$A$2500)=2040)*('Planning Engine'!$L$4:$L$2500="Overstock"))&gt;0,"Overstock","Low"))),"--")</f>
        <v>Overstock</v>
      </c>
    </row>
    <row r="169" spans="1:11" ht="14" customHeight="1" x14ac:dyDescent="0.35">
      <c r="A169" s="53" t="s">
        <v>50</v>
      </c>
      <c r="B169" s="107" t="s">
        <v>52</v>
      </c>
      <c r="C169" s="4">
        <v>2026</v>
      </c>
      <c r="D169" s="99" cm="1">
        <f t="array" ref="D169">IFERROR(SUMPRODUCT(('Planning Engine'!$B$4:$B$2500="LLPS")*(YEAR('Planning Engine'!$A$4:$A$2500)=2026)*'Planning Engine'!$F$4:$F$2500),0)</f>
        <v>40.200000000000003</v>
      </c>
      <c r="E169" s="99" cm="1">
        <f t="array" ref="E169">IFERROR(SUMPRODUCT(('Planning Engine'!$B$4:$B$2500="LLPS")*(YEAR('Planning Engine'!$A$4:$A$2500)=2026)*'Planning Engine'!$G$4:$G$2500),0)</f>
        <v>100</v>
      </c>
      <c r="F169" s="99" cm="1">
        <f t="array" ref="F169">IFERROR(SUMPRODUCT(('Planning Engine'!$B$4:$B$2500="LLPS")*(YEAR('Planning Engine'!$A$4:$A$2500)=2026)*(MONTH('Planning Engine'!$A$4:$A$2500)=6)*'Planning Engine'!$H$4:$H$2500),0)</f>
        <v>62.589999999999996</v>
      </c>
      <c r="G169" s="99" cm="1">
        <f t="array" ref="G169">IFERROR(SUMPRODUCT(('Planning Engine'!$B$4:$B$2500="LLPS")*(YEAR('Planning Engine'!$A$4:$A$2500)=2026)*(MONTH('Planning Engine'!$A$4:$A$2500)=12)*'Planning Engine'!$H$4:$H$2500),0)</f>
        <v>155.88999999999999</v>
      </c>
      <c r="H169" s="99" cm="1">
        <f t="array" aca="1" ref="H169" ca="1">IFERROR(SUMPRODUCT(('Planning Engine'!$B$4:$B$2500="LLPS")*(YEAR('Planning Engine'!$A$4:$A$2500)=2026)*('Planning Engine'!$J$4:$J$2500&gt;0)*'Planning Engine'!$J$4:$J$2500)/MAX(1,SUMPRODUCT(('Planning Engine'!$B$4:$B$2500="LLPS")*(YEAR('Planning Engine'!$A$4:$A$2500)=2026)*('Planning Engine'!$J$4:$J$2500&gt;0))),0)</f>
        <v>6.164681139755765</v>
      </c>
      <c r="I169" s="4" cm="1">
        <f t="array" ref="I169">IFERROR(SUMPRODUCT(('Planning Engine'!$B$4:$B$2500="LLPS")*(YEAR('Planning Engine'!$A$4:$A$2500)=2026)*(MONTH('Planning Engine'!$A$4:$A$2500)=12)*'Planning Engine'!$H$4:$H$2500),0)</f>
        <v>155.88999999999999</v>
      </c>
      <c r="J169" cm="1">
        <f t="array" aca="1" ref="J169" ca="1">IFERROR(SUMPRODUCT(('Planning Engine'!$B$4:$B$2500="LLPS")*(YEAR('Planning Engine'!$A$4:$A$2500)=2026)*'Planning Engine'!$K$4:$K$2500),0)</f>
        <v>0</v>
      </c>
      <c r="K169" s="4" t="str" cm="1">
        <f t="array" aca="1" ref="K169" ca="1">IFERROR(IF(SUMPRODUCT(('Planning Engine'!$B$4:$B$2500="LLPS")*(YEAR('Planning Engine'!$A$4:$A$2500)=2026)*('Planning Engine'!$L$4:$L$2500="High"))&gt;0,"High",IF(SUMPRODUCT(('Planning Engine'!$B$4:$B$2500="LLPS")*(YEAR('Planning Engine'!$A$4:$A$2500)=2026)*('Planning Engine'!$L$4:$L$2500="Medium"))&gt;0,"Medium",IF(SUMPRODUCT(('Planning Engine'!$B$4:$B$2500="LLPS")*(YEAR('Planning Engine'!$A$4:$A$2500)=2026)*('Planning Engine'!$L$4:$L$2500="Overstock"))&gt;0,"Overstock","Low"))),"--")</f>
        <v>Low</v>
      </c>
    </row>
    <row r="170" spans="1:11" ht="14" customHeight="1" x14ac:dyDescent="0.35">
      <c r="A170" s="61" t="s">
        <v>50</v>
      </c>
      <c r="B170" s="106" t="s">
        <v>52</v>
      </c>
      <c r="C170" s="12">
        <v>2027</v>
      </c>
      <c r="D170" s="95" cm="1">
        <f t="array" ref="D170">IFERROR(SUMPRODUCT(('Planning Engine'!$B$4:$B$2500="LLPS")*(YEAR('Planning Engine'!$A$4:$A$2500)=2027)*'Planning Engine'!$F$4:$F$2500),0)</f>
        <v>53.6</v>
      </c>
      <c r="E170" s="95" cm="1">
        <f t="array" ref="E170">IFERROR(SUMPRODUCT(('Planning Engine'!$B$4:$B$2500="LLPS")*(YEAR('Planning Engine'!$A$4:$A$2500)=2027)*'Planning Engine'!$G$4:$G$2500),0)</f>
        <v>75</v>
      </c>
      <c r="F170" s="95" cm="1">
        <f t="array" ref="F170">IFERROR(SUMPRODUCT(('Planning Engine'!$B$4:$B$2500="LLPS")*(YEAR('Planning Engine'!$A$4:$A$2500)=2027)*(MONTH('Planning Engine'!$A$4:$A$2500)=6)*'Planning Engine'!$H$4:$H$2500),0)</f>
        <v>190.68999999999997</v>
      </c>
      <c r="G170" s="95" cm="1">
        <f t="array" ref="G170">IFERROR(SUMPRODUCT(('Planning Engine'!$B$4:$B$2500="LLPS")*(YEAR('Planning Engine'!$A$4:$A$2500)=2027)*(MONTH('Planning Engine'!$A$4:$A$2500)=12)*'Planning Engine'!$H$4:$H$2500),0)</f>
        <v>177.28999999999996</v>
      </c>
      <c r="H170" s="95" cm="1">
        <f t="array" aca="1" ref="H170" ca="1">IFERROR(SUMPRODUCT(('Planning Engine'!$B$4:$B$2500="LLPS")*(YEAR('Planning Engine'!$A$4:$A$2500)=2027)*('Planning Engine'!$J$4:$J$2500&gt;0)*'Planning Engine'!$J$4:$J$2500)/MAX(1,SUMPRODUCT(('Planning Engine'!$B$4:$B$2500="LLPS")*(YEAR('Planning Engine'!$A$4:$A$2500)=2027)*('Planning Engine'!$J$4:$J$2500&gt;0))),0)</f>
        <v>424.53501243781096</v>
      </c>
      <c r="I170" s="12" cm="1">
        <f t="array" ref="I170">IFERROR(SUMPRODUCT(('Planning Engine'!$B$4:$B$2500="LLPS")*(YEAR('Planning Engine'!$A$4:$A$2500)=2027)*(MONTH('Planning Engine'!$A$4:$A$2500)=12)*'Planning Engine'!$H$4:$H$2500),0)</f>
        <v>177.28999999999996</v>
      </c>
      <c r="J170" cm="1">
        <f t="array" aca="1" ref="J170" ca="1">IFERROR(SUMPRODUCT(('Planning Engine'!$B$4:$B$2500="LLPS")*(YEAR('Planning Engine'!$A$4:$A$2500)=2027)*'Planning Engine'!$K$4:$K$2500),0)</f>
        <v>0</v>
      </c>
      <c r="K170" s="12" t="str" cm="1">
        <f t="array" aca="1" ref="K170" ca="1">IFERROR(IF(SUMPRODUCT(('Planning Engine'!$B$4:$B$2500="LLPS")*(YEAR('Planning Engine'!$A$4:$A$2500)=2027)*('Planning Engine'!$L$4:$L$2500="High"))&gt;0,"High",IF(SUMPRODUCT(('Planning Engine'!$B$4:$B$2500="LLPS")*(YEAR('Planning Engine'!$A$4:$A$2500)=2027)*('Planning Engine'!$L$4:$L$2500="Medium"))&gt;0,"Medium",IF(SUMPRODUCT(('Planning Engine'!$B$4:$B$2500="LLPS")*(YEAR('Planning Engine'!$A$4:$A$2500)=2027)*('Planning Engine'!$L$4:$L$2500="Overstock"))&gt;0,"Overstock","Low"))),"--")</f>
        <v>Overstock</v>
      </c>
    </row>
    <row r="171" spans="1:11" ht="14" customHeight="1" x14ac:dyDescent="0.35">
      <c r="A171" s="53" t="s">
        <v>50</v>
      </c>
      <c r="B171" s="107" t="s">
        <v>52</v>
      </c>
      <c r="C171" s="4">
        <v>2028</v>
      </c>
      <c r="D171" s="99" cm="1">
        <f t="array" ref="D171">IFERROR(SUMPRODUCT(('Planning Engine'!$B$4:$B$2500="LLPS")*(YEAR('Planning Engine'!$A$4:$A$2500)=2028)*'Planning Engine'!$F$4:$F$2500),0)</f>
        <v>0</v>
      </c>
      <c r="E171" s="99" cm="1">
        <f t="array" ref="E171">IFERROR(SUMPRODUCT(('Planning Engine'!$B$4:$B$2500="LLPS")*(YEAR('Planning Engine'!$A$4:$A$2500)=2028)*'Planning Engine'!$G$4:$G$2500),0)</f>
        <v>0</v>
      </c>
      <c r="F171" s="99" cm="1">
        <f t="array" ref="F171">IFERROR(SUMPRODUCT(('Planning Engine'!$B$4:$B$2500="LLPS")*(YEAR('Planning Engine'!$A$4:$A$2500)=2028)*(MONTH('Planning Engine'!$A$4:$A$2500)=6)*'Planning Engine'!$H$4:$H$2500),0)</f>
        <v>177.28999999999996</v>
      </c>
      <c r="G171" s="99" cm="1">
        <f t="array" ref="G171">IFERROR(SUMPRODUCT(('Planning Engine'!$B$4:$B$2500="LLPS")*(YEAR('Planning Engine'!$A$4:$A$2500)=2028)*(MONTH('Planning Engine'!$A$4:$A$2500)=12)*'Planning Engine'!$H$4:$H$2500),0)</f>
        <v>177.28999999999996</v>
      </c>
      <c r="H171" s="99" cm="1">
        <f t="array" aca="1" ref="H171" ca="1">IFERROR(SUMPRODUCT(('Planning Engine'!$B$4:$B$2500="LLPS")*(YEAR('Planning Engine'!$A$4:$A$2500)=2028)*('Planning Engine'!$J$4:$J$2500&gt;0)*'Planning Engine'!$J$4:$J$2500)/MAX(1,SUMPRODUCT(('Planning Engine'!$B$4:$B$2500="LLPS")*(YEAR('Planning Engine'!$A$4:$A$2500)=2028)*('Planning Engine'!$J$4:$J$2500&gt;0))),0)</f>
        <v>999</v>
      </c>
      <c r="I171" s="4" cm="1">
        <f t="array" ref="I171">IFERROR(SUMPRODUCT(('Planning Engine'!$B$4:$B$2500="LLPS")*(YEAR('Planning Engine'!$A$4:$A$2500)=2028)*(MONTH('Planning Engine'!$A$4:$A$2500)=12)*'Planning Engine'!$H$4:$H$2500),0)</f>
        <v>177.28999999999996</v>
      </c>
      <c r="J171" cm="1">
        <f t="array" aca="1" ref="J171" ca="1">IFERROR(SUMPRODUCT(('Planning Engine'!$B$4:$B$2500="LLPS")*(YEAR('Planning Engine'!$A$4:$A$2500)=2028)*'Planning Engine'!$K$4:$K$2500),0)</f>
        <v>0</v>
      </c>
      <c r="K171" s="4" t="str" cm="1">
        <f t="array" aca="1" ref="K171" ca="1">IFERROR(IF(SUMPRODUCT(('Planning Engine'!$B$4:$B$2500="LLPS")*(YEAR('Planning Engine'!$A$4:$A$2500)=2028)*('Planning Engine'!$L$4:$L$2500="High"))&gt;0,"High",IF(SUMPRODUCT(('Planning Engine'!$B$4:$B$2500="LLPS")*(YEAR('Planning Engine'!$A$4:$A$2500)=2028)*('Planning Engine'!$L$4:$L$2500="Medium"))&gt;0,"Medium",IF(SUMPRODUCT(('Planning Engine'!$B$4:$B$2500="LLPS")*(YEAR('Planning Engine'!$A$4:$A$2500)=2028)*('Planning Engine'!$L$4:$L$2500="Overstock"))&gt;0,"Overstock","Low"))),"--")</f>
        <v>Overstock</v>
      </c>
    </row>
    <row r="172" spans="1:11" ht="14" customHeight="1" x14ac:dyDescent="0.35">
      <c r="A172" s="61" t="s">
        <v>50</v>
      </c>
      <c r="B172" s="106" t="s">
        <v>52</v>
      </c>
      <c r="C172" s="12">
        <v>2029</v>
      </c>
      <c r="D172" s="95" cm="1">
        <f t="array" ref="D172">IFERROR(SUMPRODUCT(('Planning Engine'!$B$4:$B$2500="LLPS")*(YEAR('Planning Engine'!$A$4:$A$2500)=2029)*'Planning Engine'!$F$4:$F$2500),0)</f>
        <v>0</v>
      </c>
      <c r="E172" s="95" cm="1">
        <f t="array" ref="E172">IFERROR(SUMPRODUCT(('Planning Engine'!$B$4:$B$2500="LLPS")*(YEAR('Planning Engine'!$A$4:$A$2500)=2029)*'Planning Engine'!$G$4:$G$2500),0)</f>
        <v>0</v>
      </c>
      <c r="F172" s="95" cm="1">
        <f t="array" ref="F172">IFERROR(SUMPRODUCT(('Planning Engine'!$B$4:$B$2500="LLPS")*(YEAR('Planning Engine'!$A$4:$A$2500)=2029)*(MONTH('Planning Engine'!$A$4:$A$2500)=6)*'Planning Engine'!$H$4:$H$2500),0)</f>
        <v>177.28999999999996</v>
      </c>
      <c r="G172" s="95" cm="1">
        <f t="array" ref="G172">IFERROR(SUMPRODUCT(('Planning Engine'!$B$4:$B$2500="LLPS")*(YEAR('Planning Engine'!$A$4:$A$2500)=2029)*(MONTH('Planning Engine'!$A$4:$A$2500)=12)*'Planning Engine'!$H$4:$H$2500),0)</f>
        <v>177.28999999999996</v>
      </c>
      <c r="H172" s="95" cm="1">
        <f t="array" aca="1" ref="H172" ca="1">IFERROR(SUMPRODUCT(('Planning Engine'!$B$4:$B$2500="LLPS")*(YEAR('Planning Engine'!$A$4:$A$2500)=2029)*('Planning Engine'!$J$4:$J$2500&gt;0)*'Planning Engine'!$J$4:$J$2500)/MAX(1,SUMPRODUCT(('Planning Engine'!$B$4:$B$2500="LLPS")*(YEAR('Planning Engine'!$A$4:$A$2500)=2029)*('Planning Engine'!$J$4:$J$2500&gt;0))),0)</f>
        <v>999</v>
      </c>
      <c r="I172" s="12" cm="1">
        <f t="array" ref="I172">IFERROR(SUMPRODUCT(('Planning Engine'!$B$4:$B$2500="LLPS")*(YEAR('Planning Engine'!$A$4:$A$2500)=2029)*(MONTH('Planning Engine'!$A$4:$A$2500)=12)*'Planning Engine'!$H$4:$H$2500),0)</f>
        <v>177.28999999999996</v>
      </c>
      <c r="J172" cm="1">
        <f t="array" aca="1" ref="J172" ca="1">IFERROR(SUMPRODUCT(('Planning Engine'!$B$4:$B$2500="LLPS")*(YEAR('Planning Engine'!$A$4:$A$2500)=2029)*'Planning Engine'!$K$4:$K$2500),0)</f>
        <v>0</v>
      </c>
      <c r="K172" s="12" t="str" cm="1">
        <f t="array" aca="1" ref="K172" ca="1">IFERROR(IF(SUMPRODUCT(('Planning Engine'!$B$4:$B$2500="LLPS")*(YEAR('Planning Engine'!$A$4:$A$2500)=2029)*('Planning Engine'!$L$4:$L$2500="High"))&gt;0,"High",IF(SUMPRODUCT(('Planning Engine'!$B$4:$B$2500="LLPS")*(YEAR('Planning Engine'!$A$4:$A$2500)=2029)*('Planning Engine'!$L$4:$L$2500="Medium"))&gt;0,"Medium",IF(SUMPRODUCT(('Planning Engine'!$B$4:$B$2500="LLPS")*(YEAR('Planning Engine'!$A$4:$A$2500)=2029)*('Planning Engine'!$L$4:$L$2500="Overstock"))&gt;0,"Overstock","Low"))),"--")</f>
        <v>Overstock</v>
      </c>
    </row>
    <row r="173" spans="1:11" ht="14" customHeight="1" x14ac:dyDescent="0.35">
      <c r="A173" s="53" t="s">
        <v>50</v>
      </c>
      <c r="B173" s="107" t="s">
        <v>52</v>
      </c>
      <c r="C173" s="4">
        <v>2030</v>
      </c>
      <c r="D173" s="99" cm="1">
        <f t="array" ref="D173">IFERROR(SUMPRODUCT(('Planning Engine'!$B$4:$B$2500="LLPS")*(YEAR('Planning Engine'!$A$4:$A$2500)=2030)*'Planning Engine'!$F$4:$F$2500),0)</f>
        <v>0</v>
      </c>
      <c r="E173" s="99" cm="1">
        <f t="array" ref="E173">IFERROR(SUMPRODUCT(('Planning Engine'!$B$4:$B$2500="LLPS")*(YEAR('Planning Engine'!$A$4:$A$2500)=2030)*'Planning Engine'!$G$4:$G$2500),0)</f>
        <v>0</v>
      </c>
      <c r="F173" s="99" cm="1">
        <f t="array" ref="F173">IFERROR(SUMPRODUCT(('Planning Engine'!$B$4:$B$2500="LLPS")*(YEAR('Planning Engine'!$A$4:$A$2500)=2030)*(MONTH('Planning Engine'!$A$4:$A$2500)=6)*'Planning Engine'!$H$4:$H$2500),0)</f>
        <v>177.28999999999996</v>
      </c>
      <c r="G173" s="99" cm="1">
        <f t="array" ref="G173">IFERROR(SUMPRODUCT(('Planning Engine'!$B$4:$B$2500="LLPS")*(YEAR('Planning Engine'!$A$4:$A$2500)=2030)*(MONTH('Planning Engine'!$A$4:$A$2500)=12)*'Planning Engine'!$H$4:$H$2500),0)</f>
        <v>177.28999999999996</v>
      </c>
      <c r="H173" s="99" cm="1">
        <f t="array" aca="1" ref="H173" ca="1">IFERROR(SUMPRODUCT(('Planning Engine'!$B$4:$B$2500="LLPS")*(YEAR('Planning Engine'!$A$4:$A$2500)=2030)*('Planning Engine'!$J$4:$J$2500&gt;0)*'Planning Engine'!$J$4:$J$2500)/MAX(1,SUMPRODUCT(('Planning Engine'!$B$4:$B$2500="LLPS")*(YEAR('Planning Engine'!$A$4:$A$2500)=2030)*('Planning Engine'!$J$4:$J$2500&gt;0))),0)</f>
        <v>999</v>
      </c>
      <c r="I173" s="4" cm="1">
        <f t="array" ref="I173">IFERROR(SUMPRODUCT(('Planning Engine'!$B$4:$B$2500="LLPS")*(YEAR('Planning Engine'!$A$4:$A$2500)=2030)*(MONTH('Planning Engine'!$A$4:$A$2500)=12)*'Planning Engine'!$H$4:$H$2500),0)</f>
        <v>177.28999999999996</v>
      </c>
      <c r="J173" cm="1">
        <f t="array" aca="1" ref="J173" ca="1">IFERROR(SUMPRODUCT(('Planning Engine'!$B$4:$B$2500="LLPS")*(YEAR('Planning Engine'!$A$4:$A$2500)=2030)*'Planning Engine'!$K$4:$K$2500),0)</f>
        <v>0</v>
      </c>
      <c r="K173" s="4" t="str" cm="1">
        <f t="array" aca="1" ref="K173" ca="1">IFERROR(IF(SUMPRODUCT(('Planning Engine'!$B$4:$B$2500="LLPS")*(YEAR('Planning Engine'!$A$4:$A$2500)=2030)*('Planning Engine'!$L$4:$L$2500="High"))&gt;0,"High",IF(SUMPRODUCT(('Planning Engine'!$B$4:$B$2500="LLPS")*(YEAR('Planning Engine'!$A$4:$A$2500)=2030)*('Planning Engine'!$L$4:$L$2500="Medium"))&gt;0,"Medium",IF(SUMPRODUCT(('Planning Engine'!$B$4:$B$2500="LLPS")*(YEAR('Planning Engine'!$A$4:$A$2500)=2030)*('Planning Engine'!$L$4:$L$2500="Overstock"))&gt;0,"Overstock","Low"))),"--")</f>
        <v>Overstock</v>
      </c>
    </row>
    <row r="174" spans="1:11" ht="14" customHeight="1" x14ac:dyDescent="0.35">
      <c r="A174" s="61" t="s">
        <v>50</v>
      </c>
      <c r="B174" s="106" t="s">
        <v>52</v>
      </c>
      <c r="C174" s="12">
        <v>2031</v>
      </c>
      <c r="D174" s="95" cm="1">
        <f t="array" ref="D174">IFERROR(SUMPRODUCT(('Planning Engine'!$B$4:$B$2500="LLPS")*(YEAR('Planning Engine'!$A$4:$A$2500)=2031)*'Planning Engine'!$F$4:$F$2500),0)</f>
        <v>0</v>
      </c>
      <c r="E174" s="95" cm="1">
        <f t="array" ref="E174">IFERROR(SUMPRODUCT(('Planning Engine'!$B$4:$B$2500="LLPS")*(YEAR('Planning Engine'!$A$4:$A$2500)=2031)*'Planning Engine'!$G$4:$G$2500),0)</f>
        <v>0</v>
      </c>
      <c r="F174" s="95" cm="1">
        <f t="array" ref="F174">IFERROR(SUMPRODUCT(('Planning Engine'!$B$4:$B$2500="LLPS")*(YEAR('Planning Engine'!$A$4:$A$2500)=2031)*(MONTH('Planning Engine'!$A$4:$A$2500)=6)*'Planning Engine'!$H$4:$H$2500),0)</f>
        <v>177.28999999999996</v>
      </c>
      <c r="G174" s="95" cm="1">
        <f t="array" ref="G174">IFERROR(SUMPRODUCT(('Planning Engine'!$B$4:$B$2500="LLPS")*(YEAR('Planning Engine'!$A$4:$A$2500)=2031)*(MONTH('Planning Engine'!$A$4:$A$2500)=12)*'Planning Engine'!$H$4:$H$2500),0)</f>
        <v>177.28999999999996</v>
      </c>
      <c r="H174" s="95" cm="1">
        <f t="array" aca="1" ref="H174" ca="1">IFERROR(SUMPRODUCT(('Planning Engine'!$B$4:$B$2500="LLPS")*(YEAR('Planning Engine'!$A$4:$A$2500)=2031)*('Planning Engine'!$J$4:$J$2500&gt;0)*'Planning Engine'!$J$4:$J$2500)/MAX(1,SUMPRODUCT(('Planning Engine'!$B$4:$B$2500="LLPS")*(YEAR('Planning Engine'!$A$4:$A$2500)=2031)*('Planning Engine'!$J$4:$J$2500&gt;0))),0)</f>
        <v>999</v>
      </c>
      <c r="I174" s="12" cm="1">
        <f t="array" ref="I174">IFERROR(SUMPRODUCT(('Planning Engine'!$B$4:$B$2500="LLPS")*(YEAR('Planning Engine'!$A$4:$A$2500)=2031)*(MONTH('Planning Engine'!$A$4:$A$2500)=12)*'Planning Engine'!$H$4:$H$2500),0)</f>
        <v>177.28999999999996</v>
      </c>
      <c r="J174" cm="1">
        <f t="array" aca="1" ref="J174" ca="1">IFERROR(SUMPRODUCT(('Planning Engine'!$B$4:$B$2500="LLPS")*(YEAR('Planning Engine'!$A$4:$A$2500)=2031)*'Planning Engine'!$K$4:$K$2500),0)</f>
        <v>0</v>
      </c>
      <c r="K174" s="12" t="str" cm="1">
        <f t="array" aca="1" ref="K174" ca="1">IFERROR(IF(SUMPRODUCT(('Planning Engine'!$B$4:$B$2500="LLPS")*(YEAR('Planning Engine'!$A$4:$A$2500)=2031)*('Planning Engine'!$L$4:$L$2500="High"))&gt;0,"High",IF(SUMPRODUCT(('Planning Engine'!$B$4:$B$2500="LLPS")*(YEAR('Planning Engine'!$A$4:$A$2500)=2031)*('Planning Engine'!$L$4:$L$2500="Medium"))&gt;0,"Medium",IF(SUMPRODUCT(('Planning Engine'!$B$4:$B$2500="LLPS")*(YEAR('Planning Engine'!$A$4:$A$2500)=2031)*('Planning Engine'!$L$4:$L$2500="Overstock"))&gt;0,"Overstock","Low"))),"--")</f>
        <v>Overstock</v>
      </c>
    </row>
    <row r="175" spans="1:11" ht="14" customHeight="1" x14ac:dyDescent="0.35">
      <c r="A175" s="53" t="s">
        <v>50</v>
      </c>
      <c r="B175" s="107" t="s">
        <v>52</v>
      </c>
      <c r="C175" s="4">
        <v>2032</v>
      </c>
      <c r="D175" s="99" cm="1">
        <f t="array" ref="D175">IFERROR(SUMPRODUCT(('Planning Engine'!$B$4:$B$2500="LLPS")*(YEAR('Planning Engine'!$A$4:$A$2500)=2032)*'Planning Engine'!$F$4:$F$2500),0)</f>
        <v>0</v>
      </c>
      <c r="E175" s="99" cm="1">
        <f t="array" ref="E175">IFERROR(SUMPRODUCT(('Planning Engine'!$B$4:$B$2500="LLPS")*(YEAR('Planning Engine'!$A$4:$A$2500)=2032)*'Planning Engine'!$G$4:$G$2500),0)</f>
        <v>0</v>
      </c>
      <c r="F175" s="99" cm="1">
        <f t="array" ref="F175">IFERROR(SUMPRODUCT(('Planning Engine'!$B$4:$B$2500="LLPS")*(YEAR('Planning Engine'!$A$4:$A$2500)=2032)*(MONTH('Planning Engine'!$A$4:$A$2500)=6)*'Planning Engine'!$H$4:$H$2500),0)</f>
        <v>177.28999999999996</v>
      </c>
      <c r="G175" s="99" cm="1">
        <f t="array" ref="G175">IFERROR(SUMPRODUCT(('Planning Engine'!$B$4:$B$2500="LLPS")*(YEAR('Planning Engine'!$A$4:$A$2500)=2032)*(MONTH('Planning Engine'!$A$4:$A$2500)=12)*'Planning Engine'!$H$4:$H$2500),0)</f>
        <v>177.28999999999996</v>
      </c>
      <c r="H175" s="99" cm="1">
        <f t="array" aca="1" ref="H175" ca="1">IFERROR(SUMPRODUCT(('Planning Engine'!$B$4:$B$2500="LLPS")*(YEAR('Planning Engine'!$A$4:$A$2500)=2032)*('Planning Engine'!$J$4:$J$2500&gt;0)*'Planning Engine'!$J$4:$J$2500)/MAX(1,SUMPRODUCT(('Planning Engine'!$B$4:$B$2500="LLPS")*(YEAR('Planning Engine'!$A$4:$A$2500)=2032)*('Planning Engine'!$J$4:$J$2500&gt;0))),0)</f>
        <v>999</v>
      </c>
      <c r="I175" s="4" cm="1">
        <f t="array" ref="I175">IFERROR(SUMPRODUCT(('Planning Engine'!$B$4:$B$2500="LLPS")*(YEAR('Planning Engine'!$A$4:$A$2500)=2032)*(MONTH('Planning Engine'!$A$4:$A$2500)=12)*'Planning Engine'!$H$4:$H$2500),0)</f>
        <v>177.28999999999996</v>
      </c>
      <c r="J175" cm="1">
        <f t="array" aca="1" ref="J175" ca="1">IFERROR(SUMPRODUCT(('Planning Engine'!$B$4:$B$2500="LLPS")*(YEAR('Planning Engine'!$A$4:$A$2500)=2032)*'Planning Engine'!$K$4:$K$2500),0)</f>
        <v>0</v>
      </c>
      <c r="K175" s="4" t="str" cm="1">
        <f t="array" aca="1" ref="K175" ca="1">IFERROR(IF(SUMPRODUCT(('Planning Engine'!$B$4:$B$2500="LLPS")*(YEAR('Planning Engine'!$A$4:$A$2500)=2032)*('Planning Engine'!$L$4:$L$2500="High"))&gt;0,"High",IF(SUMPRODUCT(('Planning Engine'!$B$4:$B$2500="LLPS")*(YEAR('Planning Engine'!$A$4:$A$2500)=2032)*('Planning Engine'!$L$4:$L$2500="Medium"))&gt;0,"Medium",IF(SUMPRODUCT(('Planning Engine'!$B$4:$B$2500="LLPS")*(YEAR('Planning Engine'!$A$4:$A$2500)=2032)*('Planning Engine'!$L$4:$L$2500="Overstock"))&gt;0,"Overstock","Low"))),"--")</f>
        <v>Overstock</v>
      </c>
    </row>
    <row r="176" spans="1:11" ht="14" customHeight="1" x14ac:dyDescent="0.35">
      <c r="A176" s="61" t="s">
        <v>50</v>
      </c>
      <c r="B176" s="106" t="s">
        <v>52</v>
      </c>
      <c r="C176" s="12">
        <v>2033</v>
      </c>
      <c r="D176" s="95" cm="1">
        <f t="array" ref="D176">IFERROR(SUMPRODUCT(('Planning Engine'!$B$4:$B$2500="LLPS")*(YEAR('Planning Engine'!$A$4:$A$2500)=2033)*'Planning Engine'!$F$4:$F$2500),0)</f>
        <v>0</v>
      </c>
      <c r="E176" s="95" cm="1">
        <f t="array" ref="E176">IFERROR(SUMPRODUCT(('Planning Engine'!$B$4:$B$2500="LLPS")*(YEAR('Planning Engine'!$A$4:$A$2500)=2033)*'Planning Engine'!$G$4:$G$2500),0)</f>
        <v>0</v>
      </c>
      <c r="F176" s="95" cm="1">
        <f t="array" ref="F176">IFERROR(SUMPRODUCT(('Planning Engine'!$B$4:$B$2500="LLPS")*(YEAR('Planning Engine'!$A$4:$A$2500)=2033)*(MONTH('Planning Engine'!$A$4:$A$2500)=6)*'Planning Engine'!$H$4:$H$2500),0)</f>
        <v>177.28999999999996</v>
      </c>
      <c r="G176" s="95" cm="1">
        <f t="array" ref="G176">IFERROR(SUMPRODUCT(('Planning Engine'!$B$4:$B$2500="LLPS")*(YEAR('Planning Engine'!$A$4:$A$2500)=2033)*(MONTH('Planning Engine'!$A$4:$A$2500)=12)*'Planning Engine'!$H$4:$H$2500),0)</f>
        <v>177.28999999999996</v>
      </c>
      <c r="H176" s="95" cm="1">
        <f t="array" aca="1" ref="H176" ca="1">IFERROR(SUMPRODUCT(('Planning Engine'!$B$4:$B$2500="LLPS")*(YEAR('Planning Engine'!$A$4:$A$2500)=2033)*('Planning Engine'!$J$4:$J$2500&gt;0)*'Planning Engine'!$J$4:$J$2500)/MAX(1,SUMPRODUCT(('Planning Engine'!$B$4:$B$2500="LLPS")*(YEAR('Planning Engine'!$A$4:$A$2500)=2033)*('Planning Engine'!$J$4:$J$2500&gt;0))),0)</f>
        <v>999</v>
      </c>
      <c r="I176" s="12" cm="1">
        <f t="array" ref="I176">IFERROR(SUMPRODUCT(('Planning Engine'!$B$4:$B$2500="LLPS")*(YEAR('Planning Engine'!$A$4:$A$2500)=2033)*(MONTH('Planning Engine'!$A$4:$A$2500)=12)*'Planning Engine'!$H$4:$H$2500),0)</f>
        <v>177.28999999999996</v>
      </c>
      <c r="J176" cm="1">
        <f t="array" aca="1" ref="J176" ca="1">IFERROR(SUMPRODUCT(('Planning Engine'!$B$4:$B$2500="LLPS")*(YEAR('Planning Engine'!$A$4:$A$2500)=2033)*'Planning Engine'!$K$4:$K$2500),0)</f>
        <v>0</v>
      </c>
      <c r="K176" s="12" t="str" cm="1">
        <f t="array" aca="1" ref="K176" ca="1">IFERROR(IF(SUMPRODUCT(('Planning Engine'!$B$4:$B$2500="LLPS")*(YEAR('Planning Engine'!$A$4:$A$2500)=2033)*('Planning Engine'!$L$4:$L$2500="High"))&gt;0,"High",IF(SUMPRODUCT(('Planning Engine'!$B$4:$B$2500="LLPS")*(YEAR('Planning Engine'!$A$4:$A$2500)=2033)*('Planning Engine'!$L$4:$L$2500="Medium"))&gt;0,"Medium",IF(SUMPRODUCT(('Planning Engine'!$B$4:$B$2500="LLPS")*(YEAR('Planning Engine'!$A$4:$A$2500)=2033)*('Planning Engine'!$L$4:$L$2500="Overstock"))&gt;0,"Overstock","Low"))),"--")</f>
        <v>Overstock</v>
      </c>
    </row>
    <row r="177" spans="1:11" ht="14" customHeight="1" x14ac:dyDescent="0.35">
      <c r="A177" s="53" t="s">
        <v>50</v>
      </c>
      <c r="B177" s="107" t="s">
        <v>52</v>
      </c>
      <c r="C177" s="4">
        <v>2034</v>
      </c>
      <c r="D177" s="99" cm="1">
        <f t="array" ref="D177">IFERROR(SUMPRODUCT(('Planning Engine'!$B$4:$B$2500="LLPS")*(YEAR('Planning Engine'!$A$4:$A$2500)=2034)*'Planning Engine'!$F$4:$F$2500),0)</f>
        <v>0</v>
      </c>
      <c r="E177" s="99" cm="1">
        <f t="array" ref="E177">IFERROR(SUMPRODUCT(('Planning Engine'!$B$4:$B$2500="LLPS")*(YEAR('Planning Engine'!$A$4:$A$2500)=2034)*'Planning Engine'!$G$4:$G$2500),0)</f>
        <v>0</v>
      </c>
      <c r="F177" s="99" cm="1">
        <f t="array" ref="F177">IFERROR(SUMPRODUCT(('Planning Engine'!$B$4:$B$2500="LLPS")*(YEAR('Planning Engine'!$A$4:$A$2500)=2034)*(MONTH('Planning Engine'!$A$4:$A$2500)=6)*'Planning Engine'!$H$4:$H$2500),0)</f>
        <v>177.28999999999996</v>
      </c>
      <c r="G177" s="99" cm="1">
        <f t="array" ref="G177">IFERROR(SUMPRODUCT(('Planning Engine'!$B$4:$B$2500="LLPS")*(YEAR('Planning Engine'!$A$4:$A$2500)=2034)*(MONTH('Planning Engine'!$A$4:$A$2500)=12)*'Planning Engine'!$H$4:$H$2500),0)</f>
        <v>177.28999999999996</v>
      </c>
      <c r="H177" s="99" cm="1">
        <f t="array" aca="1" ref="H177" ca="1">IFERROR(SUMPRODUCT(('Planning Engine'!$B$4:$B$2500="LLPS")*(YEAR('Planning Engine'!$A$4:$A$2500)=2034)*('Planning Engine'!$J$4:$J$2500&gt;0)*'Planning Engine'!$J$4:$J$2500)/MAX(1,SUMPRODUCT(('Planning Engine'!$B$4:$B$2500="LLPS")*(YEAR('Planning Engine'!$A$4:$A$2500)=2034)*('Planning Engine'!$J$4:$J$2500&gt;0))),0)</f>
        <v>999</v>
      </c>
      <c r="I177" s="4" cm="1">
        <f t="array" ref="I177">IFERROR(SUMPRODUCT(('Planning Engine'!$B$4:$B$2500="LLPS")*(YEAR('Planning Engine'!$A$4:$A$2500)=2034)*(MONTH('Planning Engine'!$A$4:$A$2500)=12)*'Planning Engine'!$H$4:$H$2500),0)</f>
        <v>177.28999999999996</v>
      </c>
      <c r="J177" cm="1">
        <f t="array" aca="1" ref="J177" ca="1">IFERROR(SUMPRODUCT(('Planning Engine'!$B$4:$B$2500="LLPS")*(YEAR('Planning Engine'!$A$4:$A$2500)=2034)*'Planning Engine'!$K$4:$K$2500),0)</f>
        <v>0</v>
      </c>
      <c r="K177" s="4" t="str" cm="1">
        <f t="array" aca="1" ref="K177" ca="1">IFERROR(IF(SUMPRODUCT(('Planning Engine'!$B$4:$B$2500="LLPS")*(YEAR('Planning Engine'!$A$4:$A$2500)=2034)*('Planning Engine'!$L$4:$L$2500="High"))&gt;0,"High",IF(SUMPRODUCT(('Planning Engine'!$B$4:$B$2500="LLPS")*(YEAR('Planning Engine'!$A$4:$A$2500)=2034)*('Planning Engine'!$L$4:$L$2500="Medium"))&gt;0,"Medium",IF(SUMPRODUCT(('Planning Engine'!$B$4:$B$2500="LLPS")*(YEAR('Planning Engine'!$A$4:$A$2500)=2034)*('Planning Engine'!$L$4:$L$2500="Overstock"))&gt;0,"Overstock","Low"))),"--")</f>
        <v>Overstock</v>
      </c>
    </row>
    <row r="178" spans="1:11" ht="14" customHeight="1" x14ac:dyDescent="0.35">
      <c r="A178" s="61" t="s">
        <v>50</v>
      </c>
      <c r="B178" s="106" t="s">
        <v>52</v>
      </c>
      <c r="C178" s="12">
        <v>2035</v>
      </c>
      <c r="D178" s="95" cm="1">
        <f t="array" ref="D178">IFERROR(SUMPRODUCT(('Planning Engine'!$B$4:$B$2500="LLPS")*(YEAR('Planning Engine'!$A$4:$A$2500)=2035)*'Planning Engine'!$F$4:$F$2500),0)</f>
        <v>0</v>
      </c>
      <c r="E178" s="95" cm="1">
        <f t="array" ref="E178">IFERROR(SUMPRODUCT(('Planning Engine'!$B$4:$B$2500="LLPS")*(YEAR('Planning Engine'!$A$4:$A$2500)=2035)*'Planning Engine'!$G$4:$G$2500),0)</f>
        <v>0</v>
      </c>
      <c r="F178" s="95" cm="1">
        <f t="array" ref="F178">IFERROR(SUMPRODUCT(('Planning Engine'!$B$4:$B$2500="LLPS")*(YEAR('Planning Engine'!$A$4:$A$2500)=2035)*(MONTH('Planning Engine'!$A$4:$A$2500)=6)*'Planning Engine'!$H$4:$H$2500),0)</f>
        <v>177.28999999999996</v>
      </c>
      <c r="G178" s="95" cm="1">
        <f t="array" ref="G178">IFERROR(SUMPRODUCT(('Planning Engine'!$B$4:$B$2500="LLPS")*(YEAR('Planning Engine'!$A$4:$A$2500)=2035)*(MONTH('Planning Engine'!$A$4:$A$2500)=12)*'Planning Engine'!$H$4:$H$2500),0)</f>
        <v>177.28999999999996</v>
      </c>
      <c r="H178" s="95" cm="1">
        <f t="array" aca="1" ref="H178" ca="1">IFERROR(SUMPRODUCT(('Planning Engine'!$B$4:$B$2500="LLPS")*(YEAR('Planning Engine'!$A$4:$A$2500)=2035)*('Planning Engine'!$J$4:$J$2500&gt;0)*'Planning Engine'!$J$4:$J$2500)/MAX(1,SUMPRODUCT(('Planning Engine'!$B$4:$B$2500="LLPS")*(YEAR('Planning Engine'!$A$4:$A$2500)=2035)*('Planning Engine'!$J$4:$J$2500&gt;0))),0)</f>
        <v>999</v>
      </c>
      <c r="I178" s="12" cm="1">
        <f t="array" ref="I178">IFERROR(SUMPRODUCT(('Planning Engine'!$B$4:$B$2500="LLPS")*(YEAR('Planning Engine'!$A$4:$A$2500)=2035)*(MONTH('Planning Engine'!$A$4:$A$2500)=12)*'Planning Engine'!$H$4:$H$2500),0)</f>
        <v>177.28999999999996</v>
      </c>
      <c r="J178" cm="1">
        <f t="array" aca="1" ref="J178" ca="1">IFERROR(SUMPRODUCT(('Planning Engine'!$B$4:$B$2500="LLPS")*(YEAR('Planning Engine'!$A$4:$A$2500)=2035)*'Planning Engine'!$K$4:$K$2500),0)</f>
        <v>0</v>
      </c>
      <c r="K178" s="12" t="str" cm="1">
        <f t="array" aca="1" ref="K178" ca="1">IFERROR(IF(SUMPRODUCT(('Planning Engine'!$B$4:$B$2500="LLPS")*(YEAR('Planning Engine'!$A$4:$A$2500)=2035)*('Planning Engine'!$L$4:$L$2500="High"))&gt;0,"High",IF(SUMPRODUCT(('Planning Engine'!$B$4:$B$2500="LLPS")*(YEAR('Planning Engine'!$A$4:$A$2500)=2035)*('Planning Engine'!$L$4:$L$2500="Medium"))&gt;0,"Medium",IF(SUMPRODUCT(('Planning Engine'!$B$4:$B$2500="LLPS")*(YEAR('Planning Engine'!$A$4:$A$2500)=2035)*('Planning Engine'!$L$4:$L$2500="Overstock"))&gt;0,"Overstock","Low"))),"--")</f>
        <v>Overstock</v>
      </c>
    </row>
    <row r="179" spans="1:11" ht="14" customHeight="1" x14ac:dyDescent="0.35">
      <c r="A179" s="53" t="s">
        <v>50</v>
      </c>
      <c r="B179" s="107" t="s">
        <v>52</v>
      </c>
      <c r="C179" s="4">
        <v>2036</v>
      </c>
      <c r="D179" s="99" cm="1">
        <f t="array" ref="D179">IFERROR(SUMPRODUCT(('Planning Engine'!$B$4:$B$2500="LLPS")*(YEAR('Planning Engine'!$A$4:$A$2500)=2036)*'Planning Engine'!$F$4:$F$2500),0)</f>
        <v>0</v>
      </c>
      <c r="E179" s="99" cm="1">
        <f t="array" ref="E179">IFERROR(SUMPRODUCT(('Planning Engine'!$B$4:$B$2500="LLPS")*(YEAR('Planning Engine'!$A$4:$A$2500)=2036)*'Planning Engine'!$G$4:$G$2500),0)</f>
        <v>0</v>
      </c>
      <c r="F179" s="99" cm="1">
        <f t="array" ref="F179">IFERROR(SUMPRODUCT(('Planning Engine'!$B$4:$B$2500="LLPS")*(YEAR('Planning Engine'!$A$4:$A$2500)=2036)*(MONTH('Planning Engine'!$A$4:$A$2500)=6)*'Planning Engine'!$H$4:$H$2500),0)</f>
        <v>177.28999999999996</v>
      </c>
      <c r="G179" s="99" cm="1">
        <f t="array" ref="G179">IFERROR(SUMPRODUCT(('Planning Engine'!$B$4:$B$2500="LLPS")*(YEAR('Planning Engine'!$A$4:$A$2500)=2036)*(MONTH('Planning Engine'!$A$4:$A$2500)=12)*'Planning Engine'!$H$4:$H$2500),0)</f>
        <v>177.28999999999996</v>
      </c>
      <c r="H179" s="99" cm="1">
        <f t="array" aca="1" ref="H179" ca="1">IFERROR(SUMPRODUCT(('Planning Engine'!$B$4:$B$2500="LLPS")*(YEAR('Planning Engine'!$A$4:$A$2500)=2036)*('Planning Engine'!$J$4:$J$2500&gt;0)*'Planning Engine'!$J$4:$J$2500)/MAX(1,SUMPRODUCT(('Planning Engine'!$B$4:$B$2500="LLPS")*(YEAR('Planning Engine'!$A$4:$A$2500)=2036)*('Planning Engine'!$J$4:$J$2500&gt;0))),0)</f>
        <v>999</v>
      </c>
      <c r="I179" s="4" cm="1">
        <f t="array" ref="I179">IFERROR(SUMPRODUCT(('Planning Engine'!$B$4:$B$2500="LLPS")*(YEAR('Planning Engine'!$A$4:$A$2500)=2036)*(MONTH('Planning Engine'!$A$4:$A$2500)=12)*'Planning Engine'!$H$4:$H$2500),0)</f>
        <v>177.28999999999996</v>
      </c>
      <c r="J179" cm="1">
        <f t="array" aca="1" ref="J179" ca="1">IFERROR(SUMPRODUCT(('Planning Engine'!$B$4:$B$2500="LLPS")*(YEAR('Planning Engine'!$A$4:$A$2500)=2036)*'Planning Engine'!$K$4:$K$2500),0)</f>
        <v>0</v>
      </c>
      <c r="K179" s="4" t="str" cm="1">
        <f t="array" aca="1" ref="K179" ca="1">IFERROR(IF(SUMPRODUCT(('Planning Engine'!$B$4:$B$2500="LLPS")*(YEAR('Planning Engine'!$A$4:$A$2500)=2036)*('Planning Engine'!$L$4:$L$2500="High"))&gt;0,"High",IF(SUMPRODUCT(('Planning Engine'!$B$4:$B$2500="LLPS")*(YEAR('Planning Engine'!$A$4:$A$2500)=2036)*('Planning Engine'!$L$4:$L$2500="Medium"))&gt;0,"Medium",IF(SUMPRODUCT(('Planning Engine'!$B$4:$B$2500="LLPS")*(YEAR('Planning Engine'!$A$4:$A$2500)=2036)*('Planning Engine'!$L$4:$L$2500="Overstock"))&gt;0,"Overstock","Low"))),"--")</f>
        <v>Overstock</v>
      </c>
    </row>
    <row r="180" spans="1:11" ht="14" customHeight="1" x14ac:dyDescent="0.35">
      <c r="A180" s="61" t="s">
        <v>50</v>
      </c>
      <c r="B180" s="106" t="s">
        <v>52</v>
      </c>
      <c r="C180" s="12">
        <v>2037</v>
      </c>
      <c r="D180" s="95" cm="1">
        <f t="array" ref="D180">IFERROR(SUMPRODUCT(('Planning Engine'!$B$4:$B$2500="LLPS")*(YEAR('Planning Engine'!$A$4:$A$2500)=2037)*'Planning Engine'!$F$4:$F$2500),0)</f>
        <v>0</v>
      </c>
      <c r="E180" s="95" cm="1">
        <f t="array" ref="E180">IFERROR(SUMPRODUCT(('Planning Engine'!$B$4:$B$2500="LLPS")*(YEAR('Planning Engine'!$A$4:$A$2500)=2037)*'Planning Engine'!$G$4:$G$2500),0)</f>
        <v>0</v>
      </c>
      <c r="F180" s="95" cm="1">
        <f t="array" ref="F180">IFERROR(SUMPRODUCT(('Planning Engine'!$B$4:$B$2500="LLPS")*(YEAR('Planning Engine'!$A$4:$A$2500)=2037)*(MONTH('Planning Engine'!$A$4:$A$2500)=6)*'Planning Engine'!$H$4:$H$2500),0)</f>
        <v>177.28999999999996</v>
      </c>
      <c r="G180" s="95" cm="1">
        <f t="array" ref="G180">IFERROR(SUMPRODUCT(('Planning Engine'!$B$4:$B$2500="LLPS")*(YEAR('Planning Engine'!$A$4:$A$2500)=2037)*(MONTH('Planning Engine'!$A$4:$A$2500)=12)*'Planning Engine'!$H$4:$H$2500),0)</f>
        <v>177.28999999999996</v>
      </c>
      <c r="H180" s="95" cm="1">
        <f t="array" aca="1" ref="H180" ca="1">IFERROR(SUMPRODUCT(('Planning Engine'!$B$4:$B$2500="LLPS")*(YEAR('Planning Engine'!$A$4:$A$2500)=2037)*('Planning Engine'!$J$4:$J$2500&gt;0)*'Planning Engine'!$J$4:$J$2500)/MAX(1,SUMPRODUCT(('Planning Engine'!$B$4:$B$2500="LLPS")*(YEAR('Planning Engine'!$A$4:$A$2500)=2037)*('Planning Engine'!$J$4:$J$2500&gt;0))),0)</f>
        <v>999</v>
      </c>
      <c r="I180" s="12" cm="1">
        <f t="array" ref="I180">IFERROR(SUMPRODUCT(('Planning Engine'!$B$4:$B$2500="LLPS")*(YEAR('Planning Engine'!$A$4:$A$2500)=2037)*(MONTH('Planning Engine'!$A$4:$A$2500)=12)*'Planning Engine'!$H$4:$H$2500),0)</f>
        <v>177.28999999999996</v>
      </c>
      <c r="J180" cm="1">
        <f t="array" aca="1" ref="J180" ca="1">IFERROR(SUMPRODUCT(('Planning Engine'!$B$4:$B$2500="LLPS")*(YEAR('Planning Engine'!$A$4:$A$2500)=2037)*'Planning Engine'!$K$4:$K$2500),0)</f>
        <v>0</v>
      </c>
      <c r="K180" s="12" t="str" cm="1">
        <f t="array" aca="1" ref="K180" ca="1">IFERROR(IF(SUMPRODUCT(('Planning Engine'!$B$4:$B$2500="LLPS")*(YEAR('Planning Engine'!$A$4:$A$2500)=2037)*('Planning Engine'!$L$4:$L$2500="High"))&gt;0,"High",IF(SUMPRODUCT(('Planning Engine'!$B$4:$B$2500="LLPS")*(YEAR('Planning Engine'!$A$4:$A$2500)=2037)*('Planning Engine'!$L$4:$L$2500="Medium"))&gt;0,"Medium",IF(SUMPRODUCT(('Planning Engine'!$B$4:$B$2500="LLPS")*(YEAR('Planning Engine'!$A$4:$A$2500)=2037)*('Planning Engine'!$L$4:$L$2500="Overstock"))&gt;0,"Overstock","Low"))),"--")</f>
        <v>Overstock</v>
      </c>
    </row>
    <row r="181" spans="1:11" ht="14" customHeight="1" x14ac:dyDescent="0.35">
      <c r="A181" s="53" t="s">
        <v>50</v>
      </c>
      <c r="B181" s="107" t="s">
        <v>52</v>
      </c>
      <c r="C181" s="4">
        <v>2038</v>
      </c>
      <c r="D181" s="99" cm="1">
        <f t="array" ref="D181">IFERROR(SUMPRODUCT(('Planning Engine'!$B$4:$B$2500="LLPS")*(YEAR('Planning Engine'!$A$4:$A$2500)=2038)*'Planning Engine'!$F$4:$F$2500),0)</f>
        <v>0</v>
      </c>
      <c r="E181" s="99" cm="1">
        <f t="array" ref="E181">IFERROR(SUMPRODUCT(('Planning Engine'!$B$4:$B$2500="LLPS")*(YEAR('Planning Engine'!$A$4:$A$2500)=2038)*'Planning Engine'!$G$4:$G$2500),0)</f>
        <v>0</v>
      </c>
      <c r="F181" s="99" cm="1">
        <f t="array" ref="F181">IFERROR(SUMPRODUCT(('Planning Engine'!$B$4:$B$2500="LLPS")*(YEAR('Planning Engine'!$A$4:$A$2500)=2038)*(MONTH('Planning Engine'!$A$4:$A$2500)=6)*'Planning Engine'!$H$4:$H$2500),0)</f>
        <v>177.28999999999996</v>
      </c>
      <c r="G181" s="99" cm="1">
        <f t="array" ref="G181">IFERROR(SUMPRODUCT(('Planning Engine'!$B$4:$B$2500="LLPS")*(YEAR('Planning Engine'!$A$4:$A$2500)=2038)*(MONTH('Planning Engine'!$A$4:$A$2500)=12)*'Planning Engine'!$H$4:$H$2500),0)</f>
        <v>177.28999999999996</v>
      </c>
      <c r="H181" s="99" cm="1">
        <f t="array" aca="1" ref="H181" ca="1">IFERROR(SUMPRODUCT(('Planning Engine'!$B$4:$B$2500="LLPS")*(YEAR('Planning Engine'!$A$4:$A$2500)=2038)*('Planning Engine'!$J$4:$J$2500&gt;0)*'Planning Engine'!$J$4:$J$2500)/MAX(1,SUMPRODUCT(('Planning Engine'!$B$4:$B$2500="LLPS")*(YEAR('Planning Engine'!$A$4:$A$2500)=2038)*('Planning Engine'!$J$4:$J$2500&gt;0))),0)</f>
        <v>999</v>
      </c>
      <c r="I181" s="4" cm="1">
        <f t="array" ref="I181">IFERROR(SUMPRODUCT(('Planning Engine'!$B$4:$B$2500="LLPS")*(YEAR('Planning Engine'!$A$4:$A$2500)=2038)*(MONTH('Planning Engine'!$A$4:$A$2500)=12)*'Planning Engine'!$H$4:$H$2500),0)</f>
        <v>177.28999999999996</v>
      </c>
      <c r="J181" cm="1">
        <f t="array" aca="1" ref="J181" ca="1">IFERROR(SUMPRODUCT(('Planning Engine'!$B$4:$B$2500="LLPS")*(YEAR('Planning Engine'!$A$4:$A$2500)=2038)*'Planning Engine'!$K$4:$K$2500),0)</f>
        <v>0</v>
      </c>
      <c r="K181" s="4" t="str" cm="1">
        <f t="array" aca="1" ref="K181" ca="1">IFERROR(IF(SUMPRODUCT(('Planning Engine'!$B$4:$B$2500="LLPS")*(YEAR('Planning Engine'!$A$4:$A$2500)=2038)*('Planning Engine'!$L$4:$L$2500="High"))&gt;0,"High",IF(SUMPRODUCT(('Planning Engine'!$B$4:$B$2500="LLPS")*(YEAR('Planning Engine'!$A$4:$A$2500)=2038)*('Planning Engine'!$L$4:$L$2500="Medium"))&gt;0,"Medium",IF(SUMPRODUCT(('Planning Engine'!$B$4:$B$2500="LLPS")*(YEAR('Planning Engine'!$A$4:$A$2500)=2038)*('Planning Engine'!$L$4:$L$2500="Overstock"))&gt;0,"Overstock","Low"))),"--")</f>
        <v>Overstock</v>
      </c>
    </row>
    <row r="182" spans="1:11" ht="14" customHeight="1" x14ac:dyDescent="0.35">
      <c r="A182" s="61" t="s">
        <v>50</v>
      </c>
      <c r="B182" s="106" t="s">
        <v>52</v>
      </c>
      <c r="C182" s="12">
        <v>2039</v>
      </c>
      <c r="D182" s="95" cm="1">
        <f t="array" ref="D182">IFERROR(SUMPRODUCT(('Planning Engine'!$B$4:$B$2500="LLPS")*(YEAR('Planning Engine'!$A$4:$A$2500)=2039)*'Planning Engine'!$F$4:$F$2500),0)</f>
        <v>0</v>
      </c>
      <c r="E182" s="95" cm="1">
        <f t="array" ref="E182">IFERROR(SUMPRODUCT(('Planning Engine'!$B$4:$B$2500="LLPS")*(YEAR('Planning Engine'!$A$4:$A$2500)=2039)*'Planning Engine'!$G$4:$G$2500),0)</f>
        <v>0</v>
      </c>
      <c r="F182" s="95" cm="1">
        <f t="array" ref="F182">IFERROR(SUMPRODUCT(('Planning Engine'!$B$4:$B$2500="LLPS")*(YEAR('Planning Engine'!$A$4:$A$2500)=2039)*(MONTH('Planning Engine'!$A$4:$A$2500)=6)*'Planning Engine'!$H$4:$H$2500),0)</f>
        <v>177.28999999999996</v>
      </c>
      <c r="G182" s="95" cm="1">
        <f t="array" ref="G182">IFERROR(SUMPRODUCT(('Planning Engine'!$B$4:$B$2500="LLPS")*(YEAR('Planning Engine'!$A$4:$A$2500)=2039)*(MONTH('Planning Engine'!$A$4:$A$2500)=12)*'Planning Engine'!$H$4:$H$2500),0)</f>
        <v>177.28999999999996</v>
      </c>
      <c r="H182" s="95" cm="1">
        <f t="array" aca="1" ref="H182" ca="1">IFERROR(SUMPRODUCT(('Planning Engine'!$B$4:$B$2500="LLPS")*(YEAR('Planning Engine'!$A$4:$A$2500)=2039)*('Planning Engine'!$J$4:$J$2500&gt;0)*'Planning Engine'!$J$4:$J$2500)/MAX(1,SUMPRODUCT(('Planning Engine'!$B$4:$B$2500="LLPS")*(YEAR('Planning Engine'!$A$4:$A$2500)=2039)*('Planning Engine'!$J$4:$J$2500&gt;0))),0)</f>
        <v>999</v>
      </c>
      <c r="I182" s="12" cm="1">
        <f t="array" ref="I182">IFERROR(SUMPRODUCT(('Planning Engine'!$B$4:$B$2500="LLPS")*(YEAR('Planning Engine'!$A$4:$A$2500)=2039)*(MONTH('Planning Engine'!$A$4:$A$2500)=12)*'Planning Engine'!$H$4:$H$2500),0)</f>
        <v>177.28999999999996</v>
      </c>
      <c r="J182" cm="1">
        <f t="array" aca="1" ref="J182" ca="1">IFERROR(SUMPRODUCT(('Planning Engine'!$B$4:$B$2500="LLPS")*(YEAR('Planning Engine'!$A$4:$A$2500)=2039)*'Planning Engine'!$K$4:$K$2500),0)</f>
        <v>0</v>
      </c>
      <c r="K182" s="12" t="str" cm="1">
        <f t="array" aca="1" ref="K182" ca="1">IFERROR(IF(SUMPRODUCT(('Planning Engine'!$B$4:$B$2500="LLPS")*(YEAR('Planning Engine'!$A$4:$A$2500)=2039)*('Planning Engine'!$L$4:$L$2500="High"))&gt;0,"High",IF(SUMPRODUCT(('Planning Engine'!$B$4:$B$2500="LLPS")*(YEAR('Planning Engine'!$A$4:$A$2500)=2039)*('Planning Engine'!$L$4:$L$2500="Medium"))&gt;0,"Medium",IF(SUMPRODUCT(('Planning Engine'!$B$4:$B$2500="LLPS")*(YEAR('Planning Engine'!$A$4:$A$2500)=2039)*('Planning Engine'!$L$4:$L$2500="Overstock"))&gt;0,"Overstock","Low"))),"--")</f>
        <v>Overstock</v>
      </c>
    </row>
    <row r="183" spans="1:11" ht="14" customHeight="1" x14ac:dyDescent="0.35">
      <c r="A183" s="53" t="s">
        <v>50</v>
      </c>
      <c r="B183" s="107" t="s">
        <v>52</v>
      </c>
      <c r="C183" s="4">
        <v>2040</v>
      </c>
      <c r="D183" s="99" cm="1">
        <f t="array" ref="D183">IFERROR(SUMPRODUCT(('Planning Engine'!$B$4:$B$2500="LLPS")*(YEAR('Planning Engine'!$A$4:$A$2500)=2040)*'Planning Engine'!$F$4:$F$2500),0)</f>
        <v>0</v>
      </c>
      <c r="E183" s="99" cm="1">
        <f t="array" ref="E183">IFERROR(SUMPRODUCT(('Planning Engine'!$B$4:$B$2500="LLPS")*(YEAR('Planning Engine'!$A$4:$A$2500)=2040)*'Planning Engine'!$G$4:$G$2500),0)</f>
        <v>0</v>
      </c>
      <c r="F183" s="99" cm="1">
        <f t="array" ref="F183">IFERROR(SUMPRODUCT(('Planning Engine'!$B$4:$B$2500="LLPS")*(YEAR('Planning Engine'!$A$4:$A$2500)=2040)*(MONTH('Planning Engine'!$A$4:$A$2500)=6)*'Planning Engine'!$H$4:$H$2500),0)</f>
        <v>177.28999999999996</v>
      </c>
      <c r="G183" s="99" cm="1">
        <f t="array" ref="G183">IFERROR(SUMPRODUCT(('Planning Engine'!$B$4:$B$2500="LLPS")*(YEAR('Planning Engine'!$A$4:$A$2500)=2040)*(MONTH('Planning Engine'!$A$4:$A$2500)=12)*'Planning Engine'!$H$4:$H$2500),0)</f>
        <v>177.28999999999996</v>
      </c>
      <c r="H183" s="99" cm="1">
        <f t="array" aca="1" ref="H183" ca="1">IFERROR(SUMPRODUCT(('Planning Engine'!$B$4:$B$2500="LLPS")*(YEAR('Planning Engine'!$A$4:$A$2500)=2040)*('Planning Engine'!$J$4:$J$2500&gt;0)*'Planning Engine'!$J$4:$J$2500)/MAX(1,SUMPRODUCT(('Planning Engine'!$B$4:$B$2500="LLPS")*(YEAR('Planning Engine'!$A$4:$A$2500)=2040)*('Planning Engine'!$J$4:$J$2500&gt;0))),0)</f>
        <v>999</v>
      </c>
      <c r="I183" s="4" cm="1">
        <f t="array" ref="I183">IFERROR(SUMPRODUCT(('Planning Engine'!$B$4:$B$2500="LLPS")*(YEAR('Planning Engine'!$A$4:$A$2500)=2040)*(MONTH('Planning Engine'!$A$4:$A$2500)=12)*'Planning Engine'!$H$4:$H$2500),0)</f>
        <v>177.28999999999996</v>
      </c>
      <c r="J183" cm="1">
        <f t="array" aca="1" ref="J183" ca="1">IFERROR(SUMPRODUCT(('Planning Engine'!$B$4:$B$2500="LLPS")*(YEAR('Planning Engine'!$A$4:$A$2500)=2040)*'Planning Engine'!$K$4:$K$2500),0)</f>
        <v>0</v>
      </c>
      <c r="K183" s="4" t="str" cm="1">
        <f t="array" aca="1" ref="K183" ca="1">IFERROR(IF(SUMPRODUCT(('Planning Engine'!$B$4:$B$2500="LLPS")*(YEAR('Planning Engine'!$A$4:$A$2500)=2040)*('Planning Engine'!$L$4:$L$2500="High"))&gt;0,"High",IF(SUMPRODUCT(('Planning Engine'!$B$4:$B$2500="LLPS")*(YEAR('Planning Engine'!$A$4:$A$2500)=2040)*('Planning Engine'!$L$4:$L$2500="Medium"))&gt;0,"Medium",IF(SUMPRODUCT(('Planning Engine'!$B$4:$B$2500="LLPS")*(YEAR('Planning Engine'!$A$4:$A$2500)=2040)*('Planning Engine'!$L$4:$L$2500="Overstock"))&gt;0,"Overstock","Low"))),"--")</f>
        <v>Overstock</v>
      </c>
    </row>
    <row r="184" spans="1:11" ht="14" customHeight="1" x14ac:dyDescent="0.35">
      <c r="A184" s="61" t="s">
        <v>923</v>
      </c>
      <c r="B184" s="106" t="s">
        <v>28</v>
      </c>
      <c r="C184" s="12">
        <v>2026</v>
      </c>
      <c r="D184" s="95" cm="1">
        <f t="array" ref="D184">IFERROR(SUMPRODUCT(('Planning Engine'!$B$4:$B$2500="47mg Clinical")*(YEAR('Planning Engine'!$A$4:$A$2500)=2026)*'Planning Engine'!$F$4:$F$2500),0)</f>
        <v>0</v>
      </c>
      <c r="E184" s="95" cm="1">
        <f t="array" ref="E184">IFERROR(SUMPRODUCT(('Planning Engine'!$B$4:$B$2500="47mg Clinical")*(YEAR('Planning Engine'!$A$4:$A$2500)=2026)*'Planning Engine'!$G$4:$G$2500),0)</f>
        <v>0</v>
      </c>
      <c r="F184" s="95" cm="1">
        <f t="array" aca="1" ref="F184" ca="1">IFERROR(SUMPRODUCT(('Planning Engine'!$B$4:$B$2500="47mg Clinical")*(YEAR('Planning Engine'!$A$4:$A$2500)=2026)*('Planning Engine'!$J$4:$J$2500&gt;0)*'Planning Engine'!$J$4:$J$2500)/MAX(1,SUMPRODUCT(('Planning Engine'!$B$4:$B$2500="47mg Clinical")*(YEAR('Planning Engine'!$A$4:$A$2500)=2026)*('Planning Engine'!$J$4:$J$2500&gt;0))),0)</f>
        <v>999</v>
      </c>
      <c r="G184" s="95" cm="1">
        <f t="array" ref="G184">IFERROR(SUMPRODUCT(('Planning Engine'!$B$4:$B$2500="47mg Clinical")*(YEAR('Planning Engine'!$A$4:$A$2500)=2026)*(MONTH('Planning Engine'!$A$4:$A$2500)=12)*'Planning Engine'!$H$4:$H$2500),0)</f>
        <v>3500</v>
      </c>
      <c r="H184" s="95" cm="1">
        <f t="array" aca="1" ref="H184" ca="1">IFERROR(SUMPRODUCT(('Planning Engine'!$B$4:$B$2500="47mg Clinical")*(YEAR('Planning Engine'!$A$4:$A$2500)=2026)*'Planning Engine'!$K$4:$K$2500),0)</f>
        <v>0</v>
      </c>
      <c r="I184" s="12"/>
      <c r="K184" s="12"/>
    </row>
    <row r="185" spans="1:11" ht="14" customHeight="1" x14ac:dyDescent="0.35">
      <c r="A185" s="53" t="s">
        <v>923</v>
      </c>
      <c r="B185" s="107" t="s">
        <v>28</v>
      </c>
      <c r="C185" s="4">
        <v>2027</v>
      </c>
      <c r="D185" s="99" cm="1">
        <f t="array" ref="D185">IFERROR(SUMPRODUCT(('Planning Engine'!$B$4:$B$2500="47mg Clinical")*(YEAR('Planning Engine'!$A$4:$A$2500)=2027)*'Planning Engine'!$F$4:$F$2500),0)</f>
        <v>0</v>
      </c>
      <c r="E185" s="99" cm="1">
        <f t="array" ref="E185">IFERROR(SUMPRODUCT(('Planning Engine'!$B$4:$B$2500="47mg Clinical")*(YEAR('Planning Engine'!$A$4:$A$2500)=2027)*'Planning Engine'!$G$4:$G$2500),0)</f>
        <v>0</v>
      </c>
      <c r="F185" s="99" cm="1">
        <f t="array" aca="1" ref="F185" ca="1">IFERROR(SUMPRODUCT(('Planning Engine'!$B$4:$B$2500="47mg Clinical")*(YEAR('Planning Engine'!$A$4:$A$2500)=2027)*('Planning Engine'!$J$4:$J$2500&gt;0)*'Planning Engine'!$J$4:$J$2500)/MAX(1,SUMPRODUCT(('Planning Engine'!$B$4:$B$2500="47mg Clinical")*(YEAR('Planning Engine'!$A$4:$A$2500)=2027)*('Planning Engine'!$J$4:$J$2500&gt;0))),0)</f>
        <v>999</v>
      </c>
      <c r="G185" s="99" cm="1">
        <f t="array" ref="G185">IFERROR(SUMPRODUCT(('Planning Engine'!$B$4:$B$2500="47mg Clinical")*(YEAR('Planning Engine'!$A$4:$A$2500)=2027)*(MONTH('Planning Engine'!$A$4:$A$2500)=12)*'Planning Engine'!$H$4:$H$2500),0)</f>
        <v>3500</v>
      </c>
      <c r="H185" s="99" cm="1">
        <f t="array" aca="1" ref="H185" ca="1">IFERROR(SUMPRODUCT(('Planning Engine'!$B$4:$B$2500="47mg Clinical")*(YEAR('Planning Engine'!$A$4:$A$2500)=2027)*'Planning Engine'!$K$4:$K$2500),0)</f>
        <v>0</v>
      </c>
      <c r="I185" s="4"/>
      <c r="K185" s="4"/>
    </row>
    <row r="186" spans="1:11" ht="14" customHeight="1" x14ac:dyDescent="0.35">
      <c r="A186" s="61" t="s">
        <v>923</v>
      </c>
      <c r="B186" s="106" t="s">
        <v>28</v>
      </c>
      <c r="C186" s="12">
        <v>2028</v>
      </c>
      <c r="D186" s="95" cm="1">
        <f t="array" ref="D186">IFERROR(SUMPRODUCT(('Planning Engine'!$B$4:$B$2500="47mg Clinical")*(YEAR('Planning Engine'!$A$4:$A$2500)=2028)*'Planning Engine'!$F$4:$F$2500),0)</f>
        <v>0</v>
      </c>
      <c r="E186" s="95" cm="1">
        <f t="array" ref="E186">IFERROR(SUMPRODUCT(('Planning Engine'!$B$4:$B$2500="47mg Clinical")*(YEAR('Planning Engine'!$A$4:$A$2500)=2028)*'Planning Engine'!$G$4:$G$2500),0)</f>
        <v>0</v>
      </c>
      <c r="F186" s="95" cm="1">
        <f t="array" aca="1" ref="F186" ca="1">IFERROR(SUMPRODUCT(('Planning Engine'!$B$4:$B$2500="47mg Clinical")*(YEAR('Planning Engine'!$A$4:$A$2500)=2028)*('Planning Engine'!$J$4:$J$2500&gt;0)*'Planning Engine'!$J$4:$J$2500)/MAX(1,SUMPRODUCT(('Planning Engine'!$B$4:$B$2500="47mg Clinical")*(YEAR('Planning Engine'!$A$4:$A$2500)=2028)*('Planning Engine'!$J$4:$J$2500&gt;0))),0)</f>
        <v>999</v>
      </c>
      <c r="G186" s="95" cm="1">
        <f t="array" ref="G186">IFERROR(SUMPRODUCT(('Planning Engine'!$B$4:$B$2500="47mg Clinical")*(YEAR('Planning Engine'!$A$4:$A$2500)=2028)*(MONTH('Planning Engine'!$A$4:$A$2500)=12)*'Planning Engine'!$H$4:$H$2500),0)</f>
        <v>3500</v>
      </c>
      <c r="H186" s="95" cm="1">
        <f t="array" aca="1" ref="H186" ca="1">IFERROR(SUMPRODUCT(('Planning Engine'!$B$4:$B$2500="47mg Clinical")*(YEAR('Planning Engine'!$A$4:$A$2500)=2028)*'Planning Engine'!$K$4:$K$2500),0)</f>
        <v>0</v>
      </c>
      <c r="I186" s="12"/>
      <c r="K186" s="12"/>
    </row>
    <row r="187" spans="1:11" ht="14" customHeight="1" x14ac:dyDescent="0.35">
      <c r="A187" s="53" t="s">
        <v>923</v>
      </c>
      <c r="B187" s="107" t="s">
        <v>28</v>
      </c>
      <c r="C187" s="4">
        <v>2029</v>
      </c>
      <c r="D187" s="99" cm="1">
        <f t="array" ref="D187">IFERROR(SUMPRODUCT(('Planning Engine'!$B$4:$B$2500="47mg Clinical")*(YEAR('Planning Engine'!$A$4:$A$2500)=2029)*'Planning Engine'!$F$4:$F$2500),0)</f>
        <v>0</v>
      </c>
      <c r="E187" s="99" cm="1">
        <f t="array" ref="E187">IFERROR(SUMPRODUCT(('Planning Engine'!$B$4:$B$2500="47mg Clinical")*(YEAR('Planning Engine'!$A$4:$A$2500)=2029)*'Planning Engine'!$G$4:$G$2500),0)</f>
        <v>0</v>
      </c>
      <c r="F187" s="99" cm="1">
        <f t="array" aca="1" ref="F187" ca="1">IFERROR(SUMPRODUCT(('Planning Engine'!$B$4:$B$2500="47mg Clinical")*(YEAR('Planning Engine'!$A$4:$A$2500)=2029)*('Planning Engine'!$J$4:$J$2500&gt;0)*'Planning Engine'!$J$4:$J$2500)/MAX(1,SUMPRODUCT(('Planning Engine'!$B$4:$B$2500="47mg Clinical")*(YEAR('Planning Engine'!$A$4:$A$2500)=2029)*('Planning Engine'!$J$4:$J$2500&gt;0))),0)</f>
        <v>999</v>
      </c>
      <c r="G187" s="99" cm="1">
        <f t="array" ref="G187">IFERROR(SUMPRODUCT(('Planning Engine'!$B$4:$B$2500="47mg Clinical")*(YEAR('Planning Engine'!$A$4:$A$2500)=2029)*(MONTH('Planning Engine'!$A$4:$A$2500)=12)*'Planning Engine'!$H$4:$H$2500),0)</f>
        <v>3500</v>
      </c>
      <c r="H187" s="99" cm="1">
        <f t="array" aca="1" ref="H187" ca="1">IFERROR(SUMPRODUCT(('Planning Engine'!$B$4:$B$2500="47mg Clinical")*(YEAR('Planning Engine'!$A$4:$A$2500)=2029)*'Planning Engine'!$K$4:$K$2500),0)</f>
        <v>0</v>
      </c>
      <c r="I187" s="4"/>
      <c r="K187" s="4"/>
    </row>
    <row r="188" spans="1:11" ht="14" customHeight="1" x14ac:dyDescent="0.35">
      <c r="A188" s="61" t="s">
        <v>923</v>
      </c>
      <c r="B188" s="106" t="s">
        <v>28</v>
      </c>
      <c r="C188" s="12">
        <v>2030</v>
      </c>
      <c r="D188" s="95" cm="1">
        <f t="array" ref="D188">IFERROR(SUMPRODUCT(('Planning Engine'!$B$4:$B$2500="47mg Clinical")*(YEAR('Planning Engine'!$A$4:$A$2500)=2030)*'Planning Engine'!$F$4:$F$2500),0)</f>
        <v>0</v>
      </c>
      <c r="E188" s="95" cm="1">
        <f t="array" ref="E188">IFERROR(SUMPRODUCT(('Planning Engine'!$B$4:$B$2500="47mg Clinical")*(YEAR('Planning Engine'!$A$4:$A$2500)=2030)*'Planning Engine'!$G$4:$G$2500),0)</f>
        <v>0</v>
      </c>
      <c r="F188" s="95" cm="1">
        <f t="array" aca="1" ref="F188" ca="1">IFERROR(SUMPRODUCT(('Planning Engine'!$B$4:$B$2500="47mg Clinical")*(YEAR('Planning Engine'!$A$4:$A$2500)=2030)*('Planning Engine'!$J$4:$J$2500&gt;0)*'Planning Engine'!$J$4:$J$2500)/MAX(1,SUMPRODUCT(('Planning Engine'!$B$4:$B$2500="47mg Clinical")*(YEAR('Planning Engine'!$A$4:$A$2500)=2030)*('Planning Engine'!$J$4:$J$2500&gt;0))),0)</f>
        <v>999</v>
      </c>
      <c r="G188" s="95" cm="1">
        <f t="array" ref="G188">IFERROR(SUMPRODUCT(('Planning Engine'!$B$4:$B$2500="47mg Clinical")*(YEAR('Planning Engine'!$A$4:$A$2500)=2030)*(MONTH('Planning Engine'!$A$4:$A$2500)=12)*'Planning Engine'!$H$4:$H$2500),0)</f>
        <v>3500</v>
      </c>
      <c r="H188" s="95" cm="1">
        <f t="array" aca="1" ref="H188" ca="1">IFERROR(SUMPRODUCT(('Planning Engine'!$B$4:$B$2500="47mg Clinical")*(YEAR('Planning Engine'!$A$4:$A$2500)=2030)*'Planning Engine'!$K$4:$K$2500),0)</f>
        <v>0</v>
      </c>
      <c r="I188" s="12"/>
      <c r="K188" s="12"/>
    </row>
    <row r="189" spans="1:11" ht="14" customHeight="1" x14ac:dyDescent="0.35">
      <c r="A189" s="53" t="s">
        <v>923</v>
      </c>
      <c r="B189" s="107" t="s">
        <v>28</v>
      </c>
      <c r="C189" s="4">
        <v>2031</v>
      </c>
      <c r="D189" s="99" cm="1">
        <f t="array" ref="D189">IFERROR(SUMPRODUCT(('Planning Engine'!$B$4:$B$2500="47mg Clinical")*(YEAR('Planning Engine'!$A$4:$A$2500)=2031)*'Planning Engine'!$F$4:$F$2500),0)</f>
        <v>0</v>
      </c>
      <c r="E189" s="99" cm="1">
        <f t="array" ref="E189">IFERROR(SUMPRODUCT(('Planning Engine'!$B$4:$B$2500="47mg Clinical")*(YEAR('Planning Engine'!$A$4:$A$2500)=2031)*'Planning Engine'!$G$4:$G$2500),0)</f>
        <v>0</v>
      </c>
      <c r="F189" s="99" cm="1">
        <f t="array" aca="1" ref="F189" ca="1">IFERROR(SUMPRODUCT(('Planning Engine'!$B$4:$B$2500="47mg Clinical")*(YEAR('Planning Engine'!$A$4:$A$2500)=2031)*('Planning Engine'!$J$4:$J$2500&gt;0)*'Planning Engine'!$J$4:$J$2500)/MAX(1,SUMPRODUCT(('Planning Engine'!$B$4:$B$2500="47mg Clinical")*(YEAR('Planning Engine'!$A$4:$A$2500)=2031)*('Planning Engine'!$J$4:$J$2500&gt;0))),0)</f>
        <v>999</v>
      </c>
      <c r="G189" s="99" cm="1">
        <f t="array" ref="G189">IFERROR(SUMPRODUCT(('Planning Engine'!$B$4:$B$2500="47mg Clinical")*(YEAR('Planning Engine'!$A$4:$A$2500)=2031)*(MONTH('Planning Engine'!$A$4:$A$2500)=12)*'Planning Engine'!$H$4:$H$2500),0)</f>
        <v>3500</v>
      </c>
      <c r="H189" s="99" cm="1">
        <f t="array" aca="1" ref="H189" ca="1">IFERROR(SUMPRODUCT(('Planning Engine'!$B$4:$B$2500="47mg Clinical")*(YEAR('Planning Engine'!$A$4:$A$2500)=2031)*'Planning Engine'!$K$4:$K$2500),0)</f>
        <v>0</v>
      </c>
      <c r="I189" s="4"/>
      <c r="K189" s="4"/>
    </row>
    <row r="190" spans="1:11" ht="14" customHeight="1" x14ac:dyDescent="0.35">
      <c r="A190" s="61" t="s">
        <v>923</v>
      </c>
      <c r="B190" s="106" t="s">
        <v>28</v>
      </c>
      <c r="C190" s="12">
        <v>2032</v>
      </c>
      <c r="D190" s="95" cm="1">
        <f t="array" ref="D190">IFERROR(SUMPRODUCT(('Planning Engine'!$B$4:$B$2500="47mg Clinical")*(YEAR('Planning Engine'!$A$4:$A$2500)=2032)*'Planning Engine'!$F$4:$F$2500),0)</f>
        <v>0</v>
      </c>
      <c r="E190" s="95" cm="1">
        <f t="array" ref="E190">IFERROR(SUMPRODUCT(('Planning Engine'!$B$4:$B$2500="47mg Clinical")*(YEAR('Planning Engine'!$A$4:$A$2500)=2032)*'Planning Engine'!$G$4:$G$2500),0)</f>
        <v>0</v>
      </c>
      <c r="F190" s="95" cm="1">
        <f t="array" aca="1" ref="F190" ca="1">IFERROR(SUMPRODUCT(('Planning Engine'!$B$4:$B$2500="47mg Clinical")*(YEAR('Planning Engine'!$A$4:$A$2500)=2032)*('Planning Engine'!$J$4:$J$2500&gt;0)*'Planning Engine'!$J$4:$J$2500)/MAX(1,SUMPRODUCT(('Planning Engine'!$B$4:$B$2500="47mg Clinical")*(YEAR('Planning Engine'!$A$4:$A$2500)=2032)*('Planning Engine'!$J$4:$J$2500&gt;0))),0)</f>
        <v>999</v>
      </c>
      <c r="G190" s="95" cm="1">
        <f t="array" ref="G190">IFERROR(SUMPRODUCT(('Planning Engine'!$B$4:$B$2500="47mg Clinical")*(YEAR('Planning Engine'!$A$4:$A$2500)=2032)*(MONTH('Planning Engine'!$A$4:$A$2500)=12)*'Planning Engine'!$H$4:$H$2500),0)</f>
        <v>3500</v>
      </c>
      <c r="H190" s="95" cm="1">
        <f t="array" aca="1" ref="H190" ca="1">IFERROR(SUMPRODUCT(('Planning Engine'!$B$4:$B$2500="47mg Clinical")*(YEAR('Planning Engine'!$A$4:$A$2500)=2032)*'Planning Engine'!$K$4:$K$2500),0)</f>
        <v>0</v>
      </c>
      <c r="I190" s="12"/>
      <c r="K190" s="12"/>
    </row>
    <row r="191" spans="1:11" ht="14" customHeight="1" x14ac:dyDescent="0.35">
      <c r="A191" s="53" t="s">
        <v>923</v>
      </c>
      <c r="B191" s="107" t="s">
        <v>28</v>
      </c>
      <c r="C191" s="4">
        <v>2033</v>
      </c>
      <c r="D191" s="99" cm="1">
        <f t="array" ref="D191">IFERROR(SUMPRODUCT(('Planning Engine'!$B$4:$B$2500="47mg Clinical")*(YEAR('Planning Engine'!$A$4:$A$2500)=2033)*'Planning Engine'!$F$4:$F$2500),0)</f>
        <v>0</v>
      </c>
      <c r="E191" s="99" cm="1">
        <f t="array" ref="E191">IFERROR(SUMPRODUCT(('Planning Engine'!$B$4:$B$2500="47mg Clinical")*(YEAR('Planning Engine'!$A$4:$A$2500)=2033)*'Planning Engine'!$G$4:$G$2500),0)</f>
        <v>0</v>
      </c>
      <c r="F191" s="99" cm="1">
        <f t="array" aca="1" ref="F191" ca="1">IFERROR(SUMPRODUCT(('Planning Engine'!$B$4:$B$2500="47mg Clinical")*(YEAR('Planning Engine'!$A$4:$A$2500)=2033)*('Planning Engine'!$J$4:$J$2500&gt;0)*'Planning Engine'!$J$4:$J$2500)/MAX(1,SUMPRODUCT(('Planning Engine'!$B$4:$B$2500="47mg Clinical")*(YEAR('Planning Engine'!$A$4:$A$2500)=2033)*('Planning Engine'!$J$4:$J$2500&gt;0))),0)</f>
        <v>999</v>
      </c>
      <c r="G191" s="99" cm="1">
        <f t="array" ref="G191">IFERROR(SUMPRODUCT(('Planning Engine'!$B$4:$B$2500="47mg Clinical")*(YEAR('Planning Engine'!$A$4:$A$2500)=2033)*(MONTH('Planning Engine'!$A$4:$A$2500)=12)*'Planning Engine'!$H$4:$H$2500),0)</f>
        <v>3500</v>
      </c>
      <c r="H191" s="99" cm="1">
        <f t="array" aca="1" ref="H191" ca="1">IFERROR(SUMPRODUCT(('Planning Engine'!$B$4:$B$2500="47mg Clinical")*(YEAR('Planning Engine'!$A$4:$A$2500)=2033)*'Planning Engine'!$K$4:$K$2500),0)</f>
        <v>0</v>
      </c>
      <c r="I191" s="4"/>
      <c r="K191" s="4"/>
    </row>
    <row r="192" spans="1:11" ht="14" customHeight="1" x14ac:dyDescent="0.35">
      <c r="A192" s="61" t="s">
        <v>923</v>
      </c>
      <c r="B192" s="106" t="s">
        <v>28</v>
      </c>
      <c r="C192" s="12">
        <v>2034</v>
      </c>
      <c r="D192" s="95" cm="1">
        <f t="array" ref="D192">IFERROR(SUMPRODUCT(('Planning Engine'!$B$4:$B$2500="47mg Clinical")*(YEAR('Planning Engine'!$A$4:$A$2500)=2034)*'Planning Engine'!$F$4:$F$2500),0)</f>
        <v>0</v>
      </c>
      <c r="E192" s="95" cm="1">
        <f t="array" ref="E192">IFERROR(SUMPRODUCT(('Planning Engine'!$B$4:$B$2500="47mg Clinical")*(YEAR('Planning Engine'!$A$4:$A$2500)=2034)*'Planning Engine'!$G$4:$G$2500),0)</f>
        <v>0</v>
      </c>
      <c r="F192" s="95" cm="1">
        <f t="array" aca="1" ref="F192" ca="1">IFERROR(SUMPRODUCT(('Planning Engine'!$B$4:$B$2500="47mg Clinical")*(YEAR('Planning Engine'!$A$4:$A$2500)=2034)*('Planning Engine'!$J$4:$J$2500&gt;0)*'Planning Engine'!$J$4:$J$2500)/MAX(1,SUMPRODUCT(('Planning Engine'!$B$4:$B$2500="47mg Clinical")*(YEAR('Planning Engine'!$A$4:$A$2500)=2034)*('Planning Engine'!$J$4:$J$2500&gt;0))),0)</f>
        <v>999</v>
      </c>
      <c r="G192" s="95" cm="1">
        <f t="array" ref="G192">IFERROR(SUMPRODUCT(('Planning Engine'!$B$4:$B$2500="47mg Clinical")*(YEAR('Planning Engine'!$A$4:$A$2500)=2034)*(MONTH('Planning Engine'!$A$4:$A$2500)=12)*'Planning Engine'!$H$4:$H$2500),0)</f>
        <v>3500</v>
      </c>
      <c r="H192" s="95" cm="1">
        <f t="array" aca="1" ref="H192" ca="1">IFERROR(SUMPRODUCT(('Planning Engine'!$B$4:$B$2500="47mg Clinical")*(YEAR('Planning Engine'!$A$4:$A$2500)=2034)*'Planning Engine'!$K$4:$K$2500),0)</f>
        <v>0</v>
      </c>
      <c r="I192" s="12"/>
      <c r="K192" s="12"/>
    </row>
    <row r="193" spans="1:11" ht="14" customHeight="1" x14ac:dyDescent="0.35">
      <c r="A193" s="53" t="s">
        <v>923</v>
      </c>
      <c r="B193" s="107" t="s">
        <v>28</v>
      </c>
      <c r="C193" s="4">
        <v>2035</v>
      </c>
      <c r="D193" s="99" cm="1">
        <f t="array" ref="D193">IFERROR(SUMPRODUCT(('Planning Engine'!$B$4:$B$2500="47mg Clinical")*(YEAR('Planning Engine'!$A$4:$A$2500)=2035)*'Planning Engine'!$F$4:$F$2500),0)</f>
        <v>0</v>
      </c>
      <c r="E193" s="99" cm="1">
        <f t="array" ref="E193">IFERROR(SUMPRODUCT(('Planning Engine'!$B$4:$B$2500="47mg Clinical")*(YEAR('Planning Engine'!$A$4:$A$2500)=2035)*'Planning Engine'!$G$4:$G$2500),0)</f>
        <v>0</v>
      </c>
      <c r="F193" s="99" cm="1">
        <f t="array" aca="1" ref="F193" ca="1">IFERROR(SUMPRODUCT(('Planning Engine'!$B$4:$B$2500="47mg Clinical")*(YEAR('Planning Engine'!$A$4:$A$2500)=2035)*('Planning Engine'!$J$4:$J$2500&gt;0)*'Planning Engine'!$J$4:$J$2500)/MAX(1,SUMPRODUCT(('Planning Engine'!$B$4:$B$2500="47mg Clinical")*(YEAR('Planning Engine'!$A$4:$A$2500)=2035)*('Planning Engine'!$J$4:$J$2500&gt;0))),0)</f>
        <v>999</v>
      </c>
      <c r="G193" s="99" cm="1">
        <f t="array" ref="G193">IFERROR(SUMPRODUCT(('Planning Engine'!$B$4:$B$2500="47mg Clinical")*(YEAR('Planning Engine'!$A$4:$A$2500)=2035)*(MONTH('Planning Engine'!$A$4:$A$2500)=12)*'Planning Engine'!$H$4:$H$2500),0)</f>
        <v>3500</v>
      </c>
      <c r="H193" s="99" cm="1">
        <f t="array" aca="1" ref="H193" ca="1">IFERROR(SUMPRODUCT(('Planning Engine'!$B$4:$B$2500="47mg Clinical")*(YEAR('Planning Engine'!$A$4:$A$2500)=2035)*'Planning Engine'!$K$4:$K$2500),0)</f>
        <v>0</v>
      </c>
      <c r="I193" s="4"/>
      <c r="K193" s="4"/>
    </row>
    <row r="194" spans="1:11" ht="14" customHeight="1" x14ac:dyDescent="0.35">
      <c r="A194" s="61" t="s">
        <v>923</v>
      </c>
      <c r="B194" s="106" t="s">
        <v>28</v>
      </c>
      <c r="C194" s="12">
        <v>2036</v>
      </c>
      <c r="D194" s="95" cm="1">
        <f t="array" ref="D194">IFERROR(SUMPRODUCT(('Planning Engine'!$B$4:$B$2500="47mg Clinical")*(YEAR('Planning Engine'!$A$4:$A$2500)=2036)*'Planning Engine'!$F$4:$F$2500),0)</f>
        <v>0</v>
      </c>
      <c r="E194" s="95" cm="1">
        <f t="array" ref="E194">IFERROR(SUMPRODUCT(('Planning Engine'!$B$4:$B$2500="47mg Clinical")*(YEAR('Planning Engine'!$A$4:$A$2500)=2036)*'Planning Engine'!$G$4:$G$2500),0)</f>
        <v>0</v>
      </c>
      <c r="F194" s="95" cm="1">
        <f t="array" aca="1" ref="F194" ca="1">IFERROR(SUMPRODUCT(('Planning Engine'!$B$4:$B$2500="47mg Clinical")*(YEAR('Planning Engine'!$A$4:$A$2500)=2036)*('Planning Engine'!$J$4:$J$2500&gt;0)*'Planning Engine'!$J$4:$J$2500)/MAX(1,SUMPRODUCT(('Planning Engine'!$B$4:$B$2500="47mg Clinical")*(YEAR('Planning Engine'!$A$4:$A$2500)=2036)*('Planning Engine'!$J$4:$J$2500&gt;0))),0)</f>
        <v>999</v>
      </c>
      <c r="G194" s="95" cm="1">
        <f t="array" ref="G194">IFERROR(SUMPRODUCT(('Planning Engine'!$B$4:$B$2500="47mg Clinical")*(YEAR('Planning Engine'!$A$4:$A$2500)=2036)*(MONTH('Planning Engine'!$A$4:$A$2500)=12)*'Planning Engine'!$H$4:$H$2500),0)</f>
        <v>3500</v>
      </c>
      <c r="H194" s="95" cm="1">
        <f t="array" aca="1" ref="H194" ca="1">IFERROR(SUMPRODUCT(('Planning Engine'!$B$4:$B$2500="47mg Clinical")*(YEAR('Planning Engine'!$A$4:$A$2500)=2036)*'Planning Engine'!$K$4:$K$2500),0)</f>
        <v>0</v>
      </c>
      <c r="I194" s="12"/>
      <c r="K194" s="12"/>
    </row>
    <row r="195" spans="1:11" ht="14" customHeight="1" x14ac:dyDescent="0.35">
      <c r="A195" s="53" t="s">
        <v>923</v>
      </c>
      <c r="B195" s="107" t="s">
        <v>28</v>
      </c>
      <c r="C195" s="4">
        <v>2037</v>
      </c>
      <c r="D195" s="99" cm="1">
        <f t="array" ref="D195">IFERROR(SUMPRODUCT(('Planning Engine'!$B$4:$B$2500="47mg Clinical")*(YEAR('Planning Engine'!$A$4:$A$2500)=2037)*'Planning Engine'!$F$4:$F$2500),0)</f>
        <v>0</v>
      </c>
      <c r="E195" s="99" cm="1">
        <f t="array" ref="E195">IFERROR(SUMPRODUCT(('Planning Engine'!$B$4:$B$2500="47mg Clinical")*(YEAR('Planning Engine'!$A$4:$A$2500)=2037)*'Planning Engine'!$G$4:$G$2500),0)</f>
        <v>0</v>
      </c>
      <c r="F195" s="99" cm="1">
        <f t="array" aca="1" ref="F195" ca="1">IFERROR(SUMPRODUCT(('Planning Engine'!$B$4:$B$2500="47mg Clinical")*(YEAR('Planning Engine'!$A$4:$A$2500)=2037)*('Planning Engine'!$J$4:$J$2500&gt;0)*'Planning Engine'!$J$4:$J$2500)/MAX(1,SUMPRODUCT(('Planning Engine'!$B$4:$B$2500="47mg Clinical")*(YEAR('Planning Engine'!$A$4:$A$2500)=2037)*('Planning Engine'!$J$4:$J$2500&gt;0))),0)</f>
        <v>999</v>
      </c>
      <c r="G195" s="99" cm="1">
        <f t="array" ref="G195">IFERROR(SUMPRODUCT(('Planning Engine'!$B$4:$B$2500="47mg Clinical")*(YEAR('Planning Engine'!$A$4:$A$2500)=2037)*(MONTH('Planning Engine'!$A$4:$A$2500)=12)*'Planning Engine'!$H$4:$H$2500),0)</f>
        <v>3500</v>
      </c>
      <c r="H195" s="99" cm="1">
        <f t="array" aca="1" ref="H195" ca="1">IFERROR(SUMPRODUCT(('Planning Engine'!$B$4:$B$2500="47mg Clinical")*(YEAR('Planning Engine'!$A$4:$A$2500)=2037)*'Planning Engine'!$K$4:$K$2500),0)</f>
        <v>0</v>
      </c>
      <c r="I195" s="4"/>
      <c r="K195" s="4"/>
    </row>
    <row r="196" spans="1:11" ht="14" customHeight="1" x14ac:dyDescent="0.35">
      <c r="A196" s="61" t="s">
        <v>923</v>
      </c>
      <c r="B196" s="106" t="s">
        <v>28</v>
      </c>
      <c r="C196" s="12">
        <v>2038</v>
      </c>
      <c r="D196" s="95" cm="1">
        <f t="array" ref="D196">IFERROR(SUMPRODUCT(('Planning Engine'!$B$4:$B$2500="47mg Clinical")*(YEAR('Planning Engine'!$A$4:$A$2500)=2038)*'Planning Engine'!$F$4:$F$2500),0)</f>
        <v>0</v>
      </c>
      <c r="E196" s="95" cm="1">
        <f t="array" ref="E196">IFERROR(SUMPRODUCT(('Planning Engine'!$B$4:$B$2500="47mg Clinical")*(YEAR('Planning Engine'!$A$4:$A$2500)=2038)*'Planning Engine'!$G$4:$G$2500),0)</f>
        <v>0</v>
      </c>
      <c r="F196" s="95" cm="1">
        <f t="array" aca="1" ref="F196" ca="1">IFERROR(SUMPRODUCT(('Planning Engine'!$B$4:$B$2500="47mg Clinical")*(YEAR('Planning Engine'!$A$4:$A$2500)=2038)*('Planning Engine'!$J$4:$J$2500&gt;0)*'Planning Engine'!$J$4:$J$2500)/MAX(1,SUMPRODUCT(('Planning Engine'!$B$4:$B$2500="47mg Clinical")*(YEAR('Planning Engine'!$A$4:$A$2500)=2038)*('Planning Engine'!$J$4:$J$2500&gt;0))),0)</f>
        <v>999</v>
      </c>
      <c r="G196" s="95" cm="1">
        <f t="array" ref="G196">IFERROR(SUMPRODUCT(('Planning Engine'!$B$4:$B$2500="47mg Clinical")*(YEAR('Planning Engine'!$A$4:$A$2500)=2038)*(MONTH('Planning Engine'!$A$4:$A$2500)=12)*'Planning Engine'!$H$4:$H$2500),0)</f>
        <v>3500</v>
      </c>
      <c r="H196" s="95" cm="1">
        <f t="array" aca="1" ref="H196" ca="1">IFERROR(SUMPRODUCT(('Planning Engine'!$B$4:$B$2500="47mg Clinical")*(YEAR('Planning Engine'!$A$4:$A$2500)=2038)*'Planning Engine'!$K$4:$K$2500),0)</f>
        <v>0</v>
      </c>
      <c r="I196" s="12"/>
      <c r="K196" s="12"/>
    </row>
    <row r="197" spans="1:11" ht="14" customHeight="1" x14ac:dyDescent="0.35">
      <c r="A197" s="53" t="s">
        <v>923</v>
      </c>
      <c r="B197" s="107" t="s">
        <v>28</v>
      </c>
      <c r="C197" s="4">
        <v>2039</v>
      </c>
      <c r="D197" s="99" cm="1">
        <f t="array" ref="D197">IFERROR(SUMPRODUCT(('Planning Engine'!$B$4:$B$2500="47mg Clinical")*(YEAR('Planning Engine'!$A$4:$A$2500)=2039)*'Planning Engine'!$F$4:$F$2500),0)</f>
        <v>0</v>
      </c>
      <c r="E197" s="99" cm="1">
        <f t="array" ref="E197">IFERROR(SUMPRODUCT(('Planning Engine'!$B$4:$B$2500="47mg Clinical")*(YEAR('Planning Engine'!$A$4:$A$2500)=2039)*'Planning Engine'!$G$4:$G$2500),0)</f>
        <v>0</v>
      </c>
      <c r="F197" s="99" cm="1">
        <f t="array" aca="1" ref="F197" ca="1">IFERROR(SUMPRODUCT(('Planning Engine'!$B$4:$B$2500="47mg Clinical")*(YEAR('Planning Engine'!$A$4:$A$2500)=2039)*('Planning Engine'!$J$4:$J$2500&gt;0)*'Planning Engine'!$J$4:$J$2500)/MAX(1,SUMPRODUCT(('Planning Engine'!$B$4:$B$2500="47mg Clinical")*(YEAR('Planning Engine'!$A$4:$A$2500)=2039)*('Planning Engine'!$J$4:$J$2500&gt;0))),0)</f>
        <v>999</v>
      </c>
      <c r="G197" s="99" cm="1">
        <f t="array" ref="G197">IFERROR(SUMPRODUCT(('Planning Engine'!$B$4:$B$2500="47mg Clinical")*(YEAR('Planning Engine'!$A$4:$A$2500)=2039)*(MONTH('Planning Engine'!$A$4:$A$2500)=12)*'Planning Engine'!$H$4:$H$2500),0)</f>
        <v>3500</v>
      </c>
      <c r="H197" s="99" cm="1">
        <f t="array" aca="1" ref="H197" ca="1">IFERROR(SUMPRODUCT(('Planning Engine'!$B$4:$B$2500="47mg Clinical")*(YEAR('Planning Engine'!$A$4:$A$2500)=2039)*'Planning Engine'!$K$4:$K$2500),0)</f>
        <v>0</v>
      </c>
      <c r="I197" s="4"/>
      <c r="K197" s="4"/>
    </row>
    <row r="198" spans="1:11" ht="14" customHeight="1" x14ac:dyDescent="0.35">
      <c r="A198" s="61" t="s">
        <v>923</v>
      </c>
      <c r="B198" s="106" t="s">
        <v>28</v>
      </c>
      <c r="C198" s="12">
        <v>2040</v>
      </c>
      <c r="D198" s="95" cm="1">
        <f t="array" ref="D198">IFERROR(SUMPRODUCT(('Planning Engine'!$B$4:$B$2500="47mg Clinical")*(YEAR('Planning Engine'!$A$4:$A$2500)=2040)*'Planning Engine'!$F$4:$F$2500),0)</f>
        <v>0</v>
      </c>
      <c r="E198" s="95" cm="1">
        <f t="array" ref="E198">IFERROR(SUMPRODUCT(('Planning Engine'!$B$4:$B$2500="47mg Clinical")*(YEAR('Planning Engine'!$A$4:$A$2500)=2040)*'Planning Engine'!$G$4:$G$2500),0)</f>
        <v>0</v>
      </c>
      <c r="F198" s="95" cm="1">
        <f t="array" aca="1" ref="F198" ca="1">IFERROR(SUMPRODUCT(('Planning Engine'!$B$4:$B$2500="47mg Clinical")*(YEAR('Planning Engine'!$A$4:$A$2500)=2040)*('Planning Engine'!$J$4:$J$2500&gt;0)*'Planning Engine'!$J$4:$J$2500)/MAX(1,SUMPRODUCT(('Planning Engine'!$B$4:$B$2500="47mg Clinical")*(YEAR('Planning Engine'!$A$4:$A$2500)=2040)*('Planning Engine'!$J$4:$J$2500&gt;0))),0)</f>
        <v>999</v>
      </c>
      <c r="G198" s="95" cm="1">
        <f t="array" ref="G198">IFERROR(SUMPRODUCT(('Planning Engine'!$B$4:$B$2500="47mg Clinical")*(YEAR('Planning Engine'!$A$4:$A$2500)=2040)*(MONTH('Planning Engine'!$A$4:$A$2500)=12)*'Planning Engine'!$H$4:$H$2500),0)</f>
        <v>3500</v>
      </c>
      <c r="H198" s="95" cm="1">
        <f t="array" aca="1" ref="H198" ca="1">IFERROR(SUMPRODUCT(('Planning Engine'!$B$4:$B$2500="47mg Clinical")*(YEAR('Planning Engine'!$A$4:$A$2500)=2040)*'Planning Engine'!$K$4:$K$2500),0)</f>
        <v>0</v>
      </c>
      <c r="I198" s="12"/>
      <c r="K198" s="12"/>
    </row>
  </sheetData>
  <mergeCells count="2">
    <mergeCell ref="A2:K2"/>
    <mergeCell ref="A1:K1"/>
  </mergeCell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A1:BB31"/>
  <sheetViews>
    <sheetView showGridLines="0" zoomScale="70" zoomScaleNormal="70" workbookViewId="0">
      <pane xSplit="2" ySplit="4" topLeftCell="C5" activePane="bottomRight" state="frozen"/>
      <selection pane="topRight"/>
      <selection pane="bottomLeft"/>
      <selection pane="bottomRight" activeCell="AM27" sqref="AM27"/>
    </sheetView>
  </sheetViews>
  <sheetFormatPr defaultRowHeight="14.5" x14ac:dyDescent="0.35"/>
  <cols>
    <col min="1" max="1" width="16" customWidth="1"/>
    <col min="2" max="2" width="12" customWidth="1"/>
    <col min="3" max="17" width="10" customWidth="1"/>
    <col min="19" max="19" width="16" customWidth="1"/>
    <col min="20" max="20" width="12" customWidth="1"/>
    <col min="21" max="35" width="10" customWidth="1"/>
    <col min="37" max="37" width="16" customWidth="1"/>
    <col min="38" max="38" width="12" customWidth="1"/>
    <col min="39" max="49" width="10" customWidth="1"/>
    <col min="50" max="53" width="10.7265625" bestFit="1" customWidth="1"/>
  </cols>
  <sheetData>
    <row r="1" spans="1:54" ht="20" customHeight="1" x14ac:dyDescent="0.35">
      <c r="A1" s="396" t="s">
        <v>561</v>
      </c>
      <c r="B1" s="395"/>
      <c r="C1" s="395"/>
      <c r="D1" s="395"/>
      <c r="E1" s="395"/>
      <c r="F1" s="395"/>
      <c r="G1" s="395"/>
      <c r="H1" s="395"/>
      <c r="I1" s="395"/>
      <c r="J1" s="395"/>
      <c r="K1" s="395"/>
      <c r="L1" s="395"/>
      <c r="M1" s="395"/>
      <c r="N1" s="395"/>
      <c r="O1" s="395"/>
      <c r="P1" s="395"/>
      <c r="Q1" s="395"/>
      <c r="R1" s="395"/>
      <c r="S1" s="395"/>
      <c r="T1" s="395"/>
      <c r="U1" s="395"/>
      <c r="V1" s="395"/>
      <c r="W1" s="395"/>
      <c r="X1" s="395"/>
      <c r="Y1" s="395"/>
      <c r="Z1" s="395"/>
      <c r="AA1" s="395"/>
      <c r="AB1" s="395"/>
      <c r="AC1" s="395"/>
      <c r="AD1" s="395"/>
      <c r="AE1" s="395"/>
      <c r="AF1" s="395"/>
      <c r="AG1" s="395"/>
      <c r="AH1" s="395"/>
      <c r="AI1" s="395"/>
      <c r="AJ1" s="395"/>
      <c r="AK1" s="395"/>
      <c r="AL1" s="395"/>
      <c r="AM1" s="395"/>
      <c r="AN1" s="395"/>
      <c r="AO1" s="395"/>
      <c r="AP1" s="395"/>
      <c r="AQ1" s="395"/>
      <c r="AR1" s="395"/>
      <c r="AS1" s="395"/>
      <c r="AT1" s="395"/>
      <c r="AU1" s="395"/>
      <c r="AV1" s="395"/>
      <c r="AW1" s="395"/>
      <c r="AX1" s="395"/>
    </row>
    <row r="2" spans="1:54" x14ac:dyDescent="0.35">
      <c r="A2" s="403" t="s">
        <v>562</v>
      </c>
      <c r="B2" s="395"/>
      <c r="C2" s="395"/>
      <c r="D2" s="395"/>
      <c r="E2" s="395"/>
      <c r="F2" s="395"/>
      <c r="G2" s="395"/>
      <c r="H2" s="395"/>
      <c r="I2" s="395"/>
      <c r="J2" s="395"/>
      <c r="K2" s="395"/>
      <c r="L2" s="395"/>
      <c r="M2" s="395"/>
      <c r="N2" s="395"/>
      <c r="O2" s="395"/>
      <c r="P2" s="395"/>
      <c r="Q2" s="395"/>
      <c r="R2" s="395"/>
      <c r="S2" s="395"/>
      <c r="T2" s="395"/>
      <c r="U2" s="395"/>
      <c r="V2" s="395"/>
      <c r="W2" s="395"/>
      <c r="X2" s="395"/>
      <c r="Y2" s="395"/>
      <c r="Z2" s="395"/>
      <c r="AA2" s="395"/>
      <c r="AB2" s="395"/>
      <c r="AC2" s="395"/>
      <c r="AD2" s="395"/>
      <c r="AE2" s="395"/>
      <c r="AF2" s="395"/>
      <c r="AG2" s="395"/>
      <c r="AH2" s="395"/>
      <c r="AI2" s="395"/>
      <c r="AJ2" s="395"/>
      <c r="AK2" s="395"/>
      <c r="AL2" s="395"/>
      <c r="AM2" s="395"/>
      <c r="AN2" s="395"/>
      <c r="AO2" s="395"/>
      <c r="AP2" s="395"/>
      <c r="AQ2" s="395"/>
      <c r="AR2" s="395"/>
      <c r="AS2" s="395"/>
      <c r="AT2" s="395"/>
      <c r="AU2" s="395"/>
      <c r="AV2" s="395"/>
      <c r="AW2" s="395"/>
      <c r="AX2" s="395"/>
      <c r="AY2" s="395"/>
      <c r="AZ2" s="395"/>
    </row>
    <row r="3" spans="1:54" ht="18" customHeight="1" x14ac:dyDescent="0.35">
      <c r="A3" s="396" t="s">
        <v>563</v>
      </c>
      <c r="B3" s="395"/>
      <c r="C3" s="395"/>
      <c r="D3" s="395"/>
      <c r="E3" s="395"/>
      <c r="F3" s="395"/>
      <c r="G3" s="395"/>
      <c r="H3" s="395"/>
      <c r="I3" s="395"/>
      <c r="J3" s="395"/>
      <c r="K3" s="395"/>
      <c r="L3" s="395"/>
      <c r="M3" s="395"/>
      <c r="N3" s="395"/>
      <c r="O3" s="395"/>
      <c r="P3" s="395"/>
      <c r="S3" s="427" t="s">
        <v>564</v>
      </c>
      <c r="T3" s="395"/>
      <c r="U3" s="395"/>
      <c r="V3" s="395"/>
      <c r="W3" s="395"/>
      <c r="X3" s="395"/>
      <c r="Y3" s="395"/>
      <c r="Z3" s="395"/>
      <c r="AA3" s="395"/>
      <c r="AB3" s="395"/>
      <c r="AC3" s="395"/>
      <c r="AD3" s="395"/>
      <c r="AE3" s="395"/>
      <c r="AF3" s="395"/>
      <c r="AG3" s="395"/>
      <c r="AH3" s="395"/>
      <c r="AK3" s="433" t="s">
        <v>565</v>
      </c>
      <c r="AL3" s="395"/>
      <c r="AM3" s="395"/>
      <c r="AN3" s="395"/>
      <c r="AO3" s="395"/>
      <c r="AP3" s="395"/>
      <c r="AQ3" s="395"/>
      <c r="AR3" s="395"/>
      <c r="AS3" s="395"/>
      <c r="AT3" s="395"/>
      <c r="AU3" s="395"/>
      <c r="AV3" s="395"/>
      <c r="AW3" s="395"/>
      <c r="AX3" s="395"/>
      <c r="AY3" s="395"/>
      <c r="AZ3" s="395"/>
    </row>
    <row r="4" spans="1:54" ht="18" customHeight="1" x14ac:dyDescent="0.35">
      <c r="A4" s="1" t="s">
        <v>2</v>
      </c>
      <c r="B4" s="1" t="s">
        <v>4</v>
      </c>
      <c r="C4" s="1" t="s">
        <v>566</v>
      </c>
      <c r="D4" s="1" t="s">
        <v>567</v>
      </c>
      <c r="E4" s="1" t="s">
        <v>568</v>
      </c>
      <c r="F4" s="1" t="s">
        <v>569</v>
      </c>
      <c r="G4" s="1" t="s">
        <v>570</v>
      </c>
      <c r="H4" s="1" t="s">
        <v>571</v>
      </c>
      <c r="I4" s="1" t="s">
        <v>572</v>
      </c>
      <c r="J4" s="1" t="s">
        <v>573</v>
      </c>
      <c r="K4" s="1" t="s">
        <v>574</v>
      </c>
      <c r="L4" s="1" t="s">
        <v>575</v>
      </c>
      <c r="M4" s="1" t="s">
        <v>576</v>
      </c>
      <c r="N4" s="1" t="s">
        <v>577</v>
      </c>
      <c r="O4" s="1" t="s">
        <v>578</v>
      </c>
      <c r="P4" s="1" t="s">
        <v>579</v>
      </c>
      <c r="Q4" s="1" t="s">
        <v>580</v>
      </c>
      <c r="S4" s="18" t="s">
        <v>2</v>
      </c>
      <c r="T4" s="18" t="s">
        <v>4</v>
      </c>
      <c r="U4" s="18" t="s">
        <v>566</v>
      </c>
      <c r="V4" s="18" t="s">
        <v>567</v>
      </c>
      <c r="W4" s="18" t="s">
        <v>568</v>
      </c>
      <c r="X4" s="18" t="s">
        <v>569</v>
      </c>
      <c r="Y4" s="18" t="s">
        <v>570</v>
      </c>
      <c r="Z4" s="18" t="s">
        <v>571</v>
      </c>
      <c r="AA4" s="18" t="s">
        <v>572</v>
      </c>
      <c r="AB4" s="18" t="s">
        <v>573</v>
      </c>
      <c r="AC4" s="18" t="s">
        <v>574</v>
      </c>
      <c r="AD4" s="18" t="s">
        <v>575</v>
      </c>
      <c r="AE4" s="18" t="s">
        <v>576</v>
      </c>
      <c r="AF4" s="18" t="s">
        <v>577</v>
      </c>
      <c r="AG4" s="18" t="s">
        <v>578</v>
      </c>
      <c r="AH4" s="18" t="s">
        <v>579</v>
      </c>
      <c r="AI4" s="18" t="s">
        <v>580</v>
      </c>
      <c r="AK4" s="20" t="s">
        <v>2</v>
      </c>
      <c r="AL4" s="20" t="s">
        <v>4</v>
      </c>
      <c r="AM4" s="20" t="s">
        <v>566</v>
      </c>
      <c r="AN4" s="20" t="s">
        <v>567</v>
      </c>
      <c r="AO4" s="20" t="s">
        <v>568</v>
      </c>
      <c r="AP4" s="20" t="s">
        <v>569</v>
      </c>
      <c r="AQ4" s="20" t="s">
        <v>570</v>
      </c>
      <c r="AR4" s="20" t="s">
        <v>571</v>
      </c>
      <c r="AS4" s="20" t="s">
        <v>572</v>
      </c>
      <c r="AT4" s="20" t="s">
        <v>573</v>
      </c>
      <c r="AU4" s="20" t="s">
        <v>574</v>
      </c>
      <c r="AV4" s="20" t="s">
        <v>575</v>
      </c>
      <c r="AW4" s="20" t="s">
        <v>576</v>
      </c>
      <c r="AX4" s="20" t="s">
        <v>577</v>
      </c>
      <c r="AY4" s="20" t="s">
        <v>578</v>
      </c>
      <c r="AZ4" s="20" t="s">
        <v>579</v>
      </c>
      <c r="BA4" s="20" t="s">
        <v>580</v>
      </c>
    </row>
    <row r="5" spans="1:54" ht="15" customHeight="1" x14ac:dyDescent="0.35">
      <c r="A5" s="53" t="s">
        <v>26</v>
      </c>
      <c r="B5" s="54" t="s">
        <v>28</v>
      </c>
      <c r="C5" s="99">
        <f>'Annual Summary'!D4</f>
        <v>22586.071828578933</v>
      </c>
      <c r="D5" s="99">
        <f>'Annual Summary'!D5</f>
        <v>43512.080472360627</v>
      </c>
      <c r="E5" s="99">
        <f>'Annual Summary'!D6</f>
        <v>96074.939013023773</v>
      </c>
      <c r="F5" s="99">
        <f>'Annual Summary'!D7</f>
        <v>128062.72784095886</v>
      </c>
      <c r="G5" s="99">
        <f>'Annual Summary'!D8</f>
        <v>158260.01095526814</v>
      </c>
      <c r="H5" s="99">
        <f>'Annual Summary'!D9</f>
        <v>232670.35150970897</v>
      </c>
      <c r="I5" s="99">
        <f>'Annual Summary'!D10</f>
        <v>279956.91915833374</v>
      </c>
      <c r="J5" s="99">
        <f>'Annual Summary'!D11</f>
        <v>283777.22404364962</v>
      </c>
      <c r="K5" s="99">
        <f>'Annual Summary'!D12</f>
        <v>285262.44376453187</v>
      </c>
      <c r="L5" s="99">
        <f>'Annual Summary'!D13</f>
        <v>287005.9424487229</v>
      </c>
      <c r="M5" s="99">
        <f>'Annual Summary'!D14</f>
        <v>287219.64835011581</v>
      </c>
      <c r="N5" s="99">
        <f>'Annual Summary'!D15</f>
        <v>269324.95541185641</v>
      </c>
      <c r="O5" s="99">
        <f>'Annual Summary'!D16</f>
        <v>107549.84568967708</v>
      </c>
      <c r="P5" s="99">
        <f>'Annual Summary'!D17</f>
        <v>24127.711013432163</v>
      </c>
      <c r="Q5" s="99">
        <f>'Annual Summary'!D18</f>
        <v>14935.721500855458</v>
      </c>
      <c r="S5" s="53" t="s">
        <v>26</v>
      </c>
      <c r="T5" s="54" t="s">
        <v>28</v>
      </c>
      <c r="U5" s="99">
        <f>'Annual Summary'!E4</f>
        <v>35100</v>
      </c>
      <c r="V5" s="99">
        <f>'Annual Summary'!E5</f>
        <v>0</v>
      </c>
      <c r="W5" s="99">
        <f>'Annual Summary'!E6</f>
        <v>0</v>
      </c>
      <c r="X5" s="99">
        <f>'Annual Summary'!E7</f>
        <v>0</v>
      </c>
      <c r="Y5" s="99">
        <f>'Annual Summary'!E8</f>
        <v>0</v>
      </c>
      <c r="Z5" s="99">
        <f>'Annual Summary'!E9</f>
        <v>0</v>
      </c>
      <c r="AA5" s="99">
        <f>'Annual Summary'!E10</f>
        <v>0</v>
      </c>
      <c r="AB5" s="99">
        <f>'Annual Summary'!E11</f>
        <v>0</v>
      </c>
      <c r="AC5" s="99">
        <f>'Annual Summary'!E12</f>
        <v>0</v>
      </c>
      <c r="AD5" s="99">
        <f>'Annual Summary'!E13</f>
        <v>0</v>
      </c>
      <c r="AE5" s="99">
        <f>'Annual Summary'!E14</f>
        <v>0</v>
      </c>
      <c r="AF5" s="99">
        <f>'Annual Summary'!E15</f>
        <v>0</v>
      </c>
      <c r="AG5" s="99">
        <f>'Annual Summary'!E16</f>
        <v>0</v>
      </c>
      <c r="AH5" s="99">
        <f>'Annual Summary'!E17</f>
        <v>0</v>
      </c>
      <c r="AI5" s="99">
        <f>'Annual Summary'!E18</f>
        <v>0</v>
      </c>
      <c r="AK5" s="53" t="s">
        <v>26</v>
      </c>
      <c r="AL5" s="54" t="s">
        <v>28</v>
      </c>
      <c r="AM5" s="99">
        <f>'Annual Summary'!G4</f>
        <v>72817.27473384414</v>
      </c>
      <c r="AN5" s="99">
        <f>'Annual Summary'!G5</f>
        <v>29305.194261483502</v>
      </c>
      <c r="AO5" s="99">
        <f>'Annual Summary'!G6</f>
        <v>-66769.744751540275</v>
      </c>
      <c r="AP5" s="99">
        <f>'Annual Summary'!G7</f>
        <v>-194832.47259249914</v>
      </c>
      <c r="AQ5" s="99">
        <f>'Annual Summary'!G8</f>
        <v>-353092.48354776722</v>
      </c>
      <c r="AR5" s="99">
        <f>'Annual Summary'!G9</f>
        <v>-585762.83505747619</v>
      </c>
      <c r="AS5" s="99">
        <f>'Annual Summary'!G10</f>
        <v>-865719.75421580987</v>
      </c>
      <c r="AT5" s="99">
        <f>'Annual Summary'!G11</f>
        <v>-1149496.9782594594</v>
      </c>
      <c r="AU5" s="99">
        <f>'Annual Summary'!G12</f>
        <v>-1434759.4220239916</v>
      </c>
      <c r="AV5" s="99">
        <f>'Annual Summary'!G13</f>
        <v>-1721765.3644727143</v>
      </c>
      <c r="AW5" s="99">
        <f>'Annual Summary'!G14</f>
        <v>-2008985.0128228304</v>
      </c>
      <c r="AX5" s="99">
        <f>'Annual Summary'!G15</f>
        <v>-2278309.9682346876</v>
      </c>
      <c r="AY5" s="99">
        <f>'Annual Summary'!G16</f>
        <v>-2385859.8139243652</v>
      </c>
      <c r="AZ5" s="99">
        <f>'Annual Summary'!G17</f>
        <v>-2409987.5249377978</v>
      </c>
      <c r="BA5" s="99">
        <f>'Annual Summary'!G18</f>
        <v>-2424923.2464386537</v>
      </c>
    </row>
    <row r="6" spans="1:54" ht="15" customHeight="1" x14ac:dyDescent="0.35">
      <c r="A6" s="279" t="s">
        <v>35</v>
      </c>
      <c r="B6" s="280" t="s">
        <v>28</v>
      </c>
      <c r="C6" s="340">
        <f>'Annual Summary'!D19</f>
        <v>11772.257254365713</v>
      </c>
      <c r="D6" s="340">
        <f>'Annual Summary'!D20</f>
        <v>23073.338721809319</v>
      </c>
      <c r="E6" s="340">
        <f>'Annual Summary'!D21</f>
        <v>51549.430454117784</v>
      </c>
      <c r="F6" s="340">
        <f>'Annual Summary'!D22</f>
        <v>68864.440698940511</v>
      </c>
      <c r="G6" s="340">
        <f>'Annual Summary'!D23</f>
        <v>84909.88575974472</v>
      </c>
      <c r="H6" s="340">
        <f>'Annual Summary'!D24</f>
        <v>124882.35712777721</v>
      </c>
      <c r="I6" s="340">
        <f>'Annual Summary'!D25</f>
        <v>150397.53031737395</v>
      </c>
      <c r="J6" s="340">
        <f>'Annual Summary'!D26</f>
        <v>152459.24066715964</v>
      </c>
      <c r="K6" s="340">
        <f>'Annual Summary'!D27</f>
        <v>153258.87187885016</v>
      </c>
      <c r="L6" s="340">
        <f>'Annual Summary'!D28</f>
        <v>154196.66800806756</v>
      </c>
      <c r="M6" s="340">
        <f>'Annual Summary'!D29</f>
        <v>154312.30210794165</v>
      </c>
      <c r="N6" s="340">
        <f>'Annual Summary'!D30</f>
        <v>144698.77384223405</v>
      </c>
      <c r="O6" s="340">
        <f>'Annual Summary'!D31</f>
        <v>57783.457164577798</v>
      </c>
      <c r="P6" s="340">
        <f>'Annual Summary'!D32</f>
        <v>12963.225092047003</v>
      </c>
      <c r="Q6" s="340">
        <f>'Annual Summary'!D33</f>
        <v>8024.4338882375232</v>
      </c>
      <c r="S6" s="279" t="s">
        <v>35</v>
      </c>
      <c r="T6" s="280" t="s">
        <v>28</v>
      </c>
      <c r="U6" s="340">
        <f>'Annual Summary'!E19</f>
        <v>5</v>
      </c>
      <c r="V6" s="340">
        <f>'Annual Summary'!E20</f>
        <v>0</v>
      </c>
      <c r="W6" s="340">
        <f>'Annual Summary'!E21</f>
        <v>0</v>
      </c>
      <c r="X6" s="340">
        <f>'Annual Summary'!E22</f>
        <v>0</v>
      </c>
      <c r="Y6" s="340">
        <f>'Annual Summary'!E23</f>
        <v>0</v>
      </c>
      <c r="Z6" s="340">
        <f>'Annual Summary'!E24</f>
        <v>0</v>
      </c>
      <c r="AA6" s="340">
        <f>'Annual Summary'!E25</f>
        <v>0</v>
      </c>
      <c r="AB6" s="340">
        <f>'Annual Summary'!E26</f>
        <v>0</v>
      </c>
      <c r="AC6" s="340">
        <f>'Annual Summary'!E27</f>
        <v>0</v>
      </c>
      <c r="AD6" s="340">
        <f>'Annual Summary'!E28</f>
        <v>0</v>
      </c>
      <c r="AE6" s="340">
        <f>'Annual Summary'!E29</f>
        <v>0</v>
      </c>
      <c r="AF6" s="340">
        <f>'Annual Summary'!E30</f>
        <v>0</v>
      </c>
      <c r="AG6" s="340">
        <f>'Annual Summary'!E31</f>
        <v>0</v>
      </c>
      <c r="AH6" s="340">
        <f>'Annual Summary'!E32</f>
        <v>0</v>
      </c>
      <c r="AI6" s="340">
        <f>'Annual Summary'!E33</f>
        <v>0</v>
      </c>
      <c r="AK6" s="279" t="s">
        <v>35</v>
      </c>
      <c r="AL6" s="280" t="s">
        <v>28</v>
      </c>
      <c r="AM6" s="340">
        <f>'Annual Summary'!G19</f>
        <v>30053.273843258077</v>
      </c>
      <c r="AN6" s="340">
        <f>'Annual Summary'!G20</f>
        <v>6979.9351214487524</v>
      </c>
      <c r="AO6" s="340">
        <f>'Annual Summary'!G21</f>
        <v>-44569.495332669037</v>
      </c>
      <c r="AP6" s="340">
        <f>'Annual Summary'!G22</f>
        <v>-113433.93603160956</v>
      </c>
      <c r="AQ6" s="340">
        <f>'Annual Summary'!G23</f>
        <v>-198343.82179135428</v>
      </c>
      <c r="AR6" s="340">
        <f>'Annual Summary'!G24</f>
        <v>-323226.17891913152</v>
      </c>
      <c r="AS6" s="340">
        <f>'Annual Summary'!G25</f>
        <v>-473623.70923650556</v>
      </c>
      <c r="AT6" s="340">
        <f>'Annual Summary'!G26</f>
        <v>-626082.94990366511</v>
      </c>
      <c r="AU6" s="340">
        <f>'Annual Summary'!G27</f>
        <v>-779341.82178251538</v>
      </c>
      <c r="AV6" s="340">
        <f>'Annual Summary'!G28</f>
        <v>-933538.4897905828</v>
      </c>
      <c r="AW6" s="340">
        <f>'Annual Summary'!G29</f>
        <v>-1087850.7918985242</v>
      </c>
      <c r="AX6" s="340">
        <f>'Annual Summary'!G30</f>
        <v>-1232549.5657407583</v>
      </c>
      <c r="AY6" s="340">
        <f>'Annual Summary'!G31</f>
        <v>-1290333.0229053362</v>
      </c>
      <c r="AZ6" s="340">
        <f>'Annual Summary'!G32</f>
        <v>-1303296.2479973829</v>
      </c>
      <c r="BA6" s="340">
        <f>'Annual Summary'!G33</f>
        <v>-1311320.6818856203</v>
      </c>
    </row>
    <row r="7" spans="1:54" ht="15" customHeight="1" x14ac:dyDescent="0.35">
      <c r="A7" s="269" t="s">
        <v>959</v>
      </c>
      <c r="B7" s="295" t="s">
        <v>28</v>
      </c>
      <c r="C7" s="271">
        <f>'Annual Summary'!D34</f>
        <v>0</v>
      </c>
      <c r="D7" s="271">
        <f>'Annual Summary'!D35</f>
        <v>0</v>
      </c>
      <c r="E7" s="271">
        <f>'Annual Summary'!D36</f>
        <v>0</v>
      </c>
      <c r="F7" s="271">
        <f>'Annual Summary'!D37</f>
        <v>0</v>
      </c>
      <c r="G7" s="271">
        <f>'Annual Summary'!D38</f>
        <v>0</v>
      </c>
      <c r="H7" s="271">
        <f>'Annual Summary'!D39</f>
        <v>0</v>
      </c>
      <c r="I7" s="271">
        <f>'Annual Summary'!D40</f>
        <v>0</v>
      </c>
      <c r="J7" s="271">
        <f>'Annual Summary'!D41</f>
        <v>0</v>
      </c>
      <c r="K7" s="271">
        <f>'Annual Summary'!D42</f>
        <v>0</v>
      </c>
      <c r="L7" s="271">
        <f>'Annual Summary'!D43</f>
        <v>0</v>
      </c>
      <c r="M7" s="271">
        <f>'Annual Summary'!D44</f>
        <v>0</v>
      </c>
      <c r="N7" s="271">
        <f>'Annual Summary'!D45</f>
        <v>0</v>
      </c>
      <c r="O7" s="271">
        <f>'Annual Summary'!D46</f>
        <v>0</v>
      </c>
      <c r="P7" s="271">
        <f>'Annual Summary'!D47</f>
        <v>0</v>
      </c>
      <c r="Q7" s="271">
        <f>'Annual Summary'!D48</f>
        <v>0</v>
      </c>
      <c r="R7" s="322"/>
      <c r="S7" s="269" t="s">
        <v>959</v>
      </c>
      <c r="T7" s="295" t="s">
        <v>28</v>
      </c>
      <c r="U7" s="271">
        <f>'Annual Summary'!E34</f>
        <v>0</v>
      </c>
      <c r="V7" s="271">
        <f>'Annual Summary'!E35</f>
        <v>0</v>
      </c>
      <c r="W7" s="271">
        <f>'Annual Summary'!E36</f>
        <v>0</v>
      </c>
      <c r="X7" s="271">
        <f>'Annual Summary'!E37</f>
        <v>0</v>
      </c>
      <c r="Y7" s="271">
        <f>'Annual Summary'!E38</f>
        <v>0</v>
      </c>
      <c r="Z7" s="271">
        <f>'Annual Summary'!E39</f>
        <v>0</v>
      </c>
      <c r="AA7" s="271">
        <f>'Annual Summary'!E40</f>
        <v>0</v>
      </c>
      <c r="AB7" s="271">
        <f>'Annual Summary'!E41</f>
        <v>0</v>
      </c>
      <c r="AC7" s="271">
        <f>'Annual Summary'!E42</f>
        <v>0</v>
      </c>
      <c r="AD7" s="271">
        <f>'Annual Summary'!E43</f>
        <v>0</v>
      </c>
      <c r="AE7" s="271">
        <f>'Annual Summary'!E44</f>
        <v>0</v>
      </c>
      <c r="AF7" s="271">
        <f>'Annual Summary'!E45</f>
        <v>0</v>
      </c>
      <c r="AG7" s="271">
        <f>'Annual Summary'!E46</f>
        <v>0</v>
      </c>
      <c r="AH7" s="271">
        <f>'Annual Summary'!E47</f>
        <v>0</v>
      </c>
      <c r="AI7" s="271">
        <f>'Annual Summary'!E48</f>
        <v>0</v>
      </c>
      <c r="AJ7" s="322"/>
      <c r="AK7" s="269" t="s">
        <v>959</v>
      </c>
      <c r="AL7" s="295" t="s">
        <v>28</v>
      </c>
      <c r="AM7" s="271">
        <f>'Annual Summary'!G34</f>
        <v>0</v>
      </c>
      <c r="AN7" s="271">
        <f>'Annual Summary'!G35</f>
        <v>0</v>
      </c>
      <c r="AO7" s="271">
        <f>'Annual Summary'!G36</f>
        <v>0</v>
      </c>
      <c r="AP7" s="271">
        <f>'Annual Summary'!G37</f>
        <v>0</v>
      </c>
      <c r="AQ7" s="271">
        <f>'Annual Summary'!G38</f>
        <v>0</v>
      </c>
      <c r="AR7" s="271">
        <f>'Annual Summary'!G39</f>
        <v>0</v>
      </c>
      <c r="AS7" s="271">
        <f>'Annual Summary'!G40</f>
        <v>0</v>
      </c>
      <c r="AT7" s="271">
        <f>'Annual Summary'!G41</f>
        <v>0</v>
      </c>
      <c r="AU7" s="271">
        <f>'Annual Summary'!G42</f>
        <v>0</v>
      </c>
      <c r="AV7" s="271">
        <f>'Annual Summary'!G43</f>
        <v>0</v>
      </c>
      <c r="AW7" s="271">
        <f>'Annual Summary'!G44</f>
        <v>0</v>
      </c>
      <c r="AX7" s="271">
        <f>'Annual Summary'!G45</f>
        <v>0</v>
      </c>
      <c r="AY7" s="271">
        <f>'Annual Summary'!G46</f>
        <v>0</v>
      </c>
      <c r="AZ7" s="271">
        <f>'Annual Summary'!G47</f>
        <v>0</v>
      </c>
      <c r="BA7" s="271">
        <f>'Annual Summary'!G48</f>
        <v>0</v>
      </c>
    </row>
    <row r="8" spans="1:54" ht="15" customHeight="1" x14ac:dyDescent="0.35">
      <c r="A8" s="274" t="s">
        <v>960</v>
      </c>
      <c r="B8" s="296" t="s">
        <v>28</v>
      </c>
      <c r="C8" s="276">
        <f>'Annual Summary'!D49</f>
        <v>0</v>
      </c>
      <c r="D8" s="276">
        <f>'Annual Summary'!D50</f>
        <v>0</v>
      </c>
      <c r="E8" s="276">
        <f>'Annual Summary'!D51</f>
        <v>0</v>
      </c>
      <c r="F8" s="276">
        <f>'Annual Summary'!D52</f>
        <v>0</v>
      </c>
      <c r="G8" s="276">
        <f>'Annual Summary'!D53</f>
        <v>0</v>
      </c>
      <c r="H8" s="276">
        <f>'Annual Summary'!D54</f>
        <v>0</v>
      </c>
      <c r="I8" s="276">
        <f>'Annual Summary'!D55</f>
        <v>0</v>
      </c>
      <c r="J8" s="276">
        <f>'Annual Summary'!D56</f>
        <v>0</v>
      </c>
      <c r="K8" s="276">
        <f>'Annual Summary'!D57</f>
        <v>0</v>
      </c>
      <c r="L8" s="276">
        <f>'Annual Summary'!D58</f>
        <v>0</v>
      </c>
      <c r="M8" s="276">
        <f>'Annual Summary'!D59</f>
        <v>0</v>
      </c>
      <c r="N8" s="276">
        <f>'Annual Summary'!D60</f>
        <v>0</v>
      </c>
      <c r="O8" s="276">
        <f>'Annual Summary'!D61</f>
        <v>0</v>
      </c>
      <c r="P8" s="276">
        <f>'Annual Summary'!D62</f>
        <v>0</v>
      </c>
      <c r="Q8" s="276">
        <f>'Annual Summary'!D63</f>
        <v>0</v>
      </c>
      <c r="R8" s="322"/>
      <c r="S8" s="274" t="s">
        <v>960</v>
      </c>
      <c r="T8" s="296" t="s">
        <v>28</v>
      </c>
      <c r="U8" s="276">
        <f>'Annual Summary'!E49</f>
        <v>0</v>
      </c>
      <c r="V8" s="276">
        <f>'Annual Summary'!E50</f>
        <v>0</v>
      </c>
      <c r="W8" s="276">
        <f>'Annual Summary'!E51</f>
        <v>0</v>
      </c>
      <c r="X8" s="276">
        <f>'Annual Summary'!E52</f>
        <v>0</v>
      </c>
      <c r="Y8" s="276">
        <f>'Annual Summary'!E53</f>
        <v>0</v>
      </c>
      <c r="Z8" s="276">
        <f>'Annual Summary'!E54</f>
        <v>0</v>
      </c>
      <c r="AA8" s="276">
        <f>'Annual Summary'!E55</f>
        <v>0</v>
      </c>
      <c r="AB8" s="276">
        <f>'Annual Summary'!E56</f>
        <v>0</v>
      </c>
      <c r="AC8" s="276">
        <f>'Annual Summary'!E57</f>
        <v>0</v>
      </c>
      <c r="AD8" s="276">
        <f>'Annual Summary'!E58</f>
        <v>0</v>
      </c>
      <c r="AE8" s="276">
        <f>'Annual Summary'!E59</f>
        <v>0</v>
      </c>
      <c r="AF8" s="276">
        <f>'Annual Summary'!E60</f>
        <v>0</v>
      </c>
      <c r="AG8" s="276">
        <f>'Annual Summary'!E61</f>
        <v>0</v>
      </c>
      <c r="AH8" s="276">
        <f>'Annual Summary'!E62</f>
        <v>0</v>
      </c>
      <c r="AI8" s="276">
        <f>'Annual Summary'!E63</f>
        <v>0</v>
      </c>
      <c r="AJ8" s="322"/>
      <c r="AK8" s="274" t="s">
        <v>960</v>
      </c>
      <c r="AL8" s="296" t="s">
        <v>28</v>
      </c>
      <c r="AM8" s="276">
        <f>'Annual Summary'!G49</f>
        <v>0</v>
      </c>
      <c r="AN8" s="276">
        <f>'Annual Summary'!G50</f>
        <v>0</v>
      </c>
      <c r="AO8" s="276">
        <f>'Annual Summary'!G51</f>
        <v>0</v>
      </c>
      <c r="AP8" s="276">
        <f>'Annual Summary'!G52</f>
        <v>0</v>
      </c>
      <c r="AQ8" s="276">
        <f>'Annual Summary'!G53</f>
        <v>0</v>
      </c>
      <c r="AR8" s="276">
        <f>'Annual Summary'!G54</f>
        <v>0</v>
      </c>
      <c r="AS8" s="276">
        <f>'Annual Summary'!G55</f>
        <v>0</v>
      </c>
      <c r="AT8" s="276">
        <f>'Annual Summary'!G56</f>
        <v>0</v>
      </c>
      <c r="AU8" s="276">
        <f>'Annual Summary'!G57</f>
        <v>0</v>
      </c>
      <c r="AV8" s="276">
        <f>'Annual Summary'!G58</f>
        <v>0</v>
      </c>
      <c r="AW8" s="276">
        <f>'Annual Summary'!G59</f>
        <v>0</v>
      </c>
      <c r="AX8" s="276">
        <f>'Annual Summary'!G60</f>
        <v>0</v>
      </c>
      <c r="AY8" s="276">
        <f>'Annual Summary'!G61</f>
        <v>0</v>
      </c>
      <c r="AZ8" s="276">
        <f>'Annual Summary'!G62</f>
        <v>0</v>
      </c>
      <c r="BA8" s="276">
        <f>'Annual Summary'!G63</f>
        <v>0</v>
      </c>
    </row>
    <row r="9" spans="1:54" ht="15" customHeight="1" x14ac:dyDescent="0.35">
      <c r="A9" s="284" t="s">
        <v>36</v>
      </c>
      <c r="B9" s="285" t="s">
        <v>38</v>
      </c>
      <c r="C9" s="286">
        <f>'Annual Summary'!D64</f>
        <v>35100</v>
      </c>
      <c r="D9" s="286">
        <f>'Annual Summary'!D65</f>
        <v>0</v>
      </c>
      <c r="E9" s="286">
        <f>'Annual Summary'!D66</f>
        <v>0</v>
      </c>
      <c r="F9" s="286">
        <f>'Annual Summary'!D67</f>
        <v>0</v>
      </c>
      <c r="G9" s="286">
        <f>'Annual Summary'!D68</f>
        <v>0</v>
      </c>
      <c r="H9" s="286">
        <f>'Annual Summary'!D69</f>
        <v>0</v>
      </c>
      <c r="I9" s="286">
        <f>'Annual Summary'!D70</f>
        <v>0</v>
      </c>
      <c r="J9" s="286">
        <f>'Annual Summary'!D71</f>
        <v>0</v>
      </c>
      <c r="K9" s="286">
        <f>'Annual Summary'!D72</f>
        <v>0</v>
      </c>
      <c r="L9" s="286">
        <f>'Annual Summary'!D73</f>
        <v>0</v>
      </c>
      <c r="M9" s="286">
        <f>'Annual Summary'!D74</f>
        <v>0</v>
      </c>
      <c r="N9" s="286">
        <f>'Annual Summary'!D75</f>
        <v>0</v>
      </c>
      <c r="O9" s="286">
        <f>'Annual Summary'!D76</f>
        <v>0</v>
      </c>
      <c r="P9" s="286">
        <f>'Annual Summary'!D77</f>
        <v>0</v>
      </c>
      <c r="Q9" s="286">
        <f>'Annual Summary'!D78</f>
        <v>0</v>
      </c>
      <c r="S9" s="284" t="s">
        <v>36</v>
      </c>
      <c r="T9" s="285" t="s">
        <v>38</v>
      </c>
      <c r="U9" s="286">
        <f>'Annual Summary'!E64</f>
        <v>32400</v>
      </c>
      <c r="V9" s="286">
        <f>'Annual Summary'!E65</f>
        <v>0</v>
      </c>
      <c r="W9" s="286">
        <f>'Annual Summary'!E66</f>
        <v>85200</v>
      </c>
      <c r="X9" s="286">
        <f>'Annual Summary'!E67</f>
        <v>0</v>
      </c>
      <c r="Y9" s="286">
        <f>'Annual Summary'!E68</f>
        <v>0</v>
      </c>
      <c r="Z9" s="286">
        <f>'Annual Summary'!E69</f>
        <v>0</v>
      </c>
      <c r="AA9" s="286">
        <f>'Annual Summary'!E70</f>
        <v>0</v>
      </c>
      <c r="AB9" s="286">
        <f>'Annual Summary'!E71</f>
        <v>0</v>
      </c>
      <c r="AC9" s="286">
        <f>'Annual Summary'!E72</f>
        <v>0</v>
      </c>
      <c r="AD9" s="286">
        <f>'Annual Summary'!E73</f>
        <v>0</v>
      </c>
      <c r="AE9" s="286">
        <f>'Annual Summary'!E74</f>
        <v>0</v>
      </c>
      <c r="AF9" s="286">
        <f>'Annual Summary'!E75</f>
        <v>0</v>
      </c>
      <c r="AG9" s="286">
        <f>'Annual Summary'!E76</f>
        <v>0</v>
      </c>
      <c r="AH9" s="286">
        <f>'Annual Summary'!E77</f>
        <v>0</v>
      </c>
      <c r="AI9" s="286">
        <f>'Annual Summary'!E78</f>
        <v>0</v>
      </c>
      <c r="AK9" s="284" t="s">
        <v>36</v>
      </c>
      <c r="AL9" s="285" t="s">
        <v>38</v>
      </c>
      <c r="AM9" s="286">
        <f>'Annual Summary'!G64</f>
        <v>2628</v>
      </c>
      <c r="AN9" s="286">
        <f>'Annual Summary'!G65</f>
        <v>2628</v>
      </c>
      <c r="AO9" s="286">
        <f>'Annual Summary'!G66</f>
        <v>87828</v>
      </c>
      <c r="AP9" s="286">
        <f>'Annual Summary'!G67</f>
        <v>87828</v>
      </c>
      <c r="AQ9" s="286">
        <f>'Annual Summary'!G68</f>
        <v>87828</v>
      </c>
      <c r="AR9" s="286">
        <f>'Annual Summary'!G69</f>
        <v>87828</v>
      </c>
      <c r="AS9" s="286">
        <f>'Annual Summary'!G70</f>
        <v>87828</v>
      </c>
      <c r="AT9" s="286">
        <f>'Annual Summary'!G71</f>
        <v>87828</v>
      </c>
      <c r="AU9" s="286">
        <f>'Annual Summary'!G72</f>
        <v>87828</v>
      </c>
      <c r="AV9" s="286">
        <f>'Annual Summary'!G73</f>
        <v>87828</v>
      </c>
      <c r="AW9" s="286">
        <f>'Annual Summary'!G74</f>
        <v>87828</v>
      </c>
      <c r="AX9" s="286">
        <f>'Annual Summary'!G75</f>
        <v>87828</v>
      </c>
      <c r="AY9" s="286">
        <f>'Annual Summary'!G76</f>
        <v>87828</v>
      </c>
      <c r="AZ9" s="286">
        <f>'Annual Summary'!G77</f>
        <v>87828</v>
      </c>
      <c r="BA9" s="286">
        <f>'Annual Summary'!G78</f>
        <v>87828</v>
      </c>
    </row>
    <row r="10" spans="1:54" ht="15" customHeight="1" x14ac:dyDescent="0.35">
      <c r="A10" s="61" t="s">
        <v>43</v>
      </c>
      <c r="B10" s="62" t="s">
        <v>38</v>
      </c>
      <c r="C10" s="99">
        <f>'Annual Summary'!D79</f>
        <v>5</v>
      </c>
      <c r="D10" s="99">
        <f>'Annual Summary'!D80</f>
        <v>0</v>
      </c>
      <c r="E10" s="99">
        <f>'Annual Summary'!D81</f>
        <v>0</v>
      </c>
      <c r="F10" s="99">
        <f>'Annual Summary'!D82</f>
        <v>0</v>
      </c>
      <c r="G10" s="99">
        <f>'Annual Summary'!D83</f>
        <v>0</v>
      </c>
      <c r="H10" s="99">
        <f>'Annual Summary'!D84</f>
        <v>0</v>
      </c>
      <c r="I10" s="99">
        <f>'Annual Summary'!D85</f>
        <v>0</v>
      </c>
      <c r="J10" s="99">
        <f>'Annual Summary'!D86</f>
        <v>0</v>
      </c>
      <c r="K10" s="99">
        <f>'Annual Summary'!D87</f>
        <v>0</v>
      </c>
      <c r="L10" s="99">
        <f>'Annual Summary'!D88</f>
        <v>0</v>
      </c>
      <c r="M10" s="99">
        <f>'Annual Summary'!D89</f>
        <v>0</v>
      </c>
      <c r="N10" s="99">
        <f>'Annual Summary'!D90</f>
        <v>0</v>
      </c>
      <c r="O10" s="99">
        <f>'Annual Summary'!D91</f>
        <v>0</v>
      </c>
      <c r="P10" s="99">
        <f>'Annual Summary'!D92</f>
        <v>0</v>
      </c>
      <c r="Q10" s="99">
        <f>'Annual Summary'!D93</f>
        <v>0</v>
      </c>
      <c r="S10" s="61" t="s">
        <v>43</v>
      </c>
      <c r="T10" s="62" t="s">
        <v>38</v>
      </c>
      <c r="U10" s="99">
        <f>'Annual Summary'!E79</f>
        <v>80000</v>
      </c>
      <c r="V10" s="99">
        <f>'Annual Summary'!E80</f>
        <v>0</v>
      </c>
      <c r="W10" s="99">
        <f>'Annual Summary'!E81</f>
        <v>109500</v>
      </c>
      <c r="X10" s="99">
        <f>'Annual Summary'!E82</f>
        <v>0</v>
      </c>
      <c r="Y10" s="99">
        <f>'Annual Summary'!E83</f>
        <v>0</v>
      </c>
      <c r="Z10" s="99">
        <f>'Annual Summary'!E84</f>
        <v>0</v>
      </c>
      <c r="AA10" s="99">
        <f>'Annual Summary'!E85</f>
        <v>0</v>
      </c>
      <c r="AB10" s="99">
        <f>'Annual Summary'!E86</f>
        <v>0</v>
      </c>
      <c r="AC10" s="99">
        <f>'Annual Summary'!E87</f>
        <v>0</v>
      </c>
      <c r="AD10" s="99">
        <f>'Annual Summary'!E88</f>
        <v>0</v>
      </c>
      <c r="AE10" s="99">
        <f>'Annual Summary'!E89</f>
        <v>0</v>
      </c>
      <c r="AF10" s="99">
        <f>'Annual Summary'!E90</f>
        <v>0</v>
      </c>
      <c r="AG10" s="99">
        <f>'Annual Summary'!E91</f>
        <v>0</v>
      </c>
      <c r="AH10" s="99">
        <f>'Annual Summary'!E92</f>
        <v>0</v>
      </c>
      <c r="AI10" s="99">
        <f>'Annual Summary'!E93</f>
        <v>0</v>
      </c>
      <c r="AK10" s="61" t="s">
        <v>43</v>
      </c>
      <c r="AL10" s="62" t="s">
        <v>38</v>
      </c>
      <c r="AM10" s="99">
        <f>'Annual Summary'!G79</f>
        <v>158107</v>
      </c>
      <c r="AN10" s="99">
        <f>'Annual Summary'!G80</f>
        <v>158107</v>
      </c>
      <c r="AO10" s="99">
        <f>'Annual Summary'!G81</f>
        <v>267607</v>
      </c>
      <c r="AP10" s="99">
        <f>'Annual Summary'!G82</f>
        <v>267607</v>
      </c>
      <c r="AQ10" s="99">
        <f>'Annual Summary'!G83</f>
        <v>267607</v>
      </c>
      <c r="AR10" s="99">
        <f>'Annual Summary'!G84</f>
        <v>267607</v>
      </c>
      <c r="AS10" s="99">
        <f>'Annual Summary'!G85</f>
        <v>267607</v>
      </c>
      <c r="AT10" s="99">
        <f>'Annual Summary'!G86</f>
        <v>267607</v>
      </c>
      <c r="AU10" s="99">
        <f>'Annual Summary'!G87</f>
        <v>267607</v>
      </c>
      <c r="AV10" s="99">
        <f>'Annual Summary'!G88</f>
        <v>267607</v>
      </c>
      <c r="AW10" s="99">
        <f>'Annual Summary'!G89</f>
        <v>267607</v>
      </c>
      <c r="AX10" s="99">
        <f>'Annual Summary'!G90</f>
        <v>267607</v>
      </c>
      <c r="AY10" s="99">
        <f>'Annual Summary'!G91</f>
        <v>267607</v>
      </c>
      <c r="AZ10" s="99">
        <f>'Annual Summary'!G92</f>
        <v>267607</v>
      </c>
      <c r="BA10" s="99">
        <f>'Annual Summary'!G93</f>
        <v>267607</v>
      </c>
    </row>
    <row r="11" spans="1:54" ht="15" customHeight="1" x14ac:dyDescent="0.35">
      <c r="A11" s="53" t="s">
        <v>45</v>
      </c>
      <c r="B11" s="54" t="s">
        <v>47</v>
      </c>
      <c r="C11" s="99">
        <f>'Annual Summary'!D94</f>
        <v>14.2</v>
      </c>
      <c r="D11" s="99">
        <f>'Annual Summary'!D95</f>
        <v>0</v>
      </c>
      <c r="E11" s="99">
        <f>'Annual Summary'!D96</f>
        <v>57.168252314814815</v>
      </c>
      <c r="F11" s="99">
        <f>'Annual Summary'!D97</f>
        <v>0</v>
      </c>
      <c r="G11" s="99">
        <f>'Annual Summary'!D98</f>
        <v>0</v>
      </c>
      <c r="H11" s="99">
        <f>'Annual Summary'!D99</f>
        <v>0</v>
      </c>
      <c r="I11" s="99">
        <f>'Annual Summary'!D100</f>
        <v>0</v>
      </c>
      <c r="J11" s="99">
        <f>'Annual Summary'!D101</f>
        <v>0</v>
      </c>
      <c r="K11" s="99">
        <f>'Annual Summary'!D102</f>
        <v>0</v>
      </c>
      <c r="L11" s="99">
        <f>'Annual Summary'!D103</f>
        <v>0</v>
      </c>
      <c r="M11" s="99">
        <f>'Annual Summary'!D104</f>
        <v>0</v>
      </c>
      <c r="N11" s="99">
        <f>'Annual Summary'!D105</f>
        <v>0</v>
      </c>
      <c r="O11" s="99">
        <f>'Annual Summary'!D106</f>
        <v>0</v>
      </c>
      <c r="P11" s="99">
        <f>'Annual Summary'!D107</f>
        <v>0</v>
      </c>
      <c r="Q11" s="99">
        <f>'Annual Summary'!D108</f>
        <v>0</v>
      </c>
      <c r="S11" s="53" t="s">
        <v>45</v>
      </c>
      <c r="T11" s="54" t="s">
        <v>47</v>
      </c>
      <c r="U11" s="99">
        <f>'Annual Summary'!E94</f>
        <v>25.8</v>
      </c>
      <c r="V11" s="99">
        <f>'Annual Summary'!E95</f>
        <v>34.4</v>
      </c>
      <c r="W11" s="99">
        <f>'Annual Summary'!E96</f>
        <v>0</v>
      </c>
      <c r="X11" s="99">
        <f>'Annual Summary'!E97</f>
        <v>0</v>
      </c>
      <c r="Y11" s="99">
        <f>'Annual Summary'!E98</f>
        <v>0</v>
      </c>
      <c r="Z11" s="99">
        <f>'Annual Summary'!E99</f>
        <v>0</v>
      </c>
      <c r="AA11" s="99">
        <f>'Annual Summary'!E100</f>
        <v>0</v>
      </c>
      <c r="AB11" s="99">
        <f>'Annual Summary'!E101</f>
        <v>0</v>
      </c>
      <c r="AC11" s="99">
        <f>'Annual Summary'!E102</f>
        <v>0</v>
      </c>
      <c r="AD11" s="99">
        <f>'Annual Summary'!E103</f>
        <v>0</v>
      </c>
      <c r="AE11" s="99">
        <f>'Annual Summary'!E104</f>
        <v>0</v>
      </c>
      <c r="AF11" s="99">
        <f>'Annual Summary'!E105</f>
        <v>0</v>
      </c>
      <c r="AG11" s="99">
        <f>'Annual Summary'!E106</f>
        <v>0</v>
      </c>
      <c r="AH11" s="99">
        <f>'Annual Summary'!E107</f>
        <v>0</v>
      </c>
      <c r="AI11" s="99">
        <f>'Annual Summary'!E108</f>
        <v>0</v>
      </c>
      <c r="AK11" s="53" t="s">
        <v>45</v>
      </c>
      <c r="AL11" s="54" t="s">
        <v>47</v>
      </c>
      <c r="AM11" s="99">
        <f>'Annual Summary'!G94</f>
        <v>95.419999999999987</v>
      </c>
      <c r="AN11" s="99">
        <f>'Annual Summary'!G95</f>
        <v>129.81999999999996</v>
      </c>
      <c r="AO11" s="99">
        <f>'Annual Summary'!G96</f>
        <v>72.651747685185143</v>
      </c>
      <c r="AP11" s="99">
        <f>'Annual Summary'!G97</f>
        <v>72.651747685185143</v>
      </c>
      <c r="AQ11" s="99">
        <f>'Annual Summary'!G98</f>
        <v>72.651747685185143</v>
      </c>
      <c r="AR11" s="99">
        <f>'Annual Summary'!G99</f>
        <v>72.651747685185143</v>
      </c>
      <c r="AS11" s="99">
        <f>'Annual Summary'!G100</f>
        <v>72.651747685185143</v>
      </c>
      <c r="AT11" s="99">
        <f>'Annual Summary'!G101</f>
        <v>72.651747685185143</v>
      </c>
      <c r="AU11" s="99">
        <f>'Annual Summary'!G102</f>
        <v>72.651747685185143</v>
      </c>
      <c r="AV11" s="99">
        <f>'Annual Summary'!G103</f>
        <v>72.651747685185143</v>
      </c>
      <c r="AW11" s="99">
        <f>'Annual Summary'!G104</f>
        <v>72.651747685185143</v>
      </c>
      <c r="AX11" s="99">
        <f>'Annual Summary'!G105</f>
        <v>72.651747685185143</v>
      </c>
      <c r="AY11" s="99">
        <f>'Annual Summary'!G106</f>
        <v>72.651747685185143</v>
      </c>
      <c r="AZ11" s="99">
        <f>'Annual Summary'!G107</f>
        <v>72.651747685185143</v>
      </c>
      <c r="BA11" s="99">
        <f>'Annual Summary'!G108</f>
        <v>72.651747685185143</v>
      </c>
    </row>
    <row r="12" spans="1:54" ht="15" customHeight="1" x14ac:dyDescent="0.35">
      <c r="A12" s="61" t="s">
        <v>54</v>
      </c>
      <c r="B12" s="62" t="s">
        <v>52</v>
      </c>
      <c r="C12" s="99">
        <f>'Annual Summary'!D109</f>
        <v>176.16000000000003</v>
      </c>
      <c r="D12" s="99">
        <f>'Annual Summary'!D110</f>
        <v>234.88</v>
      </c>
      <c r="E12" s="99">
        <f>'Annual Summary'!D111</f>
        <v>0</v>
      </c>
      <c r="F12" s="99">
        <f>'Annual Summary'!D112</f>
        <v>0</v>
      </c>
      <c r="G12" s="99">
        <f>'Annual Summary'!D113</f>
        <v>0</v>
      </c>
      <c r="H12" s="99">
        <f>'Annual Summary'!D114</f>
        <v>0</v>
      </c>
      <c r="I12" s="99">
        <f>'Annual Summary'!D115</f>
        <v>0</v>
      </c>
      <c r="J12" s="99">
        <f>'Annual Summary'!D116</f>
        <v>0</v>
      </c>
      <c r="K12" s="99">
        <f>'Annual Summary'!D117</f>
        <v>0</v>
      </c>
      <c r="L12" s="99">
        <f>'Annual Summary'!D118</f>
        <v>0</v>
      </c>
      <c r="M12" s="99">
        <f>'Annual Summary'!D119</f>
        <v>0</v>
      </c>
      <c r="N12" s="99">
        <f>'Annual Summary'!D120</f>
        <v>0</v>
      </c>
      <c r="O12" s="99">
        <f>'Annual Summary'!D121</f>
        <v>0</v>
      </c>
      <c r="P12" s="99">
        <f>'Annual Summary'!D122</f>
        <v>0</v>
      </c>
      <c r="Q12" s="99">
        <f>'Annual Summary'!D123</f>
        <v>0</v>
      </c>
      <c r="S12" s="61" t="s">
        <v>54</v>
      </c>
      <c r="T12" s="62" t="s">
        <v>52</v>
      </c>
      <c r="U12" s="99">
        <f>'Annual Summary'!E109</f>
        <v>0</v>
      </c>
      <c r="V12" s="99">
        <f>'Annual Summary'!E110</f>
        <v>165</v>
      </c>
      <c r="W12" s="99">
        <f>'Annual Summary'!E111</f>
        <v>0</v>
      </c>
      <c r="X12" s="99">
        <f>'Annual Summary'!E112</f>
        <v>0</v>
      </c>
      <c r="Y12" s="99">
        <f>'Annual Summary'!E113</f>
        <v>0</v>
      </c>
      <c r="Z12" s="99">
        <f>'Annual Summary'!E114</f>
        <v>0</v>
      </c>
      <c r="AA12" s="99">
        <f>'Annual Summary'!E115</f>
        <v>0</v>
      </c>
      <c r="AB12" s="99">
        <f>'Annual Summary'!E116</f>
        <v>0</v>
      </c>
      <c r="AC12" s="99">
        <f>'Annual Summary'!E117</f>
        <v>0</v>
      </c>
      <c r="AD12" s="99">
        <f>'Annual Summary'!E118</f>
        <v>0</v>
      </c>
      <c r="AE12" s="99">
        <f>'Annual Summary'!E119</f>
        <v>0</v>
      </c>
      <c r="AF12" s="99">
        <f>'Annual Summary'!E120</f>
        <v>0</v>
      </c>
      <c r="AG12" s="99">
        <f>'Annual Summary'!E121</f>
        <v>0</v>
      </c>
      <c r="AH12" s="99">
        <f>'Annual Summary'!E122</f>
        <v>0</v>
      </c>
      <c r="AI12" s="99">
        <f>'Annual Summary'!E123</f>
        <v>0</v>
      </c>
      <c r="AK12" s="61" t="s">
        <v>54</v>
      </c>
      <c r="AL12" s="62" t="s">
        <v>52</v>
      </c>
      <c r="AM12" s="99">
        <f>'Annual Summary'!G109</f>
        <v>198.68</v>
      </c>
      <c r="AN12" s="99">
        <f>'Annual Summary'!G110</f>
        <v>128.80000000000004</v>
      </c>
      <c r="AO12" s="99">
        <f>'Annual Summary'!G111</f>
        <v>128.80000000000004</v>
      </c>
      <c r="AP12" s="99">
        <f>'Annual Summary'!G112</f>
        <v>128.80000000000004</v>
      </c>
      <c r="AQ12" s="99">
        <f>'Annual Summary'!G113</f>
        <v>128.80000000000004</v>
      </c>
      <c r="AR12" s="99">
        <f>'Annual Summary'!G114</f>
        <v>128.80000000000004</v>
      </c>
      <c r="AS12" s="99">
        <f>'Annual Summary'!G115</f>
        <v>128.80000000000004</v>
      </c>
      <c r="AT12" s="99">
        <f>'Annual Summary'!G116</f>
        <v>128.80000000000004</v>
      </c>
      <c r="AU12" s="99">
        <f>'Annual Summary'!G117</f>
        <v>128.80000000000004</v>
      </c>
      <c r="AV12" s="99">
        <f>'Annual Summary'!G118</f>
        <v>128.80000000000004</v>
      </c>
      <c r="AW12" s="99">
        <f>'Annual Summary'!G119</f>
        <v>128.80000000000004</v>
      </c>
      <c r="AX12" s="99">
        <f>'Annual Summary'!G120</f>
        <v>128.80000000000004</v>
      </c>
      <c r="AY12" s="99">
        <f>'Annual Summary'!G121</f>
        <v>128.80000000000004</v>
      </c>
      <c r="AZ12" s="99">
        <f>'Annual Summary'!G122</f>
        <v>128.80000000000004</v>
      </c>
      <c r="BA12" s="99">
        <f>'Annual Summary'!G123</f>
        <v>128.80000000000004</v>
      </c>
      <c r="BB12">
        <v>88</v>
      </c>
    </row>
    <row r="13" spans="1:54" ht="15" customHeight="1" x14ac:dyDescent="0.35">
      <c r="A13" s="53" t="s">
        <v>56</v>
      </c>
      <c r="B13" s="54" t="s">
        <v>52</v>
      </c>
      <c r="C13" s="99">
        <f>'Annual Summary'!D124</f>
        <v>36.960000000000008</v>
      </c>
      <c r="D13" s="99">
        <f>'Annual Summary'!D125</f>
        <v>49.28</v>
      </c>
      <c r="E13" s="99">
        <f>'Annual Summary'!D126</f>
        <v>0</v>
      </c>
      <c r="F13" s="99">
        <f>'Annual Summary'!D127</f>
        <v>0</v>
      </c>
      <c r="G13" s="99">
        <f>'Annual Summary'!D128</f>
        <v>0</v>
      </c>
      <c r="H13" s="99">
        <f>'Annual Summary'!D129</f>
        <v>0</v>
      </c>
      <c r="I13" s="99">
        <f>'Annual Summary'!D130</f>
        <v>0</v>
      </c>
      <c r="J13" s="99">
        <f>'Annual Summary'!D131</f>
        <v>0</v>
      </c>
      <c r="K13" s="99">
        <f>'Annual Summary'!D132</f>
        <v>0</v>
      </c>
      <c r="L13" s="99">
        <f>'Annual Summary'!D133</f>
        <v>0</v>
      </c>
      <c r="M13" s="99">
        <f>'Annual Summary'!D134</f>
        <v>0</v>
      </c>
      <c r="N13" s="99">
        <f>'Annual Summary'!D135</f>
        <v>0</v>
      </c>
      <c r="O13" s="99">
        <f>'Annual Summary'!D136</f>
        <v>0</v>
      </c>
      <c r="P13" s="99">
        <f>'Annual Summary'!D137</f>
        <v>0</v>
      </c>
      <c r="Q13" s="99">
        <f>'Annual Summary'!D138</f>
        <v>0</v>
      </c>
      <c r="S13" s="53" t="s">
        <v>56</v>
      </c>
      <c r="T13" s="54" t="s">
        <v>52</v>
      </c>
      <c r="U13" s="99">
        <f>'Annual Summary'!E124</f>
        <v>0</v>
      </c>
      <c r="V13" s="99">
        <f>'Annual Summary'!E125</f>
        <v>40</v>
      </c>
      <c r="W13" s="99">
        <f>'Annual Summary'!E126</f>
        <v>0</v>
      </c>
      <c r="X13" s="99">
        <f>'Annual Summary'!E127</f>
        <v>0</v>
      </c>
      <c r="Y13" s="99">
        <f>'Annual Summary'!E128</f>
        <v>0</v>
      </c>
      <c r="Z13" s="99">
        <f>'Annual Summary'!E129</f>
        <v>0</v>
      </c>
      <c r="AA13" s="99">
        <f>'Annual Summary'!E130</f>
        <v>0</v>
      </c>
      <c r="AB13" s="99">
        <f>'Annual Summary'!E131</f>
        <v>0</v>
      </c>
      <c r="AC13" s="99">
        <f>'Annual Summary'!E132</f>
        <v>0</v>
      </c>
      <c r="AD13" s="99">
        <f>'Annual Summary'!E133</f>
        <v>0</v>
      </c>
      <c r="AE13" s="99">
        <f>'Annual Summary'!E134</f>
        <v>0</v>
      </c>
      <c r="AF13" s="99">
        <f>'Annual Summary'!E135</f>
        <v>0</v>
      </c>
      <c r="AG13" s="99">
        <f>'Annual Summary'!E136</f>
        <v>0</v>
      </c>
      <c r="AH13" s="99">
        <f>'Annual Summary'!E137</f>
        <v>0</v>
      </c>
      <c r="AI13" s="99">
        <f>'Annual Summary'!E138</f>
        <v>0</v>
      </c>
      <c r="AK13" s="53" t="s">
        <v>56</v>
      </c>
      <c r="AL13" s="54" t="s">
        <v>52</v>
      </c>
      <c r="AM13" s="99">
        <f>'Annual Summary'!G124</f>
        <v>41.959999999999994</v>
      </c>
      <c r="AN13" s="99">
        <f>'Annual Summary'!G125</f>
        <v>32.679999999999986</v>
      </c>
      <c r="AO13" s="99">
        <f>'Annual Summary'!G126</f>
        <v>32.679999999999986</v>
      </c>
      <c r="AP13" s="99">
        <f>'Annual Summary'!G127</f>
        <v>32.679999999999986</v>
      </c>
      <c r="AQ13" s="99">
        <f>'Annual Summary'!G128</f>
        <v>32.679999999999986</v>
      </c>
      <c r="AR13" s="99">
        <f>'Annual Summary'!G129</f>
        <v>32.679999999999986</v>
      </c>
      <c r="AS13" s="99">
        <f>'Annual Summary'!G130</f>
        <v>32.679999999999986</v>
      </c>
      <c r="AT13" s="99">
        <f>'Annual Summary'!G131</f>
        <v>32.679999999999986</v>
      </c>
      <c r="AU13" s="99">
        <f>'Annual Summary'!G132</f>
        <v>32.679999999999986</v>
      </c>
      <c r="AV13" s="99">
        <f>'Annual Summary'!G133</f>
        <v>32.679999999999986</v>
      </c>
      <c r="AW13" s="99">
        <f>'Annual Summary'!G134</f>
        <v>32.679999999999986</v>
      </c>
      <c r="AX13" s="99">
        <f>'Annual Summary'!G135</f>
        <v>32.679999999999986</v>
      </c>
      <c r="AY13" s="99">
        <f>'Annual Summary'!G136</f>
        <v>32.679999999999986</v>
      </c>
      <c r="AZ13" s="99">
        <f>'Annual Summary'!G137</f>
        <v>32.679999999999986</v>
      </c>
      <c r="BA13" s="99">
        <f>'Annual Summary'!G138</f>
        <v>32.679999999999986</v>
      </c>
      <c r="BB13">
        <v>20</v>
      </c>
    </row>
    <row r="14" spans="1:54" ht="15" customHeight="1" x14ac:dyDescent="0.35">
      <c r="A14" s="61" t="s">
        <v>57</v>
      </c>
      <c r="B14" s="62" t="s">
        <v>52</v>
      </c>
      <c r="C14" s="99">
        <f>'Annual Summary'!D139</f>
        <v>132.36000000000001</v>
      </c>
      <c r="D14" s="99">
        <f>'Annual Summary'!D140</f>
        <v>176.48</v>
      </c>
      <c r="E14" s="99">
        <f>'Annual Summary'!D141</f>
        <v>0</v>
      </c>
      <c r="F14" s="99">
        <f>'Annual Summary'!D142</f>
        <v>0</v>
      </c>
      <c r="G14" s="99">
        <f>'Annual Summary'!D143</f>
        <v>0</v>
      </c>
      <c r="H14" s="99">
        <f>'Annual Summary'!D144</f>
        <v>0</v>
      </c>
      <c r="I14" s="99">
        <f>'Annual Summary'!D145</f>
        <v>0</v>
      </c>
      <c r="J14" s="99">
        <f>'Annual Summary'!D146</f>
        <v>0</v>
      </c>
      <c r="K14" s="99">
        <f>'Annual Summary'!D147</f>
        <v>0</v>
      </c>
      <c r="L14" s="99">
        <f>'Annual Summary'!D148</f>
        <v>0</v>
      </c>
      <c r="M14" s="99">
        <f>'Annual Summary'!D149</f>
        <v>0</v>
      </c>
      <c r="N14" s="99">
        <f>'Annual Summary'!D150</f>
        <v>0</v>
      </c>
      <c r="O14" s="99">
        <f>'Annual Summary'!D151</f>
        <v>0</v>
      </c>
      <c r="P14" s="99">
        <f>'Annual Summary'!D152</f>
        <v>0</v>
      </c>
      <c r="Q14" s="99">
        <f>'Annual Summary'!D153</f>
        <v>0</v>
      </c>
      <c r="S14" s="61" t="s">
        <v>57</v>
      </c>
      <c r="T14" s="62" t="s">
        <v>52</v>
      </c>
      <c r="U14" s="99">
        <f>'Annual Summary'!E139</f>
        <v>0</v>
      </c>
      <c r="V14" s="99">
        <f>'Annual Summary'!E140</f>
        <v>100</v>
      </c>
      <c r="W14" s="99">
        <f>'Annual Summary'!E141</f>
        <v>0</v>
      </c>
      <c r="X14" s="99">
        <f>'Annual Summary'!E142</f>
        <v>0</v>
      </c>
      <c r="Y14" s="99">
        <f>'Annual Summary'!E143</f>
        <v>0</v>
      </c>
      <c r="Z14" s="99">
        <f>'Annual Summary'!E144</f>
        <v>0</v>
      </c>
      <c r="AA14" s="99">
        <f>'Annual Summary'!E145</f>
        <v>0</v>
      </c>
      <c r="AB14" s="99">
        <f>'Annual Summary'!E146</f>
        <v>0</v>
      </c>
      <c r="AC14" s="99">
        <f>'Annual Summary'!E147</f>
        <v>0</v>
      </c>
      <c r="AD14" s="99">
        <f>'Annual Summary'!E148</f>
        <v>0</v>
      </c>
      <c r="AE14" s="99">
        <f>'Annual Summary'!E149</f>
        <v>0</v>
      </c>
      <c r="AF14" s="99">
        <f>'Annual Summary'!E150</f>
        <v>0</v>
      </c>
      <c r="AG14" s="99">
        <f>'Annual Summary'!E151</f>
        <v>0</v>
      </c>
      <c r="AH14" s="99">
        <f>'Annual Summary'!E152</f>
        <v>0</v>
      </c>
      <c r="AI14" s="99">
        <f>'Annual Summary'!E153</f>
        <v>0</v>
      </c>
      <c r="AK14" s="61" t="s">
        <v>57</v>
      </c>
      <c r="AL14" s="62" t="s">
        <v>52</v>
      </c>
      <c r="AM14" s="99">
        <f>'Annual Summary'!G139</f>
        <v>183.15199999999999</v>
      </c>
      <c r="AN14" s="99">
        <f>'Annual Summary'!G140</f>
        <v>106.67199999999997</v>
      </c>
      <c r="AO14" s="99">
        <f>'Annual Summary'!G141</f>
        <v>106.67199999999997</v>
      </c>
      <c r="AP14" s="99">
        <f>'Annual Summary'!G142</f>
        <v>106.67199999999997</v>
      </c>
      <c r="AQ14" s="99">
        <f>'Annual Summary'!G143</f>
        <v>106.67199999999997</v>
      </c>
      <c r="AR14" s="99">
        <f>'Annual Summary'!G144</f>
        <v>106.67199999999997</v>
      </c>
      <c r="AS14" s="99">
        <f>'Annual Summary'!G145</f>
        <v>106.67199999999997</v>
      </c>
      <c r="AT14" s="99">
        <f>'Annual Summary'!G146</f>
        <v>106.67199999999997</v>
      </c>
      <c r="AU14" s="99">
        <f>'Annual Summary'!G147</f>
        <v>106.67199999999997</v>
      </c>
      <c r="AV14" s="99">
        <f>'Annual Summary'!G148</f>
        <v>106.67199999999997</v>
      </c>
      <c r="AW14" s="99">
        <f>'Annual Summary'!G149</f>
        <v>106.67199999999997</v>
      </c>
      <c r="AX14" s="99">
        <f>'Annual Summary'!G150</f>
        <v>106.67199999999997</v>
      </c>
      <c r="AY14" s="99">
        <f>'Annual Summary'!G151</f>
        <v>106.67199999999997</v>
      </c>
      <c r="AZ14" s="99">
        <f>'Annual Summary'!G152</f>
        <v>106.67199999999997</v>
      </c>
      <c r="BA14" s="99">
        <f>'Annual Summary'!G153</f>
        <v>106.67199999999997</v>
      </c>
      <c r="BB14">
        <v>66</v>
      </c>
    </row>
    <row r="15" spans="1:54" ht="15" customHeight="1" x14ac:dyDescent="0.35">
      <c r="A15" s="53" t="s">
        <v>58</v>
      </c>
      <c r="B15" s="54" t="s">
        <v>52</v>
      </c>
      <c r="C15" s="99">
        <f>'Annual Summary'!D154</f>
        <v>116.16</v>
      </c>
      <c r="D15" s="99">
        <f>'Annual Summary'!D155</f>
        <v>154.88</v>
      </c>
      <c r="E15" s="99">
        <f>'Annual Summary'!D156</f>
        <v>0</v>
      </c>
      <c r="F15" s="99">
        <f>'Annual Summary'!D157</f>
        <v>0</v>
      </c>
      <c r="G15" s="99">
        <f>'Annual Summary'!D158</f>
        <v>0</v>
      </c>
      <c r="H15" s="99">
        <f>'Annual Summary'!D159</f>
        <v>0</v>
      </c>
      <c r="I15" s="99">
        <f>'Annual Summary'!D160</f>
        <v>0</v>
      </c>
      <c r="J15" s="99">
        <f>'Annual Summary'!D161</f>
        <v>0</v>
      </c>
      <c r="K15" s="99">
        <f>'Annual Summary'!D162</f>
        <v>0</v>
      </c>
      <c r="L15" s="99">
        <f>'Annual Summary'!D163</f>
        <v>0</v>
      </c>
      <c r="M15" s="99">
        <f>'Annual Summary'!D164</f>
        <v>0</v>
      </c>
      <c r="N15" s="99">
        <f>'Annual Summary'!D165</f>
        <v>0</v>
      </c>
      <c r="O15" s="99">
        <f>'Annual Summary'!D166</f>
        <v>0</v>
      </c>
      <c r="P15" s="99">
        <f>'Annual Summary'!D167</f>
        <v>0</v>
      </c>
      <c r="Q15" s="99">
        <f>'Annual Summary'!D168</f>
        <v>0</v>
      </c>
      <c r="S15" s="53" t="s">
        <v>58</v>
      </c>
      <c r="T15" s="54" t="s">
        <v>52</v>
      </c>
      <c r="U15" s="99">
        <f>'Annual Summary'!E154</f>
        <v>0</v>
      </c>
      <c r="V15" s="99">
        <f>'Annual Summary'!E155</f>
        <v>165</v>
      </c>
      <c r="W15" s="99">
        <f>'Annual Summary'!E156</f>
        <v>0</v>
      </c>
      <c r="X15" s="99">
        <f>'Annual Summary'!E157</f>
        <v>0</v>
      </c>
      <c r="Y15" s="99">
        <f>'Annual Summary'!E158</f>
        <v>0</v>
      </c>
      <c r="Z15" s="99">
        <f>'Annual Summary'!E159</f>
        <v>0</v>
      </c>
      <c r="AA15" s="99">
        <f>'Annual Summary'!E160</f>
        <v>0</v>
      </c>
      <c r="AB15" s="99">
        <f>'Annual Summary'!E161</f>
        <v>0</v>
      </c>
      <c r="AC15" s="99">
        <f>'Annual Summary'!E162</f>
        <v>0</v>
      </c>
      <c r="AD15" s="99">
        <f>'Annual Summary'!E163</f>
        <v>0</v>
      </c>
      <c r="AE15" s="99">
        <f>'Annual Summary'!E164</f>
        <v>0</v>
      </c>
      <c r="AF15" s="99">
        <f>'Annual Summary'!E165</f>
        <v>0</v>
      </c>
      <c r="AG15" s="99">
        <f>'Annual Summary'!E166</f>
        <v>0</v>
      </c>
      <c r="AH15" s="99">
        <f>'Annual Summary'!E167</f>
        <v>0</v>
      </c>
      <c r="AI15" s="99">
        <f>'Annual Summary'!E168</f>
        <v>0</v>
      </c>
      <c r="AK15" s="53" t="s">
        <v>58</v>
      </c>
      <c r="AL15" s="54" t="s">
        <v>52</v>
      </c>
      <c r="AM15" s="99">
        <f>'Annual Summary'!G154</f>
        <v>79.69</v>
      </c>
      <c r="AN15" s="99">
        <f>'Annual Summary'!G155</f>
        <v>89.81</v>
      </c>
      <c r="AO15" s="99">
        <f>'Annual Summary'!G156</f>
        <v>89.81</v>
      </c>
      <c r="AP15" s="99">
        <f>'Annual Summary'!G157</f>
        <v>89.81</v>
      </c>
      <c r="AQ15" s="99">
        <f>'Annual Summary'!G158</f>
        <v>89.81</v>
      </c>
      <c r="AR15" s="99">
        <f>'Annual Summary'!G159</f>
        <v>89.81</v>
      </c>
      <c r="AS15" s="99">
        <f>'Annual Summary'!G160</f>
        <v>89.81</v>
      </c>
      <c r="AT15" s="99">
        <f>'Annual Summary'!G161</f>
        <v>89.81</v>
      </c>
      <c r="AU15" s="99">
        <f>'Annual Summary'!G162</f>
        <v>89.81</v>
      </c>
      <c r="AV15" s="99">
        <f>'Annual Summary'!G163</f>
        <v>89.81</v>
      </c>
      <c r="AW15" s="99">
        <f>'Annual Summary'!G164</f>
        <v>89.81</v>
      </c>
      <c r="AX15" s="99">
        <f>'Annual Summary'!G165</f>
        <v>89.81</v>
      </c>
      <c r="AY15" s="99">
        <f>'Annual Summary'!G166</f>
        <v>89.81</v>
      </c>
      <c r="AZ15" s="99">
        <f>'Annual Summary'!G167</f>
        <v>89.81</v>
      </c>
      <c r="BA15" s="99">
        <f>'Annual Summary'!G168</f>
        <v>89.81</v>
      </c>
      <c r="BB15">
        <v>60</v>
      </c>
    </row>
    <row r="16" spans="1:54" ht="15" customHeight="1" x14ac:dyDescent="0.35">
      <c r="A16" s="61" t="s">
        <v>50</v>
      </c>
      <c r="B16" s="62" t="s">
        <v>52</v>
      </c>
      <c r="C16" s="99">
        <f>'Annual Summary'!D169</f>
        <v>40.200000000000003</v>
      </c>
      <c r="D16" s="99">
        <f>'Annual Summary'!D170</f>
        <v>53.6</v>
      </c>
      <c r="E16" s="99">
        <f>'Annual Summary'!D171</f>
        <v>0</v>
      </c>
      <c r="F16" s="99">
        <f>'Annual Summary'!D172</f>
        <v>0</v>
      </c>
      <c r="G16" s="99">
        <f>'Annual Summary'!D173</f>
        <v>0</v>
      </c>
      <c r="H16" s="99">
        <f>'Annual Summary'!D174</f>
        <v>0</v>
      </c>
      <c r="I16" s="99">
        <f>'Annual Summary'!D175</f>
        <v>0</v>
      </c>
      <c r="J16" s="99">
        <f>'Annual Summary'!D176</f>
        <v>0</v>
      </c>
      <c r="K16" s="99">
        <f>'Annual Summary'!D177</f>
        <v>0</v>
      </c>
      <c r="L16" s="99">
        <f>'Annual Summary'!D178</f>
        <v>0</v>
      </c>
      <c r="M16" s="99">
        <f>'Annual Summary'!D179</f>
        <v>0</v>
      </c>
      <c r="N16" s="99">
        <f>'Annual Summary'!D180</f>
        <v>0</v>
      </c>
      <c r="O16" s="99">
        <f>'Annual Summary'!D181</f>
        <v>0</v>
      </c>
      <c r="P16" s="99">
        <f>'Annual Summary'!D182</f>
        <v>0</v>
      </c>
      <c r="Q16" s="99">
        <f>'Annual Summary'!D183</f>
        <v>0</v>
      </c>
      <c r="S16" s="61" t="s">
        <v>50</v>
      </c>
      <c r="T16" s="62" t="s">
        <v>52</v>
      </c>
      <c r="U16" s="99">
        <f>'Annual Summary'!E169</f>
        <v>100</v>
      </c>
      <c r="V16" s="99">
        <f>'Annual Summary'!E170</f>
        <v>75</v>
      </c>
      <c r="W16" s="99">
        <f>'Annual Summary'!E171</f>
        <v>0</v>
      </c>
      <c r="X16" s="99">
        <f>'Annual Summary'!E172</f>
        <v>0</v>
      </c>
      <c r="Y16" s="99">
        <f>'Annual Summary'!E173</f>
        <v>0</v>
      </c>
      <c r="Z16" s="99">
        <f>'Annual Summary'!E174</f>
        <v>0</v>
      </c>
      <c r="AA16" s="99">
        <f>'Annual Summary'!E175</f>
        <v>0</v>
      </c>
      <c r="AB16" s="99">
        <f>'Annual Summary'!E176</f>
        <v>0</v>
      </c>
      <c r="AC16" s="99">
        <f>'Annual Summary'!E177</f>
        <v>0</v>
      </c>
      <c r="AD16" s="99">
        <f>'Annual Summary'!E178</f>
        <v>0</v>
      </c>
      <c r="AE16" s="99">
        <f>'Annual Summary'!E179</f>
        <v>0</v>
      </c>
      <c r="AF16" s="99">
        <f>'Annual Summary'!E180</f>
        <v>0</v>
      </c>
      <c r="AG16" s="99">
        <f>'Annual Summary'!E181</f>
        <v>0</v>
      </c>
      <c r="AH16" s="99">
        <f>'Annual Summary'!E182</f>
        <v>0</v>
      </c>
      <c r="AI16" s="99">
        <f>'Annual Summary'!E183</f>
        <v>0</v>
      </c>
      <c r="AK16" s="61" t="s">
        <v>50</v>
      </c>
      <c r="AL16" s="62" t="s">
        <v>52</v>
      </c>
      <c r="AM16" s="99">
        <f>'Annual Summary'!G169</f>
        <v>155.88999999999999</v>
      </c>
      <c r="AN16" s="99">
        <f>'Annual Summary'!G170</f>
        <v>177.28999999999996</v>
      </c>
      <c r="AO16" s="99">
        <f>'Annual Summary'!G171</f>
        <v>177.28999999999996</v>
      </c>
      <c r="AP16" s="99">
        <f>'Annual Summary'!G172</f>
        <v>177.28999999999996</v>
      </c>
      <c r="AQ16" s="99">
        <f>'Annual Summary'!G173</f>
        <v>177.28999999999996</v>
      </c>
      <c r="AR16" s="99">
        <f>'Annual Summary'!G174</f>
        <v>177.28999999999996</v>
      </c>
      <c r="AS16" s="99">
        <f>'Annual Summary'!G175</f>
        <v>177.28999999999996</v>
      </c>
      <c r="AT16" s="99">
        <f>'Annual Summary'!G176</f>
        <v>177.28999999999996</v>
      </c>
      <c r="AU16" s="99">
        <f>'Annual Summary'!G177</f>
        <v>177.28999999999996</v>
      </c>
      <c r="AV16" s="99">
        <f>'Annual Summary'!G178</f>
        <v>177.28999999999996</v>
      </c>
      <c r="AW16" s="99">
        <f>'Annual Summary'!G179</f>
        <v>177.28999999999996</v>
      </c>
      <c r="AX16" s="99">
        <f>'Annual Summary'!G180</f>
        <v>177.28999999999996</v>
      </c>
      <c r="AY16" s="99">
        <f>'Annual Summary'!G181</f>
        <v>177.28999999999996</v>
      </c>
      <c r="AZ16" s="99">
        <f>'Annual Summary'!G182</f>
        <v>177.28999999999996</v>
      </c>
      <c r="BA16" s="99">
        <f>'Annual Summary'!G183</f>
        <v>177.28999999999996</v>
      </c>
      <c r="BB16">
        <v>20</v>
      </c>
    </row>
    <row r="18" spans="19:53" x14ac:dyDescent="0.35">
      <c r="S18" s="431" t="s">
        <v>938</v>
      </c>
      <c r="T18" s="431"/>
      <c r="U18" s="431"/>
      <c r="V18" s="431"/>
      <c r="W18" s="431"/>
      <c r="X18" s="431"/>
      <c r="Y18" s="431"/>
      <c r="Z18" s="431"/>
      <c r="AA18" s="431"/>
      <c r="AB18" s="431"/>
      <c r="AC18" s="431"/>
      <c r="AD18" s="431"/>
      <c r="AE18" s="431"/>
      <c r="AF18" s="431"/>
      <c r="AG18" s="431"/>
      <c r="AH18" s="431"/>
      <c r="AI18" s="431"/>
      <c r="AK18" s="432" t="s">
        <v>939</v>
      </c>
      <c r="AL18" s="432"/>
      <c r="AM18" s="432"/>
      <c r="AN18" s="432"/>
      <c r="AO18" s="432"/>
      <c r="AP18" s="432"/>
      <c r="AQ18" s="432"/>
      <c r="AR18" s="432"/>
      <c r="AS18" s="432"/>
      <c r="AT18" s="432"/>
      <c r="AU18" s="432"/>
      <c r="AV18" s="432"/>
      <c r="AW18" s="432"/>
      <c r="AX18" s="432"/>
      <c r="AY18" s="432"/>
      <c r="AZ18" s="432"/>
      <c r="BA18" s="432"/>
    </row>
    <row r="19" spans="19:53" x14ac:dyDescent="0.35">
      <c r="S19" s="207" t="s">
        <v>2</v>
      </c>
      <c r="T19" s="207" t="s">
        <v>4</v>
      </c>
      <c r="U19" s="207">
        <v>2026</v>
      </c>
      <c r="V19" s="207">
        <v>2027</v>
      </c>
      <c r="W19" s="207">
        <v>2028</v>
      </c>
      <c r="X19" s="207">
        <v>2029</v>
      </c>
      <c r="Y19" s="207">
        <v>2030</v>
      </c>
      <c r="Z19" s="207">
        <v>2031</v>
      </c>
      <c r="AA19" s="207">
        <v>2032</v>
      </c>
      <c r="AB19" s="207">
        <v>2033</v>
      </c>
      <c r="AC19" s="207">
        <v>2034</v>
      </c>
      <c r="AD19" s="207">
        <v>2035</v>
      </c>
      <c r="AE19" s="207">
        <v>2036</v>
      </c>
      <c r="AF19" s="207">
        <v>2037</v>
      </c>
      <c r="AG19" s="207">
        <v>2038</v>
      </c>
      <c r="AH19" s="207">
        <v>2039</v>
      </c>
      <c r="AI19" s="207">
        <v>2040</v>
      </c>
      <c r="AK19" s="214" t="s">
        <v>2</v>
      </c>
      <c r="AL19" s="214" t="s">
        <v>4</v>
      </c>
      <c r="AM19" s="214">
        <v>2026</v>
      </c>
      <c r="AN19" s="214">
        <v>2027</v>
      </c>
      <c r="AO19" s="214">
        <v>2028</v>
      </c>
      <c r="AP19" s="214">
        <v>2029</v>
      </c>
      <c r="AQ19" s="214">
        <v>2030</v>
      </c>
      <c r="AR19" s="214">
        <v>2031</v>
      </c>
      <c r="AS19" s="214">
        <v>2032</v>
      </c>
      <c r="AT19" s="214">
        <v>2033</v>
      </c>
      <c r="AU19" s="214">
        <v>2034</v>
      </c>
      <c r="AV19" s="214">
        <v>2035</v>
      </c>
      <c r="AW19" s="214">
        <v>2036</v>
      </c>
      <c r="AX19" s="214">
        <v>2037</v>
      </c>
      <c r="AY19" s="214">
        <v>2038</v>
      </c>
      <c r="AZ19" s="214">
        <v>2039</v>
      </c>
      <c r="BA19" s="214">
        <v>2040</v>
      </c>
    </row>
    <row r="20" spans="19:53" x14ac:dyDescent="0.35">
      <c r="S20" s="208" t="s">
        <v>26</v>
      </c>
      <c r="T20" s="209" t="s">
        <v>28</v>
      </c>
      <c r="U20" s="212">
        <f>IFERROR(U5/'Supplier Registry'!$E$5,0)</f>
        <v>2.1666666666666665</v>
      </c>
      <c r="V20" s="212">
        <f>IFERROR(V5/'Supplier Registry'!$E$5,0)</f>
        <v>0</v>
      </c>
      <c r="W20" s="212">
        <f>IFERROR(W5/'Supplier Registry'!$E$5,0)</f>
        <v>0</v>
      </c>
      <c r="X20" s="212">
        <f>IFERROR(X5/'Supplier Registry'!$E$5,0)</f>
        <v>0</v>
      </c>
      <c r="Y20" s="212">
        <f>IFERROR(Y5/'Supplier Registry'!$E$5,0)</f>
        <v>0</v>
      </c>
      <c r="Z20" s="212">
        <f>IFERROR(Z5/'Supplier Registry'!$E$5,0)</f>
        <v>0</v>
      </c>
      <c r="AA20" s="212">
        <f>IFERROR(AA5/'Supplier Registry'!$E$5,0)</f>
        <v>0</v>
      </c>
      <c r="AB20" s="212">
        <f>IFERROR(AB5/'Supplier Registry'!$E$5,0)</f>
        <v>0</v>
      </c>
      <c r="AC20" s="212">
        <f>IFERROR(AC5/'Supplier Registry'!$E$5,0)</f>
        <v>0</v>
      </c>
      <c r="AD20" s="212">
        <f>IFERROR(AD5/'Supplier Registry'!$E$5,0)</f>
        <v>0</v>
      </c>
      <c r="AE20" s="212">
        <f>IFERROR(AE5/'Supplier Registry'!$E$5,0)</f>
        <v>0</v>
      </c>
      <c r="AF20" s="212">
        <f>IFERROR(AF5/'Supplier Registry'!$E$5,0)</f>
        <v>0</v>
      </c>
      <c r="AG20" s="212">
        <f>IFERROR(AG5/'Supplier Registry'!$E$5,0)</f>
        <v>0</v>
      </c>
      <c r="AH20" s="212">
        <f>IFERROR(AH5/'Supplier Registry'!$E$5,0)</f>
        <v>0</v>
      </c>
      <c r="AI20" s="212">
        <f>IFERROR(AI5/'Supplier Registry'!$E$5,0)</f>
        <v>0</v>
      </c>
      <c r="AK20" s="208" t="s">
        <v>26</v>
      </c>
      <c r="AL20" s="209" t="s">
        <v>28</v>
      </c>
      <c r="AM20" s="215">
        <f t="shared" ref="AM20:AZ21" si="0">IFERROR(AM5/(D5/12),"")</f>
        <v>20.081947066658469</v>
      </c>
      <c r="AN20" s="215">
        <f t="shared" si="0"/>
        <v>3.6602920048706062</v>
      </c>
      <c r="AO20" s="215">
        <f t="shared" si="0"/>
        <v>-6.2565974544407617</v>
      </c>
      <c r="AP20" s="215">
        <f t="shared" si="0"/>
        <v>-14.773091806311182</v>
      </c>
      <c r="AQ20" s="215">
        <f t="shared" si="0"/>
        <v>-18.210785237913733</v>
      </c>
      <c r="AR20" s="215">
        <f t="shared" si="0"/>
        <v>-25.107984620713278</v>
      </c>
      <c r="AS20" s="215">
        <f t="shared" si="0"/>
        <v>-36.608424392056826</v>
      </c>
      <c r="AT20" s="215">
        <f t="shared" si="0"/>
        <v>-48.355344492875673</v>
      </c>
      <c r="AU20" s="215">
        <f t="shared" si="0"/>
        <v>-59.988698900769087</v>
      </c>
      <c r="AV20" s="215">
        <f t="shared" si="0"/>
        <v>-71.935135678764368</v>
      </c>
      <c r="AW20" s="215">
        <f t="shared" si="0"/>
        <v>-89.512017618300035</v>
      </c>
      <c r="AX20" s="215">
        <f t="shared" si="0"/>
        <v>-254.20510316399637</v>
      </c>
      <c r="AY20" s="215">
        <f t="shared" si="0"/>
        <v>-1186.615578707552</v>
      </c>
      <c r="AZ20" s="215">
        <f t="shared" si="0"/>
        <v>-1936.2874634209777</v>
      </c>
      <c r="BA20" s="216" t="s">
        <v>758</v>
      </c>
    </row>
    <row r="21" spans="19:53" x14ac:dyDescent="0.35">
      <c r="S21" s="348" t="s">
        <v>35</v>
      </c>
      <c r="T21" s="349" t="s">
        <v>28</v>
      </c>
      <c r="U21" s="350">
        <f>IFERROR(U6/'Supplier Registry'!$E$8,0)</f>
        <v>5.0000000000000001E-4</v>
      </c>
      <c r="V21" s="350">
        <f>IFERROR(V6/'Supplier Registry'!$E$8,0)</f>
        <v>0</v>
      </c>
      <c r="W21" s="350">
        <f>IFERROR(W6/'Supplier Registry'!$E$8,0)</f>
        <v>0</v>
      </c>
      <c r="X21" s="350">
        <f>IFERROR(X6/'Supplier Registry'!$E$8,0)</f>
        <v>0</v>
      </c>
      <c r="Y21" s="350">
        <f>IFERROR(Y6/'Supplier Registry'!$E$8,0)</f>
        <v>0</v>
      </c>
      <c r="Z21" s="350">
        <f>IFERROR(Z6/'Supplier Registry'!$E$8,0)</f>
        <v>0</v>
      </c>
      <c r="AA21" s="350">
        <f>IFERROR(AA6/'Supplier Registry'!$E$8,0)</f>
        <v>0</v>
      </c>
      <c r="AB21" s="350">
        <f>IFERROR(AB6/'Supplier Registry'!$E$8,0)</f>
        <v>0</v>
      </c>
      <c r="AC21" s="350">
        <f>IFERROR(AC6/'Supplier Registry'!$E$8,0)</f>
        <v>0</v>
      </c>
      <c r="AD21" s="350">
        <f>IFERROR(AD6/'Supplier Registry'!$E$8,0)</f>
        <v>0</v>
      </c>
      <c r="AE21" s="350">
        <f>IFERROR(AE6/'Supplier Registry'!$E$8,0)</f>
        <v>0</v>
      </c>
      <c r="AF21" s="350">
        <f>IFERROR(AF6/'Supplier Registry'!$E$8,0)</f>
        <v>0</v>
      </c>
      <c r="AG21" s="350">
        <f>IFERROR(AG6/'Supplier Registry'!$E$8,0)</f>
        <v>0</v>
      </c>
      <c r="AH21" s="350">
        <f>IFERROR(AH6/'Supplier Registry'!$E$8,0)</f>
        <v>0</v>
      </c>
      <c r="AI21" s="350">
        <f>IFERROR(AI6/'Supplier Registry'!$E$8,0)</f>
        <v>0</v>
      </c>
      <c r="AK21" s="348" t="s">
        <v>35</v>
      </c>
      <c r="AL21" s="349" t="s">
        <v>28</v>
      </c>
      <c r="AM21" s="354">
        <f t="shared" si="0"/>
        <v>15.630130102420523</v>
      </c>
      <c r="AN21" s="354">
        <f t="shared" si="0"/>
        <v>1.6248331110454455</v>
      </c>
      <c r="AO21" s="354">
        <f t="shared" si="0"/>
        <v>-7.7664748099850165</v>
      </c>
      <c r="AP21" s="354">
        <f t="shared" si="0"/>
        <v>-16.031198490019108</v>
      </c>
      <c r="AQ21" s="354">
        <f t="shared" si="0"/>
        <v>-19.058944083358011</v>
      </c>
      <c r="AR21" s="354">
        <f t="shared" si="0"/>
        <v>-25.789746273390158</v>
      </c>
      <c r="AS21" s="354">
        <f t="shared" si="0"/>
        <v>-37.278714533584278</v>
      </c>
      <c r="AT21" s="354">
        <f t="shared" si="0"/>
        <v>-49.021601860562697</v>
      </c>
      <c r="AU21" s="354">
        <f t="shared" si="0"/>
        <v>-60.650479560951887</v>
      </c>
      <c r="AV21" s="354">
        <f t="shared" si="0"/>
        <v>-72.596038841095492</v>
      </c>
      <c r="AW21" s="354">
        <f t="shared" si="0"/>
        <v>-90.216448668842034</v>
      </c>
      <c r="AX21" s="354">
        <f t="shared" si="0"/>
        <v>-255.96590295320672</v>
      </c>
      <c r="AY21" s="354">
        <f t="shared" si="0"/>
        <v>-1194.4555590848711</v>
      </c>
      <c r="AZ21" s="354">
        <f t="shared" si="0"/>
        <v>-1948.9916913507834</v>
      </c>
      <c r="BA21" s="355" t="s">
        <v>758</v>
      </c>
    </row>
    <row r="22" spans="19:53" x14ac:dyDescent="0.35">
      <c r="S22" s="208" t="s">
        <v>959</v>
      </c>
      <c r="T22" s="209" t="s">
        <v>28</v>
      </c>
      <c r="U22" s="212">
        <f>IFERROR(U7/'Supplier Registry'!$E$10,0)</f>
        <v>0</v>
      </c>
      <c r="V22" s="212">
        <f>IFERROR(V7/'Supplier Registry'!$E$10,0)</f>
        <v>0</v>
      </c>
      <c r="W22" s="212">
        <f>IFERROR(W7/'Supplier Registry'!$E$10,0)</f>
        <v>0</v>
      </c>
      <c r="X22" s="212">
        <f>IFERROR(X7/'Supplier Registry'!$E$10,0)</f>
        <v>0</v>
      </c>
      <c r="Y22" s="212">
        <f>IFERROR(Y7/'Supplier Registry'!$E$10,0)</f>
        <v>0</v>
      </c>
      <c r="Z22" s="212">
        <f>IFERROR(Z7/'Supplier Registry'!$E$10,0)</f>
        <v>0</v>
      </c>
      <c r="AA22" s="212">
        <f>IFERROR(AA7/'Supplier Registry'!$E$10,0)</f>
        <v>0</v>
      </c>
      <c r="AB22" s="212">
        <f>IFERROR(AB7/'Supplier Registry'!$E$10,0)</f>
        <v>0</v>
      </c>
      <c r="AC22" s="212">
        <f>IFERROR(AC7/'Supplier Registry'!$E$10,0)</f>
        <v>0</v>
      </c>
      <c r="AD22" s="212">
        <f>IFERROR(AD7/'Supplier Registry'!$E$10,0)</f>
        <v>0</v>
      </c>
      <c r="AE22" s="212">
        <f>IFERROR(AE7/'Supplier Registry'!$E$10,0)</f>
        <v>0</v>
      </c>
      <c r="AF22" s="212">
        <f>IFERROR(AF7/'Supplier Registry'!$E$10,0)</f>
        <v>0</v>
      </c>
      <c r="AG22" s="212">
        <f>IFERROR(AG7/'Supplier Registry'!$E$10,0)</f>
        <v>0</v>
      </c>
      <c r="AH22" s="212">
        <f>IFERROR(AH7/'Supplier Registry'!$E$10,0)</f>
        <v>0</v>
      </c>
      <c r="AI22" s="212">
        <f>IFERROR(AI7/'Supplier Registry'!$E$10,0)</f>
        <v>0</v>
      </c>
      <c r="AK22" s="208" t="s">
        <v>959</v>
      </c>
      <c r="AL22" s="209" t="s">
        <v>28</v>
      </c>
      <c r="AM22" s="215" t="str">
        <f t="shared" ref="AM22:BA23" si="1">IFERROR(AM7/(C7/12),"")</f>
        <v/>
      </c>
      <c r="AN22" s="215" t="str">
        <f t="shared" si="1"/>
        <v/>
      </c>
      <c r="AO22" s="215" t="str">
        <f t="shared" si="1"/>
        <v/>
      </c>
      <c r="AP22" s="215" t="str">
        <f t="shared" si="1"/>
        <v/>
      </c>
      <c r="AQ22" s="215" t="str">
        <f t="shared" si="1"/>
        <v/>
      </c>
      <c r="AR22" s="215" t="str">
        <f t="shared" si="1"/>
        <v/>
      </c>
      <c r="AS22" s="215" t="str">
        <f t="shared" si="1"/>
        <v/>
      </c>
      <c r="AT22" s="215" t="str">
        <f t="shared" si="1"/>
        <v/>
      </c>
      <c r="AU22" s="215" t="str">
        <f t="shared" si="1"/>
        <v/>
      </c>
      <c r="AV22" s="215" t="str">
        <f t="shared" si="1"/>
        <v/>
      </c>
      <c r="AW22" s="215" t="str">
        <f t="shared" si="1"/>
        <v/>
      </c>
      <c r="AX22" s="215" t="str">
        <f t="shared" si="1"/>
        <v/>
      </c>
      <c r="AY22" s="215" t="str">
        <f t="shared" si="1"/>
        <v/>
      </c>
      <c r="AZ22" s="215" t="str">
        <f t="shared" si="1"/>
        <v/>
      </c>
      <c r="BA22" s="219" t="str">
        <f t="shared" si="1"/>
        <v/>
      </c>
    </row>
    <row r="23" spans="19:53" x14ac:dyDescent="0.35">
      <c r="S23" s="210" t="s">
        <v>960</v>
      </c>
      <c r="T23" s="211" t="s">
        <v>28</v>
      </c>
      <c r="U23" s="213">
        <f>IFERROR(U8/'Supplier Registry'!$E$11,0)</f>
        <v>0</v>
      </c>
      <c r="V23" s="213">
        <f>IFERROR(V8/'Supplier Registry'!$E$11,0)</f>
        <v>0</v>
      </c>
      <c r="W23" s="213">
        <f>IFERROR(W8/'Supplier Registry'!$E$11,0)</f>
        <v>0</v>
      </c>
      <c r="X23" s="213">
        <f>IFERROR(X8/'Supplier Registry'!$E$11,0)</f>
        <v>0</v>
      </c>
      <c r="Y23" s="213">
        <f>IFERROR(Y8/'Supplier Registry'!$E$11,0)</f>
        <v>0</v>
      </c>
      <c r="Z23" s="213">
        <f>IFERROR(Z8/'Supplier Registry'!$E$11,0)</f>
        <v>0</v>
      </c>
      <c r="AA23" s="213">
        <f>IFERROR(AA8/'Supplier Registry'!$E$11,0)</f>
        <v>0</v>
      </c>
      <c r="AB23" s="213">
        <f>IFERROR(AB8/'Supplier Registry'!$E$11,0)</f>
        <v>0</v>
      </c>
      <c r="AC23" s="213">
        <f>IFERROR(AC8/'Supplier Registry'!$E$11,0)</f>
        <v>0</v>
      </c>
      <c r="AD23" s="213">
        <f>IFERROR(AD8/'Supplier Registry'!$E$11,0)</f>
        <v>0</v>
      </c>
      <c r="AE23" s="213">
        <f>IFERROR(AE8/'Supplier Registry'!$E$11,0)</f>
        <v>0</v>
      </c>
      <c r="AF23" s="213">
        <f>IFERROR(AF8/'Supplier Registry'!$E$11,0)</f>
        <v>0</v>
      </c>
      <c r="AG23" s="213">
        <f>IFERROR(AG8/'Supplier Registry'!$E$11,0)</f>
        <v>0</v>
      </c>
      <c r="AH23" s="213">
        <f>IFERROR(AH8/'Supplier Registry'!$E$11,0)</f>
        <v>0</v>
      </c>
      <c r="AI23" s="213">
        <f>IFERROR(AI8/'Supplier Registry'!$E$11,0)</f>
        <v>0</v>
      </c>
      <c r="AK23" s="210" t="s">
        <v>960</v>
      </c>
      <c r="AL23" s="211" t="s">
        <v>28</v>
      </c>
      <c r="AM23" s="217" t="str">
        <f t="shared" si="1"/>
        <v/>
      </c>
      <c r="AN23" s="217" t="str">
        <f t="shared" si="1"/>
        <v/>
      </c>
      <c r="AO23" s="217" t="str">
        <f t="shared" si="1"/>
        <v/>
      </c>
      <c r="AP23" s="217" t="str">
        <f t="shared" si="1"/>
        <v/>
      </c>
      <c r="AQ23" s="217" t="str">
        <f t="shared" si="1"/>
        <v/>
      </c>
      <c r="AR23" s="217" t="str">
        <f t="shared" si="1"/>
        <v/>
      </c>
      <c r="AS23" s="217" t="str">
        <f t="shared" si="1"/>
        <v/>
      </c>
      <c r="AT23" s="217" t="str">
        <f t="shared" si="1"/>
        <v/>
      </c>
      <c r="AU23" s="217" t="str">
        <f t="shared" si="1"/>
        <v/>
      </c>
      <c r="AV23" s="217" t="str">
        <f t="shared" si="1"/>
        <v/>
      </c>
      <c r="AW23" s="217" t="str">
        <f t="shared" si="1"/>
        <v/>
      </c>
      <c r="AX23" s="217" t="str">
        <f t="shared" si="1"/>
        <v/>
      </c>
      <c r="AY23" s="217" t="str">
        <f t="shared" si="1"/>
        <v/>
      </c>
      <c r="AZ23" s="217" t="str">
        <f t="shared" si="1"/>
        <v/>
      </c>
      <c r="BA23" s="218" t="str">
        <f t="shared" si="1"/>
        <v/>
      </c>
    </row>
    <row r="24" spans="19:53" x14ac:dyDescent="0.35">
      <c r="S24" s="351" t="s">
        <v>36</v>
      </c>
      <c r="T24" s="352" t="s">
        <v>38</v>
      </c>
      <c r="U24" s="353">
        <f>IFERROR(U9/'Supplier Registry'!$E$12,0)</f>
        <v>2</v>
      </c>
      <c r="V24" s="353">
        <f>IFERROR(V9/'Supplier Registry'!$E$12,0)</f>
        <v>0</v>
      </c>
      <c r="W24" s="353">
        <f>IFERROR(W9/'Supplier Registry'!$E$12,0)</f>
        <v>5.2592592592592595</v>
      </c>
      <c r="X24" s="353">
        <f>IFERROR(X9/'Supplier Registry'!$E$12,0)</f>
        <v>0</v>
      </c>
      <c r="Y24" s="353">
        <f>IFERROR(Y9/'Supplier Registry'!$E$12,0)</f>
        <v>0</v>
      </c>
      <c r="Z24" s="353">
        <f>IFERROR(Z9/'Supplier Registry'!$E$12,0)</f>
        <v>0</v>
      </c>
      <c r="AA24" s="353">
        <f>IFERROR(AA9/'Supplier Registry'!$E$12,0)</f>
        <v>0</v>
      </c>
      <c r="AB24" s="353">
        <f>IFERROR(AB9/'Supplier Registry'!$E$12,0)</f>
        <v>0</v>
      </c>
      <c r="AC24" s="353">
        <f>IFERROR(AC9/'Supplier Registry'!$E$12,0)</f>
        <v>0</v>
      </c>
      <c r="AD24" s="353">
        <f>IFERROR(AD9/'Supplier Registry'!$E$12,0)</f>
        <v>0</v>
      </c>
      <c r="AE24" s="353">
        <f>IFERROR(AE9/'Supplier Registry'!$E$12,0)</f>
        <v>0</v>
      </c>
      <c r="AF24" s="353">
        <f>IFERROR(AF9/'Supplier Registry'!$E$12,0)</f>
        <v>0</v>
      </c>
      <c r="AG24" s="353">
        <f>IFERROR(AG9/'Supplier Registry'!$E$12,0)</f>
        <v>0</v>
      </c>
      <c r="AH24" s="353">
        <f>IFERROR(AH9/'Supplier Registry'!$E$12,0)</f>
        <v>0</v>
      </c>
      <c r="AI24" s="353">
        <f>IFERROR(AI9/'Supplier Registry'!$E$12,0)</f>
        <v>0</v>
      </c>
      <c r="AK24" s="351" t="s">
        <v>36</v>
      </c>
      <c r="AL24" s="352" t="s">
        <v>38</v>
      </c>
      <c r="AM24" s="356" t="str">
        <f t="shared" ref="AM24:AM31" si="2">IFERROR(AM9/(D9/12),"")</f>
        <v/>
      </c>
      <c r="AN24" s="356" t="str">
        <f t="shared" ref="AN24:AN31" si="3">IFERROR(AN9/(E9/12),"")</f>
        <v/>
      </c>
      <c r="AO24" s="356" t="str">
        <f t="shared" ref="AO24:AO31" si="4">IFERROR(AO9/(F9/12),"")</f>
        <v/>
      </c>
      <c r="AP24" s="356" t="str">
        <f t="shared" ref="AP24:AP31" si="5">IFERROR(AP9/(G9/12),"")</f>
        <v/>
      </c>
      <c r="AQ24" s="356" t="str">
        <f t="shared" ref="AQ24:AQ31" si="6">IFERROR(AQ9/(H9/12),"")</f>
        <v/>
      </c>
      <c r="AR24" s="356" t="str">
        <f t="shared" ref="AR24:AR31" si="7">IFERROR(AR9/(I9/12),"")</f>
        <v/>
      </c>
      <c r="AS24" s="356" t="str">
        <f t="shared" ref="AS24:AS31" si="8">IFERROR(AS9/(J9/12),"")</f>
        <v/>
      </c>
      <c r="AT24" s="356" t="str">
        <f t="shared" ref="AT24:AT31" si="9">IFERROR(AT9/(K9/12),"")</f>
        <v/>
      </c>
      <c r="AU24" s="356" t="str">
        <f t="shared" ref="AU24:AU31" si="10">IFERROR(AU9/(L9/12),"")</f>
        <v/>
      </c>
      <c r="AV24" s="356" t="str">
        <f t="shared" ref="AV24:AV31" si="11">IFERROR(AV9/(M9/12),"")</f>
        <v/>
      </c>
      <c r="AW24" s="356" t="str">
        <f t="shared" ref="AW24:AW31" si="12">IFERROR(AW9/(N9/12),"")</f>
        <v/>
      </c>
      <c r="AX24" s="356" t="str">
        <f t="shared" ref="AX24:AX31" si="13">IFERROR(AX9/(O9/12),"")</f>
        <v/>
      </c>
      <c r="AY24" s="356" t="str">
        <f t="shared" ref="AY24:AY31" si="14">IFERROR(AY9/(P9/12),"")</f>
        <v/>
      </c>
      <c r="AZ24" s="356" t="str">
        <f t="shared" ref="AZ24:AZ31" si="15">IFERROR(AZ9/(Q9/12),"")</f>
        <v/>
      </c>
      <c r="BA24" s="357" t="s">
        <v>758</v>
      </c>
    </row>
    <row r="25" spans="19:53" x14ac:dyDescent="0.35">
      <c r="S25" s="210" t="s">
        <v>43</v>
      </c>
      <c r="T25" s="211" t="s">
        <v>38</v>
      </c>
      <c r="U25" s="213">
        <f>IFERROR(U10/'Supplier Registry'!$E$15,0)</f>
        <v>8</v>
      </c>
      <c r="V25" s="213">
        <f>IFERROR(V10/'Supplier Registry'!$E$15,0)</f>
        <v>0</v>
      </c>
      <c r="W25" s="213">
        <f>IFERROR(W10/'Supplier Registry'!$E$15,0)</f>
        <v>10.95</v>
      </c>
      <c r="X25" s="213">
        <f>IFERROR(X10/'Supplier Registry'!$E$15,0)</f>
        <v>0</v>
      </c>
      <c r="Y25" s="213">
        <f>IFERROR(Y10/'Supplier Registry'!$E$15,0)</f>
        <v>0</v>
      </c>
      <c r="Z25" s="213">
        <f>IFERROR(Z10/'Supplier Registry'!$E$15,0)</f>
        <v>0</v>
      </c>
      <c r="AA25" s="213">
        <f>IFERROR(AA10/'Supplier Registry'!$E$15,0)</f>
        <v>0</v>
      </c>
      <c r="AB25" s="213">
        <f>IFERROR(AB10/'Supplier Registry'!$E$15,0)</f>
        <v>0</v>
      </c>
      <c r="AC25" s="213">
        <f>IFERROR(AC10/'Supplier Registry'!$E$15,0)</f>
        <v>0</v>
      </c>
      <c r="AD25" s="213">
        <f>IFERROR(AD10/'Supplier Registry'!$E$15,0)</f>
        <v>0</v>
      </c>
      <c r="AE25" s="213">
        <f>IFERROR(AE10/'Supplier Registry'!$E$15,0)</f>
        <v>0</v>
      </c>
      <c r="AF25" s="213">
        <f>IFERROR(AF10/'Supplier Registry'!$E$15,0)</f>
        <v>0</v>
      </c>
      <c r="AG25" s="213">
        <f>IFERROR(AG10/'Supplier Registry'!$E$15,0)</f>
        <v>0</v>
      </c>
      <c r="AH25" s="213">
        <f>IFERROR(AH10/'Supplier Registry'!$E$15,0)</f>
        <v>0</v>
      </c>
      <c r="AI25" s="213">
        <f>IFERROR(AI10/'Supplier Registry'!$E$15,0)</f>
        <v>0</v>
      </c>
      <c r="AK25" s="210" t="s">
        <v>43</v>
      </c>
      <c r="AL25" s="211" t="s">
        <v>38</v>
      </c>
      <c r="AM25" s="217" t="str">
        <f t="shared" si="2"/>
        <v/>
      </c>
      <c r="AN25" s="217" t="str">
        <f t="shared" si="3"/>
        <v/>
      </c>
      <c r="AO25" s="217" t="str">
        <f t="shared" si="4"/>
        <v/>
      </c>
      <c r="AP25" s="217" t="str">
        <f t="shared" si="5"/>
        <v/>
      </c>
      <c r="AQ25" s="217" t="str">
        <f t="shared" si="6"/>
        <v/>
      </c>
      <c r="AR25" s="217" t="str">
        <f t="shared" si="7"/>
        <v/>
      </c>
      <c r="AS25" s="217" t="str">
        <f t="shared" si="8"/>
        <v/>
      </c>
      <c r="AT25" s="217" t="str">
        <f t="shared" si="9"/>
        <v/>
      </c>
      <c r="AU25" s="217" t="str">
        <f t="shared" si="10"/>
        <v/>
      </c>
      <c r="AV25" s="217" t="str">
        <f t="shared" si="11"/>
        <v/>
      </c>
      <c r="AW25" s="217" t="str">
        <f t="shared" si="12"/>
        <v/>
      </c>
      <c r="AX25" s="217" t="str">
        <f t="shared" si="13"/>
        <v/>
      </c>
      <c r="AY25" s="217" t="str">
        <f t="shared" si="14"/>
        <v/>
      </c>
      <c r="AZ25" s="217" t="str">
        <f t="shared" si="15"/>
        <v/>
      </c>
      <c r="BA25" s="218" t="s">
        <v>758</v>
      </c>
    </row>
    <row r="26" spans="19:53" x14ac:dyDescent="0.35">
      <c r="S26" s="208" t="s">
        <v>45</v>
      </c>
      <c r="T26" s="209" t="s">
        <v>47</v>
      </c>
      <c r="U26" s="212">
        <f>IFERROR(U11/'Supplier Registry'!$E$17,0)</f>
        <v>6</v>
      </c>
      <c r="V26" s="212">
        <f>IFERROR(V11/'Supplier Registry'!$E$17,0)</f>
        <v>8</v>
      </c>
      <c r="W26" s="212">
        <f>IFERROR(W11/'Supplier Registry'!$E$17,0)</f>
        <v>0</v>
      </c>
      <c r="X26" s="212">
        <f>IFERROR(X11/'Supplier Registry'!$E$17,0)</f>
        <v>0</v>
      </c>
      <c r="Y26" s="212">
        <f>IFERROR(Y11/'Supplier Registry'!$E$17,0)</f>
        <v>0</v>
      </c>
      <c r="Z26" s="212">
        <f>IFERROR(Z11/'Supplier Registry'!$E$17,0)</f>
        <v>0</v>
      </c>
      <c r="AA26" s="212">
        <f>IFERROR(AA11/'Supplier Registry'!$E$17,0)</f>
        <v>0</v>
      </c>
      <c r="AB26" s="212">
        <f>IFERROR(AB11/'Supplier Registry'!$E$17,0)</f>
        <v>0</v>
      </c>
      <c r="AC26" s="212">
        <f>IFERROR(AC11/'Supplier Registry'!$E$17,0)</f>
        <v>0</v>
      </c>
      <c r="AD26" s="212">
        <f>IFERROR(AD11/'Supplier Registry'!$E$17,0)</f>
        <v>0</v>
      </c>
      <c r="AE26" s="212">
        <f>IFERROR(AE11/'Supplier Registry'!$E$17,0)</f>
        <v>0</v>
      </c>
      <c r="AF26" s="212">
        <f>IFERROR(AF11/'Supplier Registry'!$E$17,0)</f>
        <v>0</v>
      </c>
      <c r="AG26" s="212">
        <f>IFERROR(AG11/'Supplier Registry'!$E$17,0)</f>
        <v>0</v>
      </c>
      <c r="AH26" s="212">
        <f>IFERROR(AH11/'Supplier Registry'!$E$17,0)</f>
        <v>0</v>
      </c>
      <c r="AI26" s="212">
        <f>IFERROR(AI11/'Supplier Registry'!$E$17,0)</f>
        <v>0</v>
      </c>
      <c r="AK26" s="208" t="s">
        <v>45</v>
      </c>
      <c r="AL26" s="209" t="s">
        <v>47</v>
      </c>
      <c r="AM26" s="215" t="str">
        <f t="shared" si="2"/>
        <v/>
      </c>
      <c r="AN26" s="215">
        <f t="shared" si="3"/>
        <v>27.250089637536366</v>
      </c>
      <c r="AO26" s="215" t="str">
        <f t="shared" si="4"/>
        <v/>
      </c>
      <c r="AP26" s="215" t="str">
        <f t="shared" si="5"/>
        <v/>
      </c>
      <c r="AQ26" s="215" t="str">
        <f t="shared" si="6"/>
        <v/>
      </c>
      <c r="AR26" s="215" t="str">
        <f t="shared" si="7"/>
        <v/>
      </c>
      <c r="AS26" s="215" t="str">
        <f t="shared" si="8"/>
        <v/>
      </c>
      <c r="AT26" s="215" t="str">
        <f t="shared" si="9"/>
        <v/>
      </c>
      <c r="AU26" s="215" t="str">
        <f t="shared" si="10"/>
        <v/>
      </c>
      <c r="AV26" s="215" t="str">
        <f t="shared" si="11"/>
        <v/>
      </c>
      <c r="AW26" s="215" t="str">
        <f t="shared" si="12"/>
        <v/>
      </c>
      <c r="AX26" s="215" t="str">
        <f t="shared" si="13"/>
        <v/>
      </c>
      <c r="AY26" s="215" t="str">
        <f t="shared" si="14"/>
        <v/>
      </c>
      <c r="AZ26" s="215" t="str">
        <f t="shared" si="15"/>
        <v/>
      </c>
      <c r="BA26" s="219" t="s">
        <v>758</v>
      </c>
    </row>
    <row r="27" spans="19:53" x14ac:dyDescent="0.35">
      <c r="S27" s="210" t="s">
        <v>54</v>
      </c>
      <c r="T27" s="211" t="s">
        <v>52</v>
      </c>
      <c r="U27" s="213">
        <f>IFERROR(U12/'Supplier Registry'!$E$21,0)</f>
        <v>0</v>
      </c>
      <c r="V27" s="213">
        <f>IFERROR(V12/'Supplier Registry'!$E$21,0)</f>
        <v>1</v>
      </c>
      <c r="W27" s="213">
        <f>IFERROR(W12/'Supplier Registry'!$E$21,0)</f>
        <v>0</v>
      </c>
      <c r="X27" s="213">
        <f>IFERROR(X12/'Supplier Registry'!$E$21,0)</f>
        <v>0</v>
      </c>
      <c r="Y27" s="213">
        <f>IFERROR(Y12/'Supplier Registry'!$E$21,0)</f>
        <v>0</v>
      </c>
      <c r="Z27" s="213">
        <f>IFERROR(Z12/'Supplier Registry'!$E$21,0)</f>
        <v>0</v>
      </c>
      <c r="AA27" s="213">
        <f>IFERROR(AA12/'Supplier Registry'!$E$21,0)</f>
        <v>0</v>
      </c>
      <c r="AB27" s="213">
        <f>IFERROR(AB12/'Supplier Registry'!$E$21,0)</f>
        <v>0</v>
      </c>
      <c r="AC27" s="213">
        <f>IFERROR(AC12/'Supplier Registry'!$E$21,0)</f>
        <v>0</v>
      </c>
      <c r="AD27" s="213">
        <f>IFERROR(AD12/'Supplier Registry'!$E$21,0)</f>
        <v>0</v>
      </c>
      <c r="AE27" s="213">
        <f>IFERROR(AE12/'Supplier Registry'!$E$21,0)</f>
        <v>0</v>
      </c>
      <c r="AF27" s="213">
        <f>IFERROR(AF12/'Supplier Registry'!$E$21,0)</f>
        <v>0</v>
      </c>
      <c r="AG27" s="213">
        <f>IFERROR(AG12/'Supplier Registry'!$E$21,0)</f>
        <v>0</v>
      </c>
      <c r="AH27" s="213">
        <f>IFERROR(AH12/'Supplier Registry'!$E$21,0)</f>
        <v>0</v>
      </c>
      <c r="AI27" s="213">
        <f>IFERROR(AI12/'Supplier Registry'!$E$21,0)</f>
        <v>0</v>
      </c>
      <c r="AK27" s="210" t="s">
        <v>54</v>
      </c>
      <c r="AL27" s="211" t="s">
        <v>52</v>
      </c>
      <c r="AM27" s="217">
        <f t="shared" si="2"/>
        <v>10.150544959128066</v>
      </c>
      <c r="AN27" s="217" t="str">
        <f t="shared" si="3"/>
        <v/>
      </c>
      <c r="AO27" s="217" t="str">
        <f t="shared" si="4"/>
        <v/>
      </c>
      <c r="AP27" s="217" t="str">
        <f t="shared" si="5"/>
        <v/>
      </c>
      <c r="AQ27" s="217" t="str">
        <f t="shared" si="6"/>
        <v/>
      </c>
      <c r="AR27" s="217" t="str">
        <f t="shared" si="7"/>
        <v/>
      </c>
      <c r="AS27" s="217" t="str">
        <f t="shared" si="8"/>
        <v/>
      </c>
      <c r="AT27" s="217" t="str">
        <f t="shared" si="9"/>
        <v/>
      </c>
      <c r="AU27" s="217" t="str">
        <f t="shared" si="10"/>
        <v/>
      </c>
      <c r="AV27" s="217" t="str">
        <f t="shared" si="11"/>
        <v/>
      </c>
      <c r="AW27" s="217" t="str">
        <f t="shared" si="12"/>
        <v/>
      </c>
      <c r="AX27" s="217" t="str">
        <f t="shared" si="13"/>
        <v/>
      </c>
      <c r="AY27" s="217" t="str">
        <f t="shared" si="14"/>
        <v/>
      </c>
      <c r="AZ27" s="217" t="str">
        <f t="shared" si="15"/>
        <v/>
      </c>
      <c r="BA27" s="218" t="s">
        <v>758</v>
      </c>
    </row>
    <row r="28" spans="19:53" x14ac:dyDescent="0.35">
      <c r="S28" s="208" t="s">
        <v>56</v>
      </c>
      <c r="T28" s="209" t="s">
        <v>52</v>
      </c>
      <c r="U28" s="212">
        <f>IFERROR(U13/'Supplier Registry'!$E$23,0)</f>
        <v>0</v>
      </c>
      <c r="V28" s="212">
        <f>IFERROR(V13/'Supplier Registry'!$E$23,0)</f>
        <v>1</v>
      </c>
      <c r="W28" s="212">
        <f>IFERROR(W13/'Supplier Registry'!$E$23,0)</f>
        <v>0</v>
      </c>
      <c r="X28" s="212">
        <f>IFERROR(X13/'Supplier Registry'!$E$23,0)</f>
        <v>0</v>
      </c>
      <c r="Y28" s="212">
        <f>IFERROR(Y13/'Supplier Registry'!$E$23,0)</f>
        <v>0</v>
      </c>
      <c r="Z28" s="212">
        <f>IFERROR(Z13/'Supplier Registry'!$E$23,0)</f>
        <v>0</v>
      </c>
      <c r="AA28" s="212">
        <f>IFERROR(AA13/'Supplier Registry'!$E$23,0)</f>
        <v>0</v>
      </c>
      <c r="AB28" s="212">
        <f>IFERROR(AB13/'Supplier Registry'!$E$23,0)</f>
        <v>0</v>
      </c>
      <c r="AC28" s="212">
        <f>IFERROR(AC13/'Supplier Registry'!$E$23,0)</f>
        <v>0</v>
      </c>
      <c r="AD28" s="212">
        <f>IFERROR(AD13/'Supplier Registry'!$E$23,0)</f>
        <v>0</v>
      </c>
      <c r="AE28" s="212">
        <f>IFERROR(AE13/'Supplier Registry'!$E$23,0)</f>
        <v>0</v>
      </c>
      <c r="AF28" s="212">
        <f>IFERROR(AF13/'Supplier Registry'!$E$23,0)</f>
        <v>0</v>
      </c>
      <c r="AG28" s="212">
        <f>IFERROR(AG13/'Supplier Registry'!$E$23,0)</f>
        <v>0</v>
      </c>
      <c r="AH28" s="212">
        <f>IFERROR(AH13/'Supplier Registry'!$E$23,0)</f>
        <v>0</v>
      </c>
      <c r="AI28" s="212">
        <f>IFERROR(AI13/'Supplier Registry'!$E$23,0)</f>
        <v>0</v>
      </c>
      <c r="AK28" s="208" t="s">
        <v>56</v>
      </c>
      <c r="AL28" s="209" t="s">
        <v>52</v>
      </c>
      <c r="AM28" s="215">
        <f t="shared" si="2"/>
        <v>10.217532467532466</v>
      </c>
      <c r="AN28" s="215" t="str">
        <f t="shared" si="3"/>
        <v/>
      </c>
      <c r="AO28" s="215" t="str">
        <f t="shared" si="4"/>
        <v/>
      </c>
      <c r="AP28" s="215" t="str">
        <f t="shared" si="5"/>
        <v/>
      </c>
      <c r="AQ28" s="215" t="str">
        <f t="shared" si="6"/>
        <v/>
      </c>
      <c r="AR28" s="215" t="str">
        <f t="shared" si="7"/>
        <v/>
      </c>
      <c r="AS28" s="215" t="str">
        <f t="shared" si="8"/>
        <v/>
      </c>
      <c r="AT28" s="215" t="str">
        <f t="shared" si="9"/>
        <v/>
      </c>
      <c r="AU28" s="215" t="str">
        <f t="shared" si="10"/>
        <v/>
      </c>
      <c r="AV28" s="215" t="str">
        <f t="shared" si="11"/>
        <v/>
      </c>
      <c r="AW28" s="215" t="str">
        <f t="shared" si="12"/>
        <v/>
      </c>
      <c r="AX28" s="215" t="str">
        <f t="shared" si="13"/>
        <v/>
      </c>
      <c r="AY28" s="215" t="str">
        <f t="shared" si="14"/>
        <v/>
      </c>
      <c r="AZ28" s="215" t="str">
        <f t="shared" si="15"/>
        <v/>
      </c>
      <c r="BA28" s="219" t="s">
        <v>758</v>
      </c>
    </row>
    <row r="29" spans="19:53" x14ac:dyDescent="0.35">
      <c r="S29" s="210" t="s">
        <v>57</v>
      </c>
      <c r="T29" s="211" t="s">
        <v>52</v>
      </c>
      <c r="U29" s="213">
        <f>IFERROR(U14/'Supplier Registry'!$E$25,0)</f>
        <v>0</v>
      </c>
      <c r="V29" s="213">
        <f>IFERROR(V14/'Supplier Registry'!$E$25,0)</f>
        <v>1.0526315789473684</v>
      </c>
      <c r="W29" s="213">
        <f>IFERROR(W14/'Supplier Registry'!$E$25,0)</f>
        <v>0</v>
      </c>
      <c r="X29" s="213">
        <f>IFERROR(X14/'Supplier Registry'!$E$25,0)</f>
        <v>0</v>
      </c>
      <c r="Y29" s="213">
        <f>IFERROR(Y14/'Supplier Registry'!$E$25,0)</f>
        <v>0</v>
      </c>
      <c r="Z29" s="213">
        <f>IFERROR(Z14/'Supplier Registry'!$E$25,0)</f>
        <v>0</v>
      </c>
      <c r="AA29" s="213">
        <f>IFERROR(AA14/'Supplier Registry'!$E$25,0)</f>
        <v>0</v>
      </c>
      <c r="AB29" s="213">
        <f>IFERROR(AB14/'Supplier Registry'!$E$25,0)</f>
        <v>0</v>
      </c>
      <c r="AC29" s="213">
        <f>IFERROR(AC14/'Supplier Registry'!$E$25,0)</f>
        <v>0</v>
      </c>
      <c r="AD29" s="213">
        <f>IFERROR(AD14/'Supplier Registry'!$E$25,0)</f>
        <v>0</v>
      </c>
      <c r="AE29" s="213">
        <f>IFERROR(AE14/'Supplier Registry'!$E$25,0)</f>
        <v>0</v>
      </c>
      <c r="AF29" s="213">
        <f>IFERROR(AF14/'Supplier Registry'!$E$25,0)</f>
        <v>0</v>
      </c>
      <c r="AG29" s="213">
        <f>IFERROR(AG14/'Supplier Registry'!$E$25,0)</f>
        <v>0</v>
      </c>
      <c r="AH29" s="213">
        <f>IFERROR(AH14/'Supplier Registry'!$E$25,0)</f>
        <v>0</v>
      </c>
      <c r="AI29" s="213">
        <f>IFERROR(AI14/'Supplier Registry'!$E$25,0)</f>
        <v>0</v>
      </c>
      <c r="AK29" s="210" t="s">
        <v>57</v>
      </c>
      <c r="AL29" s="211" t="s">
        <v>52</v>
      </c>
      <c r="AM29" s="217">
        <f t="shared" si="2"/>
        <v>12.453671804170444</v>
      </c>
      <c r="AN29" s="217" t="str">
        <f t="shared" si="3"/>
        <v/>
      </c>
      <c r="AO29" s="217" t="str">
        <f t="shared" si="4"/>
        <v/>
      </c>
      <c r="AP29" s="217" t="str">
        <f t="shared" si="5"/>
        <v/>
      </c>
      <c r="AQ29" s="217" t="str">
        <f t="shared" si="6"/>
        <v/>
      </c>
      <c r="AR29" s="217" t="str">
        <f t="shared" si="7"/>
        <v/>
      </c>
      <c r="AS29" s="217" t="str">
        <f t="shared" si="8"/>
        <v/>
      </c>
      <c r="AT29" s="217" t="str">
        <f t="shared" si="9"/>
        <v/>
      </c>
      <c r="AU29" s="217" t="str">
        <f t="shared" si="10"/>
        <v/>
      </c>
      <c r="AV29" s="217" t="str">
        <f t="shared" si="11"/>
        <v/>
      </c>
      <c r="AW29" s="217" t="str">
        <f t="shared" si="12"/>
        <v/>
      </c>
      <c r="AX29" s="217" t="str">
        <f t="shared" si="13"/>
        <v/>
      </c>
      <c r="AY29" s="217" t="str">
        <f t="shared" si="14"/>
        <v/>
      </c>
      <c r="AZ29" s="217" t="str">
        <f t="shared" si="15"/>
        <v/>
      </c>
      <c r="BA29" s="218" t="s">
        <v>758</v>
      </c>
    </row>
    <row r="30" spans="19:53" x14ac:dyDescent="0.35">
      <c r="S30" s="208" t="s">
        <v>58</v>
      </c>
      <c r="T30" s="209" t="s">
        <v>52</v>
      </c>
      <c r="U30" s="212">
        <f>IFERROR(U15/'Supplier Registry'!$E$27,0)</f>
        <v>0</v>
      </c>
      <c r="V30" s="212">
        <f>IFERROR(V15/'Supplier Registry'!$E$27,0)</f>
        <v>1</v>
      </c>
      <c r="W30" s="212">
        <f>IFERROR(W15/'Supplier Registry'!$E$27,0)</f>
        <v>0</v>
      </c>
      <c r="X30" s="212">
        <f>IFERROR(X15/'Supplier Registry'!$E$27,0)</f>
        <v>0</v>
      </c>
      <c r="Y30" s="212">
        <f>IFERROR(Y15/'Supplier Registry'!$E$27,0)</f>
        <v>0</v>
      </c>
      <c r="Z30" s="212">
        <f>IFERROR(Z15/'Supplier Registry'!$E$27,0)</f>
        <v>0</v>
      </c>
      <c r="AA30" s="212">
        <f>IFERROR(AA15/'Supplier Registry'!$E$27,0)</f>
        <v>0</v>
      </c>
      <c r="AB30" s="212">
        <f>IFERROR(AB15/'Supplier Registry'!$E$27,0)</f>
        <v>0</v>
      </c>
      <c r="AC30" s="212">
        <f>IFERROR(AC15/'Supplier Registry'!$E$27,0)</f>
        <v>0</v>
      </c>
      <c r="AD30" s="212">
        <f>IFERROR(AD15/'Supplier Registry'!$E$27,0)</f>
        <v>0</v>
      </c>
      <c r="AE30" s="212">
        <f>IFERROR(AE15/'Supplier Registry'!$E$27,0)</f>
        <v>0</v>
      </c>
      <c r="AF30" s="212">
        <f>IFERROR(AF15/'Supplier Registry'!$E$27,0)</f>
        <v>0</v>
      </c>
      <c r="AG30" s="212">
        <f>IFERROR(AG15/'Supplier Registry'!$E$27,0)</f>
        <v>0</v>
      </c>
      <c r="AH30" s="212">
        <f>IFERROR(AH15/'Supplier Registry'!$E$27,0)</f>
        <v>0</v>
      </c>
      <c r="AI30" s="212">
        <f>IFERROR(AI15/'Supplier Registry'!$E$27,0)</f>
        <v>0</v>
      </c>
      <c r="AK30" s="208" t="s">
        <v>58</v>
      </c>
      <c r="AL30" s="209" t="s">
        <v>52</v>
      </c>
      <c r="AM30" s="215">
        <f t="shared" si="2"/>
        <v>6.174328512396694</v>
      </c>
      <c r="AN30" s="215" t="str">
        <f t="shared" si="3"/>
        <v/>
      </c>
      <c r="AO30" s="215" t="str">
        <f t="shared" si="4"/>
        <v/>
      </c>
      <c r="AP30" s="215" t="str">
        <f t="shared" si="5"/>
        <v/>
      </c>
      <c r="AQ30" s="215" t="str">
        <f t="shared" si="6"/>
        <v/>
      </c>
      <c r="AR30" s="215" t="str">
        <f t="shared" si="7"/>
        <v/>
      </c>
      <c r="AS30" s="215" t="str">
        <f t="shared" si="8"/>
        <v/>
      </c>
      <c r="AT30" s="215" t="str">
        <f t="shared" si="9"/>
        <v/>
      </c>
      <c r="AU30" s="215" t="str">
        <f t="shared" si="10"/>
        <v/>
      </c>
      <c r="AV30" s="215" t="str">
        <f t="shared" si="11"/>
        <v/>
      </c>
      <c r="AW30" s="215" t="str">
        <f t="shared" si="12"/>
        <v/>
      </c>
      <c r="AX30" s="215" t="str">
        <f t="shared" si="13"/>
        <v/>
      </c>
      <c r="AY30" s="215" t="str">
        <f t="shared" si="14"/>
        <v/>
      </c>
      <c r="AZ30" s="215" t="str">
        <f t="shared" si="15"/>
        <v/>
      </c>
      <c r="BA30" s="219" t="s">
        <v>758</v>
      </c>
    </row>
    <row r="31" spans="19:53" x14ac:dyDescent="0.35">
      <c r="S31" s="210" t="s">
        <v>50</v>
      </c>
      <c r="T31" s="211" t="s">
        <v>52</v>
      </c>
      <c r="U31" s="213">
        <f>IFERROR(U16/'Supplier Registry'!$E$19,0)</f>
        <v>20</v>
      </c>
      <c r="V31" s="213">
        <f>IFERROR(V16/'Supplier Registry'!$E$19,0)</f>
        <v>15</v>
      </c>
      <c r="W31" s="213">
        <f>IFERROR(W16/'Supplier Registry'!$E$19,0)</f>
        <v>0</v>
      </c>
      <c r="X31" s="213">
        <f>IFERROR(X16/'Supplier Registry'!$E$19,0)</f>
        <v>0</v>
      </c>
      <c r="Y31" s="213">
        <f>IFERROR(Y16/'Supplier Registry'!$E$19,0)</f>
        <v>0</v>
      </c>
      <c r="Z31" s="213">
        <f>IFERROR(Z16/'Supplier Registry'!$E$19,0)</f>
        <v>0</v>
      </c>
      <c r="AA31" s="213">
        <f>IFERROR(AA16/'Supplier Registry'!$E$19,0)</f>
        <v>0</v>
      </c>
      <c r="AB31" s="213">
        <f>IFERROR(AB16/'Supplier Registry'!$E$19,0)</f>
        <v>0</v>
      </c>
      <c r="AC31" s="213">
        <f>IFERROR(AC16/'Supplier Registry'!$E$19,0)</f>
        <v>0</v>
      </c>
      <c r="AD31" s="213">
        <f>IFERROR(AD16/'Supplier Registry'!$E$19,0)</f>
        <v>0</v>
      </c>
      <c r="AE31" s="213">
        <f>IFERROR(AE16/'Supplier Registry'!$E$19,0)</f>
        <v>0</v>
      </c>
      <c r="AF31" s="213">
        <f>IFERROR(AF16/'Supplier Registry'!$E$19,0)</f>
        <v>0</v>
      </c>
      <c r="AG31" s="213">
        <f>IFERROR(AG16/'Supplier Registry'!$E$19,0)</f>
        <v>0</v>
      </c>
      <c r="AH31" s="213">
        <f>IFERROR(AH16/'Supplier Registry'!$E$19,0)</f>
        <v>0</v>
      </c>
      <c r="AI31" s="213">
        <f>IFERROR(AI16/'Supplier Registry'!$E$19,0)</f>
        <v>0</v>
      </c>
      <c r="AK31" s="210" t="s">
        <v>50</v>
      </c>
      <c r="AL31" s="211" t="s">
        <v>52</v>
      </c>
      <c r="AM31" s="217">
        <f t="shared" si="2"/>
        <v>34.900746268656711</v>
      </c>
      <c r="AN31" s="217" t="str">
        <f t="shared" si="3"/>
        <v/>
      </c>
      <c r="AO31" s="217" t="str">
        <f t="shared" si="4"/>
        <v/>
      </c>
      <c r="AP31" s="217" t="str">
        <f t="shared" si="5"/>
        <v/>
      </c>
      <c r="AQ31" s="217" t="str">
        <f t="shared" si="6"/>
        <v/>
      </c>
      <c r="AR31" s="217" t="str">
        <f t="shared" si="7"/>
        <v/>
      </c>
      <c r="AS31" s="217" t="str">
        <f t="shared" si="8"/>
        <v/>
      </c>
      <c r="AT31" s="217" t="str">
        <f t="shared" si="9"/>
        <v/>
      </c>
      <c r="AU31" s="217" t="str">
        <f t="shared" si="10"/>
        <v/>
      </c>
      <c r="AV31" s="217" t="str">
        <f t="shared" si="11"/>
        <v/>
      </c>
      <c r="AW31" s="217" t="str">
        <f t="shared" si="12"/>
        <v/>
      </c>
      <c r="AX31" s="217" t="str">
        <f t="shared" si="13"/>
        <v/>
      </c>
      <c r="AY31" s="217" t="str">
        <f t="shared" si="14"/>
        <v/>
      </c>
      <c r="AZ31" s="217" t="str">
        <f t="shared" si="15"/>
        <v/>
      </c>
      <c r="BA31" s="218" t="s">
        <v>758</v>
      </c>
    </row>
  </sheetData>
  <mergeCells count="7">
    <mergeCell ref="S18:AI18"/>
    <mergeCell ref="AK18:BA18"/>
    <mergeCell ref="S3:AH3"/>
    <mergeCell ref="A2:AZ2"/>
    <mergeCell ref="A1:AX1"/>
    <mergeCell ref="A3:P3"/>
    <mergeCell ref="AK3:AZ3"/>
  </mergeCells>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N507"/>
  <sheetViews>
    <sheetView tabSelected="1" zoomScale="55" zoomScaleNormal="55" workbookViewId="0">
      <selection activeCell="F35" sqref="F35"/>
    </sheetView>
  </sheetViews>
  <sheetFormatPr defaultRowHeight="14.5" x14ac:dyDescent="0.35"/>
  <cols>
    <col min="1" max="1" width="15.08984375" bestFit="1" customWidth="1"/>
    <col min="2" max="2" width="16.6328125" bestFit="1" customWidth="1"/>
    <col min="3" max="3" width="15.08984375" bestFit="1" customWidth="1"/>
    <col min="4" max="4" width="11.6328125" bestFit="1" customWidth="1"/>
    <col min="5" max="5" width="10.6328125" bestFit="1" customWidth="1"/>
    <col min="6" max="8" width="12.1796875" bestFit="1" customWidth="1"/>
    <col min="9" max="9" width="15.26953125" bestFit="1" customWidth="1"/>
    <col min="10" max="10" width="10.6328125" bestFit="1" customWidth="1"/>
    <col min="11" max="11" width="41.26953125" bestFit="1" customWidth="1"/>
    <col min="12" max="12" width="12" customWidth="1"/>
  </cols>
  <sheetData>
    <row r="1" spans="1:14" ht="18" customHeight="1" x14ac:dyDescent="0.45">
      <c r="A1" s="434" t="s">
        <v>581</v>
      </c>
      <c r="B1" s="434"/>
      <c r="C1" s="434"/>
      <c r="D1" s="434"/>
      <c r="E1" s="434"/>
      <c r="F1" s="434"/>
      <c r="G1" s="434"/>
      <c r="H1" s="434"/>
      <c r="I1" s="434"/>
      <c r="J1" s="434"/>
      <c r="K1" s="434"/>
    </row>
    <row r="2" spans="1:14" ht="14.25" customHeight="1" x14ac:dyDescent="0.35">
      <c r="A2" s="435" t="s">
        <v>582</v>
      </c>
      <c r="B2" s="435"/>
      <c r="C2" s="435"/>
      <c r="D2" s="435"/>
      <c r="E2" s="435"/>
      <c r="F2" s="435"/>
      <c r="G2" s="435"/>
      <c r="H2" s="435"/>
      <c r="I2" s="435"/>
      <c r="J2" s="435"/>
      <c r="K2" s="435"/>
    </row>
    <row r="4" spans="1:14" ht="14.25" customHeight="1" x14ac:dyDescent="0.35">
      <c r="A4" s="45" t="s">
        <v>2</v>
      </c>
      <c r="B4" s="45" t="s">
        <v>583</v>
      </c>
      <c r="C4" s="45" t="s">
        <v>4</v>
      </c>
      <c r="D4" s="45" t="s">
        <v>584</v>
      </c>
      <c r="E4" s="45" t="s">
        <v>585</v>
      </c>
      <c r="F4" s="45" t="s">
        <v>586</v>
      </c>
      <c r="G4" s="45" t="s">
        <v>587</v>
      </c>
      <c r="H4" s="45" t="s">
        <v>588</v>
      </c>
      <c r="I4" s="45" t="s">
        <v>589</v>
      </c>
      <c r="J4" s="45" t="s">
        <v>590</v>
      </c>
      <c r="K4" s="45" t="s">
        <v>16</v>
      </c>
      <c r="L4" s="45" t="s">
        <v>950</v>
      </c>
      <c r="M4" s="458" t="s">
        <v>2829</v>
      </c>
      <c r="N4" s="458" t="s">
        <v>2830</v>
      </c>
    </row>
    <row r="5" spans="1:14" ht="14.25" customHeight="1" x14ac:dyDescent="0.35">
      <c r="A5" s="46" t="s">
        <v>35</v>
      </c>
      <c r="B5" s="46" t="s">
        <v>591</v>
      </c>
      <c r="C5" s="47" t="s">
        <v>28</v>
      </c>
      <c r="D5" s="48">
        <v>45383</v>
      </c>
      <c r="E5" s="48">
        <v>46478</v>
      </c>
      <c r="F5" s="49">
        <v>1760</v>
      </c>
      <c r="G5" s="49">
        <v>0</v>
      </c>
      <c r="H5" s="108">
        <f t="shared" ref="H5:H44" si="0">F5-G5</f>
        <v>1760</v>
      </c>
      <c r="I5" s="109">
        <f t="shared" ref="I5:I44" ca="1" si="1">IFERROR(DATEDIF(TODAY(),E5,"M"),"")</f>
        <v>10</v>
      </c>
      <c r="J5" s="110">
        <f>IF(E5&lt;&gt;"",E5+ROW()/1000000,"")</f>
        <v>46478.000005000002</v>
      </c>
      <c r="K5" s="46"/>
      <c r="L5" s="220" t="s">
        <v>930</v>
      </c>
      <c r="M5" s="463" t="str" cm="1">
        <f t="array" ref="M5">IF(AND(L5="On Hold",E5&lt;&gt;"",H5&gt;0),IFERROR(_xlfn.LET(_xlpm.stopSell,EDATE(E5,-'FEFO Analysis'!$B$4),_xlpm.cumAtStop,SUMIFS('Planning Engine'!$F$4:$F$2331,'Planning Engine'!$B$4:$B$2331,A5,'Planning Engine'!$A$4:$A$2331,"&lt;="&amp;_xlpm.stopSell),_xlpm.threshold,_xlpm.cumAtStop-H5,IF(_xlpm.threshold&lt;=0,_xlfn.AGGREGATE(15,6,'Planning Engine'!$A$4:$A$2331/('Planning Engine'!$B$4:$B$2331=A5),1),_xlfn.AGGREGATE(15,6,'Planning Engine'!$A$4:$A$2331/(('Planning Engine'!$B$4:$B$2331=A5)*('Planning Engine'!$AB$4:$AB$2331&gt;_xlpm.threshold)),1))),""),"")</f>
        <v/>
      </c>
      <c r="N5" s="460" t="str">
        <f ca="1">IF(M5="","",M5-TODAY())</f>
        <v/>
      </c>
    </row>
    <row r="6" spans="1:14" ht="14.25" customHeight="1" x14ac:dyDescent="0.35">
      <c r="A6" s="46" t="s">
        <v>35</v>
      </c>
      <c r="B6" s="46" t="s">
        <v>592</v>
      </c>
      <c r="C6" s="47" t="s">
        <v>28</v>
      </c>
      <c r="D6" s="48">
        <v>45029</v>
      </c>
      <c r="E6" s="48">
        <v>46490</v>
      </c>
      <c r="F6" s="49">
        <v>3837</v>
      </c>
      <c r="G6" s="49">
        <v>0</v>
      </c>
      <c r="H6" s="108">
        <f t="shared" si="0"/>
        <v>3837</v>
      </c>
      <c r="I6" s="109">
        <f t="shared" ca="1" si="1"/>
        <v>11</v>
      </c>
      <c r="J6" s="110">
        <f t="shared" ref="J6:J69" si="2">IF(E6&lt;&gt;"",E6+ROW()/1000000,"")</f>
        <v>46490.000006000002</v>
      </c>
      <c r="K6" s="46" t="s">
        <v>859</v>
      </c>
      <c r="L6" s="220" t="s">
        <v>930</v>
      </c>
      <c r="M6" s="463" t="str" cm="1">
        <f t="array" ref="M6">IF(AND(L6="On Hold",E6&lt;&gt;"",H6&gt;0),IFERROR(_xlfn.LET(_xlpm.stopSell,EDATE(E6,-'FEFO Analysis'!$B$4),_xlpm.cumAtStop,SUMIFS('Planning Engine'!$F$4:$F$2331,'Planning Engine'!$B$4:$B$2331,A6,'Planning Engine'!$A$4:$A$2331,"&lt;="&amp;_xlpm.stopSell),_xlpm.threshold,_xlpm.cumAtStop-H6,IF(_xlpm.threshold&lt;=0,_xlfn.AGGREGATE(15,6,'Planning Engine'!$A$4:$A$2331/('Planning Engine'!$B$4:$B$2331=A6),1),_xlfn.AGGREGATE(15,6,'Planning Engine'!$A$4:$A$2331/(('Planning Engine'!$B$4:$B$2331=A6)*('Planning Engine'!$AB$4:$AB$2331&gt;_xlpm.threshold)),1))),""),"")</f>
        <v/>
      </c>
      <c r="N6" s="459" t="str">
        <f ca="1">IF(M6="","",M6-TODAY())</f>
        <v/>
      </c>
    </row>
    <row r="7" spans="1:14" ht="14.25" customHeight="1" x14ac:dyDescent="0.35">
      <c r="A7" s="46" t="s">
        <v>35</v>
      </c>
      <c r="B7" s="46" t="s">
        <v>593</v>
      </c>
      <c r="C7" s="47" t="s">
        <v>28</v>
      </c>
      <c r="D7" s="48">
        <v>45274</v>
      </c>
      <c r="E7" s="48">
        <v>46733</v>
      </c>
      <c r="F7" s="49">
        <v>2019</v>
      </c>
      <c r="G7" s="49">
        <v>0</v>
      </c>
      <c r="H7" s="108">
        <f t="shared" si="0"/>
        <v>2019</v>
      </c>
      <c r="I7" s="109">
        <f t="shared" ca="1" si="1"/>
        <v>18</v>
      </c>
      <c r="J7" s="110">
        <f t="shared" si="2"/>
        <v>46733.000007000002</v>
      </c>
      <c r="K7" s="46" t="s">
        <v>859</v>
      </c>
      <c r="L7" s="220" t="s">
        <v>930</v>
      </c>
      <c r="M7" s="463" t="str" cm="1">
        <f t="array" ref="M7">IF(AND(L7="On Hold",E7&lt;&gt;"",H7&gt;0),IFERROR(_xlfn.LET(_xlpm.stopSell,EDATE(E7,-'FEFO Analysis'!$B$4),_xlpm.cumAtStop,SUMIFS('Planning Engine'!$F$4:$F$2331,'Planning Engine'!$B$4:$B$2331,A7,'Planning Engine'!$A$4:$A$2331,"&lt;="&amp;_xlpm.stopSell),_xlpm.threshold,_xlpm.cumAtStop-H7,IF(_xlpm.threshold&lt;=0,_xlfn.AGGREGATE(15,6,'Planning Engine'!$A$4:$A$2331/('Planning Engine'!$B$4:$B$2331=A7),1),_xlfn.AGGREGATE(15,6,'Planning Engine'!$A$4:$A$2331/(('Planning Engine'!$B$4:$B$2331=A7)*('Planning Engine'!$AB$4:$AB$2331&gt;_xlpm.threshold)),1))),""),"")</f>
        <v/>
      </c>
      <c r="N7" s="459" t="str">
        <f ca="1">IF(M7="","",M7-TODAY())</f>
        <v/>
      </c>
    </row>
    <row r="8" spans="1:14" ht="14.25" customHeight="1" x14ac:dyDescent="0.35">
      <c r="A8" s="46" t="s">
        <v>35</v>
      </c>
      <c r="B8" s="46" t="s">
        <v>594</v>
      </c>
      <c r="C8" s="47" t="s">
        <v>28</v>
      </c>
      <c r="D8" s="48">
        <v>45325</v>
      </c>
      <c r="E8" s="48">
        <v>46786</v>
      </c>
      <c r="F8" s="49">
        <v>4625</v>
      </c>
      <c r="G8" s="49">
        <v>0</v>
      </c>
      <c r="H8" s="108">
        <f t="shared" si="0"/>
        <v>4625</v>
      </c>
      <c r="I8" s="109">
        <f t="shared" ca="1" si="1"/>
        <v>20</v>
      </c>
      <c r="J8" s="110">
        <f t="shared" si="2"/>
        <v>46786.000008000003</v>
      </c>
      <c r="K8" s="46" t="s">
        <v>859</v>
      </c>
      <c r="L8" s="220" t="s">
        <v>930</v>
      </c>
      <c r="M8" s="463" t="str" cm="1">
        <f t="array" ref="M8">IF(AND(L8="On Hold",E8&lt;&gt;"",H8&gt;0),IFERROR(_xlfn.LET(_xlpm.stopSell,EDATE(E8,-'FEFO Analysis'!$B$4),_xlpm.cumAtStop,SUMIFS('Planning Engine'!$F$4:$F$2331,'Planning Engine'!$B$4:$B$2331,A8,'Planning Engine'!$A$4:$A$2331,"&lt;="&amp;_xlpm.stopSell),_xlpm.threshold,_xlpm.cumAtStop-H8,IF(_xlpm.threshold&lt;=0,_xlfn.AGGREGATE(15,6,'Planning Engine'!$A$4:$A$2331/('Planning Engine'!$B$4:$B$2331=A8),1),_xlfn.AGGREGATE(15,6,'Planning Engine'!$A$4:$A$2331/(('Planning Engine'!$B$4:$B$2331=A8)*('Planning Engine'!$AB$4:$AB$2331&gt;_xlpm.threshold)),1))),""),"")</f>
        <v/>
      </c>
      <c r="N8" s="459" t="str">
        <f ca="1">IF(M8="","",M8-TODAY())</f>
        <v/>
      </c>
    </row>
    <row r="9" spans="1:14" ht="14.25" customHeight="1" x14ac:dyDescent="0.35">
      <c r="A9" s="46" t="s">
        <v>35</v>
      </c>
      <c r="B9" s="46" t="s">
        <v>595</v>
      </c>
      <c r="C9" s="47" t="s">
        <v>28</v>
      </c>
      <c r="D9" s="48">
        <v>45389</v>
      </c>
      <c r="E9" s="48">
        <v>46850</v>
      </c>
      <c r="F9" s="49">
        <v>8631</v>
      </c>
      <c r="G9" s="49">
        <v>0</v>
      </c>
      <c r="H9" s="108">
        <f t="shared" si="0"/>
        <v>8631</v>
      </c>
      <c r="I9" s="109">
        <f t="shared" ca="1" si="1"/>
        <v>22</v>
      </c>
      <c r="J9" s="110">
        <f t="shared" si="2"/>
        <v>46850.000009000003</v>
      </c>
      <c r="K9" s="46" t="s">
        <v>860</v>
      </c>
      <c r="L9" s="220" t="s">
        <v>930</v>
      </c>
      <c r="M9" s="463" t="str" cm="1">
        <f t="array" ref="M9">IF(AND(L9="On Hold",E9&lt;&gt;"",H9&gt;0),IFERROR(_xlfn.LET(_xlpm.stopSell,EDATE(E9,-'FEFO Analysis'!$B$4),_xlpm.cumAtStop,SUMIFS('Planning Engine'!$F$4:$F$2331,'Planning Engine'!$B$4:$B$2331,A9,'Planning Engine'!$A$4:$A$2331,"&lt;="&amp;_xlpm.stopSell),_xlpm.threshold,_xlpm.cumAtStop-H9,IF(_xlpm.threshold&lt;=0,_xlfn.AGGREGATE(15,6,'Planning Engine'!$A$4:$A$2331/('Planning Engine'!$B$4:$B$2331=A9),1),_xlfn.AGGREGATE(15,6,'Planning Engine'!$A$4:$A$2331/(('Planning Engine'!$B$4:$B$2331=A9)*('Planning Engine'!$AB$4:$AB$2331&gt;_xlpm.threshold)),1))),""),"")</f>
        <v/>
      </c>
      <c r="N9" s="459" t="str">
        <f ca="1">IF(M9="","",M9-TODAY())</f>
        <v/>
      </c>
    </row>
    <row r="10" spans="1:14" ht="14.25" customHeight="1" x14ac:dyDescent="0.35">
      <c r="A10" s="46" t="s">
        <v>35</v>
      </c>
      <c r="B10" s="46" t="s">
        <v>596</v>
      </c>
      <c r="C10" s="47" t="s">
        <v>28</v>
      </c>
      <c r="D10" s="48">
        <v>45449</v>
      </c>
      <c r="E10" s="48">
        <v>47275</v>
      </c>
      <c r="F10" s="49">
        <v>8826</v>
      </c>
      <c r="G10" s="49">
        <v>0</v>
      </c>
      <c r="H10" s="108">
        <f t="shared" si="0"/>
        <v>8826</v>
      </c>
      <c r="I10" s="109">
        <f t="shared" ca="1" si="1"/>
        <v>36</v>
      </c>
      <c r="J10" s="110">
        <f t="shared" si="2"/>
        <v>47275.000010000003</v>
      </c>
      <c r="K10" s="46" t="s">
        <v>861</v>
      </c>
      <c r="L10" s="220" t="s">
        <v>930</v>
      </c>
      <c r="M10" s="463" t="str" cm="1">
        <f t="array" ref="M10">IF(AND(L10="On Hold",E10&lt;&gt;"",H10&gt;0),IFERROR(_xlfn.LET(_xlpm.stopSell,EDATE(E10,-'FEFO Analysis'!$B$4),_xlpm.cumAtStop,SUMIFS('Planning Engine'!$F$4:$F$2331,'Planning Engine'!$B$4:$B$2331,A10,'Planning Engine'!$A$4:$A$2331,"&lt;="&amp;_xlpm.stopSell),_xlpm.threshold,_xlpm.cumAtStop-H10,IF(_xlpm.threshold&lt;=0,_xlfn.AGGREGATE(15,6,'Planning Engine'!$A$4:$A$2331/('Planning Engine'!$B$4:$B$2331=A10),1),_xlfn.AGGREGATE(15,6,'Planning Engine'!$A$4:$A$2331/(('Planning Engine'!$B$4:$B$2331=A10)*('Planning Engine'!$AB$4:$AB$2331&gt;_xlpm.threshold)),1))),""),"")</f>
        <v/>
      </c>
      <c r="N10" s="459" t="str">
        <f ca="1">IF(M10="","",M10-TODAY())</f>
        <v/>
      </c>
    </row>
    <row r="11" spans="1:14" ht="14.25" customHeight="1" x14ac:dyDescent="0.35">
      <c r="A11" s="46" t="s">
        <v>35</v>
      </c>
      <c r="B11" s="46" t="s">
        <v>597</v>
      </c>
      <c r="C11" s="47" t="s">
        <v>28</v>
      </c>
      <c r="D11" s="48">
        <v>45494</v>
      </c>
      <c r="E11" s="48">
        <v>47320</v>
      </c>
      <c r="F11" s="49">
        <v>9009</v>
      </c>
      <c r="G11" s="49">
        <v>0</v>
      </c>
      <c r="H11" s="108">
        <f t="shared" si="0"/>
        <v>9009</v>
      </c>
      <c r="I11" s="109">
        <f t="shared" ca="1" si="1"/>
        <v>38</v>
      </c>
      <c r="J11" s="110">
        <f t="shared" si="2"/>
        <v>47320.000010999996</v>
      </c>
      <c r="K11" s="46" t="s">
        <v>861</v>
      </c>
      <c r="L11" s="220" t="s">
        <v>930</v>
      </c>
      <c r="M11" s="463" t="str" cm="1">
        <f t="array" ref="M11">IF(AND(L11="On Hold",E11&lt;&gt;"",H11&gt;0),IFERROR(_xlfn.LET(_xlpm.stopSell,EDATE(E11,-'FEFO Analysis'!$B$4),_xlpm.cumAtStop,SUMIFS('Planning Engine'!$F$4:$F$2331,'Planning Engine'!$B$4:$B$2331,A11,'Planning Engine'!$A$4:$A$2331,"&lt;="&amp;_xlpm.stopSell),_xlpm.threshold,_xlpm.cumAtStop-H11,IF(_xlpm.threshold&lt;=0,_xlfn.AGGREGATE(15,6,'Planning Engine'!$A$4:$A$2331/('Planning Engine'!$B$4:$B$2331=A11),1),_xlfn.AGGREGATE(15,6,'Planning Engine'!$A$4:$A$2331/(('Planning Engine'!$B$4:$B$2331=A11)*('Planning Engine'!$AB$4:$AB$2331&gt;_xlpm.threshold)),1))),""),"")</f>
        <v/>
      </c>
      <c r="N11" s="459" t="str">
        <f ca="1">IF(M11="","",M11-TODAY())</f>
        <v/>
      </c>
    </row>
    <row r="12" spans="1:14" ht="14.25" customHeight="1" x14ac:dyDescent="0.35">
      <c r="A12" s="46" t="s">
        <v>35</v>
      </c>
      <c r="B12" s="46" t="s">
        <v>598</v>
      </c>
      <c r="C12" s="47" t="s">
        <v>28</v>
      </c>
      <c r="D12" s="48">
        <v>45611</v>
      </c>
      <c r="E12" s="48">
        <v>47436</v>
      </c>
      <c r="F12" s="49">
        <v>8627</v>
      </c>
      <c r="G12" s="49">
        <v>0</v>
      </c>
      <c r="H12" s="108">
        <f t="shared" si="0"/>
        <v>8627</v>
      </c>
      <c r="I12" s="109">
        <f t="shared" ca="1" si="1"/>
        <v>42</v>
      </c>
      <c r="J12" s="110">
        <f t="shared" si="2"/>
        <v>47436.000011999997</v>
      </c>
      <c r="K12" s="46"/>
      <c r="L12" s="220" t="s">
        <v>930</v>
      </c>
      <c r="M12" s="463" t="str" cm="1">
        <f t="array" ref="M12">IF(AND(L12="On Hold",E12&lt;&gt;"",H12&gt;0),IFERROR(_xlfn.LET(_xlpm.stopSell,EDATE(E12,-'FEFO Analysis'!$B$4),_xlpm.cumAtStop,SUMIFS('Planning Engine'!$F$4:$F$2331,'Planning Engine'!$B$4:$B$2331,A12,'Planning Engine'!$A$4:$A$2331,"&lt;="&amp;_xlpm.stopSell),_xlpm.threshold,_xlpm.cumAtStop-H12,IF(_xlpm.threshold&lt;=0,_xlfn.AGGREGATE(15,6,'Planning Engine'!$A$4:$A$2331/('Planning Engine'!$B$4:$B$2331=A12),1),_xlfn.AGGREGATE(15,6,'Planning Engine'!$A$4:$A$2331/(('Planning Engine'!$B$4:$B$2331=A12)*('Planning Engine'!$AB$4:$AB$2331&gt;_xlpm.threshold)),1))),""),"")</f>
        <v/>
      </c>
      <c r="N12" s="459" t="str">
        <f ca="1">IF(M12="","",M12-TODAY())</f>
        <v/>
      </c>
    </row>
    <row r="13" spans="1:14" ht="14.25" customHeight="1" x14ac:dyDescent="0.35">
      <c r="A13" s="46" t="s">
        <v>35</v>
      </c>
      <c r="B13" s="46" t="s">
        <v>599</v>
      </c>
      <c r="C13" s="47" t="s">
        <v>28</v>
      </c>
      <c r="D13" s="48">
        <v>45703</v>
      </c>
      <c r="E13" s="48">
        <v>47528</v>
      </c>
      <c r="F13" s="49">
        <v>7853</v>
      </c>
      <c r="G13" s="49">
        <v>0</v>
      </c>
      <c r="H13" s="108">
        <f t="shared" si="0"/>
        <v>7853</v>
      </c>
      <c r="I13" s="109">
        <f t="shared" ca="1" si="1"/>
        <v>45</v>
      </c>
      <c r="J13" s="110">
        <f t="shared" si="2"/>
        <v>47528.000012999997</v>
      </c>
      <c r="K13" s="46"/>
      <c r="L13" s="220" t="s">
        <v>930</v>
      </c>
      <c r="M13" s="463" t="str" cm="1">
        <f t="array" ref="M13">IF(AND(L13="On Hold",E13&lt;&gt;"",H13&gt;0),IFERROR(_xlfn.LET(_xlpm.stopSell,EDATE(E13,-'FEFO Analysis'!$B$4),_xlpm.cumAtStop,SUMIFS('Planning Engine'!$F$4:$F$2331,'Planning Engine'!$B$4:$B$2331,A13,'Planning Engine'!$A$4:$A$2331,"&lt;="&amp;_xlpm.stopSell),_xlpm.threshold,_xlpm.cumAtStop-H13,IF(_xlpm.threshold&lt;=0,_xlfn.AGGREGATE(15,6,'Planning Engine'!$A$4:$A$2331/('Planning Engine'!$B$4:$B$2331=A13),1),_xlfn.AGGREGATE(15,6,'Planning Engine'!$A$4:$A$2331/(('Planning Engine'!$B$4:$B$2331=A13)*('Planning Engine'!$AB$4:$AB$2331&gt;_xlpm.threshold)),1))),""),"")</f>
        <v/>
      </c>
      <c r="N13" s="459" t="str">
        <f ca="1">IF(M13="","",M13-TODAY())</f>
        <v/>
      </c>
    </row>
    <row r="14" spans="1:14" ht="14.25" customHeight="1" x14ac:dyDescent="0.35">
      <c r="A14" s="46" t="s">
        <v>35</v>
      </c>
      <c r="B14" s="46" t="s">
        <v>600</v>
      </c>
      <c r="C14" s="47" t="s">
        <v>28</v>
      </c>
      <c r="D14" s="48">
        <v>45725</v>
      </c>
      <c r="E14" s="48">
        <v>47550</v>
      </c>
      <c r="F14" s="49">
        <v>8510</v>
      </c>
      <c r="G14" s="49">
        <v>0</v>
      </c>
      <c r="H14" s="108">
        <f t="shared" si="0"/>
        <v>8510</v>
      </c>
      <c r="I14" s="109">
        <f t="shared" ca="1" si="1"/>
        <v>45</v>
      </c>
      <c r="J14" s="110">
        <f t="shared" si="2"/>
        <v>47550.000013999997</v>
      </c>
      <c r="K14" s="46"/>
      <c r="L14" s="220" t="s">
        <v>930</v>
      </c>
      <c r="M14" s="463" t="str" cm="1">
        <f t="array" ref="M14">IF(AND(L14="On Hold",E14&lt;&gt;"",H14&gt;0),IFERROR(_xlfn.LET(_xlpm.stopSell,EDATE(E14,-'FEFO Analysis'!$B$4),_xlpm.cumAtStop,SUMIFS('Planning Engine'!$F$4:$F$2331,'Planning Engine'!$B$4:$B$2331,A14,'Planning Engine'!$A$4:$A$2331,"&lt;="&amp;_xlpm.stopSell),_xlpm.threshold,_xlpm.cumAtStop-H14,IF(_xlpm.threshold&lt;=0,_xlfn.AGGREGATE(15,6,'Planning Engine'!$A$4:$A$2331/('Planning Engine'!$B$4:$B$2331=A14),1),_xlfn.AGGREGATE(15,6,'Planning Engine'!$A$4:$A$2331/(('Planning Engine'!$B$4:$B$2331=A14)*('Planning Engine'!$AB$4:$AB$2331&gt;_xlpm.threshold)),1))),""),"")</f>
        <v/>
      </c>
      <c r="N14" s="459" t="str">
        <f ca="1">IF(M14="","",M14-TODAY())</f>
        <v/>
      </c>
    </row>
    <row r="15" spans="1:14" ht="14.25" customHeight="1" x14ac:dyDescent="0.35">
      <c r="A15" s="46" t="s">
        <v>35</v>
      </c>
      <c r="B15" s="46" t="s">
        <v>601</v>
      </c>
      <c r="C15" s="47" t="s">
        <v>28</v>
      </c>
      <c r="D15" s="48">
        <v>45767</v>
      </c>
      <c r="E15" s="48">
        <v>47592</v>
      </c>
      <c r="F15" s="49">
        <v>1020</v>
      </c>
      <c r="G15" s="49">
        <v>0</v>
      </c>
      <c r="H15" s="108">
        <f t="shared" si="0"/>
        <v>1020</v>
      </c>
      <c r="I15" s="109">
        <f t="shared" ca="1" si="1"/>
        <v>47</v>
      </c>
      <c r="J15" s="110">
        <f t="shared" si="2"/>
        <v>47592.000014999998</v>
      </c>
      <c r="K15" s="46"/>
      <c r="L15" s="220" t="s">
        <v>930</v>
      </c>
      <c r="M15" s="463" t="str" cm="1">
        <f t="array" ref="M15">IF(AND(L15="On Hold",E15&lt;&gt;"",H15&gt;0),IFERROR(_xlfn.LET(_xlpm.stopSell,EDATE(E15,-'FEFO Analysis'!$B$4),_xlpm.cumAtStop,SUMIFS('Planning Engine'!$F$4:$F$2331,'Planning Engine'!$B$4:$B$2331,A15,'Planning Engine'!$A$4:$A$2331,"&lt;="&amp;_xlpm.stopSell),_xlpm.threshold,_xlpm.cumAtStop-H15,IF(_xlpm.threshold&lt;=0,_xlfn.AGGREGATE(15,6,'Planning Engine'!$A$4:$A$2331/('Planning Engine'!$B$4:$B$2331=A15),1),_xlfn.AGGREGATE(15,6,'Planning Engine'!$A$4:$A$2331/(('Planning Engine'!$B$4:$B$2331=A15)*('Planning Engine'!$AB$4:$AB$2331&gt;_xlpm.threshold)),1))),""),"")</f>
        <v/>
      </c>
      <c r="N15" s="459" t="str">
        <f ca="1">IF(M15="","",M15-TODAY())</f>
        <v/>
      </c>
    </row>
    <row r="16" spans="1:14" ht="14.25" customHeight="1" x14ac:dyDescent="0.35">
      <c r="A16" s="46" t="s">
        <v>35</v>
      </c>
      <c r="B16" s="46" t="s">
        <v>602</v>
      </c>
      <c r="C16" s="47" t="s">
        <v>28</v>
      </c>
      <c r="D16" s="48">
        <v>45823</v>
      </c>
      <c r="E16" s="48">
        <v>47648</v>
      </c>
      <c r="F16" s="49">
        <v>8751</v>
      </c>
      <c r="G16" s="49">
        <v>0</v>
      </c>
      <c r="H16" s="108">
        <f t="shared" si="0"/>
        <v>8751</v>
      </c>
      <c r="I16" s="109">
        <f t="shared" ca="1" si="1"/>
        <v>49</v>
      </c>
      <c r="J16" s="110">
        <f t="shared" si="2"/>
        <v>47648.000015999998</v>
      </c>
      <c r="K16" s="46"/>
      <c r="L16" s="220" t="s">
        <v>930</v>
      </c>
      <c r="M16" s="463" t="str" cm="1">
        <f t="array" ref="M16">IF(AND(L16="On Hold",E16&lt;&gt;"",H16&gt;0),IFERROR(_xlfn.LET(_xlpm.stopSell,EDATE(E16,-'FEFO Analysis'!$B$4),_xlpm.cumAtStop,SUMIFS('Planning Engine'!$F$4:$F$2331,'Planning Engine'!$B$4:$B$2331,A16,'Planning Engine'!$A$4:$A$2331,"&lt;="&amp;_xlpm.stopSell),_xlpm.threshold,_xlpm.cumAtStop-H16,IF(_xlpm.threshold&lt;=0,_xlfn.AGGREGATE(15,6,'Planning Engine'!$A$4:$A$2331/('Planning Engine'!$B$4:$B$2331=A16),1),_xlfn.AGGREGATE(15,6,'Planning Engine'!$A$4:$A$2331/(('Planning Engine'!$B$4:$B$2331=A16)*('Planning Engine'!$AB$4:$AB$2331&gt;_xlpm.threshold)),1))),""),"")</f>
        <v/>
      </c>
      <c r="N16" s="459" t="str">
        <f ca="1">IF(M16="","",M16-TODAY())</f>
        <v/>
      </c>
    </row>
    <row r="17" spans="1:14" ht="14.25" customHeight="1" x14ac:dyDescent="0.35">
      <c r="A17" s="46" t="s">
        <v>35</v>
      </c>
      <c r="B17" s="46" t="s">
        <v>603</v>
      </c>
      <c r="C17" s="47" t="s">
        <v>28</v>
      </c>
      <c r="D17" s="48">
        <v>45918</v>
      </c>
      <c r="E17" s="48">
        <v>47744</v>
      </c>
      <c r="F17" s="49">
        <v>8514</v>
      </c>
      <c r="G17" s="49">
        <v>0</v>
      </c>
      <c r="H17" s="108">
        <f t="shared" si="0"/>
        <v>8514</v>
      </c>
      <c r="I17" s="109">
        <f t="shared" ca="1" si="1"/>
        <v>52</v>
      </c>
      <c r="J17" s="110">
        <f t="shared" si="2"/>
        <v>47744.000016999998</v>
      </c>
      <c r="K17" s="46"/>
      <c r="L17" s="220" t="s">
        <v>930</v>
      </c>
      <c r="M17" s="463" t="str" cm="1">
        <f t="array" ref="M17">IF(AND(L17="On Hold",E17&lt;&gt;"",H17&gt;0),IFERROR(_xlfn.LET(_xlpm.stopSell,EDATE(E17,-'FEFO Analysis'!$B$4),_xlpm.cumAtStop,SUMIFS('Planning Engine'!$F$4:$F$2331,'Planning Engine'!$B$4:$B$2331,A17,'Planning Engine'!$A$4:$A$2331,"&lt;="&amp;_xlpm.stopSell),_xlpm.threshold,_xlpm.cumAtStop-H17,IF(_xlpm.threshold&lt;=0,_xlfn.AGGREGATE(15,6,'Planning Engine'!$A$4:$A$2331/('Planning Engine'!$B$4:$B$2331=A17),1),_xlfn.AGGREGATE(15,6,'Planning Engine'!$A$4:$A$2331/(('Planning Engine'!$B$4:$B$2331=A17)*('Planning Engine'!$AB$4:$AB$2331&gt;_xlpm.threshold)),1))),""),"")</f>
        <v/>
      </c>
      <c r="N17" s="459" t="str">
        <f ca="1">IF(M17="","",M17-TODAY())</f>
        <v/>
      </c>
    </row>
    <row r="18" spans="1:14" ht="14.25" customHeight="1" x14ac:dyDescent="0.35">
      <c r="A18" s="46" t="s">
        <v>35</v>
      </c>
      <c r="B18" s="46" t="s">
        <v>604</v>
      </c>
      <c r="C18" s="47" t="s">
        <v>28</v>
      </c>
      <c r="D18" s="48">
        <v>45945</v>
      </c>
      <c r="E18" s="48">
        <v>47770</v>
      </c>
      <c r="F18" s="49">
        <v>10000</v>
      </c>
      <c r="G18" s="49">
        <v>0</v>
      </c>
      <c r="H18" s="108">
        <f t="shared" si="0"/>
        <v>10000</v>
      </c>
      <c r="I18" s="109">
        <f t="shared" ca="1" si="1"/>
        <v>53</v>
      </c>
      <c r="J18" s="110">
        <f t="shared" si="2"/>
        <v>47770.000017999999</v>
      </c>
      <c r="K18" s="46"/>
      <c r="L18" s="220" t="s">
        <v>930</v>
      </c>
      <c r="M18" s="463" t="str" cm="1">
        <f t="array" ref="M18">IF(AND(L18="On Hold",E18&lt;&gt;"",H18&gt;0),IFERROR(_xlfn.LET(_xlpm.stopSell,EDATE(E18,-'FEFO Analysis'!$B$4),_xlpm.cumAtStop,SUMIFS('Planning Engine'!$F$4:$F$2331,'Planning Engine'!$B$4:$B$2331,A18,'Planning Engine'!$A$4:$A$2331,"&lt;="&amp;_xlpm.stopSell),_xlpm.threshold,_xlpm.cumAtStop-H18,IF(_xlpm.threshold&lt;=0,_xlfn.AGGREGATE(15,6,'Planning Engine'!$A$4:$A$2331/('Planning Engine'!$B$4:$B$2331=A18),1),_xlfn.AGGREGATE(15,6,'Planning Engine'!$A$4:$A$2331/(('Planning Engine'!$B$4:$B$2331=A18)*('Planning Engine'!$AB$4:$AB$2331&gt;_xlpm.threshold)),1))),""),"")</f>
        <v/>
      </c>
      <c r="N18" s="459" t="str">
        <f ca="1">IF(M18="","",M18-TODAY())</f>
        <v/>
      </c>
    </row>
    <row r="19" spans="1:14" ht="14.25" customHeight="1" x14ac:dyDescent="0.35">
      <c r="A19" s="46" t="s">
        <v>35</v>
      </c>
      <c r="B19" s="46" t="s">
        <v>940</v>
      </c>
      <c r="C19" s="47" t="s">
        <v>28</v>
      </c>
      <c r="D19" s="48">
        <v>46082</v>
      </c>
      <c r="E19" s="48">
        <v>47829</v>
      </c>
      <c r="F19" s="49">
        <v>9803</v>
      </c>
      <c r="G19" s="49"/>
      <c r="H19" s="108">
        <f t="shared" si="0"/>
        <v>9803</v>
      </c>
      <c r="I19" s="109">
        <f t="shared" ca="1" si="1"/>
        <v>54</v>
      </c>
      <c r="J19" s="110">
        <f t="shared" si="2"/>
        <v>47829.000018999999</v>
      </c>
      <c r="K19" s="46"/>
      <c r="L19" s="220" t="s">
        <v>930</v>
      </c>
      <c r="M19" s="463" t="str" cm="1">
        <f t="array" ref="M19">IF(AND(L19="On Hold",E19&lt;&gt;"",H19&gt;0),IFERROR(_xlfn.LET(_xlpm.stopSell,EDATE(E19,-'FEFO Analysis'!$B$4),_xlpm.cumAtStop,SUMIFS('Planning Engine'!$F$4:$F$2331,'Planning Engine'!$B$4:$B$2331,A19,'Planning Engine'!$A$4:$A$2331,"&lt;="&amp;_xlpm.stopSell),_xlpm.threshold,_xlpm.cumAtStop-H19,IF(_xlpm.threshold&lt;=0,_xlfn.AGGREGATE(15,6,'Planning Engine'!$A$4:$A$2331/('Planning Engine'!$B$4:$B$2331=A19),1),_xlfn.AGGREGATE(15,6,'Planning Engine'!$A$4:$A$2331/(('Planning Engine'!$B$4:$B$2331=A19)*('Planning Engine'!$AB$4:$AB$2331&gt;_xlpm.threshold)),1))),""),"")</f>
        <v/>
      </c>
      <c r="N19" s="459" t="str">
        <f ca="1">IF(M19="","",M19-TODAY())</f>
        <v/>
      </c>
    </row>
    <row r="20" spans="1:14" ht="14.25" customHeight="1" x14ac:dyDescent="0.35">
      <c r="A20" s="46" t="s">
        <v>35</v>
      </c>
      <c r="B20" s="46" t="s">
        <v>941</v>
      </c>
      <c r="C20" s="47" t="s">
        <v>28</v>
      </c>
      <c r="D20" s="48">
        <v>46113</v>
      </c>
      <c r="E20" s="48">
        <v>47835</v>
      </c>
      <c r="F20" s="49">
        <v>10379</v>
      </c>
      <c r="G20" s="49"/>
      <c r="H20" s="108">
        <f t="shared" si="0"/>
        <v>10379</v>
      </c>
      <c r="I20" s="109">
        <f t="shared" ca="1" si="1"/>
        <v>55</v>
      </c>
      <c r="J20" s="110">
        <f t="shared" si="2"/>
        <v>47835.000019999999</v>
      </c>
      <c r="K20" s="46"/>
      <c r="L20" s="220" t="s">
        <v>930</v>
      </c>
      <c r="M20" s="463" t="str" cm="1">
        <f t="array" ref="M20">IF(AND(L20="On Hold",E20&lt;&gt;"",H20&gt;0),IFERROR(_xlfn.LET(_xlpm.stopSell,EDATE(E20,-'FEFO Analysis'!$B$4),_xlpm.cumAtStop,SUMIFS('Planning Engine'!$F$4:$F$2331,'Planning Engine'!$B$4:$B$2331,A20,'Planning Engine'!$A$4:$A$2331,"&lt;="&amp;_xlpm.stopSell),_xlpm.threshold,_xlpm.cumAtStop-H20,IF(_xlpm.threshold&lt;=0,_xlfn.AGGREGATE(15,6,'Planning Engine'!$A$4:$A$2331/('Planning Engine'!$B$4:$B$2331=A20),1),_xlfn.AGGREGATE(15,6,'Planning Engine'!$A$4:$A$2331/(('Planning Engine'!$B$4:$B$2331=A20)*('Planning Engine'!$AB$4:$AB$2331&gt;_xlpm.threshold)),1))),""),"")</f>
        <v/>
      </c>
      <c r="N20" s="459" t="str">
        <f ca="1">IF(M20="","",M20-TODAY())</f>
        <v/>
      </c>
    </row>
    <row r="21" spans="1:14" ht="14.25" customHeight="1" x14ac:dyDescent="0.35">
      <c r="A21" s="46" t="s">
        <v>35</v>
      </c>
      <c r="B21" s="46" t="s">
        <v>942</v>
      </c>
      <c r="C21" s="47" t="s">
        <v>28</v>
      </c>
      <c r="D21" s="48">
        <v>46174</v>
      </c>
      <c r="E21" s="48">
        <v>47904</v>
      </c>
      <c r="F21" s="49">
        <v>10000</v>
      </c>
      <c r="G21" s="49"/>
      <c r="H21" s="108">
        <f t="shared" si="0"/>
        <v>10000</v>
      </c>
      <c r="I21" s="109">
        <f t="shared" ca="1" si="1"/>
        <v>57</v>
      </c>
      <c r="J21" s="110">
        <f t="shared" si="2"/>
        <v>47904.000021</v>
      </c>
      <c r="K21" s="46"/>
      <c r="L21" s="220" t="s">
        <v>930</v>
      </c>
      <c r="M21" s="463" t="str" cm="1">
        <f t="array" ref="M21">IF(AND(L21="On Hold",E21&lt;&gt;"",H21&gt;0),IFERROR(_xlfn.LET(_xlpm.stopSell,EDATE(E21,-'FEFO Analysis'!$B$4),_xlpm.cumAtStop,SUMIFS('Planning Engine'!$F$4:$F$2331,'Planning Engine'!$B$4:$B$2331,A21,'Planning Engine'!$A$4:$A$2331,"&lt;="&amp;_xlpm.stopSell),_xlpm.threshold,_xlpm.cumAtStop-H21,IF(_xlpm.threshold&lt;=0,_xlfn.AGGREGATE(15,6,'Planning Engine'!$A$4:$A$2331/('Planning Engine'!$B$4:$B$2331=A21),1),_xlfn.AGGREGATE(15,6,'Planning Engine'!$A$4:$A$2331/(('Planning Engine'!$B$4:$B$2331=A21)*('Planning Engine'!$AB$4:$AB$2331&gt;_xlpm.threshold)),1))),""),"")</f>
        <v/>
      </c>
      <c r="N21" s="459" t="str">
        <f ca="1">IF(M21="","",M21-TODAY())</f>
        <v/>
      </c>
    </row>
    <row r="22" spans="1:14" ht="14.25" customHeight="1" x14ac:dyDescent="0.35">
      <c r="A22" s="46" t="s">
        <v>35</v>
      </c>
      <c r="B22" s="46" t="s">
        <v>943</v>
      </c>
      <c r="C22" s="47" t="s">
        <v>28</v>
      </c>
      <c r="D22" s="48">
        <v>46204</v>
      </c>
      <c r="E22" s="48">
        <v>47910</v>
      </c>
      <c r="F22" s="49">
        <v>10000</v>
      </c>
      <c r="G22" s="49"/>
      <c r="H22" s="108">
        <f t="shared" si="0"/>
        <v>10000</v>
      </c>
      <c r="I22" s="109">
        <f t="shared" ca="1" si="1"/>
        <v>57</v>
      </c>
      <c r="J22" s="110">
        <f t="shared" si="2"/>
        <v>47910.000022</v>
      </c>
      <c r="K22" s="46"/>
      <c r="L22" s="220" t="s">
        <v>930</v>
      </c>
      <c r="M22" s="463" t="str" cm="1">
        <f t="array" ref="M22">IF(AND(L22="On Hold",E22&lt;&gt;"",H22&gt;0),IFERROR(_xlfn.LET(_xlpm.stopSell,EDATE(E22,-'FEFO Analysis'!$B$4),_xlpm.cumAtStop,SUMIFS('Planning Engine'!$F$4:$F$2331,'Planning Engine'!$B$4:$B$2331,A22,'Planning Engine'!$A$4:$A$2331,"&lt;="&amp;_xlpm.stopSell),_xlpm.threshold,_xlpm.cumAtStop-H22,IF(_xlpm.threshold&lt;=0,_xlfn.AGGREGATE(15,6,'Planning Engine'!$A$4:$A$2331/('Planning Engine'!$B$4:$B$2331=A22),1),_xlfn.AGGREGATE(15,6,'Planning Engine'!$A$4:$A$2331/(('Planning Engine'!$B$4:$B$2331=A22)*('Planning Engine'!$AB$4:$AB$2331&gt;_xlpm.threshold)),1))),""),"")</f>
        <v/>
      </c>
      <c r="N22" s="459" t="str">
        <f ca="1">IF(M22="","",M22-TODAY())</f>
        <v/>
      </c>
    </row>
    <row r="23" spans="1:14" ht="14.25" customHeight="1" x14ac:dyDescent="0.35">
      <c r="A23" s="46" t="s">
        <v>35</v>
      </c>
      <c r="B23" s="46" t="s">
        <v>944</v>
      </c>
      <c r="C23" s="47" t="s">
        <v>28</v>
      </c>
      <c r="D23" s="48"/>
      <c r="E23" s="48">
        <v>47939</v>
      </c>
      <c r="F23" s="49">
        <v>10000</v>
      </c>
      <c r="G23" s="49"/>
      <c r="H23" s="108">
        <f t="shared" si="0"/>
        <v>10000</v>
      </c>
      <c r="I23" s="109">
        <f t="shared" ca="1" si="1"/>
        <v>58</v>
      </c>
      <c r="J23" s="110">
        <f t="shared" si="2"/>
        <v>47939.000023000001</v>
      </c>
      <c r="K23" s="46"/>
      <c r="L23" s="220" t="s">
        <v>930</v>
      </c>
      <c r="M23" s="463" t="str" cm="1">
        <f t="array" ref="M23">IF(AND(L23="On Hold",E23&lt;&gt;"",H23&gt;0),IFERROR(_xlfn.LET(_xlpm.stopSell,EDATE(E23,-'FEFO Analysis'!$B$4),_xlpm.cumAtStop,SUMIFS('Planning Engine'!$F$4:$F$2331,'Planning Engine'!$B$4:$B$2331,A23,'Planning Engine'!$A$4:$A$2331,"&lt;="&amp;_xlpm.stopSell),_xlpm.threshold,_xlpm.cumAtStop-H23,IF(_xlpm.threshold&lt;=0,_xlfn.AGGREGATE(15,6,'Planning Engine'!$A$4:$A$2331/('Planning Engine'!$B$4:$B$2331=A23),1),_xlfn.AGGREGATE(15,6,'Planning Engine'!$A$4:$A$2331/(('Planning Engine'!$B$4:$B$2331=A23)*('Planning Engine'!$AB$4:$AB$2331&gt;_xlpm.threshold)),1))),""),"")</f>
        <v/>
      </c>
      <c r="N23" s="459" t="str">
        <f ca="1">IF(M23="","",M23-TODAY())</f>
        <v/>
      </c>
    </row>
    <row r="24" spans="1:14" ht="14.25" customHeight="1" x14ac:dyDescent="0.35">
      <c r="A24" s="46" t="s">
        <v>35</v>
      </c>
      <c r="B24" s="46" t="s">
        <v>945</v>
      </c>
      <c r="C24" s="47" t="s">
        <v>28</v>
      </c>
      <c r="D24" s="48"/>
      <c r="E24" s="48">
        <v>47969</v>
      </c>
      <c r="F24" s="49">
        <v>10000</v>
      </c>
      <c r="G24" s="49"/>
      <c r="H24" s="108">
        <f t="shared" si="0"/>
        <v>10000</v>
      </c>
      <c r="I24" s="109">
        <f t="shared" ca="1" si="1"/>
        <v>59</v>
      </c>
      <c r="J24" s="110">
        <f t="shared" si="2"/>
        <v>47969.000024000001</v>
      </c>
      <c r="K24" s="46"/>
      <c r="L24" s="220" t="s">
        <v>930</v>
      </c>
      <c r="M24" s="463" t="str" cm="1">
        <f t="array" ref="M24">IF(AND(L24="On Hold",E24&lt;&gt;"",H24&gt;0),IFERROR(_xlfn.LET(_xlpm.stopSell,EDATE(E24,-'FEFO Analysis'!$B$4),_xlpm.cumAtStop,SUMIFS('Planning Engine'!$F$4:$F$2331,'Planning Engine'!$B$4:$B$2331,A24,'Planning Engine'!$A$4:$A$2331,"&lt;="&amp;_xlpm.stopSell),_xlpm.threshold,_xlpm.cumAtStop-H24,IF(_xlpm.threshold&lt;=0,_xlfn.AGGREGATE(15,6,'Planning Engine'!$A$4:$A$2331/('Planning Engine'!$B$4:$B$2331=A24),1),_xlfn.AGGREGATE(15,6,'Planning Engine'!$A$4:$A$2331/(('Planning Engine'!$B$4:$B$2331=A24)*('Planning Engine'!$AB$4:$AB$2331&gt;_xlpm.threshold)),1))),""),"")</f>
        <v/>
      </c>
      <c r="N24" s="459" t="str">
        <f ca="1">IF(M24="","",M24-TODAY())</f>
        <v/>
      </c>
    </row>
    <row r="25" spans="1:14" ht="14.25" customHeight="1" x14ac:dyDescent="0.35">
      <c r="A25" s="46" t="s">
        <v>35</v>
      </c>
      <c r="B25" s="46" t="s">
        <v>946</v>
      </c>
      <c r="C25" s="47" t="s">
        <v>28</v>
      </c>
      <c r="D25" s="48"/>
      <c r="E25" s="48">
        <v>47969</v>
      </c>
      <c r="F25" s="49">
        <v>10000</v>
      </c>
      <c r="G25" s="49"/>
      <c r="H25" s="108">
        <f t="shared" ref="H25:H28" si="3">F25-G25</f>
        <v>10000</v>
      </c>
      <c r="I25" s="109">
        <f t="shared" ref="I25:I28" ca="1" si="4">IFERROR(DATEDIF(TODAY(),E25,"M"),"")</f>
        <v>59</v>
      </c>
      <c r="J25" s="110">
        <f t="shared" si="2"/>
        <v>47969.000025000001</v>
      </c>
      <c r="K25" s="46"/>
      <c r="L25" s="220" t="s">
        <v>930</v>
      </c>
      <c r="M25" s="463" t="str" cm="1">
        <f t="array" ref="M25">IF(AND(L25="On Hold",E25&lt;&gt;"",H25&gt;0),IFERROR(_xlfn.LET(_xlpm.stopSell,EDATE(E25,-'FEFO Analysis'!$B$4),_xlpm.cumAtStop,SUMIFS('Planning Engine'!$F$4:$F$2331,'Planning Engine'!$B$4:$B$2331,A25,'Planning Engine'!$A$4:$A$2331,"&lt;="&amp;_xlpm.stopSell),_xlpm.threshold,_xlpm.cumAtStop-H25,IF(_xlpm.threshold&lt;=0,_xlfn.AGGREGATE(15,6,'Planning Engine'!$A$4:$A$2331/('Planning Engine'!$B$4:$B$2331=A25),1),_xlfn.AGGREGATE(15,6,'Planning Engine'!$A$4:$A$2331/(('Planning Engine'!$B$4:$B$2331=A25)*('Planning Engine'!$AB$4:$AB$2331&gt;_xlpm.threshold)),1))),""),"")</f>
        <v/>
      </c>
      <c r="N25" s="459" t="str">
        <f ca="1">IF(M25="","",M25-TODAY())</f>
        <v/>
      </c>
    </row>
    <row r="26" spans="1:14" ht="14.25" customHeight="1" x14ac:dyDescent="0.35">
      <c r="A26" s="46" t="s">
        <v>35</v>
      </c>
      <c r="B26" s="46" t="s">
        <v>947</v>
      </c>
      <c r="C26" s="47" t="s">
        <v>28</v>
      </c>
      <c r="D26" s="48"/>
      <c r="E26" s="48">
        <v>47969</v>
      </c>
      <c r="F26" s="49">
        <v>10000</v>
      </c>
      <c r="G26" s="49"/>
      <c r="H26" s="108">
        <f t="shared" si="3"/>
        <v>10000</v>
      </c>
      <c r="I26" s="109">
        <f t="shared" ca="1" si="4"/>
        <v>59</v>
      </c>
      <c r="J26" s="110">
        <f t="shared" si="2"/>
        <v>47969.000026000002</v>
      </c>
      <c r="K26" s="46"/>
      <c r="L26" s="220" t="s">
        <v>930</v>
      </c>
      <c r="M26" s="463" t="str" cm="1">
        <f t="array" ref="M26">IF(AND(L26="On Hold",E26&lt;&gt;"",H26&gt;0),IFERROR(_xlfn.LET(_xlpm.stopSell,EDATE(E26,-'FEFO Analysis'!$B$4),_xlpm.cumAtStop,SUMIFS('Planning Engine'!$F$4:$F$2331,'Planning Engine'!$B$4:$B$2331,A26,'Planning Engine'!$A$4:$A$2331,"&lt;="&amp;_xlpm.stopSell),_xlpm.threshold,_xlpm.cumAtStop-H26,IF(_xlpm.threshold&lt;=0,_xlfn.AGGREGATE(15,6,'Planning Engine'!$A$4:$A$2331/('Planning Engine'!$B$4:$B$2331=A26),1),_xlfn.AGGREGATE(15,6,'Planning Engine'!$A$4:$A$2331/(('Planning Engine'!$B$4:$B$2331=A26)*('Planning Engine'!$AB$4:$AB$2331&gt;_xlpm.threshold)),1))),""),"")</f>
        <v/>
      </c>
      <c r="N26" s="459" t="str">
        <f ca="1">IF(M26="","",M26-TODAY())</f>
        <v/>
      </c>
    </row>
    <row r="27" spans="1:14" ht="14.25" customHeight="1" x14ac:dyDescent="0.35">
      <c r="A27" s="46" t="s">
        <v>35</v>
      </c>
      <c r="B27" s="46" t="s">
        <v>948</v>
      </c>
      <c r="C27" s="47" t="s">
        <v>28</v>
      </c>
      <c r="D27" s="48"/>
      <c r="E27" s="48">
        <v>48000</v>
      </c>
      <c r="F27" s="49">
        <v>10000</v>
      </c>
      <c r="G27" s="49"/>
      <c r="H27" s="108">
        <f t="shared" si="3"/>
        <v>10000</v>
      </c>
      <c r="I27" s="109">
        <f t="shared" ca="1" si="4"/>
        <v>60</v>
      </c>
      <c r="J27" s="110">
        <f t="shared" si="2"/>
        <v>48000.000027000002</v>
      </c>
      <c r="K27" s="46"/>
      <c r="L27" s="220" t="s">
        <v>930</v>
      </c>
      <c r="M27" s="463" t="str" cm="1">
        <f t="array" ref="M27">IF(AND(L27="On Hold",E27&lt;&gt;"",H27&gt;0),IFERROR(_xlfn.LET(_xlpm.stopSell,EDATE(E27,-'FEFO Analysis'!$B$4),_xlpm.cumAtStop,SUMIFS('Planning Engine'!$F$4:$F$2331,'Planning Engine'!$B$4:$B$2331,A27,'Planning Engine'!$A$4:$A$2331,"&lt;="&amp;_xlpm.stopSell),_xlpm.threshold,_xlpm.cumAtStop-H27,IF(_xlpm.threshold&lt;=0,_xlfn.AGGREGATE(15,6,'Planning Engine'!$A$4:$A$2331/('Planning Engine'!$B$4:$B$2331=A27),1),_xlfn.AGGREGATE(15,6,'Planning Engine'!$A$4:$A$2331/(('Planning Engine'!$B$4:$B$2331=A27)*('Planning Engine'!$AB$4:$AB$2331&gt;_xlpm.threshold)),1))),""),"")</f>
        <v/>
      </c>
      <c r="N27" s="459" t="str">
        <f ca="1">IF(M27="","",M27-TODAY())</f>
        <v/>
      </c>
    </row>
    <row r="28" spans="1:14" ht="14.25" customHeight="1" x14ac:dyDescent="0.35">
      <c r="A28" s="46" t="s">
        <v>35</v>
      </c>
      <c r="B28" s="46" t="s">
        <v>949</v>
      </c>
      <c r="C28" s="47" t="s">
        <v>28</v>
      </c>
      <c r="D28" s="48"/>
      <c r="E28" s="48">
        <v>48000</v>
      </c>
      <c r="F28" s="49">
        <v>10000</v>
      </c>
      <c r="G28" s="49"/>
      <c r="H28" s="108">
        <f t="shared" si="3"/>
        <v>10000</v>
      </c>
      <c r="I28" s="109">
        <f t="shared" ca="1" si="4"/>
        <v>60</v>
      </c>
      <c r="J28" s="110">
        <f t="shared" si="2"/>
        <v>48000.000028000002</v>
      </c>
      <c r="K28" s="46"/>
      <c r="L28" s="220" t="s">
        <v>930</v>
      </c>
      <c r="M28" s="463" t="str" cm="1">
        <f t="array" ref="M28">IF(AND(L28="On Hold",E28&lt;&gt;"",H28&gt;0),IFERROR(_xlfn.LET(_xlpm.stopSell,EDATE(E28,-'FEFO Analysis'!$B$4),_xlpm.cumAtStop,SUMIFS('Planning Engine'!$F$4:$F$2331,'Planning Engine'!$B$4:$B$2331,A28,'Planning Engine'!$A$4:$A$2331,"&lt;="&amp;_xlpm.stopSell),_xlpm.threshold,_xlpm.cumAtStop-H28,IF(_xlpm.threshold&lt;=0,_xlfn.AGGREGATE(15,6,'Planning Engine'!$A$4:$A$2331/('Planning Engine'!$B$4:$B$2331=A28),1),_xlfn.AGGREGATE(15,6,'Planning Engine'!$A$4:$A$2331/(('Planning Engine'!$B$4:$B$2331=A28)*('Planning Engine'!$AB$4:$AB$2331&gt;_xlpm.threshold)),1))),""),"")</f>
        <v/>
      </c>
      <c r="N28" s="459" t="str">
        <f ca="1">IF(M28="","",M28-TODAY())</f>
        <v/>
      </c>
    </row>
    <row r="29" spans="1:14" ht="14.25" customHeight="1" x14ac:dyDescent="0.35">
      <c r="A29" s="46" t="s">
        <v>35</v>
      </c>
      <c r="B29" s="46" t="s">
        <v>933</v>
      </c>
      <c r="C29" s="47" t="s">
        <v>28</v>
      </c>
      <c r="D29" s="48">
        <v>46539</v>
      </c>
      <c r="E29" s="48">
        <v>48366</v>
      </c>
      <c r="F29" s="49">
        <v>19200</v>
      </c>
      <c r="G29" s="49"/>
      <c r="H29" s="108">
        <f t="shared" ref="H29:H32" si="5">F29-G29</f>
        <v>19200</v>
      </c>
      <c r="I29" s="109">
        <f t="shared" ref="I29:I32" ca="1" si="6">IFERROR(DATEDIF(TODAY(),E29,"M"),"")</f>
        <v>72</v>
      </c>
      <c r="J29" s="110">
        <f t="shared" si="2"/>
        <v>48366.000029000003</v>
      </c>
      <c r="K29" s="46"/>
      <c r="L29" s="220"/>
      <c r="M29" s="463" t="str" cm="1">
        <f t="array" ref="M29">IF(AND(L29="On Hold",E29&lt;&gt;"",H29&gt;0),IFERROR(_xlfn.LET(_xlpm.stopSell,EDATE(E29,-'FEFO Analysis'!$B$4),_xlpm.cumAtStop,SUMIFS('Planning Engine'!$F$4:$F$2331,'Planning Engine'!$B$4:$B$2331,A29,'Planning Engine'!$A$4:$A$2331,"&lt;="&amp;_xlpm.stopSell),_xlpm.threshold,_xlpm.cumAtStop-H29,IF(_xlpm.threshold&lt;=0,_xlfn.AGGREGATE(15,6,'Planning Engine'!$A$4:$A$2331/('Planning Engine'!$B$4:$B$2331=A29),1),_xlfn.AGGREGATE(15,6,'Planning Engine'!$A$4:$A$2331/(('Planning Engine'!$B$4:$B$2331=A29)*('Planning Engine'!$AB$4:$AB$2331&gt;_xlpm.threshold)),1))),""),"")</f>
        <v/>
      </c>
      <c r="N29" s="459" t="str">
        <f ca="1">IF(M29="","",M29-TODAY())</f>
        <v/>
      </c>
    </row>
    <row r="30" spans="1:14" ht="14.25" customHeight="1" x14ac:dyDescent="0.35">
      <c r="A30" s="46" t="s">
        <v>35</v>
      </c>
      <c r="B30" s="46" t="s">
        <v>955</v>
      </c>
      <c r="C30" s="47" t="s">
        <v>28</v>
      </c>
      <c r="D30" s="48">
        <v>46539</v>
      </c>
      <c r="E30" s="48">
        <v>48366</v>
      </c>
      <c r="F30" s="49">
        <v>33000</v>
      </c>
      <c r="G30" s="49"/>
      <c r="H30" s="108">
        <f t="shared" si="5"/>
        <v>33000</v>
      </c>
      <c r="I30" s="109">
        <f t="shared" ca="1" si="6"/>
        <v>72</v>
      </c>
      <c r="J30" s="110">
        <f t="shared" si="2"/>
        <v>48366.000030000003</v>
      </c>
      <c r="K30" s="46"/>
      <c r="L30" s="220"/>
      <c r="M30" s="463" t="str" cm="1">
        <f t="array" ref="M30">IF(AND(L30="On Hold",E30&lt;&gt;"",H30&gt;0),IFERROR(_xlfn.LET(_xlpm.stopSell,EDATE(E30,-'FEFO Analysis'!$B$4),_xlpm.cumAtStop,SUMIFS('Planning Engine'!$F$4:$F$2331,'Planning Engine'!$B$4:$B$2331,A30,'Planning Engine'!$A$4:$A$2331,"&lt;="&amp;_xlpm.stopSell),_xlpm.threshold,_xlpm.cumAtStop-H30,IF(_xlpm.threshold&lt;=0,_xlfn.AGGREGATE(15,6,'Planning Engine'!$A$4:$A$2331/('Planning Engine'!$B$4:$B$2331=A30),1),_xlfn.AGGREGATE(15,6,'Planning Engine'!$A$4:$A$2331/(('Planning Engine'!$B$4:$B$2331=A30)*('Planning Engine'!$AB$4:$AB$2331&gt;_xlpm.threshold)),1))),""),"")</f>
        <v/>
      </c>
      <c r="N30" s="459" t="str">
        <f ca="1">IF(M30="","",M30-TODAY())</f>
        <v/>
      </c>
    </row>
    <row r="31" spans="1:14" ht="14.25" customHeight="1" x14ac:dyDescent="0.35">
      <c r="A31" s="46" t="s">
        <v>35</v>
      </c>
      <c r="B31" s="46" t="s">
        <v>956</v>
      </c>
      <c r="C31" s="47" t="s">
        <v>28</v>
      </c>
      <c r="D31" s="48">
        <v>46539</v>
      </c>
      <c r="E31" s="48">
        <v>48366</v>
      </c>
      <c r="F31" s="49">
        <v>33000</v>
      </c>
      <c r="G31" s="49"/>
      <c r="H31" s="108">
        <f t="shared" si="5"/>
        <v>33000</v>
      </c>
      <c r="I31" s="109">
        <f t="shared" ca="1" si="6"/>
        <v>72</v>
      </c>
      <c r="J31" s="110">
        <f t="shared" si="2"/>
        <v>48366.000031000003</v>
      </c>
      <c r="K31" s="46"/>
      <c r="L31" s="220"/>
      <c r="M31" s="463" t="str" cm="1">
        <f t="array" ref="M31">IF(AND(L31="On Hold",E31&lt;&gt;"",H31&gt;0),IFERROR(_xlfn.LET(_xlpm.stopSell,EDATE(E31,-'FEFO Analysis'!$B$4),_xlpm.cumAtStop,SUMIFS('Planning Engine'!$F$4:$F$2331,'Planning Engine'!$B$4:$B$2331,A31,'Planning Engine'!$A$4:$A$2331,"&lt;="&amp;_xlpm.stopSell),_xlpm.threshold,_xlpm.cumAtStop-H31,IF(_xlpm.threshold&lt;=0,_xlfn.AGGREGATE(15,6,'Planning Engine'!$A$4:$A$2331/('Planning Engine'!$B$4:$B$2331=A31),1),_xlfn.AGGREGATE(15,6,'Planning Engine'!$A$4:$A$2331/(('Planning Engine'!$B$4:$B$2331=A31)*('Planning Engine'!$AB$4:$AB$2331&gt;_xlpm.threshold)),1))),""),"")</f>
        <v/>
      </c>
      <c r="N31" s="459" t="str">
        <f ca="1">IF(M31="","",M31-TODAY())</f>
        <v/>
      </c>
    </row>
    <row r="32" spans="1:14" ht="14.25" customHeight="1" x14ac:dyDescent="0.35">
      <c r="A32" s="46"/>
      <c r="B32" s="46"/>
      <c r="C32" s="47"/>
      <c r="D32" s="48"/>
      <c r="E32" s="48"/>
      <c r="F32" s="49"/>
      <c r="G32" s="49"/>
      <c r="H32" s="108">
        <f t="shared" si="5"/>
        <v>0</v>
      </c>
      <c r="I32" s="109" t="str">
        <f t="shared" ca="1" si="6"/>
        <v/>
      </c>
      <c r="J32" s="110" t="str">
        <f t="shared" si="2"/>
        <v/>
      </c>
      <c r="K32" s="46"/>
      <c r="L32" s="220"/>
      <c r="M32" s="463" t="str" cm="1">
        <f t="array" ref="M32">IF(AND(L32="On Hold",E32&lt;&gt;"",H32&gt;0),IFERROR(_xlfn.LET(_xlpm.stopSell,EDATE(E32,-'FEFO Analysis'!$B$4),_xlpm.cumAtStop,SUMIFS('Planning Engine'!$F$4:$F$2331,'Planning Engine'!$B$4:$B$2331,A32,'Planning Engine'!$A$4:$A$2331,"&lt;="&amp;_xlpm.stopSell),_xlpm.threshold,_xlpm.cumAtStop-H32,IF(_xlpm.threshold&lt;=0,_xlfn.AGGREGATE(15,6,'Planning Engine'!$A$4:$A$2331/('Planning Engine'!$B$4:$B$2331=A32),1),_xlfn.AGGREGATE(15,6,'Planning Engine'!$A$4:$A$2331/(('Planning Engine'!$B$4:$B$2331=A32)*('Planning Engine'!$AB$4:$AB$2331&gt;_xlpm.threshold)),1))),""),"")</f>
        <v/>
      </c>
      <c r="N32" s="459" t="str">
        <f ca="1">IF(M32="","",M32-TODAY())</f>
        <v/>
      </c>
    </row>
    <row r="33" spans="1:14" ht="14.25" customHeight="1" x14ac:dyDescent="0.35">
      <c r="A33" s="46" t="s">
        <v>26</v>
      </c>
      <c r="B33" s="46" t="s">
        <v>605</v>
      </c>
      <c r="C33" s="47" t="s">
        <v>28</v>
      </c>
      <c r="D33" s="48">
        <v>45494</v>
      </c>
      <c r="E33" s="48">
        <v>46589</v>
      </c>
      <c r="F33" s="49">
        <v>14972</v>
      </c>
      <c r="G33" s="49">
        <v>0</v>
      </c>
      <c r="H33" s="108">
        <f t="shared" si="0"/>
        <v>14972</v>
      </c>
      <c r="I33" s="109">
        <f t="shared" ca="1" si="1"/>
        <v>14</v>
      </c>
      <c r="J33" s="110">
        <f t="shared" si="2"/>
        <v>46589.000032999997</v>
      </c>
      <c r="K33" s="46"/>
      <c r="L33" s="220" t="s">
        <v>951</v>
      </c>
      <c r="M33" s="463" cm="1">
        <f t="array" ref="M33">IF(AND(L33="On Hold",E33&lt;&gt;"",H33&gt;0),IFERROR(_xlfn.LET(_xlpm.stopSell,EDATE(E33,-'FEFO Analysis'!$B$4),_xlpm.cumAtStop,SUMIFS('Planning Engine'!$F$4:$F$2331,'Planning Engine'!$B$4:$B$2331,A33,'Planning Engine'!$A$4:$A$2331,"&lt;="&amp;_xlpm.stopSell),_xlpm.threshold,_xlpm.cumAtStop-H33,IF(_xlpm.threshold&lt;=0,_xlfn.AGGREGATE(15,6,'Planning Engine'!$A$4:$A$2331/('Planning Engine'!$B$4:$B$2331=A33),1),_xlfn.AGGREGATE(15,6,'Planning Engine'!$A$4:$A$2331/(('Planning Engine'!$B$4:$B$2331=A33)*('Planning Engine'!$AB$4:$AB$2331&gt;_xlpm.threshold)),1))),""),"")</f>
        <v>46204</v>
      </c>
      <c r="N33" s="459">
        <f ca="1">IF(M33="","",M33-TODAY())</f>
        <v>49</v>
      </c>
    </row>
    <row r="34" spans="1:14" ht="14.25" customHeight="1" x14ac:dyDescent="0.35">
      <c r="A34" s="46" t="s">
        <v>26</v>
      </c>
      <c r="B34" s="46" t="s">
        <v>606</v>
      </c>
      <c r="C34" s="47" t="s">
        <v>28</v>
      </c>
      <c r="D34" s="48">
        <v>45677</v>
      </c>
      <c r="E34" s="48">
        <v>46772</v>
      </c>
      <c r="F34" s="49">
        <v>11098</v>
      </c>
      <c r="G34" s="49">
        <v>0</v>
      </c>
      <c r="H34" s="108">
        <f t="shared" si="0"/>
        <v>11098</v>
      </c>
      <c r="I34" s="109">
        <f t="shared" ca="1" si="1"/>
        <v>20</v>
      </c>
      <c r="J34" s="110">
        <f t="shared" si="2"/>
        <v>46772.000033999997</v>
      </c>
      <c r="K34" s="46"/>
      <c r="L34" s="220" t="s">
        <v>930</v>
      </c>
      <c r="M34" s="463" t="str" cm="1">
        <f t="array" ref="M34">IF(AND(L34="On Hold",E34&lt;&gt;"",H34&gt;0),IFERROR(_xlfn.LET(_xlpm.stopSell,EDATE(E34,-'FEFO Analysis'!$B$4),_xlpm.cumAtStop,SUMIFS('Planning Engine'!$F$4:$F$2331,'Planning Engine'!$B$4:$B$2331,A34,'Planning Engine'!$A$4:$A$2331,"&lt;="&amp;_xlpm.stopSell),_xlpm.threshold,_xlpm.cumAtStop-H34,IF(_xlpm.threshold&lt;=0,_xlfn.AGGREGATE(15,6,'Planning Engine'!$A$4:$A$2331/('Planning Engine'!$B$4:$B$2331=A34),1),_xlfn.AGGREGATE(15,6,'Planning Engine'!$A$4:$A$2331/(('Planning Engine'!$B$4:$B$2331=A34)*('Planning Engine'!$AB$4:$AB$2331&gt;_xlpm.threshold)),1))),""),"")</f>
        <v/>
      </c>
      <c r="N34" s="459" t="str">
        <f ca="1">IF(M34="","",M34-TODAY())</f>
        <v/>
      </c>
    </row>
    <row r="35" spans="1:14" ht="14.25" customHeight="1" x14ac:dyDescent="0.35">
      <c r="A35" s="46" t="s">
        <v>26</v>
      </c>
      <c r="B35" s="46" t="s">
        <v>607</v>
      </c>
      <c r="C35" s="47" t="s">
        <v>28</v>
      </c>
      <c r="D35" s="48">
        <v>45682</v>
      </c>
      <c r="E35" s="48">
        <v>46777</v>
      </c>
      <c r="F35" s="49">
        <v>10922</v>
      </c>
      <c r="G35" s="49">
        <v>0</v>
      </c>
      <c r="H35" s="108">
        <f t="shared" si="0"/>
        <v>10922</v>
      </c>
      <c r="I35" s="109">
        <f t="shared" ca="1" si="1"/>
        <v>20</v>
      </c>
      <c r="J35" s="110">
        <f t="shared" si="2"/>
        <v>46777.000034999997</v>
      </c>
      <c r="K35" s="46"/>
      <c r="L35" s="220" t="s">
        <v>930</v>
      </c>
      <c r="M35" s="463" t="str" cm="1">
        <f t="array" ref="M35">IF(AND(L35="On Hold",E35&lt;&gt;"",H35&gt;0),IFERROR(_xlfn.LET(_xlpm.stopSell,EDATE(E35,-'FEFO Analysis'!$B$4),_xlpm.cumAtStop,SUMIFS('Planning Engine'!$F$4:$F$2331,'Planning Engine'!$B$4:$B$2331,A35,'Planning Engine'!$A$4:$A$2331,"&lt;="&amp;_xlpm.stopSell),_xlpm.threshold,_xlpm.cumAtStop-H35,IF(_xlpm.threshold&lt;=0,_xlfn.AGGREGATE(15,6,'Planning Engine'!$A$4:$A$2331/('Planning Engine'!$B$4:$B$2331=A35),1),_xlfn.AGGREGATE(15,6,'Planning Engine'!$A$4:$A$2331/(('Planning Engine'!$B$4:$B$2331=A35)*('Planning Engine'!$AB$4:$AB$2331&gt;_xlpm.threshold)),1))),""),"")</f>
        <v/>
      </c>
      <c r="N35" s="459" t="str">
        <f ca="1">IF(M35="","",M35-TODAY())</f>
        <v/>
      </c>
    </row>
    <row r="36" spans="1:14" ht="14.25" customHeight="1" x14ac:dyDescent="0.35">
      <c r="A36" s="46" t="s">
        <v>26</v>
      </c>
      <c r="B36" s="46" t="s">
        <v>856</v>
      </c>
      <c r="C36" s="47" t="s">
        <v>28</v>
      </c>
      <c r="D36" s="48">
        <v>46245</v>
      </c>
      <c r="E36" s="48">
        <v>47705</v>
      </c>
      <c r="F36" s="49">
        <v>17103</v>
      </c>
      <c r="G36" s="49">
        <v>0</v>
      </c>
      <c r="H36" s="108">
        <f t="shared" si="0"/>
        <v>17103</v>
      </c>
      <c r="I36" s="109">
        <f t="shared" ca="1" si="1"/>
        <v>50</v>
      </c>
      <c r="J36" s="110">
        <f t="shared" si="2"/>
        <v>47705.000035999998</v>
      </c>
      <c r="K36" s="46"/>
      <c r="L36" s="220" t="s">
        <v>930</v>
      </c>
      <c r="M36" s="463" t="str" cm="1">
        <f t="array" ref="M36">IF(AND(L36="On Hold",E36&lt;&gt;"",H36&gt;0),IFERROR(_xlfn.LET(_xlpm.stopSell,EDATE(E36,-'FEFO Analysis'!$B$4),_xlpm.cumAtStop,SUMIFS('Planning Engine'!$F$4:$F$2331,'Planning Engine'!$B$4:$B$2331,A36,'Planning Engine'!$A$4:$A$2331,"&lt;="&amp;_xlpm.stopSell),_xlpm.threshold,_xlpm.cumAtStop-H36,IF(_xlpm.threshold&lt;=0,_xlfn.AGGREGATE(15,6,'Planning Engine'!$A$4:$A$2331/('Planning Engine'!$B$4:$B$2331=A36),1),_xlfn.AGGREGATE(15,6,'Planning Engine'!$A$4:$A$2331/(('Planning Engine'!$B$4:$B$2331=A36)*('Planning Engine'!$AB$4:$AB$2331&gt;_xlpm.threshold)),1))),""),"")</f>
        <v/>
      </c>
      <c r="N36" s="459" t="str">
        <f ca="1">IF(M36="","",M36-TODAY())</f>
        <v/>
      </c>
    </row>
    <row r="37" spans="1:14" ht="14.25" customHeight="1" x14ac:dyDescent="0.35">
      <c r="A37" s="46" t="s">
        <v>26</v>
      </c>
      <c r="B37" s="46" t="s">
        <v>857</v>
      </c>
      <c r="C37" s="47" t="s">
        <v>28</v>
      </c>
      <c r="D37" s="48">
        <v>46058</v>
      </c>
      <c r="E37" s="48">
        <v>47518</v>
      </c>
      <c r="F37" s="49">
        <v>2700</v>
      </c>
      <c r="G37" s="49">
        <v>0</v>
      </c>
      <c r="H37" s="108">
        <f t="shared" si="0"/>
        <v>2700</v>
      </c>
      <c r="I37" s="109">
        <f t="shared" ca="1" si="1"/>
        <v>44</v>
      </c>
      <c r="J37" s="110">
        <f t="shared" si="2"/>
        <v>47518.000036999998</v>
      </c>
      <c r="K37" s="46"/>
      <c r="L37" s="220" t="s">
        <v>930</v>
      </c>
      <c r="M37" s="463" t="str" cm="1">
        <f t="array" ref="M37">IF(AND(L37="On Hold",E37&lt;&gt;"",H37&gt;0),IFERROR(_xlfn.LET(_xlpm.stopSell,EDATE(E37,-'FEFO Analysis'!$B$4),_xlpm.cumAtStop,SUMIFS('Planning Engine'!$F$4:$F$2331,'Planning Engine'!$B$4:$B$2331,A37,'Planning Engine'!$A$4:$A$2331,"&lt;="&amp;_xlpm.stopSell),_xlpm.threshold,_xlpm.cumAtStop-H37,IF(_xlpm.threshold&lt;=0,_xlfn.AGGREGATE(15,6,'Planning Engine'!$A$4:$A$2331/('Planning Engine'!$B$4:$B$2331=A37),1),_xlfn.AGGREGATE(15,6,'Planning Engine'!$A$4:$A$2331/(('Planning Engine'!$B$4:$B$2331=A37)*('Planning Engine'!$AB$4:$AB$2331&gt;_xlpm.threshold)),1))),""),"")</f>
        <v/>
      </c>
      <c r="N37" s="459" t="str">
        <f ca="1">IF(M37="","",M37-TODAY())</f>
        <v/>
      </c>
    </row>
    <row r="38" spans="1:14" ht="14.25" customHeight="1" x14ac:dyDescent="0.35">
      <c r="A38" s="46" t="s">
        <v>26</v>
      </c>
      <c r="B38" s="46" t="s">
        <v>858</v>
      </c>
      <c r="C38" s="47" t="s">
        <v>28</v>
      </c>
      <c r="D38" s="48">
        <v>46238</v>
      </c>
      <c r="E38" s="48">
        <v>47698</v>
      </c>
      <c r="F38" s="49">
        <v>16932</v>
      </c>
      <c r="G38" s="49">
        <v>0</v>
      </c>
      <c r="H38" s="108">
        <f t="shared" si="0"/>
        <v>16932</v>
      </c>
      <c r="I38" s="109">
        <f t="shared" ca="1" si="1"/>
        <v>50</v>
      </c>
      <c r="J38" s="110">
        <f t="shared" si="2"/>
        <v>47698.000037999998</v>
      </c>
      <c r="K38" s="46"/>
      <c r="L38" s="220" t="s">
        <v>930</v>
      </c>
      <c r="M38" s="463" t="str" cm="1">
        <f t="array" ref="M38">IF(AND(L38="On Hold",E38&lt;&gt;"",H38&gt;0),IFERROR(_xlfn.LET(_xlpm.stopSell,EDATE(E38,-'FEFO Analysis'!$B$4),_xlpm.cumAtStop,SUMIFS('Planning Engine'!$F$4:$F$2331,'Planning Engine'!$B$4:$B$2331,A38,'Planning Engine'!$A$4:$A$2331,"&lt;="&amp;_xlpm.stopSell),_xlpm.threshold,_xlpm.cumAtStop-H38,IF(_xlpm.threshold&lt;=0,_xlfn.AGGREGATE(15,6,'Planning Engine'!$A$4:$A$2331/('Planning Engine'!$B$4:$B$2331=A38),1),_xlfn.AGGREGATE(15,6,'Planning Engine'!$A$4:$A$2331/(('Planning Engine'!$B$4:$B$2331=A38)*('Planning Engine'!$AB$4:$AB$2331&gt;_xlpm.threshold)),1))),""),"")</f>
        <v/>
      </c>
      <c r="N38" s="459" t="str">
        <f ca="1">IF(M38="","",M38-TODAY())</f>
        <v/>
      </c>
    </row>
    <row r="39" spans="1:14" ht="14.25" customHeight="1" x14ac:dyDescent="0.35">
      <c r="A39" s="46" t="s">
        <v>26</v>
      </c>
      <c r="B39" s="46" t="s">
        <v>958</v>
      </c>
      <c r="C39" s="47" t="s">
        <v>28</v>
      </c>
      <c r="D39" s="48">
        <v>46113</v>
      </c>
      <c r="E39" s="48">
        <v>47939</v>
      </c>
      <c r="F39" s="49">
        <v>16200</v>
      </c>
      <c r="G39" s="49"/>
      <c r="H39" s="108">
        <f t="shared" si="0"/>
        <v>16200</v>
      </c>
      <c r="I39" s="109">
        <f t="shared" ca="1" si="1"/>
        <v>58</v>
      </c>
      <c r="J39" s="110">
        <f t="shared" si="2"/>
        <v>47939.000038999999</v>
      </c>
      <c r="K39" s="46"/>
      <c r="L39" s="220" t="s">
        <v>930</v>
      </c>
      <c r="M39" s="463" t="str" cm="1">
        <f t="array" ref="M39">IF(AND(L39="On Hold",E39&lt;&gt;"",H39&gt;0),IFERROR(_xlfn.LET(_xlpm.stopSell,EDATE(E39,-'FEFO Analysis'!$B$4),_xlpm.cumAtStop,SUMIFS('Planning Engine'!$F$4:$F$2331,'Planning Engine'!$B$4:$B$2331,A39,'Planning Engine'!$A$4:$A$2331,"&lt;="&amp;_xlpm.stopSell),_xlpm.threshold,_xlpm.cumAtStop-H39,IF(_xlpm.threshold&lt;=0,_xlfn.AGGREGATE(15,6,'Planning Engine'!$A$4:$A$2331/('Planning Engine'!$B$4:$B$2331=A39),1),_xlfn.AGGREGATE(15,6,'Planning Engine'!$A$4:$A$2331/(('Planning Engine'!$B$4:$B$2331=A39)*('Planning Engine'!$AB$4:$AB$2331&gt;_xlpm.threshold)),1))),""),"")</f>
        <v/>
      </c>
      <c r="N39" s="459" t="str">
        <f ca="1">IF(M39="","",M39-TODAY())</f>
        <v/>
      </c>
    </row>
    <row r="40" spans="1:14" ht="14.25" customHeight="1" x14ac:dyDescent="0.35">
      <c r="A40" s="46" t="s">
        <v>26</v>
      </c>
      <c r="B40" s="46" t="s">
        <v>957</v>
      </c>
      <c r="C40" s="47" t="s">
        <v>28</v>
      </c>
      <c r="D40" s="48">
        <v>46174</v>
      </c>
      <c r="E40" s="48">
        <v>48000</v>
      </c>
      <c r="F40" s="49">
        <v>16200</v>
      </c>
      <c r="G40" s="49"/>
      <c r="H40" s="108">
        <f t="shared" si="0"/>
        <v>16200</v>
      </c>
      <c r="I40" s="109">
        <f t="shared" ca="1" si="1"/>
        <v>60</v>
      </c>
      <c r="J40" s="110">
        <f t="shared" si="2"/>
        <v>48000.000039999999</v>
      </c>
      <c r="K40" s="46"/>
      <c r="L40" s="220" t="s">
        <v>930</v>
      </c>
      <c r="M40" s="463" t="str" cm="1">
        <f t="array" ref="M40">IF(AND(L40="On Hold",E40&lt;&gt;"",H40&gt;0),IFERROR(_xlfn.LET(_xlpm.stopSell,EDATE(E40,-'FEFO Analysis'!$B$4),_xlpm.cumAtStop,SUMIFS('Planning Engine'!$F$4:$F$2331,'Planning Engine'!$B$4:$B$2331,A40,'Planning Engine'!$A$4:$A$2331,"&lt;="&amp;_xlpm.stopSell),_xlpm.threshold,_xlpm.cumAtStop-H40,IF(_xlpm.threshold&lt;=0,_xlfn.AGGREGATE(15,6,'Planning Engine'!$A$4:$A$2331/('Planning Engine'!$B$4:$B$2331=A40),1),_xlfn.AGGREGATE(15,6,'Planning Engine'!$A$4:$A$2331/(('Planning Engine'!$B$4:$B$2331=A40)*('Planning Engine'!$AB$4:$AB$2331&gt;_xlpm.threshold)),1))),""),"")</f>
        <v/>
      </c>
      <c r="N40" s="459" t="str">
        <f ca="1">IF(M40="","",M40-TODAY())</f>
        <v/>
      </c>
    </row>
    <row r="41" spans="1:14" ht="14.25" customHeight="1" x14ac:dyDescent="0.35">
      <c r="A41" s="46" t="s">
        <v>26</v>
      </c>
      <c r="B41" s="46" t="s">
        <v>933</v>
      </c>
      <c r="C41" s="47" t="s">
        <v>28</v>
      </c>
      <c r="D41" s="48">
        <v>46539</v>
      </c>
      <c r="E41" s="48">
        <v>48366</v>
      </c>
      <c r="F41" s="49">
        <v>33500</v>
      </c>
      <c r="G41" s="49"/>
      <c r="H41" s="108">
        <f t="shared" si="0"/>
        <v>33500</v>
      </c>
      <c r="I41" s="109">
        <f t="shared" ca="1" si="1"/>
        <v>72</v>
      </c>
      <c r="J41" s="110">
        <f t="shared" si="2"/>
        <v>48366.000040999999</v>
      </c>
      <c r="K41" s="46"/>
      <c r="L41" s="220" t="s">
        <v>930</v>
      </c>
      <c r="M41" s="463" t="str" cm="1">
        <f t="array" ref="M41">IF(AND(L41="On Hold",E41&lt;&gt;"",H41&gt;0),IFERROR(_xlfn.LET(_xlpm.stopSell,EDATE(E41,-'FEFO Analysis'!$B$4),_xlpm.cumAtStop,SUMIFS('Planning Engine'!$F$4:$F$2331,'Planning Engine'!$B$4:$B$2331,A41,'Planning Engine'!$A$4:$A$2331,"&lt;="&amp;_xlpm.stopSell),_xlpm.threshold,_xlpm.cumAtStop-H41,IF(_xlpm.threshold&lt;=0,_xlfn.AGGREGATE(15,6,'Planning Engine'!$A$4:$A$2331/('Planning Engine'!$B$4:$B$2331=A41),1),_xlfn.AGGREGATE(15,6,'Planning Engine'!$A$4:$A$2331/(('Planning Engine'!$B$4:$B$2331=A41)*('Planning Engine'!$AB$4:$AB$2331&gt;_xlpm.threshold)),1))),""),"")</f>
        <v/>
      </c>
      <c r="N41" s="459" t="str">
        <f ca="1">IF(M41="","",M41-TODAY())</f>
        <v/>
      </c>
    </row>
    <row r="42" spans="1:14" ht="14.25" customHeight="1" x14ac:dyDescent="0.35">
      <c r="A42" s="46" t="s">
        <v>26</v>
      </c>
      <c r="B42" s="46" t="s">
        <v>955</v>
      </c>
      <c r="C42" s="47" t="s">
        <v>28</v>
      </c>
      <c r="D42" s="48">
        <v>46539</v>
      </c>
      <c r="E42" s="48">
        <v>48366</v>
      </c>
      <c r="F42" s="49">
        <v>38000</v>
      </c>
      <c r="G42" s="49"/>
      <c r="H42" s="108">
        <f t="shared" si="0"/>
        <v>38000</v>
      </c>
      <c r="I42" s="109">
        <f t="shared" ca="1" si="1"/>
        <v>72</v>
      </c>
      <c r="J42" s="110">
        <f t="shared" si="2"/>
        <v>48366.000042</v>
      </c>
      <c r="K42" s="46"/>
      <c r="L42" s="220"/>
      <c r="M42" s="463" t="str" cm="1">
        <f t="array" ref="M42">IF(AND(L42="On Hold",E42&lt;&gt;"",H42&gt;0),IFERROR(_xlfn.LET(_xlpm.stopSell,EDATE(E42,-'FEFO Analysis'!$B$4),_xlpm.cumAtStop,SUMIFS('Planning Engine'!$F$4:$F$2331,'Planning Engine'!$B$4:$B$2331,A42,'Planning Engine'!$A$4:$A$2331,"&lt;="&amp;_xlpm.stopSell),_xlpm.threshold,_xlpm.cumAtStop-H42,IF(_xlpm.threshold&lt;=0,_xlfn.AGGREGATE(15,6,'Planning Engine'!$A$4:$A$2331/('Planning Engine'!$B$4:$B$2331=A42),1),_xlfn.AGGREGATE(15,6,'Planning Engine'!$A$4:$A$2331/(('Planning Engine'!$B$4:$B$2331=A42)*('Planning Engine'!$AB$4:$AB$2331&gt;_xlpm.threshold)),1))),""),"")</f>
        <v/>
      </c>
      <c r="N42" s="459" t="str">
        <f ca="1">IF(M42="","",M42-TODAY())</f>
        <v/>
      </c>
    </row>
    <row r="43" spans="1:14" ht="14.25" customHeight="1" x14ac:dyDescent="0.35">
      <c r="A43" s="46" t="s">
        <v>26</v>
      </c>
      <c r="B43" s="46" t="s">
        <v>956</v>
      </c>
      <c r="C43" s="47" t="s">
        <v>28</v>
      </c>
      <c r="D43" s="48">
        <v>46539</v>
      </c>
      <c r="E43" s="48">
        <v>48366</v>
      </c>
      <c r="F43" s="49">
        <v>38000</v>
      </c>
      <c r="G43" s="49"/>
      <c r="H43" s="108">
        <f t="shared" si="0"/>
        <v>38000</v>
      </c>
      <c r="I43" s="109">
        <f t="shared" ca="1" si="1"/>
        <v>72</v>
      </c>
      <c r="J43" s="110">
        <f t="shared" si="2"/>
        <v>48366.000043</v>
      </c>
      <c r="K43" s="46"/>
      <c r="L43" s="220"/>
      <c r="M43" s="463" t="str" cm="1">
        <f t="array" ref="M43">IF(AND(L43="On Hold",E43&lt;&gt;"",H43&gt;0),IFERROR(_xlfn.LET(_xlpm.stopSell,EDATE(E43,-'FEFO Analysis'!$B$4),_xlpm.cumAtStop,SUMIFS('Planning Engine'!$F$4:$F$2331,'Planning Engine'!$B$4:$B$2331,A43,'Planning Engine'!$A$4:$A$2331,"&lt;="&amp;_xlpm.stopSell),_xlpm.threshold,_xlpm.cumAtStop-H43,IF(_xlpm.threshold&lt;=0,_xlfn.AGGREGATE(15,6,'Planning Engine'!$A$4:$A$2331/('Planning Engine'!$B$4:$B$2331=A43),1),_xlfn.AGGREGATE(15,6,'Planning Engine'!$A$4:$A$2331/(('Planning Engine'!$B$4:$B$2331=A43)*('Planning Engine'!$AB$4:$AB$2331&gt;_xlpm.threshold)),1))),""),"")</f>
        <v/>
      </c>
      <c r="N43" s="459" t="str">
        <f ca="1">IF(M43="","",M43-TODAY())</f>
        <v/>
      </c>
    </row>
    <row r="44" spans="1:14" ht="14.25" customHeight="1" x14ac:dyDescent="0.35">
      <c r="A44" s="46"/>
      <c r="B44" s="46"/>
      <c r="C44" s="47"/>
      <c r="D44" s="48"/>
      <c r="E44" s="48"/>
      <c r="F44" s="49"/>
      <c r="G44" s="49"/>
      <c r="H44" s="108">
        <f t="shared" si="0"/>
        <v>0</v>
      </c>
      <c r="I44" s="109" t="str">
        <f t="shared" ca="1" si="1"/>
        <v/>
      </c>
      <c r="J44" s="110" t="str">
        <f t="shared" si="2"/>
        <v/>
      </c>
      <c r="K44" s="46"/>
      <c r="L44" s="220"/>
      <c r="M44" s="463" t="str" cm="1">
        <f t="array" ref="M44">IF(AND(L44="On Hold",E44&lt;&gt;"",H44&gt;0),IFERROR(_xlfn.LET(_xlpm.stopSell,EDATE(E44,-'FEFO Analysis'!$B$4),_xlpm.cumAtStop,SUMIFS('Planning Engine'!$F$4:$F$2331,'Planning Engine'!$B$4:$B$2331,A44,'Planning Engine'!$A$4:$A$2331,"&lt;="&amp;_xlpm.stopSell),_xlpm.threshold,_xlpm.cumAtStop-H44,IF(_xlpm.threshold&lt;=0,_xlfn.AGGREGATE(15,6,'Planning Engine'!$A$4:$A$2331/('Planning Engine'!$B$4:$B$2331=A44),1),_xlfn.AGGREGATE(15,6,'Planning Engine'!$A$4:$A$2331/(('Planning Engine'!$B$4:$B$2331=A44)*('Planning Engine'!$AB$4:$AB$2331&gt;_xlpm.threshold)),1))),""),"")</f>
        <v/>
      </c>
      <c r="N44" s="459" t="str">
        <f ca="1">IF(M44="","",M44-TODAY())</f>
        <v/>
      </c>
    </row>
    <row r="45" spans="1:14" ht="14.25" customHeight="1" x14ac:dyDescent="0.35">
      <c r="A45" s="46" t="s">
        <v>54</v>
      </c>
      <c r="B45" s="46" t="s">
        <v>862</v>
      </c>
      <c r="C45" s="47" t="s">
        <v>879</v>
      </c>
      <c r="D45" s="48"/>
      <c r="E45" s="48">
        <v>47069</v>
      </c>
      <c r="F45" s="49">
        <v>84.034000000000006</v>
      </c>
      <c r="G45" s="49">
        <v>0</v>
      </c>
      <c r="H45" s="108">
        <f t="shared" ref="H45:H100" si="7">F45-G45</f>
        <v>84.034000000000006</v>
      </c>
      <c r="I45" s="109">
        <f t="shared" ref="I45:I100" ca="1" si="8">IFERROR(DATEDIF(TODAY(),E45,"M"),"")</f>
        <v>29</v>
      </c>
      <c r="J45" s="110">
        <f t="shared" si="2"/>
        <v>47069.000045000001</v>
      </c>
      <c r="K45" s="46"/>
      <c r="L45" s="220" t="s">
        <v>930</v>
      </c>
      <c r="M45" s="463" t="str" cm="1">
        <f t="array" ref="M45">IF(AND(L45="On Hold",E45&lt;&gt;"",H45&gt;0),IFERROR(_xlfn.LET(_xlpm.stopSell,EDATE(E45,-'FEFO Analysis'!$B$4),_xlpm.cumAtStop,SUMIFS('Planning Engine'!$F$4:$F$2331,'Planning Engine'!$B$4:$B$2331,A45,'Planning Engine'!$A$4:$A$2331,"&lt;="&amp;_xlpm.stopSell),_xlpm.threshold,_xlpm.cumAtStop-H45,IF(_xlpm.threshold&lt;=0,_xlfn.AGGREGATE(15,6,'Planning Engine'!$A$4:$A$2331/('Planning Engine'!$B$4:$B$2331=A45),1),_xlfn.AGGREGATE(15,6,'Planning Engine'!$A$4:$A$2331/(('Planning Engine'!$B$4:$B$2331=A45)*('Planning Engine'!$AB$4:$AB$2331&gt;_xlpm.threshold)),1))),""),"")</f>
        <v/>
      </c>
      <c r="N45" s="459" t="str">
        <f ca="1">IF(M45="","",M45-TODAY())</f>
        <v/>
      </c>
    </row>
    <row r="46" spans="1:14" ht="14.25" customHeight="1" x14ac:dyDescent="0.35">
      <c r="A46" s="46" t="s">
        <v>54</v>
      </c>
      <c r="B46" s="46" t="s">
        <v>863</v>
      </c>
      <c r="C46" s="47" t="s">
        <v>879</v>
      </c>
      <c r="D46" s="48"/>
      <c r="E46" s="48">
        <v>47071</v>
      </c>
      <c r="F46" s="49">
        <v>85.813999999999993</v>
      </c>
      <c r="G46" s="49">
        <v>0</v>
      </c>
      <c r="H46" s="108">
        <f t="shared" si="7"/>
        <v>85.813999999999993</v>
      </c>
      <c r="I46" s="109">
        <f t="shared" ca="1" si="8"/>
        <v>30</v>
      </c>
      <c r="J46" s="110">
        <f t="shared" si="2"/>
        <v>47071.000046000001</v>
      </c>
      <c r="K46" s="46"/>
      <c r="L46" s="220" t="s">
        <v>930</v>
      </c>
      <c r="M46" s="463" t="str" cm="1">
        <f t="array" ref="M46">IF(AND(L46="On Hold",E46&lt;&gt;"",H46&gt;0),IFERROR(_xlfn.LET(_xlpm.stopSell,EDATE(E46,-'FEFO Analysis'!$B$4),_xlpm.cumAtStop,SUMIFS('Planning Engine'!$F$4:$F$2331,'Planning Engine'!$B$4:$B$2331,A46,'Planning Engine'!$A$4:$A$2331,"&lt;="&amp;_xlpm.stopSell),_xlpm.threshold,_xlpm.cumAtStop-H46,IF(_xlpm.threshold&lt;=0,_xlfn.AGGREGATE(15,6,'Planning Engine'!$A$4:$A$2331/('Planning Engine'!$B$4:$B$2331=A46),1),_xlfn.AGGREGATE(15,6,'Planning Engine'!$A$4:$A$2331/(('Planning Engine'!$B$4:$B$2331=A46)*('Planning Engine'!$AB$4:$AB$2331&gt;_xlpm.threshold)),1))),""),"")</f>
        <v/>
      </c>
      <c r="N46" s="459" t="str">
        <f ca="1">IF(M46="","",M46-TODAY())</f>
        <v/>
      </c>
    </row>
    <row r="47" spans="1:14" ht="14.25" customHeight="1" x14ac:dyDescent="0.35">
      <c r="A47" s="46" t="s">
        <v>54</v>
      </c>
      <c r="B47" s="46" t="s">
        <v>864</v>
      </c>
      <c r="C47" s="47" t="s">
        <v>879</v>
      </c>
      <c r="D47" s="48"/>
      <c r="E47" s="48">
        <v>46981</v>
      </c>
      <c r="F47" s="49">
        <v>85.338999999999999</v>
      </c>
      <c r="G47" s="49">
        <v>0</v>
      </c>
      <c r="H47" s="108">
        <f t="shared" si="7"/>
        <v>85.338999999999999</v>
      </c>
      <c r="I47" s="109">
        <f t="shared" ca="1" si="8"/>
        <v>27</v>
      </c>
      <c r="J47" s="110">
        <f t="shared" si="2"/>
        <v>46981.000047000001</v>
      </c>
      <c r="K47" s="46"/>
      <c r="L47" s="220" t="s">
        <v>930</v>
      </c>
      <c r="M47" s="463" t="str" cm="1">
        <f t="array" ref="M47">IF(AND(L47="On Hold",E47&lt;&gt;"",H47&gt;0),IFERROR(_xlfn.LET(_xlpm.stopSell,EDATE(E47,-'FEFO Analysis'!$B$4),_xlpm.cumAtStop,SUMIFS('Planning Engine'!$F$4:$F$2331,'Planning Engine'!$B$4:$B$2331,A47,'Planning Engine'!$A$4:$A$2331,"&lt;="&amp;_xlpm.stopSell),_xlpm.threshold,_xlpm.cumAtStop-H47,IF(_xlpm.threshold&lt;=0,_xlfn.AGGREGATE(15,6,'Planning Engine'!$A$4:$A$2331/('Planning Engine'!$B$4:$B$2331=A47),1),_xlfn.AGGREGATE(15,6,'Planning Engine'!$A$4:$A$2331/(('Planning Engine'!$B$4:$B$2331=A47)*('Planning Engine'!$AB$4:$AB$2331&gt;_xlpm.threshold)),1))),""),"")</f>
        <v/>
      </c>
      <c r="N47" s="459" t="str">
        <f ca="1">IF(M47="","",M47-TODAY())</f>
        <v/>
      </c>
    </row>
    <row r="48" spans="1:14" ht="14.25" customHeight="1" x14ac:dyDescent="0.35">
      <c r="A48" s="46" t="s">
        <v>54</v>
      </c>
      <c r="B48" s="46" t="s">
        <v>865</v>
      </c>
      <c r="C48" s="47" t="s">
        <v>879</v>
      </c>
      <c r="D48" s="48"/>
      <c r="E48" s="48">
        <v>46979</v>
      </c>
      <c r="F48" s="49">
        <v>82.545000000000002</v>
      </c>
      <c r="G48" s="49">
        <v>0</v>
      </c>
      <c r="H48" s="108">
        <f t="shared" si="7"/>
        <v>82.545000000000002</v>
      </c>
      <c r="I48" s="109">
        <f t="shared" ca="1" si="8"/>
        <v>27</v>
      </c>
      <c r="J48" s="110">
        <f t="shared" si="2"/>
        <v>46979.000048000002</v>
      </c>
      <c r="K48" s="46"/>
      <c r="L48" s="220" t="s">
        <v>930</v>
      </c>
      <c r="M48" s="463" t="str" cm="1">
        <f t="array" ref="M48">IF(AND(L48="On Hold",E48&lt;&gt;"",H48&gt;0),IFERROR(_xlfn.LET(_xlpm.stopSell,EDATE(E48,-'FEFO Analysis'!$B$4),_xlpm.cumAtStop,SUMIFS('Planning Engine'!$F$4:$F$2331,'Planning Engine'!$B$4:$B$2331,A48,'Planning Engine'!$A$4:$A$2331,"&lt;="&amp;_xlpm.stopSell),_xlpm.threshold,_xlpm.cumAtStop-H48,IF(_xlpm.threshold&lt;=0,_xlfn.AGGREGATE(15,6,'Planning Engine'!$A$4:$A$2331/('Planning Engine'!$B$4:$B$2331=A48),1),_xlfn.AGGREGATE(15,6,'Planning Engine'!$A$4:$A$2331/(('Planning Engine'!$B$4:$B$2331=A48)*('Planning Engine'!$AB$4:$AB$2331&gt;_xlpm.threshold)),1))),""),"")</f>
        <v/>
      </c>
      <c r="N48" s="459" t="str">
        <f ca="1">IF(M48="","",M48-TODAY())</f>
        <v/>
      </c>
    </row>
    <row r="49" spans="1:14" ht="14.25" customHeight="1" x14ac:dyDescent="0.35">
      <c r="A49" s="46" t="s">
        <v>54</v>
      </c>
      <c r="B49" s="46" t="s">
        <v>866</v>
      </c>
      <c r="C49" s="47" t="s">
        <v>879</v>
      </c>
      <c r="D49" s="48"/>
      <c r="E49" s="48">
        <v>46935</v>
      </c>
      <c r="F49" s="49">
        <v>37.110999999999997</v>
      </c>
      <c r="G49" s="49">
        <v>0</v>
      </c>
      <c r="H49" s="108">
        <f t="shared" si="7"/>
        <v>37.110999999999997</v>
      </c>
      <c r="I49" s="109">
        <f t="shared" ca="1" si="8"/>
        <v>25</v>
      </c>
      <c r="J49" s="110">
        <f t="shared" si="2"/>
        <v>46935.000049000002</v>
      </c>
      <c r="K49" s="46"/>
      <c r="L49" s="220" t="s">
        <v>930</v>
      </c>
      <c r="M49" s="463" t="str" cm="1">
        <f t="array" ref="M49">IF(AND(L49="On Hold",E49&lt;&gt;"",H49&gt;0),IFERROR(_xlfn.LET(_xlpm.stopSell,EDATE(E49,-'FEFO Analysis'!$B$4),_xlpm.cumAtStop,SUMIFS('Planning Engine'!$F$4:$F$2331,'Planning Engine'!$B$4:$B$2331,A49,'Planning Engine'!$A$4:$A$2331,"&lt;="&amp;_xlpm.stopSell),_xlpm.threshold,_xlpm.cumAtStop-H49,IF(_xlpm.threshold&lt;=0,_xlfn.AGGREGATE(15,6,'Planning Engine'!$A$4:$A$2331/('Planning Engine'!$B$4:$B$2331=A49),1),_xlfn.AGGREGATE(15,6,'Planning Engine'!$A$4:$A$2331/(('Planning Engine'!$B$4:$B$2331=A49)*('Planning Engine'!$AB$4:$AB$2331&gt;_xlpm.threshold)),1))),""),"")</f>
        <v/>
      </c>
      <c r="N49" s="459" t="str">
        <f ca="1">IF(M49="","",M49-TODAY())</f>
        <v/>
      </c>
    </row>
    <row r="50" spans="1:14" ht="14.25" customHeight="1" x14ac:dyDescent="0.35">
      <c r="A50" s="46" t="s">
        <v>56</v>
      </c>
      <c r="B50" s="46" t="s">
        <v>867</v>
      </c>
      <c r="C50" s="47" t="s">
        <v>879</v>
      </c>
      <c r="D50" s="48"/>
      <c r="E50" s="48">
        <v>46893</v>
      </c>
      <c r="F50" s="49">
        <v>49.945</v>
      </c>
      <c r="G50" s="49">
        <v>0</v>
      </c>
      <c r="H50" s="108">
        <f t="shared" si="7"/>
        <v>49.945</v>
      </c>
      <c r="I50" s="109">
        <f t="shared" ca="1" si="8"/>
        <v>24</v>
      </c>
      <c r="J50" s="110">
        <f t="shared" si="2"/>
        <v>46893.000050000002</v>
      </c>
      <c r="K50" s="46"/>
      <c r="L50" s="220" t="s">
        <v>930</v>
      </c>
      <c r="M50" s="463" t="str" cm="1">
        <f t="array" ref="M50">IF(AND(L50="On Hold",E50&lt;&gt;"",H50&gt;0),IFERROR(_xlfn.LET(_xlpm.stopSell,EDATE(E50,-'FEFO Analysis'!$B$4),_xlpm.cumAtStop,SUMIFS('Planning Engine'!$F$4:$F$2331,'Planning Engine'!$B$4:$B$2331,A50,'Planning Engine'!$A$4:$A$2331,"&lt;="&amp;_xlpm.stopSell),_xlpm.threshold,_xlpm.cumAtStop-H50,IF(_xlpm.threshold&lt;=0,_xlfn.AGGREGATE(15,6,'Planning Engine'!$A$4:$A$2331/('Planning Engine'!$B$4:$B$2331=A50),1),_xlfn.AGGREGATE(15,6,'Planning Engine'!$A$4:$A$2331/(('Planning Engine'!$B$4:$B$2331=A50)*('Planning Engine'!$AB$4:$AB$2331&gt;_xlpm.threshold)),1))),""),"")</f>
        <v/>
      </c>
      <c r="N50" s="459" t="str">
        <f ca="1">IF(M50="","",M50-TODAY())</f>
        <v/>
      </c>
    </row>
    <row r="51" spans="1:14" ht="14.25" customHeight="1" x14ac:dyDescent="0.35">
      <c r="A51" s="46" t="s">
        <v>56</v>
      </c>
      <c r="B51" s="46" t="s">
        <v>868</v>
      </c>
      <c r="C51" s="47" t="s">
        <v>879</v>
      </c>
      <c r="D51" s="48"/>
      <c r="E51" s="48">
        <v>46923</v>
      </c>
      <c r="F51" s="49">
        <v>28.978999999999999</v>
      </c>
      <c r="G51" s="49">
        <v>0</v>
      </c>
      <c r="H51" s="108">
        <f t="shared" si="7"/>
        <v>28.978999999999999</v>
      </c>
      <c r="I51" s="109">
        <f t="shared" ca="1" si="8"/>
        <v>25</v>
      </c>
      <c r="J51" s="110">
        <f t="shared" si="2"/>
        <v>46923.000051000003</v>
      </c>
      <c r="K51" s="46"/>
      <c r="L51" s="220" t="s">
        <v>930</v>
      </c>
      <c r="M51" s="463" t="str" cm="1">
        <f t="array" ref="M51">IF(AND(L51="On Hold",E51&lt;&gt;"",H51&gt;0),IFERROR(_xlfn.LET(_xlpm.stopSell,EDATE(E51,-'FEFO Analysis'!$B$4),_xlpm.cumAtStop,SUMIFS('Planning Engine'!$F$4:$F$2331,'Planning Engine'!$B$4:$B$2331,A51,'Planning Engine'!$A$4:$A$2331,"&lt;="&amp;_xlpm.stopSell),_xlpm.threshold,_xlpm.cumAtStop-H51,IF(_xlpm.threshold&lt;=0,_xlfn.AGGREGATE(15,6,'Planning Engine'!$A$4:$A$2331/('Planning Engine'!$B$4:$B$2331=A51),1),_xlfn.AGGREGATE(15,6,'Planning Engine'!$A$4:$A$2331/(('Planning Engine'!$B$4:$B$2331=A51)*('Planning Engine'!$AB$4:$AB$2331&gt;_xlpm.threshold)),1))),""),"")</f>
        <v/>
      </c>
      <c r="N51" s="459" t="str">
        <f ca="1">IF(M51="","",M51-TODAY())</f>
        <v/>
      </c>
    </row>
    <row r="52" spans="1:14" ht="14.25" customHeight="1" x14ac:dyDescent="0.35">
      <c r="A52" s="46" t="s">
        <v>57</v>
      </c>
      <c r="B52" s="46" t="s">
        <v>869</v>
      </c>
      <c r="C52" s="47" t="s">
        <v>879</v>
      </c>
      <c r="D52" s="48"/>
      <c r="E52" s="48">
        <v>47055</v>
      </c>
      <c r="F52" s="49">
        <v>59.503</v>
      </c>
      <c r="G52" s="49">
        <v>0</v>
      </c>
      <c r="H52" s="108">
        <f t="shared" si="7"/>
        <v>59.503</v>
      </c>
      <c r="I52" s="109">
        <f t="shared" ca="1" si="8"/>
        <v>29</v>
      </c>
      <c r="J52" s="110">
        <f t="shared" si="2"/>
        <v>47055.000052000003</v>
      </c>
      <c r="K52" s="46"/>
      <c r="L52" s="220" t="s">
        <v>930</v>
      </c>
      <c r="M52" s="463" t="str" cm="1">
        <f t="array" ref="M52">IF(AND(L52="On Hold",E52&lt;&gt;"",H52&gt;0),IFERROR(_xlfn.LET(_xlpm.stopSell,EDATE(E52,-'FEFO Analysis'!$B$4),_xlpm.cumAtStop,SUMIFS('Planning Engine'!$F$4:$F$2331,'Planning Engine'!$B$4:$B$2331,A52,'Planning Engine'!$A$4:$A$2331,"&lt;="&amp;_xlpm.stopSell),_xlpm.threshold,_xlpm.cumAtStop-H52,IF(_xlpm.threshold&lt;=0,_xlfn.AGGREGATE(15,6,'Planning Engine'!$A$4:$A$2331/('Planning Engine'!$B$4:$B$2331=A52),1),_xlfn.AGGREGATE(15,6,'Planning Engine'!$A$4:$A$2331/(('Planning Engine'!$B$4:$B$2331=A52)*('Planning Engine'!$AB$4:$AB$2331&gt;_xlpm.threshold)),1))),""),"")</f>
        <v/>
      </c>
      <c r="N52" s="459" t="str">
        <f ca="1">IF(M52="","",M52-TODAY())</f>
        <v/>
      </c>
    </row>
    <row r="53" spans="1:14" ht="14.25" customHeight="1" x14ac:dyDescent="0.35">
      <c r="A53" s="46" t="s">
        <v>57</v>
      </c>
      <c r="B53" s="46" t="s">
        <v>870</v>
      </c>
      <c r="C53" s="47" t="s">
        <v>879</v>
      </c>
      <c r="D53" s="48"/>
      <c r="E53" s="48">
        <v>47051</v>
      </c>
      <c r="F53" s="49">
        <v>58.104999999999997</v>
      </c>
      <c r="G53" s="49">
        <v>0</v>
      </c>
      <c r="H53" s="108">
        <f t="shared" si="7"/>
        <v>58.104999999999997</v>
      </c>
      <c r="I53" s="109">
        <f t="shared" ca="1" si="8"/>
        <v>29</v>
      </c>
      <c r="J53" s="110">
        <f t="shared" si="2"/>
        <v>47051.000053000003</v>
      </c>
      <c r="K53" s="46"/>
      <c r="L53" s="220" t="s">
        <v>930</v>
      </c>
      <c r="M53" s="463" t="str" cm="1">
        <f t="array" ref="M53">IF(AND(L53="On Hold",E53&lt;&gt;"",H53&gt;0),IFERROR(_xlfn.LET(_xlpm.stopSell,EDATE(E53,-'FEFO Analysis'!$B$4),_xlpm.cumAtStop,SUMIFS('Planning Engine'!$F$4:$F$2331,'Planning Engine'!$B$4:$B$2331,A53,'Planning Engine'!$A$4:$A$2331,"&lt;="&amp;_xlpm.stopSell),_xlpm.threshold,_xlpm.cumAtStop-H53,IF(_xlpm.threshold&lt;=0,_xlfn.AGGREGATE(15,6,'Planning Engine'!$A$4:$A$2331/('Planning Engine'!$B$4:$B$2331=A53),1),_xlfn.AGGREGATE(15,6,'Planning Engine'!$A$4:$A$2331/(('Planning Engine'!$B$4:$B$2331=A53)*('Planning Engine'!$AB$4:$AB$2331&gt;_xlpm.threshold)),1))),""),"")</f>
        <v/>
      </c>
      <c r="N53" s="459" t="str">
        <f ca="1">IF(M53="","",M53-TODAY())</f>
        <v/>
      </c>
    </row>
    <row r="54" spans="1:14" ht="14.25" customHeight="1" x14ac:dyDescent="0.35">
      <c r="A54" s="46" t="s">
        <v>57</v>
      </c>
      <c r="B54" s="46" t="s">
        <v>871</v>
      </c>
      <c r="C54" s="47" t="s">
        <v>879</v>
      </c>
      <c r="D54" s="48"/>
      <c r="E54" s="48">
        <v>46845</v>
      </c>
      <c r="F54" s="49">
        <v>49.54</v>
      </c>
      <c r="G54" s="49">
        <v>0</v>
      </c>
      <c r="H54" s="108">
        <f t="shared" si="7"/>
        <v>49.54</v>
      </c>
      <c r="I54" s="109">
        <f t="shared" ca="1" si="8"/>
        <v>22</v>
      </c>
      <c r="J54" s="110">
        <f t="shared" si="2"/>
        <v>46845.000053999996</v>
      </c>
      <c r="K54" s="46"/>
      <c r="L54" s="220" t="s">
        <v>930</v>
      </c>
      <c r="M54" s="463" t="str" cm="1">
        <f t="array" ref="M54">IF(AND(L54="On Hold",E54&lt;&gt;"",H54&gt;0),IFERROR(_xlfn.LET(_xlpm.stopSell,EDATE(E54,-'FEFO Analysis'!$B$4),_xlpm.cumAtStop,SUMIFS('Planning Engine'!$F$4:$F$2331,'Planning Engine'!$B$4:$B$2331,A54,'Planning Engine'!$A$4:$A$2331,"&lt;="&amp;_xlpm.stopSell),_xlpm.threshold,_xlpm.cumAtStop-H54,IF(_xlpm.threshold&lt;=0,_xlfn.AGGREGATE(15,6,'Planning Engine'!$A$4:$A$2331/('Planning Engine'!$B$4:$B$2331=A54),1),_xlfn.AGGREGATE(15,6,'Planning Engine'!$A$4:$A$2331/(('Planning Engine'!$B$4:$B$2331=A54)*('Planning Engine'!$AB$4:$AB$2331&gt;_xlpm.threshold)),1))),""),"")</f>
        <v/>
      </c>
      <c r="N54" s="459" t="str">
        <f ca="1">IF(M54="","",M54-TODAY())</f>
        <v/>
      </c>
    </row>
    <row r="55" spans="1:14" ht="14.25" customHeight="1" x14ac:dyDescent="0.35">
      <c r="A55" s="46" t="s">
        <v>57</v>
      </c>
      <c r="B55" s="46" t="s">
        <v>872</v>
      </c>
      <c r="C55" s="47" t="s">
        <v>879</v>
      </c>
      <c r="D55" s="48"/>
      <c r="E55" s="48">
        <v>46768</v>
      </c>
      <c r="F55" s="49">
        <v>6.5250000000000004</v>
      </c>
      <c r="G55" s="49">
        <v>0</v>
      </c>
      <c r="H55" s="108">
        <f t="shared" si="7"/>
        <v>6.5250000000000004</v>
      </c>
      <c r="I55" s="109">
        <f t="shared" ca="1" si="8"/>
        <v>20</v>
      </c>
      <c r="J55" s="110">
        <f t="shared" si="2"/>
        <v>46768.000054999997</v>
      </c>
      <c r="K55" s="46"/>
      <c r="L55" s="220" t="s">
        <v>930</v>
      </c>
      <c r="M55" s="463" t="str" cm="1">
        <f t="array" ref="M55">IF(AND(L55="On Hold",E55&lt;&gt;"",H55&gt;0),IFERROR(_xlfn.LET(_xlpm.stopSell,EDATE(E55,-'FEFO Analysis'!$B$4),_xlpm.cumAtStop,SUMIFS('Planning Engine'!$F$4:$F$2331,'Planning Engine'!$B$4:$B$2331,A55,'Planning Engine'!$A$4:$A$2331,"&lt;="&amp;_xlpm.stopSell),_xlpm.threshold,_xlpm.cumAtStop-H55,IF(_xlpm.threshold&lt;=0,_xlfn.AGGREGATE(15,6,'Planning Engine'!$A$4:$A$2331/('Planning Engine'!$B$4:$B$2331=A55),1),_xlfn.AGGREGATE(15,6,'Planning Engine'!$A$4:$A$2331/(('Planning Engine'!$B$4:$B$2331=A55)*('Planning Engine'!$AB$4:$AB$2331&gt;_xlpm.threshold)),1))),""),"")</f>
        <v/>
      </c>
      <c r="N55" s="459" t="str">
        <f ca="1">IF(M55="","",M55-TODAY())</f>
        <v/>
      </c>
    </row>
    <row r="56" spans="1:14" ht="14.25" customHeight="1" x14ac:dyDescent="0.35">
      <c r="A56" s="46" t="s">
        <v>57</v>
      </c>
      <c r="B56" s="46" t="s">
        <v>873</v>
      </c>
      <c r="C56" s="47" t="s">
        <v>879</v>
      </c>
      <c r="D56" s="48"/>
      <c r="E56" s="48">
        <v>46853</v>
      </c>
      <c r="F56" s="49">
        <v>50.26</v>
      </c>
      <c r="G56" s="49">
        <v>0</v>
      </c>
      <c r="H56" s="108">
        <f t="shared" si="7"/>
        <v>50.26</v>
      </c>
      <c r="I56" s="109">
        <f t="shared" ca="1" si="8"/>
        <v>22</v>
      </c>
      <c r="J56" s="110">
        <f t="shared" si="2"/>
        <v>46853.000055999997</v>
      </c>
      <c r="K56" s="46"/>
      <c r="L56" s="220" t="s">
        <v>930</v>
      </c>
      <c r="M56" s="463" t="str" cm="1">
        <f t="array" ref="M56">IF(AND(L56="On Hold",E56&lt;&gt;"",H56&gt;0),IFERROR(_xlfn.LET(_xlpm.stopSell,EDATE(E56,-'FEFO Analysis'!$B$4),_xlpm.cumAtStop,SUMIFS('Planning Engine'!$F$4:$F$2331,'Planning Engine'!$B$4:$B$2331,A56,'Planning Engine'!$A$4:$A$2331,"&lt;="&amp;_xlpm.stopSell),_xlpm.threshold,_xlpm.cumAtStop-H56,IF(_xlpm.threshold&lt;=0,_xlfn.AGGREGATE(15,6,'Planning Engine'!$A$4:$A$2331/('Planning Engine'!$B$4:$B$2331=A56),1),_xlfn.AGGREGATE(15,6,'Planning Engine'!$A$4:$A$2331/(('Planning Engine'!$B$4:$B$2331=A56)*('Planning Engine'!$AB$4:$AB$2331&gt;_xlpm.threshold)),1))),""),"")</f>
        <v/>
      </c>
      <c r="N56" s="459" t="str">
        <f ca="1">IF(M56="","",M56-TODAY())</f>
        <v/>
      </c>
    </row>
    <row r="57" spans="1:14" ht="14.25" customHeight="1" x14ac:dyDescent="0.35">
      <c r="A57" s="46" t="s">
        <v>57</v>
      </c>
      <c r="B57" s="46" t="s">
        <v>874</v>
      </c>
      <c r="C57" s="47" t="s">
        <v>879</v>
      </c>
      <c r="D57" s="48"/>
      <c r="E57" s="48">
        <v>46774</v>
      </c>
      <c r="F57" s="49">
        <v>91.578999999999994</v>
      </c>
      <c r="G57" s="49">
        <v>0</v>
      </c>
      <c r="H57" s="108">
        <f t="shared" si="7"/>
        <v>91.578999999999994</v>
      </c>
      <c r="I57" s="109">
        <f t="shared" ca="1" si="8"/>
        <v>20</v>
      </c>
      <c r="J57" s="110">
        <f t="shared" si="2"/>
        <v>46774.000056999997</v>
      </c>
      <c r="K57" s="46"/>
      <c r="L57" s="220" t="s">
        <v>930</v>
      </c>
      <c r="M57" s="463" t="str" cm="1">
        <f t="array" ref="M57">IF(AND(L57="On Hold",E57&lt;&gt;"",H57&gt;0),IFERROR(_xlfn.LET(_xlpm.stopSell,EDATE(E57,-'FEFO Analysis'!$B$4),_xlpm.cumAtStop,SUMIFS('Planning Engine'!$F$4:$F$2331,'Planning Engine'!$B$4:$B$2331,A57,'Planning Engine'!$A$4:$A$2331,"&lt;="&amp;_xlpm.stopSell),_xlpm.threshold,_xlpm.cumAtStop-H57,IF(_xlpm.threshold&lt;=0,_xlfn.AGGREGATE(15,6,'Planning Engine'!$A$4:$A$2331/('Planning Engine'!$B$4:$B$2331=A57),1),_xlfn.AGGREGATE(15,6,'Planning Engine'!$A$4:$A$2331/(('Planning Engine'!$B$4:$B$2331=A57)*('Planning Engine'!$AB$4:$AB$2331&gt;_xlpm.threshold)),1))),""),"")</f>
        <v/>
      </c>
      <c r="N57" s="459" t="str">
        <f ca="1">IF(M57="","",M57-TODAY())</f>
        <v/>
      </c>
    </row>
    <row r="58" spans="1:14" ht="14.25" customHeight="1" x14ac:dyDescent="0.35">
      <c r="A58" s="46" t="s">
        <v>58</v>
      </c>
      <c r="B58" s="46" t="s">
        <v>875</v>
      </c>
      <c r="C58" s="47" t="s">
        <v>879</v>
      </c>
      <c r="D58" s="48"/>
      <c r="E58" s="48">
        <v>46997</v>
      </c>
      <c r="F58" s="49">
        <v>93.563000000000002</v>
      </c>
      <c r="G58" s="49">
        <v>0</v>
      </c>
      <c r="H58" s="108">
        <f t="shared" si="7"/>
        <v>93.563000000000002</v>
      </c>
      <c r="I58" s="109">
        <f t="shared" ca="1" si="8"/>
        <v>27</v>
      </c>
      <c r="J58" s="110">
        <f t="shared" si="2"/>
        <v>46997.000057999998</v>
      </c>
      <c r="K58" s="46"/>
      <c r="L58" s="220" t="s">
        <v>930</v>
      </c>
      <c r="M58" s="463" t="str" cm="1">
        <f t="array" ref="M58">IF(AND(L58="On Hold",E58&lt;&gt;"",H58&gt;0),IFERROR(_xlfn.LET(_xlpm.stopSell,EDATE(E58,-'FEFO Analysis'!$B$4),_xlpm.cumAtStop,SUMIFS('Planning Engine'!$F$4:$F$2331,'Planning Engine'!$B$4:$B$2331,A58,'Planning Engine'!$A$4:$A$2331,"&lt;="&amp;_xlpm.stopSell),_xlpm.threshold,_xlpm.cumAtStop-H58,IF(_xlpm.threshold&lt;=0,_xlfn.AGGREGATE(15,6,'Planning Engine'!$A$4:$A$2331/('Planning Engine'!$B$4:$B$2331=A58),1),_xlfn.AGGREGATE(15,6,'Planning Engine'!$A$4:$A$2331/(('Planning Engine'!$B$4:$B$2331=A58)*('Planning Engine'!$AB$4:$AB$2331&gt;_xlpm.threshold)),1))),""),"")</f>
        <v/>
      </c>
      <c r="N58" s="459" t="str">
        <f ca="1">IF(M58="","",M58-TODAY())</f>
        <v/>
      </c>
    </row>
    <row r="59" spans="1:14" ht="14.25" customHeight="1" x14ac:dyDescent="0.35">
      <c r="A59" s="46" t="s">
        <v>58</v>
      </c>
      <c r="B59" s="46" t="s">
        <v>876</v>
      </c>
      <c r="C59" s="47" t="s">
        <v>879</v>
      </c>
      <c r="D59" s="48"/>
      <c r="E59" s="48">
        <v>46828</v>
      </c>
      <c r="F59" s="49">
        <v>45.838999999999999</v>
      </c>
      <c r="G59" s="49">
        <v>0</v>
      </c>
      <c r="H59" s="108">
        <f t="shared" si="7"/>
        <v>45.838999999999999</v>
      </c>
      <c r="I59" s="109">
        <f t="shared" ca="1" si="8"/>
        <v>22</v>
      </c>
      <c r="J59" s="110">
        <f t="shared" si="2"/>
        <v>46828.000058999998</v>
      </c>
      <c r="K59" s="46"/>
      <c r="L59" s="220" t="s">
        <v>930</v>
      </c>
      <c r="M59" s="463" t="str" cm="1">
        <f t="array" ref="M59">IF(AND(L59="On Hold",E59&lt;&gt;"",H59&gt;0),IFERROR(_xlfn.LET(_xlpm.stopSell,EDATE(E59,-'FEFO Analysis'!$B$4),_xlpm.cumAtStop,SUMIFS('Planning Engine'!$F$4:$F$2331,'Planning Engine'!$B$4:$B$2331,A59,'Planning Engine'!$A$4:$A$2331,"&lt;="&amp;_xlpm.stopSell),_xlpm.threshold,_xlpm.cumAtStop-H59,IF(_xlpm.threshold&lt;=0,_xlfn.AGGREGATE(15,6,'Planning Engine'!$A$4:$A$2331/('Planning Engine'!$B$4:$B$2331=A59),1),_xlfn.AGGREGATE(15,6,'Planning Engine'!$A$4:$A$2331/(('Planning Engine'!$B$4:$B$2331=A59)*('Planning Engine'!$AB$4:$AB$2331&gt;_xlpm.threshold)),1))),""),"")</f>
        <v/>
      </c>
      <c r="N59" s="459" t="str">
        <f ca="1">IF(M59="","",M59-TODAY())</f>
        <v/>
      </c>
    </row>
    <row r="60" spans="1:14" ht="14.25" customHeight="1" x14ac:dyDescent="0.35">
      <c r="A60" s="46" t="s">
        <v>58</v>
      </c>
      <c r="B60" s="46" t="s">
        <v>877</v>
      </c>
      <c r="C60" s="47" t="s">
        <v>879</v>
      </c>
      <c r="D60" s="48"/>
      <c r="E60" s="48">
        <v>46870</v>
      </c>
      <c r="F60" s="49">
        <v>15.07</v>
      </c>
      <c r="G60" s="49">
        <v>0</v>
      </c>
      <c r="H60" s="108">
        <f t="shared" si="7"/>
        <v>15.07</v>
      </c>
      <c r="I60" s="109">
        <f t="shared" ca="1" si="8"/>
        <v>23</v>
      </c>
      <c r="J60" s="110">
        <f t="shared" si="2"/>
        <v>46870.000059999998</v>
      </c>
      <c r="K60" s="46"/>
      <c r="L60" s="220" t="s">
        <v>930</v>
      </c>
      <c r="M60" s="463" t="str" cm="1">
        <f t="array" ref="M60">IF(AND(L60="On Hold",E60&lt;&gt;"",H60&gt;0),IFERROR(_xlfn.LET(_xlpm.stopSell,EDATE(E60,-'FEFO Analysis'!$B$4),_xlpm.cumAtStop,SUMIFS('Planning Engine'!$F$4:$F$2331,'Planning Engine'!$B$4:$B$2331,A60,'Planning Engine'!$A$4:$A$2331,"&lt;="&amp;_xlpm.stopSell),_xlpm.threshold,_xlpm.cumAtStop-H60,IF(_xlpm.threshold&lt;=0,_xlfn.AGGREGATE(15,6,'Planning Engine'!$A$4:$A$2331/('Planning Engine'!$B$4:$B$2331=A60),1),_xlfn.AGGREGATE(15,6,'Planning Engine'!$A$4:$A$2331/(('Planning Engine'!$B$4:$B$2331=A60)*('Planning Engine'!$AB$4:$AB$2331&gt;_xlpm.threshold)),1))),""),"")</f>
        <v/>
      </c>
      <c r="N60" s="459" t="str">
        <f ca="1">IF(M60="","",M60-TODAY())</f>
        <v/>
      </c>
    </row>
    <row r="61" spans="1:14" ht="14.25" customHeight="1" x14ac:dyDescent="0.35">
      <c r="A61" s="46" t="s">
        <v>58</v>
      </c>
      <c r="B61" s="46" t="s">
        <v>878</v>
      </c>
      <c r="C61" s="47" t="s">
        <v>879</v>
      </c>
      <c r="D61" s="48"/>
      <c r="E61" s="48">
        <v>46875</v>
      </c>
      <c r="F61" s="49">
        <v>41.38</v>
      </c>
      <c r="G61" s="49">
        <v>0</v>
      </c>
      <c r="H61" s="108">
        <f t="shared" si="7"/>
        <v>41.38</v>
      </c>
      <c r="I61" s="109">
        <f t="shared" ca="1" si="8"/>
        <v>23</v>
      </c>
      <c r="J61" s="110">
        <f t="shared" si="2"/>
        <v>46875.000060999999</v>
      </c>
      <c r="K61" s="46"/>
      <c r="L61" s="220" t="s">
        <v>930</v>
      </c>
      <c r="M61" s="463" t="str" cm="1">
        <f t="array" ref="M61">IF(AND(L61="On Hold",E61&lt;&gt;"",H61&gt;0),IFERROR(_xlfn.LET(_xlpm.stopSell,EDATE(E61,-'FEFO Analysis'!$B$4),_xlpm.cumAtStop,SUMIFS('Planning Engine'!$F$4:$F$2331,'Planning Engine'!$B$4:$B$2331,A61,'Planning Engine'!$A$4:$A$2331,"&lt;="&amp;_xlpm.stopSell),_xlpm.threshold,_xlpm.cumAtStop-H61,IF(_xlpm.threshold&lt;=0,_xlfn.AGGREGATE(15,6,'Planning Engine'!$A$4:$A$2331/('Planning Engine'!$B$4:$B$2331=A61),1),_xlfn.AGGREGATE(15,6,'Planning Engine'!$A$4:$A$2331/(('Planning Engine'!$B$4:$B$2331=A61)*('Planning Engine'!$AB$4:$AB$2331&gt;_xlpm.threshold)),1))),""),"")</f>
        <v/>
      </c>
      <c r="N61" s="459" t="str">
        <f ca="1">IF(M61="","",M61-TODAY())</f>
        <v/>
      </c>
    </row>
    <row r="62" spans="1:14" ht="14.25" customHeight="1" x14ac:dyDescent="0.35">
      <c r="A62" s="46"/>
      <c r="B62" s="46"/>
      <c r="C62" s="47"/>
      <c r="D62" s="48"/>
      <c r="E62" s="48"/>
      <c r="F62" s="49"/>
      <c r="G62" s="49"/>
      <c r="H62" s="108">
        <f t="shared" si="7"/>
        <v>0</v>
      </c>
      <c r="I62" s="109" t="str">
        <f t="shared" ca="1" si="8"/>
        <v/>
      </c>
      <c r="J62" s="110" t="str">
        <f t="shared" si="2"/>
        <v/>
      </c>
      <c r="K62" s="46"/>
      <c r="L62" s="220"/>
      <c r="M62" s="463" t="str" cm="1">
        <f t="array" ref="M62">IF(AND(L62="On Hold",E62&lt;&gt;"",H62&gt;0),IFERROR(_xlfn.LET(_xlpm.stopSell,EDATE(E62,-'FEFO Analysis'!$B$4),_xlpm.cumAtStop,SUMIFS('Planning Engine'!$F$4:$F$2331,'Planning Engine'!$B$4:$B$2331,A62,'Planning Engine'!$A$4:$A$2331,"&lt;="&amp;_xlpm.stopSell),_xlpm.threshold,_xlpm.cumAtStop-H62,IF(_xlpm.threshold&lt;=0,_xlfn.AGGREGATE(15,6,'Planning Engine'!$A$4:$A$2331/('Planning Engine'!$B$4:$B$2331=A62),1),_xlfn.AGGREGATE(15,6,'Planning Engine'!$A$4:$A$2331/(('Planning Engine'!$B$4:$B$2331=A62)*('Planning Engine'!$AB$4:$AB$2331&gt;_xlpm.threshold)),1))),""),"")</f>
        <v/>
      </c>
      <c r="N62" s="459" t="str">
        <f ca="1">IF(M62="","",M62-TODAY())</f>
        <v/>
      </c>
    </row>
    <row r="63" spans="1:14" ht="14.25" customHeight="1" x14ac:dyDescent="0.35">
      <c r="A63" s="46"/>
      <c r="B63" s="46"/>
      <c r="C63" s="47"/>
      <c r="D63" s="48"/>
      <c r="E63" s="48"/>
      <c r="F63" s="49"/>
      <c r="G63" s="49"/>
      <c r="H63" s="108">
        <f t="shared" si="7"/>
        <v>0</v>
      </c>
      <c r="I63" s="109" t="str">
        <f t="shared" ca="1" si="8"/>
        <v/>
      </c>
      <c r="J63" s="110" t="str">
        <f t="shared" si="2"/>
        <v/>
      </c>
      <c r="K63" s="46"/>
      <c r="L63" s="220"/>
      <c r="M63" s="463" t="str" cm="1">
        <f t="array" ref="M63">IF(AND(L63="On Hold",E63&lt;&gt;"",H63&gt;0),IFERROR(_xlfn.LET(_xlpm.stopSell,EDATE(E63,-'FEFO Analysis'!$B$4),_xlpm.cumAtStop,SUMIFS('Planning Engine'!$F$4:$F$2331,'Planning Engine'!$B$4:$B$2331,A63,'Planning Engine'!$A$4:$A$2331,"&lt;="&amp;_xlpm.stopSell),_xlpm.threshold,_xlpm.cumAtStop-H63,IF(_xlpm.threshold&lt;=0,_xlfn.AGGREGATE(15,6,'Planning Engine'!$A$4:$A$2331/('Planning Engine'!$B$4:$B$2331=A63),1),_xlfn.AGGREGATE(15,6,'Planning Engine'!$A$4:$A$2331/(('Planning Engine'!$B$4:$B$2331=A63)*('Planning Engine'!$AB$4:$AB$2331&gt;_xlpm.threshold)),1))),""),"")</f>
        <v/>
      </c>
      <c r="N63" s="459" t="str">
        <f ca="1">IF(M63="","",M63-TODAY())</f>
        <v/>
      </c>
    </row>
    <row r="64" spans="1:14" ht="14.25" customHeight="1" x14ac:dyDescent="0.35">
      <c r="A64" s="46" t="s">
        <v>45</v>
      </c>
      <c r="B64" s="46" t="s">
        <v>880</v>
      </c>
      <c r="C64" s="46" t="s">
        <v>45</v>
      </c>
      <c r="D64" s="48"/>
      <c r="E64" s="48">
        <v>47444</v>
      </c>
      <c r="F64" s="49">
        <v>4.5095000000000001</v>
      </c>
      <c r="G64" s="49">
        <v>0</v>
      </c>
      <c r="H64" s="108">
        <f t="shared" si="7"/>
        <v>4.5095000000000001</v>
      </c>
      <c r="I64" s="109">
        <f t="shared" ca="1" si="8"/>
        <v>42</v>
      </c>
      <c r="J64" s="110">
        <f t="shared" si="2"/>
        <v>47444.000064</v>
      </c>
      <c r="K64" s="46"/>
      <c r="L64" s="220" t="s">
        <v>930</v>
      </c>
      <c r="M64" s="463" t="str" cm="1">
        <f t="array" ref="M64">IF(AND(L64="On Hold",E64&lt;&gt;"",H64&gt;0),IFERROR(_xlfn.LET(_xlpm.stopSell,EDATE(E64,-'FEFO Analysis'!$B$4),_xlpm.cumAtStop,SUMIFS('Planning Engine'!$F$4:$F$2331,'Planning Engine'!$B$4:$B$2331,A64,'Planning Engine'!$A$4:$A$2331,"&lt;="&amp;_xlpm.stopSell),_xlpm.threshold,_xlpm.cumAtStop-H64,IF(_xlpm.threshold&lt;=0,_xlfn.AGGREGATE(15,6,'Planning Engine'!$A$4:$A$2331/('Planning Engine'!$B$4:$B$2331=A64),1),_xlfn.AGGREGATE(15,6,'Planning Engine'!$A$4:$A$2331/(('Planning Engine'!$B$4:$B$2331=A64)*('Planning Engine'!$AB$4:$AB$2331&gt;_xlpm.threshold)),1))),""),"")</f>
        <v/>
      </c>
      <c r="N64" s="459" t="str">
        <f ca="1">IF(M64="","",M64-TODAY())</f>
        <v/>
      </c>
    </row>
    <row r="65" spans="1:14" ht="14.25" customHeight="1" x14ac:dyDescent="0.35">
      <c r="A65" s="46" t="s">
        <v>45</v>
      </c>
      <c r="B65" s="46" t="s">
        <v>881</v>
      </c>
      <c r="C65" s="46" t="s">
        <v>45</v>
      </c>
      <c r="D65" s="48"/>
      <c r="E65" s="48">
        <v>47429</v>
      </c>
      <c r="F65" s="49">
        <v>4.4964000000000004</v>
      </c>
      <c r="G65" s="49">
        <v>0</v>
      </c>
      <c r="H65" s="108">
        <f t="shared" si="7"/>
        <v>4.4964000000000004</v>
      </c>
      <c r="I65" s="109">
        <f t="shared" ca="1" si="8"/>
        <v>41</v>
      </c>
      <c r="J65" s="110">
        <f t="shared" si="2"/>
        <v>47429.000065</v>
      </c>
      <c r="K65" s="46"/>
      <c r="L65" s="220" t="s">
        <v>930</v>
      </c>
      <c r="M65" s="463" t="str" cm="1">
        <f t="array" ref="M65">IF(AND(L65="On Hold",E65&lt;&gt;"",H65&gt;0),IFERROR(_xlfn.LET(_xlpm.stopSell,EDATE(E65,-'FEFO Analysis'!$B$4),_xlpm.cumAtStop,SUMIFS('Planning Engine'!$F$4:$F$2331,'Planning Engine'!$B$4:$B$2331,A65,'Planning Engine'!$A$4:$A$2331,"&lt;="&amp;_xlpm.stopSell),_xlpm.threshold,_xlpm.cumAtStop-H65,IF(_xlpm.threshold&lt;=0,_xlfn.AGGREGATE(15,6,'Planning Engine'!$A$4:$A$2331/('Planning Engine'!$B$4:$B$2331=A65),1),_xlfn.AGGREGATE(15,6,'Planning Engine'!$A$4:$A$2331/(('Planning Engine'!$B$4:$B$2331=A65)*('Planning Engine'!$AB$4:$AB$2331&gt;_xlpm.threshold)),1))),""),"")</f>
        <v/>
      </c>
      <c r="N65" s="459" t="str">
        <f ca="1">IF(M65="","",M65-TODAY())</f>
        <v/>
      </c>
    </row>
    <row r="66" spans="1:14" ht="14.25" customHeight="1" x14ac:dyDescent="0.35">
      <c r="A66" s="46" t="s">
        <v>45</v>
      </c>
      <c r="B66" s="46" t="s">
        <v>882</v>
      </c>
      <c r="C66" s="46" t="s">
        <v>45</v>
      </c>
      <c r="D66" s="48"/>
      <c r="E66" s="48">
        <v>47503</v>
      </c>
      <c r="F66" s="49">
        <v>4.6586999999999996</v>
      </c>
      <c r="G66" s="49">
        <v>0</v>
      </c>
      <c r="H66" s="108">
        <f t="shared" si="7"/>
        <v>4.6586999999999996</v>
      </c>
      <c r="I66" s="109">
        <f t="shared" ca="1" si="8"/>
        <v>44</v>
      </c>
      <c r="J66" s="110">
        <f t="shared" si="2"/>
        <v>47503.000066000001</v>
      </c>
      <c r="K66" s="46"/>
      <c r="L66" s="220" t="s">
        <v>930</v>
      </c>
      <c r="M66" s="463" t="str" cm="1">
        <f t="array" ref="M66">IF(AND(L66="On Hold",E66&lt;&gt;"",H66&gt;0),IFERROR(_xlfn.LET(_xlpm.stopSell,EDATE(E66,-'FEFO Analysis'!$B$4),_xlpm.cumAtStop,SUMIFS('Planning Engine'!$F$4:$F$2331,'Planning Engine'!$B$4:$B$2331,A66,'Planning Engine'!$A$4:$A$2331,"&lt;="&amp;_xlpm.stopSell),_xlpm.threshold,_xlpm.cumAtStop-H66,IF(_xlpm.threshold&lt;=0,_xlfn.AGGREGATE(15,6,'Planning Engine'!$A$4:$A$2331/('Planning Engine'!$B$4:$B$2331=A66),1),_xlfn.AGGREGATE(15,6,'Planning Engine'!$A$4:$A$2331/(('Planning Engine'!$B$4:$B$2331=A66)*('Planning Engine'!$AB$4:$AB$2331&gt;_xlpm.threshold)),1))),""),"")</f>
        <v/>
      </c>
      <c r="N66" s="459" t="str">
        <f ca="1">IF(M66="","",M66-TODAY())</f>
        <v/>
      </c>
    </row>
    <row r="67" spans="1:14" ht="14.25" customHeight="1" x14ac:dyDescent="0.35">
      <c r="A67" s="46" t="s">
        <v>45</v>
      </c>
      <c r="B67" s="46" t="s">
        <v>883</v>
      </c>
      <c r="C67" s="46" t="s">
        <v>45</v>
      </c>
      <c r="D67" s="48"/>
      <c r="E67" s="48">
        <v>47490</v>
      </c>
      <c r="F67" s="49">
        <v>4.7511999999999999</v>
      </c>
      <c r="G67" s="49">
        <v>0</v>
      </c>
      <c r="H67" s="108">
        <f t="shared" si="7"/>
        <v>4.7511999999999999</v>
      </c>
      <c r="I67" s="109">
        <f t="shared" ca="1" si="8"/>
        <v>43</v>
      </c>
      <c r="J67" s="110">
        <f t="shared" si="2"/>
        <v>47490.000067000001</v>
      </c>
      <c r="K67" s="46"/>
      <c r="L67" s="220" t="s">
        <v>930</v>
      </c>
      <c r="M67" s="463" t="str" cm="1">
        <f t="array" ref="M67">IF(AND(L67="On Hold",E67&lt;&gt;"",H67&gt;0),IFERROR(_xlfn.LET(_xlpm.stopSell,EDATE(E67,-'FEFO Analysis'!$B$4),_xlpm.cumAtStop,SUMIFS('Planning Engine'!$F$4:$F$2331,'Planning Engine'!$B$4:$B$2331,A67,'Planning Engine'!$A$4:$A$2331,"&lt;="&amp;_xlpm.stopSell),_xlpm.threshold,_xlpm.cumAtStop-H67,IF(_xlpm.threshold&lt;=0,_xlfn.AGGREGATE(15,6,'Planning Engine'!$A$4:$A$2331/('Planning Engine'!$B$4:$B$2331=A67),1),_xlfn.AGGREGATE(15,6,'Planning Engine'!$A$4:$A$2331/(('Planning Engine'!$B$4:$B$2331=A67)*('Planning Engine'!$AB$4:$AB$2331&gt;_xlpm.threshold)),1))),""),"")</f>
        <v/>
      </c>
      <c r="N67" s="459" t="str">
        <f ca="1">IF(M67="","",M67-TODAY())</f>
        <v/>
      </c>
    </row>
    <row r="68" spans="1:14" ht="14.25" customHeight="1" x14ac:dyDescent="0.35">
      <c r="A68" s="46" t="s">
        <v>45</v>
      </c>
      <c r="B68" s="46" t="s">
        <v>884</v>
      </c>
      <c r="C68" s="46" t="s">
        <v>45</v>
      </c>
      <c r="D68" s="48"/>
      <c r="E68" s="48">
        <v>47461</v>
      </c>
      <c r="F68" s="49">
        <v>4.4753999999999996</v>
      </c>
      <c r="G68" s="49">
        <v>0</v>
      </c>
      <c r="H68" s="108">
        <f t="shared" si="7"/>
        <v>4.4753999999999996</v>
      </c>
      <c r="I68" s="109">
        <f t="shared" ca="1" si="8"/>
        <v>42</v>
      </c>
      <c r="J68" s="110">
        <f t="shared" si="2"/>
        <v>47461.000068000001</v>
      </c>
      <c r="K68" s="46"/>
      <c r="L68" s="220" t="s">
        <v>930</v>
      </c>
      <c r="M68" s="463" t="str" cm="1">
        <f t="array" ref="M68">IF(AND(L68="On Hold",E68&lt;&gt;"",H68&gt;0),IFERROR(_xlfn.LET(_xlpm.stopSell,EDATE(E68,-'FEFO Analysis'!$B$4),_xlpm.cumAtStop,SUMIFS('Planning Engine'!$F$4:$F$2331,'Planning Engine'!$B$4:$B$2331,A68,'Planning Engine'!$A$4:$A$2331,"&lt;="&amp;_xlpm.stopSell),_xlpm.threshold,_xlpm.cumAtStop-H68,IF(_xlpm.threshold&lt;=0,_xlfn.AGGREGATE(15,6,'Planning Engine'!$A$4:$A$2331/('Planning Engine'!$B$4:$B$2331=A68),1),_xlfn.AGGREGATE(15,6,'Planning Engine'!$A$4:$A$2331/(('Planning Engine'!$B$4:$B$2331=A68)*('Planning Engine'!$AB$4:$AB$2331&gt;_xlpm.threshold)),1))),""),"")</f>
        <v/>
      </c>
      <c r="N68" s="459" t="str">
        <f ca="1">IF(M68="","",M68-TODAY())</f>
        <v/>
      </c>
    </row>
    <row r="69" spans="1:14" ht="14.25" customHeight="1" x14ac:dyDescent="0.35">
      <c r="A69" s="46" t="s">
        <v>45</v>
      </c>
      <c r="B69" s="46" t="s">
        <v>885</v>
      </c>
      <c r="C69" s="46" t="s">
        <v>45</v>
      </c>
      <c r="D69" s="48"/>
      <c r="E69" s="48">
        <v>47449</v>
      </c>
      <c r="F69" s="49">
        <v>4.3053999999999997</v>
      </c>
      <c r="G69" s="49">
        <v>0</v>
      </c>
      <c r="H69" s="108">
        <f t="shared" si="7"/>
        <v>4.3053999999999997</v>
      </c>
      <c r="I69" s="109">
        <f t="shared" ca="1" si="8"/>
        <v>42</v>
      </c>
      <c r="J69" s="110">
        <f t="shared" si="2"/>
        <v>47449.000069000002</v>
      </c>
      <c r="K69" s="46"/>
      <c r="L69" s="220" t="s">
        <v>930</v>
      </c>
      <c r="M69" s="463" t="str" cm="1">
        <f t="array" ref="M69">IF(AND(L69="On Hold",E69&lt;&gt;"",H69&gt;0),IFERROR(_xlfn.LET(_xlpm.stopSell,EDATE(E69,-'FEFO Analysis'!$B$4),_xlpm.cumAtStop,SUMIFS('Planning Engine'!$F$4:$F$2331,'Planning Engine'!$B$4:$B$2331,A69,'Planning Engine'!$A$4:$A$2331,"&lt;="&amp;_xlpm.stopSell),_xlpm.threshold,_xlpm.cumAtStop-H69,IF(_xlpm.threshold&lt;=0,_xlfn.AGGREGATE(15,6,'Planning Engine'!$A$4:$A$2331/('Planning Engine'!$B$4:$B$2331=A69),1),_xlfn.AGGREGATE(15,6,'Planning Engine'!$A$4:$A$2331/(('Planning Engine'!$B$4:$B$2331=A69)*('Planning Engine'!$AB$4:$AB$2331&gt;_xlpm.threshold)),1))),""),"")</f>
        <v/>
      </c>
      <c r="N69" s="459" t="str">
        <f ca="1">IF(M69="","",M69-TODAY())</f>
        <v/>
      </c>
    </row>
    <row r="70" spans="1:14" ht="14.25" customHeight="1" x14ac:dyDescent="0.35">
      <c r="A70" s="46" t="s">
        <v>45</v>
      </c>
      <c r="B70" s="46" t="s">
        <v>886</v>
      </c>
      <c r="C70" s="46" t="s">
        <v>45</v>
      </c>
      <c r="D70" s="48"/>
      <c r="E70" s="48">
        <v>47427</v>
      </c>
      <c r="F70" s="49">
        <v>4.0803000000000003</v>
      </c>
      <c r="G70" s="49">
        <v>0</v>
      </c>
      <c r="H70" s="108">
        <f t="shared" si="7"/>
        <v>4.0803000000000003</v>
      </c>
      <c r="I70" s="109">
        <f t="shared" ca="1" si="8"/>
        <v>41</v>
      </c>
      <c r="J70" s="110">
        <f t="shared" ref="J70:J133" si="9">IF(E70&lt;&gt;"",E70+ROW()/1000000,"")</f>
        <v>47427.000070000002</v>
      </c>
      <c r="K70" s="46"/>
      <c r="L70" s="220" t="s">
        <v>930</v>
      </c>
      <c r="M70" s="463" t="str" cm="1">
        <f t="array" ref="M70">IF(AND(L70="On Hold",E70&lt;&gt;"",H70&gt;0),IFERROR(_xlfn.LET(_xlpm.stopSell,EDATE(E70,-'FEFO Analysis'!$B$4),_xlpm.cumAtStop,SUMIFS('Planning Engine'!$F$4:$F$2331,'Planning Engine'!$B$4:$B$2331,A70,'Planning Engine'!$A$4:$A$2331,"&lt;="&amp;_xlpm.stopSell),_xlpm.threshold,_xlpm.cumAtStop-H70,IF(_xlpm.threshold&lt;=0,_xlfn.AGGREGATE(15,6,'Planning Engine'!$A$4:$A$2331/('Planning Engine'!$B$4:$B$2331=A70),1),_xlfn.AGGREGATE(15,6,'Planning Engine'!$A$4:$A$2331/(('Planning Engine'!$B$4:$B$2331=A70)*('Planning Engine'!$AB$4:$AB$2331&gt;_xlpm.threshold)),1))),""),"")</f>
        <v/>
      </c>
      <c r="N70" s="459" t="str">
        <f ca="1">IF(M70="","",M70-TODAY())</f>
        <v/>
      </c>
    </row>
    <row r="71" spans="1:14" ht="14.25" customHeight="1" x14ac:dyDescent="0.35">
      <c r="A71" s="46" t="s">
        <v>45</v>
      </c>
      <c r="B71" s="46" t="s">
        <v>887</v>
      </c>
      <c r="C71" s="46" t="s">
        <v>45</v>
      </c>
      <c r="D71" s="48"/>
      <c r="E71" s="48">
        <v>46921</v>
      </c>
      <c r="F71" s="49">
        <v>3.6560000000000001</v>
      </c>
      <c r="G71" s="49">
        <v>0</v>
      </c>
      <c r="H71" s="108">
        <f t="shared" si="7"/>
        <v>3.6560000000000001</v>
      </c>
      <c r="I71" s="109">
        <f t="shared" ca="1" si="8"/>
        <v>25</v>
      </c>
      <c r="J71" s="110">
        <f t="shared" si="9"/>
        <v>46921.000071000002</v>
      </c>
      <c r="K71" s="46"/>
      <c r="L71" s="220" t="s">
        <v>930</v>
      </c>
      <c r="M71" s="463" t="str" cm="1">
        <f t="array" ref="M71">IF(AND(L71="On Hold",E71&lt;&gt;"",H71&gt;0),IFERROR(_xlfn.LET(_xlpm.stopSell,EDATE(E71,-'FEFO Analysis'!$B$4),_xlpm.cumAtStop,SUMIFS('Planning Engine'!$F$4:$F$2331,'Planning Engine'!$B$4:$B$2331,A71,'Planning Engine'!$A$4:$A$2331,"&lt;="&amp;_xlpm.stopSell),_xlpm.threshold,_xlpm.cumAtStop-H71,IF(_xlpm.threshold&lt;=0,_xlfn.AGGREGATE(15,6,'Planning Engine'!$A$4:$A$2331/('Planning Engine'!$B$4:$B$2331=A71),1),_xlfn.AGGREGATE(15,6,'Planning Engine'!$A$4:$A$2331/(('Planning Engine'!$B$4:$B$2331=A71)*('Planning Engine'!$AB$4:$AB$2331&gt;_xlpm.threshold)),1))),""),"")</f>
        <v/>
      </c>
      <c r="N71" s="459" t="str">
        <f ca="1">IF(M71="","",M71-TODAY())</f>
        <v/>
      </c>
    </row>
    <row r="72" spans="1:14" ht="14.25" customHeight="1" x14ac:dyDescent="0.35">
      <c r="A72" s="46" t="s">
        <v>45</v>
      </c>
      <c r="B72" s="46" t="s">
        <v>888</v>
      </c>
      <c r="C72" s="46" t="s">
        <v>45</v>
      </c>
      <c r="D72" s="48"/>
      <c r="E72" s="48">
        <v>46929</v>
      </c>
      <c r="F72" s="49">
        <v>2.4279999999999999</v>
      </c>
      <c r="G72" s="49">
        <v>0.59399999999999997</v>
      </c>
      <c r="H72" s="108">
        <f t="shared" si="7"/>
        <v>1.8340000000000001</v>
      </c>
      <c r="I72" s="109">
        <f t="shared" ca="1" si="8"/>
        <v>25</v>
      </c>
      <c r="J72" s="110">
        <f t="shared" si="9"/>
        <v>46929.000072000003</v>
      </c>
      <c r="K72" s="46"/>
      <c r="L72" s="220" t="s">
        <v>930</v>
      </c>
      <c r="M72" s="463" t="str" cm="1">
        <f t="array" ref="M72">IF(AND(L72="On Hold",E72&lt;&gt;"",H72&gt;0),IFERROR(_xlfn.LET(_xlpm.stopSell,EDATE(E72,-'FEFO Analysis'!$B$4),_xlpm.cumAtStop,SUMIFS('Planning Engine'!$F$4:$F$2331,'Planning Engine'!$B$4:$B$2331,A72,'Planning Engine'!$A$4:$A$2331,"&lt;="&amp;_xlpm.stopSell),_xlpm.threshold,_xlpm.cumAtStop-H72,IF(_xlpm.threshold&lt;=0,_xlfn.AGGREGATE(15,6,'Planning Engine'!$A$4:$A$2331/('Planning Engine'!$B$4:$B$2331=A72),1),_xlfn.AGGREGATE(15,6,'Planning Engine'!$A$4:$A$2331/(('Planning Engine'!$B$4:$B$2331=A72)*('Planning Engine'!$AB$4:$AB$2331&gt;_xlpm.threshold)),1))),""),"")</f>
        <v/>
      </c>
      <c r="N72" s="459" t="str">
        <f ca="1">IF(M72="","",M72-TODAY())</f>
        <v/>
      </c>
    </row>
    <row r="73" spans="1:14" ht="14.25" customHeight="1" x14ac:dyDescent="0.35">
      <c r="A73" s="46" t="s">
        <v>45</v>
      </c>
      <c r="B73" s="46" t="s">
        <v>889</v>
      </c>
      <c r="C73" s="46" t="s">
        <v>45</v>
      </c>
      <c r="D73" s="48"/>
      <c r="E73" s="48">
        <v>47352</v>
      </c>
      <c r="F73" s="49">
        <v>4.4406699999999999</v>
      </c>
      <c r="G73" s="49">
        <v>4.4406699999999999</v>
      </c>
      <c r="H73" s="108">
        <f t="shared" si="7"/>
        <v>0</v>
      </c>
      <c r="I73" s="109">
        <f t="shared" ca="1" si="8"/>
        <v>39</v>
      </c>
      <c r="J73" s="110">
        <f t="shared" si="9"/>
        <v>47352.000073000003</v>
      </c>
      <c r="K73" s="46"/>
      <c r="L73" s="220" t="s">
        <v>930</v>
      </c>
      <c r="M73" s="463" t="str" cm="1">
        <f t="array" ref="M73">IF(AND(L73="On Hold",E73&lt;&gt;"",H73&gt;0),IFERROR(_xlfn.LET(_xlpm.stopSell,EDATE(E73,-'FEFO Analysis'!$B$4),_xlpm.cumAtStop,SUMIFS('Planning Engine'!$F$4:$F$2331,'Planning Engine'!$B$4:$B$2331,A73,'Planning Engine'!$A$4:$A$2331,"&lt;="&amp;_xlpm.stopSell),_xlpm.threshold,_xlpm.cumAtStop-H73,IF(_xlpm.threshold&lt;=0,_xlfn.AGGREGATE(15,6,'Planning Engine'!$A$4:$A$2331/('Planning Engine'!$B$4:$B$2331=A73),1),_xlfn.AGGREGATE(15,6,'Planning Engine'!$A$4:$A$2331/(('Planning Engine'!$B$4:$B$2331=A73)*('Planning Engine'!$AB$4:$AB$2331&gt;_xlpm.threshold)),1))),""),"")</f>
        <v/>
      </c>
      <c r="N73" s="459" t="str">
        <f ca="1">IF(M73="","",M73-TODAY())</f>
        <v/>
      </c>
    </row>
    <row r="74" spans="1:14" ht="14.25" customHeight="1" x14ac:dyDescent="0.35">
      <c r="A74" s="46" t="s">
        <v>45</v>
      </c>
      <c r="B74" s="46" t="s">
        <v>890</v>
      </c>
      <c r="C74" s="46" t="s">
        <v>45</v>
      </c>
      <c r="D74" s="48"/>
      <c r="E74" s="48">
        <v>47194</v>
      </c>
      <c r="F74" s="49">
        <v>3.7025999999999999</v>
      </c>
      <c r="G74" s="49">
        <v>3.7025999999999999</v>
      </c>
      <c r="H74" s="108">
        <f t="shared" si="7"/>
        <v>0</v>
      </c>
      <c r="I74" s="109">
        <f t="shared" ca="1" si="8"/>
        <v>34</v>
      </c>
      <c r="J74" s="110">
        <f t="shared" si="9"/>
        <v>47194.000074000003</v>
      </c>
      <c r="K74" s="46"/>
      <c r="L74" s="220" t="s">
        <v>930</v>
      </c>
      <c r="M74" s="463" t="str" cm="1">
        <f t="array" ref="M74">IF(AND(L74="On Hold",E74&lt;&gt;"",H74&gt;0),IFERROR(_xlfn.LET(_xlpm.stopSell,EDATE(E74,-'FEFO Analysis'!$B$4),_xlpm.cumAtStop,SUMIFS('Planning Engine'!$F$4:$F$2331,'Planning Engine'!$B$4:$B$2331,A74,'Planning Engine'!$A$4:$A$2331,"&lt;="&amp;_xlpm.stopSell),_xlpm.threshold,_xlpm.cumAtStop-H74,IF(_xlpm.threshold&lt;=0,_xlfn.AGGREGATE(15,6,'Planning Engine'!$A$4:$A$2331/('Planning Engine'!$B$4:$B$2331=A74),1),_xlfn.AGGREGATE(15,6,'Planning Engine'!$A$4:$A$2331/(('Planning Engine'!$B$4:$B$2331=A74)*('Planning Engine'!$AB$4:$AB$2331&gt;_xlpm.threshold)),1))),""),"")</f>
        <v/>
      </c>
      <c r="N74" s="459" t="str">
        <f ca="1">IF(M74="","",M74-TODAY())</f>
        <v/>
      </c>
    </row>
    <row r="75" spans="1:14" ht="14.25" customHeight="1" x14ac:dyDescent="0.35">
      <c r="A75" s="46" t="s">
        <v>45</v>
      </c>
      <c r="B75" s="46" t="s">
        <v>891</v>
      </c>
      <c r="C75" s="46" t="s">
        <v>45</v>
      </c>
      <c r="D75" s="48"/>
      <c r="E75" s="48">
        <v>47388</v>
      </c>
      <c r="F75" s="49">
        <v>4.1025700000000001</v>
      </c>
      <c r="G75" s="49">
        <v>0</v>
      </c>
      <c r="H75" s="108">
        <f t="shared" si="7"/>
        <v>4.1025700000000001</v>
      </c>
      <c r="I75" s="109">
        <f t="shared" ca="1" si="8"/>
        <v>40</v>
      </c>
      <c r="J75" s="110">
        <f t="shared" si="9"/>
        <v>47388.000075000004</v>
      </c>
      <c r="K75" s="46"/>
      <c r="L75" s="220" t="s">
        <v>930</v>
      </c>
      <c r="M75" s="463" t="str" cm="1">
        <f t="array" ref="M75">IF(AND(L75="On Hold",E75&lt;&gt;"",H75&gt;0),IFERROR(_xlfn.LET(_xlpm.stopSell,EDATE(E75,-'FEFO Analysis'!$B$4),_xlpm.cumAtStop,SUMIFS('Planning Engine'!$F$4:$F$2331,'Planning Engine'!$B$4:$B$2331,A75,'Planning Engine'!$A$4:$A$2331,"&lt;="&amp;_xlpm.stopSell),_xlpm.threshold,_xlpm.cumAtStop-H75,IF(_xlpm.threshold&lt;=0,_xlfn.AGGREGATE(15,6,'Planning Engine'!$A$4:$A$2331/('Planning Engine'!$B$4:$B$2331=A75),1),_xlfn.AGGREGATE(15,6,'Planning Engine'!$A$4:$A$2331/(('Planning Engine'!$B$4:$B$2331=A75)*('Planning Engine'!$AB$4:$AB$2331&gt;_xlpm.threshold)),1))),""),"")</f>
        <v/>
      </c>
      <c r="N75" s="459" t="str">
        <f ca="1">IF(M75="","",M75-TODAY())</f>
        <v/>
      </c>
    </row>
    <row r="76" spans="1:14" ht="14.25" customHeight="1" x14ac:dyDescent="0.35">
      <c r="A76" s="46" t="s">
        <v>45</v>
      </c>
      <c r="B76" s="46" t="s">
        <v>892</v>
      </c>
      <c r="C76" s="46" t="s">
        <v>45</v>
      </c>
      <c r="D76" s="48"/>
      <c r="E76" s="48">
        <v>46832</v>
      </c>
      <c r="F76" s="49">
        <v>3.9666000000000001</v>
      </c>
      <c r="G76" s="49">
        <v>3.9666000000000001</v>
      </c>
      <c r="H76" s="108">
        <f t="shared" si="7"/>
        <v>0</v>
      </c>
      <c r="I76" s="109">
        <f t="shared" ca="1" si="8"/>
        <v>22</v>
      </c>
      <c r="J76" s="110">
        <f t="shared" si="9"/>
        <v>46832.000075999997</v>
      </c>
      <c r="K76" s="46"/>
      <c r="L76" s="220" t="s">
        <v>930</v>
      </c>
      <c r="M76" s="463" t="str" cm="1">
        <f t="array" ref="M76">IF(AND(L76="On Hold",E76&lt;&gt;"",H76&gt;0),IFERROR(_xlfn.LET(_xlpm.stopSell,EDATE(E76,-'FEFO Analysis'!$B$4),_xlpm.cumAtStop,SUMIFS('Planning Engine'!$F$4:$F$2331,'Planning Engine'!$B$4:$B$2331,A76,'Planning Engine'!$A$4:$A$2331,"&lt;="&amp;_xlpm.stopSell),_xlpm.threshold,_xlpm.cumAtStop-H76,IF(_xlpm.threshold&lt;=0,_xlfn.AGGREGATE(15,6,'Planning Engine'!$A$4:$A$2331/('Planning Engine'!$B$4:$B$2331=A76),1),_xlfn.AGGREGATE(15,6,'Planning Engine'!$A$4:$A$2331/(('Planning Engine'!$B$4:$B$2331=A76)*('Planning Engine'!$AB$4:$AB$2331&gt;_xlpm.threshold)),1))),""),"")</f>
        <v/>
      </c>
      <c r="N76" s="459" t="str">
        <f ca="1">IF(M76="","",M76-TODAY())</f>
        <v/>
      </c>
    </row>
    <row r="77" spans="1:14" ht="14.25" customHeight="1" x14ac:dyDescent="0.35">
      <c r="A77" s="46" t="s">
        <v>45</v>
      </c>
      <c r="B77" s="46" t="s">
        <v>893</v>
      </c>
      <c r="C77" s="46" t="s">
        <v>45</v>
      </c>
      <c r="D77" s="48"/>
      <c r="E77" s="48">
        <v>47065</v>
      </c>
      <c r="F77" s="49">
        <v>4.1736000000000004</v>
      </c>
      <c r="G77" s="49">
        <v>0</v>
      </c>
      <c r="H77" s="108">
        <f t="shared" si="7"/>
        <v>4.1736000000000004</v>
      </c>
      <c r="I77" s="109">
        <f t="shared" ca="1" si="8"/>
        <v>29</v>
      </c>
      <c r="J77" s="110">
        <f t="shared" si="9"/>
        <v>47065.000076999997</v>
      </c>
      <c r="K77" s="46"/>
      <c r="L77" s="220" t="s">
        <v>930</v>
      </c>
      <c r="M77" s="463" t="str" cm="1">
        <f t="array" ref="M77">IF(AND(L77="On Hold",E77&lt;&gt;"",H77&gt;0),IFERROR(_xlfn.LET(_xlpm.stopSell,EDATE(E77,-'FEFO Analysis'!$B$4),_xlpm.cumAtStop,SUMIFS('Planning Engine'!$F$4:$F$2331,'Planning Engine'!$B$4:$B$2331,A77,'Planning Engine'!$A$4:$A$2331,"&lt;="&amp;_xlpm.stopSell),_xlpm.threshold,_xlpm.cumAtStop-H77,IF(_xlpm.threshold&lt;=0,_xlfn.AGGREGATE(15,6,'Planning Engine'!$A$4:$A$2331/('Planning Engine'!$B$4:$B$2331=A77),1),_xlfn.AGGREGATE(15,6,'Planning Engine'!$A$4:$A$2331/(('Planning Engine'!$B$4:$B$2331=A77)*('Planning Engine'!$AB$4:$AB$2331&gt;_xlpm.threshold)),1))),""),"")</f>
        <v/>
      </c>
      <c r="N77" s="459" t="str">
        <f ca="1">IF(M77="","",M77-TODAY())</f>
        <v/>
      </c>
    </row>
    <row r="78" spans="1:14" ht="14.25" customHeight="1" x14ac:dyDescent="0.35">
      <c r="A78" s="46" t="s">
        <v>45</v>
      </c>
      <c r="B78" s="46" t="s">
        <v>894</v>
      </c>
      <c r="C78" s="46" t="s">
        <v>45</v>
      </c>
      <c r="D78" s="48"/>
      <c r="E78" s="48">
        <v>47041</v>
      </c>
      <c r="F78" s="49">
        <v>4.2451999999999996</v>
      </c>
      <c r="G78" s="49">
        <v>4.2451999999999996</v>
      </c>
      <c r="H78" s="108">
        <f t="shared" si="7"/>
        <v>0</v>
      </c>
      <c r="I78" s="109">
        <f t="shared" ca="1" si="8"/>
        <v>29</v>
      </c>
      <c r="J78" s="110">
        <f t="shared" si="9"/>
        <v>47041.000077999997</v>
      </c>
      <c r="K78" s="46"/>
      <c r="L78" s="220" t="s">
        <v>930</v>
      </c>
      <c r="M78" s="463" t="str" cm="1">
        <f t="array" ref="M78">IF(AND(L78="On Hold",E78&lt;&gt;"",H78&gt;0),IFERROR(_xlfn.LET(_xlpm.stopSell,EDATE(E78,-'FEFO Analysis'!$B$4),_xlpm.cumAtStop,SUMIFS('Planning Engine'!$F$4:$F$2331,'Planning Engine'!$B$4:$B$2331,A78,'Planning Engine'!$A$4:$A$2331,"&lt;="&amp;_xlpm.stopSell),_xlpm.threshold,_xlpm.cumAtStop-H78,IF(_xlpm.threshold&lt;=0,_xlfn.AGGREGATE(15,6,'Planning Engine'!$A$4:$A$2331/('Planning Engine'!$B$4:$B$2331=A78),1),_xlfn.AGGREGATE(15,6,'Planning Engine'!$A$4:$A$2331/(('Planning Engine'!$B$4:$B$2331=A78)*('Planning Engine'!$AB$4:$AB$2331&gt;_xlpm.threshold)),1))),""),"")</f>
        <v/>
      </c>
      <c r="N78" s="459" t="str">
        <f ca="1">IF(M78="","",M78-TODAY())</f>
        <v/>
      </c>
    </row>
    <row r="79" spans="1:14" ht="14.25" customHeight="1" x14ac:dyDescent="0.35">
      <c r="A79" s="46" t="s">
        <v>45</v>
      </c>
      <c r="B79" s="46" t="s">
        <v>895</v>
      </c>
      <c r="C79" s="46" t="s">
        <v>45</v>
      </c>
      <c r="D79" s="48"/>
      <c r="E79" s="48">
        <v>47037</v>
      </c>
      <c r="F79" s="49">
        <v>4.1329000000000002</v>
      </c>
      <c r="G79" s="49">
        <v>4.1329000000000002</v>
      </c>
      <c r="H79" s="108">
        <f t="shared" si="7"/>
        <v>0</v>
      </c>
      <c r="I79" s="109">
        <f t="shared" ca="1" si="8"/>
        <v>28</v>
      </c>
      <c r="J79" s="110">
        <f t="shared" si="9"/>
        <v>47037.000078999998</v>
      </c>
      <c r="K79" s="46"/>
      <c r="L79" s="220" t="s">
        <v>930</v>
      </c>
      <c r="M79" s="463" t="str" cm="1">
        <f t="array" ref="M79">IF(AND(L79="On Hold",E79&lt;&gt;"",H79&gt;0),IFERROR(_xlfn.LET(_xlpm.stopSell,EDATE(E79,-'FEFO Analysis'!$B$4),_xlpm.cumAtStop,SUMIFS('Planning Engine'!$F$4:$F$2331,'Planning Engine'!$B$4:$B$2331,A79,'Planning Engine'!$A$4:$A$2331,"&lt;="&amp;_xlpm.stopSell),_xlpm.threshold,_xlpm.cumAtStop-H79,IF(_xlpm.threshold&lt;=0,_xlfn.AGGREGATE(15,6,'Planning Engine'!$A$4:$A$2331/('Planning Engine'!$B$4:$B$2331=A79),1),_xlfn.AGGREGATE(15,6,'Planning Engine'!$A$4:$A$2331/(('Planning Engine'!$B$4:$B$2331=A79)*('Planning Engine'!$AB$4:$AB$2331&gt;_xlpm.threshold)),1))),""),"")</f>
        <v/>
      </c>
      <c r="N79" s="459" t="str">
        <f ca="1">IF(M79="","",M79-TODAY())</f>
        <v/>
      </c>
    </row>
    <row r="80" spans="1:14" ht="14.25" customHeight="1" x14ac:dyDescent="0.35">
      <c r="A80" s="46" t="s">
        <v>45</v>
      </c>
      <c r="B80" s="46" t="s">
        <v>896</v>
      </c>
      <c r="C80" s="46" t="s">
        <v>45</v>
      </c>
      <c r="D80" s="48"/>
      <c r="E80" s="48">
        <v>47174</v>
      </c>
      <c r="F80" s="49">
        <v>3.9843999999999999</v>
      </c>
      <c r="G80" s="49">
        <v>0</v>
      </c>
      <c r="H80" s="108">
        <f t="shared" si="7"/>
        <v>3.9843999999999999</v>
      </c>
      <c r="I80" s="109">
        <f t="shared" ca="1" si="8"/>
        <v>33</v>
      </c>
      <c r="J80" s="110">
        <f t="shared" si="9"/>
        <v>47174.000079999998</v>
      </c>
      <c r="K80" s="46"/>
      <c r="L80" s="220" t="s">
        <v>930</v>
      </c>
      <c r="M80" s="463" t="str" cm="1">
        <f t="array" ref="M80">IF(AND(L80="On Hold",E80&lt;&gt;"",H80&gt;0),IFERROR(_xlfn.LET(_xlpm.stopSell,EDATE(E80,-'FEFO Analysis'!$B$4),_xlpm.cumAtStop,SUMIFS('Planning Engine'!$F$4:$F$2331,'Planning Engine'!$B$4:$B$2331,A80,'Planning Engine'!$A$4:$A$2331,"&lt;="&amp;_xlpm.stopSell),_xlpm.threshold,_xlpm.cumAtStop-H80,IF(_xlpm.threshold&lt;=0,_xlfn.AGGREGATE(15,6,'Planning Engine'!$A$4:$A$2331/('Planning Engine'!$B$4:$B$2331=A80),1),_xlfn.AGGREGATE(15,6,'Planning Engine'!$A$4:$A$2331/(('Planning Engine'!$B$4:$B$2331=A80)*('Planning Engine'!$AB$4:$AB$2331&gt;_xlpm.threshold)),1))),""),"")</f>
        <v/>
      </c>
      <c r="N80" s="459" t="str">
        <f ca="1">IF(M80="","",M80-TODAY())</f>
        <v/>
      </c>
    </row>
    <row r="81" spans="1:14" ht="14.25" customHeight="1" x14ac:dyDescent="0.35">
      <c r="A81" s="46" t="s">
        <v>45</v>
      </c>
      <c r="B81" s="46" t="s">
        <v>897</v>
      </c>
      <c r="C81" s="46" t="s">
        <v>45</v>
      </c>
      <c r="D81" s="48"/>
      <c r="E81" s="48">
        <v>47158</v>
      </c>
      <c r="F81" s="49">
        <v>3.657</v>
      </c>
      <c r="G81" s="49">
        <v>0</v>
      </c>
      <c r="H81" s="108">
        <f t="shared" si="7"/>
        <v>3.657</v>
      </c>
      <c r="I81" s="109">
        <f t="shared" ca="1" si="8"/>
        <v>32</v>
      </c>
      <c r="J81" s="110">
        <f t="shared" si="9"/>
        <v>47158.000080999998</v>
      </c>
      <c r="K81" s="46"/>
      <c r="L81" s="220" t="s">
        <v>930</v>
      </c>
      <c r="M81" s="463" t="str" cm="1">
        <f t="array" ref="M81">IF(AND(L81="On Hold",E81&lt;&gt;"",H81&gt;0),IFERROR(_xlfn.LET(_xlpm.stopSell,EDATE(E81,-'FEFO Analysis'!$B$4),_xlpm.cumAtStop,SUMIFS('Planning Engine'!$F$4:$F$2331,'Planning Engine'!$B$4:$B$2331,A81,'Planning Engine'!$A$4:$A$2331,"&lt;="&amp;_xlpm.stopSell),_xlpm.threshold,_xlpm.cumAtStop-H81,IF(_xlpm.threshold&lt;=0,_xlfn.AGGREGATE(15,6,'Planning Engine'!$A$4:$A$2331/('Planning Engine'!$B$4:$B$2331=A81),1),_xlfn.AGGREGATE(15,6,'Planning Engine'!$A$4:$A$2331/(('Planning Engine'!$B$4:$B$2331=A81)*('Planning Engine'!$AB$4:$AB$2331&gt;_xlpm.threshold)),1))),""),"")</f>
        <v/>
      </c>
      <c r="N81" s="459" t="str">
        <f ca="1">IF(M81="","",M81-TODAY())</f>
        <v/>
      </c>
    </row>
    <row r="82" spans="1:14" ht="14.25" customHeight="1" x14ac:dyDescent="0.35">
      <c r="A82" s="46" t="s">
        <v>45</v>
      </c>
      <c r="B82" s="46" t="s">
        <v>898</v>
      </c>
      <c r="C82" s="46" t="s">
        <v>45</v>
      </c>
      <c r="D82" s="48"/>
      <c r="E82" s="48">
        <v>47075</v>
      </c>
      <c r="F82" s="49">
        <v>4.2080000000000002</v>
      </c>
      <c r="G82" s="49">
        <v>0</v>
      </c>
      <c r="H82" s="108">
        <f t="shared" si="7"/>
        <v>4.2080000000000002</v>
      </c>
      <c r="I82" s="109">
        <f t="shared" ca="1" si="8"/>
        <v>30</v>
      </c>
      <c r="J82" s="110">
        <f t="shared" si="9"/>
        <v>47075.000081999999</v>
      </c>
      <c r="K82" s="46"/>
      <c r="L82" s="220" t="s">
        <v>930</v>
      </c>
      <c r="M82" s="463" t="str" cm="1">
        <f t="array" ref="M82">IF(AND(L82="On Hold",E82&lt;&gt;"",H82&gt;0),IFERROR(_xlfn.LET(_xlpm.stopSell,EDATE(E82,-'FEFO Analysis'!$B$4),_xlpm.cumAtStop,SUMIFS('Planning Engine'!$F$4:$F$2331,'Planning Engine'!$B$4:$B$2331,A82,'Planning Engine'!$A$4:$A$2331,"&lt;="&amp;_xlpm.stopSell),_xlpm.threshold,_xlpm.cumAtStop-H82,IF(_xlpm.threshold&lt;=0,_xlfn.AGGREGATE(15,6,'Planning Engine'!$A$4:$A$2331/('Planning Engine'!$B$4:$B$2331=A82),1),_xlfn.AGGREGATE(15,6,'Planning Engine'!$A$4:$A$2331/(('Planning Engine'!$B$4:$B$2331=A82)*('Planning Engine'!$AB$4:$AB$2331&gt;_xlpm.threshold)),1))),""),"")</f>
        <v/>
      </c>
      <c r="N82" s="459" t="str">
        <f ca="1">IF(M82="","",M82-TODAY())</f>
        <v/>
      </c>
    </row>
    <row r="83" spans="1:14" ht="14.25" customHeight="1" x14ac:dyDescent="0.35">
      <c r="A83" s="46" t="s">
        <v>45</v>
      </c>
      <c r="B83" s="46" t="s">
        <v>899</v>
      </c>
      <c r="C83" s="46" t="s">
        <v>45</v>
      </c>
      <c r="D83" s="48"/>
      <c r="E83" s="48">
        <v>47378</v>
      </c>
      <c r="F83" s="49">
        <v>4.28057</v>
      </c>
      <c r="G83" s="49">
        <v>0</v>
      </c>
      <c r="H83" s="108">
        <f t="shared" si="7"/>
        <v>4.28057</v>
      </c>
      <c r="I83" s="109">
        <f t="shared" ca="1" si="8"/>
        <v>40</v>
      </c>
      <c r="J83" s="110">
        <f t="shared" si="9"/>
        <v>47378.000082999999</v>
      </c>
      <c r="K83" s="46"/>
      <c r="L83" s="220" t="s">
        <v>930</v>
      </c>
      <c r="M83" s="463" t="str" cm="1">
        <f t="array" ref="M83">IF(AND(L83="On Hold",E83&lt;&gt;"",H83&gt;0),IFERROR(_xlfn.LET(_xlpm.stopSell,EDATE(E83,-'FEFO Analysis'!$B$4),_xlpm.cumAtStop,SUMIFS('Planning Engine'!$F$4:$F$2331,'Planning Engine'!$B$4:$B$2331,A83,'Planning Engine'!$A$4:$A$2331,"&lt;="&amp;_xlpm.stopSell),_xlpm.threshold,_xlpm.cumAtStop-H83,IF(_xlpm.threshold&lt;=0,_xlfn.AGGREGATE(15,6,'Planning Engine'!$A$4:$A$2331/('Planning Engine'!$B$4:$B$2331=A83),1),_xlfn.AGGREGATE(15,6,'Planning Engine'!$A$4:$A$2331/(('Planning Engine'!$B$4:$B$2331=A83)*('Planning Engine'!$AB$4:$AB$2331&gt;_xlpm.threshold)),1))),""),"")</f>
        <v/>
      </c>
      <c r="N83" s="459" t="str">
        <f ca="1">IF(M83="","",M83-TODAY())</f>
        <v/>
      </c>
    </row>
    <row r="84" spans="1:14" ht="14.25" customHeight="1" x14ac:dyDescent="0.35">
      <c r="A84" s="46" t="s">
        <v>45</v>
      </c>
      <c r="B84" s="46" t="s">
        <v>900</v>
      </c>
      <c r="C84" s="46" t="s">
        <v>45</v>
      </c>
      <c r="D84" s="48"/>
      <c r="E84" s="48">
        <v>46958</v>
      </c>
      <c r="F84" s="49">
        <v>4.34</v>
      </c>
      <c r="G84" s="49">
        <v>4.34</v>
      </c>
      <c r="H84" s="108">
        <f t="shared" si="7"/>
        <v>0</v>
      </c>
      <c r="I84" s="109">
        <f t="shared" ca="1" si="8"/>
        <v>26</v>
      </c>
      <c r="J84" s="110">
        <f t="shared" si="9"/>
        <v>46958.000083999999</v>
      </c>
      <c r="K84" s="46"/>
      <c r="L84" s="220" t="s">
        <v>930</v>
      </c>
      <c r="M84" s="463" t="str" cm="1">
        <f t="array" ref="M84">IF(AND(L84="On Hold",E84&lt;&gt;"",H84&gt;0),IFERROR(_xlfn.LET(_xlpm.stopSell,EDATE(E84,-'FEFO Analysis'!$B$4),_xlpm.cumAtStop,SUMIFS('Planning Engine'!$F$4:$F$2331,'Planning Engine'!$B$4:$B$2331,A84,'Planning Engine'!$A$4:$A$2331,"&lt;="&amp;_xlpm.stopSell),_xlpm.threshold,_xlpm.cumAtStop-H84,IF(_xlpm.threshold&lt;=0,_xlfn.AGGREGATE(15,6,'Planning Engine'!$A$4:$A$2331/('Planning Engine'!$B$4:$B$2331=A84),1),_xlfn.AGGREGATE(15,6,'Planning Engine'!$A$4:$A$2331/(('Planning Engine'!$B$4:$B$2331=A84)*('Planning Engine'!$AB$4:$AB$2331&gt;_xlpm.threshold)),1))),""),"")</f>
        <v/>
      </c>
      <c r="N84" s="459" t="str">
        <f ca="1">IF(M84="","",M84-TODAY())</f>
        <v/>
      </c>
    </row>
    <row r="85" spans="1:14" ht="14.25" customHeight="1" x14ac:dyDescent="0.35">
      <c r="A85" s="46" t="s">
        <v>45</v>
      </c>
      <c r="B85" s="46" t="s">
        <v>901</v>
      </c>
      <c r="C85" s="46" t="s">
        <v>45</v>
      </c>
      <c r="D85" s="48"/>
      <c r="E85" s="48">
        <v>46947</v>
      </c>
      <c r="F85" s="49">
        <v>4.21</v>
      </c>
      <c r="G85" s="49">
        <v>4.21</v>
      </c>
      <c r="H85" s="108">
        <f t="shared" si="7"/>
        <v>0</v>
      </c>
      <c r="I85" s="109">
        <f t="shared" ca="1" si="8"/>
        <v>26</v>
      </c>
      <c r="J85" s="110">
        <f t="shared" si="9"/>
        <v>46947.000085</v>
      </c>
      <c r="K85" s="46"/>
      <c r="L85" s="220" t="s">
        <v>930</v>
      </c>
      <c r="M85" s="463" t="str" cm="1">
        <f t="array" ref="M85">IF(AND(L85="On Hold",E85&lt;&gt;"",H85&gt;0),IFERROR(_xlfn.LET(_xlpm.stopSell,EDATE(E85,-'FEFO Analysis'!$B$4),_xlpm.cumAtStop,SUMIFS('Planning Engine'!$F$4:$F$2331,'Planning Engine'!$B$4:$B$2331,A85,'Planning Engine'!$A$4:$A$2331,"&lt;="&amp;_xlpm.stopSell),_xlpm.threshold,_xlpm.cumAtStop-H85,IF(_xlpm.threshold&lt;=0,_xlfn.AGGREGATE(15,6,'Planning Engine'!$A$4:$A$2331/('Planning Engine'!$B$4:$B$2331=A85),1),_xlfn.AGGREGATE(15,6,'Planning Engine'!$A$4:$A$2331/(('Planning Engine'!$B$4:$B$2331=A85)*('Planning Engine'!$AB$4:$AB$2331&gt;_xlpm.threshold)),1))),""),"")</f>
        <v/>
      </c>
      <c r="N85" s="459" t="str">
        <f ca="1">IF(M85="","",M85-TODAY())</f>
        <v/>
      </c>
    </row>
    <row r="86" spans="1:14" ht="14.25" customHeight="1" x14ac:dyDescent="0.35">
      <c r="A86" s="46" t="s">
        <v>45</v>
      </c>
      <c r="B86" s="46" t="s">
        <v>902</v>
      </c>
      <c r="C86" s="46" t="s">
        <v>45</v>
      </c>
      <c r="D86" s="48"/>
      <c r="E86" s="48">
        <v>47373</v>
      </c>
      <c r="F86" s="49">
        <v>4.4524499999999998</v>
      </c>
      <c r="G86" s="49">
        <v>0</v>
      </c>
      <c r="H86" s="108">
        <f t="shared" si="7"/>
        <v>4.4524499999999998</v>
      </c>
      <c r="I86" s="109">
        <f t="shared" ca="1" si="8"/>
        <v>39</v>
      </c>
      <c r="J86" s="110">
        <f t="shared" si="9"/>
        <v>47373.000086</v>
      </c>
      <c r="K86" s="46"/>
      <c r="L86" s="220" t="s">
        <v>930</v>
      </c>
      <c r="M86" s="463" t="str" cm="1">
        <f t="array" ref="M86">IF(AND(L86="On Hold",E86&lt;&gt;"",H86&gt;0),IFERROR(_xlfn.LET(_xlpm.stopSell,EDATE(E86,-'FEFO Analysis'!$B$4),_xlpm.cumAtStop,SUMIFS('Planning Engine'!$F$4:$F$2331,'Planning Engine'!$B$4:$B$2331,A86,'Planning Engine'!$A$4:$A$2331,"&lt;="&amp;_xlpm.stopSell),_xlpm.threshold,_xlpm.cumAtStop-H86,IF(_xlpm.threshold&lt;=0,_xlfn.AGGREGATE(15,6,'Planning Engine'!$A$4:$A$2331/('Planning Engine'!$B$4:$B$2331=A86),1),_xlfn.AGGREGATE(15,6,'Planning Engine'!$A$4:$A$2331/(('Planning Engine'!$B$4:$B$2331=A86)*('Planning Engine'!$AB$4:$AB$2331&gt;_xlpm.threshold)),1))),""),"")</f>
        <v/>
      </c>
      <c r="N86" s="459" t="str">
        <f ca="1">IF(M86="","",M86-TODAY())</f>
        <v/>
      </c>
    </row>
    <row r="87" spans="1:14" ht="14.25" customHeight="1" x14ac:dyDescent="0.35">
      <c r="A87" s="46" t="s">
        <v>45</v>
      </c>
      <c r="B87" s="46" t="s">
        <v>903</v>
      </c>
      <c r="C87" s="46" t="s">
        <v>45</v>
      </c>
      <c r="D87" s="48"/>
      <c r="E87" s="48">
        <v>47408</v>
      </c>
      <c r="F87" s="49">
        <v>4.4464969999999999</v>
      </c>
      <c r="G87" s="49">
        <v>0</v>
      </c>
      <c r="H87" s="108">
        <f t="shared" si="7"/>
        <v>4.4464969999999999</v>
      </c>
      <c r="I87" s="109">
        <f t="shared" ca="1" si="8"/>
        <v>41</v>
      </c>
      <c r="J87" s="110">
        <f t="shared" si="9"/>
        <v>47408.000087</v>
      </c>
      <c r="K87" s="46"/>
      <c r="L87" s="220" t="s">
        <v>930</v>
      </c>
      <c r="M87" s="463" t="str" cm="1">
        <f t="array" ref="M87">IF(AND(L87="On Hold",E87&lt;&gt;"",H87&gt;0),IFERROR(_xlfn.LET(_xlpm.stopSell,EDATE(E87,-'FEFO Analysis'!$B$4),_xlpm.cumAtStop,SUMIFS('Planning Engine'!$F$4:$F$2331,'Planning Engine'!$B$4:$B$2331,A87,'Planning Engine'!$A$4:$A$2331,"&lt;="&amp;_xlpm.stopSell),_xlpm.threshold,_xlpm.cumAtStop-H87,IF(_xlpm.threshold&lt;=0,_xlfn.AGGREGATE(15,6,'Planning Engine'!$A$4:$A$2331/('Planning Engine'!$B$4:$B$2331=A87),1),_xlfn.AGGREGATE(15,6,'Planning Engine'!$A$4:$A$2331/(('Planning Engine'!$B$4:$B$2331=A87)*('Planning Engine'!$AB$4:$AB$2331&gt;_xlpm.threshold)),1))),""),"")</f>
        <v/>
      </c>
      <c r="N87" s="459" t="str">
        <f ca="1">IF(M87="","",M87-TODAY())</f>
        <v/>
      </c>
    </row>
    <row r="88" spans="1:14" ht="14.25" customHeight="1" x14ac:dyDescent="0.35">
      <c r="A88" s="46"/>
      <c r="B88" s="46"/>
      <c r="C88" s="47"/>
      <c r="D88" s="48"/>
      <c r="E88" s="48"/>
      <c r="F88" s="49"/>
      <c r="G88" s="49"/>
      <c r="H88" s="108">
        <f t="shared" si="7"/>
        <v>0</v>
      </c>
      <c r="I88" s="109" t="str">
        <f t="shared" ca="1" si="8"/>
        <v/>
      </c>
      <c r="J88" s="110" t="str">
        <f t="shared" si="9"/>
        <v/>
      </c>
      <c r="K88" s="46"/>
      <c r="L88" s="220"/>
      <c r="M88" s="463" t="str" cm="1">
        <f t="array" ref="M88">IF(AND(L88="On Hold",E88&lt;&gt;"",H88&gt;0),IFERROR(_xlfn.LET(_xlpm.stopSell,EDATE(E88,-'FEFO Analysis'!$B$4),_xlpm.cumAtStop,SUMIFS('Planning Engine'!$F$4:$F$2331,'Planning Engine'!$B$4:$B$2331,A88,'Planning Engine'!$A$4:$A$2331,"&lt;="&amp;_xlpm.stopSell),_xlpm.threshold,_xlpm.cumAtStop-H88,IF(_xlpm.threshold&lt;=0,_xlfn.AGGREGATE(15,6,'Planning Engine'!$A$4:$A$2331/('Planning Engine'!$B$4:$B$2331=A88),1),_xlfn.AGGREGATE(15,6,'Planning Engine'!$A$4:$A$2331/(('Planning Engine'!$B$4:$B$2331=A88)*('Planning Engine'!$AB$4:$AB$2331&gt;_xlpm.threshold)),1))),""),"")</f>
        <v/>
      </c>
      <c r="N88" s="459" t="str">
        <f ca="1">IF(M88="","",M88-TODAY())</f>
        <v/>
      </c>
    </row>
    <row r="89" spans="1:14" ht="14.25" customHeight="1" x14ac:dyDescent="0.35">
      <c r="A89" s="46"/>
      <c r="B89" s="46"/>
      <c r="C89" s="47"/>
      <c r="D89" s="48"/>
      <c r="E89" s="48"/>
      <c r="F89" s="49"/>
      <c r="G89" s="49"/>
      <c r="H89" s="108">
        <f t="shared" si="7"/>
        <v>0</v>
      </c>
      <c r="I89" s="109" t="str">
        <f t="shared" ca="1" si="8"/>
        <v/>
      </c>
      <c r="J89" s="110" t="str">
        <f t="shared" si="9"/>
        <v/>
      </c>
      <c r="K89" s="46"/>
      <c r="L89" s="220"/>
      <c r="M89" s="463" t="str" cm="1">
        <f t="array" ref="M89">IF(AND(L89="On Hold",E89&lt;&gt;"",H89&gt;0),IFERROR(_xlfn.LET(_xlpm.stopSell,EDATE(E89,-'FEFO Analysis'!$B$4),_xlpm.cumAtStop,SUMIFS('Planning Engine'!$F$4:$F$2331,'Planning Engine'!$B$4:$B$2331,A89,'Planning Engine'!$A$4:$A$2331,"&lt;="&amp;_xlpm.stopSell),_xlpm.threshold,_xlpm.cumAtStop-H89,IF(_xlpm.threshold&lt;=0,_xlfn.AGGREGATE(15,6,'Planning Engine'!$A$4:$A$2331/('Planning Engine'!$B$4:$B$2331=A89),1),_xlfn.AGGREGATE(15,6,'Planning Engine'!$A$4:$A$2331/(('Planning Engine'!$B$4:$B$2331=A89)*('Planning Engine'!$AB$4:$AB$2331&gt;_xlpm.threshold)),1))),""),"")</f>
        <v/>
      </c>
      <c r="N89" s="459" t="str">
        <f ca="1">IF(M89="","",M89-TODAY())</f>
        <v/>
      </c>
    </row>
    <row r="90" spans="1:14" ht="14.25" customHeight="1" x14ac:dyDescent="0.35">
      <c r="A90" s="46" t="s">
        <v>50</v>
      </c>
      <c r="B90" s="46" t="s">
        <v>904</v>
      </c>
      <c r="C90" s="47" t="s">
        <v>879</v>
      </c>
      <c r="D90" s="48"/>
      <c r="E90" s="48">
        <v>46518</v>
      </c>
      <c r="F90" s="49">
        <v>5.7377000000000002</v>
      </c>
      <c r="G90" s="49">
        <v>0</v>
      </c>
      <c r="H90" s="108">
        <f t="shared" si="7"/>
        <v>5.7377000000000002</v>
      </c>
      <c r="I90" s="109">
        <f t="shared" ca="1" si="8"/>
        <v>11</v>
      </c>
      <c r="J90" s="110">
        <f t="shared" si="9"/>
        <v>46518.000090000001</v>
      </c>
      <c r="K90" s="46"/>
      <c r="L90" s="220" t="s">
        <v>930</v>
      </c>
      <c r="M90" s="463" t="str" cm="1">
        <f t="array" ref="M90">IF(AND(L90="On Hold",E90&lt;&gt;"",H90&gt;0),IFERROR(_xlfn.LET(_xlpm.stopSell,EDATE(E90,-'FEFO Analysis'!$B$4),_xlpm.cumAtStop,SUMIFS('Planning Engine'!$F$4:$F$2331,'Planning Engine'!$B$4:$B$2331,A90,'Planning Engine'!$A$4:$A$2331,"&lt;="&amp;_xlpm.stopSell),_xlpm.threshold,_xlpm.cumAtStop-H90,IF(_xlpm.threshold&lt;=0,_xlfn.AGGREGATE(15,6,'Planning Engine'!$A$4:$A$2331/('Planning Engine'!$B$4:$B$2331=A90),1),_xlfn.AGGREGATE(15,6,'Planning Engine'!$A$4:$A$2331/(('Planning Engine'!$B$4:$B$2331=A90)*('Planning Engine'!$AB$4:$AB$2331&gt;_xlpm.threshold)),1))),""),"")</f>
        <v/>
      </c>
      <c r="N90" s="459" t="str">
        <f ca="1">IF(M90="","",M90-TODAY())</f>
        <v/>
      </c>
    </row>
    <row r="91" spans="1:14" ht="14.25" customHeight="1" x14ac:dyDescent="0.35">
      <c r="A91" s="46" t="s">
        <v>50</v>
      </c>
      <c r="B91" s="46" t="s">
        <v>905</v>
      </c>
      <c r="C91" s="47" t="s">
        <v>879</v>
      </c>
      <c r="D91" s="48"/>
      <c r="E91" s="48">
        <v>46511</v>
      </c>
      <c r="F91" s="49">
        <v>5.5495000000000001</v>
      </c>
      <c r="G91" s="49">
        <v>0</v>
      </c>
      <c r="H91" s="108">
        <f t="shared" si="7"/>
        <v>5.5495000000000001</v>
      </c>
      <c r="I91" s="109">
        <f t="shared" ca="1" si="8"/>
        <v>11</v>
      </c>
      <c r="J91" s="110">
        <f t="shared" si="9"/>
        <v>46511.000091000002</v>
      </c>
      <c r="K91" s="46"/>
      <c r="L91" s="220" t="s">
        <v>930</v>
      </c>
      <c r="M91" s="463" t="str" cm="1">
        <f t="array" ref="M91">IF(AND(L91="On Hold",E91&lt;&gt;"",H91&gt;0),IFERROR(_xlfn.LET(_xlpm.stopSell,EDATE(E91,-'FEFO Analysis'!$B$4),_xlpm.cumAtStop,SUMIFS('Planning Engine'!$F$4:$F$2331,'Planning Engine'!$B$4:$B$2331,A91,'Planning Engine'!$A$4:$A$2331,"&lt;="&amp;_xlpm.stopSell),_xlpm.threshold,_xlpm.cumAtStop-H91,IF(_xlpm.threshold&lt;=0,_xlfn.AGGREGATE(15,6,'Planning Engine'!$A$4:$A$2331/('Planning Engine'!$B$4:$B$2331=A91),1),_xlfn.AGGREGATE(15,6,'Planning Engine'!$A$4:$A$2331/(('Planning Engine'!$B$4:$B$2331=A91)*('Planning Engine'!$AB$4:$AB$2331&gt;_xlpm.threshold)),1))),""),"")</f>
        <v/>
      </c>
      <c r="N91" s="459" t="str">
        <f ca="1">IF(M91="","",M91-TODAY())</f>
        <v/>
      </c>
    </row>
    <row r="92" spans="1:14" ht="14.25" customHeight="1" x14ac:dyDescent="0.35">
      <c r="A92" s="46" t="s">
        <v>50</v>
      </c>
      <c r="B92" s="46" t="s">
        <v>906</v>
      </c>
      <c r="C92" s="47" t="s">
        <v>879</v>
      </c>
      <c r="D92" s="48"/>
      <c r="E92" s="48">
        <v>46507</v>
      </c>
      <c r="F92" s="49">
        <v>5.7358000000000002</v>
      </c>
      <c r="G92" s="49">
        <v>0</v>
      </c>
      <c r="H92" s="108">
        <f t="shared" si="7"/>
        <v>5.7358000000000002</v>
      </c>
      <c r="I92" s="109">
        <f t="shared" ca="1" si="8"/>
        <v>11</v>
      </c>
      <c r="J92" s="110">
        <f t="shared" si="9"/>
        <v>46507.000092000002</v>
      </c>
      <c r="K92" s="46"/>
      <c r="L92" s="220" t="s">
        <v>930</v>
      </c>
      <c r="M92" s="463" t="str" cm="1">
        <f t="array" ref="M92">IF(AND(L92="On Hold",E92&lt;&gt;"",H92&gt;0),IFERROR(_xlfn.LET(_xlpm.stopSell,EDATE(E92,-'FEFO Analysis'!$B$4),_xlpm.cumAtStop,SUMIFS('Planning Engine'!$F$4:$F$2331,'Planning Engine'!$B$4:$B$2331,A92,'Planning Engine'!$A$4:$A$2331,"&lt;="&amp;_xlpm.stopSell),_xlpm.threshold,_xlpm.cumAtStop-H92,IF(_xlpm.threshold&lt;=0,_xlfn.AGGREGATE(15,6,'Planning Engine'!$A$4:$A$2331/('Planning Engine'!$B$4:$B$2331=A92),1),_xlfn.AGGREGATE(15,6,'Planning Engine'!$A$4:$A$2331/(('Planning Engine'!$B$4:$B$2331=A92)*('Planning Engine'!$AB$4:$AB$2331&gt;_xlpm.threshold)),1))),""),"")</f>
        <v/>
      </c>
      <c r="N92" s="459" t="str">
        <f ca="1">IF(M92="","",M92-TODAY())</f>
        <v/>
      </c>
    </row>
    <row r="93" spans="1:14" ht="14.25" customHeight="1" x14ac:dyDescent="0.35">
      <c r="A93" s="46" t="s">
        <v>50</v>
      </c>
      <c r="B93" s="46" t="s">
        <v>907</v>
      </c>
      <c r="C93" s="47" t="s">
        <v>879</v>
      </c>
      <c r="D93" s="48"/>
      <c r="E93" s="48">
        <v>46408</v>
      </c>
      <c r="F93" s="49">
        <v>5.7232000000000003</v>
      </c>
      <c r="G93" s="49">
        <v>0</v>
      </c>
      <c r="H93" s="108">
        <f t="shared" si="7"/>
        <v>5.7232000000000003</v>
      </c>
      <c r="I93" s="109">
        <f t="shared" ca="1" si="8"/>
        <v>8</v>
      </c>
      <c r="J93" s="110">
        <f t="shared" si="9"/>
        <v>46408.000093000002</v>
      </c>
      <c r="K93" s="46"/>
      <c r="L93" s="220" t="s">
        <v>930</v>
      </c>
      <c r="M93" s="463" t="str" cm="1">
        <f t="array" ref="M93">IF(AND(L93="On Hold",E93&lt;&gt;"",H93&gt;0),IFERROR(_xlfn.LET(_xlpm.stopSell,EDATE(E93,-'FEFO Analysis'!$B$4),_xlpm.cumAtStop,SUMIFS('Planning Engine'!$F$4:$F$2331,'Planning Engine'!$B$4:$B$2331,A93,'Planning Engine'!$A$4:$A$2331,"&lt;="&amp;_xlpm.stopSell),_xlpm.threshold,_xlpm.cumAtStop-H93,IF(_xlpm.threshold&lt;=0,_xlfn.AGGREGATE(15,6,'Planning Engine'!$A$4:$A$2331/('Planning Engine'!$B$4:$B$2331=A93),1),_xlfn.AGGREGATE(15,6,'Planning Engine'!$A$4:$A$2331/(('Planning Engine'!$B$4:$B$2331=A93)*('Planning Engine'!$AB$4:$AB$2331&gt;_xlpm.threshold)),1))),""),"")</f>
        <v/>
      </c>
      <c r="N93" s="459" t="str">
        <f ca="1">IF(M93="","",M93-TODAY())</f>
        <v/>
      </c>
    </row>
    <row r="94" spans="1:14" ht="14.25" customHeight="1" x14ac:dyDescent="0.35">
      <c r="A94" s="46" t="s">
        <v>50</v>
      </c>
      <c r="B94" s="46" t="s">
        <v>908</v>
      </c>
      <c r="C94" s="47" t="s">
        <v>879</v>
      </c>
      <c r="D94" s="48"/>
      <c r="E94" s="48">
        <v>46501</v>
      </c>
      <c r="F94" s="49">
        <v>5.7351999999999999</v>
      </c>
      <c r="G94" s="49">
        <v>0</v>
      </c>
      <c r="H94" s="108">
        <f t="shared" si="7"/>
        <v>5.7351999999999999</v>
      </c>
      <c r="I94" s="109">
        <f t="shared" ca="1" si="8"/>
        <v>11</v>
      </c>
      <c r="J94" s="110">
        <f t="shared" si="9"/>
        <v>46501.000094000003</v>
      </c>
      <c r="K94" s="46"/>
      <c r="L94" s="220" t="s">
        <v>930</v>
      </c>
      <c r="M94" s="463" t="str" cm="1">
        <f t="array" ref="M94">IF(AND(L94="On Hold",E94&lt;&gt;"",H94&gt;0),IFERROR(_xlfn.LET(_xlpm.stopSell,EDATE(E94,-'FEFO Analysis'!$B$4),_xlpm.cumAtStop,SUMIFS('Planning Engine'!$F$4:$F$2331,'Planning Engine'!$B$4:$B$2331,A94,'Planning Engine'!$A$4:$A$2331,"&lt;="&amp;_xlpm.stopSell),_xlpm.threshold,_xlpm.cumAtStop-H94,IF(_xlpm.threshold&lt;=0,_xlfn.AGGREGATE(15,6,'Planning Engine'!$A$4:$A$2331/('Planning Engine'!$B$4:$B$2331=A94),1),_xlfn.AGGREGATE(15,6,'Planning Engine'!$A$4:$A$2331/(('Planning Engine'!$B$4:$B$2331=A94)*('Planning Engine'!$AB$4:$AB$2331&gt;_xlpm.threshold)),1))),""),"")</f>
        <v/>
      </c>
      <c r="N94" s="459" t="str">
        <f ca="1">IF(M94="","",M94-TODAY())</f>
        <v/>
      </c>
    </row>
    <row r="95" spans="1:14" ht="14.25" customHeight="1" x14ac:dyDescent="0.35">
      <c r="A95" s="46" t="s">
        <v>50</v>
      </c>
      <c r="B95" s="46" t="s">
        <v>909</v>
      </c>
      <c r="C95" s="47" t="s">
        <v>879</v>
      </c>
      <c r="D95" s="48"/>
      <c r="E95" s="48">
        <v>46448</v>
      </c>
      <c r="F95" s="49">
        <v>5.5839999999999996</v>
      </c>
      <c r="G95" s="49">
        <v>0</v>
      </c>
      <c r="H95" s="108">
        <f t="shared" si="7"/>
        <v>5.5839999999999996</v>
      </c>
      <c r="I95" s="109">
        <f t="shared" ca="1" si="8"/>
        <v>9</v>
      </c>
      <c r="J95" s="110">
        <f t="shared" si="9"/>
        <v>46448.000095000003</v>
      </c>
      <c r="K95" s="46"/>
      <c r="L95" s="220" t="s">
        <v>930</v>
      </c>
      <c r="M95" s="463" t="str" cm="1">
        <f t="array" ref="M95">IF(AND(L95="On Hold",E95&lt;&gt;"",H95&gt;0),IFERROR(_xlfn.LET(_xlpm.stopSell,EDATE(E95,-'FEFO Analysis'!$B$4),_xlpm.cumAtStop,SUMIFS('Planning Engine'!$F$4:$F$2331,'Planning Engine'!$B$4:$B$2331,A95,'Planning Engine'!$A$4:$A$2331,"&lt;="&amp;_xlpm.stopSell),_xlpm.threshold,_xlpm.cumAtStop-H95,IF(_xlpm.threshold&lt;=0,_xlfn.AGGREGATE(15,6,'Planning Engine'!$A$4:$A$2331/('Planning Engine'!$B$4:$B$2331=A95),1),_xlfn.AGGREGATE(15,6,'Planning Engine'!$A$4:$A$2331/(('Planning Engine'!$B$4:$B$2331=A95)*('Planning Engine'!$AB$4:$AB$2331&gt;_xlpm.threshold)),1))),""),"")</f>
        <v/>
      </c>
      <c r="N95" s="459" t="str">
        <f ca="1">IF(M95="","",M95-TODAY())</f>
        <v/>
      </c>
    </row>
    <row r="96" spans="1:14" ht="14.25" customHeight="1" x14ac:dyDescent="0.35">
      <c r="A96" s="46" t="s">
        <v>50</v>
      </c>
      <c r="B96" s="46" t="s">
        <v>910</v>
      </c>
      <c r="C96" s="47" t="s">
        <v>879</v>
      </c>
      <c r="D96" s="48"/>
      <c r="E96" s="48">
        <v>46461</v>
      </c>
      <c r="F96" s="49">
        <v>5.5810000000000004</v>
      </c>
      <c r="G96" s="49">
        <v>0</v>
      </c>
      <c r="H96" s="108">
        <f t="shared" si="7"/>
        <v>5.5810000000000004</v>
      </c>
      <c r="I96" s="109">
        <f t="shared" ca="1" si="8"/>
        <v>10</v>
      </c>
      <c r="J96" s="110">
        <f t="shared" si="9"/>
        <v>46461.000096000003</v>
      </c>
      <c r="K96" s="46"/>
      <c r="L96" s="220" t="s">
        <v>930</v>
      </c>
      <c r="M96" s="463" t="str" cm="1">
        <f t="array" ref="M96">IF(AND(L96="On Hold",E96&lt;&gt;"",H96&gt;0),IFERROR(_xlfn.LET(_xlpm.stopSell,EDATE(E96,-'FEFO Analysis'!$B$4),_xlpm.cumAtStop,SUMIFS('Planning Engine'!$F$4:$F$2331,'Planning Engine'!$B$4:$B$2331,A96,'Planning Engine'!$A$4:$A$2331,"&lt;="&amp;_xlpm.stopSell),_xlpm.threshold,_xlpm.cumAtStop-H96,IF(_xlpm.threshold&lt;=0,_xlfn.AGGREGATE(15,6,'Planning Engine'!$A$4:$A$2331/('Planning Engine'!$B$4:$B$2331=A96),1),_xlfn.AGGREGATE(15,6,'Planning Engine'!$A$4:$A$2331/(('Planning Engine'!$B$4:$B$2331=A96)*('Planning Engine'!$AB$4:$AB$2331&gt;_xlpm.threshold)),1))),""),"")</f>
        <v/>
      </c>
      <c r="N96" s="459" t="str">
        <f ca="1">IF(M96="","",M96-TODAY())</f>
        <v/>
      </c>
    </row>
    <row r="97" spans="1:14" ht="14.25" customHeight="1" x14ac:dyDescent="0.35">
      <c r="A97" s="46" t="s">
        <v>50</v>
      </c>
      <c r="B97" s="46" t="s">
        <v>911</v>
      </c>
      <c r="C97" s="47" t="s">
        <v>879</v>
      </c>
      <c r="D97" s="48"/>
      <c r="E97" s="48">
        <v>46468</v>
      </c>
      <c r="F97" s="49">
        <v>5.5788000000000002</v>
      </c>
      <c r="G97" s="49">
        <v>0</v>
      </c>
      <c r="H97" s="108">
        <f t="shared" si="7"/>
        <v>5.5788000000000002</v>
      </c>
      <c r="I97" s="109">
        <f t="shared" ca="1" si="8"/>
        <v>10</v>
      </c>
      <c r="J97" s="110">
        <f t="shared" si="9"/>
        <v>46468.000096999996</v>
      </c>
      <c r="K97" s="46"/>
      <c r="L97" s="220" t="s">
        <v>930</v>
      </c>
      <c r="M97" s="463" t="str" cm="1">
        <f t="array" ref="M97">IF(AND(L97="On Hold",E97&lt;&gt;"",H97&gt;0),IFERROR(_xlfn.LET(_xlpm.stopSell,EDATE(E97,-'FEFO Analysis'!$B$4),_xlpm.cumAtStop,SUMIFS('Planning Engine'!$F$4:$F$2331,'Planning Engine'!$B$4:$B$2331,A97,'Planning Engine'!$A$4:$A$2331,"&lt;="&amp;_xlpm.stopSell),_xlpm.threshold,_xlpm.cumAtStop-H97,IF(_xlpm.threshold&lt;=0,_xlfn.AGGREGATE(15,6,'Planning Engine'!$A$4:$A$2331/('Planning Engine'!$B$4:$B$2331=A97),1),_xlfn.AGGREGATE(15,6,'Planning Engine'!$A$4:$A$2331/(('Planning Engine'!$B$4:$B$2331=A97)*('Planning Engine'!$AB$4:$AB$2331&gt;_xlpm.threshold)),1))),""),"")</f>
        <v/>
      </c>
      <c r="N97" s="459" t="str">
        <f ca="1">IF(M97="","",M97-TODAY())</f>
        <v/>
      </c>
    </row>
    <row r="98" spans="1:14" ht="14.25" customHeight="1" x14ac:dyDescent="0.35">
      <c r="A98" s="46" t="s">
        <v>50</v>
      </c>
      <c r="B98" s="46" t="s">
        <v>912</v>
      </c>
      <c r="C98" s="47" t="s">
        <v>879</v>
      </c>
      <c r="D98" s="48"/>
      <c r="E98" s="48">
        <v>46483</v>
      </c>
      <c r="F98" s="49">
        <v>3.8029000000000002</v>
      </c>
      <c r="G98" s="49">
        <v>0</v>
      </c>
      <c r="H98" s="108">
        <f t="shared" si="7"/>
        <v>3.8029000000000002</v>
      </c>
      <c r="I98" s="109">
        <f t="shared" ca="1" si="8"/>
        <v>10</v>
      </c>
      <c r="J98" s="110">
        <f t="shared" si="9"/>
        <v>46483.000097999997</v>
      </c>
      <c r="K98" s="46"/>
      <c r="L98" s="220" t="s">
        <v>930</v>
      </c>
      <c r="M98" s="463" t="str" cm="1">
        <f t="array" ref="M98">IF(AND(L98="On Hold",E98&lt;&gt;"",H98&gt;0),IFERROR(_xlfn.LET(_xlpm.stopSell,EDATE(E98,-'FEFO Analysis'!$B$4),_xlpm.cumAtStop,SUMIFS('Planning Engine'!$F$4:$F$2331,'Planning Engine'!$B$4:$B$2331,A98,'Planning Engine'!$A$4:$A$2331,"&lt;="&amp;_xlpm.stopSell),_xlpm.threshold,_xlpm.cumAtStop-H98,IF(_xlpm.threshold&lt;=0,_xlfn.AGGREGATE(15,6,'Planning Engine'!$A$4:$A$2331/('Planning Engine'!$B$4:$B$2331=A98),1),_xlfn.AGGREGATE(15,6,'Planning Engine'!$A$4:$A$2331/(('Planning Engine'!$B$4:$B$2331=A98)*('Planning Engine'!$AB$4:$AB$2331&gt;_xlpm.threshold)),1))),""),"")</f>
        <v/>
      </c>
      <c r="N98" s="459" t="str">
        <f ca="1">IF(M98="","",M98-TODAY())</f>
        <v/>
      </c>
    </row>
    <row r="99" spans="1:14" ht="14.25" customHeight="1" x14ac:dyDescent="0.35">
      <c r="A99" s="46" t="s">
        <v>50</v>
      </c>
      <c r="B99" s="46" t="s">
        <v>913</v>
      </c>
      <c r="C99" s="47" t="s">
        <v>879</v>
      </c>
      <c r="D99" s="48"/>
      <c r="E99" s="48">
        <v>46497</v>
      </c>
      <c r="F99" s="49">
        <v>5.7328999999999999</v>
      </c>
      <c r="G99" s="49">
        <v>0</v>
      </c>
      <c r="H99" s="108">
        <f t="shared" si="7"/>
        <v>5.7328999999999999</v>
      </c>
      <c r="I99" s="109">
        <f t="shared" ca="1" si="8"/>
        <v>11</v>
      </c>
      <c r="J99" s="110">
        <f t="shared" si="9"/>
        <v>46497.000098999997</v>
      </c>
      <c r="K99" s="46"/>
      <c r="L99" s="220" t="s">
        <v>930</v>
      </c>
      <c r="M99" s="463" t="str" cm="1">
        <f t="array" ref="M99">IF(AND(L99="On Hold",E99&lt;&gt;"",H99&gt;0),IFERROR(_xlfn.LET(_xlpm.stopSell,EDATE(E99,-'FEFO Analysis'!$B$4),_xlpm.cumAtStop,SUMIFS('Planning Engine'!$F$4:$F$2331,'Planning Engine'!$B$4:$B$2331,A99,'Planning Engine'!$A$4:$A$2331,"&lt;="&amp;_xlpm.stopSell),_xlpm.threshold,_xlpm.cumAtStop-H99,IF(_xlpm.threshold&lt;=0,_xlfn.AGGREGATE(15,6,'Planning Engine'!$A$4:$A$2331/('Planning Engine'!$B$4:$B$2331=A99),1),_xlfn.AGGREGATE(15,6,'Planning Engine'!$A$4:$A$2331/(('Planning Engine'!$B$4:$B$2331=A99)*('Planning Engine'!$AB$4:$AB$2331&gt;_xlpm.threshold)),1))),""),"")</f>
        <v/>
      </c>
      <c r="N99" s="459" t="str">
        <f ca="1">IF(M99="","",M99-TODAY())</f>
        <v/>
      </c>
    </row>
    <row r="100" spans="1:14" ht="14.25" customHeight="1" x14ac:dyDescent="0.35">
      <c r="A100" s="46" t="s">
        <v>50</v>
      </c>
      <c r="B100" s="46" t="s">
        <v>914</v>
      </c>
      <c r="C100" s="47" t="s">
        <v>879</v>
      </c>
      <c r="D100" s="48"/>
      <c r="E100" s="48">
        <v>46498</v>
      </c>
      <c r="F100" s="49">
        <v>5.7354000000000003</v>
      </c>
      <c r="G100" s="49">
        <v>0</v>
      </c>
      <c r="H100" s="108">
        <f t="shared" si="7"/>
        <v>5.7354000000000003</v>
      </c>
      <c r="I100" s="109">
        <f t="shared" ca="1" si="8"/>
        <v>11</v>
      </c>
      <c r="J100" s="110">
        <f t="shared" si="9"/>
        <v>46498.000099999997</v>
      </c>
      <c r="K100" s="46"/>
      <c r="L100" s="220" t="s">
        <v>930</v>
      </c>
      <c r="M100" s="463" t="str" cm="1">
        <f t="array" ref="M100">IF(AND(L100="On Hold",E100&lt;&gt;"",H100&gt;0),IFERROR(_xlfn.LET(_xlpm.stopSell,EDATE(E100,-'FEFO Analysis'!$B$4),_xlpm.cumAtStop,SUMIFS('Planning Engine'!$F$4:$F$2331,'Planning Engine'!$B$4:$B$2331,A100,'Planning Engine'!$A$4:$A$2331,"&lt;="&amp;_xlpm.stopSell),_xlpm.threshold,_xlpm.cumAtStop-H100,IF(_xlpm.threshold&lt;=0,_xlfn.AGGREGATE(15,6,'Planning Engine'!$A$4:$A$2331/('Planning Engine'!$B$4:$B$2331=A100),1),_xlfn.AGGREGATE(15,6,'Planning Engine'!$A$4:$A$2331/(('Planning Engine'!$B$4:$B$2331=A100)*('Planning Engine'!$AB$4:$AB$2331&gt;_xlpm.threshold)),1))),""),"")</f>
        <v/>
      </c>
      <c r="N100" s="459" t="str">
        <f ca="1">IF(M100="","",M100-TODAY())</f>
        <v/>
      </c>
    </row>
    <row r="101" spans="1:14" ht="14.25" customHeight="1" x14ac:dyDescent="0.35">
      <c r="A101" s="46" t="s">
        <v>50</v>
      </c>
      <c r="B101" s="46" t="s">
        <v>915</v>
      </c>
      <c r="C101" s="47" t="s">
        <v>879</v>
      </c>
      <c r="D101" s="48"/>
      <c r="E101" s="48">
        <v>46505</v>
      </c>
      <c r="F101" s="49">
        <v>5.734</v>
      </c>
      <c r="G101" s="49">
        <v>0</v>
      </c>
      <c r="H101" s="108">
        <f t="shared" ref="H101:H131" si="10">F101-G101</f>
        <v>5.734</v>
      </c>
      <c r="I101" s="109">
        <f t="shared" ref="I101:I131" ca="1" si="11">IFERROR(DATEDIF(TODAY(),E101,"M"),"")</f>
        <v>11</v>
      </c>
      <c r="J101" s="110">
        <f t="shared" si="9"/>
        <v>46505.000100999998</v>
      </c>
      <c r="K101" s="46"/>
      <c r="L101" s="220" t="s">
        <v>930</v>
      </c>
      <c r="M101" s="463" t="str" cm="1">
        <f t="array" ref="M101">IF(AND(L101="On Hold",E101&lt;&gt;"",H101&gt;0),IFERROR(_xlfn.LET(_xlpm.stopSell,EDATE(E101,-'FEFO Analysis'!$B$4),_xlpm.cumAtStop,SUMIFS('Planning Engine'!$F$4:$F$2331,'Planning Engine'!$B$4:$B$2331,A101,'Planning Engine'!$A$4:$A$2331,"&lt;="&amp;_xlpm.stopSell),_xlpm.threshold,_xlpm.cumAtStop-H101,IF(_xlpm.threshold&lt;=0,_xlfn.AGGREGATE(15,6,'Planning Engine'!$A$4:$A$2331/('Planning Engine'!$B$4:$B$2331=A101),1),_xlfn.AGGREGATE(15,6,'Planning Engine'!$A$4:$A$2331/(('Planning Engine'!$B$4:$B$2331=A101)*('Planning Engine'!$AB$4:$AB$2331&gt;_xlpm.threshold)),1))),""),"")</f>
        <v/>
      </c>
      <c r="N101" s="459" t="str">
        <f ca="1">IF(M101="","",M101-TODAY())</f>
        <v/>
      </c>
    </row>
    <row r="102" spans="1:14" ht="14.25" customHeight="1" x14ac:dyDescent="0.35">
      <c r="A102" s="46" t="s">
        <v>50</v>
      </c>
      <c r="B102" s="46" t="s">
        <v>916</v>
      </c>
      <c r="C102" s="47" t="s">
        <v>879</v>
      </c>
      <c r="D102" s="48"/>
      <c r="E102" s="48">
        <v>46443</v>
      </c>
      <c r="F102" s="49">
        <v>5.68</v>
      </c>
      <c r="G102" s="49">
        <v>0</v>
      </c>
      <c r="H102" s="108">
        <f t="shared" si="10"/>
        <v>5.68</v>
      </c>
      <c r="I102" s="109">
        <f t="shared" ca="1" si="11"/>
        <v>9</v>
      </c>
      <c r="J102" s="110">
        <f t="shared" si="9"/>
        <v>46443.000101999998</v>
      </c>
      <c r="K102" s="46"/>
      <c r="L102" s="220" t="s">
        <v>930</v>
      </c>
      <c r="M102" s="463" t="str" cm="1">
        <f t="array" ref="M102">IF(AND(L102="On Hold",E102&lt;&gt;"",H102&gt;0),IFERROR(_xlfn.LET(_xlpm.stopSell,EDATE(E102,-'FEFO Analysis'!$B$4),_xlpm.cumAtStop,SUMIFS('Planning Engine'!$F$4:$F$2331,'Planning Engine'!$B$4:$B$2331,A102,'Planning Engine'!$A$4:$A$2331,"&lt;="&amp;_xlpm.stopSell),_xlpm.threshold,_xlpm.cumAtStop-H102,IF(_xlpm.threshold&lt;=0,_xlfn.AGGREGATE(15,6,'Planning Engine'!$A$4:$A$2331/('Planning Engine'!$B$4:$B$2331=A102),1),_xlfn.AGGREGATE(15,6,'Planning Engine'!$A$4:$A$2331/(('Planning Engine'!$B$4:$B$2331=A102)*('Planning Engine'!$AB$4:$AB$2331&gt;_xlpm.threshold)),1))),""),"")</f>
        <v/>
      </c>
      <c r="N102" s="459" t="str">
        <f ca="1">IF(M102="","",M102-TODAY())</f>
        <v/>
      </c>
    </row>
    <row r="103" spans="1:14" ht="14.25" customHeight="1" x14ac:dyDescent="0.35">
      <c r="A103" s="46" t="s">
        <v>50</v>
      </c>
      <c r="B103" s="46" t="s">
        <v>917</v>
      </c>
      <c r="C103" s="47" t="s">
        <v>879</v>
      </c>
      <c r="D103" s="48"/>
      <c r="E103" s="48">
        <v>46444</v>
      </c>
      <c r="F103" s="49">
        <v>1.61</v>
      </c>
      <c r="G103" s="49">
        <v>0</v>
      </c>
      <c r="H103" s="108">
        <f t="shared" si="10"/>
        <v>1.61</v>
      </c>
      <c r="I103" s="109">
        <f t="shared" ca="1" si="11"/>
        <v>9</v>
      </c>
      <c r="J103" s="110">
        <f t="shared" si="9"/>
        <v>46444.000102999998</v>
      </c>
      <c r="K103" s="46"/>
      <c r="L103" s="220" t="s">
        <v>930</v>
      </c>
      <c r="M103" s="463" t="str" cm="1">
        <f t="array" ref="M103">IF(AND(L103="On Hold",E103&lt;&gt;"",H103&gt;0),IFERROR(_xlfn.LET(_xlpm.stopSell,EDATE(E103,-'FEFO Analysis'!$B$4),_xlpm.cumAtStop,SUMIFS('Planning Engine'!$F$4:$F$2331,'Planning Engine'!$B$4:$B$2331,A103,'Planning Engine'!$A$4:$A$2331,"&lt;="&amp;_xlpm.stopSell),_xlpm.threshold,_xlpm.cumAtStop-H103,IF(_xlpm.threshold&lt;=0,_xlfn.AGGREGATE(15,6,'Planning Engine'!$A$4:$A$2331/('Planning Engine'!$B$4:$B$2331=A103),1),_xlfn.AGGREGATE(15,6,'Planning Engine'!$A$4:$A$2331/(('Planning Engine'!$B$4:$B$2331=A103)*('Planning Engine'!$AB$4:$AB$2331&gt;_xlpm.threshold)),1))),""),"")</f>
        <v/>
      </c>
      <c r="N103" s="459" t="str">
        <f ca="1">IF(M103="","",M103-TODAY())</f>
        <v/>
      </c>
    </row>
    <row r="104" spans="1:14" ht="14.25" customHeight="1" x14ac:dyDescent="0.35">
      <c r="A104" s="46" t="s">
        <v>50</v>
      </c>
      <c r="B104" s="46" t="s">
        <v>918</v>
      </c>
      <c r="C104" s="47" t="s">
        <v>879</v>
      </c>
      <c r="D104" s="48"/>
      <c r="E104" s="48">
        <v>46449</v>
      </c>
      <c r="F104" s="49">
        <v>5.6619999999999999</v>
      </c>
      <c r="G104" s="49">
        <v>0</v>
      </c>
      <c r="H104" s="108">
        <f t="shared" si="10"/>
        <v>5.6619999999999999</v>
      </c>
      <c r="I104" s="109">
        <f t="shared" ca="1" si="11"/>
        <v>9</v>
      </c>
      <c r="J104" s="110">
        <f t="shared" si="9"/>
        <v>46449.000103999999</v>
      </c>
      <c r="K104" s="46"/>
      <c r="L104" s="220" t="s">
        <v>930</v>
      </c>
      <c r="M104" s="463" t="str" cm="1">
        <f t="array" ref="M104">IF(AND(L104="On Hold",E104&lt;&gt;"",H104&gt;0),IFERROR(_xlfn.LET(_xlpm.stopSell,EDATE(E104,-'FEFO Analysis'!$B$4),_xlpm.cumAtStop,SUMIFS('Planning Engine'!$F$4:$F$2331,'Planning Engine'!$B$4:$B$2331,A104,'Planning Engine'!$A$4:$A$2331,"&lt;="&amp;_xlpm.stopSell),_xlpm.threshold,_xlpm.cumAtStop-H104,IF(_xlpm.threshold&lt;=0,_xlfn.AGGREGATE(15,6,'Planning Engine'!$A$4:$A$2331/('Planning Engine'!$B$4:$B$2331=A104),1),_xlfn.AGGREGATE(15,6,'Planning Engine'!$A$4:$A$2331/(('Planning Engine'!$B$4:$B$2331=A104)*('Planning Engine'!$AB$4:$AB$2331&gt;_xlpm.threshold)),1))),""),"")</f>
        <v/>
      </c>
      <c r="N104" s="459" t="str">
        <f ca="1">IF(M104="","",M104-TODAY())</f>
        <v/>
      </c>
    </row>
    <row r="105" spans="1:14" ht="14.25" customHeight="1" x14ac:dyDescent="0.35">
      <c r="A105" s="46" t="s">
        <v>50</v>
      </c>
      <c r="B105" s="46" t="s">
        <v>919</v>
      </c>
      <c r="C105" s="47" t="s">
        <v>879</v>
      </c>
      <c r="D105" s="48"/>
      <c r="E105" s="48">
        <v>46454</v>
      </c>
      <c r="F105" s="49">
        <v>5.4569999999999999</v>
      </c>
      <c r="G105" s="49">
        <v>0</v>
      </c>
      <c r="H105" s="108">
        <f t="shared" si="10"/>
        <v>5.4569999999999999</v>
      </c>
      <c r="I105" s="109">
        <f t="shared" ca="1" si="11"/>
        <v>9</v>
      </c>
      <c r="J105" s="110">
        <f t="shared" si="9"/>
        <v>46454.000104999999</v>
      </c>
      <c r="K105" s="46"/>
      <c r="L105" s="220" t="s">
        <v>930</v>
      </c>
      <c r="M105" s="463" t="str" cm="1">
        <f t="array" ref="M105">IF(AND(L105="On Hold",E105&lt;&gt;"",H105&gt;0),IFERROR(_xlfn.LET(_xlpm.stopSell,EDATE(E105,-'FEFO Analysis'!$B$4),_xlpm.cumAtStop,SUMIFS('Planning Engine'!$F$4:$F$2331,'Planning Engine'!$B$4:$B$2331,A105,'Planning Engine'!$A$4:$A$2331,"&lt;="&amp;_xlpm.stopSell),_xlpm.threshold,_xlpm.cumAtStop-H105,IF(_xlpm.threshold&lt;=0,_xlfn.AGGREGATE(15,6,'Planning Engine'!$A$4:$A$2331/('Planning Engine'!$B$4:$B$2331=A105),1),_xlfn.AGGREGATE(15,6,'Planning Engine'!$A$4:$A$2331/(('Planning Engine'!$B$4:$B$2331=A105)*('Planning Engine'!$AB$4:$AB$2331&gt;_xlpm.threshold)),1))),""),"")</f>
        <v/>
      </c>
      <c r="N105" s="459" t="str">
        <f ca="1">IF(M105="","",M105-TODAY())</f>
        <v/>
      </c>
    </row>
    <row r="106" spans="1:14" ht="14.25" customHeight="1" x14ac:dyDescent="0.35">
      <c r="A106" s="46" t="s">
        <v>50</v>
      </c>
      <c r="B106" s="46" t="s">
        <v>920</v>
      </c>
      <c r="C106" s="47" t="s">
        <v>879</v>
      </c>
      <c r="D106" s="48"/>
      <c r="E106" s="48">
        <v>46408</v>
      </c>
      <c r="F106" s="49">
        <v>5.7779999999999996</v>
      </c>
      <c r="G106" s="49">
        <v>0</v>
      </c>
      <c r="H106" s="108">
        <f t="shared" si="10"/>
        <v>5.7779999999999996</v>
      </c>
      <c r="I106" s="109">
        <f t="shared" ca="1" si="11"/>
        <v>8</v>
      </c>
      <c r="J106" s="110">
        <f t="shared" si="9"/>
        <v>46408.000106</v>
      </c>
      <c r="K106" s="46"/>
      <c r="L106" s="220" t="s">
        <v>930</v>
      </c>
      <c r="M106" s="463" t="str" cm="1">
        <f t="array" ref="M106">IF(AND(L106="On Hold",E106&lt;&gt;"",H106&gt;0),IFERROR(_xlfn.LET(_xlpm.stopSell,EDATE(E106,-'FEFO Analysis'!$B$4),_xlpm.cumAtStop,SUMIFS('Planning Engine'!$F$4:$F$2331,'Planning Engine'!$B$4:$B$2331,A106,'Planning Engine'!$A$4:$A$2331,"&lt;="&amp;_xlpm.stopSell),_xlpm.threshold,_xlpm.cumAtStop-H106,IF(_xlpm.threshold&lt;=0,_xlfn.AGGREGATE(15,6,'Planning Engine'!$A$4:$A$2331/('Planning Engine'!$B$4:$B$2331=A106),1),_xlfn.AGGREGATE(15,6,'Planning Engine'!$A$4:$A$2331/(('Planning Engine'!$B$4:$B$2331=A106)*('Planning Engine'!$AB$4:$AB$2331&gt;_xlpm.threshold)),1))),""),"")</f>
        <v/>
      </c>
      <c r="N106" s="459" t="str">
        <f ca="1">IF(M106="","",M106-TODAY())</f>
        <v/>
      </c>
    </row>
    <row r="107" spans="1:14" ht="14.25" customHeight="1" x14ac:dyDescent="0.35">
      <c r="A107" s="46" t="s">
        <v>50</v>
      </c>
      <c r="B107" s="46" t="s">
        <v>921</v>
      </c>
      <c r="C107" s="47" t="s">
        <v>879</v>
      </c>
      <c r="D107" s="48"/>
      <c r="E107" s="48">
        <v>46415</v>
      </c>
      <c r="F107" s="49">
        <v>5.6420000000000003</v>
      </c>
      <c r="G107" s="49">
        <v>0</v>
      </c>
      <c r="H107" s="108">
        <f t="shared" si="10"/>
        <v>5.6420000000000003</v>
      </c>
      <c r="I107" s="109">
        <f t="shared" ca="1" si="11"/>
        <v>8</v>
      </c>
      <c r="J107" s="110">
        <f t="shared" si="9"/>
        <v>46415.000107</v>
      </c>
      <c r="K107" s="46"/>
      <c r="L107" s="220" t="s">
        <v>930</v>
      </c>
      <c r="M107" s="463" t="str" cm="1">
        <f t="array" ref="M107">IF(AND(L107="On Hold",E107&lt;&gt;"",H107&gt;0),IFERROR(_xlfn.LET(_xlpm.stopSell,EDATE(E107,-'FEFO Analysis'!$B$4),_xlpm.cumAtStop,SUMIFS('Planning Engine'!$F$4:$F$2331,'Planning Engine'!$B$4:$B$2331,A107,'Planning Engine'!$A$4:$A$2331,"&lt;="&amp;_xlpm.stopSell),_xlpm.threshold,_xlpm.cumAtStop-H107,IF(_xlpm.threshold&lt;=0,_xlfn.AGGREGATE(15,6,'Planning Engine'!$A$4:$A$2331/('Planning Engine'!$B$4:$B$2331=A107),1),_xlfn.AGGREGATE(15,6,'Planning Engine'!$A$4:$A$2331/(('Planning Engine'!$B$4:$B$2331=A107)*('Planning Engine'!$AB$4:$AB$2331&gt;_xlpm.threshold)),1))),""),"")</f>
        <v/>
      </c>
      <c r="N107" s="459" t="str">
        <f ca="1">IF(M107="","",M107-TODAY())</f>
        <v/>
      </c>
    </row>
    <row r="108" spans="1:14" ht="14.25" customHeight="1" x14ac:dyDescent="0.35">
      <c r="A108" s="46"/>
      <c r="B108" s="46"/>
      <c r="C108" s="47"/>
      <c r="D108" s="48"/>
      <c r="E108" s="48"/>
      <c r="F108" s="49"/>
      <c r="G108" s="49"/>
      <c r="H108" s="108">
        <f t="shared" si="10"/>
        <v>0</v>
      </c>
      <c r="I108" s="109" t="str">
        <f t="shared" ca="1" si="11"/>
        <v/>
      </c>
      <c r="J108" s="110" t="str">
        <f t="shared" si="9"/>
        <v/>
      </c>
      <c r="K108" s="46"/>
      <c r="M108" s="463" t="str" cm="1">
        <f t="array" ref="M108">IF(AND(L108="On Hold",E108&lt;&gt;"",H108&gt;0),IFERROR(_xlfn.LET(_xlpm.stopSell,EDATE(E108,-'FEFO Analysis'!$B$4),_xlpm.cumAtStop,SUMIFS('Planning Engine'!$F$4:$F$2331,'Planning Engine'!$B$4:$B$2331,A108,'Planning Engine'!$A$4:$A$2331,"&lt;="&amp;_xlpm.stopSell),_xlpm.threshold,_xlpm.cumAtStop-H108,IF(_xlpm.threshold&lt;=0,_xlfn.AGGREGATE(15,6,'Planning Engine'!$A$4:$A$2331/('Planning Engine'!$B$4:$B$2331=A108),1),_xlfn.AGGREGATE(15,6,'Planning Engine'!$A$4:$A$2331/(('Planning Engine'!$B$4:$B$2331=A108)*('Planning Engine'!$AB$4:$AB$2331&gt;_xlpm.threshold)),1))),""),"")</f>
        <v/>
      </c>
      <c r="N108" s="459" t="str">
        <f ca="1">IF(M108="","",M108-TODAY())</f>
        <v/>
      </c>
    </row>
    <row r="109" spans="1:14" ht="14.25" customHeight="1" x14ac:dyDescent="0.35">
      <c r="A109" s="260"/>
      <c r="B109" s="260"/>
      <c r="C109" s="47"/>
      <c r="D109" s="48"/>
      <c r="E109" s="48"/>
      <c r="F109" s="49"/>
      <c r="G109" s="49"/>
      <c r="H109" s="108">
        <f t="shared" si="10"/>
        <v>0</v>
      </c>
      <c r="I109" s="109" t="str">
        <f t="shared" ca="1" si="11"/>
        <v/>
      </c>
      <c r="J109" s="110" t="str">
        <f t="shared" si="9"/>
        <v/>
      </c>
      <c r="K109" s="46"/>
      <c r="M109" s="463" t="str" cm="1">
        <f t="array" ref="M109">IF(AND(L109="On Hold",E109&lt;&gt;"",H109&gt;0),IFERROR(_xlfn.LET(_xlpm.stopSell,EDATE(E109,-'FEFO Analysis'!$B$4),_xlpm.cumAtStop,SUMIFS('Planning Engine'!$F$4:$F$2331,'Planning Engine'!$B$4:$B$2331,A109,'Planning Engine'!$A$4:$A$2331,"&lt;="&amp;_xlpm.stopSell),_xlpm.threshold,_xlpm.cumAtStop-H109,IF(_xlpm.threshold&lt;=0,_xlfn.AGGREGATE(15,6,'Planning Engine'!$A$4:$A$2331/('Planning Engine'!$B$4:$B$2331=A109),1),_xlfn.AGGREGATE(15,6,'Planning Engine'!$A$4:$A$2331/(('Planning Engine'!$B$4:$B$2331=A109)*('Planning Engine'!$AB$4:$AB$2331&gt;_xlpm.threshold)),1))),""),"")</f>
        <v/>
      </c>
      <c r="N109" s="459" t="str">
        <f ca="1">IF(M109="","",M109-TODAY())</f>
        <v/>
      </c>
    </row>
    <row r="110" spans="1:14" ht="14.25" customHeight="1" x14ac:dyDescent="0.35">
      <c r="A110" s="263" t="s">
        <v>959</v>
      </c>
      <c r="B110" s="262" t="s">
        <v>963</v>
      </c>
      <c r="C110" s="264" t="s">
        <v>28</v>
      </c>
      <c r="D110" s="48"/>
      <c r="E110" s="48"/>
      <c r="F110" s="49"/>
      <c r="G110" s="49"/>
      <c r="H110" s="108">
        <f t="shared" si="10"/>
        <v>0</v>
      </c>
      <c r="I110" s="109" t="str">
        <f t="shared" ca="1" si="11"/>
        <v/>
      </c>
      <c r="J110" s="110" t="str">
        <f t="shared" si="9"/>
        <v/>
      </c>
      <c r="K110" s="46"/>
      <c r="L110" s="265"/>
      <c r="M110" s="463" t="str" cm="1">
        <f t="array" ref="M110">IF(AND(L110="On Hold",E110&lt;&gt;"",H110&gt;0),IFERROR(_xlfn.LET(_xlpm.stopSell,EDATE(E110,-'FEFO Analysis'!$B$4),_xlpm.cumAtStop,SUMIFS('Planning Engine'!$F$4:$F$2331,'Planning Engine'!$B$4:$B$2331,A110,'Planning Engine'!$A$4:$A$2331,"&lt;="&amp;_xlpm.stopSell),_xlpm.threshold,_xlpm.cumAtStop-H110,IF(_xlpm.threshold&lt;=0,_xlfn.AGGREGATE(15,6,'Planning Engine'!$A$4:$A$2331/('Planning Engine'!$B$4:$B$2331=A110),1),_xlfn.AGGREGATE(15,6,'Planning Engine'!$A$4:$A$2331/(('Planning Engine'!$B$4:$B$2331=A110)*('Planning Engine'!$AB$4:$AB$2331&gt;_xlpm.threshold)),1))),""),"")</f>
        <v/>
      </c>
      <c r="N110" s="459" t="str">
        <f ca="1">IF(M110="","",M110-TODAY())</f>
        <v/>
      </c>
    </row>
    <row r="111" spans="1:14" ht="14.25" customHeight="1" x14ac:dyDescent="0.35">
      <c r="A111" s="261"/>
      <c r="B111" s="261"/>
      <c r="C111" s="47"/>
      <c r="D111" s="48"/>
      <c r="E111" s="48"/>
      <c r="F111" s="49"/>
      <c r="G111" s="49"/>
      <c r="H111" s="108">
        <f t="shared" si="10"/>
        <v>0</v>
      </c>
      <c r="I111" s="109" t="str">
        <f t="shared" ca="1" si="11"/>
        <v/>
      </c>
      <c r="J111" s="110" t="str">
        <f t="shared" si="9"/>
        <v/>
      </c>
      <c r="K111" s="46"/>
      <c r="M111" s="463" t="str" cm="1">
        <f t="array" ref="M111">IF(AND(L111="On Hold",E111&lt;&gt;"",H111&gt;0),IFERROR(_xlfn.LET(_xlpm.stopSell,EDATE(E111,-'FEFO Analysis'!$B$4),_xlpm.cumAtStop,SUMIFS('Planning Engine'!$F$4:$F$2331,'Planning Engine'!$B$4:$B$2331,A111,'Planning Engine'!$A$4:$A$2331,"&lt;="&amp;_xlpm.stopSell),_xlpm.threshold,_xlpm.cumAtStop-H111,IF(_xlpm.threshold&lt;=0,_xlfn.AGGREGATE(15,6,'Planning Engine'!$A$4:$A$2331/('Planning Engine'!$B$4:$B$2331=A111),1),_xlfn.AGGREGATE(15,6,'Planning Engine'!$A$4:$A$2331/(('Planning Engine'!$B$4:$B$2331=A111)*('Planning Engine'!$AB$4:$AB$2331&gt;_xlpm.threshold)),1))),""),"")</f>
        <v/>
      </c>
      <c r="N111" s="459" t="str">
        <f ca="1">IF(M111="","",M111-TODAY())</f>
        <v/>
      </c>
    </row>
    <row r="112" spans="1:14" ht="14.25" customHeight="1" x14ac:dyDescent="0.35">
      <c r="A112" s="260"/>
      <c r="B112" s="260"/>
      <c r="C112" s="47"/>
      <c r="D112" s="48"/>
      <c r="E112" s="48"/>
      <c r="F112" s="49"/>
      <c r="G112" s="49"/>
      <c r="H112" s="108">
        <f t="shared" si="10"/>
        <v>0</v>
      </c>
      <c r="I112" s="109" t="str">
        <f t="shared" ca="1" si="11"/>
        <v/>
      </c>
      <c r="J112" s="110" t="str">
        <f t="shared" si="9"/>
        <v/>
      </c>
      <c r="K112" s="46"/>
      <c r="M112" s="463" t="str" cm="1">
        <f t="array" ref="M112">IF(AND(L112="On Hold",E112&lt;&gt;"",H112&gt;0),IFERROR(_xlfn.LET(_xlpm.stopSell,EDATE(E112,-'FEFO Analysis'!$B$4),_xlpm.cumAtStop,SUMIFS('Planning Engine'!$F$4:$F$2331,'Planning Engine'!$B$4:$B$2331,A112,'Planning Engine'!$A$4:$A$2331,"&lt;="&amp;_xlpm.stopSell),_xlpm.threshold,_xlpm.cumAtStop-H112,IF(_xlpm.threshold&lt;=0,_xlfn.AGGREGATE(15,6,'Planning Engine'!$A$4:$A$2331/('Planning Engine'!$B$4:$B$2331=A112),1),_xlfn.AGGREGATE(15,6,'Planning Engine'!$A$4:$A$2331/(('Planning Engine'!$B$4:$B$2331=A112)*('Planning Engine'!$AB$4:$AB$2331&gt;_xlpm.threshold)),1))),""),"")</f>
        <v/>
      </c>
      <c r="N112" s="459" t="str">
        <f ca="1">IF(M112="","",M112-TODAY())</f>
        <v/>
      </c>
    </row>
    <row r="113" spans="1:14" ht="14.25" customHeight="1" x14ac:dyDescent="0.35">
      <c r="A113" s="263" t="s">
        <v>960</v>
      </c>
      <c r="B113" s="262" t="s">
        <v>963</v>
      </c>
      <c r="C113" s="264" t="s">
        <v>28</v>
      </c>
      <c r="D113" s="48"/>
      <c r="E113" s="48"/>
      <c r="F113" s="49"/>
      <c r="G113" s="49"/>
      <c r="H113" s="108">
        <f t="shared" si="10"/>
        <v>0</v>
      </c>
      <c r="I113" s="109" t="str">
        <f t="shared" ca="1" si="11"/>
        <v/>
      </c>
      <c r="J113" s="110" t="str">
        <f t="shared" si="9"/>
        <v/>
      </c>
      <c r="K113" s="46"/>
      <c r="M113" s="463" t="str" cm="1">
        <f t="array" ref="M113">IF(AND(L113="On Hold",E113&lt;&gt;"",H113&gt;0),IFERROR(_xlfn.LET(_xlpm.stopSell,EDATE(E113,-'FEFO Analysis'!$B$4),_xlpm.cumAtStop,SUMIFS('Planning Engine'!$F$4:$F$2331,'Planning Engine'!$B$4:$B$2331,A113,'Planning Engine'!$A$4:$A$2331,"&lt;="&amp;_xlpm.stopSell),_xlpm.threshold,_xlpm.cumAtStop-H113,IF(_xlpm.threshold&lt;=0,_xlfn.AGGREGATE(15,6,'Planning Engine'!$A$4:$A$2331/('Planning Engine'!$B$4:$B$2331=A113),1),_xlfn.AGGREGATE(15,6,'Planning Engine'!$A$4:$A$2331/(('Planning Engine'!$B$4:$B$2331=A113)*('Planning Engine'!$AB$4:$AB$2331&gt;_xlpm.threshold)),1))),""),"")</f>
        <v/>
      </c>
      <c r="N113" s="459" t="str">
        <f ca="1">IF(M113="","",M113-TODAY())</f>
        <v/>
      </c>
    </row>
    <row r="114" spans="1:14" ht="14.25" customHeight="1" x14ac:dyDescent="0.35">
      <c r="A114" s="261"/>
      <c r="B114" s="261"/>
      <c r="C114" s="47"/>
      <c r="D114" s="48"/>
      <c r="E114" s="48"/>
      <c r="F114" s="49"/>
      <c r="G114" s="49"/>
      <c r="H114" s="108">
        <f t="shared" si="10"/>
        <v>0</v>
      </c>
      <c r="I114" s="109" t="str">
        <f t="shared" ca="1" si="11"/>
        <v/>
      </c>
      <c r="J114" s="110" t="str">
        <f t="shared" si="9"/>
        <v/>
      </c>
      <c r="K114" s="46"/>
      <c r="M114" s="463" t="str" cm="1">
        <f t="array" ref="M114">IF(AND(L114="On Hold",E114&lt;&gt;"",H114&gt;0),IFERROR(_xlfn.LET(_xlpm.stopSell,EDATE(E114,-'FEFO Analysis'!$B$4),_xlpm.cumAtStop,SUMIFS('Planning Engine'!$F$4:$F$2331,'Planning Engine'!$B$4:$B$2331,A114,'Planning Engine'!$A$4:$A$2331,"&lt;="&amp;_xlpm.stopSell),_xlpm.threshold,_xlpm.cumAtStop-H114,IF(_xlpm.threshold&lt;=0,_xlfn.AGGREGATE(15,6,'Planning Engine'!$A$4:$A$2331/('Planning Engine'!$B$4:$B$2331=A114),1),_xlfn.AGGREGATE(15,6,'Planning Engine'!$A$4:$A$2331/(('Planning Engine'!$B$4:$B$2331=A114)*('Planning Engine'!$AB$4:$AB$2331&gt;_xlpm.threshold)),1))),""),"")</f>
        <v/>
      </c>
      <c r="N114" s="459" t="str">
        <f ca="1">IF(M114="","",M114-TODAY())</f>
        <v/>
      </c>
    </row>
    <row r="115" spans="1:14" ht="14.25" customHeight="1" x14ac:dyDescent="0.35">
      <c r="A115" s="46"/>
      <c r="B115" s="46"/>
      <c r="C115" s="47"/>
      <c r="D115" s="48"/>
      <c r="E115" s="48"/>
      <c r="F115" s="49"/>
      <c r="G115" s="49"/>
      <c r="H115" s="108">
        <f t="shared" si="10"/>
        <v>0</v>
      </c>
      <c r="I115" s="109" t="str">
        <f t="shared" ca="1" si="11"/>
        <v/>
      </c>
      <c r="J115" s="110" t="str">
        <f t="shared" si="9"/>
        <v/>
      </c>
      <c r="K115" s="46"/>
      <c r="M115" s="463" t="str" cm="1">
        <f t="array" ref="M115">IF(AND(L115="On Hold",E115&lt;&gt;"",H115&gt;0),IFERROR(_xlfn.LET(_xlpm.stopSell,EDATE(E115,-'FEFO Analysis'!$B$4),_xlpm.cumAtStop,SUMIFS('Planning Engine'!$F$4:$F$2331,'Planning Engine'!$B$4:$B$2331,A115,'Planning Engine'!$A$4:$A$2331,"&lt;="&amp;_xlpm.stopSell),_xlpm.threshold,_xlpm.cumAtStop-H115,IF(_xlpm.threshold&lt;=0,_xlfn.AGGREGATE(15,6,'Planning Engine'!$A$4:$A$2331/('Planning Engine'!$B$4:$B$2331=A115),1),_xlfn.AGGREGATE(15,6,'Planning Engine'!$A$4:$A$2331/(('Planning Engine'!$B$4:$B$2331=A115)*('Planning Engine'!$AB$4:$AB$2331&gt;_xlpm.threshold)),1))),""),"")</f>
        <v/>
      </c>
      <c r="N115" s="459" t="str">
        <f ca="1">IF(M115="","",M115-TODAY())</f>
        <v/>
      </c>
    </row>
    <row r="116" spans="1:14" ht="14.25" customHeight="1" x14ac:dyDescent="0.35">
      <c r="A116" s="46"/>
      <c r="B116" s="46"/>
      <c r="C116" s="47"/>
      <c r="D116" s="48"/>
      <c r="E116" s="48"/>
      <c r="F116" s="49"/>
      <c r="G116" s="49"/>
      <c r="H116" s="108">
        <f t="shared" si="10"/>
        <v>0</v>
      </c>
      <c r="I116" s="109" t="str">
        <f t="shared" ca="1" si="11"/>
        <v/>
      </c>
      <c r="J116" s="110" t="str">
        <f t="shared" si="9"/>
        <v/>
      </c>
      <c r="K116" s="46"/>
      <c r="M116" s="463" t="str" cm="1">
        <f t="array" ref="M116">IF(AND(L116="On Hold",E116&lt;&gt;"",H116&gt;0),IFERROR(_xlfn.LET(_xlpm.stopSell,EDATE(E116,-'FEFO Analysis'!$B$4),_xlpm.cumAtStop,SUMIFS('Planning Engine'!$F$4:$F$2331,'Planning Engine'!$B$4:$B$2331,A116,'Planning Engine'!$A$4:$A$2331,"&lt;="&amp;_xlpm.stopSell),_xlpm.threshold,_xlpm.cumAtStop-H116,IF(_xlpm.threshold&lt;=0,_xlfn.AGGREGATE(15,6,'Planning Engine'!$A$4:$A$2331/('Planning Engine'!$B$4:$B$2331=A116),1),_xlfn.AGGREGATE(15,6,'Planning Engine'!$A$4:$A$2331/(('Planning Engine'!$B$4:$B$2331=A116)*('Planning Engine'!$AB$4:$AB$2331&gt;_xlpm.threshold)),1))),""),"")</f>
        <v/>
      </c>
      <c r="N116" s="459" t="str">
        <f ca="1">IF(M116="","",M116-TODAY())</f>
        <v/>
      </c>
    </row>
    <row r="117" spans="1:14" ht="14.25" customHeight="1" x14ac:dyDescent="0.35">
      <c r="A117" s="46"/>
      <c r="B117" s="46"/>
      <c r="C117" s="47"/>
      <c r="D117" s="48"/>
      <c r="E117" s="48"/>
      <c r="F117" s="49"/>
      <c r="G117" s="49"/>
      <c r="H117" s="108">
        <f t="shared" si="10"/>
        <v>0</v>
      </c>
      <c r="I117" s="109" t="str">
        <f t="shared" ca="1" si="11"/>
        <v/>
      </c>
      <c r="J117" s="110" t="str">
        <f t="shared" si="9"/>
        <v/>
      </c>
      <c r="K117" s="46"/>
      <c r="M117" s="463" t="str" cm="1">
        <f t="array" ref="M117">IF(AND(L117="On Hold",E117&lt;&gt;"",H117&gt;0),IFERROR(_xlfn.LET(_xlpm.stopSell,EDATE(E117,-'FEFO Analysis'!$B$4),_xlpm.cumAtStop,SUMIFS('Planning Engine'!$F$4:$F$2331,'Planning Engine'!$B$4:$B$2331,A117,'Planning Engine'!$A$4:$A$2331,"&lt;="&amp;_xlpm.stopSell),_xlpm.threshold,_xlpm.cumAtStop-H117,IF(_xlpm.threshold&lt;=0,_xlfn.AGGREGATE(15,6,'Planning Engine'!$A$4:$A$2331/('Planning Engine'!$B$4:$B$2331=A117),1),_xlfn.AGGREGATE(15,6,'Planning Engine'!$A$4:$A$2331/(('Planning Engine'!$B$4:$B$2331=A117)*('Planning Engine'!$AB$4:$AB$2331&gt;_xlpm.threshold)),1))),""),"")</f>
        <v/>
      </c>
      <c r="N117" s="459" t="str">
        <f ca="1">IF(M117="","",M117-TODAY())</f>
        <v/>
      </c>
    </row>
    <row r="118" spans="1:14" ht="14.25" customHeight="1" x14ac:dyDescent="0.35">
      <c r="A118" s="46"/>
      <c r="B118" s="46"/>
      <c r="C118" s="47"/>
      <c r="D118" s="48"/>
      <c r="E118" s="48"/>
      <c r="F118" s="49"/>
      <c r="G118" s="49"/>
      <c r="H118" s="108">
        <f t="shared" si="10"/>
        <v>0</v>
      </c>
      <c r="I118" s="109" t="str">
        <f t="shared" ca="1" si="11"/>
        <v/>
      </c>
      <c r="J118" s="110" t="str">
        <f t="shared" si="9"/>
        <v/>
      </c>
      <c r="K118" s="46"/>
      <c r="M118" s="463" t="str" cm="1">
        <f t="array" ref="M118">IF(AND(L118="On Hold",E118&lt;&gt;"",H118&gt;0),IFERROR(_xlfn.LET(_xlpm.stopSell,EDATE(E118,-'FEFO Analysis'!$B$4),_xlpm.cumAtStop,SUMIFS('Planning Engine'!$F$4:$F$2331,'Planning Engine'!$B$4:$B$2331,A118,'Planning Engine'!$A$4:$A$2331,"&lt;="&amp;_xlpm.stopSell),_xlpm.threshold,_xlpm.cumAtStop-H118,IF(_xlpm.threshold&lt;=0,_xlfn.AGGREGATE(15,6,'Planning Engine'!$A$4:$A$2331/('Planning Engine'!$B$4:$B$2331=A118),1),_xlfn.AGGREGATE(15,6,'Planning Engine'!$A$4:$A$2331/(('Planning Engine'!$B$4:$B$2331=A118)*('Planning Engine'!$AB$4:$AB$2331&gt;_xlpm.threshold)),1))),""),"")</f>
        <v/>
      </c>
      <c r="N118" s="459" t="str">
        <f ca="1">IF(M118="","",M118-TODAY())</f>
        <v/>
      </c>
    </row>
    <row r="119" spans="1:14" ht="14.25" customHeight="1" x14ac:dyDescent="0.35">
      <c r="A119" s="46"/>
      <c r="B119" s="46"/>
      <c r="C119" s="47"/>
      <c r="D119" s="48"/>
      <c r="E119" s="48"/>
      <c r="F119" s="49"/>
      <c r="G119" s="49"/>
      <c r="H119" s="108">
        <f t="shared" si="10"/>
        <v>0</v>
      </c>
      <c r="I119" s="109" t="str">
        <f t="shared" ca="1" si="11"/>
        <v/>
      </c>
      <c r="J119" s="110" t="str">
        <f t="shared" si="9"/>
        <v/>
      </c>
      <c r="K119" s="46"/>
      <c r="M119" s="463" t="str" cm="1">
        <f t="array" ref="M119">IF(AND(L119="On Hold",E119&lt;&gt;"",H119&gt;0),IFERROR(_xlfn.LET(_xlpm.stopSell,EDATE(E119,-'FEFO Analysis'!$B$4),_xlpm.cumAtStop,SUMIFS('Planning Engine'!$F$4:$F$2331,'Planning Engine'!$B$4:$B$2331,A119,'Planning Engine'!$A$4:$A$2331,"&lt;="&amp;_xlpm.stopSell),_xlpm.threshold,_xlpm.cumAtStop-H119,IF(_xlpm.threshold&lt;=0,_xlfn.AGGREGATE(15,6,'Planning Engine'!$A$4:$A$2331/('Planning Engine'!$B$4:$B$2331=A119),1),_xlfn.AGGREGATE(15,6,'Planning Engine'!$A$4:$A$2331/(('Planning Engine'!$B$4:$B$2331=A119)*('Planning Engine'!$AB$4:$AB$2331&gt;_xlpm.threshold)),1))),""),"")</f>
        <v/>
      </c>
      <c r="N119" s="459" t="str">
        <f ca="1">IF(M119="","",M119-TODAY())</f>
        <v/>
      </c>
    </row>
    <row r="120" spans="1:14" ht="14.25" customHeight="1" x14ac:dyDescent="0.35">
      <c r="A120" s="46"/>
      <c r="B120" s="46"/>
      <c r="C120" s="47"/>
      <c r="D120" s="48"/>
      <c r="E120" s="48"/>
      <c r="F120" s="49"/>
      <c r="G120" s="49"/>
      <c r="H120" s="108">
        <f t="shared" si="10"/>
        <v>0</v>
      </c>
      <c r="I120" s="109" t="str">
        <f t="shared" ca="1" si="11"/>
        <v/>
      </c>
      <c r="J120" s="110" t="str">
        <f t="shared" si="9"/>
        <v/>
      </c>
      <c r="K120" s="46"/>
      <c r="M120" s="463" t="str" cm="1">
        <f t="array" ref="M120">IF(AND(L120="On Hold",E120&lt;&gt;"",H120&gt;0),IFERROR(_xlfn.LET(_xlpm.stopSell,EDATE(E120,-'FEFO Analysis'!$B$4),_xlpm.cumAtStop,SUMIFS('Planning Engine'!$F$4:$F$2331,'Planning Engine'!$B$4:$B$2331,A120,'Planning Engine'!$A$4:$A$2331,"&lt;="&amp;_xlpm.stopSell),_xlpm.threshold,_xlpm.cumAtStop-H120,IF(_xlpm.threshold&lt;=0,_xlfn.AGGREGATE(15,6,'Planning Engine'!$A$4:$A$2331/('Planning Engine'!$B$4:$B$2331=A120),1),_xlfn.AGGREGATE(15,6,'Planning Engine'!$A$4:$A$2331/(('Planning Engine'!$B$4:$B$2331=A120)*('Planning Engine'!$AB$4:$AB$2331&gt;_xlpm.threshold)),1))),""),"")</f>
        <v/>
      </c>
      <c r="N120" s="459" t="str">
        <f ca="1">IF(M120="","",M120-TODAY())</f>
        <v/>
      </c>
    </row>
    <row r="121" spans="1:14" ht="14.25" customHeight="1" x14ac:dyDescent="0.35">
      <c r="A121" s="46"/>
      <c r="B121" s="46"/>
      <c r="C121" s="47"/>
      <c r="D121" s="48"/>
      <c r="E121" s="48"/>
      <c r="F121" s="49"/>
      <c r="G121" s="49"/>
      <c r="H121" s="108">
        <f t="shared" si="10"/>
        <v>0</v>
      </c>
      <c r="I121" s="109" t="str">
        <f t="shared" ca="1" si="11"/>
        <v/>
      </c>
      <c r="J121" s="110" t="str">
        <f t="shared" si="9"/>
        <v/>
      </c>
      <c r="K121" s="46"/>
      <c r="M121" s="463" t="str" cm="1">
        <f t="array" ref="M121">IF(AND(L121="On Hold",E121&lt;&gt;"",H121&gt;0),IFERROR(_xlfn.LET(_xlpm.stopSell,EDATE(E121,-'FEFO Analysis'!$B$4),_xlpm.cumAtStop,SUMIFS('Planning Engine'!$F$4:$F$2331,'Planning Engine'!$B$4:$B$2331,A121,'Planning Engine'!$A$4:$A$2331,"&lt;="&amp;_xlpm.stopSell),_xlpm.threshold,_xlpm.cumAtStop-H121,IF(_xlpm.threshold&lt;=0,_xlfn.AGGREGATE(15,6,'Planning Engine'!$A$4:$A$2331/('Planning Engine'!$B$4:$B$2331=A121),1),_xlfn.AGGREGATE(15,6,'Planning Engine'!$A$4:$A$2331/(('Planning Engine'!$B$4:$B$2331=A121)*('Planning Engine'!$AB$4:$AB$2331&gt;_xlpm.threshold)),1))),""),"")</f>
        <v/>
      </c>
      <c r="N121" s="459" t="str">
        <f ca="1">IF(M121="","",M121-TODAY())</f>
        <v/>
      </c>
    </row>
    <row r="122" spans="1:14" ht="14.25" customHeight="1" x14ac:dyDescent="0.35">
      <c r="A122" s="46"/>
      <c r="B122" s="46"/>
      <c r="C122" s="47"/>
      <c r="D122" s="48"/>
      <c r="E122" s="48"/>
      <c r="F122" s="49"/>
      <c r="G122" s="49"/>
      <c r="H122" s="108">
        <f t="shared" si="10"/>
        <v>0</v>
      </c>
      <c r="I122" s="109" t="str">
        <f t="shared" ca="1" si="11"/>
        <v/>
      </c>
      <c r="J122" s="110" t="str">
        <f t="shared" si="9"/>
        <v/>
      </c>
      <c r="K122" s="46"/>
      <c r="M122" s="463" t="str" cm="1">
        <f t="array" ref="M122">IF(AND(L122="On Hold",E122&lt;&gt;"",H122&gt;0),IFERROR(_xlfn.LET(_xlpm.stopSell,EDATE(E122,-'FEFO Analysis'!$B$4),_xlpm.cumAtStop,SUMIFS('Planning Engine'!$F$4:$F$2331,'Planning Engine'!$B$4:$B$2331,A122,'Planning Engine'!$A$4:$A$2331,"&lt;="&amp;_xlpm.stopSell),_xlpm.threshold,_xlpm.cumAtStop-H122,IF(_xlpm.threshold&lt;=0,_xlfn.AGGREGATE(15,6,'Planning Engine'!$A$4:$A$2331/('Planning Engine'!$B$4:$B$2331=A122),1),_xlfn.AGGREGATE(15,6,'Planning Engine'!$A$4:$A$2331/(('Planning Engine'!$B$4:$B$2331=A122)*('Planning Engine'!$AB$4:$AB$2331&gt;_xlpm.threshold)),1))),""),"")</f>
        <v/>
      </c>
      <c r="N122" s="459" t="str">
        <f ca="1">IF(M122="","",M122-TODAY())</f>
        <v/>
      </c>
    </row>
    <row r="123" spans="1:14" ht="14.25" customHeight="1" x14ac:dyDescent="0.35">
      <c r="A123" s="46"/>
      <c r="B123" s="46"/>
      <c r="C123" s="47"/>
      <c r="D123" s="48"/>
      <c r="E123" s="48"/>
      <c r="F123" s="49"/>
      <c r="G123" s="49"/>
      <c r="H123" s="108">
        <f t="shared" si="10"/>
        <v>0</v>
      </c>
      <c r="I123" s="109" t="str">
        <f t="shared" ca="1" si="11"/>
        <v/>
      </c>
      <c r="J123" s="110" t="str">
        <f t="shared" si="9"/>
        <v/>
      </c>
      <c r="K123" s="46"/>
      <c r="M123" s="463" t="str" cm="1">
        <f t="array" ref="M123">IF(AND(L123="On Hold",E123&lt;&gt;"",H123&gt;0),IFERROR(_xlfn.LET(_xlpm.stopSell,EDATE(E123,-'FEFO Analysis'!$B$4),_xlpm.cumAtStop,SUMIFS('Planning Engine'!$F$4:$F$2331,'Planning Engine'!$B$4:$B$2331,A123,'Planning Engine'!$A$4:$A$2331,"&lt;="&amp;_xlpm.stopSell),_xlpm.threshold,_xlpm.cumAtStop-H123,IF(_xlpm.threshold&lt;=0,_xlfn.AGGREGATE(15,6,'Planning Engine'!$A$4:$A$2331/('Planning Engine'!$B$4:$B$2331=A123),1),_xlfn.AGGREGATE(15,6,'Planning Engine'!$A$4:$A$2331/(('Planning Engine'!$B$4:$B$2331=A123)*('Planning Engine'!$AB$4:$AB$2331&gt;_xlpm.threshold)),1))),""),"")</f>
        <v/>
      </c>
      <c r="N123" s="459" t="str">
        <f ca="1">IF(M123="","",M123-TODAY())</f>
        <v/>
      </c>
    </row>
    <row r="124" spans="1:14" ht="14.25" customHeight="1" x14ac:dyDescent="0.35">
      <c r="A124" s="46"/>
      <c r="B124" s="46"/>
      <c r="C124" s="47"/>
      <c r="D124" s="48"/>
      <c r="E124" s="48"/>
      <c r="F124" s="49"/>
      <c r="G124" s="49"/>
      <c r="H124" s="108">
        <f t="shared" si="10"/>
        <v>0</v>
      </c>
      <c r="I124" s="109" t="str">
        <f t="shared" ca="1" si="11"/>
        <v/>
      </c>
      <c r="J124" s="110" t="str">
        <f t="shared" si="9"/>
        <v/>
      </c>
      <c r="K124" s="46"/>
      <c r="M124" s="463" t="str" cm="1">
        <f t="array" ref="M124">IF(AND(L124="On Hold",E124&lt;&gt;"",H124&gt;0),IFERROR(_xlfn.LET(_xlpm.stopSell,EDATE(E124,-'FEFO Analysis'!$B$4),_xlpm.cumAtStop,SUMIFS('Planning Engine'!$F$4:$F$2331,'Planning Engine'!$B$4:$B$2331,A124,'Planning Engine'!$A$4:$A$2331,"&lt;="&amp;_xlpm.stopSell),_xlpm.threshold,_xlpm.cumAtStop-H124,IF(_xlpm.threshold&lt;=0,_xlfn.AGGREGATE(15,6,'Planning Engine'!$A$4:$A$2331/('Planning Engine'!$B$4:$B$2331=A124),1),_xlfn.AGGREGATE(15,6,'Planning Engine'!$A$4:$A$2331/(('Planning Engine'!$B$4:$B$2331=A124)*('Planning Engine'!$AB$4:$AB$2331&gt;_xlpm.threshold)),1))),""),"")</f>
        <v/>
      </c>
      <c r="N124" s="459" t="str">
        <f ca="1">IF(M124="","",M124-TODAY())</f>
        <v/>
      </c>
    </row>
    <row r="125" spans="1:14" ht="14.25" customHeight="1" x14ac:dyDescent="0.35">
      <c r="A125" s="46"/>
      <c r="B125" s="46"/>
      <c r="C125" s="47"/>
      <c r="D125" s="48"/>
      <c r="E125" s="48"/>
      <c r="F125" s="49"/>
      <c r="G125" s="49"/>
      <c r="H125" s="108">
        <f t="shared" si="10"/>
        <v>0</v>
      </c>
      <c r="I125" s="109" t="str">
        <f t="shared" ca="1" si="11"/>
        <v/>
      </c>
      <c r="J125" s="110" t="str">
        <f t="shared" si="9"/>
        <v/>
      </c>
      <c r="K125" s="46"/>
      <c r="M125" s="463" t="str" cm="1">
        <f t="array" ref="M125">IF(AND(L125="On Hold",E125&lt;&gt;"",H125&gt;0),IFERROR(_xlfn.LET(_xlpm.stopSell,EDATE(E125,-'FEFO Analysis'!$B$4),_xlpm.cumAtStop,SUMIFS('Planning Engine'!$F$4:$F$2331,'Planning Engine'!$B$4:$B$2331,A125,'Planning Engine'!$A$4:$A$2331,"&lt;="&amp;_xlpm.stopSell),_xlpm.threshold,_xlpm.cumAtStop-H125,IF(_xlpm.threshold&lt;=0,_xlfn.AGGREGATE(15,6,'Planning Engine'!$A$4:$A$2331/('Planning Engine'!$B$4:$B$2331=A125),1),_xlfn.AGGREGATE(15,6,'Planning Engine'!$A$4:$A$2331/(('Planning Engine'!$B$4:$B$2331=A125)*('Planning Engine'!$AB$4:$AB$2331&gt;_xlpm.threshold)),1))),""),"")</f>
        <v/>
      </c>
      <c r="N125" s="459" t="str">
        <f ca="1">IF(M125="","",M125-TODAY())</f>
        <v/>
      </c>
    </row>
    <row r="126" spans="1:14" ht="14.25" customHeight="1" x14ac:dyDescent="0.35">
      <c r="A126" s="46"/>
      <c r="B126" s="46"/>
      <c r="C126" s="47"/>
      <c r="D126" s="48"/>
      <c r="E126" s="48"/>
      <c r="F126" s="49"/>
      <c r="G126" s="49"/>
      <c r="H126" s="108">
        <f t="shared" si="10"/>
        <v>0</v>
      </c>
      <c r="I126" s="109" t="str">
        <f t="shared" ca="1" si="11"/>
        <v/>
      </c>
      <c r="J126" s="110" t="str">
        <f t="shared" si="9"/>
        <v/>
      </c>
      <c r="K126" s="46"/>
      <c r="M126" s="463" t="str" cm="1">
        <f t="array" ref="M126">IF(AND(L126="On Hold",E126&lt;&gt;"",H126&gt;0),IFERROR(_xlfn.LET(_xlpm.stopSell,EDATE(E126,-'FEFO Analysis'!$B$4),_xlpm.cumAtStop,SUMIFS('Planning Engine'!$F$4:$F$2331,'Planning Engine'!$B$4:$B$2331,A126,'Planning Engine'!$A$4:$A$2331,"&lt;="&amp;_xlpm.stopSell),_xlpm.threshold,_xlpm.cumAtStop-H126,IF(_xlpm.threshold&lt;=0,_xlfn.AGGREGATE(15,6,'Planning Engine'!$A$4:$A$2331/('Planning Engine'!$B$4:$B$2331=A126),1),_xlfn.AGGREGATE(15,6,'Planning Engine'!$A$4:$A$2331/(('Planning Engine'!$B$4:$B$2331=A126)*('Planning Engine'!$AB$4:$AB$2331&gt;_xlpm.threshold)),1))),""),"")</f>
        <v/>
      </c>
      <c r="N126" s="459" t="str">
        <f ca="1">IF(M126="","",M126-TODAY())</f>
        <v/>
      </c>
    </row>
    <row r="127" spans="1:14" ht="14.25" customHeight="1" x14ac:dyDescent="0.35">
      <c r="A127" s="46"/>
      <c r="B127" s="46"/>
      <c r="C127" s="47"/>
      <c r="D127" s="48"/>
      <c r="E127" s="48"/>
      <c r="F127" s="49"/>
      <c r="G127" s="49"/>
      <c r="H127" s="108">
        <f t="shared" si="10"/>
        <v>0</v>
      </c>
      <c r="I127" s="109" t="str">
        <f t="shared" ca="1" si="11"/>
        <v/>
      </c>
      <c r="J127" s="110" t="str">
        <f t="shared" si="9"/>
        <v/>
      </c>
      <c r="K127" s="46"/>
      <c r="M127" s="463" t="str" cm="1">
        <f t="array" ref="M127">IF(AND(L127="On Hold",E127&lt;&gt;"",H127&gt;0),IFERROR(_xlfn.LET(_xlpm.stopSell,EDATE(E127,-'FEFO Analysis'!$B$4),_xlpm.cumAtStop,SUMIFS('Planning Engine'!$F$4:$F$2331,'Planning Engine'!$B$4:$B$2331,A127,'Planning Engine'!$A$4:$A$2331,"&lt;="&amp;_xlpm.stopSell),_xlpm.threshold,_xlpm.cumAtStop-H127,IF(_xlpm.threshold&lt;=0,_xlfn.AGGREGATE(15,6,'Planning Engine'!$A$4:$A$2331/('Planning Engine'!$B$4:$B$2331=A127),1),_xlfn.AGGREGATE(15,6,'Planning Engine'!$A$4:$A$2331/(('Planning Engine'!$B$4:$B$2331=A127)*('Planning Engine'!$AB$4:$AB$2331&gt;_xlpm.threshold)),1))),""),"")</f>
        <v/>
      </c>
      <c r="N127" s="459" t="str">
        <f ca="1">IF(M127="","",M127-TODAY())</f>
        <v/>
      </c>
    </row>
    <row r="128" spans="1:14" ht="14.25" customHeight="1" x14ac:dyDescent="0.35">
      <c r="A128" s="46"/>
      <c r="B128" s="46"/>
      <c r="C128" s="47"/>
      <c r="D128" s="48"/>
      <c r="E128" s="48"/>
      <c r="F128" s="49"/>
      <c r="G128" s="49"/>
      <c r="H128" s="108">
        <f t="shared" si="10"/>
        <v>0</v>
      </c>
      <c r="I128" s="109" t="str">
        <f t="shared" ca="1" si="11"/>
        <v/>
      </c>
      <c r="J128" s="110" t="str">
        <f t="shared" si="9"/>
        <v/>
      </c>
      <c r="K128" s="46"/>
      <c r="M128" s="463" t="str" cm="1">
        <f t="array" ref="M128">IF(AND(L128="On Hold",E128&lt;&gt;"",H128&gt;0),IFERROR(_xlfn.LET(_xlpm.stopSell,EDATE(E128,-'FEFO Analysis'!$B$4),_xlpm.cumAtStop,SUMIFS('Planning Engine'!$F$4:$F$2331,'Planning Engine'!$B$4:$B$2331,A128,'Planning Engine'!$A$4:$A$2331,"&lt;="&amp;_xlpm.stopSell),_xlpm.threshold,_xlpm.cumAtStop-H128,IF(_xlpm.threshold&lt;=0,_xlfn.AGGREGATE(15,6,'Planning Engine'!$A$4:$A$2331/('Planning Engine'!$B$4:$B$2331=A128),1),_xlfn.AGGREGATE(15,6,'Planning Engine'!$A$4:$A$2331/(('Planning Engine'!$B$4:$B$2331=A128)*('Planning Engine'!$AB$4:$AB$2331&gt;_xlpm.threshold)),1))),""),"")</f>
        <v/>
      </c>
      <c r="N128" s="459" t="str">
        <f ca="1">IF(M128="","",M128-TODAY())</f>
        <v/>
      </c>
    </row>
    <row r="129" spans="1:14" ht="14.25" customHeight="1" x14ac:dyDescent="0.35">
      <c r="A129" s="46"/>
      <c r="B129" s="46"/>
      <c r="C129" s="47"/>
      <c r="D129" s="48"/>
      <c r="E129" s="48"/>
      <c r="F129" s="49"/>
      <c r="G129" s="49"/>
      <c r="H129" s="108">
        <f t="shared" si="10"/>
        <v>0</v>
      </c>
      <c r="I129" s="109" t="str">
        <f t="shared" ca="1" si="11"/>
        <v/>
      </c>
      <c r="J129" s="110" t="str">
        <f t="shared" si="9"/>
        <v/>
      </c>
      <c r="K129" s="46"/>
      <c r="M129" s="463" t="str" cm="1">
        <f t="array" ref="M129">IF(AND(L129="On Hold",E129&lt;&gt;"",H129&gt;0),IFERROR(_xlfn.LET(_xlpm.stopSell,EDATE(E129,-'FEFO Analysis'!$B$4),_xlpm.cumAtStop,SUMIFS('Planning Engine'!$F$4:$F$2331,'Planning Engine'!$B$4:$B$2331,A129,'Planning Engine'!$A$4:$A$2331,"&lt;="&amp;_xlpm.stopSell),_xlpm.threshold,_xlpm.cumAtStop-H129,IF(_xlpm.threshold&lt;=0,_xlfn.AGGREGATE(15,6,'Planning Engine'!$A$4:$A$2331/('Planning Engine'!$B$4:$B$2331=A129),1),_xlfn.AGGREGATE(15,6,'Planning Engine'!$A$4:$A$2331/(('Planning Engine'!$B$4:$B$2331=A129)*('Planning Engine'!$AB$4:$AB$2331&gt;_xlpm.threshold)),1))),""),"")</f>
        <v/>
      </c>
      <c r="N129" s="459" t="str">
        <f ca="1">IF(M129="","",M129-TODAY())</f>
        <v/>
      </c>
    </row>
    <row r="130" spans="1:14" ht="14.25" customHeight="1" x14ac:dyDescent="0.35">
      <c r="A130" s="46"/>
      <c r="B130" s="46"/>
      <c r="C130" s="47"/>
      <c r="D130" s="48"/>
      <c r="E130" s="48"/>
      <c r="F130" s="49"/>
      <c r="G130" s="49"/>
      <c r="H130" s="108">
        <f t="shared" si="10"/>
        <v>0</v>
      </c>
      <c r="I130" s="109" t="str">
        <f t="shared" ca="1" si="11"/>
        <v/>
      </c>
      <c r="J130" s="110" t="str">
        <f t="shared" si="9"/>
        <v/>
      </c>
      <c r="K130" s="46"/>
      <c r="M130" s="463" t="str" cm="1">
        <f t="array" ref="M130">IF(AND(L130="On Hold",E130&lt;&gt;"",H130&gt;0),IFERROR(_xlfn.LET(_xlpm.stopSell,EDATE(E130,-'FEFO Analysis'!$B$4),_xlpm.cumAtStop,SUMIFS('Planning Engine'!$F$4:$F$2331,'Planning Engine'!$B$4:$B$2331,A130,'Planning Engine'!$A$4:$A$2331,"&lt;="&amp;_xlpm.stopSell),_xlpm.threshold,_xlpm.cumAtStop-H130,IF(_xlpm.threshold&lt;=0,_xlfn.AGGREGATE(15,6,'Planning Engine'!$A$4:$A$2331/('Planning Engine'!$B$4:$B$2331=A130),1),_xlfn.AGGREGATE(15,6,'Planning Engine'!$A$4:$A$2331/(('Planning Engine'!$B$4:$B$2331=A130)*('Planning Engine'!$AB$4:$AB$2331&gt;_xlpm.threshold)),1))),""),"")</f>
        <v/>
      </c>
      <c r="N130" s="459" t="str">
        <f ca="1">IF(M130="","",M130-TODAY())</f>
        <v/>
      </c>
    </row>
    <row r="131" spans="1:14" ht="14.25" customHeight="1" x14ac:dyDescent="0.35">
      <c r="A131" s="46"/>
      <c r="B131" s="46"/>
      <c r="C131" s="47"/>
      <c r="D131" s="48"/>
      <c r="E131" s="48"/>
      <c r="F131" s="49"/>
      <c r="G131" s="49"/>
      <c r="H131" s="108">
        <f t="shared" si="10"/>
        <v>0</v>
      </c>
      <c r="I131" s="109" t="str">
        <f t="shared" ca="1" si="11"/>
        <v/>
      </c>
      <c r="J131" s="110" t="str">
        <f t="shared" si="9"/>
        <v/>
      </c>
      <c r="K131" s="46"/>
      <c r="M131" s="463" t="str" cm="1">
        <f t="array" ref="M131">IF(AND(L131="On Hold",E131&lt;&gt;"",H131&gt;0),IFERROR(_xlfn.LET(_xlpm.stopSell,EDATE(E131,-'FEFO Analysis'!$B$4),_xlpm.cumAtStop,SUMIFS('Planning Engine'!$F$4:$F$2331,'Planning Engine'!$B$4:$B$2331,A131,'Planning Engine'!$A$4:$A$2331,"&lt;="&amp;_xlpm.stopSell),_xlpm.threshold,_xlpm.cumAtStop-H131,IF(_xlpm.threshold&lt;=0,_xlfn.AGGREGATE(15,6,'Planning Engine'!$A$4:$A$2331/('Planning Engine'!$B$4:$B$2331=A131),1),_xlfn.AGGREGATE(15,6,'Planning Engine'!$A$4:$A$2331/(('Planning Engine'!$B$4:$B$2331=A131)*('Planning Engine'!$AB$4:$AB$2331&gt;_xlpm.threshold)),1))),""),"")</f>
        <v/>
      </c>
      <c r="N131" s="459" t="str">
        <f ca="1">IF(M131="","",M131-TODAY())</f>
        <v/>
      </c>
    </row>
    <row r="132" spans="1:14" ht="14.25" customHeight="1" x14ac:dyDescent="0.35">
      <c r="A132" s="46"/>
      <c r="B132" s="46"/>
      <c r="C132" s="47"/>
      <c r="D132" s="48"/>
      <c r="E132" s="48"/>
      <c r="F132" s="49"/>
      <c r="G132" s="49"/>
      <c r="H132" s="50">
        <v>0</v>
      </c>
      <c r="I132" s="51"/>
      <c r="J132" s="110" t="str">
        <f t="shared" si="9"/>
        <v/>
      </c>
      <c r="K132" s="46"/>
      <c r="M132" s="463" t="str" cm="1">
        <f t="array" ref="M132">IF(AND(L132="On Hold",E132&lt;&gt;"",H132&gt;0),IFERROR(_xlfn.LET(_xlpm.stopSell,EDATE(E132,-'FEFO Analysis'!$B$4),_xlpm.cumAtStop,SUMIFS('Planning Engine'!$F$4:$F$2331,'Planning Engine'!$B$4:$B$2331,A132,'Planning Engine'!$A$4:$A$2331,"&lt;="&amp;_xlpm.stopSell),_xlpm.threshold,_xlpm.cumAtStop-H132,IF(_xlpm.threshold&lt;=0,_xlfn.AGGREGATE(15,6,'Planning Engine'!$A$4:$A$2331/('Planning Engine'!$B$4:$B$2331=A132),1),_xlfn.AGGREGATE(15,6,'Planning Engine'!$A$4:$A$2331/(('Planning Engine'!$B$4:$B$2331=A132)*('Planning Engine'!$AB$4:$AB$2331&gt;_xlpm.threshold)),1))),""),"")</f>
        <v/>
      </c>
      <c r="N132" s="459" t="str">
        <f ca="1">IF(M132="","",M132-TODAY())</f>
        <v/>
      </c>
    </row>
    <row r="133" spans="1:14" ht="14.25" customHeight="1" x14ac:dyDescent="0.35">
      <c r="A133" s="46"/>
      <c r="B133" s="46"/>
      <c r="C133" s="47"/>
      <c r="D133" s="48"/>
      <c r="E133" s="48"/>
      <c r="F133" s="49"/>
      <c r="G133" s="49"/>
      <c r="H133" s="50">
        <v>0</v>
      </c>
      <c r="I133" s="51"/>
      <c r="J133" s="110" t="str">
        <f t="shared" si="9"/>
        <v/>
      </c>
      <c r="K133" s="46"/>
      <c r="M133" s="463" t="str" cm="1">
        <f t="array" ref="M133">IF(AND(L133="On Hold",E133&lt;&gt;"",H133&gt;0),IFERROR(_xlfn.LET(_xlpm.stopSell,EDATE(E133,-'FEFO Analysis'!$B$4),_xlpm.cumAtStop,SUMIFS('Planning Engine'!$F$4:$F$2331,'Planning Engine'!$B$4:$B$2331,A133,'Planning Engine'!$A$4:$A$2331,"&lt;="&amp;_xlpm.stopSell),_xlpm.threshold,_xlpm.cumAtStop-H133,IF(_xlpm.threshold&lt;=0,_xlfn.AGGREGATE(15,6,'Planning Engine'!$A$4:$A$2331/('Planning Engine'!$B$4:$B$2331=A133),1),_xlfn.AGGREGATE(15,6,'Planning Engine'!$A$4:$A$2331/(('Planning Engine'!$B$4:$B$2331=A133)*('Planning Engine'!$AB$4:$AB$2331&gt;_xlpm.threshold)),1))),""),"")</f>
        <v/>
      </c>
      <c r="N133" s="459" t="str">
        <f ca="1">IF(M133="","",M133-TODAY())</f>
        <v/>
      </c>
    </row>
    <row r="134" spans="1:14" ht="14.25" customHeight="1" x14ac:dyDescent="0.35">
      <c r="A134" s="46"/>
      <c r="B134" s="46"/>
      <c r="C134" s="47"/>
      <c r="D134" s="48"/>
      <c r="E134" s="48"/>
      <c r="F134" s="49"/>
      <c r="G134" s="49"/>
      <c r="H134" s="50">
        <v>0</v>
      </c>
      <c r="I134" s="51"/>
      <c r="J134" s="110" t="str">
        <f t="shared" ref="J134:J197" si="12">IF(E134&lt;&gt;"",E134+ROW()/1000000,"")</f>
        <v/>
      </c>
      <c r="K134" s="46"/>
      <c r="M134" s="463" t="str" cm="1">
        <f t="array" ref="M134">IF(AND(L134="On Hold",E134&lt;&gt;"",H134&gt;0),IFERROR(_xlfn.LET(_xlpm.stopSell,EDATE(E134,-'FEFO Analysis'!$B$4),_xlpm.cumAtStop,SUMIFS('Planning Engine'!$F$4:$F$2331,'Planning Engine'!$B$4:$B$2331,A134,'Planning Engine'!$A$4:$A$2331,"&lt;="&amp;_xlpm.stopSell),_xlpm.threshold,_xlpm.cumAtStop-H134,IF(_xlpm.threshold&lt;=0,_xlfn.AGGREGATE(15,6,'Planning Engine'!$A$4:$A$2331/('Planning Engine'!$B$4:$B$2331=A134),1),_xlfn.AGGREGATE(15,6,'Planning Engine'!$A$4:$A$2331/(('Planning Engine'!$B$4:$B$2331=A134)*('Planning Engine'!$AB$4:$AB$2331&gt;_xlpm.threshold)),1))),""),"")</f>
        <v/>
      </c>
      <c r="N134" s="459" t="str">
        <f ca="1">IF(M134="","",M134-TODAY())</f>
        <v/>
      </c>
    </row>
    <row r="135" spans="1:14" ht="14.25" customHeight="1" x14ac:dyDescent="0.35">
      <c r="A135" s="46"/>
      <c r="B135" s="46"/>
      <c r="C135" s="47"/>
      <c r="D135" s="48"/>
      <c r="E135" s="48"/>
      <c r="F135" s="49"/>
      <c r="G135" s="49"/>
      <c r="H135" s="50">
        <v>0</v>
      </c>
      <c r="I135" s="51"/>
      <c r="J135" s="110" t="str">
        <f t="shared" si="12"/>
        <v/>
      </c>
      <c r="K135" s="46"/>
      <c r="M135" s="463" t="str" cm="1">
        <f t="array" ref="M135">IF(AND(L135="On Hold",E135&lt;&gt;"",H135&gt;0),IFERROR(_xlfn.LET(_xlpm.stopSell,EDATE(E135,-'FEFO Analysis'!$B$4),_xlpm.cumAtStop,SUMIFS('Planning Engine'!$F$4:$F$2331,'Planning Engine'!$B$4:$B$2331,A135,'Planning Engine'!$A$4:$A$2331,"&lt;="&amp;_xlpm.stopSell),_xlpm.threshold,_xlpm.cumAtStop-H135,IF(_xlpm.threshold&lt;=0,_xlfn.AGGREGATE(15,6,'Planning Engine'!$A$4:$A$2331/('Planning Engine'!$B$4:$B$2331=A135),1),_xlfn.AGGREGATE(15,6,'Planning Engine'!$A$4:$A$2331/(('Planning Engine'!$B$4:$B$2331=A135)*('Planning Engine'!$AB$4:$AB$2331&gt;_xlpm.threshold)),1))),""),"")</f>
        <v/>
      </c>
      <c r="N135" s="459" t="str">
        <f ca="1">IF(M135="","",M135-TODAY())</f>
        <v/>
      </c>
    </row>
    <row r="136" spans="1:14" ht="14.25" customHeight="1" x14ac:dyDescent="0.35">
      <c r="A136" s="46"/>
      <c r="B136" s="46"/>
      <c r="C136" s="47"/>
      <c r="D136" s="48"/>
      <c r="E136" s="48"/>
      <c r="F136" s="49"/>
      <c r="G136" s="49"/>
      <c r="H136" s="50">
        <v>0</v>
      </c>
      <c r="I136" s="51"/>
      <c r="J136" s="110" t="str">
        <f t="shared" si="12"/>
        <v/>
      </c>
      <c r="K136" s="46"/>
      <c r="M136" s="463" t="str" cm="1">
        <f t="array" ref="M136">IF(AND(L136="On Hold",E136&lt;&gt;"",H136&gt;0),IFERROR(_xlfn.LET(_xlpm.stopSell,EDATE(E136,-'FEFO Analysis'!$B$4),_xlpm.cumAtStop,SUMIFS('Planning Engine'!$F$4:$F$2331,'Planning Engine'!$B$4:$B$2331,A136,'Planning Engine'!$A$4:$A$2331,"&lt;="&amp;_xlpm.stopSell),_xlpm.threshold,_xlpm.cumAtStop-H136,IF(_xlpm.threshold&lt;=0,_xlfn.AGGREGATE(15,6,'Planning Engine'!$A$4:$A$2331/('Planning Engine'!$B$4:$B$2331=A136),1),_xlfn.AGGREGATE(15,6,'Planning Engine'!$A$4:$A$2331/(('Planning Engine'!$B$4:$B$2331=A136)*('Planning Engine'!$AB$4:$AB$2331&gt;_xlpm.threshold)),1))),""),"")</f>
        <v/>
      </c>
      <c r="N136" s="459" t="str">
        <f ca="1">IF(M136="","",M136-TODAY())</f>
        <v/>
      </c>
    </row>
    <row r="137" spans="1:14" ht="14.25" customHeight="1" x14ac:dyDescent="0.35">
      <c r="A137" s="46"/>
      <c r="B137" s="46"/>
      <c r="C137" s="47"/>
      <c r="D137" s="48"/>
      <c r="E137" s="48"/>
      <c r="F137" s="49"/>
      <c r="G137" s="49"/>
      <c r="H137" s="50">
        <v>0</v>
      </c>
      <c r="I137" s="51"/>
      <c r="J137" s="110" t="str">
        <f t="shared" si="12"/>
        <v/>
      </c>
      <c r="K137" s="46"/>
      <c r="M137" s="463" t="str" cm="1">
        <f t="array" ref="M137">IF(AND(L137="On Hold",E137&lt;&gt;"",H137&gt;0),IFERROR(_xlfn.LET(_xlpm.stopSell,EDATE(E137,-'FEFO Analysis'!$B$4),_xlpm.cumAtStop,SUMIFS('Planning Engine'!$F$4:$F$2331,'Planning Engine'!$B$4:$B$2331,A137,'Planning Engine'!$A$4:$A$2331,"&lt;="&amp;_xlpm.stopSell),_xlpm.threshold,_xlpm.cumAtStop-H137,IF(_xlpm.threshold&lt;=0,_xlfn.AGGREGATE(15,6,'Planning Engine'!$A$4:$A$2331/('Planning Engine'!$B$4:$B$2331=A137),1),_xlfn.AGGREGATE(15,6,'Planning Engine'!$A$4:$A$2331/(('Planning Engine'!$B$4:$B$2331=A137)*('Planning Engine'!$AB$4:$AB$2331&gt;_xlpm.threshold)),1))),""),"")</f>
        <v/>
      </c>
      <c r="N137" s="459" t="str">
        <f ca="1">IF(M137="","",M137-TODAY())</f>
        <v/>
      </c>
    </row>
    <row r="138" spans="1:14" ht="14.25" customHeight="1" x14ac:dyDescent="0.35">
      <c r="A138" s="46"/>
      <c r="B138" s="46"/>
      <c r="C138" s="47"/>
      <c r="D138" s="48"/>
      <c r="E138" s="48"/>
      <c r="F138" s="49"/>
      <c r="G138" s="49"/>
      <c r="H138" s="50">
        <v>0</v>
      </c>
      <c r="I138" s="51"/>
      <c r="J138" s="110" t="str">
        <f t="shared" si="12"/>
        <v/>
      </c>
      <c r="K138" s="46"/>
      <c r="M138" s="463" t="str" cm="1">
        <f t="array" ref="M138">IF(AND(L138="On Hold",E138&lt;&gt;"",H138&gt;0),IFERROR(_xlfn.LET(_xlpm.stopSell,EDATE(E138,-'FEFO Analysis'!$B$4),_xlpm.cumAtStop,SUMIFS('Planning Engine'!$F$4:$F$2331,'Planning Engine'!$B$4:$B$2331,A138,'Planning Engine'!$A$4:$A$2331,"&lt;="&amp;_xlpm.stopSell),_xlpm.threshold,_xlpm.cumAtStop-H138,IF(_xlpm.threshold&lt;=0,_xlfn.AGGREGATE(15,6,'Planning Engine'!$A$4:$A$2331/('Planning Engine'!$B$4:$B$2331=A138),1),_xlfn.AGGREGATE(15,6,'Planning Engine'!$A$4:$A$2331/(('Planning Engine'!$B$4:$B$2331=A138)*('Planning Engine'!$AB$4:$AB$2331&gt;_xlpm.threshold)),1))),""),"")</f>
        <v/>
      </c>
      <c r="N138" s="459" t="str">
        <f ca="1">IF(M138="","",M138-TODAY())</f>
        <v/>
      </c>
    </row>
    <row r="139" spans="1:14" ht="14.25" customHeight="1" x14ac:dyDescent="0.35">
      <c r="A139" s="46"/>
      <c r="B139" s="46"/>
      <c r="C139" s="47"/>
      <c r="D139" s="48"/>
      <c r="E139" s="48"/>
      <c r="F139" s="49"/>
      <c r="G139" s="49"/>
      <c r="H139" s="50">
        <v>0</v>
      </c>
      <c r="I139" s="51"/>
      <c r="J139" s="110" t="str">
        <f t="shared" si="12"/>
        <v/>
      </c>
      <c r="K139" s="46"/>
      <c r="M139" s="463" t="str" cm="1">
        <f t="array" ref="M139">IF(AND(L139="On Hold",E139&lt;&gt;"",H139&gt;0),IFERROR(_xlfn.LET(_xlpm.stopSell,EDATE(E139,-'FEFO Analysis'!$B$4),_xlpm.cumAtStop,SUMIFS('Planning Engine'!$F$4:$F$2331,'Planning Engine'!$B$4:$B$2331,A139,'Planning Engine'!$A$4:$A$2331,"&lt;="&amp;_xlpm.stopSell),_xlpm.threshold,_xlpm.cumAtStop-H139,IF(_xlpm.threshold&lt;=0,_xlfn.AGGREGATE(15,6,'Planning Engine'!$A$4:$A$2331/('Planning Engine'!$B$4:$B$2331=A139),1),_xlfn.AGGREGATE(15,6,'Planning Engine'!$A$4:$A$2331/(('Planning Engine'!$B$4:$B$2331=A139)*('Planning Engine'!$AB$4:$AB$2331&gt;_xlpm.threshold)),1))),""),"")</f>
        <v/>
      </c>
      <c r="N139" s="459" t="str">
        <f ca="1">IF(M139="","",M139-TODAY())</f>
        <v/>
      </c>
    </row>
    <row r="140" spans="1:14" ht="14.25" customHeight="1" x14ac:dyDescent="0.35">
      <c r="A140" s="46"/>
      <c r="B140" s="46"/>
      <c r="C140" s="47"/>
      <c r="D140" s="48"/>
      <c r="E140" s="48"/>
      <c r="F140" s="49"/>
      <c r="G140" s="49"/>
      <c r="H140" s="50">
        <v>0</v>
      </c>
      <c r="I140" s="51"/>
      <c r="J140" s="110" t="str">
        <f t="shared" si="12"/>
        <v/>
      </c>
      <c r="K140" s="46"/>
      <c r="M140" s="463" t="str" cm="1">
        <f t="array" ref="M140">IF(AND(L140="On Hold",E140&lt;&gt;"",H140&gt;0),IFERROR(_xlfn.LET(_xlpm.stopSell,EDATE(E140,-'FEFO Analysis'!$B$4),_xlpm.cumAtStop,SUMIFS('Planning Engine'!$F$4:$F$2331,'Planning Engine'!$B$4:$B$2331,A140,'Planning Engine'!$A$4:$A$2331,"&lt;="&amp;_xlpm.stopSell),_xlpm.threshold,_xlpm.cumAtStop-H140,IF(_xlpm.threshold&lt;=0,_xlfn.AGGREGATE(15,6,'Planning Engine'!$A$4:$A$2331/('Planning Engine'!$B$4:$B$2331=A140),1),_xlfn.AGGREGATE(15,6,'Planning Engine'!$A$4:$A$2331/(('Planning Engine'!$B$4:$B$2331=A140)*('Planning Engine'!$AB$4:$AB$2331&gt;_xlpm.threshold)),1))),""),"")</f>
        <v/>
      </c>
      <c r="N140" s="459" t="str">
        <f ca="1">IF(M140="","",M140-TODAY())</f>
        <v/>
      </c>
    </row>
    <row r="141" spans="1:14" ht="14.25" customHeight="1" x14ac:dyDescent="0.35">
      <c r="A141" s="46"/>
      <c r="B141" s="46"/>
      <c r="C141" s="47"/>
      <c r="D141" s="48"/>
      <c r="E141" s="48"/>
      <c r="F141" s="49"/>
      <c r="G141" s="49"/>
      <c r="H141" s="50">
        <v>0</v>
      </c>
      <c r="I141" s="51"/>
      <c r="J141" s="110" t="str">
        <f t="shared" si="12"/>
        <v/>
      </c>
      <c r="K141" s="46"/>
      <c r="M141" s="463" t="str" cm="1">
        <f t="array" ref="M141">IF(AND(L141="On Hold",E141&lt;&gt;"",H141&gt;0),IFERROR(_xlfn.LET(_xlpm.stopSell,EDATE(E141,-'FEFO Analysis'!$B$4),_xlpm.cumAtStop,SUMIFS('Planning Engine'!$F$4:$F$2331,'Planning Engine'!$B$4:$B$2331,A141,'Planning Engine'!$A$4:$A$2331,"&lt;="&amp;_xlpm.stopSell),_xlpm.threshold,_xlpm.cumAtStop-H141,IF(_xlpm.threshold&lt;=0,_xlfn.AGGREGATE(15,6,'Planning Engine'!$A$4:$A$2331/('Planning Engine'!$B$4:$B$2331=A141),1),_xlfn.AGGREGATE(15,6,'Planning Engine'!$A$4:$A$2331/(('Planning Engine'!$B$4:$B$2331=A141)*('Planning Engine'!$AB$4:$AB$2331&gt;_xlpm.threshold)),1))),""),"")</f>
        <v/>
      </c>
      <c r="N141" s="459" t="str">
        <f ca="1">IF(M141="","",M141-TODAY())</f>
        <v/>
      </c>
    </row>
    <row r="142" spans="1:14" ht="14.25" customHeight="1" x14ac:dyDescent="0.35">
      <c r="A142" s="46"/>
      <c r="B142" s="46"/>
      <c r="C142" s="47"/>
      <c r="D142" s="48"/>
      <c r="E142" s="48"/>
      <c r="F142" s="49"/>
      <c r="G142" s="49"/>
      <c r="H142" s="50">
        <v>0</v>
      </c>
      <c r="I142" s="51"/>
      <c r="J142" s="110" t="str">
        <f t="shared" si="12"/>
        <v/>
      </c>
      <c r="K142" s="46"/>
      <c r="M142" s="463" t="str" cm="1">
        <f t="array" ref="M142">IF(AND(L142="On Hold",E142&lt;&gt;"",H142&gt;0),IFERROR(_xlfn.LET(_xlpm.stopSell,EDATE(E142,-'FEFO Analysis'!$B$4),_xlpm.cumAtStop,SUMIFS('Planning Engine'!$F$4:$F$2331,'Planning Engine'!$B$4:$B$2331,A142,'Planning Engine'!$A$4:$A$2331,"&lt;="&amp;_xlpm.stopSell),_xlpm.threshold,_xlpm.cumAtStop-H142,IF(_xlpm.threshold&lt;=0,_xlfn.AGGREGATE(15,6,'Planning Engine'!$A$4:$A$2331/('Planning Engine'!$B$4:$B$2331=A142),1),_xlfn.AGGREGATE(15,6,'Planning Engine'!$A$4:$A$2331/(('Planning Engine'!$B$4:$B$2331=A142)*('Planning Engine'!$AB$4:$AB$2331&gt;_xlpm.threshold)),1))),""),"")</f>
        <v/>
      </c>
      <c r="N142" s="459" t="str">
        <f ca="1">IF(M142="","",M142-TODAY())</f>
        <v/>
      </c>
    </row>
    <row r="143" spans="1:14" ht="14.25" customHeight="1" x14ac:dyDescent="0.35">
      <c r="A143" s="46"/>
      <c r="B143" s="46"/>
      <c r="C143" s="47"/>
      <c r="D143" s="48"/>
      <c r="E143" s="48"/>
      <c r="F143" s="49"/>
      <c r="G143" s="49"/>
      <c r="H143" s="50">
        <v>0</v>
      </c>
      <c r="I143" s="51"/>
      <c r="J143" s="110" t="str">
        <f t="shared" si="12"/>
        <v/>
      </c>
      <c r="K143" s="46"/>
      <c r="M143" s="463" t="str" cm="1">
        <f t="array" ref="M143">IF(AND(L143="On Hold",E143&lt;&gt;"",H143&gt;0),IFERROR(_xlfn.LET(_xlpm.stopSell,EDATE(E143,-'FEFO Analysis'!$B$4),_xlpm.cumAtStop,SUMIFS('Planning Engine'!$F$4:$F$2331,'Planning Engine'!$B$4:$B$2331,A143,'Planning Engine'!$A$4:$A$2331,"&lt;="&amp;_xlpm.stopSell),_xlpm.threshold,_xlpm.cumAtStop-H143,IF(_xlpm.threshold&lt;=0,_xlfn.AGGREGATE(15,6,'Planning Engine'!$A$4:$A$2331/('Planning Engine'!$B$4:$B$2331=A143),1),_xlfn.AGGREGATE(15,6,'Planning Engine'!$A$4:$A$2331/(('Planning Engine'!$B$4:$B$2331=A143)*('Planning Engine'!$AB$4:$AB$2331&gt;_xlpm.threshold)),1))),""),"")</f>
        <v/>
      </c>
      <c r="N143" s="459" t="str">
        <f ca="1">IF(M143="","",M143-TODAY())</f>
        <v/>
      </c>
    </row>
    <row r="144" spans="1:14" ht="14.25" customHeight="1" x14ac:dyDescent="0.35">
      <c r="A144" s="46"/>
      <c r="B144" s="46"/>
      <c r="C144" s="47"/>
      <c r="D144" s="48"/>
      <c r="E144" s="48"/>
      <c r="F144" s="49"/>
      <c r="G144" s="49"/>
      <c r="H144" s="50">
        <v>0</v>
      </c>
      <c r="I144" s="51"/>
      <c r="J144" s="110" t="str">
        <f t="shared" si="12"/>
        <v/>
      </c>
      <c r="K144" s="46"/>
      <c r="M144" s="463" t="str" cm="1">
        <f t="array" ref="M144">IF(AND(L144="On Hold",E144&lt;&gt;"",H144&gt;0),IFERROR(_xlfn.LET(_xlpm.stopSell,EDATE(E144,-'FEFO Analysis'!$B$4),_xlpm.cumAtStop,SUMIFS('Planning Engine'!$F$4:$F$2331,'Planning Engine'!$B$4:$B$2331,A144,'Planning Engine'!$A$4:$A$2331,"&lt;="&amp;_xlpm.stopSell),_xlpm.threshold,_xlpm.cumAtStop-H144,IF(_xlpm.threshold&lt;=0,_xlfn.AGGREGATE(15,6,'Planning Engine'!$A$4:$A$2331/('Planning Engine'!$B$4:$B$2331=A144),1),_xlfn.AGGREGATE(15,6,'Planning Engine'!$A$4:$A$2331/(('Planning Engine'!$B$4:$B$2331=A144)*('Planning Engine'!$AB$4:$AB$2331&gt;_xlpm.threshold)),1))),""),"")</f>
        <v/>
      </c>
      <c r="N144" s="459" t="str">
        <f ca="1">IF(M144="","",M144-TODAY())</f>
        <v/>
      </c>
    </row>
    <row r="145" spans="1:14" ht="14.25" customHeight="1" x14ac:dyDescent="0.35">
      <c r="A145" s="46"/>
      <c r="B145" s="46"/>
      <c r="C145" s="47"/>
      <c r="D145" s="48"/>
      <c r="E145" s="48"/>
      <c r="F145" s="49"/>
      <c r="G145" s="49"/>
      <c r="H145" s="50">
        <v>0</v>
      </c>
      <c r="I145" s="51"/>
      <c r="J145" s="110" t="str">
        <f t="shared" si="12"/>
        <v/>
      </c>
      <c r="K145" s="46"/>
      <c r="M145" s="463" t="str" cm="1">
        <f t="array" ref="M145">IF(AND(L145="On Hold",E145&lt;&gt;"",H145&gt;0),IFERROR(_xlfn.LET(_xlpm.stopSell,EDATE(E145,-'FEFO Analysis'!$B$4),_xlpm.cumAtStop,SUMIFS('Planning Engine'!$F$4:$F$2331,'Planning Engine'!$B$4:$B$2331,A145,'Planning Engine'!$A$4:$A$2331,"&lt;="&amp;_xlpm.stopSell),_xlpm.threshold,_xlpm.cumAtStop-H145,IF(_xlpm.threshold&lt;=0,_xlfn.AGGREGATE(15,6,'Planning Engine'!$A$4:$A$2331/('Planning Engine'!$B$4:$B$2331=A145),1),_xlfn.AGGREGATE(15,6,'Planning Engine'!$A$4:$A$2331/(('Planning Engine'!$B$4:$B$2331=A145)*('Planning Engine'!$AB$4:$AB$2331&gt;_xlpm.threshold)),1))),""),"")</f>
        <v/>
      </c>
      <c r="N145" s="459" t="str">
        <f ca="1">IF(M145="","",M145-TODAY())</f>
        <v/>
      </c>
    </row>
    <row r="146" spans="1:14" ht="14.25" customHeight="1" x14ac:dyDescent="0.35">
      <c r="A146" s="46"/>
      <c r="B146" s="46"/>
      <c r="C146" s="47"/>
      <c r="D146" s="48"/>
      <c r="E146" s="48"/>
      <c r="F146" s="49"/>
      <c r="G146" s="49"/>
      <c r="H146" s="50">
        <v>0</v>
      </c>
      <c r="I146" s="51"/>
      <c r="J146" s="110" t="str">
        <f t="shared" si="12"/>
        <v/>
      </c>
      <c r="K146" s="46"/>
      <c r="M146" s="463" t="str" cm="1">
        <f t="array" ref="M146">IF(AND(L146="On Hold",E146&lt;&gt;"",H146&gt;0),IFERROR(_xlfn.LET(_xlpm.stopSell,EDATE(E146,-'FEFO Analysis'!$B$4),_xlpm.cumAtStop,SUMIFS('Planning Engine'!$F$4:$F$2331,'Planning Engine'!$B$4:$B$2331,A146,'Planning Engine'!$A$4:$A$2331,"&lt;="&amp;_xlpm.stopSell),_xlpm.threshold,_xlpm.cumAtStop-H146,IF(_xlpm.threshold&lt;=0,_xlfn.AGGREGATE(15,6,'Planning Engine'!$A$4:$A$2331/('Planning Engine'!$B$4:$B$2331=A146),1),_xlfn.AGGREGATE(15,6,'Planning Engine'!$A$4:$A$2331/(('Planning Engine'!$B$4:$B$2331=A146)*('Planning Engine'!$AB$4:$AB$2331&gt;_xlpm.threshold)),1))),""),"")</f>
        <v/>
      </c>
      <c r="N146" s="459" t="str">
        <f ca="1">IF(M146="","",M146-TODAY())</f>
        <v/>
      </c>
    </row>
    <row r="147" spans="1:14" ht="14.25" customHeight="1" x14ac:dyDescent="0.35">
      <c r="A147" s="46"/>
      <c r="B147" s="46"/>
      <c r="C147" s="47"/>
      <c r="D147" s="48"/>
      <c r="E147" s="48"/>
      <c r="F147" s="49"/>
      <c r="G147" s="49"/>
      <c r="H147" s="50">
        <v>0</v>
      </c>
      <c r="I147" s="51"/>
      <c r="J147" s="110" t="str">
        <f t="shared" si="12"/>
        <v/>
      </c>
      <c r="K147" s="46"/>
      <c r="M147" s="463" t="str" cm="1">
        <f t="array" ref="M147">IF(AND(L147="On Hold",E147&lt;&gt;"",H147&gt;0),IFERROR(_xlfn.LET(_xlpm.stopSell,EDATE(E147,-'FEFO Analysis'!$B$4),_xlpm.cumAtStop,SUMIFS('Planning Engine'!$F$4:$F$2331,'Planning Engine'!$B$4:$B$2331,A147,'Planning Engine'!$A$4:$A$2331,"&lt;="&amp;_xlpm.stopSell),_xlpm.threshold,_xlpm.cumAtStop-H147,IF(_xlpm.threshold&lt;=0,_xlfn.AGGREGATE(15,6,'Planning Engine'!$A$4:$A$2331/('Planning Engine'!$B$4:$B$2331=A147),1),_xlfn.AGGREGATE(15,6,'Planning Engine'!$A$4:$A$2331/(('Planning Engine'!$B$4:$B$2331=A147)*('Planning Engine'!$AB$4:$AB$2331&gt;_xlpm.threshold)),1))),""),"")</f>
        <v/>
      </c>
      <c r="N147" s="459" t="str">
        <f ca="1">IF(M147="","",M147-TODAY())</f>
        <v/>
      </c>
    </row>
    <row r="148" spans="1:14" ht="14.25" customHeight="1" x14ac:dyDescent="0.35">
      <c r="A148" s="46"/>
      <c r="B148" s="46"/>
      <c r="C148" s="47"/>
      <c r="D148" s="48"/>
      <c r="E148" s="48"/>
      <c r="F148" s="49"/>
      <c r="G148" s="49"/>
      <c r="H148" s="50">
        <v>0</v>
      </c>
      <c r="I148" s="51"/>
      <c r="J148" s="110" t="str">
        <f t="shared" si="12"/>
        <v/>
      </c>
      <c r="K148" s="46"/>
      <c r="M148" s="463" t="str" cm="1">
        <f t="array" ref="M148">IF(AND(L148="On Hold",E148&lt;&gt;"",H148&gt;0),IFERROR(_xlfn.LET(_xlpm.stopSell,EDATE(E148,-'FEFO Analysis'!$B$4),_xlpm.cumAtStop,SUMIFS('Planning Engine'!$F$4:$F$2331,'Planning Engine'!$B$4:$B$2331,A148,'Planning Engine'!$A$4:$A$2331,"&lt;="&amp;_xlpm.stopSell),_xlpm.threshold,_xlpm.cumAtStop-H148,IF(_xlpm.threshold&lt;=0,_xlfn.AGGREGATE(15,6,'Planning Engine'!$A$4:$A$2331/('Planning Engine'!$B$4:$B$2331=A148),1),_xlfn.AGGREGATE(15,6,'Planning Engine'!$A$4:$A$2331/(('Planning Engine'!$B$4:$B$2331=A148)*('Planning Engine'!$AB$4:$AB$2331&gt;_xlpm.threshold)),1))),""),"")</f>
        <v/>
      </c>
      <c r="N148" s="459" t="str">
        <f ca="1">IF(M148="","",M148-TODAY())</f>
        <v/>
      </c>
    </row>
    <row r="149" spans="1:14" ht="14.25" customHeight="1" x14ac:dyDescent="0.35">
      <c r="A149" s="46"/>
      <c r="B149" s="46"/>
      <c r="C149" s="47"/>
      <c r="D149" s="48"/>
      <c r="E149" s="48"/>
      <c r="F149" s="49"/>
      <c r="G149" s="49"/>
      <c r="H149" s="50">
        <v>0</v>
      </c>
      <c r="I149" s="51"/>
      <c r="J149" s="110" t="str">
        <f t="shared" si="12"/>
        <v/>
      </c>
      <c r="K149" s="46"/>
      <c r="M149" s="463" t="str" cm="1">
        <f t="array" ref="M149">IF(AND(L149="On Hold",E149&lt;&gt;"",H149&gt;0),IFERROR(_xlfn.LET(_xlpm.stopSell,EDATE(E149,-'FEFO Analysis'!$B$4),_xlpm.cumAtStop,SUMIFS('Planning Engine'!$F$4:$F$2331,'Planning Engine'!$B$4:$B$2331,A149,'Planning Engine'!$A$4:$A$2331,"&lt;="&amp;_xlpm.stopSell),_xlpm.threshold,_xlpm.cumAtStop-H149,IF(_xlpm.threshold&lt;=0,_xlfn.AGGREGATE(15,6,'Planning Engine'!$A$4:$A$2331/('Planning Engine'!$B$4:$B$2331=A149),1),_xlfn.AGGREGATE(15,6,'Planning Engine'!$A$4:$A$2331/(('Planning Engine'!$B$4:$B$2331=A149)*('Planning Engine'!$AB$4:$AB$2331&gt;_xlpm.threshold)),1))),""),"")</f>
        <v/>
      </c>
      <c r="N149" s="459" t="str">
        <f ca="1">IF(M149="","",M149-TODAY())</f>
        <v/>
      </c>
    </row>
    <row r="150" spans="1:14" ht="14.25" customHeight="1" x14ac:dyDescent="0.35">
      <c r="A150" s="46"/>
      <c r="B150" s="46"/>
      <c r="C150" s="47"/>
      <c r="D150" s="48"/>
      <c r="E150" s="48"/>
      <c r="F150" s="49"/>
      <c r="G150" s="49"/>
      <c r="H150" s="50">
        <v>0</v>
      </c>
      <c r="I150" s="51"/>
      <c r="J150" s="110" t="str">
        <f t="shared" si="12"/>
        <v/>
      </c>
      <c r="K150" s="46"/>
      <c r="M150" s="463" t="str" cm="1">
        <f t="array" ref="M150">IF(AND(L150="On Hold",E150&lt;&gt;"",H150&gt;0),IFERROR(_xlfn.LET(_xlpm.stopSell,EDATE(E150,-'FEFO Analysis'!$B$4),_xlpm.cumAtStop,SUMIFS('Planning Engine'!$F$4:$F$2331,'Planning Engine'!$B$4:$B$2331,A150,'Planning Engine'!$A$4:$A$2331,"&lt;="&amp;_xlpm.stopSell),_xlpm.threshold,_xlpm.cumAtStop-H150,IF(_xlpm.threshold&lt;=0,_xlfn.AGGREGATE(15,6,'Planning Engine'!$A$4:$A$2331/('Planning Engine'!$B$4:$B$2331=A150),1),_xlfn.AGGREGATE(15,6,'Planning Engine'!$A$4:$A$2331/(('Planning Engine'!$B$4:$B$2331=A150)*('Planning Engine'!$AB$4:$AB$2331&gt;_xlpm.threshold)),1))),""),"")</f>
        <v/>
      </c>
      <c r="N150" s="459" t="str">
        <f ca="1">IF(M150="","",M150-TODAY())</f>
        <v/>
      </c>
    </row>
    <row r="151" spans="1:14" ht="14.25" customHeight="1" x14ac:dyDescent="0.35">
      <c r="A151" s="46"/>
      <c r="B151" s="46"/>
      <c r="C151" s="47"/>
      <c r="D151" s="48"/>
      <c r="E151" s="48"/>
      <c r="F151" s="49"/>
      <c r="G151" s="49"/>
      <c r="H151" s="50">
        <v>0</v>
      </c>
      <c r="I151" s="51"/>
      <c r="J151" s="110" t="str">
        <f t="shared" si="12"/>
        <v/>
      </c>
      <c r="K151" s="46"/>
      <c r="M151" s="463" t="str" cm="1">
        <f t="array" ref="M151">IF(AND(L151="On Hold",E151&lt;&gt;"",H151&gt;0),IFERROR(_xlfn.LET(_xlpm.stopSell,EDATE(E151,-'FEFO Analysis'!$B$4),_xlpm.cumAtStop,SUMIFS('Planning Engine'!$F$4:$F$2331,'Planning Engine'!$B$4:$B$2331,A151,'Planning Engine'!$A$4:$A$2331,"&lt;="&amp;_xlpm.stopSell),_xlpm.threshold,_xlpm.cumAtStop-H151,IF(_xlpm.threshold&lt;=0,_xlfn.AGGREGATE(15,6,'Planning Engine'!$A$4:$A$2331/('Planning Engine'!$B$4:$B$2331=A151),1),_xlfn.AGGREGATE(15,6,'Planning Engine'!$A$4:$A$2331/(('Planning Engine'!$B$4:$B$2331=A151)*('Planning Engine'!$AB$4:$AB$2331&gt;_xlpm.threshold)),1))),""),"")</f>
        <v/>
      </c>
      <c r="N151" s="459" t="str">
        <f ca="1">IF(M151="","",M151-TODAY())</f>
        <v/>
      </c>
    </row>
    <row r="152" spans="1:14" ht="14.25" customHeight="1" x14ac:dyDescent="0.35">
      <c r="A152" s="46"/>
      <c r="B152" s="46"/>
      <c r="C152" s="47"/>
      <c r="D152" s="48"/>
      <c r="E152" s="48"/>
      <c r="F152" s="49"/>
      <c r="G152" s="49"/>
      <c r="H152" s="50">
        <v>0</v>
      </c>
      <c r="I152" s="51"/>
      <c r="J152" s="110" t="str">
        <f t="shared" si="12"/>
        <v/>
      </c>
      <c r="K152" s="46"/>
      <c r="M152" s="463" t="str" cm="1">
        <f t="array" ref="M152">IF(AND(L152="On Hold",E152&lt;&gt;"",H152&gt;0),IFERROR(_xlfn.LET(_xlpm.stopSell,EDATE(E152,-'FEFO Analysis'!$B$4),_xlpm.cumAtStop,SUMIFS('Planning Engine'!$F$4:$F$2331,'Planning Engine'!$B$4:$B$2331,A152,'Planning Engine'!$A$4:$A$2331,"&lt;="&amp;_xlpm.stopSell),_xlpm.threshold,_xlpm.cumAtStop-H152,IF(_xlpm.threshold&lt;=0,_xlfn.AGGREGATE(15,6,'Planning Engine'!$A$4:$A$2331/('Planning Engine'!$B$4:$B$2331=A152),1),_xlfn.AGGREGATE(15,6,'Planning Engine'!$A$4:$A$2331/(('Planning Engine'!$B$4:$B$2331=A152)*('Planning Engine'!$AB$4:$AB$2331&gt;_xlpm.threshold)),1))),""),"")</f>
        <v/>
      </c>
      <c r="N152" s="459" t="str">
        <f ca="1">IF(M152="","",M152-TODAY())</f>
        <v/>
      </c>
    </row>
    <row r="153" spans="1:14" ht="14.25" customHeight="1" x14ac:dyDescent="0.35">
      <c r="A153" s="46"/>
      <c r="B153" s="46"/>
      <c r="C153" s="47"/>
      <c r="D153" s="48"/>
      <c r="E153" s="48"/>
      <c r="F153" s="49"/>
      <c r="G153" s="49"/>
      <c r="H153" s="50">
        <v>0</v>
      </c>
      <c r="I153" s="51"/>
      <c r="J153" s="110" t="str">
        <f t="shared" si="12"/>
        <v/>
      </c>
      <c r="K153" s="46"/>
      <c r="M153" s="463" t="str" cm="1">
        <f t="array" ref="M153">IF(AND(L153="On Hold",E153&lt;&gt;"",H153&gt;0),IFERROR(_xlfn.LET(_xlpm.stopSell,EDATE(E153,-'FEFO Analysis'!$B$4),_xlpm.cumAtStop,SUMIFS('Planning Engine'!$F$4:$F$2331,'Planning Engine'!$B$4:$B$2331,A153,'Planning Engine'!$A$4:$A$2331,"&lt;="&amp;_xlpm.stopSell),_xlpm.threshold,_xlpm.cumAtStop-H153,IF(_xlpm.threshold&lt;=0,_xlfn.AGGREGATE(15,6,'Planning Engine'!$A$4:$A$2331/('Planning Engine'!$B$4:$B$2331=A153),1),_xlfn.AGGREGATE(15,6,'Planning Engine'!$A$4:$A$2331/(('Planning Engine'!$B$4:$B$2331=A153)*('Planning Engine'!$AB$4:$AB$2331&gt;_xlpm.threshold)),1))),""),"")</f>
        <v/>
      </c>
      <c r="N153" s="459" t="str">
        <f ca="1">IF(M153="","",M153-TODAY())</f>
        <v/>
      </c>
    </row>
    <row r="154" spans="1:14" ht="14.25" customHeight="1" x14ac:dyDescent="0.35">
      <c r="A154" s="46"/>
      <c r="B154" s="46"/>
      <c r="C154" s="47"/>
      <c r="D154" s="48"/>
      <c r="E154" s="48"/>
      <c r="F154" s="49"/>
      <c r="G154" s="49"/>
      <c r="H154" s="50">
        <v>0</v>
      </c>
      <c r="I154" s="51"/>
      <c r="J154" s="110" t="str">
        <f t="shared" si="12"/>
        <v/>
      </c>
      <c r="K154" s="46"/>
      <c r="M154" s="463" t="str" cm="1">
        <f t="array" ref="M154">IF(AND(L154="On Hold",E154&lt;&gt;"",H154&gt;0),IFERROR(_xlfn.LET(_xlpm.stopSell,EDATE(E154,-'FEFO Analysis'!$B$4),_xlpm.cumAtStop,SUMIFS('Planning Engine'!$F$4:$F$2331,'Planning Engine'!$B$4:$B$2331,A154,'Planning Engine'!$A$4:$A$2331,"&lt;="&amp;_xlpm.stopSell),_xlpm.threshold,_xlpm.cumAtStop-H154,IF(_xlpm.threshold&lt;=0,_xlfn.AGGREGATE(15,6,'Planning Engine'!$A$4:$A$2331/('Planning Engine'!$B$4:$B$2331=A154),1),_xlfn.AGGREGATE(15,6,'Planning Engine'!$A$4:$A$2331/(('Planning Engine'!$B$4:$B$2331=A154)*('Planning Engine'!$AB$4:$AB$2331&gt;_xlpm.threshold)),1))),""),"")</f>
        <v/>
      </c>
      <c r="N154" s="459" t="str">
        <f ca="1">IF(M154="","",M154-TODAY())</f>
        <v/>
      </c>
    </row>
    <row r="155" spans="1:14" ht="14.25" customHeight="1" x14ac:dyDescent="0.35">
      <c r="A155" s="46"/>
      <c r="B155" s="46"/>
      <c r="C155" s="47"/>
      <c r="D155" s="48"/>
      <c r="E155" s="48"/>
      <c r="F155" s="49"/>
      <c r="G155" s="49"/>
      <c r="H155" s="50">
        <v>0</v>
      </c>
      <c r="I155" s="51"/>
      <c r="J155" s="110" t="str">
        <f t="shared" si="12"/>
        <v/>
      </c>
      <c r="K155" s="46"/>
      <c r="M155" s="463" t="str" cm="1">
        <f t="array" ref="M155">IF(AND(L155="On Hold",E155&lt;&gt;"",H155&gt;0),IFERROR(_xlfn.LET(_xlpm.stopSell,EDATE(E155,-'FEFO Analysis'!$B$4),_xlpm.cumAtStop,SUMIFS('Planning Engine'!$F$4:$F$2331,'Planning Engine'!$B$4:$B$2331,A155,'Planning Engine'!$A$4:$A$2331,"&lt;="&amp;_xlpm.stopSell),_xlpm.threshold,_xlpm.cumAtStop-H155,IF(_xlpm.threshold&lt;=0,_xlfn.AGGREGATE(15,6,'Planning Engine'!$A$4:$A$2331/('Planning Engine'!$B$4:$B$2331=A155),1),_xlfn.AGGREGATE(15,6,'Planning Engine'!$A$4:$A$2331/(('Planning Engine'!$B$4:$B$2331=A155)*('Planning Engine'!$AB$4:$AB$2331&gt;_xlpm.threshold)),1))),""),"")</f>
        <v/>
      </c>
      <c r="N155" s="459" t="str">
        <f ca="1">IF(M155="","",M155-TODAY())</f>
        <v/>
      </c>
    </row>
    <row r="156" spans="1:14" ht="14.25" customHeight="1" x14ac:dyDescent="0.35">
      <c r="A156" s="46"/>
      <c r="B156" s="46"/>
      <c r="C156" s="47"/>
      <c r="D156" s="48"/>
      <c r="E156" s="48"/>
      <c r="F156" s="49"/>
      <c r="G156" s="49"/>
      <c r="H156" s="50">
        <v>0</v>
      </c>
      <c r="I156" s="51"/>
      <c r="J156" s="110" t="str">
        <f t="shared" si="12"/>
        <v/>
      </c>
      <c r="K156" s="46"/>
      <c r="M156" s="463" t="str" cm="1">
        <f t="array" ref="M156">IF(AND(L156="On Hold",E156&lt;&gt;"",H156&gt;0),IFERROR(_xlfn.LET(_xlpm.stopSell,EDATE(E156,-'FEFO Analysis'!$B$4),_xlpm.cumAtStop,SUMIFS('Planning Engine'!$F$4:$F$2331,'Planning Engine'!$B$4:$B$2331,A156,'Planning Engine'!$A$4:$A$2331,"&lt;="&amp;_xlpm.stopSell),_xlpm.threshold,_xlpm.cumAtStop-H156,IF(_xlpm.threshold&lt;=0,_xlfn.AGGREGATE(15,6,'Planning Engine'!$A$4:$A$2331/('Planning Engine'!$B$4:$B$2331=A156),1),_xlfn.AGGREGATE(15,6,'Planning Engine'!$A$4:$A$2331/(('Planning Engine'!$B$4:$B$2331=A156)*('Planning Engine'!$AB$4:$AB$2331&gt;_xlpm.threshold)),1))),""),"")</f>
        <v/>
      </c>
      <c r="N156" s="459" t="str">
        <f ca="1">IF(M156="","",M156-TODAY())</f>
        <v/>
      </c>
    </row>
    <row r="157" spans="1:14" ht="14.25" customHeight="1" x14ac:dyDescent="0.35">
      <c r="A157" s="46"/>
      <c r="B157" s="46"/>
      <c r="C157" s="47"/>
      <c r="D157" s="48"/>
      <c r="E157" s="48"/>
      <c r="F157" s="49"/>
      <c r="G157" s="49"/>
      <c r="H157" s="50">
        <v>0</v>
      </c>
      <c r="I157" s="51"/>
      <c r="J157" s="110" t="str">
        <f t="shared" si="12"/>
        <v/>
      </c>
      <c r="K157" s="46"/>
      <c r="M157" s="463" t="str" cm="1">
        <f t="array" ref="M157">IF(AND(L157="On Hold",E157&lt;&gt;"",H157&gt;0),IFERROR(_xlfn.LET(_xlpm.stopSell,EDATE(E157,-'FEFO Analysis'!$B$4),_xlpm.cumAtStop,SUMIFS('Planning Engine'!$F$4:$F$2331,'Planning Engine'!$B$4:$B$2331,A157,'Planning Engine'!$A$4:$A$2331,"&lt;="&amp;_xlpm.stopSell),_xlpm.threshold,_xlpm.cumAtStop-H157,IF(_xlpm.threshold&lt;=0,_xlfn.AGGREGATE(15,6,'Planning Engine'!$A$4:$A$2331/('Planning Engine'!$B$4:$B$2331=A157),1),_xlfn.AGGREGATE(15,6,'Planning Engine'!$A$4:$A$2331/(('Planning Engine'!$B$4:$B$2331=A157)*('Planning Engine'!$AB$4:$AB$2331&gt;_xlpm.threshold)),1))),""),"")</f>
        <v/>
      </c>
      <c r="N157" s="459" t="str">
        <f ca="1">IF(M157="","",M157-TODAY())</f>
        <v/>
      </c>
    </row>
    <row r="158" spans="1:14" ht="14.25" customHeight="1" x14ac:dyDescent="0.35">
      <c r="A158" s="46"/>
      <c r="B158" s="46"/>
      <c r="C158" s="47"/>
      <c r="D158" s="48"/>
      <c r="E158" s="48"/>
      <c r="F158" s="49"/>
      <c r="G158" s="49"/>
      <c r="H158" s="50">
        <v>0</v>
      </c>
      <c r="I158" s="51"/>
      <c r="J158" s="110" t="str">
        <f t="shared" si="12"/>
        <v/>
      </c>
      <c r="K158" s="46"/>
      <c r="M158" s="463" t="str" cm="1">
        <f t="array" ref="M158">IF(AND(L158="On Hold",E158&lt;&gt;"",H158&gt;0),IFERROR(_xlfn.LET(_xlpm.stopSell,EDATE(E158,-'FEFO Analysis'!$B$4),_xlpm.cumAtStop,SUMIFS('Planning Engine'!$F$4:$F$2331,'Planning Engine'!$B$4:$B$2331,A158,'Planning Engine'!$A$4:$A$2331,"&lt;="&amp;_xlpm.stopSell),_xlpm.threshold,_xlpm.cumAtStop-H158,IF(_xlpm.threshold&lt;=0,_xlfn.AGGREGATE(15,6,'Planning Engine'!$A$4:$A$2331/('Planning Engine'!$B$4:$B$2331=A158),1),_xlfn.AGGREGATE(15,6,'Planning Engine'!$A$4:$A$2331/(('Planning Engine'!$B$4:$B$2331=A158)*('Planning Engine'!$AB$4:$AB$2331&gt;_xlpm.threshold)),1))),""),"")</f>
        <v/>
      </c>
      <c r="N158" s="459" t="str">
        <f ca="1">IF(M158="","",M158-TODAY())</f>
        <v/>
      </c>
    </row>
    <row r="159" spans="1:14" ht="14.25" customHeight="1" x14ac:dyDescent="0.35">
      <c r="A159" s="46"/>
      <c r="B159" s="46"/>
      <c r="C159" s="47"/>
      <c r="D159" s="48"/>
      <c r="E159" s="48"/>
      <c r="F159" s="49"/>
      <c r="G159" s="49"/>
      <c r="H159" s="50">
        <v>0</v>
      </c>
      <c r="I159" s="51"/>
      <c r="J159" s="110" t="str">
        <f t="shared" si="12"/>
        <v/>
      </c>
      <c r="K159" s="46"/>
      <c r="M159" s="463" t="str" cm="1">
        <f t="array" ref="M159">IF(AND(L159="On Hold",E159&lt;&gt;"",H159&gt;0),IFERROR(_xlfn.LET(_xlpm.stopSell,EDATE(E159,-'FEFO Analysis'!$B$4),_xlpm.cumAtStop,SUMIFS('Planning Engine'!$F$4:$F$2331,'Planning Engine'!$B$4:$B$2331,A159,'Planning Engine'!$A$4:$A$2331,"&lt;="&amp;_xlpm.stopSell),_xlpm.threshold,_xlpm.cumAtStop-H159,IF(_xlpm.threshold&lt;=0,_xlfn.AGGREGATE(15,6,'Planning Engine'!$A$4:$A$2331/('Planning Engine'!$B$4:$B$2331=A159),1),_xlfn.AGGREGATE(15,6,'Planning Engine'!$A$4:$A$2331/(('Planning Engine'!$B$4:$B$2331=A159)*('Planning Engine'!$AB$4:$AB$2331&gt;_xlpm.threshold)),1))),""),"")</f>
        <v/>
      </c>
      <c r="N159" s="459" t="str">
        <f ca="1">IF(M159="","",M159-TODAY())</f>
        <v/>
      </c>
    </row>
    <row r="160" spans="1:14" ht="14.25" customHeight="1" x14ac:dyDescent="0.35">
      <c r="A160" s="46"/>
      <c r="B160" s="46"/>
      <c r="C160" s="47"/>
      <c r="D160" s="48"/>
      <c r="E160" s="48"/>
      <c r="F160" s="49"/>
      <c r="G160" s="49"/>
      <c r="H160" s="50">
        <v>0</v>
      </c>
      <c r="I160" s="51"/>
      <c r="J160" s="110" t="str">
        <f t="shared" si="12"/>
        <v/>
      </c>
      <c r="K160" s="46"/>
      <c r="M160" s="463" t="str" cm="1">
        <f t="array" ref="M160">IF(AND(L160="On Hold",E160&lt;&gt;"",H160&gt;0),IFERROR(_xlfn.LET(_xlpm.stopSell,EDATE(E160,-'FEFO Analysis'!$B$4),_xlpm.cumAtStop,SUMIFS('Planning Engine'!$F$4:$F$2331,'Planning Engine'!$B$4:$B$2331,A160,'Planning Engine'!$A$4:$A$2331,"&lt;="&amp;_xlpm.stopSell),_xlpm.threshold,_xlpm.cumAtStop-H160,IF(_xlpm.threshold&lt;=0,_xlfn.AGGREGATE(15,6,'Planning Engine'!$A$4:$A$2331/('Planning Engine'!$B$4:$B$2331=A160),1),_xlfn.AGGREGATE(15,6,'Planning Engine'!$A$4:$A$2331/(('Planning Engine'!$B$4:$B$2331=A160)*('Planning Engine'!$AB$4:$AB$2331&gt;_xlpm.threshold)),1))),""),"")</f>
        <v/>
      </c>
      <c r="N160" s="459" t="str">
        <f ca="1">IF(M160="","",M160-TODAY())</f>
        <v/>
      </c>
    </row>
    <row r="161" spans="1:14" ht="14.25" customHeight="1" x14ac:dyDescent="0.35">
      <c r="A161" s="46"/>
      <c r="B161" s="46"/>
      <c r="C161" s="47"/>
      <c r="D161" s="48"/>
      <c r="E161" s="48"/>
      <c r="F161" s="49"/>
      <c r="G161" s="49"/>
      <c r="H161" s="50">
        <v>0</v>
      </c>
      <c r="I161" s="51"/>
      <c r="J161" s="110" t="str">
        <f t="shared" si="12"/>
        <v/>
      </c>
      <c r="K161" s="46"/>
      <c r="M161" s="463" t="str" cm="1">
        <f t="array" ref="M161">IF(AND(L161="On Hold",E161&lt;&gt;"",H161&gt;0),IFERROR(_xlfn.LET(_xlpm.stopSell,EDATE(E161,-'FEFO Analysis'!$B$4),_xlpm.cumAtStop,SUMIFS('Planning Engine'!$F$4:$F$2331,'Planning Engine'!$B$4:$B$2331,A161,'Planning Engine'!$A$4:$A$2331,"&lt;="&amp;_xlpm.stopSell),_xlpm.threshold,_xlpm.cumAtStop-H161,IF(_xlpm.threshold&lt;=0,_xlfn.AGGREGATE(15,6,'Planning Engine'!$A$4:$A$2331/('Planning Engine'!$B$4:$B$2331=A161),1),_xlfn.AGGREGATE(15,6,'Planning Engine'!$A$4:$A$2331/(('Planning Engine'!$B$4:$B$2331=A161)*('Planning Engine'!$AB$4:$AB$2331&gt;_xlpm.threshold)),1))),""),"")</f>
        <v/>
      </c>
      <c r="N161" s="459" t="str">
        <f ca="1">IF(M161="","",M161-TODAY())</f>
        <v/>
      </c>
    </row>
    <row r="162" spans="1:14" ht="14.25" customHeight="1" x14ac:dyDescent="0.35">
      <c r="A162" s="46"/>
      <c r="B162" s="46"/>
      <c r="C162" s="47"/>
      <c r="D162" s="48"/>
      <c r="E162" s="48"/>
      <c r="F162" s="49"/>
      <c r="G162" s="49"/>
      <c r="H162" s="50">
        <v>0</v>
      </c>
      <c r="I162" s="51"/>
      <c r="J162" s="110" t="str">
        <f t="shared" si="12"/>
        <v/>
      </c>
      <c r="K162" s="46"/>
      <c r="M162" s="463" t="str" cm="1">
        <f t="array" ref="M162">IF(AND(L162="On Hold",E162&lt;&gt;"",H162&gt;0),IFERROR(_xlfn.LET(_xlpm.stopSell,EDATE(E162,-'FEFO Analysis'!$B$4),_xlpm.cumAtStop,SUMIFS('Planning Engine'!$F$4:$F$2331,'Planning Engine'!$B$4:$B$2331,A162,'Planning Engine'!$A$4:$A$2331,"&lt;="&amp;_xlpm.stopSell),_xlpm.threshold,_xlpm.cumAtStop-H162,IF(_xlpm.threshold&lt;=0,_xlfn.AGGREGATE(15,6,'Planning Engine'!$A$4:$A$2331/('Planning Engine'!$B$4:$B$2331=A162),1),_xlfn.AGGREGATE(15,6,'Planning Engine'!$A$4:$A$2331/(('Planning Engine'!$B$4:$B$2331=A162)*('Planning Engine'!$AB$4:$AB$2331&gt;_xlpm.threshold)),1))),""),"")</f>
        <v/>
      </c>
      <c r="N162" s="459" t="str">
        <f ca="1">IF(M162="","",M162-TODAY())</f>
        <v/>
      </c>
    </row>
    <row r="163" spans="1:14" ht="14.25" customHeight="1" x14ac:dyDescent="0.35">
      <c r="A163" s="46"/>
      <c r="B163" s="46"/>
      <c r="C163" s="47"/>
      <c r="D163" s="48"/>
      <c r="E163" s="48"/>
      <c r="F163" s="49"/>
      <c r="G163" s="49"/>
      <c r="H163" s="50">
        <v>0</v>
      </c>
      <c r="I163" s="51"/>
      <c r="J163" s="110" t="str">
        <f t="shared" si="12"/>
        <v/>
      </c>
      <c r="K163" s="46"/>
      <c r="M163" s="463" t="str" cm="1">
        <f t="array" ref="M163">IF(AND(L163="On Hold",E163&lt;&gt;"",H163&gt;0),IFERROR(_xlfn.LET(_xlpm.stopSell,EDATE(E163,-'FEFO Analysis'!$B$4),_xlpm.cumAtStop,SUMIFS('Planning Engine'!$F$4:$F$2331,'Planning Engine'!$B$4:$B$2331,A163,'Planning Engine'!$A$4:$A$2331,"&lt;="&amp;_xlpm.stopSell),_xlpm.threshold,_xlpm.cumAtStop-H163,IF(_xlpm.threshold&lt;=0,_xlfn.AGGREGATE(15,6,'Planning Engine'!$A$4:$A$2331/('Planning Engine'!$B$4:$B$2331=A163),1),_xlfn.AGGREGATE(15,6,'Planning Engine'!$A$4:$A$2331/(('Planning Engine'!$B$4:$B$2331=A163)*('Planning Engine'!$AB$4:$AB$2331&gt;_xlpm.threshold)),1))),""),"")</f>
        <v/>
      </c>
      <c r="N163" s="459" t="str">
        <f ca="1">IF(M163="","",M163-TODAY())</f>
        <v/>
      </c>
    </row>
    <row r="164" spans="1:14" ht="14.25" customHeight="1" x14ac:dyDescent="0.35">
      <c r="A164" s="46"/>
      <c r="B164" s="46"/>
      <c r="C164" s="47"/>
      <c r="D164" s="48"/>
      <c r="E164" s="48"/>
      <c r="F164" s="49"/>
      <c r="G164" s="49"/>
      <c r="H164" s="50">
        <v>0</v>
      </c>
      <c r="I164" s="51"/>
      <c r="J164" s="110" t="str">
        <f t="shared" si="12"/>
        <v/>
      </c>
      <c r="K164" s="46"/>
      <c r="M164" s="463" t="str" cm="1">
        <f t="array" ref="M164">IF(AND(L164="On Hold",E164&lt;&gt;"",H164&gt;0),IFERROR(_xlfn.LET(_xlpm.stopSell,EDATE(E164,-'FEFO Analysis'!$B$4),_xlpm.cumAtStop,SUMIFS('Planning Engine'!$F$4:$F$2331,'Planning Engine'!$B$4:$B$2331,A164,'Planning Engine'!$A$4:$A$2331,"&lt;="&amp;_xlpm.stopSell),_xlpm.threshold,_xlpm.cumAtStop-H164,IF(_xlpm.threshold&lt;=0,_xlfn.AGGREGATE(15,6,'Planning Engine'!$A$4:$A$2331/('Planning Engine'!$B$4:$B$2331=A164),1),_xlfn.AGGREGATE(15,6,'Planning Engine'!$A$4:$A$2331/(('Planning Engine'!$B$4:$B$2331=A164)*('Planning Engine'!$AB$4:$AB$2331&gt;_xlpm.threshold)),1))),""),"")</f>
        <v/>
      </c>
      <c r="N164" s="459" t="str">
        <f ca="1">IF(M164="","",M164-TODAY())</f>
        <v/>
      </c>
    </row>
    <row r="165" spans="1:14" ht="14.25" customHeight="1" x14ac:dyDescent="0.35">
      <c r="A165" s="46"/>
      <c r="B165" s="46"/>
      <c r="C165" s="47"/>
      <c r="D165" s="48"/>
      <c r="E165" s="48"/>
      <c r="F165" s="49"/>
      <c r="G165" s="49"/>
      <c r="H165" s="50">
        <v>0</v>
      </c>
      <c r="I165" s="51"/>
      <c r="J165" s="110" t="str">
        <f t="shared" si="12"/>
        <v/>
      </c>
      <c r="K165" s="46"/>
      <c r="M165" s="463" t="str" cm="1">
        <f t="array" ref="M165">IF(AND(L165="On Hold",E165&lt;&gt;"",H165&gt;0),IFERROR(_xlfn.LET(_xlpm.stopSell,EDATE(E165,-'FEFO Analysis'!$B$4),_xlpm.cumAtStop,SUMIFS('Planning Engine'!$F$4:$F$2331,'Planning Engine'!$B$4:$B$2331,A165,'Planning Engine'!$A$4:$A$2331,"&lt;="&amp;_xlpm.stopSell),_xlpm.threshold,_xlpm.cumAtStop-H165,IF(_xlpm.threshold&lt;=0,_xlfn.AGGREGATE(15,6,'Planning Engine'!$A$4:$A$2331/('Planning Engine'!$B$4:$B$2331=A165),1),_xlfn.AGGREGATE(15,6,'Planning Engine'!$A$4:$A$2331/(('Planning Engine'!$B$4:$B$2331=A165)*('Planning Engine'!$AB$4:$AB$2331&gt;_xlpm.threshold)),1))),""),"")</f>
        <v/>
      </c>
      <c r="N165" s="459" t="str">
        <f ca="1">IF(M165="","",M165-TODAY())</f>
        <v/>
      </c>
    </row>
    <row r="166" spans="1:14" ht="14.25" customHeight="1" x14ac:dyDescent="0.35">
      <c r="A166" s="46"/>
      <c r="B166" s="46"/>
      <c r="C166" s="47"/>
      <c r="D166" s="48"/>
      <c r="E166" s="48"/>
      <c r="F166" s="49"/>
      <c r="G166" s="49"/>
      <c r="H166" s="50">
        <v>0</v>
      </c>
      <c r="I166" s="51"/>
      <c r="J166" s="110" t="str">
        <f t="shared" si="12"/>
        <v/>
      </c>
      <c r="K166" s="46"/>
      <c r="M166" s="463" t="str" cm="1">
        <f t="array" ref="M166">IF(AND(L166="On Hold",E166&lt;&gt;"",H166&gt;0),IFERROR(_xlfn.LET(_xlpm.stopSell,EDATE(E166,-'FEFO Analysis'!$B$4),_xlpm.cumAtStop,SUMIFS('Planning Engine'!$F$4:$F$2331,'Planning Engine'!$B$4:$B$2331,A166,'Planning Engine'!$A$4:$A$2331,"&lt;="&amp;_xlpm.stopSell),_xlpm.threshold,_xlpm.cumAtStop-H166,IF(_xlpm.threshold&lt;=0,_xlfn.AGGREGATE(15,6,'Planning Engine'!$A$4:$A$2331/('Planning Engine'!$B$4:$B$2331=A166),1),_xlfn.AGGREGATE(15,6,'Planning Engine'!$A$4:$A$2331/(('Planning Engine'!$B$4:$B$2331=A166)*('Planning Engine'!$AB$4:$AB$2331&gt;_xlpm.threshold)),1))),""),"")</f>
        <v/>
      </c>
      <c r="N166" s="459" t="str">
        <f ca="1">IF(M166="","",M166-TODAY())</f>
        <v/>
      </c>
    </row>
    <row r="167" spans="1:14" ht="14.25" customHeight="1" x14ac:dyDescent="0.35">
      <c r="A167" s="46"/>
      <c r="B167" s="46"/>
      <c r="C167" s="47"/>
      <c r="D167" s="48"/>
      <c r="E167" s="48"/>
      <c r="F167" s="49"/>
      <c r="G167" s="49"/>
      <c r="H167" s="50">
        <v>0</v>
      </c>
      <c r="I167" s="51"/>
      <c r="J167" s="110" t="str">
        <f t="shared" si="12"/>
        <v/>
      </c>
      <c r="K167" s="46"/>
      <c r="M167" s="463" t="str" cm="1">
        <f t="array" ref="M167">IF(AND(L167="On Hold",E167&lt;&gt;"",H167&gt;0),IFERROR(_xlfn.LET(_xlpm.stopSell,EDATE(E167,-'FEFO Analysis'!$B$4),_xlpm.cumAtStop,SUMIFS('Planning Engine'!$F$4:$F$2331,'Planning Engine'!$B$4:$B$2331,A167,'Planning Engine'!$A$4:$A$2331,"&lt;="&amp;_xlpm.stopSell),_xlpm.threshold,_xlpm.cumAtStop-H167,IF(_xlpm.threshold&lt;=0,_xlfn.AGGREGATE(15,6,'Planning Engine'!$A$4:$A$2331/('Planning Engine'!$B$4:$B$2331=A167),1),_xlfn.AGGREGATE(15,6,'Planning Engine'!$A$4:$A$2331/(('Planning Engine'!$B$4:$B$2331=A167)*('Planning Engine'!$AB$4:$AB$2331&gt;_xlpm.threshold)),1))),""),"")</f>
        <v/>
      </c>
      <c r="N167" s="459" t="str">
        <f ca="1">IF(M167="","",M167-TODAY())</f>
        <v/>
      </c>
    </row>
    <row r="168" spans="1:14" ht="14.25" customHeight="1" x14ac:dyDescent="0.35">
      <c r="A168" s="46"/>
      <c r="B168" s="46"/>
      <c r="C168" s="47"/>
      <c r="D168" s="48"/>
      <c r="E168" s="48"/>
      <c r="F168" s="49"/>
      <c r="G168" s="49"/>
      <c r="H168" s="50">
        <v>0</v>
      </c>
      <c r="I168" s="51"/>
      <c r="J168" s="110" t="str">
        <f t="shared" si="12"/>
        <v/>
      </c>
      <c r="K168" s="46"/>
      <c r="M168" s="463" t="str" cm="1">
        <f t="array" ref="M168">IF(AND(L168="On Hold",E168&lt;&gt;"",H168&gt;0),IFERROR(_xlfn.LET(_xlpm.stopSell,EDATE(E168,-'FEFO Analysis'!$B$4),_xlpm.cumAtStop,SUMIFS('Planning Engine'!$F$4:$F$2331,'Planning Engine'!$B$4:$B$2331,A168,'Planning Engine'!$A$4:$A$2331,"&lt;="&amp;_xlpm.stopSell),_xlpm.threshold,_xlpm.cumAtStop-H168,IF(_xlpm.threshold&lt;=0,_xlfn.AGGREGATE(15,6,'Planning Engine'!$A$4:$A$2331/('Planning Engine'!$B$4:$B$2331=A168),1),_xlfn.AGGREGATE(15,6,'Planning Engine'!$A$4:$A$2331/(('Planning Engine'!$B$4:$B$2331=A168)*('Planning Engine'!$AB$4:$AB$2331&gt;_xlpm.threshold)),1))),""),"")</f>
        <v/>
      </c>
      <c r="N168" s="459" t="str">
        <f ca="1">IF(M168="","",M168-TODAY())</f>
        <v/>
      </c>
    </row>
    <row r="169" spans="1:14" ht="14.25" customHeight="1" x14ac:dyDescent="0.35">
      <c r="A169" s="46"/>
      <c r="B169" s="46"/>
      <c r="C169" s="47"/>
      <c r="D169" s="48"/>
      <c r="E169" s="48"/>
      <c r="F169" s="49"/>
      <c r="G169" s="49"/>
      <c r="H169" s="50">
        <v>0</v>
      </c>
      <c r="I169" s="51"/>
      <c r="J169" s="110" t="str">
        <f t="shared" si="12"/>
        <v/>
      </c>
      <c r="K169" s="46"/>
      <c r="M169" s="463" t="str" cm="1">
        <f t="array" ref="M169">IF(AND(L169="On Hold",E169&lt;&gt;"",H169&gt;0),IFERROR(_xlfn.LET(_xlpm.stopSell,EDATE(E169,-'FEFO Analysis'!$B$4),_xlpm.cumAtStop,SUMIFS('Planning Engine'!$F$4:$F$2331,'Planning Engine'!$B$4:$B$2331,A169,'Planning Engine'!$A$4:$A$2331,"&lt;="&amp;_xlpm.stopSell),_xlpm.threshold,_xlpm.cumAtStop-H169,IF(_xlpm.threshold&lt;=0,_xlfn.AGGREGATE(15,6,'Planning Engine'!$A$4:$A$2331/('Planning Engine'!$B$4:$B$2331=A169),1),_xlfn.AGGREGATE(15,6,'Planning Engine'!$A$4:$A$2331/(('Planning Engine'!$B$4:$B$2331=A169)*('Planning Engine'!$AB$4:$AB$2331&gt;_xlpm.threshold)),1))),""),"")</f>
        <v/>
      </c>
      <c r="N169" s="459" t="str">
        <f ca="1">IF(M169="","",M169-TODAY())</f>
        <v/>
      </c>
    </row>
    <row r="170" spans="1:14" ht="14.25" customHeight="1" x14ac:dyDescent="0.35">
      <c r="A170" s="46"/>
      <c r="B170" s="46"/>
      <c r="C170" s="47"/>
      <c r="D170" s="48"/>
      <c r="E170" s="48"/>
      <c r="F170" s="49"/>
      <c r="G170" s="49"/>
      <c r="H170" s="50">
        <v>0</v>
      </c>
      <c r="I170" s="51"/>
      <c r="J170" s="110" t="str">
        <f t="shared" si="12"/>
        <v/>
      </c>
      <c r="K170" s="46"/>
      <c r="M170" s="463" t="str" cm="1">
        <f t="array" ref="M170">IF(AND(L170="On Hold",E170&lt;&gt;"",H170&gt;0),IFERROR(_xlfn.LET(_xlpm.stopSell,EDATE(E170,-'FEFO Analysis'!$B$4),_xlpm.cumAtStop,SUMIFS('Planning Engine'!$F$4:$F$2331,'Planning Engine'!$B$4:$B$2331,A170,'Planning Engine'!$A$4:$A$2331,"&lt;="&amp;_xlpm.stopSell),_xlpm.threshold,_xlpm.cumAtStop-H170,IF(_xlpm.threshold&lt;=0,_xlfn.AGGREGATE(15,6,'Planning Engine'!$A$4:$A$2331/('Planning Engine'!$B$4:$B$2331=A170),1),_xlfn.AGGREGATE(15,6,'Planning Engine'!$A$4:$A$2331/(('Planning Engine'!$B$4:$B$2331=A170)*('Planning Engine'!$AB$4:$AB$2331&gt;_xlpm.threshold)),1))),""),"")</f>
        <v/>
      </c>
      <c r="N170" s="459" t="str">
        <f ca="1">IF(M170="","",M170-TODAY())</f>
        <v/>
      </c>
    </row>
    <row r="171" spans="1:14" ht="14.25" customHeight="1" x14ac:dyDescent="0.35">
      <c r="A171" s="46"/>
      <c r="B171" s="46"/>
      <c r="C171" s="47"/>
      <c r="D171" s="48"/>
      <c r="E171" s="48"/>
      <c r="F171" s="49"/>
      <c r="G171" s="49"/>
      <c r="H171" s="50">
        <v>0</v>
      </c>
      <c r="I171" s="51"/>
      <c r="J171" s="110" t="str">
        <f t="shared" si="12"/>
        <v/>
      </c>
      <c r="K171" s="46"/>
      <c r="M171" s="463" t="str" cm="1">
        <f t="array" ref="M171">IF(AND(L171="On Hold",E171&lt;&gt;"",H171&gt;0),IFERROR(_xlfn.LET(_xlpm.stopSell,EDATE(E171,-'FEFO Analysis'!$B$4),_xlpm.cumAtStop,SUMIFS('Planning Engine'!$F$4:$F$2331,'Planning Engine'!$B$4:$B$2331,A171,'Planning Engine'!$A$4:$A$2331,"&lt;="&amp;_xlpm.stopSell),_xlpm.threshold,_xlpm.cumAtStop-H171,IF(_xlpm.threshold&lt;=0,_xlfn.AGGREGATE(15,6,'Planning Engine'!$A$4:$A$2331/('Planning Engine'!$B$4:$B$2331=A171),1),_xlfn.AGGREGATE(15,6,'Planning Engine'!$A$4:$A$2331/(('Planning Engine'!$B$4:$B$2331=A171)*('Planning Engine'!$AB$4:$AB$2331&gt;_xlpm.threshold)),1))),""),"")</f>
        <v/>
      </c>
      <c r="N171" s="459" t="str">
        <f ca="1">IF(M171="","",M171-TODAY())</f>
        <v/>
      </c>
    </row>
    <row r="172" spans="1:14" ht="14.25" customHeight="1" x14ac:dyDescent="0.35">
      <c r="A172" s="46"/>
      <c r="B172" s="46"/>
      <c r="C172" s="47"/>
      <c r="D172" s="48"/>
      <c r="E172" s="48"/>
      <c r="F172" s="49"/>
      <c r="G172" s="49"/>
      <c r="H172" s="50">
        <v>0</v>
      </c>
      <c r="I172" s="51"/>
      <c r="J172" s="110" t="str">
        <f t="shared" si="12"/>
        <v/>
      </c>
      <c r="K172" s="46"/>
      <c r="M172" s="463" t="str" cm="1">
        <f t="array" ref="M172">IF(AND(L172="On Hold",E172&lt;&gt;"",H172&gt;0),IFERROR(_xlfn.LET(_xlpm.stopSell,EDATE(E172,-'FEFO Analysis'!$B$4),_xlpm.cumAtStop,SUMIFS('Planning Engine'!$F$4:$F$2331,'Planning Engine'!$B$4:$B$2331,A172,'Planning Engine'!$A$4:$A$2331,"&lt;="&amp;_xlpm.stopSell),_xlpm.threshold,_xlpm.cumAtStop-H172,IF(_xlpm.threshold&lt;=0,_xlfn.AGGREGATE(15,6,'Planning Engine'!$A$4:$A$2331/('Planning Engine'!$B$4:$B$2331=A172),1),_xlfn.AGGREGATE(15,6,'Planning Engine'!$A$4:$A$2331/(('Planning Engine'!$B$4:$B$2331=A172)*('Planning Engine'!$AB$4:$AB$2331&gt;_xlpm.threshold)),1))),""),"")</f>
        <v/>
      </c>
      <c r="N172" s="459" t="str">
        <f ca="1">IF(M172="","",M172-TODAY())</f>
        <v/>
      </c>
    </row>
    <row r="173" spans="1:14" ht="14.25" customHeight="1" x14ac:dyDescent="0.35">
      <c r="A173" s="46"/>
      <c r="B173" s="46"/>
      <c r="C173" s="47"/>
      <c r="D173" s="48"/>
      <c r="E173" s="48"/>
      <c r="F173" s="49"/>
      <c r="G173" s="49"/>
      <c r="H173" s="50">
        <v>0</v>
      </c>
      <c r="I173" s="51"/>
      <c r="J173" s="110" t="str">
        <f t="shared" si="12"/>
        <v/>
      </c>
      <c r="K173" s="46"/>
      <c r="M173" s="463" t="str" cm="1">
        <f t="array" ref="M173">IF(AND(L173="On Hold",E173&lt;&gt;"",H173&gt;0),IFERROR(_xlfn.LET(_xlpm.stopSell,EDATE(E173,-'FEFO Analysis'!$B$4),_xlpm.cumAtStop,SUMIFS('Planning Engine'!$F$4:$F$2331,'Planning Engine'!$B$4:$B$2331,A173,'Planning Engine'!$A$4:$A$2331,"&lt;="&amp;_xlpm.stopSell),_xlpm.threshold,_xlpm.cumAtStop-H173,IF(_xlpm.threshold&lt;=0,_xlfn.AGGREGATE(15,6,'Planning Engine'!$A$4:$A$2331/('Planning Engine'!$B$4:$B$2331=A173),1),_xlfn.AGGREGATE(15,6,'Planning Engine'!$A$4:$A$2331/(('Planning Engine'!$B$4:$B$2331=A173)*('Planning Engine'!$AB$4:$AB$2331&gt;_xlpm.threshold)),1))),""),"")</f>
        <v/>
      </c>
      <c r="N173" s="459" t="str">
        <f ca="1">IF(M173="","",M173-TODAY())</f>
        <v/>
      </c>
    </row>
    <row r="174" spans="1:14" ht="14.25" customHeight="1" x14ac:dyDescent="0.35">
      <c r="A174" s="46"/>
      <c r="B174" s="46"/>
      <c r="C174" s="47"/>
      <c r="D174" s="48"/>
      <c r="E174" s="48"/>
      <c r="F174" s="49"/>
      <c r="G174" s="49"/>
      <c r="H174" s="50">
        <v>0</v>
      </c>
      <c r="I174" s="51"/>
      <c r="J174" s="110" t="str">
        <f t="shared" si="12"/>
        <v/>
      </c>
      <c r="K174" s="46"/>
      <c r="M174" s="463" t="str" cm="1">
        <f t="array" ref="M174">IF(AND(L174="On Hold",E174&lt;&gt;"",H174&gt;0),IFERROR(_xlfn.LET(_xlpm.stopSell,EDATE(E174,-'FEFO Analysis'!$B$4),_xlpm.cumAtStop,SUMIFS('Planning Engine'!$F$4:$F$2331,'Planning Engine'!$B$4:$B$2331,A174,'Planning Engine'!$A$4:$A$2331,"&lt;="&amp;_xlpm.stopSell),_xlpm.threshold,_xlpm.cumAtStop-H174,IF(_xlpm.threshold&lt;=0,_xlfn.AGGREGATE(15,6,'Planning Engine'!$A$4:$A$2331/('Planning Engine'!$B$4:$B$2331=A174),1),_xlfn.AGGREGATE(15,6,'Planning Engine'!$A$4:$A$2331/(('Planning Engine'!$B$4:$B$2331=A174)*('Planning Engine'!$AB$4:$AB$2331&gt;_xlpm.threshold)),1))),""),"")</f>
        <v/>
      </c>
      <c r="N174" s="459" t="str">
        <f ca="1">IF(M174="","",M174-TODAY())</f>
        <v/>
      </c>
    </row>
    <row r="175" spans="1:14" ht="14.25" customHeight="1" x14ac:dyDescent="0.35">
      <c r="A175" s="46"/>
      <c r="B175" s="46"/>
      <c r="C175" s="47"/>
      <c r="D175" s="48"/>
      <c r="E175" s="48"/>
      <c r="F175" s="49"/>
      <c r="G175" s="49"/>
      <c r="H175" s="50">
        <v>0</v>
      </c>
      <c r="I175" s="51"/>
      <c r="J175" s="110" t="str">
        <f t="shared" si="12"/>
        <v/>
      </c>
      <c r="K175" s="46"/>
      <c r="M175" s="463" t="str" cm="1">
        <f t="array" ref="M175">IF(AND(L175="On Hold",E175&lt;&gt;"",H175&gt;0),IFERROR(_xlfn.LET(_xlpm.stopSell,EDATE(E175,-'FEFO Analysis'!$B$4),_xlpm.cumAtStop,SUMIFS('Planning Engine'!$F$4:$F$2331,'Planning Engine'!$B$4:$B$2331,A175,'Planning Engine'!$A$4:$A$2331,"&lt;="&amp;_xlpm.stopSell),_xlpm.threshold,_xlpm.cumAtStop-H175,IF(_xlpm.threshold&lt;=0,_xlfn.AGGREGATE(15,6,'Planning Engine'!$A$4:$A$2331/('Planning Engine'!$B$4:$B$2331=A175),1),_xlfn.AGGREGATE(15,6,'Planning Engine'!$A$4:$A$2331/(('Planning Engine'!$B$4:$B$2331=A175)*('Planning Engine'!$AB$4:$AB$2331&gt;_xlpm.threshold)),1))),""),"")</f>
        <v/>
      </c>
      <c r="N175" s="459" t="str">
        <f ca="1">IF(M175="","",M175-TODAY())</f>
        <v/>
      </c>
    </row>
    <row r="176" spans="1:14" ht="14.25" customHeight="1" x14ac:dyDescent="0.35">
      <c r="A176" s="46"/>
      <c r="B176" s="46"/>
      <c r="C176" s="47"/>
      <c r="D176" s="48"/>
      <c r="E176" s="48"/>
      <c r="F176" s="49"/>
      <c r="G176" s="49"/>
      <c r="H176" s="50">
        <v>0</v>
      </c>
      <c r="I176" s="51"/>
      <c r="J176" s="110" t="str">
        <f t="shared" si="12"/>
        <v/>
      </c>
      <c r="K176" s="46"/>
      <c r="M176" s="463" t="str" cm="1">
        <f t="array" ref="M176">IF(AND(L176="On Hold",E176&lt;&gt;"",H176&gt;0),IFERROR(_xlfn.LET(_xlpm.stopSell,EDATE(E176,-'FEFO Analysis'!$B$4),_xlpm.cumAtStop,SUMIFS('Planning Engine'!$F$4:$F$2331,'Planning Engine'!$B$4:$B$2331,A176,'Planning Engine'!$A$4:$A$2331,"&lt;="&amp;_xlpm.stopSell),_xlpm.threshold,_xlpm.cumAtStop-H176,IF(_xlpm.threshold&lt;=0,_xlfn.AGGREGATE(15,6,'Planning Engine'!$A$4:$A$2331/('Planning Engine'!$B$4:$B$2331=A176),1),_xlfn.AGGREGATE(15,6,'Planning Engine'!$A$4:$A$2331/(('Planning Engine'!$B$4:$B$2331=A176)*('Planning Engine'!$AB$4:$AB$2331&gt;_xlpm.threshold)),1))),""),"")</f>
        <v/>
      </c>
      <c r="N176" s="459" t="str">
        <f ca="1">IF(M176="","",M176-TODAY())</f>
        <v/>
      </c>
    </row>
    <row r="177" spans="1:14" ht="14.25" customHeight="1" x14ac:dyDescent="0.35">
      <c r="A177" s="46"/>
      <c r="B177" s="46"/>
      <c r="C177" s="47"/>
      <c r="D177" s="48"/>
      <c r="E177" s="48"/>
      <c r="F177" s="49"/>
      <c r="G177" s="49"/>
      <c r="H177" s="50">
        <v>0</v>
      </c>
      <c r="I177" s="51"/>
      <c r="J177" s="110" t="str">
        <f t="shared" si="12"/>
        <v/>
      </c>
      <c r="K177" s="46"/>
      <c r="M177" s="463" t="str" cm="1">
        <f t="array" ref="M177">IF(AND(L177="On Hold",E177&lt;&gt;"",H177&gt;0),IFERROR(_xlfn.LET(_xlpm.stopSell,EDATE(E177,-'FEFO Analysis'!$B$4),_xlpm.cumAtStop,SUMIFS('Planning Engine'!$F$4:$F$2331,'Planning Engine'!$B$4:$B$2331,A177,'Planning Engine'!$A$4:$A$2331,"&lt;="&amp;_xlpm.stopSell),_xlpm.threshold,_xlpm.cumAtStop-H177,IF(_xlpm.threshold&lt;=0,_xlfn.AGGREGATE(15,6,'Planning Engine'!$A$4:$A$2331/('Planning Engine'!$B$4:$B$2331=A177),1),_xlfn.AGGREGATE(15,6,'Planning Engine'!$A$4:$A$2331/(('Planning Engine'!$B$4:$B$2331=A177)*('Planning Engine'!$AB$4:$AB$2331&gt;_xlpm.threshold)),1))),""),"")</f>
        <v/>
      </c>
      <c r="N177" s="459" t="str">
        <f ca="1">IF(M177="","",M177-TODAY())</f>
        <v/>
      </c>
    </row>
    <row r="178" spans="1:14" ht="14.25" customHeight="1" x14ac:dyDescent="0.35">
      <c r="A178" s="46"/>
      <c r="B178" s="46"/>
      <c r="C178" s="47"/>
      <c r="D178" s="48"/>
      <c r="E178" s="48"/>
      <c r="F178" s="49"/>
      <c r="G178" s="49"/>
      <c r="H178" s="50">
        <v>0</v>
      </c>
      <c r="I178" s="51"/>
      <c r="J178" s="110" t="str">
        <f t="shared" si="12"/>
        <v/>
      </c>
      <c r="K178" s="46"/>
      <c r="M178" s="463" t="str" cm="1">
        <f t="array" ref="M178">IF(AND(L178="On Hold",E178&lt;&gt;"",H178&gt;0),IFERROR(_xlfn.LET(_xlpm.stopSell,EDATE(E178,-'FEFO Analysis'!$B$4),_xlpm.cumAtStop,SUMIFS('Planning Engine'!$F$4:$F$2331,'Planning Engine'!$B$4:$B$2331,A178,'Planning Engine'!$A$4:$A$2331,"&lt;="&amp;_xlpm.stopSell),_xlpm.threshold,_xlpm.cumAtStop-H178,IF(_xlpm.threshold&lt;=0,_xlfn.AGGREGATE(15,6,'Planning Engine'!$A$4:$A$2331/('Planning Engine'!$B$4:$B$2331=A178),1),_xlfn.AGGREGATE(15,6,'Planning Engine'!$A$4:$A$2331/(('Planning Engine'!$B$4:$B$2331=A178)*('Planning Engine'!$AB$4:$AB$2331&gt;_xlpm.threshold)),1))),""),"")</f>
        <v/>
      </c>
      <c r="N178" s="459" t="str">
        <f ca="1">IF(M178="","",M178-TODAY())</f>
        <v/>
      </c>
    </row>
    <row r="179" spans="1:14" ht="14.25" customHeight="1" x14ac:dyDescent="0.35">
      <c r="A179" s="46"/>
      <c r="B179" s="46"/>
      <c r="C179" s="47"/>
      <c r="D179" s="48"/>
      <c r="E179" s="48"/>
      <c r="F179" s="49"/>
      <c r="G179" s="49"/>
      <c r="H179" s="50">
        <v>0</v>
      </c>
      <c r="I179" s="51"/>
      <c r="J179" s="110" t="str">
        <f t="shared" si="12"/>
        <v/>
      </c>
      <c r="K179" s="46"/>
      <c r="M179" s="463" t="str" cm="1">
        <f t="array" ref="M179">IF(AND(L179="On Hold",E179&lt;&gt;"",H179&gt;0),IFERROR(_xlfn.LET(_xlpm.stopSell,EDATE(E179,-'FEFO Analysis'!$B$4),_xlpm.cumAtStop,SUMIFS('Planning Engine'!$F$4:$F$2331,'Planning Engine'!$B$4:$B$2331,A179,'Planning Engine'!$A$4:$A$2331,"&lt;="&amp;_xlpm.stopSell),_xlpm.threshold,_xlpm.cumAtStop-H179,IF(_xlpm.threshold&lt;=0,_xlfn.AGGREGATE(15,6,'Planning Engine'!$A$4:$A$2331/('Planning Engine'!$B$4:$B$2331=A179),1),_xlfn.AGGREGATE(15,6,'Planning Engine'!$A$4:$A$2331/(('Planning Engine'!$B$4:$B$2331=A179)*('Planning Engine'!$AB$4:$AB$2331&gt;_xlpm.threshold)),1))),""),"")</f>
        <v/>
      </c>
      <c r="N179" s="459" t="str">
        <f ca="1">IF(M179="","",M179-TODAY())</f>
        <v/>
      </c>
    </row>
    <row r="180" spans="1:14" ht="14.25" customHeight="1" x14ac:dyDescent="0.35">
      <c r="A180" s="46"/>
      <c r="B180" s="46"/>
      <c r="C180" s="47"/>
      <c r="D180" s="48"/>
      <c r="E180" s="48"/>
      <c r="F180" s="49"/>
      <c r="G180" s="49"/>
      <c r="H180" s="50">
        <v>0</v>
      </c>
      <c r="I180" s="51"/>
      <c r="J180" s="110" t="str">
        <f t="shared" si="12"/>
        <v/>
      </c>
      <c r="K180" s="46"/>
      <c r="M180" s="463" t="str" cm="1">
        <f t="array" ref="M180">IF(AND(L180="On Hold",E180&lt;&gt;"",H180&gt;0),IFERROR(_xlfn.LET(_xlpm.stopSell,EDATE(E180,-'FEFO Analysis'!$B$4),_xlpm.cumAtStop,SUMIFS('Planning Engine'!$F$4:$F$2331,'Planning Engine'!$B$4:$B$2331,A180,'Planning Engine'!$A$4:$A$2331,"&lt;="&amp;_xlpm.stopSell),_xlpm.threshold,_xlpm.cumAtStop-H180,IF(_xlpm.threshold&lt;=0,_xlfn.AGGREGATE(15,6,'Planning Engine'!$A$4:$A$2331/('Planning Engine'!$B$4:$B$2331=A180),1),_xlfn.AGGREGATE(15,6,'Planning Engine'!$A$4:$A$2331/(('Planning Engine'!$B$4:$B$2331=A180)*('Planning Engine'!$AB$4:$AB$2331&gt;_xlpm.threshold)),1))),""),"")</f>
        <v/>
      </c>
      <c r="N180" s="459" t="str">
        <f ca="1">IF(M180="","",M180-TODAY())</f>
        <v/>
      </c>
    </row>
    <row r="181" spans="1:14" ht="14.25" customHeight="1" x14ac:dyDescent="0.35">
      <c r="A181" s="46"/>
      <c r="B181" s="46"/>
      <c r="C181" s="47"/>
      <c r="D181" s="48"/>
      <c r="E181" s="48"/>
      <c r="F181" s="49"/>
      <c r="G181" s="49"/>
      <c r="H181" s="50">
        <v>0</v>
      </c>
      <c r="I181" s="51"/>
      <c r="J181" s="110" t="str">
        <f t="shared" si="12"/>
        <v/>
      </c>
      <c r="K181" s="46"/>
      <c r="M181" s="463" t="str" cm="1">
        <f t="array" ref="M181">IF(AND(L181="On Hold",E181&lt;&gt;"",H181&gt;0),IFERROR(_xlfn.LET(_xlpm.stopSell,EDATE(E181,-'FEFO Analysis'!$B$4),_xlpm.cumAtStop,SUMIFS('Planning Engine'!$F$4:$F$2331,'Planning Engine'!$B$4:$B$2331,A181,'Planning Engine'!$A$4:$A$2331,"&lt;="&amp;_xlpm.stopSell),_xlpm.threshold,_xlpm.cumAtStop-H181,IF(_xlpm.threshold&lt;=0,_xlfn.AGGREGATE(15,6,'Planning Engine'!$A$4:$A$2331/('Planning Engine'!$B$4:$B$2331=A181),1),_xlfn.AGGREGATE(15,6,'Planning Engine'!$A$4:$A$2331/(('Planning Engine'!$B$4:$B$2331=A181)*('Planning Engine'!$AB$4:$AB$2331&gt;_xlpm.threshold)),1))),""),"")</f>
        <v/>
      </c>
      <c r="N181" s="459" t="str">
        <f ca="1">IF(M181="","",M181-TODAY())</f>
        <v/>
      </c>
    </row>
    <row r="182" spans="1:14" ht="14.25" customHeight="1" x14ac:dyDescent="0.35">
      <c r="A182" s="46"/>
      <c r="B182" s="46"/>
      <c r="C182" s="47"/>
      <c r="D182" s="48"/>
      <c r="E182" s="48"/>
      <c r="F182" s="49"/>
      <c r="G182" s="49"/>
      <c r="H182" s="50">
        <v>0</v>
      </c>
      <c r="I182" s="51"/>
      <c r="J182" s="110" t="str">
        <f t="shared" si="12"/>
        <v/>
      </c>
      <c r="K182" s="46"/>
      <c r="M182" s="463" t="str" cm="1">
        <f t="array" ref="M182">IF(AND(L182="On Hold",E182&lt;&gt;"",H182&gt;0),IFERROR(_xlfn.LET(_xlpm.stopSell,EDATE(E182,-'FEFO Analysis'!$B$4),_xlpm.cumAtStop,SUMIFS('Planning Engine'!$F$4:$F$2331,'Planning Engine'!$B$4:$B$2331,A182,'Planning Engine'!$A$4:$A$2331,"&lt;="&amp;_xlpm.stopSell),_xlpm.threshold,_xlpm.cumAtStop-H182,IF(_xlpm.threshold&lt;=0,_xlfn.AGGREGATE(15,6,'Planning Engine'!$A$4:$A$2331/('Planning Engine'!$B$4:$B$2331=A182),1),_xlfn.AGGREGATE(15,6,'Planning Engine'!$A$4:$A$2331/(('Planning Engine'!$B$4:$B$2331=A182)*('Planning Engine'!$AB$4:$AB$2331&gt;_xlpm.threshold)),1))),""),"")</f>
        <v/>
      </c>
      <c r="N182" s="459" t="str">
        <f ca="1">IF(M182="","",M182-TODAY())</f>
        <v/>
      </c>
    </row>
    <row r="183" spans="1:14" ht="14.25" customHeight="1" x14ac:dyDescent="0.35">
      <c r="A183" s="46"/>
      <c r="B183" s="46"/>
      <c r="C183" s="47"/>
      <c r="D183" s="48"/>
      <c r="E183" s="48"/>
      <c r="F183" s="49"/>
      <c r="G183" s="49"/>
      <c r="H183" s="50">
        <v>0</v>
      </c>
      <c r="I183" s="51"/>
      <c r="J183" s="110" t="str">
        <f t="shared" si="12"/>
        <v/>
      </c>
      <c r="K183" s="46"/>
      <c r="M183" s="463" t="str" cm="1">
        <f t="array" ref="M183">IF(AND(L183="On Hold",E183&lt;&gt;"",H183&gt;0),IFERROR(_xlfn.LET(_xlpm.stopSell,EDATE(E183,-'FEFO Analysis'!$B$4),_xlpm.cumAtStop,SUMIFS('Planning Engine'!$F$4:$F$2331,'Planning Engine'!$B$4:$B$2331,A183,'Planning Engine'!$A$4:$A$2331,"&lt;="&amp;_xlpm.stopSell),_xlpm.threshold,_xlpm.cumAtStop-H183,IF(_xlpm.threshold&lt;=0,_xlfn.AGGREGATE(15,6,'Planning Engine'!$A$4:$A$2331/('Planning Engine'!$B$4:$B$2331=A183),1),_xlfn.AGGREGATE(15,6,'Planning Engine'!$A$4:$A$2331/(('Planning Engine'!$B$4:$B$2331=A183)*('Planning Engine'!$AB$4:$AB$2331&gt;_xlpm.threshold)),1))),""),"")</f>
        <v/>
      </c>
      <c r="N183" s="459" t="str">
        <f ca="1">IF(M183="","",M183-TODAY())</f>
        <v/>
      </c>
    </row>
    <row r="184" spans="1:14" ht="14.25" customHeight="1" x14ac:dyDescent="0.35">
      <c r="A184" s="46"/>
      <c r="B184" s="46"/>
      <c r="C184" s="47"/>
      <c r="D184" s="48"/>
      <c r="E184" s="48"/>
      <c r="F184" s="49"/>
      <c r="G184" s="49"/>
      <c r="H184" s="50">
        <v>0</v>
      </c>
      <c r="I184" s="51"/>
      <c r="J184" s="110" t="str">
        <f t="shared" si="12"/>
        <v/>
      </c>
      <c r="K184" s="46"/>
      <c r="M184" s="463" t="str" cm="1">
        <f t="array" ref="M184">IF(AND(L184="On Hold",E184&lt;&gt;"",H184&gt;0),IFERROR(_xlfn.LET(_xlpm.stopSell,EDATE(E184,-'FEFO Analysis'!$B$4),_xlpm.cumAtStop,SUMIFS('Planning Engine'!$F$4:$F$2331,'Planning Engine'!$B$4:$B$2331,A184,'Planning Engine'!$A$4:$A$2331,"&lt;="&amp;_xlpm.stopSell),_xlpm.threshold,_xlpm.cumAtStop-H184,IF(_xlpm.threshold&lt;=0,_xlfn.AGGREGATE(15,6,'Planning Engine'!$A$4:$A$2331/('Planning Engine'!$B$4:$B$2331=A184),1),_xlfn.AGGREGATE(15,6,'Planning Engine'!$A$4:$A$2331/(('Planning Engine'!$B$4:$B$2331=A184)*('Planning Engine'!$AB$4:$AB$2331&gt;_xlpm.threshold)),1))),""),"")</f>
        <v/>
      </c>
      <c r="N184" s="459" t="str">
        <f ca="1">IF(M184="","",M184-TODAY())</f>
        <v/>
      </c>
    </row>
    <row r="185" spans="1:14" ht="14.25" customHeight="1" x14ac:dyDescent="0.35">
      <c r="A185" s="46"/>
      <c r="B185" s="46"/>
      <c r="C185" s="47"/>
      <c r="D185" s="48"/>
      <c r="E185" s="48"/>
      <c r="F185" s="49"/>
      <c r="G185" s="49"/>
      <c r="H185" s="50">
        <v>0</v>
      </c>
      <c r="I185" s="51"/>
      <c r="J185" s="110" t="str">
        <f t="shared" si="12"/>
        <v/>
      </c>
      <c r="K185" s="46"/>
      <c r="M185" s="463" t="str" cm="1">
        <f t="array" ref="M185">IF(AND(L185="On Hold",E185&lt;&gt;"",H185&gt;0),IFERROR(_xlfn.LET(_xlpm.stopSell,EDATE(E185,-'FEFO Analysis'!$B$4),_xlpm.cumAtStop,SUMIFS('Planning Engine'!$F$4:$F$2331,'Planning Engine'!$B$4:$B$2331,A185,'Planning Engine'!$A$4:$A$2331,"&lt;="&amp;_xlpm.stopSell),_xlpm.threshold,_xlpm.cumAtStop-H185,IF(_xlpm.threshold&lt;=0,_xlfn.AGGREGATE(15,6,'Planning Engine'!$A$4:$A$2331/('Planning Engine'!$B$4:$B$2331=A185),1),_xlfn.AGGREGATE(15,6,'Planning Engine'!$A$4:$A$2331/(('Planning Engine'!$B$4:$B$2331=A185)*('Planning Engine'!$AB$4:$AB$2331&gt;_xlpm.threshold)),1))),""),"")</f>
        <v/>
      </c>
      <c r="N185" s="459" t="str">
        <f ca="1">IF(M185="","",M185-TODAY())</f>
        <v/>
      </c>
    </row>
    <row r="186" spans="1:14" ht="14.25" customHeight="1" x14ac:dyDescent="0.35">
      <c r="A186" s="46"/>
      <c r="B186" s="46"/>
      <c r="C186" s="47"/>
      <c r="D186" s="48"/>
      <c r="E186" s="48"/>
      <c r="F186" s="49"/>
      <c r="G186" s="49"/>
      <c r="H186" s="50">
        <v>0</v>
      </c>
      <c r="I186" s="51"/>
      <c r="J186" s="110" t="str">
        <f t="shared" si="12"/>
        <v/>
      </c>
      <c r="K186" s="46"/>
      <c r="M186" s="463" t="str" cm="1">
        <f t="array" ref="M186">IF(AND(L186="On Hold",E186&lt;&gt;"",H186&gt;0),IFERROR(_xlfn.LET(_xlpm.stopSell,EDATE(E186,-'FEFO Analysis'!$B$4),_xlpm.cumAtStop,SUMIFS('Planning Engine'!$F$4:$F$2331,'Planning Engine'!$B$4:$B$2331,A186,'Planning Engine'!$A$4:$A$2331,"&lt;="&amp;_xlpm.stopSell),_xlpm.threshold,_xlpm.cumAtStop-H186,IF(_xlpm.threshold&lt;=0,_xlfn.AGGREGATE(15,6,'Planning Engine'!$A$4:$A$2331/('Planning Engine'!$B$4:$B$2331=A186),1),_xlfn.AGGREGATE(15,6,'Planning Engine'!$A$4:$A$2331/(('Planning Engine'!$B$4:$B$2331=A186)*('Planning Engine'!$AB$4:$AB$2331&gt;_xlpm.threshold)),1))),""),"")</f>
        <v/>
      </c>
      <c r="N186" s="459" t="str">
        <f ca="1">IF(M186="","",M186-TODAY())</f>
        <v/>
      </c>
    </row>
    <row r="187" spans="1:14" ht="14.25" customHeight="1" x14ac:dyDescent="0.35">
      <c r="A187" s="46"/>
      <c r="B187" s="46"/>
      <c r="C187" s="47"/>
      <c r="D187" s="48"/>
      <c r="E187" s="48"/>
      <c r="F187" s="49"/>
      <c r="G187" s="49"/>
      <c r="H187" s="50">
        <v>0</v>
      </c>
      <c r="I187" s="51"/>
      <c r="J187" s="110" t="str">
        <f t="shared" si="12"/>
        <v/>
      </c>
      <c r="K187" s="46"/>
      <c r="M187" s="463" t="str" cm="1">
        <f t="array" ref="M187">IF(AND(L187="On Hold",E187&lt;&gt;"",H187&gt;0),IFERROR(_xlfn.LET(_xlpm.stopSell,EDATE(E187,-'FEFO Analysis'!$B$4),_xlpm.cumAtStop,SUMIFS('Planning Engine'!$F$4:$F$2331,'Planning Engine'!$B$4:$B$2331,A187,'Planning Engine'!$A$4:$A$2331,"&lt;="&amp;_xlpm.stopSell),_xlpm.threshold,_xlpm.cumAtStop-H187,IF(_xlpm.threshold&lt;=0,_xlfn.AGGREGATE(15,6,'Planning Engine'!$A$4:$A$2331/('Planning Engine'!$B$4:$B$2331=A187),1),_xlfn.AGGREGATE(15,6,'Planning Engine'!$A$4:$A$2331/(('Planning Engine'!$B$4:$B$2331=A187)*('Planning Engine'!$AB$4:$AB$2331&gt;_xlpm.threshold)),1))),""),"")</f>
        <v/>
      </c>
      <c r="N187" s="459" t="str">
        <f ca="1">IF(M187="","",M187-TODAY())</f>
        <v/>
      </c>
    </row>
    <row r="188" spans="1:14" ht="14.25" customHeight="1" x14ac:dyDescent="0.35">
      <c r="A188" s="46"/>
      <c r="B188" s="46"/>
      <c r="C188" s="47"/>
      <c r="D188" s="48"/>
      <c r="E188" s="48"/>
      <c r="F188" s="49"/>
      <c r="G188" s="49"/>
      <c r="H188" s="50">
        <v>0</v>
      </c>
      <c r="I188" s="51"/>
      <c r="J188" s="110" t="str">
        <f t="shared" si="12"/>
        <v/>
      </c>
      <c r="K188" s="46"/>
      <c r="M188" s="463" t="str" cm="1">
        <f t="array" ref="M188">IF(AND(L188="On Hold",E188&lt;&gt;"",H188&gt;0),IFERROR(_xlfn.LET(_xlpm.stopSell,EDATE(E188,-'FEFO Analysis'!$B$4),_xlpm.cumAtStop,SUMIFS('Planning Engine'!$F$4:$F$2331,'Planning Engine'!$B$4:$B$2331,A188,'Planning Engine'!$A$4:$A$2331,"&lt;="&amp;_xlpm.stopSell),_xlpm.threshold,_xlpm.cumAtStop-H188,IF(_xlpm.threshold&lt;=0,_xlfn.AGGREGATE(15,6,'Planning Engine'!$A$4:$A$2331/('Planning Engine'!$B$4:$B$2331=A188),1),_xlfn.AGGREGATE(15,6,'Planning Engine'!$A$4:$A$2331/(('Planning Engine'!$B$4:$B$2331=A188)*('Planning Engine'!$AB$4:$AB$2331&gt;_xlpm.threshold)),1))),""),"")</f>
        <v/>
      </c>
      <c r="N188" s="459" t="str">
        <f ca="1">IF(M188="","",M188-TODAY())</f>
        <v/>
      </c>
    </row>
    <row r="189" spans="1:14" ht="14.25" customHeight="1" x14ac:dyDescent="0.35">
      <c r="A189" s="46"/>
      <c r="B189" s="46"/>
      <c r="C189" s="47"/>
      <c r="D189" s="48"/>
      <c r="E189" s="48"/>
      <c r="F189" s="49"/>
      <c r="G189" s="49"/>
      <c r="H189" s="50">
        <v>0</v>
      </c>
      <c r="I189" s="51"/>
      <c r="J189" s="110" t="str">
        <f t="shared" si="12"/>
        <v/>
      </c>
      <c r="K189" s="46"/>
      <c r="M189" s="463" t="str" cm="1">
        <f t="array" ref="M189">IF(AND(L189="On Hold",E189&lt;&gt;"",H189&gt;0),IFERROR(_xlfn.LET(_xlpm.stopSell,EDATE(E189,-'FEFO Analysis'!$B$4),_xlpm.cumAtStop,SUMIFS('Planning Engine'!$F$4:$F$2331,'Planning Engine'!$B$4:$B$2331,A189,'Planning Engine'!$A$4:$A$2331,"&lt;="&amp;_xlpm.stopSell),_xlpm.threshold,_xlpm.cumAtStop-H189,IF(_xlpm.threshold&lt;=0,_xlfn.AGGREGATE(15,6,'Planning Engine'!$A$4:$A$2331/('Planning Engine'!$B$4:$B$2331=A189),1),_xlfn.AGGREGATE(15,6,'Planning Engine'!$A$4:$A$2331/(('Planning Engine'!$B$4:$B$2331=A189)*('Planning Engine'!$AB$4:$AB$2331&gt;_xlpm.threshold)),1))),""),"")</f>
        <v/>
      </c>
      <c r="N189" s="459" t="str">
        <f ca="1">IF(M189="","",M189-TODAY())</f>
        <v/>
      </c>
    </row>
    <row r="190" spans="1:14" ht="14.25" customHeight="1" x14ac:dyDescent="0.35">
      <c r="A190" s="46"/>
      <c r="B190" s="46"/>
      <c r="C190" s="47"/>
      <c r="D190" s="48"/>
      <c r="E190" s="48"/>
      <c r="F190" s="49"/>
      <c r="G190" s="49"/>
      <c r="H190" s="50">
        <v>0</v>
      </c>
      <c r="I190" s="51"/>
      <c r="J190" s="110" t="str">
        <f t="shared" si="12"/>
        <v/>
      </c>
      <c r="K190" s="46"/>
      <c r="M190" s="463" t="str" cm="1">
        <f t="array" ref="M190">IF(AND(L190="On Hold",E190&lt;&gt;"",H190&gt;0),IFERROR(_xlfn.LET(_xlpm.stopSell,EDATE(E190,-'FEFO Analysis'!$B$4),_xlpm.cumAtStop,SUMIFS('Planning Engine'!$F$4:$F$2331,'Planning Engine'!$B$4:$B$2331,A190,'Planning Engine'!$A$4:$A$2331,"&lt;="&amp;_xlpm.stopSell),_xlpm.threshold,_xlpm.cumAtStop-H190,IF(_xlpm.threshold&lt;=0,_xlfn.AGGREGATE(15,6,'Planning Engine'!$A$4:$A$2331/('Planning Engine'!$B$4:$B$2331=A190),1),_xlfn.AGGREGATE(15,6,'Planning Engine'!$A$4:$A$2331/(('Planning Engine'!$B$4:$B$2331=A190)*('Planning Engine'!$AB$4:$AB$2331&gt;_xlpm.threshold)),1))),""),"")</f>
        <v/>
      </c>
      <c r="N190" s="459" t="str">
        <f ca="1">IF(M190="","",M190-TODAY())</f>
        <v/>
      </c>
    </row>
    <row r="191" spans="1:14" ht="14.25" customHeight="1" x14ac:dyDescent="0.35">
      <c r="A191" s="46"/>
      <c r="B191" s="46"/>
      <c r="C191" s="47"/>
      <c r="D191" s="48"/>
      <c r="E191" s="48"/>
      <c r="F191" s="49"/>
      <c r="G191" s="49"/>
      <c r="H191" s="50">
        <v>0</v>
      </c>
      <c r="I191" s="51"/>
      <c r="J191" s="110" t="str">
        <f t="shared" si="12"/>
        <v/>
      </c>
      <c r="K191" s="46"/>
      <c r="M191" s="463" t="str" cm="1">
        <f t="array" ref="M191">IF(AND(L191="On Hold",E191&lt;&gt;"",H191&gt;0),IFERROR(_xlfn.LET(_xlpm.stopSell,EDATE(E191,-'FEFO Analysis'!$B$4),_xlpm.cumAtStop,SUMIFS('Planning Engine'!$F$4:$F$2331,'Planning Engine'!$B$4:$B$2331,A191,'Planning Engine'!$A$4:$A$2331,"&lt;="&amp;_xlpm.stopSell),_xlpm.threshold,_xlpm.cumAtStop-H191,IF(_xlpm.threshold&lt;=0,_xlfn.AGGREGATE(15,6,'Planning Engine'!$A$4:$A$2331/('Planning Engine'!$B$4:$B$2331=A191),1),_xlfn.AGGREGATE(15,6,'Planning Engine'!$A$4:$A$2331/(('Planning Engine'!$B$4:$B$2331=A191)*('Planning Engine'!$AB$4:$AB$2331&gt;_xlpm.threshold)),1))),""),"")</f>
        <v/>
      </c>
      <c r="N191" s="459" t="str">
        <f ca="1">IF(M191="","",M191-TODAY())</f>
        <v/>
      </c>
    </row>
    <row r="192" spans="1:14" ht="14.25" customHeight="1" x14ac:dyDescent="0.35">
      <c r="A192" s="46"/>
      <c r="B192" s="46"/>
      <c r="C192" s="47"/>
      <c r="D192" s="48"/>
      <c r="E192" s="48"/>
      <c r="F192" s="49"/>
      <c r="G192" s="49"/>
      <c r="H192" s="50">
        <v>0</v>
      </c>
      <c r="I192" s="51"/>
      <c r="J192" s="110" t="str">
        <f t="shared" si="12"/>
        <v/>
      </c>
      <c r="K192" s="46"/>
      <c r="M192" s="463" t="str" cm="1">
        <f t="array" ref="M192">IF(AND(L192="On Hold",E192&lt;&gt;"",H192&gt;0),IFERROR(_xlfn.LET(_xlpm.stopSell,EDATE(E192,-'FEFO Analysis'!$B$4),_xlpm.cumAtStop,SUMIFS('Planning Engine'!$F$4:$F$2331,'Planning Engine'!$B$4:$B$2331,A192,'Planning Engine'!$A$4:$A$2331,"&lt;="&amp;_xlpm.stopSell),_xlpm.threshold,_xlpm.cumAtStop-H192,IF(_xlpm.threshold&lt;=0,_xlfn.AGGREGATE(15,6,'Planning Engine'!$A$4:$A$2331/('Planning Engine'!$B$4:$B$2331=A192),1),_xlfn.AGGREGATE(15,6,'Planning Engine'!$A$4:$A$2331/(('Planning Engine'!$B$4:$B$2331=A192)*('Planning Engine'!$AB$4:$AB$2331&gt;_xlpm.threshold)),1))),""),"")</f>
        <v/>
      </c>
      <c r="N192" s="459" t="str">
        <f ca="1">IF(M192="","",M192-TODAY())</f>
        <v/>
      </c>
    </row>
    <row r="193" spans="1:14" ht="14.25" customHeight="1" x14ac:dyDescent="0.35">
      <c r="A193" s="46"/>
      <c r="B193" s="46"/>
      <c r="C193" s="47"/>
      <c r="D193" s="48"/>
      <c r="E193" s="48"/>
      <c r="F193" s="49"/>
      <c r="G193" s="49"/>
      <c r="H193" s="50">
        <v>0</v>
      </c>
      <c r="I193" s="51"/>
      <c r="J193" s="110" t="str">
        <f t="shared" si="12"/>
        <v/>
      </c>
      <c r="K193" s="46"/>
      <c r="M193" s="463" t="str" cm="1">
        <f t="array" ref="M193">IF(AND(L193="On Hold",E193&lt;&gt;"",H193&gt;0),IFERROR(_xlfn.LET(_xlpm.stopSell,EDATE(E193,-'FEFO Analysis'!$B$4),_xlpm.cumAtStop,SUMIFS('Planning Engine'!$F$4:$F$2331,'Planning Engine'!$B$4:$B$2331,A193,'Planning Engine'!$A$4:$A$2331,"&lt;="&amp;_xlpm.stopSell),_xlpm.threshold,_xlpm.cumAtStop-H193,IF(_xlpm.threshold&lt;=0,_xlfn.AGGREGATE(15,6,'Planning Engine'!$A$4:$A$2331/('Planning Engine'!$B$4:$B$2331=A193),1),_xlfn.AGGREGATE(15,6,'Planning Engine'!$A$4:$A$2331/(('Planning Engine'!$B$4:$B$2331=A193)*('Planning Engine'!$AB$4:$AB$2331&gt;_xlpm.threshold)),1))),""),"")</f>
        <v/>
      </c>
      <c r="N193" s="459" t="str">
        <f ca="1">IF(M193="","",M193-TODAY())</f>
        <v/>
      </c>
    </row>
    <row r="194" spans="1:14" ht="14.25" customHeight="1" x14ac:dyDescent="0.35">
      <c r="A194" s="46"/>
      <c r="B194" s="46"/>
      <c r="C194" s="47"/>
      <c r="D194" s="48"/>
      <c r="E194" s="48"/>
      <c r="F194" s="49"/>
      <c r="G194" s="49"/>
      <c r="H194" s="50">
        <v>0</v>
      </c>
      <c r="I194" s="51"/>
      <c r="J194" s="110" t="str">
        <f t="shared" si="12"/>
        <v/>
      </c>
      <c r="K194" s="46"/>
      <c r="M194" s="463" t="str" cm="1">
        <f t="array" ref="M194">IF(AND(L194="On Hold",E194&lt;&gt;"",H194&gt;0),IFERROR(_xlfn.LET(_xlpm.stopSell,EDATE(E194,-'FEFO Analysis'!$B$4),_xlpm.cumAtStop,SUMIFS('Planning Engine'!$F$4:$F$2331,'Planning Engine'!$B$4:$B$2331,A194,'Planning Engine'!$A$4:$A$2331,"&lt;="&amp;_xlpm.stopSell),_xlpm.threshold,_xlpm.cumAtStop-H194,IF(_xlpm.threshold&lt;=0,_xlfn.AGGREGATE(15,6,'Planning Engine'!$A$4:$A$2331/('Planning Engine'!$B$4:$B$2331=A194),1),_xlfn.AGGREGATE(15,6,'Planning Engine'!$A$4:$A$2331/(('Planning Engine'!$B$4:$B$2331=A194)*('Planning Engine'!$AB$4:$AB$2331&gt;_xlpm.threshold)),1))),""),"")</f>
        <v/>
      </c>
      <c r="N194" s="459" t="str">
        <f ca="1">IF(M194="","",M194-TODAY())</f>
        <v/>
      </c>
    </row>
    <row r="195" spans="1:14" ht="14.25" customHeight="1" x14ac:dyDescent="0.35">
      <c r="A195" s="46"/>
      <c r="B195" s="46"/>
      <c r="C195" s="47"/>
      <c r="D195" s="48"/>
      <c r="E195" s="48"/>
      <c r="F195" s="49"/>
      <c r="G195" s="49"/>
      <c r="H195" s="50">
        <v>0</v>
      </c>
      <c r="I195" s="51"/>
      <c r="J195" s="110" t="str">
        <f t="shared" si="12"/>
        <v/>
      </c>
      <c r="K195" s="46"/>
      <c r="M195" s="463" t="str" cm="1">
        <f t="array" ref="M195">IF(AND(L195="On Hold",E195&lt;&gt;"",H195&gt;0),IFERROR(_xlfn.LET(_xlpm.stopSell,EDATE(E195,-'FEFO Analysis'!$B$4),_xlpm.cumAtStop,SUMIFS('Planning Engine'!$F$4:$F$2331,'Planning Engine'!$B$4:$B$2331,A195,'Planning Engine'!$A$4:$A$2331,"&lt;="&amp;_xlpm.stopSell),_xlpm.threshold,_xlpm.cumAtStop-H195,IF(_xlpm.threshold&lt;=0,_xlfn.AGGREGATE(15,6,'Planning Engine'!$A$4:$A$2331/('Planning Engine'!$B$4:$B$2331=A195),1),_xlfn.AGGREGATE(15,6,'Planning Engine'!$A$4:$A$2331/(('Planning Engine'!$B$4:$B$2331=A195)*('Planning Engine'!$AB$4:$AB$2331&gt;_xlpm.threshold)),1))),""),"")</f>
        <v/>
      </c>
      <c r="N195" s="459" t="str">
        <f ca="1">IF(M195="","",M195-TODAY())</f>
        <v/>
      </c>
    </row>
    <row r="196" spans="1:14" ht="14.25" customHeight="1" x14ac:dyDescent="0.35">
      <c r="A196" s="46"/>
      <c r="B196" s="46"/>
      <c r="C196" s="47"/>
      <c r="D196" s="48"/>
      <c r="E196" s="48"/>
      <c r="F196" s="49"/>
      <c r="G196" s="49"/>
      <c r="H196" s="50">
        <v>0</v>
      </c>
      <c r="I196" s="51"/>
      <c r="J196" s="110" t="str">
        <f t="shared" si="12"/>
        <v/>
      </c>
      <c r="K196" s="46"/>
      <c r="M196" s="463" t="str" cm="1">
        <f t="array" ref="M196">IF(AND(L196="On Hold",E196&lt;&gt;"",H196&gt;0),IFERROR(_xlfn.LET(_xlpm.stopSell,EDATE(E196,-'FEFO Analysis'!$B$4),_xlpm.cumAtStop,SUMIFS('Planning Engine'!$F$4:$F$2331,'Planning Engine'!$B$4:$B$2331,A196,'Planning Engine'!$A$4:$A$2331,"&lt;="&amp;_xlpm.stopSell),_xlpm.threshold,_xlpm.cumAtStop-H196,IF(_xlpm.threshold&lt;=0,_xlfn.AGGREGATE(15,6,'Planning Engine'!$A$4:$A$2331/('Planning Engine'!$B$4:$B$2331=A196),1),_xlfn.AGGREGATE(15,6,'Planning Engine'!$A$4:$A$2331/(('Planning Engine'!$B$4:$B$2331=A196)*('Planning Engine'!$AB$4:$AB$2331&gt;_xlpm.threshold)),1))),""),"")</f>
        <v/>
      </c>
      <c r="N196" s="459" t="str">
        <f ca="1">IF(M196="","",M196-TODAY())</f>
        <v/>
      </c>
    </row>
    <row r="197" spans="1:14" ht="14.25" customHeight="1" x14ac:dyDescent="0.35">
      <c r="A197" s="46"/>
      <c r="B197" s="46"/>
      <c r="C197" s="47"/>
      <c r="D197" s="48"/>
      <c r="E197" s="48"/>
      <c r="F197" s="49"/>
      <c r="G197" s="49"/>
      <c r="H197" s="50">
        <v>0</v>
      </c>
      <c r="I197" s="51"/>
      <c r="J197" s="110" t="str">
        <f t="shared" si="12"/>
        <v/>
      </c>
      <c r="K197" s="46"/>
      <c r="M197" s="463" t="str" cm="1">
        <f t="array" ref="M197">IF(AND(L197="On Hold",E197&lt;&gt;"",H197&gt;0),IFERROR(_xlfn.LET(_xlpm.stopSell,EDATE(E197,-'FEFO Analysis'!$B$4),_xlpm.cumAtStop,SUMIFS('Planning Engine'!$F$4:$F$2331,'Planning Engine'!$B$4:$B$2331,A197,'Planning Engine'!$A$4:$A$2331,"&lt;="&amp;_xlpm.stopSell),_xlpm.threshold,_xlpm.cumAtStop-H197,IF(_xlpm.threshold&lt;=0,_xlfn.AGGREGATE(15,6,'Planning Engine'!$A$4:$A$2331/('Planning Engine'!$B$4:$B$2331=A197),1),_xlfn.AGGREGATE(15,6,'Planning Engine'!$A$4:$A$2331/(('Planning Engine'!$B$4:$B$2331=A197)*('Planning Engine'!$AB$4:$AB$2331&gt;_xlpm.threshold)),1))),""),"")</f>
        <v/>
      </c>
      <c r="N197" s="459" t="str">
        <f ca="1">IF(M197="","",M197-TODAY())</f>
        <v/>
      </c>
    </row>
    <row r="198" spans="1:14" ht="14.25" customHeight="1" x14ac:dyDescent="0.35">
      <c r="A198" s="46"/>
      <c r="B198" s="46"/>
      <c r="C198" s="47"/>
      <c r="D198" s="48"/>
      <c r="E198" s="48"/>
      <c r="F198" s="49"/>
      <c r="G198" s="49"/>
      <c r="H198" s="50">
        <v>0</v>
      </c>
      <c r="I198" s="51"/>
      <c r="J198" s="110" t="str">
        <f t="shared" ref="J198:J261" si="13">IF(E198&lt;&gt;"",E198+ROW()/1000000,"")</f>
        <v/>
      </c>
      <c r="K198" s="46"/>
      <c r="M198" s="463" t="str" cm="1">
        <f t="array" ref="M198">IF(AND(L198="On Hold",E198&lt;&gt;"",H198&gt;0),IFERROR(_xlfn.LET(_xlpm.stopSell,EDATE(E198,-'FEFO Analysis'!$B$4),_xlpm.cumAtStop,SUMIFS('Planning Engine'!$F$4:$F$2331,'Planning Engine'!$B$4:$B$2331,A198,'Planning Engine'!$A$4:$A$2331,"&lt;="&amp;_xlpm.stopSell),_xlpm.threshold,_xlpm.cumAtStop-H198,IF(_xlpm.threshold&lt;=0,_xlfn.AGGREGATE(15,6,'Planning Engine'!$A$4:$A$2331/('Planning Engine'!$B$4:$B$2331=A198),1),_xlfn.AGGREGATE(15,6,'Planning Engine'!$A$4:$A$2331/(('Planning Engine'!$B$4:$B$2331=A198)*('Planning Engine'!$AB$4:$AB$2331&gt;_xlpm.threshold)),1))),""),"")</f>
        <v/>
      </c>
      <c r="N198" s="459" t="str">
        <f ca="1">IF(M198="","",M198-TODAY())</f>
        <v/>
      </c>
    </row>
    <row r="199" spans="1:14" ht="14.25" customHeight="1" x14ac:dyDescent="0.35">
      <c r="A199" s="46"/>
      <c r="B199" s="46"/>
      <c r="C199" s="47"/>
      <c r="D199" s="48"/>
      <c r="E199" s="48"/>
      <c r="F199" s="49"/>
      <c r="G199" s="49"/>
      <c r="H199" s="50">
        <v>0</v>
      </c>
      <c r="I199" s="51"/>
      <c r="J199" s="110" t="str">
        <f t="shared" si="13"/>
        <v/>
      </c>
      <c r="K199" s="46"/>
      <c r="M199" s="463" t="str" cm="1">
        <f t="array" ref="M199">IF(AND(L199="On Hold",E199&lt;&gt;"",H199&gt;0),IFERROR(_xlfn.LET(_xlpm.stopSell,EDATE(E199,-'FEFO Analysis'!$B$4),_xlpm.cumAtStop,SUMIFS('Planning Engine'!$F$4:$F$2331,'Planning Engine'!$B$4:$B$2331,A199,'Planning Engine'!$A$4:$A$2331,"&lt;="&amp;_xlpm.stopSell),_xlpm.threshold,_xlpm.cumAtStop-H199,IF(_xlpm.threshold&lt;=0,_xlfn.AGGREGATE(15,6,'Planning Engine'!$A$4:$A$2331/('Planning Engine'!$B$4:$B$2331=A199),1),_xlfn.AGGREGATE(15,6,'Planning Engine'!$A$4:$A$2331/(('Planning Engine'!$B$4:$B$2331=A199)*('Planning Engine'!$AB$4:$AB$2331&gt;_xlpm.threshold)),1))),""),"")</f>
        <v/>
      </c>
      <c r="N199" s="459" t="str">
        <f ca="1">IF(M199="","",M199-TODAY())</f>
        <v/>
      </c>
    </row>
    <row r="200" spans="1:14" ht="14.25" customHeight="1" x14ac:dyDescent="0.35">
      <c r="A200" s="46"/>
      <c r="B200" s="46"/>
      <c r="C200" s="47"/>
      <c r="D200" s="48"/>
      <c r="E200" s="48"/>
      <c r="F200" s="49"/>
      <c r="G200" s="49"/>
      <c r="H200" s="50">
        <v>0</v>
      </c>
      <c r="I200" s="51"/>
      <c r="J200" s="110" t="str">
        <f t="shared" si="13"/>
        <v/>
      </c>
      <c r="K200" s="46"/>
      <c r="M200" s="463" t="str" cm="1">
        <f t="array" ref="M200">IF(AND(L200="On Hold",E200&lt;&gt;"",H200&gt;0),IFERROR(_xlfn.LET(_xlpm.stopSell,EDATE(E200,-'FEFO Analysis'!$B$4),_xlpm.cumAtStop,SUMIFS('Planning Engine'!$F$4:$F$2331,'Planning Engine'!$B$4:$B$2331,A200,'Planning Engine'!$A$4:$A$2331,"&lt;="&amp;_xlpm.stopSell),_xlpm.threshold,_xlpm.cumAtStop-H200,IF(_xlpm.threshold&lt;=0,_xlfn.AGGREGATE(15,6,'Planning Engine'!$A$4:$A$2331/('Planning Engine'!$B$4:$B$2331=A200),1),_xlfn.AGGREGATE(15,6,'Planning Engine'!$A$4:$A$2331/(('Planning Engine'!$B$4:$B$2331=A200)*('Planning Engine'!$AB$4:$AB$2331&gt;_xlpm.threshold)),1))),""),"")</f>
        <v/>
      </c>
      <c r="N200" s="459" t="str">
        <f ca="1">IF(M200="","",M200-TODAY())</f>
        <v/>
      </c>
    </row>
    <row r="201" spans="1:14" ht="14.25" customHeight="1" x14ac:dyDescent="0.35">
      <c r="A201" s="46"/>
      <c r="B201" s="46"/>
      <c r="C201" s="47"/>
      <c r="D201" s="48"/>
      <c r="E201" s="48"/>
      <c r="F201" s="49"/>
      <c r="G201" s="49"/>
      <c r="H201" s="50">
        <v>0</v>
      </c>
      <c r="I201" s="51"/>
      <c r="J201" s="110" t="str">
        <f t="shared" si="13"/>
        <v/>
      </c>
      <c r="K201" s="46"/>
      <c r="M201" s="463" t="str" cm="1">
        <f t="array" ref="M201">IF(AND(L201="On Hold",E201&lt;&gt;"",H201&gt;0),IFERROR(_xlfn.LET(_xlpm.stopSell,EDATE(E201,-'FEFO Analysis'!$B$4),_xlpm.cumAtStop,SUMIFS('Planning Engine'!$F$4:$F$2331,'Planning Engine'!$B$4:$B$2331,A201,'Planning Engine'!$A$4:$A$2331,"&lt;="&amp;_xlpm.stopSell),_xlpm.threshold,_xlpm.cumAtStop-H201,IF(_xlpm.threshold&lt;=0,_xlfn.AGGREGATE(15,6,'Planning Engine'!$A$4:$A$2331/('Planning Engine'!$B$4:$B$2331=A201),1),_xlfn.AGGREGATE(15,6,'Planning Engine'!$A$4:$A$2331/(('Planning Engine'!$B$4:$B$2331=A201)*('Planning Engine'!$AB$4:$AB$2331&gt;_xlpm.threshold)),1))),""),"")</f>
        <v/>
      </c>
      <c r="N201" s="459" t="str">
        <f ca="1">IF(M201="","",M201-TODAY())</f>
        <v/>
      </c>
    </row>
    <row r="202" spans="1:14" ht="14.25" customHeight="1" x14ac:dyDescent="0.35">
      <c r="A202" s="46"/>
      <c r="B202" s="46"/>
      <c r="C202" s="47"/>
      <c r="D202" s="48"/>
      <c r="E202" s="48"/>
      <c r="F202" s="49"/>
      <c r="G202" s="49"/>
      <c r="H202" s="50">
        <v>0</v>
      </c>
      <c r="I202" s="51"/>
      <c r="J202" s="110" t="str">
        <f t="shared" si="13"/>
        <v/>
      </c>
      <c r="K202" s="46"/>
      <c r="M202" s="463" t="str" cm="1">
        <f t="array" ref="M202">IF(AND(L202="On Hold",E202&lt;&gt;"",H202&gt;0),IFERROR(_xlfn.LET(_xlpm.stopSell,EDATE(E202,-'FEFO Analysis'!$B$4),_xlpm.cumAtStop,SUMIFS('Planning Engine'!$F$4:$F$2331,'Planning Engine'!$B$4:$B$2331,A202,'Planning Engine'!$A$4:$A$2331,"&lt;="&amp;_xlpm.stopSell),_xlpm.threshold,_xlpm.cumAtStop-H202,IF(_xlpm.threshold&lt;=0,_xlfn.AGGREGATE(15,6,'Planning Engine'!$A$4:$A$2331/('Planning Engine'!$B$4:$B$2331=A202),1),_xlfn.AGGREGATE(15,6,'Planning Engine'!$A$4:$A$2331/(('Planning Engine'!$B$4:$B$2331=A202)*('Planning Engine'!$AB$4:$AB$2331&gt;_xlpm.threshold)),1))),""),"")</f>
        <v/>
      </c>
      <c r="N202" s="459" t="str">
        <f ca="1">IF(M202="","",M202-TODAY())</f>
        <v/>
      </c>
    </row>
    <row r="203" spans="1:14" ht="14.25" customHeight="1" x14ac:dyDescent="0.35">
      <c r="A203" s="46"/>
      <c r="B203" s="46"/>
      <c r="C203" s="47"/>
      <c r="D203" s="48"/>
      <c r="E203" s="48"/>
      <c r="F203" s="49"/>
      <c r="G203" s="49"/>
      <c r="H203" s="50">
        <v>0</v>
      </c>
      <c r="I203" s="51"/>
      <c r="J203" s="110" t="str">
        <f t="shared" si="13"/>
        <v/>
      </c>
      <c r="K203" s="46"/>
      <c r="M203" s="463" t="str" cm="1">
        <f t="array" ref="M203">IF(AND(L203="On Hold",E203&lt;&gt;"",H203&gt;0),IFERROR(_xlfn.LET(_xlpm.stopSell,EDATE(E203,-'FEFO Analysis'!$B$4),_xlpm.cumAtStop,SUMIFS('Planning Engine'!$F$4:$F$2331,'Planning Engine'!$B$4:$B$2331,A203,'Planning Engine'!$A$4:$A$2331,"&lt;="&amp;_xlpm.stopSell),_xlpm.threshold,_xlpm.cumAtStop-H203,IF(_xlpm.threshold&lt;=0,_xlfn.AGGREGATE(15,6,'Planning Engine'!$A$4:$A$2331/('Planning Engine'!$B$4:$B$2331=A203),1),_xlfn.AGGREGATE(15,6,'Planning Engine'!$A$4:$A$2331/(('Planning Engine'!$B$4:$B$2331=A203)*('Planning Engine'!$AB$4:$AB$2331&gt;_xlpm.threshold)),1))),""),"")</f>
        <v/>
      </c>
      <c r="N203" s="459" t="str">
        <f ca="1">IF(M203="","",M203-TODAY())</f>
        <v/>
      </c>
    </row>
    <row r="204" spans="1:14" ht="14.25" customHeight="1" x14ac:dyDescent="0.35">
      <c r="A204" s="46"/>
      <c r="B204" s="46"/>
      <c r="C204" s="47"/>
      <c r="D204" s="48"/>
      <c r="E204" s="48"/>
      <c r="F204" s="49"/>
      <c r="G204" s="49"/>
      <c r="H204" s="50">
        <v>0</v>
      </c>
      <c r="I204" s="51"/>
      <c r="J204" s="110" t="str">
        <f t="shared" si="13"/>
        <v/>
      </c>
      <c r="K204" s="46"/>
      <c r="M204" s="463" t="str" cm="1">
        <f t="array" ref="M204">IF(AND(L204="On Hold",E204&lt;&gt;"",H204&gt;0),IFERROR(_xlfn.LET(_xlpm.stopSell,EDATE(E204,-'FEFO Analysis'!$B$4),_xlpm.cumAtStop,SUMIFS('Planning Engine'!$F$4:$F$2331,'Planning Engine'!$B$4:$B$2331,A204,'Planning Engine'!$A$4:$A$2331,"&lt;="&amp;_xlpm.stopSell),_xlpm.threshold,_xlpm.cumAtStop-H204,IF(_xlpm.threshold&lt;=0,_xlfn.AGGREGATE(15,6,'Planning Engine'!$A$4:$A$2331/('Planning Engine'!$B$4:$B$2331=A204),1),_xlfn.AGGREGATE(15,6,'Planning Engine'!$A$4:$A$2331/(('Planning Engine'!$B$4:$B$2331=A204)*('Planning Engine'!$AB$4:$AB$2331&gt;_xlpm.threshold)),1))),""),"")</f>
        <v/>
      </c>
      <c r="N204" s="459" t="str">
        <f ca="1">IF(M204="","",M204-TODAY())</f>
        <v/>
      </c>
    </row>
    <row r="205" spans="1:14" ht="14.25" customHeight="1" x14ac:dyDescent="0.35">
      <c r="A205" s="46"/>
      <c r="B205" s="46"/>
      <c r="C205" s="47"/>
      <c r="D205" s="48"/>
      <c r="E205" s="48"/>
      <c r="F205" s="49"/>
      <c r="G205" s="49"/>
      <c r="H205" s="50">
        <v>0</v>
      </c>
      <c r="I205" s="51"/>
      <c r="J205" s="110" t="str">
        <f t="shared" si="13"/>
        <v/>
      </c>
      <c r="K205" s="46"/>
      <c r="M205" s="463" t="str" cm="1">
        <f t="array" ref="M205">IF(AND(L205="On Hold",E205&lt;&gt;"",H205&gt;0),IFERROR(_xlfn.LET(_xlpm.stopSell,EDATE(E205,-'FEFO Analysis'!$B$4),_xlpm.cumAtStop,SUMIFS('Planning Engine'!$F$4:$F$2331,'Planning Engine'!$B$4:$B$2331,A205,'Planning Engine'!$A$4:$A$2331,"&lt;="&amp;_xlpm.stopSell),_xlpm.threshold,_xlpm.cumAtStop-H205,IF(_xlpm.threshold&lt;=0,_xlfn.AGGREGATE(15,6,'Planning Engine'!$A$4:$A$2331/('Planning Engine'!$B$4:$B$2331=A205),1),_xlfn.AGGREGATE(15,6,'Planning Engine'!$A$4:$A$2331/(('Planning Engine'!$B$4:$B$2331=A205)*('Planning Engine'!$AB$4:$AB$2331&gt;_xlpm.threshold)),1))),""),"")</f>
        <v/>
      </c>
      <c r="N205" s="459" t="str">
        <f ca="1">IF(M205="","",M205-TODAY())</f>
        <v/>
      </c>
    </row>
    <row r="206" spans="1:14" ht="14.25" customHeight="1" x14ac:dyDescent="0.35">
      <c r="A206" s="46"/>
      <c r="B206" s="46"/>
      <c r="C206" s="47"/>
      <c r="D206" s="48"/>
      <c r="E206" s="48"/>
      <c r="F206" s="49"/>
      <c r="G206" s="49"/>
      <c r="H206" s="50">
        <v>0</v>
      </c>
      <c r="I206" s="51"/>
      <c r="J206" s="110" t="str">
        <f t="shared" si="13"/>
        <v/>
      </c>
      <c r="K206" s="46"/>
      <c r="M206" s="463" t="str" cm="1">
        <f t="array" ref="M206">IF(AND(L206="On Hold",E206&lt;&gt;"",H206&gt;0),IFERROR(_xlfn.LET(_xlpm.stopSell,EDATE(E206,-'FEFO Analysis'!$B$4),_xlpm.cumAtStop,SUMIFS('Planning Engine'!$F$4:$F$2331,'Planning Engine'!$B$4:$B$2331,A206,'Planning Engine'!$A$4:$A$2331,"&lt;="&amp;_xlpm.stopSell),_xlpm.threshold,_xlpm.cumAtStop-H206,IF(_xlpm.threshold&lt;=0,_xlfn.AGGREGATE(15,6,'Planning Engine'!$A$4:$A$2331/('Planning Engine'!$B$4:$B$2331=A206),1),_xlfn.AGGREGATE(15,6,'Planning Engine'!$A$4:$A$2331/(('Planning Engine'!$B$4:$B$2331=A206)*('Planning Engine'!$AB$4:$AB$2331&gt;_xlpm.threshold)),1))),""),"")</f>
        <v/>
      </c>
      <c r="N206" s="459" t="str">
        <f ca="1">IF(M206="","",M206-TODAY())</f>
        <v/>
      </c>
    </row>
    <row r="207" spans="1:14" ht="14.25" customHeight="1" x14ac:dyDescent="0.35">
      <c r="A207" s="46"/>
      <c r="B207" s="46"/>
      <c r="C207" s="47"/>
      <c r="D207" s="48"/>
      <c r="E207" s="48"/>
      <c r="F207" s="49"/>
      <c r="G207" s="49"/>
      <c r="H207" s="50">
        <v>0</v>
      </c>
      <c r="I207" s="51"/>
      <c r="J207" s="110" t="str">
        <f t="shared" si="13"/>
        <v/>
      </c>
      <c r="K207" s="46"/>
      <c r="M207" s="463" t="str" cm="1">
        <f t="array" ref="M207">IF(AND(L207="On Hold",E207&lt;&gt;"",H207&gt;0),IFERROR(_xlfn.LET(_xlpm.stopSell,EDATE(E207,-'FEFO Analysis'!$B$4),_xlpm.cumAtStop,SUMIFS('Planning Engine'!$F$4:$F$2331,'Planning Engine'!$B$4:$B$2331,A207,'Planning Engine'!$A$4:$A$2331,"&lt;="&amp;_xlpm.stopSell),_xlpm.threshold,_xlpm.cumAtStop-H207,IF(_xlpm.threshold&lt;=0,_xlfn.AGGREGATE(15,6,'Planning Engine'!$A$4:$A$2331/('Planning Engine'!$B$4:$B$2331=A207),1),_xlfn.AGGREGATE(15,6,'Planning Engine'!$A$4:$A$2331/(('Planning Engine'!$B$4:$B$2331=A207)*('Planning Engine'!$AB$4:$AB$2331&gt;_xlpm.threshold)),1))),""),"")</f>
        <v/>
      </c>
      <c r="N207" s="459" t="str">
        <f ca="1">IF(M207="","",M207-TODAY())</f>
        <v/>
      </c>
    </row>
    <row r="208" spans="1:14" ht="14.25" customHeight="1" x14ac:dyDescent="0.35">
      <c r="A208" s="46"/>
      <c r="B208" s="46"/>
      <c r="C208" s="47"/>
      <c r="D208" s="48"/>
      <c r="E208" s="48"/>
      <c r="F208" s="49"/>
      <c r="G208" s="49"/>
      <c r="H208" s="50">
        <v>0</v>
      </c>
      <c r="I208" s="51"/>
      <c r="J208" s="110" t="str">
        <f t="shared" si="13"/>
        <v/>
      </c>
      <c r="K208" s="46"/>
      <c r="M208" s="463" t="str" cm="1">
        <f t="array" ref="M208">IF(AND(L208="On Hold",E208&lt;&gt;"",H208&gt;0),IFERROR(_xlfn.LET(_xlpm.stopSell,EDATE(E208,-'FEFO Analysis'!$B$4),_xlpm.cumAtStop,SUMIFS('Planning Engine'!$F$4:$F$2331,'Planning Engine'!$B$4:$B$2331,A208,'Planning Engine'!$A$4:$A$2331,"&lt;="&amp;_xlpm.stopSell),_xlpm.threshold,_xlpm.cumAtStop-H208,IF(_xlpm.threshold&lt;=0,_xlfn.AGGREGATE(15,6,'Planning Engine'!$A$4:$A$2331/('Planning Engine'!$B$4:$B$2331=A208),1),_xlfn.AGGREGATE(15,6,'Planning Engine'!$A$4:$A$2331/(('Planning Engine'!$B$4:$B$2331=A208)*('Planning Engine'!$AB$4:$AB$2331&gt;_xlpm.threshold)),1))),""),"")</f>
        <v/>
      </c>
      <c r="N208" s="459" t="str">
        <f ca="1">IF(M208="","",M208-TODAY())</f>
        <v/>
      </c>
    </row>
    <row r="209" spans="1:14" ht="14.25" customHeight="1" x14ac:dyDescent="0.35">
      <c r="A209" s="46"/>
      <c r="B209" s="46"/>
      <c r="C209" s="47"/>
      <c r="D209" s="48"/>
      <c r="E209" s="48"/>
      <c r="F209" s="49"/>
      <c r="G209" s="49"/>
      <c r="H209" s="50">
        <v>0</v>
      </c>
      <c r="I209" s="51"/>
      <c r="J209" s="110" t="str">
        <f t="shared" si="13"/>
        <v/>
      </c>
      <c r="K209" s="46"/>
      <c r="M209" s="463" t="str" cm="1">
        <f t="array" ref="M209">IF(AND(L209="On Hold",E209&lt;&gt;"",H209&gt;0),IFERROR(_xlfn.LET(_xlpm.stopSell,EDATE(E209,-'FEFO Analysis'!$B$4),_xlpm.cumAtStop,SUMIFS('Planning Engine'!$F$4:$F$2331,'Planning Engine'!$B$4:$B$2331,A209,'Planning Engine'!$A$4:$A$2331,"&lt;="&amp;_xlpm.stopSell),_xlpm.threshold,_xlpm.cumAtStop-H209,IF(_xlpm.threshold&lt;=0,_xlfn.AGGREGATE(15,6,'Planning Engine'!$A$4:$A$2331/('Planning Engine'!$B$4:$B$2331=A209),1),_xlfn.AGGREGATE(15,6,'Planning Engine'!$A$4:$A$2331/(('Planning Engine'!$B$4:$B$2331=A209)*('Planning Engine'!$AB$4:$AB$2331&gt;_xlpm.threshold)),1))),""),"")</f>
        <v/>
      </c>
      <c r="N209" s="459" t="str">
        <f ca="1">IF(M209="","",M209-TODAY())</f>
        <v/>
      </c>
    </row>
    <row r="210" spans="1:14" ht="14.25" customHeight="1" x14ac:dyDescent="0.35">
      <c r="A210" s="46"/>
      <c r="B210" s="46"/>
      <c r="C210" s="47"/>
      <c r="D210" s="48"/>
      <c r="E210" s="48"/>
      <c r="F210" s="49"/>
      <c r="G210" s="49"/>
      <c r="H210" s="50">
        <v>0</v>
      </c>
      <c r="I210" s="51"/>
      <c r="J210" s="110" t="str">
        <f t="shared" si="13"/>
        <v/>
      </c>
      <c r="K210" s="46"/>
      <c r="M210" s="463" t="str" cm="1">
        <f t="array" ref="M210">IF(AND(L210="On Hold",E210&lt;&gt;"",H210&gt;0),IFERROR(_xlfn.LET(_xlpm.stopSell,EDATE(E210,-'FEFO Analysis'!$B$4),_xlpm.cumAtStop,SUMIFS('Planning Engine'!$F$4:$F$2331,'Planning Engine'!$B$4:$B$2331,A210,'Planning Engine'!$A$4:$A$2331,"&lt;="&amp;_xlpm.stopSell),_xlpm.threshold,_xlpm.cumAtStop-H210,IF(_xlpm.threshold&lt;=0,_xlfn.AGGREGATE(15,6,'Planning Engine'!$A$4:$A$2331/('Planning Engine'!$B$4:$B$2331=A210),1),_xlfn.AGGREGATE(15,6,'Planning Engine'!$A$4:$A$2331/(('Planning Engine'!$B$4:$B$2331=A210)*('Planning Engine'!$AB$4:$AB$2331&gt;_xlpm.threshold)),1))),""),"")</f>
        <v/>
      </c>
      <c r="N210" s="459" t="str">
        <f ca="1">IF(M210="","",M210-TODAY())</f>
        <v/>
      </c>
    </row>
    <row r="211" spans="1:14" ht="14.25" customHeight="1" x14ac:dyDescent="0.35">
      <c r="A211" s="46"/>
      <c r="B211" s="46"/>
      <c r="C211" s="47"/>
      <c r="D211" s="48"/>
      <c r="E211" s="48"/>
      <c r="F211" s="49"/>
      <c r="G211" s="49"/>
      <c r="H211" s="50">
        <v>0</v>
      </c>
      <c r="I211" s="51"/>
      <c r="J211" s="110" t="str">
        <f t="shared" si="13"/>
        <v/>
      </c>
      <c r="K211" s="46"/>
      <c r="M211" s="463" t="str" cm="1">
        <f t="array" ref="M211">IF(AND(L211="On Hold",E211&lt;&gt;"",H211&gt;0),IFERROR(_xlfn.LET(_xlpm.stopSell,EDATE(E211,-'FEFO Analysis'!$B$4),_xlpm.cumAtStop,SUMIFS('Planning Engine'!$F$4:$F$2331,'Planning Engine'!$B$4:$B$2331,A211,'Planning Engine'!$A$4:$A$2331,"&lt;="&amp;_xlpm.stopSell),_xlpm.threshold,_xlpm.cumAtStop-H211,IF(_xlpm.threshold&lt;=0,_xlfn.AGGREGATE(15,6,'Planning Engine'!$A$4:$A$2331/('Planning Engine'!$B$4:$B$2331=A211),1),_xlfn.AGGREGATE(15,6,'Planning Engine'!$A$4:$A$2331/(('Planning Engine'!$B$4:$B$2331=A211)*('Planning Engine'!$AB$4:$AB$2331&gt;_xlpm.threshold)),1))),""),"")</f>
        <v/>
      </c>
      <c r="N211" s="459" t="str">
        <f ca="1">IF(M211="","",M211-TODAY())</f>
        <v/>
      </c>
    </row>
    <row r="212" spans="1:14" ht="14.25" customHeight="1" x14ac:dyDescent="0.35">
      <c r="A212" s="46"/>
      <c r="B212" s="46"/>
      <c r="C212" s="47"/>
      <c r="D212" s="48"/>
      <c r="E212" s="48"/>
      <c r="F212" s="49"/>
      <c r="G212" s="49"/>
      <c r="H212" s="50">
        <v>0</v>
      </c>
      <c r="I212" s="51"/>
      <c r="J212" s="110" t="str">
        <f t="shared" si="13"/>
        <v/>
      </c>
      <c r="K212" s="46"/>
      <c r="M212" s="463" t="str" cm="1">
        <f t="array" ref="M212">IF(AND(L212="On Hold",E212&lt;&gt;"",H212&gt;0),IFERROR(_xlfn.LET(_xlpm.stopSell,EDATE(E212,-'FEFO Analysis'!$B$4),_xlpm.cumAtStop,SUMIFS('Planning Engine'!$F$4:$F$2331,'Planning Engine'!$B$4:$B$2331,A212,'Planning Engine'!$A$4:$A$2331,"&lt;="&amp;_xlpm.stopSell),_xlpm.threshold,_xlpm.cumAtStop-H212,IF(_xlpm.threshold&lt;=0,_xlfn.AGGREGATE(15,6,'Planning Engine'!$A$4:$A$2331/('Planning Engine'!$B$4:$B$2331=A212),1),_xlfn.AGGREGATE(15,6,'Planning Engine'!$A$4:$A$2331/(('Planning Engine'!$B$4:$B$2331=A212)*('Planning Engine'!$AB$4:$AB$2331&gt;_xlpm.threshold)),1))),""),"")</f>
        <v/>
      </c>
      <c r="N212" s="459" t="str">
        <f ca="1">IF(M212="","",M212-TODAY())</f>
        <v/>
      </c>
    </row>
    <row r="213" spans="1:14" ht="14.25" customHeight="1" x14ac:dyDescent="0.35">
      <c r="A213" s="46"/>
      <c r="B213" s="46"/>
      <c r="C213" s="47"/>
      <c r="D213" s="48"/>
      <c r="E213" s="48"/>
      <c r="F213" s="49"/>
      <c r="G213" s="49"/>
      <c r="H213" s="50">
        <v>0</v>
      </c>
      <c r="I213" s="51"/>
      <c r="J213" s="110" t="str">
        <f t="shared" si="13"/>
        <v/>
      </c>
      <c r="K213" s="46"/>
      <c r="M213" s="463" t="str" cm="1">
        <f t="array" ref="M213">IF(AND(L213="On Hold",E213&lt;&gt;"",H213&gt;0),IFERROR(_xlfn.LET(_xlpm.stopSell,EDATE(E213,-'FEFO Analysis'!$B$4),_xlpm.cumAtStop,SUMIFS('Planning Engine'!$F$4:$F$2331,'Planning Engine'!$B$4:$B$2331,A213,'Planning Engine'!$A$4:$A$2331,"&lt;="&amp;_xlpm.stopSell),_xlpm.threshold,_xlpm.cumAtStop-H213,IF(_xlpm.threshold&lt;=0,_xlfn.AGGREGATE(15,6,'Planning Engine'!$A$4:$A$2331/('Planning Engine'!$B$4:$B$2331=A213),1),_xlfn.AGGREGATE(15,6,'Planning Engine'!$A$4:$A$2331/(('Planning Engine'!$B$4:$B$2331=A213)*('Planning Engine'!$AB$4:$AB$2331&gt;_xlpm.threshold)),1))),""),"")</f>
        <v/>
      </c>
      <c r="N213" s="459" t="str">
        <f ca="1">IF(M213="","",M213-TODAY())</f>
        <v/>
      </c>
    </row>
    <row r="214" spans="1:14" ht="14.25" customHeight="1" x14ac:dyDescent="0.35">
      <c r="A214" s="46"/>
      <c r="B214" s="46"/>
      <c r="C214" s="47"/>
      <c r="D214" s="48"/>
      <c r="E214" s="48"/>
      <c r="F214" s="49"/>
      <c r="G214" s="49"/>
      <c r="H214" s="50">
        <v>0</v>
      </c>
      <c r="I214" s="51"/>
      <c r="J214" s="110" t="str">
        <f t="shared" si="13"/>
        <v/>
      </c>
      <c r="K214" s="46"/>
      <c r="M214" s="463" t="str" cm="1">
        <f t="array" ref="M214">IF(AND(L214="On Hold",E214&lt;&gt;"",H214&gt;0),IFERROR(_xlfn.LET(_xlpm.stopSell,EDATE(E214,-'FEFO Analysis'!$B$4),_xlpm.cumAtStop,SUMIFS('Planning Engine'!$F$4:$F$2331,'Planning Engine'!$B$4:$B$2331,A214,'Planning Engine'!$A$4:$A$2331,"&lt;="&amp;_xlpm.stopSell),_xlpm.threshold,_xlpm.cumAtStop-H214,IF(_xlpm.threshold&lt;=0,_xlfn.AGGREGATE(15,6,'Planning Engine'!$A$4:$A$2331/('Planning Engine'!$B$4:$B$2331=A214),1),_xlfn.AGGREGATE(15,6,'Planning Engine'!$A$4:$A$2331/(('Planning Engine'!$B$4:$B$2331=A214)*('Planning Engine'!$AB$4:$AB$2331&gt;_xlpm.threshold)),1))),""),"")</f>
        <v/>
      </c>
      <c r="N214" s="459" t="str">
        <f ca="1">IF(M214="","",M214-TODAY())</f>
        <v/>
      </c>
    </row>
    <row r="215" spans="1:14" ht="14.25" customHeight="1" x14ac:dyDescent="0.35">
      <c r="A215" s="46"/>
      <c r="B215" s="46"/>
      <c r="C215" s="47"/>
      <c r="D215" s="48"/>
      <c r="E215" s="48"/>
      <c r="F215" s="49"/>
      <c r="G215" s="49"/>
      <c r="H215" s="50">
        <v>0</v>
      </c>
      <c r="I215" s="51"/>
      <c r="J215" s="110" t="str">
        <f t="shared" si="13"/>
        <v/>
      </c>
      <c r="K215" s="46"/>
      <c r="M215" s="463" t="str" cm="1">
        <f t="array" ref="M215">IF(AND(L215="On Hold",E215&lt;&gt;"",H215&gt;0),IFERROR(_xlfn.LET(_xlpm.stopSell,EDATE(E215,-'FEFO Analysis'!$B$4),_xlpm.cumAtStop,SUMIFS('Planning Engine'!$F$4:$F$2331,'Planning Engine'!$B$4:$B$2331,A215,'Planning Engine'!$A$4:$A$2331,"&lt;="&amp;_xlpm.stopSell),_xlpm.threshold,_xlpm.cumAtStop-H215,IF(_xlpm.threshold&lt;=0,_xlfn.AGGREGATE(15,6,'Planning Engine'!$A$4:$A$2331/('Planning Engine'!$B$4:$B$2331=A215),1),_xlfn.AGGREGATE(15,6,'Planning Engine'!$A$4:$A$2331/(('Planning Engine'!$B$4:$B$2331=A215)*('Planning Engine'!$AB$4:$AB$2331&gt;_xlpm.threshold)),1))),""),"")</f>
        <v/>
      </c>
      <c r="N215" s="459" t="str">
        <f ca="1">IF(M215="","",M215-TODAY())</f>
        <v/>
      </c>
    </row>
    <row r="216" spans="1:14" ht="14.25" customHeight="1" x14ac:dyDescent="0.35">
      <c r="A216" s="46"/>
      <c r="B216" s="46"/>
      <c r="C216" s="47"/>
      <c r="D216" s="48"/>
      <c r="E216" s="48"/>
      <c r="F216" s="49"/>
      <c r="G216" s="49"/>
      <c r="H216" s="50">
        <v>0</v>
      </c>
      <c r="I216" s="51"/>
      <c r="J216" s="110" t="str">
        <f t="shared" si="13"/>
        <v/>
      </c>
      <c r="K216" s="46"/>
      <c r="M216" s="463" t="str" cm="1">
        <f t="array" ref="M216">IF(AND(L216="On Hold",E216&lt;&gt;"",H216&gt;0),IFERROR(_xlfn.LET(_xlpm.stopSell,EDATE(E216,-'FEFO Analysis'!$B$4),_xlpm.cumAtStop,SUMIFS('Planning Engine'!$F$4:$F$2331,'Planning Engine'!$B$4:$B$2331,A216,'Planning Engine'!$A$4:$A$2331,"&lt;="&amp;_xlpm.stopSell),_xlpm.threshold,_xlpm.cumAtStop-H216,IF(_xlpm.threshold&lt;=0,_xlfn.AGGREGATE(15,6,'Planning Engine'!$A$4:$A$2331/('Planning Engine'!$B$4:$B$2331=A216),1),_xlfn.AGGREGATE(15,6,'Planning Engine'!$A$4:$A$2331/(('Planning Engine'!$B$4:$B$2331=A216)*('Planning Engine'!$AB$4:$AB$2331&gt;_xlpm.threshold)),1))),""),"")</f>
        <v/>
      </c>
      <c r="N216" s="459" t="str">
        <f ca="1">IF(M216="","",M216-TODAY())</f>
        <v/>
      </c>
    </row>
    <row r="217" spans="1:14" ht="14.25" customHeight="1" x14ac:dyDescent="0.35">
      <c r="A217" s="46"/>
      <c r="B217" s="46"/>
      <c r="C217" s="47"/>
      <c r="D217" s="48"/>
      <c r="E217" s="48"/>
      <c r="F217" s="49"/>
      <c r="G217" s="49"/>
      <c r="H217" s="50">
        <v>0</v>
      </c>
      <c r="I217" s="51"/>
      <c r="J217" s="110" t="str">
        <f t="shared" si="13"/>
        <v/>
      </c>
      <c r="K217" s="46"/>
      <c r="M217" s="463" t="str" cm="1">
        <f t="array" ref="M217">IF(AND(L217="On Hold",E217&lt;&gt;"",H217&gt;0),IFERROR(_xlfn.LET(_xlpm.stopSell,EDATE(E217,-'FEFO Analysis'!$B$4),_xlpm.cumAtStop,SUMIFS('Planning Engine'!$F$4:$F$2331,'Planning Engine'!$B$4:$B$2331,A217,'Planning Engine'!$A$4:$A$2331,"&lt;="&amp;_xlpm.stopSell),_xlpm.threshold,_xlpm.cumAtStop-H217,IF(_xlpm.threshold&lt;=0,_xlfn.AGGREGATE(15,6,'Planning Engine'!$A$4:$A$2331/('Planning Engine'!$B$4:$B$2331=A217),1),_xlfn.AGGREGATE(15,6,'Planning Engine'!$A$4:$A$2331/(('Planning Engine'!$B$4:$B$2331=A217)*('Planning Engine'!$AB$4:$AB$2331&gt;_xlpm.threshold)),1))),""),"")</f>
        <v/>
      </c>
      <c r="N217" s="459" t="str">
        <f ca="1">IF(M217="","",M217-TODAY())</f>
        <v/>
      </c>
    </row>
    <row r="218" spans="1:14" ht="14.25" customHeight="1" x14ac:dyDescent="0.35">
      <c r="A218" s="46"/>
      <c r="B218" s="46"/>
      <c r="C218" s="47"/>
      <c r="D218" s="48"/>
      <c r="E218" s="48"/>
      <c r="F218" s="49"/>
      <c r="G218" s="49"/>
      <c r="H218" s="50">
        <v>0</v>
      </c>
      <c r="I218" s="51"/>
      <c r="J218" s="110" t="str">
        <f t="shared" si="13"/>
        <v/>
      </c>
      <c r="K218" s="46"/>
      <c r="M218" s="463" t="str" cm="1">
        <f t="array" ref="M218">IF(AND(L218="On Hold",E218&lt;&gt;"",H218&gt;0),IFERROR(_xlfn.LET(_xlpm.stopSell,EDATE(E218,-'FEFO Analysis'!$B$4),_xlpm.cumAtStop,SUMIFS('Planning Engine'!$F$4:$F$2331,'Planning Engine'!$B$4:$B$2331,A218,'Planning Engine'!$A$4:$A$2331,"&lt;="&amp;_xlpm.stopSell),_xlpm.threshold,_xlpm.cumAtStop-H218,IF(_xlpm.threshold&lt;=0,_xlfn.AGGREGATE(15,6,'Planning Engine'!$A$4:$A$2331/('Planning Engine'!$B$4:$B$2331=A218),1),_xlfn.AGGREGATE(15,6,'Planning Engine'!$A$4:$A$2331/(('Planning Engine'!$B$4:$B$2331=A218)*('Planning Engine'!$AB$4:$AB$2331&gt;_xlpm.threshold)),1))),""),"")</f>
        <v/>
      </c>
      <c r="N218" s="459" t="str">
        <f ca="1">IF(M218="","",M218-TODAY())</f>
        <v/>
      </c>
    </row>
    <row r="219" spans="1:14" ht="14.25" customHeight="1" x14ac:dyDescent="0.35">
      <c r="A219" s="46"/>
      <c r="B219" s="46"/>
      <c r="C219" s="47"/>
      <c r="D219" s="48"/>
      <c r="E219" s="48"/>
      <c r="F219" s="49"/>
      <c r="G219" s="49"/>
      <c r="H219" s="50">
        <v>0</v>
      </c>
      <c r="I219" s="51"/>
      <c r="J219" s="110" t="str">
        <f t="shared" si="13"/>
        <v/>
      </c>
      <c r="K219" s="46"/>
      <c r="M219" s="463" t="str" cm="1">
        <f t="array" ref="M219">IF(AND(L219="On Hold",E219&lt;&gt;"",H219&gt;0),IFERROR(_xlfn.LET(_xlpm.stopSell,EDATE(E219,-'FEFO Analysis'!$B$4),_xlpm.cumAtStop,SUMIFS('Planning Engine'!$F$4:$F$2331,'Planning Engine'!$B$4:$B$2331,A219,'Planning Engine'!$A$4:$A$2331,"&lt;="&amp;_xlpm.stopSell),_xlpm.threshold,_xlpm.cumAtStop-H219,IF(_xlpm.threshold&lt;=0,_xlfn.AGGREGATE(15,6,'Planning Engine'!$A$4:$A$2331/('Planning Engine'!$B$4:$B$2331=A219),1),_xlfn.AGGREGATE(15,6,'Planning Engine'!$A$4:$A$2331/(('Planning Engine'!$B$4:$B$2331=A219)*('Planning Engine'!$AB$4:$AB$2331&gt;_xlpm.threshold)),1))),""),"")</f>
        <v/>
      </c>
      <c r="N219" s="459" t="str">
        <f ca="1">IF(M219="","",M219-TODAY())</f>
        <v/>
      </c>
    </row>
    <row r="220" spans="1:14" ht="14.25" customHeight="1" x14ac:dyDescent="0.35">
      <c r="A220" s="46"/>
      <c r="B220" s="46"/>
      <c r="C220" s="47"/>
      <c r="D220" s="48"/>
      <c r="E220" s="48"/>
      <c r="F220" s="49"/>
      <c r="G220" s="49"/>
      <c r="H220" s="50">
        <v>0</v>
      </c>
      <c r="I220" s="51"/>
      <c r="J220" s="110" t="str">
        <f t="shared" si="13"/>
        <v/>
      </c>
      <c r="K220" s="46"/>
      <c r="M220" s="463" t="str" cm="1">
        <f t="array" ref="M220">IF(AND(L220="On Hold",E220&lt;&gt;"",H220&gt;0),IFERROR(_xlfn.LET(_xlpm.stopSell,EDATE(E220,-'FEFO Analysis'!$B$4),_xlpm.cumAtStop,SUMIFS('Planning Engine'!$F$4:$F$2331,'Planning Engine'!$B$4:$B$2331,A220,'Planning Engine'!$A$4:$A$2331,"&lt;="&amp;_xlpm.stopSell),_xlpm.threshold,_xlpm.cumAtStop-H220,IF(_xlpm.threshold&lt;=0,_xlfn.AGGREGATE(15,6,'Planning Engine'!$A$4:$A$2331/('Planning Engine'!$B$4:$B$2331=A220),1),_xlfn.AGGREGATE(15,6,'Planning Engine'!$A$4:$A$2331/(('Planning Engine'!$B$4:$B$2331=A220)*('Planning Engine'!$AB$4:$AB$2331&gt;_xlpm.threshold)),1))),""),"")</f>
        <v/>
      </c>
      <c r="N220" s="459" t="str">
        <f ca="1">IF(M220="","",M220-TODAY())</f>
        <v/>
      </c>
    </row>
    <row r="221" spans="1:14" ht="14.25" customHeight="1" x14ac:dyDescent="0.35">
      <c r="A221" s="46"/>
      <c r="B221" s="46"/>
      <c r="C221" s="47"/>
      <c r="D221" s="48"/>
      <c r="E221" s="48"/>
      <c r="F221" s="49"/>
      <c r="G221" s="49"/>
      <c r="H221" s="50">
        <v>0</v>
      </c>
      <c r="I221" s="51"/>
      <c r="J221" s="110" t="str">
        <f t="shared" si="13"/>
        <v/>
      </c>
      <c r="K221" s="46"/>
      <c r="M221" s="463" t="str" cm="1">
        <f t="array" ref="M221">IF(AND(L221="On Hold",E221&lt;&gt;"",H221&gt;0),IFERROR(_xlfn.LET(_xlpm.stopSell,EDATE(E221,-'FEFO Analysis'!$B$4),_xlpm.cumAtStop,SUMIFS('Planning Engine'!$F$4:$F$2331,'Planning Engine'!$B$4:$B$2331,A221,'Planning Engine'!$A$4:$A$2331,"&lt;="&amp;_xlpm.stopSell),_xlpm.threshold,_xlpm.cumAtStop-H221,IF(_xlpm.threshold&lt;=0,_xlfn.AGGREGATE(15,6,'Planning Engine'!$A$4:$A$2331/('Planning Engine'!$B$4:$B$2331=A221),1),_xlfn.AGGREGATE(15,6,'Planning Engine'!$A$4:$A$2331/(('Planning Engine'!$B$4:$B$2331=A221)*('Planning Engine'!$AB$4:$AB$2331&gt;_xlpm.threshold)),1))),""),"")</f>
        <v/>
      </c>
      <c r="N221" s="459" t="str">
        <f ca="1">IF(M221="","",M221-TODAY())</f>
        <v/>
      </c>
    </row>
    <row r="222" spans="1:14" ht="14.25" customHeight="1" x14ac:dyDescent="0.35">
      <c r="A222" s="46"/>
      <c r="B222" s="46"/>
      <c r="C222" s="47"/>
      <c r="D222" s="48"/>
      <c r="E222" s="48"/>
      <c r="F222" s="49"/>
      <c r="G222" s="49"/>
      <c r="H222" s="50">
        <v>0</v>
      </c>
      <c r="I222" s="51"/>
      <c r="J222" s="110" t="str">
        <f t="shared" si="13"/>
        <v/>
      </c>
      <c r="K222" s="46"/>
      <c r="M222" s="463" t="str" cm="1">
        <f t="array" ref="M222">IF(AND(L222="On Hold",E222&lt;&gt;"",H222&gt;0),IFERROR(_xlfn.LET(_xlpm.stopSell,EDATE(E222,-'FEFO Analysis'!$B$4),_xlpm.cumAtStop,SUMIFS('Planning Engine'!$F$4:$F$2331,'Planning Engine'!$B$4:$B$2331,A222,'Planning Engine'!$A$4:$A$2331,"&lt;="&amp;_xlpm.stopSell),_xlpm.threshold,_xlpm.cumAtStop-H222,IF(_xlpm.threshold&lt;=0,_xlfn.AGGREGATE(15,6,'Planning Engine'!$A$4:$A$2331/('Planning Engine'!$B$4:$B$2331=A222),1),_xlfn.AGGREGATE(15,6,'Planning Engine'!$A$4:$A$2331/(('Planning Engine'!$B$4:$B$2331=A222)*('Planning Engine'!$AB$4:$AB$2331&gt;_xlpm.threshold)),1))),""),"")</f>
        <v/>
      </c>
      <c r="N222" s="459" t="str">
        <f ca="1">IF(M222="","",M222-TODAY())</f>
        <v/>
      </c>
    </row>
    <row r="223" spans="1:14" ht="14.25" customHeight="1" x14ac:dyDescent="0.35">
      <c r="A223" s="46"/>
      <c r="B223" s="46"/>
      <c r="C223" s="47"/>
      <c r="D223" s="48"/>
      <c r="E223" s="48"/>
      <c r="F223" s="49"/>
      <c r="G223" s="49"/>
      <c r="H223" s="50">
        <v>0</v>
      </c>
      <c r="I223" s="51"/>
      <c r="J223" s="110" t="str">
        <f t="shared" si="13"/>
        <v/>
      </c>
      <c r="K223" s="46"/>
      <c r="M223" s="463" t="str" cm="1">
        <f t="array" ref="M223">IF(AND(L223="On Hold",E223&lt;&gt;"",H223&gt;0),IFERROR(_xlfn.LET(_xlpm.stopSell,EDATE(E223,-'FEFO Analysis'!$B$4),_xlpm.cumAtStop,SUMIFS('Planning Engine'!$F$4:$F$2331,'Planning Engine'!$B$4:$B$2331,A223,'Planning Engine'!$A$4:$A$2331,"&lt;="&amp;_xlpm.stopSell),_xlpm.threshold,_xlpm.cumAtStop-H223,IF(_xlpm.threshold&lt;=0,_xlfn.AGGREGATE(15,6,'Planning Engine'!$A$4:$A$2331/('Planning Engine'!$B$4:$B$2331=A223),1),_xlfn.AGGREGATE(15,6,'Planning Engine'!$A$4:$A$2331/(('Planning Engine'!$B$4:$B$2331=A223)*('Planning Engine'!$AB$4:$AB$2331&gt;_xlpm.threshold)),1))),""),"")</f>
        <v/>
      </c>
      <c r="N223" s="459" t="str">
        <f ca="1">IF(M223="","",M223-TODAY())</f>
        <v/>
      </c>
    </row>
    <row r="224" spans="1:14" ht="14.25" customHeight="1" x14ac:dyDescent="0.35">
      <c r="A224" s="46"/>
      <c r="B224" s="46"/>
      <c r="C224" s="47"/>
      <c r="D224" s="48"/>
      <c r="E224" s="48"/>
      <c r="F224" s="49"/>
      <c r="G224" s="49"/>
      <c r="H224" s="50">
        <v>0</v>
      </c>
      <c r="I224" s="51"/>
      <c r="J224" s="110" t="str">
        <f t="shared" si="13"/>
        <v/>
      </c>
      <c r="K224" s="46"/>
      <c r="M224" s="463" t="str" cm="1">
        <f t="array" ref="M224">IF(AND(L224="On Hold",E224&lt;&gt;"",H224&gt;0),IFERROR(_xlfn.LET(_xlpm.stopSell,EDATE(E224,-'FEFO Analysis'!$B$4),_xlpm.cumAtStop,SUMIFS('Planning Engine'!$F$4:$F$2331,'Planning Engine'!$B$4:$B$2331,A224,'Planning Engine'!$A$4:$A$2331,"&lt;="&amp;_xlpm.stopSell),_xlpm.threshold,_xlpm.cumAtStop-H224,IF(_xlpm.threshold&lt;=0,_xlfn.AGGREGATE(15,6,'Planning Engine'!$A$4:$A$2331/('Planning Engine'!$B$4:$B$2331=A224),1),_xlfn.AGGREGATE(15,6,'Planning Engine'!$A$4:$A$2331/(('Planning Engine'!$B$4:$B$2331=A224)*('Planning Engine'!$AB$4:$AB$2331&gt;_xlpm.threshold)),1))),""),"")</f>
        <v/>
      </c>
      <c r="N224" s="459" t="str">
        <f ca="1">IF(M224="","",M224-TODAY())</f>
        <v/>
      </c>
    </row>
    <row r="225" spans="1:14" ht="14.25" customHeight="1" x14ac:dyDescent="0.35">
      <c r="A225" s="46"/>
      <c r="B225" s="46"/>
      <c r="C225" s="47"/>
      <c r="D225" s="48"/>
      <c r="E225" s="48"/>
      <c r="F225" s="49"/>
      <c r="G225" s="49"/>
      <c r="H225" s="50">
        <v>0</v>
      </c>
      <c r="I225" s="51"/>
      <c r="J225" s="110" t="str">
        <f t="shared" si="13"/>
        <v/>
      </c>
      <c r="K225" s="46"/>
      <c r="M225" s="463" t="str" cm="1">
        <f t="array" ref="M225">IF(AND(L225="On Hold",E225&lt;&gt;"",H225&gt;0),IFERROR(_xlfn.LET(_xlpm.stopSell,EDATE(E225,-'FEFO Analysis'!$B$4),_xlpm.cumAtStop,SUMIFS('Planning Engine'!$F$4:$F$2331,'Planning Engine'!$B$4:$B$2331,A225,'Planning Engine'!$A$4:$A$2331,"&lt;="&amp;_xlpm.stopSell),_xlpm.threshold,_xlpm.cumAtStop-H225,IF(_xlpm.threshold&lt;=0,_xlfn.AGGREGATE(15,6,'Planning Engine'!$A$4:$A$2331/('Planning Engine'!$B$4:$B$2331=A225),1),_xlfn.AGGREGATE(15,6,'Planning Engine'!$A$4:$A$2331/(('Planning Engine'!$B$4:$B$2331=A225)*('Planning Engine'!$AB$4:$AB$2331&gt;_xlpm.threshold)),1))),""),"")</f>
        <v/>
      </c>
      <c r="N225" s="459" t="str">
        <f ca="1">IF(M225="","",M225-TODAY())</f>
        <v/>
      </c>
    </row>
    <row r="226" spans="1:14" ht="14.25" customHeight="1" x14ac:dyDescent="0.35">
      <c r="A226" s="46"/>
      <c r="B226" s="46"/>
      <c r="C226" s="47"/>
      <c r="D226" s="48"/>
      <c r="E226" s="48"/>
      <c r="F226" s="49"/>
      <c r="G226" s="49"/>
      <c r="H226" s="50">
        <v>0</v>
      </c>
      <c r="I226" s="51"/>
      <c r="J226" s="110" t="str">
        <f t="shared" si="13"/>
        <v/>
      </c>
      <c r="K226" s="46"/>
      <c r="M226" s="463" t="str" cm="1">
        <f t="array" ref="M226">IF(AND(L226="On Hold",E226&lt;&gt;"",H226&gt;0),IFERROR(_xlfn.LET(_xlpm.stopSell,EDATE(E226,-'FEFO Analysis'!$B$4),_xlpm.cumAtStop,SUMIFS('Planning Engine'!$F$4:$F$2331,'Planning Engine'!$B$4:$B$2331,A226,'Planning Engine'!$A$4:$A$2331,"&lt;="&amp;_xlpm.stopSell),_xlpm.threshold,_xlpm.cumAtStop-H226,IF(_xlpm.threshold&lt;=0,_xlfn.AGGREGATE(15,6,'Planning Engine'!$A$4:$A$2331/('Planning Engine'!$B$4:$B$2331=A226),1),_xlfn.AGGREGATE(15,6,'Planning Engine'!$A$4:$A$2331/(('Planning Engine'!$B$4:$B$2331=A226)*('Planning Engine'!$AB$4:$AB$2331&gt;_xlpm.threshold)),1))),""),"")</f>
        <v/>
      </c>
      <c r="N226" s="459" t="str">
        <f ca="1">IF(M226="","",M226-TODAY())</f>
        <v/>
      </c>
    </row>
    <row r="227" spans="1:14" ht="14.25" customHeight="1" x14ac:dyDescent="0.35">
      <c r="A227" s="46"/>
      <c r="B227" s="46"/>
      <c r="C227" s="47"/>
      <c r="D227" s="48"/>
      <c r="E227" s="48"/>
      <c r="F227" s="49"/>
      <c r="G227" s="49"/>
      <c r="H227" s="50">
        <v>0</v>
      </c>
      <c r="I227" s="51"/>
      <c r="J227" s="110" t="str">
        <f t="shared" si="13"/>
        <v/>
      </c>
      <c r="K227" s="46"/>
      <c r="M227" s="463" t="str" cm="1">
        <f t="array" ref="M227">IF(AND(L227="On Hold",E227&lt;&gt;"",H227&gt;0),IFERROR(_xlfn.LET(_xlpm.stopSell,EDATE(E227,-'FEFO Analysis'!$B$4),_xlpm.cumAtStop,SUMIFS('Planning Engine'!$F$4:$F$2331,'Planning Engine'!$B$4:$B$2331,A227,'Planning Engine'!$A$4:$A$2331,"&lt;="&amp;_xlpm.stopSell),_xlpm.threshold,_xlpm.cumAtStop-H227,IF(_xlpm.threshold&lt;=0,_xlfn.AGGREGATE(15,6,'Planning Engine'!$A$4:$A$2331/('Planning Engine'!$B$4:$B$2331=A227),1),_xlfn.AGGREGATE(15,6,'Planning Engine'!$A$4:$A$2331/(('Planning Engine'!$B$4:$B$2331=A227)*('Planning Engine'!$AB$4:$AB$2331&gt;_xlpm.threshold)),1))),""),"")</f>
        <v/>
      </c>
      <c r="N227" s="459" t="str">
        <f ca="1">IF(M227="","",M227-TODAY())</f>
        <v/>
      </c>
    </row>
    <row r="228" spans="1:14" ht="14.25" customHeight="1" x14ac:dyDescent="0.35">
      <c r="A228" s="46"/>
      <c r="B228" s="46"/>
      <c r="C228" s="47"/>
      <c r="D228" s="48"/>
      <c r="E228" s="48"/>
      <c r="F228" s="49"/>
      <c r="G228" s="49"/>
      <c r="H228" s="50">
        <v>0</v>
      </c>
      <c r="I228" s="51"/>
      <c r="J228" s="110" t="str">
        <f t="shared" si="13"/>
        <v/>
      </c>
      <c r="K228" s="46"/>
      <c r="M228" s="463" t="str" cm="1">
        <f t="array" ref="M228">IF(AND(L228="On Hold",E228&lt;&gt;"",H228&gt;0),IFERROR(_xlfn.LET(_xlpm.stopSell,EDATE(E228,-'FEFO Analysis'!$B$4),_xlpm.cumAtStop,SUMIFS('Planning Engine'!$F$4:$F$2331,'Planning Engine'!$B$4:$B$2331,A228,'Planning Engine'!$A$4:$A$2331,"&lt;="&amp;_xlpm.stopSell),_xlpm.threshold,_xlpm.cumAtStop-H228,IF(_xlpm.threshold&lt;=0,_xlfn.AGGREGATE(15,6,'Planning Engine'!$A$4:$A$2331/('Planning Engine'!$B$4:$B$2331=A228),1),_xlfn.AGGREGATE(15,6,'Planning Engine'!$A$4:$A$2331/(('Planning Engine'!$B$4:$B$2331=A228)*('Planning Engine'!$AB$4:$AB$2331&gt;_xlpm.threshold)),1))),""),"")</f>
        <v/>
      </c>
      <c r="N228" s="459" t="str">
        <f ca="1">IF(M228="","",M228-TODAY())</f>
        <v/>
      </c>
    </row>
    <row r="229" spans="1:14" ht="14.25" customHeight="1" x14ac:dyDescent="0.35">
      <c r="A229" s="46"/>
      <c r="B229" s="46"/>
      <c r="C229" s="47"/>
      <c r="D229" s="48"/>
      <c r="E229" s="48"/>
      <c r="F229" s="49"/>
      <c r="G229" s="49"/>
      <c r="H229" s="50">
        <v>0</v>
      </c>
      <c r="I229" s="51"/>
      <c r="J229" s="110" t="str">
        <f t="shared" si="13"/>
        <v/>
      </c>
      <c r="K229" s="46"/>
      <c r="M229" s="463" t="str" cm="1">
        <f t="array" ref="M229">IF(AND(L229="On Hold",E229&lt;&gt;"",H229&gt;0),IFERROR(_xlfn.LET(_xlpm.stopSell,EDATE(E229,-'FEFO Analysis'!$B$4),_xlpm.cumAtStop,SUMIFS('Planning Engine'!$F$4:$F$2331,'Planning Engine'!$B$4:$B$2331,A229,'Planning Engine'!$A$4:$A$2331,"&lt;="&amp;_xlpm.stopSell),_xlpm.threshold,_xlpm.cumAtStop-H229,IF(_xlpm.threshold&lt;=0,_xlfn.AGGREGATE(15,6,'Planning Engine'!$A$4:$A$2331/('Planning Engine'!$B$4:$B$2331=A229),1),_xlfn.AGGREGATE(15,6,'Planning Engine'!$A$4:$A$2331/(('Planning Engine'!$B$4:$B$2331=A229)*('Planning Engine'!$AB$4:$AB$2331&gt;_xlpm.threshold)),1))),""),"")</f>
        <v/>
      </c>
      <c r="N229" s="459" t="str">
        <f ca="1">IF(M229="","",M229-TODAY())</f>
        <v/>
      </c>
    </row>
    <row r="230" spans="1:14" ht="14.25" customHeight="1" x14ac:dyDescent="0.35">
      <c r="A230" s="46"/>
      <c r="B230" s="46"/>
      <c r="C230" s="47"/>
      <c r="D230" s="48"/>
      <c r="E230" s="48"/>
      <c r="F230" s="49"/>
      <c r="G230" s="49"/>
      <c r="H230" s="50">
        <v>0</v>
      </c>
      <c r="I230" s="51"/>
      <c r="J230" s="110" t="str">
        <f t="shared" si="13"/>
        <v/>
      </c>
      <c r="K230" s="46"/>
      <c r="M230" s="463" t="str" cm="1">
        <f t="array" ref="M230">IF(AND(L230="On Hold",E230&lt;&gt;"",H230&gt;0),IFERROR(_xlfn.LET(_xlpm.stopSell,EDATE(E230,-'FEFO Analysis'!$B$4),_xlpm.cumAtStop,SUMIFS('Planning Engine'!$F$4:$F$2331,'Planning Engine'!$B$4:$B$2331,A230,'Planning Engine'!$A$4:$A$2331,"&lt;="&amp;_xlpm.stopSell),_xlpm.threshold,_xlpm.cumAtStop-H230,IF(_xlpm.threshold&lt;=0,_xlfn.AGGREGATE(15,6,'Planning Engine'!$A$4:$A$2331/('Planning Engine'!$B$4:$B$2331=A230),1),_xlfn.AGGREGATE(15,6,'Planning Engine'!$A$4:$A$2331/(('Planning Engine'!$B$4:$B$2331=A230)*('Planning Engine'!$AB$4:$AB$2331&gt;_xlpm.threshold)),1))),""),"")</f>
        <v/>
      </c>
      <c r="N230" s="459" t="str">
        <f ca="1">IF(M230="","",M230-TODAY())</f>
        <v/>
      </c>
    </row>
    <row r="231" spans="1:14" ht="14.25" customHeight="1" x14ac:dyDescent="0.35">
      <c r="A231" s="46"/>
      <c r="B231" s="46"/>
      <c r="C231" s="47"/>
      <c r="D231" s="48"/>
      <c r="E231" s="48"/>
      <c r="F231" s="49"/>
      <c r="G231" s="49"/>
      <c r="H231" s="50">
        <v>0</v>
      </c>
      <c r="I231" s="51"/>
      <c r="J231" s="110" t="str">
        <f t="shared" si="13"/>
        <v/>
      </c>
      <c r="K231" s="46"/>
      <c r="M231" s="463" t="str" cm="1">
        <f t="array" ref="M231">IF(AND(L231="On Hold",E231&lt;&gt;"",H231&gt;0),IFERROR(_xlfn.LET(_xlpm.stopSell,EDATE(E231,-'FEFO Analysis'!$B$4),_xlpm.cumAtStop,SUMIFS('Planning Engine'!$F$4:$F$2331,'Planning Engine'!$B$4:$B$2331,A231,'Planning Engine'!$A$4:$A$2331,"&lt;="&amp;_xlpm.stopSell),_xlpm.threshold,_xlpm.cumAtStop-H231,IF(_xlpm.threshold&lt;=0,_xlfn.AGGREGATE(15,6,'Planning Engine'!$A$4:$A$2331/('Planning Engine'!$B$4:$B$2331=A231),1),_xlfn.AGGREGATE(15,6,'Planning Engine'!$A$4:$A$2331/(('Planning Engine'!$B$4:$B$2331=A231)*('Planning Engine'!$AB$4:$AB$2331&gt;_xlpm.threshold)),1))),""),"")</f>
        <v/>
      </c>
      <c r="N231" s="459" t="str">
        <f ca="1">IF(M231="","",M231-TODAY())</f>
        <v/>
      </c>
    </row>
    <row r="232" spans="1:14" ht="14.25" customHeight="1" x14ac:dyDescent="0.35">
      <c r="A232" s="46"/>
      <c r="B232" s="46"/>
      <c r="C232" s="47"/>
      <c r="D232" s="48"/>
      <c r="E232" s="48"/>
      <c r="F232" s="49"/>
      <c r="G232" s="49"/>
      <c r="H232" s="50">
        <v>0</v>
      </c>
      <c r="I232" s="51"/>
      <c r="J232" s="110" t="str">
        <f t="shared" si="13"/>
        <v/>
      </c>
      <c r="K232" s="46"/>
      <c r="M232" s="463" t="str" cm="1">
        <f t="array" ref="M232">IF(AND(L232="On Hold",E232&lt;&gt;"",H232&gt;0),IFERROR(_xlfn.LET(_xlpm.stopSell,EDATE(E232,-'FEFO Analysis'!$B$4),_xlpm.cumAtStop,SUMIFS('Planning Engine'!$F$4:$F$2331,'Planning Engine'!$B$4:$B$2331,A232,'Planning Engine'!$A$4:$A$2331,"&lt;="&amp;_xlpm.stopSell),_xlpm.threshold,_xlpm.cumAtStop-H232,IF(_xlpm.threshold&lt;=0,_xlfn.AGGREGATE(15,6,'Planning Engine'!$A$4:$A$2331/('Planning Engine'!$B$4:$B$2331=A232),1),_xlfn.AGGREGATE(15,6,'Planning Engine'!$A$4:$A$2331/(('Planning Engine'!$B$4:$B$2331=A232)*('Planning Engine'!$AB$4:$AB$2331&gt;_xlpm.threshold)),1))),""),"")</f>
        <v/>
      </c>
      <c r="N232" s="459" t="str">
        <f ca="1">IF(M232="","",M232-TODAY())</f>
        <v/>
      </c>
    </row>
    <row r="233" spans="1:14" ht="14.25" customHeight="1" x14ac:dyDescent="0.35">
      <c r="A233" s="46"/>
      <c r="B233" s="46"/>
      <c r="C233" s="47"/>
      <c r="D233" s="48"/>
      <c r="E233" s="48"/>
      <c r="F233" s="49"/>
      <c r="G233" s="49"/>
      <c r="H233" s="50">
        <v>0</v>
      </c>
      <c r="I233" s="51"/>
      <c r="J233" s="110" t="str">
        <f t="shared" si="13"/>
        <v/>
      </c>
      <c r="K233" s="46"/>
      <c r="M233" s="463" t="str" cm="1">
        <f t="array" ref="M233">IF(AND(L233="On Hold",E233&lt;&gt;"",H233&gt;0),IFERROR(_xlfn.LET(_xlpm.stopSell,EDATE(E233,-'FEFO Analysis'!$B$4),_xlpm.cumAtStop,SUMIFS('Planning Engine'!$F$4:$F$2331,'Planning Engine'!$B$4:$B$2331,A233,'Planning Engine'!$A$4:$A$2331,"&lt;="&amp;_xlpm.stopSell),_xlpm.threshold,_xlpm.cumAtStop-H233,IF(_xlpm.threshold&lt;=0,_xlfn.AGGREGATE(15,6,'Planning Engine'!$A$4:$A$2331/('Planning Engine'!$B$4:$B$2331=A233),1),_xlfn.AGGREGATE(15,6,'Planning Engine'!$A$4:$A$2331/(('Planning Engine'!$B$4:$B$2331=A233)*('Planning Engine'!$AB$4:$AB$2331&gt;_xlpm.threshold)),1))),""),"")</f>
        <v/>
      </c>
      <c r="N233" s="459" t="str">
        <f ca="1">IF(M233="","",M233-TODAY())</f>
        <v/>
      </c>
    </row>
    <row r="234" spans="1:14" ht="14.25" customHeight="1" x14ac:dyDescent="0.35">
      <c r="A234" s="46"/>
      <c r="B234" s="46"/>
      <c r="C234" s="47"/>
      <c r="D234" s="48"/>
      <c r="E234" s="48"/>
      <c r="F234" s="49"/>
      <c r="G234" s="49"/>
      <c r="H234" s="50">
        <v>0</v>
      </c>
      <c r="I234" s="51"/>
      <c r="J234" s="110" t="str">
        <f t="shared" si="13"/>
        <v/>
      </c>
      <c r="K234" s="46"/>
      <c r="M234" s="463" t="str" cm="1">
        <f t="array" ref="M234">IF(AND(L234="On Hold",E234&lt;&gt;"",H234&gt;0),IFERROR(_xlfn.LET(_xlpm.stopSell,EDATE(E234,-'FEFO Analysis'!$B$4),_xlpm.cumAtStop,SUMIFS('Planning Engine'!$F$4:$F$2331,'Planning Engine'!$B$4:$B$2331,A234,'Planning Engine'!$A$4:$A$2331,"&lt;="&amp;_xlpm.stopSell),_xlpm.threshold,_xlpm.cumAtStop-H234,IF(_xlpm.threshold&lt;=0,_xlfn.AGGREGATE(15,6,'Planning Engine'!$A$4:$A$2331/('Planning Engine'!$B$4:$B$2331=A234),1),_xlfn.AGGREGATE(15,6,'Planning Engine'!$A$4:$A$2331/(('Planning Engine'!$B$4:$B$2331=A234)*('Planning Engine'!$AB$4:$AB$2331&gt;_xlpm.threshold)),1))),""),"")</f>
        <v/>
      </c>
      <c r="N234" s="459" t="str">
        <f ca="1">IF(M234="","",M234-TODAY())</f>
        <v/>
      </c>
    </row>
    <row r="235" spans="1:14" ht="14.25" customHeight="1" x14ac:dyDescent="0.35">
      <c r="A235" s="46"/>
      <c r="B235" s="46"/>
      <c r="C235" s="47"/>
      <c r="D235" s="48"/>
      <c r="E235" s="48"/>
      <c r="F235" s="49"/>
      <c r="G235" s="49"/>
      <c r="H235" s="50">
        <v>0</v>
      </c>
      <c r="I235" s="51"/>
      <c r="J235" s="110" t="str">
        <f t="shared" si="13"/>
        <v/>
      </c>
      <c r="K235" s="46"/>
      <c r="M235" s="463" t="str" cm="1">
        <f t="array" ref="M235">IF(AND(L235="On Hold",E235&lt;&gt;"",H235&gt;0),IFERROR(_xlfn.LET(_xlpm.stopSell,EDATE(E235,-'FEFO Analysis'!$B$4),_xlpm.cumAtStop,SUMIFS('Planning Engine'!$F$4:$F$2331,'Planning Engine'!$B$4:$B$2331,A235,'Planning Engine'!$A$4:$A$2331,"&lt;="&amp;_xlpm.stopSell),_xlpm.threshold,_xlpm.cumAtStop-H235,IF(_xlpm.threshold&lt;=0,_xlfn.AGGREGATE(15,6,'Planning Engine'!$A$4:$A$2331/('Planning Engine'!$B$4:$B$2331=A235),1),_xlfn.AGGREGATE(15,6,'Planning Engine'!$A$4:$A$2331/(('Planning Engine'!$B$4:$B$2331=A235)*('Planning Engine'!$AB$4:$AB$2331&gt;_xlpm.threshold)),1))),""),"")</f>
        <v/>
      </c>
      <c r="N235" s="459" t="str">
        <f ca="1">IF(M235="","",M235-TODAY())</f>
        <v/>
      </c>
    </row>
    <row r="236" spans="1:14" ht="14.25" customHeight="1" x14ac:dyDescent="0.35">
      <c r="A236" s="46"/>
      <c r="B236" s="46"/>
      <c r="C236" s="47"/>
      <c r="D236" s="48"/>
      <c r="E236" s="48"/>
      <c r="F236" s="49"/>
      <c r="G236" s="49"/>
      <c r="H236" s="50">
        <v>0</v>
      </c>
      <c r="I236" s="51"/>
      <c r="J236" s="110" t="str">
        <f t="shared" si="13"/>
        <v/>
      </c>
      <c r="K236" s="46"/>
      <c r="M236" s="463" t="str" cm="1">
        <f t="array" ref="M236">IF(AND(L236="On Hold",E236&lt;&gt;"",H236&gt;0),IFERROR(_xlfn.LET(_xlpm.stopSell,EDATE(E236,-'FEFO Analysis'!$B$4),_xlpm.cumAtStop,SUMIFS('Planning Engine'!$F$4:$F$2331,'Planning Engine'!$B$4:$B$2331,A236,'Planning Engine'!$A$4:$A$2331,"&lt;="&amp;_xlpm.stopSell),_xlpm.threshold,_xlpm.cumAtStop-H236,IF(_xlpm.threshold&lt;=0,_xlfn.AGGREGATE(15,6,'Planning Engine'!$A$4:$A$2331/('Planning Engine'!$B$4:$B$2331=A236),1),_xlfn.AGGREGATE(15,6,'Planning Engine'!$A$4:$A$2331/(('Planning Engine'!$B$4:$B$2331=A236)*('Planning Engine'!$AB$4:$AB$2331&gt;_xlpm.threshold)),1))),""),"")</f>
        <v/>
      </c>
      <c r="N236" s="459" t="str">
        <f ca="1">IF(M236="","",M236-TODAY())</f>
        <v/>
      </c>
    </row>
    <row r="237" spans="1:14" ht="14.25" customHeight="1" x14ac:dyDescent="0.35">
      <c r="A237" s="46"/>
      <c r="B237" s="46"/>
      <c r="C237" s="47"/>
      <c r="D237" s="48"/>
      <c r="E237" s="48"/>
      <c r="F237" s="49"/>
      <c r="G237" s="49"/>
      <c r="H237" s="50">
        <v>0</v>
      </c>
      <c r="I237" s="51"/>
      <c r="J237" s="110" t="str">
        <f t="shared" si="13"/>
        <v/>
      </c>
      <c r="K237" s="46"/>
      <c r="M237" s="463" t="str" cm="1">
        <f t="array" ref="M237">IF(AND(L237="On Hold",E237&lt;&gt;"",H237&gt;0),IFERROR(_xlfn.LET(_xlpm.stopSell,EDATE(E237,-'FEFO Analysis'!$B$4),_xlpm.cumAtStop,SUMIFS('Planning Engine'!$F$4:$F$2331,'Planning Engine'!$B$4:$B$2331,A237,'Planning Engine'!$A$4:$A$2331,"&lt;="&amp;_xlpm.stopSell),_xlpm.threshold,_xlpm.cumAtStop-H237,IF(_xlpm.threshold&lt;=0,_xlfn.AGGREGATE(15,6,'Planning Engine'!$A$4:$A$2331/('Planning Engine'!$B$4:$B$2331=A237),1),_xlfn.AGGREGATE(15,6,'Planning Engine'!$A$4:$A$2331/(('Planning Engine'!$B$4:$B$2331=A237)*('Planning Engine'!$AB$4:$AB$2331&gt;_xlpm.threshold)),1))),""),"")</f>
        <v/>
      </c>
      <c r="N237" s="459" t="str">
        <f ca="1">IF(M237="","",M237-TODAY())</f>
        <v/>
      </c>
    </row>
    <row r="238" spans="1:14" ht="14.25" customHeight="1" x14ac:dyDescent="0.35">
      <c r="A238" s="46"/>
      <c r="B238" s="46"/>
      <c r="C238" s="47"/>
      <c r="D238" s="48"/>
      <c r="E238" s="48"/>
      <c r="F238" s="49"/>
      <c r="G238" s="49"/>
      <c r="H238" s="50">
        <v>0</v>
      </c>
      <c r="I238" s="51"/>
      <c r="J238" s="110" t="str">
        <f t="shared" si="13"/>
        <v/>
      </c>
      <c r="K238" s="46"/>
      <c r="M238" s="463" t="str" cm="1">
        <f t="array" ref="M238">IF(AND(L238="On Hold",E238&lt;&gt;"",H238&gt;0),IFERROR(_xlfn.LET(_xlpm.stopSell,EDATE(E238,-'FEFO Analysis'!$B$4),_xlpm.cumAtStop,SUMIFS('Planning Engine'!$F$4:$F$2331,'Planning Engine'!$B$4:$B$2331,A238,'Planning Engine'!$A$4:$A$2331,"&lt;="&amp;_xlpm.stopSell),_xlpm.threshold,_xlpm.cumAtStop-H238,IF(_xlpm.threshold&lt;=0,_xlfn.AGGREGATE(15,6,'Planning Engine'!$A$4:$A$2331/('Planning Engine'!$B$4:$B$2331=A238),1),_xlfn.AGGREGATE(15,6,'Planning Engine'!$A$4:$A$2331/(('Planning Engine'!$B$4:$B$2331=A238)*('Planning Engine'!$AB$4:$AB$2331&gt;_xlpm.threshold)),1))),""),"")</f>
        <v/>
      </c>
      <c r="N238" s="459" t="str">
        <f ca="1">IF(M238="","",M238-TODAY())</f>
        <v/>
      </c>
    </row>
    <row r="239" spans="1:14" ht="14.25" customHeight="1" x14ac:dyDescent="0.35">
      <c r="A239" s="46"/>
      <c r="B239" s="46"/>
      <c r="C239" s="47"/>
      <c r="D239" s="48"/>
      <c r="E239" s="48"/>
      <c r="F239" s="49"/>
      <c r="G239" s="49"/>
      <c r="H239" s="50">
        <v>0</v>
      </c>
      <c r="I239" s="51"/>
      <c r="J239" s="110" t="str">
        <f t="shared" si="13"/>
        <v/>
      </c>
      <c r="K239" s="46"/>
      <c r="M239" s="463" t="str" cm="1">
        <f t="array" ref="M239">IF(AND(L239="On Hold",E239&lt;&gt;"",H239&gt;0),IFERROR(_xlfn.LET(_xlpm.stopSell,EDATE(E239,-'FEFO Analysis'!$B$4),_xlpm.cumAtStop,SUMIFS('Planning Engine'!$F$4:$F$2331,'Planning Engine'!$B$4:$B$2331,A239,'Planning Engine'!$A$4:$A$2331,"&lt;="&amp;_xlpm.stopSell),_xlpm.threshold,_xlpm.cumAtStop-H239,IF(_xlpm.threshold&lt;=0,_xlfn.AGGREGATE(15,6,'Planning Engine'!$A$4:$A$2331/('Planning Engine'!$B$4:$B$2331=A239),1),_xlfn.AGGREGATE(15,6,'Planning Engine'!$A$4:$A$2331/(('Planning Engine'!$B$4:$B$2331=A239)*('Planning Engine'!$AB$4:$AB$2331&gt;_xlpm.threshold)),1))),""),"")</f>
        <v/>
      </c>
      <c r="N239" s="459" t="str">
        <f ca="1">IF(M239="","",M239-TODAY())</f>
        <v/>
      </c>
    </row>
    <row r="240" spans="1:14" ht="14.25" customHeight="1" x14ac:dyDescent="0.35">
      <c r="A240" s="46"/>
      <c r="B240" s="46"/>
      <c r="C240" s="47"/>
      <c r="D240" s="48"/>
      <c r="E240" s="48"/>
      <c r="F240" s="49"/>
      <c r="G240" s="49"/>
      <c r="H240" s="50">
        <v>0</v>
      </c>
      <c r="I240" s="51"/>
      <c r="J240" s="110" t="str">
        <f t="shared" si="13"/>
        <v/>
      </c>
      <c r="K240" s="46"/>
      <c r="M240" s="463" t="str" cm="1">
        <f t="array" ref="M240">IF(AND(L240="On Hold",E240&lt;&gt;"",H240&gt;0),IFERROR(_xlfn.LET(_xlpm.stopSell,EDATE(E240,-'FEFO Analysis'!$B$4),_xlpm.cumAtStop,SUMIFS('Planning Engine'!$F$4:$F$2331,'Planning Engine'!$B$4:$B$2331,A240,'Planning Engine'!$A$4:$A$2331,"&lt;="&amp;_xlpm.stopSell),_xlpm.threshold,_xlpm.cumAtStop-H240,IF(_xlpm.threshold&lt;=0,_xlfn.AGGREGATE(15,6,'Planning Engine'!$A$4:$A$2331/('Planning Engine'!$B$4:$B$2331=A240),1),_xlfn.AGGREGATE(15,6,'Planning Engine'!$A$4:$A$2331/(('Planning Engine'!$B$4:$B$2331=A240)*('Planning Engine'!$AB$4:$AB$2331&gt;_xlpm.threshold)),1))),""),"")</f>
        <v/>
      </c>
      <c r="N240" s="459" t="str">
        <f ca="1">IF(M240="","",M240-TODAY())</f>
        <v/>
      </c>
    </row>
    <row r="241" spans="1:14" ht="14.25" customHeight="1" x14ac:dyDescent="0.35">
      <c r="A241" s="46"/>
      <c r="B241" s="46"/>
      <c r="C241" s="47"/>
      <c r="D241" s="48"/>
      <c r="E241" s="48"/>
      <c r="F241" s="49"/>
      <c r="G241" s="49"/>
      <c r="H241" s="50">
        <v>0</v>
      </c>
      <c r="I241" s="51"/>
      <c r="J241" s="110" t="str">
        <f t="shared" si="13"/>
        <v/>
      </c>
      <c r="K241" s="46"/>
      <c r="M241" s="463" t="str" cm="1">
        <f t="array" ref="M241">IF(AND(L241="On Hold",E241&lt;&gt;"",H241&gt;0),IFERROR(_xlfn.LET(_xlpm.stopSell,EDATE(E241,-'FEFO Analysis'!$B$4),_xlpm.cumAtStop,SUMIFS('Planning Engine'!$F$4:$F$2331,'Planning Engine'!$B$4:$B$2331,A241,'Planning Engine'!$A$4:$A$2331,"&lt;="&amp;_xlpm.stopSell),_xlpm.threshold,_xlpm.cumAtStop-H241,IF(_xlpm.threshold&lt;=0,_xlfn.AGGREGATE(15,6,'Planning Engine'!$A$4:$A$2331/('Planning Engine'!$B$4:$B$2331=A241),1),_xlfn.AGGREGATE(15,6,'Planning Engine'!$A$4:$A$2331/(('Planning Engine'!$B$4:$B$2331=A241)*('Planning Engine'!$AB$4:$AB$2331&gt;_xlpm.threshold)),1))),""),"")</f>
        <v/>
      </c>
      <c r="N241" s="459" t="str">
        <f ca="1">IF(M241="","",M241-TODAY())</f>
        <v/>
      </c>
    </row>
    <row r="242" spans="1:14" ht="14.25" customHeight="1" x14ac:dyDescent="0.35">
      <c r="A242" s="46"/>
      <c r="B242" s="46"/>
      <c r="C242" s="47"/>
      <c r="D242" s="48"/>
      <c r="E242" s="48"/>
      <c r="F242" s="49"/>
      <c r="G242" s="49"/>
      <c r="H242" s="50">
        <v>0</v>
      </c>
      <c r="I242" s="51"/>
      <c r="J242" s="110" t="str">
        <f t="shared" si="13"/>
        <v/>
      </c>
      <c r="K242" s="46"/>
      <c r="M242" s="463" t="str" cm="1">
        <f t="array" ref="M242">IF(AND(L242="On Hold",E242&lt;&gt;"",H242&gt;0),IFERROR(_xlfn.LET(_xlpm.stopSell,EDATE(E242,-'FEFO Analysis'!$B$4),_xlpm.cumAtStop,SUMIFS('Planning Engine'!$F$4:$F$2331,'Planning Engine'!$B$4:$B$2331,A242,'Planning Engine'!$A$4:$A$2331,"&lt;="&amp;_xlpm.stopSell),_xlpm.threshold,_xlpm.cumAtStop-H242,IF(_xlpm.threshold&lt;=0,_xlfn.AGGREGATE(15,6,'Planning Engine'!$A$4:$A$2331/('Planning Engine'!$B$4:$B$2331=A242),1),_xlfn.AGGREGATE(15,6,'Planning Engine'!$A$4:$A$2331/(('Planning Engine'!$B$4:$B$2331=A242)*('Planning Engine'!$AB$4:$AB$2331&gt;_xlpm.threshold)),1))),""),"")</f>
        <v/>
      </c>
      <c r="N242" s="459" t="str">
        <f ca="1">IF(M242="","",M242-TODAY())</f>
        <v/>
      </c>
    </row>
    <row r="243" spans="1:14" ht="14.25" customHeight="1" x14ac:dyDescent="0.35">
      <c r="A243" s="46"/>
      <c r="B243" s="46"/>
      <c r="C243" s="47"/>
      <c r="D243" s="48"/>
      <c r="E243" s="48"/>
      <c r="F243" s="49"/>
      <c r="G243" s="49"/>
      <c r="H243" s="50">
        <v>0</v>
      </c>
      <c r="I243" s="51"/>
      <c r="J243" s="110" t="str">
        <f t="shared" si="13"/>
        <v/>
      </c>
      <c r="K243" s="46"/>
      <c r="M243" s="463" t="str" cm="1">
        <f t="array" ref="M243">IF(AND(L243="On Hold",E243&lt;&gt;"",H243&gt;0),IFERROR(_xlfn.LET(_xlpm.stopSell,EDATE(E243,-'FEFO Analysis'!$B$4),_xlpm.cumAtStop,SUMIFS('Planning Engine'!$F$4:$F$2331,'Planning Engine'!$B$4:$B$2331,A243,'Planning Engine'!$A$4:$A$2331,"&lt;="&amp;_xlpm.stopSell),_xlpm.threshold,_xlpm.cumAtStop-H243,IF(_xlpm.threshold&lt;=0,_xlfn.AGGREGATE(15,6,'Planning Engine'!$A$4:$A$2331/('Planning Engine'!$B$4:$B$2331=A243),1),_xlfn.AGGREGATE(15,6,'Planning Engine'!$A$4:$A$2331/(('Planning Engine'!$B$4:$B$2331=A243)*('Planning Engine'!$AB$4:$AB$2331&gt;_xlpm.threshold)),1))),""),"")</f>
        <v/>
      </c>
      <c r="N243" s="459" t="str">
        <f ca="1">IF(M243="","",M243-TODAY())</f>
        <v/>
      </c>
    </row>
    <row r="244" spans="1:14" ht="14.25" customHeight="1" x14ac:dyDescent="0.35">
      <c r="A244" s="46"/>
      <c r="B244" s="46"/>
      <c r="C244" s="47"/>
      <c r="D244" s="48"/>
      <c r="E244" s="48"/>
      <c r="F244" s="49"/>
      <c r="G244" s="49"/>
      <c r="H244" s="50">
        <v>0</v>
      </c>
      <c r="I244" s="51"/>
      <c r="J244" s="110" t="str">
        <f t="shared" si="13"/>
        <v/>
      </c>
      <c r="K244" s="46"/>
      <c r="M244" s="463" t="str" cm="1">
        <f t="array" ref="M244">IF(AND(L244="On Hold",E244&lt;&gt;"",H244&gt;0),IFERROR(_xlfn.LET(_xlpm.stopSell,EDATE(E244,-'FEFO Analysis'!$B$4),_xlpm.cumAtStop,SUMIFS('Planning Engine'!$F$4:$F$2331,'Planning Engine'!$B$4:$B$2331,A244,'Planning Engine'!$A$4:$A$2331,"&lt;="&amp;_xlpm.stopSell),_xlpm.threshold,_xlpm.cumAtStop-H244,IF(_xlpm.threshold&lt;=0,_xlfn.AGGREGATE(15,6,'Planning Engine'!$A$4:$A$2331/('Planning Engine'!$B$4:$B$2331=A244),1),_xlfn.AGGREGATE(15,6,'Planning Engine'!$A$4:$A$2331/(('Planning Engine'!$B$4:$B$2331=A244)*('Planning Engine'!$AB$4:$AB$2331&gt;_xlpm.threshold)),1))),""),"")</f>
        <v/>
      </c>
      <c r="N244" s="459" t="str">
        <f ca="1">IF(M244="","",M244-TODAY())</f>
        <v/>
      </c>
    </row>
    <row r="245" spans="1:14" ht="14.25" customHeight="1" x14ac:dyDescent="0.35">
      <c r="A245" s="46"/>
      <c r="B245" s="46"/>
      <c r="C245" s="47"/>
      <c r="D245" s="48"/>
      <c r="E245" s="48"/>
      <c r="F245" s="49"/>
      <c r="G245" s="49"/>
      <c r="H245" s="50">
        <v>0</v>
      </c>
      <c r="I245" s="51"/>
      <c r="J245" s="110" t="str">
        <f t="shared" si="13"/>
        <v/>
      </c>
      <c r="K245" s="46"/>
      <c r="M245" s="463" t="str" cm="1">
        <f t="array" ref="M245">IF(AND(L245="On Hold",E245&lt;&gt;"",H245&gt;0),IFERROR(_xlfn.LET(_xlpm.stopSell,EDATE(E245,-'FEFO Analysis'!$B$4),_xlpm.cumAtStop,SUMIFS('Planning Engine'!$F$4:$F$2331,'Planning Engine'!$B$4:$B$2331,A245,'Planning Engine'!$A$4:$A$2331,"&lt;="&amp;_xlpm.stopSell),_xlpm.threshold,_xlpm.cumAtStop-H245,IF(_xlpm.threshold&lt;=0,_xlfn.AGGREGATE(15,6,'Planning Engine'!$A$4:$A$2331/('Planning Engine'!$B$4:$B$2331=A245),1),_xlfn.AGGREGATE(15,6,'Planning Engine'!$A$4:$A$2331/(('Planning Engine'!$B$4:$B$2331=A245)*('Planning Engine'!$AB$4:$AB$2331&gt;_xlpm.threshold)),1))),""),"")</f>
        <v/>
      </c>
      <c r="N245" s="459" t="str">
        <f ca="1">IF(M245="","",M245-TODAY())</f>
        <v/>
      </c>
    </row>
    <row r="246" spans="1:14" ht="14.25" customHeight="1" x14ac:dyDescent="0.35">
      <c r="A246" s="46"/>
      <c r="B246" s="46"/>
      <c r="C246" s="47"/>
      <c r="D246" s="48"/>
      <c r="E246" s="48"/>
      <c r="F246" s="49"/>
      <c r="G246" s="49"/>
      <c r="H246" s="50">
        <v>0</v>
      </c>
      <c r="I246" s="51"/>
      <c r="J246" s="110" t="str">
        <f t="shared" si="13"/>
        <v/>
      </c>
      <c r="K246" s="46"/>
      <c r="M246" s="463" t="str" cm="1">
        <f t="array" ref="M246">IF(AND(L246="On Hold",E246&lt;&gt;"",H246&gt;0),IFERROR(_xlfn.LET(_xlpm.stopSell,EDATE(E246,-'FEFO Analysis'!$B$4),_xlpm.cumAtStop,SUMIFS('Planning Engine'!$F$4:$F$2331,'Planning Engine'!$B$4:$B$2331,A246,'Planning Engine'!$A$4:$A$2331,"&lt;="&amp;_xlpm.stopSell),_xlpm.threshold,_xlpm.cumAtStop-H246,IF(_xlpm.threshold&lt;=0,_xlfn.AGGREGATE(15,6,'Planning Engine'!$A$4:$A$2331/('Planning Engine'!$B$4:$B$2331=A246),1),_xlfn.AGGREGATE(15,6,'Planning Engine'!$A$4:$A$2331/(('Planning Engine'!$B$4:$B$2331=A246)*('Planning Engine'!$AB$4:$AB$2331&gt;_xlpm.threshold)),1))),""),"")</f>
        <v/>
      </c>
      <c r="N246" s="459" t="str">
        <f ca="1">IF(M246="","",M246-TODAY())</f>
        <v/>
      </c>
    </row>
    <row r="247" spans="1:14" ht="14.25" customHeight="1" x14ac:dyDescent="0.35">
      <c r="A247" s="46"/>
      <c r="B247" s="46"/>
      <c r="C247" s="47"/>
      <c r="D247" s="48"/>
      <c r="E247" s="48"/>
      <c r="F247" s="49"/>
      <c r="G247" s="49"/>
      <c r="H247" s="50">
        <v>0</v>
      </c>
      <c r="I247" s="51"/>
      <c r="J247" s="110" t="str">
        <f t="shared" si="13"/>
        <v/>
      </c>
      <c r="K247" s="46"/>
      <c r="M247" s="463" t="str" cm="1">
        <f t="array" ref="M247">IF(AND(L247="On Hold",E247&lt;&gt;"",H247&gt;0),IFERROR(_xlfn.LET(_xlpm.stopSell,EDATE(E247,-'FEFO Analysis'!$B$4),_xlpm.cumAtStop,SUMIFS('Planning Engine'!$F$4:$F$2331,'Planning Engine'!$B$4:$B$2331,A247,'Planning Engine'!$A$4:$A$2331,"&lt;="&amp;_xlpm.stopSell),_xlpm.threshold,_xlpm.cumAtStop-H247,IF(_xlpm.threshold&lt;=0,_xlfn.AGGREGATE(15,6,'Planning Engine'!$A$4:$A$2331/('Planning Engine'!$B$4:$B$2331=A247),1),_xlfn.AGGREGATE(15,6,'Planning Engine'!$A$4:$A$2331/(('Planning Engine'!$B$4:$B$2331=A247)*('Planning Engine'!$AB$4:$AB$2331&gt;_xlpm.threshold)),1))),""),"")</f>
        <v/>
      </c>
      <c r="N247" s="459" t="str">
        <f ca="1">IF(M247="","",M247-TODAY())</f>
        <v/>
      </c>
    </row>
    <row r="248" spans="1:14" ht="14.25" customHeight="1" x14ac:dyDescent="0.35">
      <c r="A248" s="46"/>
      <c r="B248" s="46"/>
      <c r="C248" s="47"/>
      <c r="D248" s="48"/>
      <c r="E248" s="48"/>
      <c r="F248" s="49"/>
      <c r="G248" s="49"/>
      <c r="H248" s="50">
        <v>0</v>
      </c>
      <c r="I248" s="51"/>
      <c r="J248" s="110" t="str">
        <f t="shared" si="13"/>
        <v/>
      </c>
      <c r="K248" s="46"/>
      <c r="M248" s="463" t="str" cm="1">
        <f t="array" ref="M248">IF(AND(L248="On Hold",E248&lt;&gt;"",H248&gt;0),IFERROR(_xlfn.LET(_xlpm.stopSell,EDATE(E248,-'FEFO Analysis'!$B$4),_xlpm.cumAtStop,SUMIFS('Planning Engine'!$F$4:$F$2331,'Planning Engine'!$B$4:$B$2331,A248,'Planning Engine'!$A$4:$A$2331,"&lt;="&amp;_xlpm.stopSell),_xlpm.threshold,_xlpm.cumAtStop-H248,IF(_xlpm.threshold&lt;=0,_xlfn.AGGREGATE(15,6,'Planning Engine'!$A$4:$A$2331/('Planning Engine'!$B$4:$B$2331=A248),1),_xlfn.AGGREGATE(15,6,'Planning Engine'!$A$4:$A$2331/(('Planning Engine'!$B$4:$B$2331=A248)*('Planning Engine'!$AB$4:$AB$2331&gt;_xlpm.threshold)),1))),""),"")</f>
        <v/>
      </c>
      <c r="N248" s="459" t="str">
        <f ca="1">IF(M248="","",M248-TODAY())</f>
        <v/>
      </c>
    </row>
    <row r="249" spans="1:14" ht="14.25" customHeight="1" x14ac:dyDescent="0.35">
      <c r="A249" s="46"/>
      <c r="B249" s="46"/>
      <c r="C249" s="47"/>
      <c r="D249" s="48"/>
      <c r="E249" s="48"/>
      <c r="F249" s="49"/>
      <c r="G249" s="49"/>
      <c r="H249" s="50">
        <v>0</v>
      </c>
      <c r="I249" s="51"/>
      <c r="J249" s="110" t="str">
        <f t="shared" si="13"/>
        <v/>
      </c>
      <c r="K249" s="46"/>
      <c r="M249" s="463" t="str" cm="1">
        <f t="array" ref="M249">IF(AND(L249="On Hold",E249&lt;&gt;"",H249&gt;0),IFERROR(_xlfn.LET(_xlpm.stopSell,EDATE(E249,-'FEFO Analysis'!$B$4),_xlpm.cumAtStop,SUMIFS('Planning Engine'!$F$4:$F$2331,'Planning Engine'!$B$4:$B$2331,A249,'Planning Engine'!$A$4:$A$2331,"&lt;="&amp;_xlpm.stopSell),_xlpm.threshold,_xlpm.cumAtStop-H249,IF(_xlpm.threshold&lt;=0,_xlfn.AGGREGATE(15,6,'Planning Engine'!$A$4:$A$2331/('Planning Engine'!$B$4:$B$2331=A249),1),_xlfn.AGGREGATE(15,6,'Planning Engine'!$A$4:$A$2331/(('Planning Engine'!$B$4:$B$2331=A249)*('Planning Engine'!$AB$4:$AB$2331&gt;_xlpm.threshold)),1))),""),"")</f>
        <v/>
      </c>
      <c r="N249" s="459" t="str">
        <f ca="1">IF(M249="","",M249-TODAY())</f>
        <v/>
      </c>
    </row>
    <row r="250" spans="1:14" ht="14.25" customHeight="1" x14ac:dyDescent="0.35">
      <c r="A250" s="46"/>
      <c r="B250" s="46"/>
      <c r="C250" s="47"/>
      <c r="D250" s="48"/>
      <c r="E250" s="48"/>
      <c r="F250" s="49"/>
      <c r="G250" s="49"/>
      <c r="H250" s="50">
        <v>0</v>
      </c>
      <c r="I250" s="51"/>
      <c r="J250" s="110" t="str">
        <f t="shared" si="13"/>
        <v/>
      </c>
      <c r="K250" s="46"/>
      <c r="M250" s="463" t="str" cm="1">
        <f t="array" ref="M250">IF(AND(L250="On Hold",E250&lt;&gt;"",H250&gt;0),IFERROR(_xlfn.LET(_xlpm.stopSell,EDATE(E250,-'FEFO Analysis'!$B$4),_xlpm.cumAtStop,SUMIFS('Planning Engine'!$F$4:$F$2331,'Planning Engine'!$B$4:$B$2331,A250,'Planning Engine'!$A$4:$A$2331,"&lt;="&amp;_xlpm.stopSell),_xlpm.threshold,_xlpm.cumAtStop-H250,IF(_xlpm.threshold&lt;=0,_xlfn.AGGREGATE(15,6,'Planning Engine'!$A$4:$A$2331/('Planning Engine'!$B$4:$B$2331=A250),1),_xlfn.AGGREGATE(15,6,'Planning Engine'!$A$4:$A$2331/(('Planning Engine'!$B$4:$B$2331=A250)*('Planning Engine'!$AB$4:$AB$2331&gt;_xlpm.threshold)),1))),""),"")</f>
        <v/>
      </c>
      <c r="N250" s="459" t="str">
        <f ca="1">IF(M250="","",M250-TODAY())</f>
        <v/>
      </c>
    </row>
    <row r="251" spans="1:14" ht="14.25" customHeight="1" x14ac:dyDescent="0.35">
      <c r="A251" s="46"/>
      <c r="B251" s="46"/>
      <c r="C251" s="47"/>
      <c r="D251" s="48"/>
      <c r="E251" s="48"/>
      <c r="F251" s="49"/>
      <c r="G251" s="49"/>
      <c r="H251" s="50">
        <v>0</v>
      </c>
      <c r="I251" s="51"/>
      <c r="J251" s="110" t="str">
        <f t="shared" si="13"/>
        <v/>
      </c>
      <c r="K251" s="46"/>
      <c r="M251" s="463" t="str" cm="1">
        <f t="array" ref="M251">IF(AND(L251="On Hold",E251&lt;&gt;"",H251&gt;0),IFERROR(_xlfn.LET(_xlpm.stopSell,EDATE(E251,-'FEFO Analysis'!$B$4),_xlpm.cumAtStop,SUMIFS('Planning Engine'!$F$4:$F$2331,'Planning Engine'!$B$4:$B$2331,A251,'Planning Engine'!$A$4:$A$2331,"&lt;="&amp;_xlpm.stopSell),_xlpm.threshold,_xlpm.cumAtStop-H251,IF(_xlpm.threshold&lt;=0,_xlfn.AGGREGATE(15,6,'Planning Engine'!$A$4:$A$2331/('Planning Engine'!$B$4:$B$2331=A251),1),_xlfn.AGGREGATE(15,6,'Planning Engine'!$A$4:$A$2331/(('Planning Engine'!$B$4:$B$2331=A251)*('Planning Engine'!$AB$4:$AB$2331&gt;_xlpm.threshold)),1))),""),"")</f>
        <v/>
      </c>
      <c r="N251" s="459" t="str">
        <f ca="1">IF(M251="","",M251-TODAY())</f>
        <v/>
      </c>
    </row>
    <row r="252" spans="1:14" ht="14.25" customHeight="1" x14ac:dyDescent="0.35">
      <c r="A252" s="46"/>
      <c r="B252" s="46"/>
      <c r="C252" s="47"/>
      <c r="D252" s="48"/>
      <c r="E252" s="48"/>
      <c r="F252" s="49"/>
      <c r="G252" s="49"/>
      <c r="H252" s="50">
        <v>0</v>
      </c>
      <c r="I252" s="51"/>
      <c r="J252" s="110" t="str">
        <f t="shared" si="13"/>
        <v/>
      </c>
      <c r="K252" s="46"/>
      <c r="M252" s="463" t="str" cm="1">
        <f t="array" ref="M252">IF(AND(L252="On Hold",E252&lt;&gt;"",H252&gt;0),IFERROR(_xlfn.LET(_xlpm.stopSell,EDATE(E252,-'FEFO Analysis'!$B$4),_xlpm.cumAtStop,SUMIFS('Planning Engine'!$F$4:$F$2331,'Planning Engine'!$B$4:$B$2331,A252,'Planning Engine'!$A$4:$A$2331,"&lt;="&amp;_xlpm.stopSell),_xlpm.threshold,_xlpm.cumAtStop-H252,IF(_xlpm.threshold&lt;=0,_xlfn.AGGREGATE(15,6,'Planning Engine'!$A$4:$A$2331/('Planning Engine'!$B$4:$B$2331=A252),1),_xlfn.AGGREGATE(15,6,'Planning Engine'!$A$4:$A$2331/(('Planning Engine'!$B$4:$B$2331=A252)*('Planning Engine'!$AB$4:$AB$2331&gt;_xlpm.threshold)),1))),""),"")</f>
        <v/>
      </c>
      <c r="N252" s="459" t="str">
        <f ca="1">IF(M252="","",M252-TODAY())</f>
        <v/>
      </c>
    </row>
    <row r="253" spans="1:14" ht="14.25" customHeight="1" x14ac:dyDescent="0.35">
      <c r="A253" s="46"/>
      <c r="B253" s="46"/>
      <c r="C253" s="47"/>
      <c r="D253" s="48"/>
      <c r="E253" s="48"/>
      <c r="F253" s="49"/>
      <c r="G253" s="49"/>
      <c r="H253" s="50">
        <v>0</v>
      </c>
      <c r="I253" s="51"/>
      <c r="J253" s="110" t="str">
        <f t="shared" si="13"/>
        <v/>
      </c>
      <c r="K253" s="46"/>
      <c r="M253" s="463" t="str" cm="1">
        <f t="array" ref="M253">IF(AND(L253="On Hold",E253&lt;&gt;"",H253&gt;0),IFERROR(_xlfn.LET(_xlpm.stopSell,EDATE(E253,-'FEFO Analysis'!$B$4),_xlpm.cumAtStop,SUMIFS('Planning Engine'!$F$4:$F$2331,'Planning Engine'!$B$4:$B$2331,A253,'Planning Engine'!$A$4:$A$2331,"&lt;="&amp;_xlpm.stopSell),_xlpm.threshold,_xlpm.cumAtStop-H253,IF(_xlpm.threshold&lt;=0,_xlfn.AGGREGATE(15,6,'Planning Engine'!$A$4:$A$2331/('Planning Engine'!$B$4:$B$2331=A253),1),_xlfn.AGGREGATE(15,6,'Planning Engine'!$A$4:$A$2331/(('Planning Engine'!$B$4:$B$2331=A253)*('Planning Engine'!$AB$4:$AB$2331&gt;_xlpm.threshold)),1))),""),"")</f>
        <v/>
      </c>
      <c r="N253" s="459" t="str">
        <f ca="1">IF(M253="","",M253-TODAY())</f>
        <v/>
      </c>
    </row>
    <row r="254" spans="1:14" ht="14.25" customHeight="1" x14ac:dyDescent="0.35">
      <c r="A254" s="46"/>
      <c r="B254" s="46"/>
      <c r="C254" s="47"/>
      <c r="D254" s="48"/>
      <c r="E254" s="48"/>
      <c r="F254" s="49"/>
      <c r="G254" s="49"/>
      <c r="H254" s="50">
        <v>0</v>
      </c>
      <c r="I254" s="51"/>
      <c r="J254" s="110" t="str">
        <f t="shared" si="13"/>
        <v/>
      </c>
      <c r="K254" s="46"/>
      <c r="M254" s="463" t="str" cm="1">
        <f t="array" ref="M254">IF(AND(L254="On Hold",E254&lt;&gt;"",H254&gt;0),IFERROR(_xlfn.LET(_xlpm.stopSell,EDATE(E254,-'FEFO Analysis'!$B$4),_xlpm.cumAtStop,SUMIFS('Planning Engine'!$F$4:$F$2331,'Planning Engine'!$B$4:$B$2331,A254,'Planning Engine'!$A$4:$A$2331,"&lt;="&amp;_xlpm.stopSell),_xlpm.threshold,_xlpm.cumAtStop-H254,IF(_xlpm.threshold&lt;=0,_xlfn.AGGREGATE(15,6,'Planning Engine'!$A$4:$A$2331/('Planning Engine'!$B$4:$B$2331=A254),1),_xlfn.AGGREGATE(15,6,'Planning Engine'!$A$4:$A$2331/(('Planning Engine'!$B$4:$B$2331=A254)*('Planning Engine'!$AB$4:$AB$2331&gt;_xlpm.threshold)),1))),""),"")</f>
        <v/>
      </c>
      <c r="N254" s="459" t="str">
        <f ca="1">IF(M254="","",M254-TODAY())</f>
        <v/>
      </c>
    </row>
    <row r="255" spans="1:14" ht="14.25" customHeight="1" x14ac:dyDescent="0.35">
      <c r="A255" s="46"/>
      <c r="B255" s="46"/>
      <c r="C255" s="47"/>
      <c r="D255" s="48"/>
      <c r="E255" s="48"/>
      <c r="F255" s="49"/>
      <c r="G255" s="49"/>
      <c r="H255" s="50">
        <v>0</v>
      </c>
      <c r="I255" s="51"/>
      <c r="J255" s="110" t="str">
        <f t="shared" si="13"/>
        <v/>
      </c>
      <c r="K255" s="46"/>
      <c r="M255" s="463" t="str" cm="1">
        <f t="array" ref="M255">IF(AND(L255="On Hold",E255&lt;&gt;"",H255&gt;0),IFERROR(_xlfn.LET(_xlpm.stopSell,EDATE(E255,-'FEFO Analysis'!$B$4),_xlpm.cumAtStop,SUMIFS('Planning Engine'!$F$4:$F$2331,'Planning Engine'!$B$4:$B$2331,A255,'Planning Engine'!$A$4:$A$2331,"&lt;="&amp;_xlpm.stopSell),_xlpm.threshold,_xlpm.cumAtStop-H255,IF(_xlpm.threshold&lt;=0,_xlfn.AGGREGATE(15,6,'Planning Engine'!$A$4:$A$2331/('Planning Engine'!$B$4:$B$2331=A255),1),_xlfn.AGGREGATE(15,6,'Planning Engine'!$A$4:$A$2331/(('Planning Engine'!$B$4:$B$2331=A255)*('Planning Engine'!$AB$4:$AB$2331&gt;_xlpm.threshold)),1))),""),"")</f>
        <v/>
      </c>
      <c r="N255" s="459" t="str">
        <f ca="1">IF(M255="","",M255-TODAY())</f>
        <v/>
      </c>
    </row>
    <row r="256" spans="1:14" ht="14.25" customHeight="1" x14ac:dyDescent="0.35">
      <c r="A256" s="46"/>
      <c r="B256" s="46"/>
      <c r="C256" s="47"/>
      <c r="D256" s="48"/>
      <c r="E256" s="48"/>
      <c r="F256" s="49"/>
      <c r="G256" s="49"/>
      <c r="H256" s="50">
        <v>0</v>
      </c>
      <c r="I256" s="51"/>
      <c r="J256" s="110" t="str">
        <f t="shared" si="13"/>
        <v/>
      </c>
      <c r="K256" s="46"/>
      <c r="M256" s="463" t="str" cm="1">
        <f t="array" ref="M256">IF(AND(L256="On Hold",E256&lt;&gt;"",H256&gt;0),IFERROR(_xlfn.LET(_xlpm.stopSell,EDATE(E256,-'FEFO Analysis'!$B$4),_xlpm.cumAtStop,SUMIFS('Planning Engine'!$F$4:$F$2331,'Planning Engine'!$B$4:$B$2331,A256,'Planning Engine'!$A$4:$A$2331,"&lt;="&amp;_xlpm.stopSell),_xlpm.threshold,_xlpm.cumAtStop-H256,IF(_xlpm.threshold&lt;=0,_xlfn.AGGREGATE(15,6,'Planning Engine'!$A$4:$A$2331/('Planning Engine'!$B$4:$B$2331=A256),1),_xlfn.AGGREGATE(15,6,'Planning Engine'!$A$4:$A$2331/(('Planning Engine'!$B$4:$B$2331=A256)*('Planning Engine'!$AB$4:$AB$2331&gt;_xlpm.threshold)),1))),""),"")</f>
        <v/>
      </c>
      <c r="N256" s="459" t="str">
        <f ca="1">IF(M256="","",M256-TODAY())</f>
        <v/>
      </c>
    </row>
    <row r="257" spans="1:14" ht="14.25" customHeight="1" x14ac:dyDescent="0.35">
      <c r="A257" s="46"/>
      <c r="B257" s="46"/>
      <c r="C257" s="47"/>
      <c r="D257" s="48"/>
      <c r="E257" s="48"/>
      <c r="F257" s="49"/>
      <c r="G257" s="49"/>
      <c r="H257" s="50">
        <v>0</v>
      </c>
      <c r="I257" s="51"/>
      <c r="J257" s="110" t="str">
        <f t="shared" si="13"/>
        <v/>
      </c>
      <c r="K257" s="46"/>
      <c r="M257" s="463" t="str" cm="1">
        <f t="array" ref="M257">IF(AND(L257="On Hold",E257&lt;&gt;"",H257&gt;0),IFERROR(_xlfn.LET(_xlpm.stopSell,EDATE(E257,-'FEFO Analysis'!$B$4),_xlpm.cumAtStop,SUMIFS('Planning Engine'!$F$4:$F$2331,'Planning Engine'!$B$4:$B$2331,A257,'Planning Engine'!$A$4:$A$2331,"&lt;="&amp;_xlpm.stopSell),_xlpm.threshold,_xlpm.cumAtStop-H257,IF(_xlpm.threshold&lt;=0,_xlfn.AGGREGATE(15,6,'Planning Engine'!$A$4:$A$2331/('Planning Engine'!$B$4:$B$2331=A257),1),_xlfn.AGGREGATE(15,6,'Planning Engine'!$A$4:$A$2331/(('Planning Engine'!$B$4:$B$2331=A257)*('Planning Engine'!$AB$4:$AB$2331&gt;_xlpm.threshold)),1))),""),"")</f>
        <v/>
      </c>
      <c r="N257" s="459" t="str">
        <f ca="1">IF(M257="","",M257-TODAY())</f>
        <v/>
      </c>
    </row>
    <row r="258" spans="1:14" ht="14.25" customHeight="1" x14ac:dyDescent="0.35">
      <c r="A258" s="46"/>
      <c r="B258" s="46"/>
      <c r="C258" s="47"/>
      <c r="D258" s="48"/>
      <c r="E258" s="48"/>
      <c r="F258" s="49"/>
      <c r="G258" s="49"/>
      <c r="H258" s="50">
        <v>0</v>
      </c>
      <c r="I258" s="51"/>
      <c r="J258" s="110" t="str">
        <f t="shared" si="13"/>
        <v/>
      </c>
      <c r="K258" s="46"/>
      <c r="M258" s="463" t="str" cm="1">
        <f t="array" ref="M258">IF(AND(L258="On Hold",E258&lt;&gt;"",H258&gt;0),IFERROR(_xlfn.LET(_xlpm.stopSell,EDATE(E258,-'FEFO Analysis'!$B$4),_xlpm.cumAtStop,SUMIFS('Planning Engine'!$F$4:$F$2331,'Planning Engine'!$B$4:$B$2331,A258,'Planning Engine'!$A$4:$A$2331,"&lt;="&amp;_xlpm.stopSell),_xlpm.threshold,_xlpm.cumAtStop-H258,IF(_xlpm.threshold&lt;=0,_xlfn.AGGREGATE(15,6,'Planning Engine'!$A$4:$A$2331/('Planning Engine'!$B$4:$B$2331=A258),1),_xlfn.AGGREGATE(15,6,'Planning Engine'!$A$4:$A$2331/(('Planning Engine'!$B$4:$B$2331=A258)*('Planning Engine'!$AB$4:$AB$2331&gt;_xlpm.threshold)),1))),""),"")</f>
        <v/>
      </c>
      <c r="N258" s="459" t="str">
        <f ca="1">IF(M258="","",M258-TODAY())</f>
        <v/>
      </c>
    </row>
    <row r="259" spans="1:14" ht="14.25" customHeight="1" x14ac:dyDescent="0.35">
      <c r="A259" s="46"/>
      <c r="B259" s="46"/>
      <c r="C259" s="47"/>
      <c r="D259" s="48"/>
      <c r="E259" s="48"/>
      <c r="F259" s="49"/>
      <c r="G259" s="49"/>
      <c r="H259" s="50">
        <v>0</v>
      </c>
      <c r="I259" s="51"/>
      <c r="J259" s="110" t="str">
        <f t="shared" si="13"/>
        <v/>
      </c>
      <c r="K259" s="46"/>
      <c r="M259" s="463" t="str" cm="1">
        <f t="array" ref="M259">IF(AND(L259="On Hold",E259&lt;&gt;"",H259&gt;0),IFERROR(_xlfn.LET(_xlpm.stopSell,EDATE(E259,-'FEFO Analysis'!$B$4),_xlpm.cumAtStop,SUMIFS('Planning Engine'!$F$4:$F$2331,'Planning Engine'!$B$4:$B$2331,A259,'Planning Engine'!$A$4:$A$2331,"&lt;="&amp;_xlpm.stopSell),_xlpm.threshold,_xlpm.cumAtStop-H259,IF(_xlpm.threshold&lt;=0,_xlfn.AGGREGATE(15,6,'Planning Engine'!$A$4:$A$2331/('Planning Engine'!$B$4:$B$2331=A259),1),_xlfn.AGGREGATE(15,6,'Planning Engine'!$A$4:$A$2331/(('Planning Engine'!$B$4:$B$2331=A259)*('Planning Engine'!$AB$4:$AB$2331&gt;_xlpm.threshold)),1))),""),"")</f>
        <v/>
      </c>
      <c r="N259" s="459" t="str">
        <f ca="1">IF(M259="","",M259-TODAY())</f>
        <v/>
      </c>
    </row>
    <row r="260" spans="1:14" ht="14.25" customHeight="1" x14ac:dyDescent="0.35">
      <c r="A260" s="46"/>
      <c r="B260" s="46"/>
      <c r="C260" s="47"/>
      <c r="D260" s="48"/>
      <c r="E260" s="48"/>
      <c r="F260" s="49"/>
      <c r="G260" s="49"/>
      <c r="H260" s="50">
        <v>0</v>
      </c>
      <c r="I260" s="51"/>
      <c r="J260" s="110" t="str">
        <f t="shared" si="13"/>
        <v/>
      </c>
      <c r="K260" s="46"/>
      <c r="M260" s="463" t="str" cm="1">
        <f t="array" ref="M260">IF(AND(L260="On Hold",E260&lt;&gt;"",H260&gt;0),IFERROR(_xlfn.LET(_xlpm.stopSell,EDATE(E260,-'FEFO Analysis'!$B$4),_xlpm.cumAtStop,SUMIFS('Planning Engine'!$F$4:$F$2331,'Planning Engine'!$B$4:$B$2331,A260,'Planning Engine'!$A$4:$A$2331,"&lt;="&amp;_xlpm.stopSell),_xlpm.threshold,_xlpm.cumAtStop-H260,IF(_xlpm.threshold&lt;=0,_xlfn.AGGREGATE(15,6,'Planning Engine'!$A$4:$A$2331/('Planning Engine'!$B$4:$B$2331=A260),1),_xlfn.AGGREGATE(15,6,'Planning Engine'!$A$4:$A$2331/(('Planning Engine'!$B$4:$B$2331=A260)*('Planning Engine'!$AB$4:$AB$2331&gt;_xlpm.threshold)),1))),""),"")</f>
        <v/>
      </c>
      <c r="N260" s="459" t="str">
        <f ca="1">IF(M260="","",M260-TODAY())</f>
        <v/>
      </c>
    </row>
    <row r="261" spans="1:14" ht="14.25" customHeight="1" x14ac:dyDescent="0.35">
      <c r="A261" s="46"/>
      <c r="B261" s="46"/>
      <c r="C261" s="47"/>
      <c r="D261" s="48"/>
      <c r="E261" s="48"/>
      <c r="F261" s="49"/>
      <c r="G261" s="49"/>
      <c r="H261" s="50">
        <v>0</v>
      </c>
      <c r="I261" s="51"/>
      <c r="J261" s="110" t="str">
        <f t="shared" si="13"/>
        <v/>
      </c>
      <c r="K261" s="46"/>
      <c r="M261" s="463" t="str" cm="1">
        <f t="array" ref="M261">IF(AND(L261="On Hold",E261&lt;&gt;"",H261&gt;0),IFERROR(_xlfn.LET(_xlpm.stopSell,EDATE(E261,-'FEFO Analysis'!$B$4),_xlpm.cumAtStop,SUMIFS('Planning Engine'!$F$4:$F$2331,'Planning Engine'!$B$4:$B$2331,A261,'Planning Engine'!$A$4:$A$2331,"&lt;="&amp;_xlpm.stopSell),_xlpm.threshold,_xlpm.cumAtStop-H261,IF(_xlpm.threshold&lt;=0,_xlfn.AGGREGATE(15,6,'Planning Engine'!$A$4:$A$2331/('Planning Engine'!$B$4:$B$2331=A261),1),_xlfn.AGGREGATE(15,6,'Planning Engine'!$A$4:$A$2331/(('Planning Engine'!$B$4:$B$2331=A261)*('Planning Engine'!$AB$4:$AB$2331&gt;_xlpm.threshold)),1))),""),"")</f>
        <v/>
      </c>
      <c r="N261" s="459" t="str">
        <f ca="1">IF(M261="","",M261-TODAY())</f>
        <v/>
      </c>
    </row>
    <row r="262" spans="1:14" ht="14.25" customHeight="1" x14ac:dyDescent="0.35">
      <c r="A262" s="46"/>
      <c r="B262" s="46"/>
      <c r="C262" s="47"/>
      <c r="D262" s="48"/>
      <c r="E262" s="48"/>
      <c r="F262" s="49"/>
      <c r="G262" s="49"/>
      <c r="H262" s="50">
        <v>0</v>
      </c>
      <c r="I262" s="51"/>
      <c r="J262" s="110" t="str">
        <f t="shared" ref="J262:J325" si="14">IF(E262&lt;&gt;"",E262+ROW()/1000000,"")</f>
        <v/>
      </c>
      <c r="K262" s="46"/>
      <c r="M262" s="463" t="str" cm="1">
        <f t="array" ref="M262">IF(AND(L262="On Hold",E262&lt;&gt;"",H262&gt;0),IFERROR(_xlfn.LET(_xlpm.stopSell,EDATE(E262,-'FEFO Analysis'!$B$4),_xlpm.cumAtStop,SUMIFS('Planning Engine'!$F$4:$F$2331,'Planning Engine'!$B$4:$B$2331,A262,'Planning Engine'!$A$4:$A$2331,"&lt;="&amp;_xlpm.stopSell),_xlpm.threshold,_xlpm.cumAtStop-H262,IF(_xlpm.threshold&lt;=0,_xlfn.AGGREGATE(15,6,'Planning Engine'!$A$4:$A$2331/('Planning Engine'!$B$4:$B$2331=A262),1),_xlfn.AGGREGATE(15,6,'Planning Engine'!$A$4:$A$2331/(('Planning Engine'!$B$4:$B$2331=A262)*('Planning Engine'!$AB$4:$AB$2331&gt;_xlpm.threshold)),1))),""),"")</f>
        <v/>
      </c>
      <c r="N262" s="459" t="str">
        <f ca="1">IF(M262="","",M262-TODAY())</f>
        <v/>
      </c>
    </row>
    <row r="263" spans="1:14" ht="14.25" customHeight="1" x14ac:dyDescent="0.35">
      <c r="A263" s="46"/>
      <c r="B263" s="46"/>
      <c r="C263" s="47"/>
      <c r="D263" s="48"/>
      <c r="E263" s="48"/>
      <c r="F263" s="49"/>
      <c r="G263" s="49"/>
      <c r="H263" s="50">
        <v>0</v>
      </c>
      <c r="I263" s="51"/>
      <c r="J263" s="110" t="str">
        <f t="shared" si="14"/>
        <v/>
      </c>
      <c r="K263" s="46"/>
      <c r="M263" s="463" t="str" cm="1">
        <f t="array" ref="M263">IF(AND(L263="On Hold",E263&lt;&gt;"",H263&gt;0),IFERROR(_xlfn.LET(_xlpm.stopSell,EDATE(E263,-'FEFO Analysis'!$B$4),_xlpm.cumAtStop,SUMIFS('Planning Engine'!$F$4:$F$2331,'Planning Engine'!$B$4:$B$2331,A263,'Planning Engine'!$A$4:$A$2331,"&lt;="&amp;_xlpm.stopSell),_xlpm.threshold,_xlpm.cumAtStop-H263,IF(_xlpm.threshold&lt;=0,_xlfn.AGGREGATE(15,6,'Planning Engine'!$A$4:$A$2331/('Planning Engine'!$B$4:$B$2331=A263),1),_xlfn.AGGREGATE(15,6,'Planning Engine'!$A$4:$A$2331/(('Planning Engine'!$B$4:$B$2331=A263)*('Planning Engine'!$AB$4:$AB$2331&gt;_xlpm.threshold)),1))),""),"")</f>
        <v/>
      </c>
      <c r="N263" s="459" t="str">
        <f ca="1">IF(M263="","",M263-TODAY())</f>
        <v/>
      </c>
    </row>
    <row r="264" spans="1:14" ht="14.25" customHeight="1" x14ac:dyDescent="0.35">
      <c r="A264" s="46"/>
      <c r="B264" s="46"/>
      <c r="C264" s="47"/>
      <c r="D264" s="48"/>
      <c r="E264" s="48"/>
      <c r="F264" s="49"/>
      <c r="G264" s="49"/>
      <c r="H264" s="50">
        <v>0</v>
      </c>
      <c r="I264" s="51"/>
      <c r="J264" s="110" t="str">
        <f t="shared" si="14"/>
        <v/>
      </c>
      <c r="K264" s="46"/>
      <c r="M264" s="463" t="str" cm="1">
        <f t="array" ref="M264">IF(AND(L264="On Hold",E264&lt;&gt;"",H264&gt;0),IFERROR(_xlfn.LET(_xlpm.stopSell,EDATE(E264,-'FEFO Analysis'!$B$4),_xlpm.cumAtStop,SUMIFS('Planning Engine'!$F$4:$F$2331,'Planning Engine'!$B$4:$B$2331,A264,'Planning Engine'!$A$4:$A$2331,"&lt;="&amp;_xlpm.stopSell),_xlpm.threshold,_xlpm.cumAtStop-H264,IF(_xlpm.threshold&lt;=0,_xlfn.AGGREGATE(15,6,'Planning Engine'!$A$4:$A$2331/('Planning Engine'!$B$4:$B$2331=A264),1),_xlfn.AGGREGATE(15,6,'Planning Engine'!$A$4:$A$2331/(('Planning Engine'!$B$4:$B$2331=A264)*('Planning Engine'!$AB$4:$AB$2331&gt;_xlpm.threshold)),1))),""),"")</f>
        <v/>
      </c>
      <c r="N264" s="459" t="str">
        <f ca="1">IF(M264="","",M264-TODAY())</f>
        <v/>
      </c>
    </row>
    <row r="265" spans="1:14" ht="14.25" customHeight="1" x14ac:dyDescent="0.35">
      <c r="A265" s="46"/>
      <c r="B265" s="46"/>
      <c r="C265" s="47"/>
      <c r="D265" s="48"/>
      <c r="E265" s="48"/>
      <c r="F265" s="49"/>
      <c r="G265" s="49"/>
      <c r="H265" s="50">
        <v>0</v>
      </c>
      <c r="I265" s="51"/>
      <c r="J265" s="110" t="str">
        <f t="shared" si="14"/>
        <v/>
      </c>
      <c r="K265" s="46"/>
      <c r="M265" s="463" t="str" cm="1">
        <f t="array" ref="M265">IF(AND(L265="On Hold",E265&lt;&gt;"",H265&gt;0),IFERROR(_xlfn.LET(_xlpm.stopSell,EDATE(E265,-'FEFO Analysis'!$B$4),_xlpm.cumAtStop,SUMIFS('Planning Engine'!$F$4:$F$2331,'Planning Engine'!$B$4:$B$2331,A265,'Planning Engine'!$A$4:$A$2331,"&lt;="&amp;_xlpm.stopSell),_xlpm.threshold,_xlpm.cumAtStop-H265,IF(_xlpm.threshold&lt;=0,_xlfn.AGGREGATE(15,6,'Planning Engine'!$A$4:$A$2331/('Planning Engine'!$B$4:$B$2331=A265),1),_xlfn.AGGREGATE(15,6,'Planning Engine'!$A$4:$A$2331/(('Planning Engine'!$B$4:$B$2331=A265)*('Planning Engine'!$AB$4:$AB$2331&gt;_xlpm.threshold)),1))),""),"")</f>
        <v/>
      </c>
      <c r="N265" s="459" t="str">
        <f ca="1">IF(M265="","",M265-TODAY())</f>
        <v/>
      </c>
    </row>
    <row r="266" spans="1:14" ht="14.25" customHeight="1" x14ac:dyDescent="0.35">
      <c r="A266" s="46"/>
      <c r="B266" s="46"/>
      <c r="C266" s="47"/>
      <c r="D266" s="48"/>
      <c r="E266" s="48"/>
      <c r="F266" s="49"/>
      <c r="G266" s="49"/>
      <c r="H266" s="50">
        <v>0</v>
      </c>
      <c r="I266" s="51"/>
      <c r="J266" s="110" t="str">
        <f t="shared" si="14"/>
        <v/>
      </c>
      <c r="K266" s="46"/>
      <c r="M266" s="463" t="str" cm="1">
        <f t="array" ref="M266">IF(AND(L266="On Hold",E266&lt;&gt;"",H266&gt;0),IFERROR(_xlfn.LET(_xlpm.stopSell,EDATE(E266,-'FEFO Analysis'!$B$4),_xlpm.cumAtStop,SUMIFS('Planning Engine'!$F$4:$F$2331,'Planning Engine'!$B$4:$B$2331,A266,'Planning Engine'!$A$4:$A$2331,"&lt;="&amp;_xlpm.stopSell),_xlpm.threshold,_xlpm.cumAtStop-H266,IF(_xlpm.threshold&lt;=0,_xlfn.AGGREGATE(15,6,'Planning Engine'!$A$4:$A$2331/('Planning Engine'!$B$4:$B$2331=A266),1),_xlfn.AGGREGATE(15,6,'Planning Engine'!$A$4:$A$2331/(('Planning Engine'!$B$4:$B$2331=A266)*('Planning Engine'!$AB$4:$AB$2331&gt;_xlpm.threshold)),1))),""),"")</f>
        <v/>
      </c>
      <c r="N266" s="459" t="str">
        <f ca="1">IF(M266="","",M266-TODAY())</f>
        <v/>
      </c>
    </row>
    <row r="267" spans="1:14" ht="14.25" customHeight="1" x14ac:dyDescent="0.35">
      <c r="A267" s="46"/>
      <c r="B267" s="46"/>
      <c r="C267" s="47"/>
      <c r="D267" s="48"/>
      <c r="E267" s="48"/>
      <c r="F267" s="49"/>
      <c r="G267" s="49"/>
      <c r="H267" s="50">
        <v>0</v>
      </c>
      <c r="I267" s="51"/>
      <c r="J267" s="110" t="str">
        <f t="shared" si="14"/>
        <v/>
      </c>
      <c r="K267" s="46"/>
      <c r="M267" s="463" t="str" cm="1">
        <f t="array" ref="M267">IF(AND(L267="On Hold",E267&lt;&gt;"",H267&gt;0),IFERROR(_xlfn.LET(_xlpm.stopSell,EDATE(E267,-'FEFO Analysis'!$B$4),_xlpm.cumAtStop,SUMIFS('Planning Engine'!$F$4:$F$2331,'Planning Engine'!$B$4:$B$2331,A267,'Planning Engine'!$A$4:$A$2331,"&lt;="&amp;_xlpm.stopSell),_xlpm.threshold,_xlpm.cumAtStop-H267,IF(_xlpm.threshold&lt;=0,_xlfn.AGGREGATE(15,6,'Planning Engine'!$A$4:$A$2331/('Planning Engine'!$B$4:$B$2331=A267),1),_xlfn.AGGREGATE(15,6,'Planning Engine'!$A$4:$A$2331/(('Planning Engine'!$B$4:$B$2331=A267)*('Planning Engine'!$AB$4:$AB$2331&gt;_xlpm.threshold)),1))),""),"")</f>
        <v/>
      </c>
      <c r="N267" s="459" t="str">
        <f ca="1">IF(M267="","",M267-TODAY())</f>
        <v/>
      </c>
    </row>
    <row r="268" spans="1:14" ht="14.25" customHeight="1" x14ac:dyDescent="0.35">
      <c r="A268" s="46"/>
      <c r="B268" s="46"/>
      <c r="C268" s="47"/>
      <c r="D268" s="48"/>
      <c r="E268" s="48"/>
      <c r="F268" s="49"/>
      <c r="G268" s="49"/>
      <c r="H268" s="50">
        <v>0</v>
      </c>
      <c r="I268" s="51"/>
      <c r="J268" s="110" t="str">
        <f t="shared" si="14"/>
        <v/>
      </c>
      <c r="K268" s="46"/>
      <c r="M268" s="463" t="str" cm="1">
        <f t="array" ref="M268">IF(AND(L268="On Hold",E268&lt;&gt;"",H268&gt;0),IFERROR(_xlfn.LET(_xlpm.stopSell,EDATE(E268,-'FEFO Analysis'!$B$4),_xlpm.cumAtStop,SUMIFS('Planning Engine'!$F$4:$F$2331,'Planning Engine'!$B$4:$B$2331,A268,'Planning Engine'!$A$4:$A$2331,"&lt;="&amp;_xlpm.stopSell),_xlpm.threshold,_xlpm.cumAtStop-H268,IF(_xlpm.threshold&lt;=0,_xlfn.AGGREGATE(15,6,'Planning Engine'!$A$4:$A$2331/('Planning Engine'!$B$4:$B$2331=A268),1),_xlfn.AGGREGATE(15,6,'Planning Engine'!$A$4:$A$2331/(('Planning Engine'!$B$4:$B$2331=A268)*('Planning Engine'!$AB$4:$AB$2331&gt;_xlpm.threshold)),1))),""),"")</f>
        <v/>
      </c>
      <c r="N268" s="459" t="str">
        <f ca="1">IF(M268="","",M268-TODAY())</f>
        <v/>
      </c>
    </row>
    <row r="269" spans="1:14" ht="14.25" customHeight="1" x14ac:dyDescent="0.35">
      <c r="A269" s="46"/>
      <c r="B269" s="46"/>
      <c r="C269" s="47"/>
      <c r="D269" s="48"/>
      <c r="E269" s="48"/>
      <c r="F269" s="49"/>
      <c r="G269" s="49"/>
      <c r="H269" s="50">
        <v>0</v>
      </c>
      <c r="I269" s="51"/>
      <c r="J269" s="110" t="str">
        <f t="shared" si="14"/>
        <v/>
      </c>
      <c r="K269" s="46"/>
      <c r="M269" s="463" t="str" cm="1">
        <f t="array" ref="M269">IF(AND(L269="On Hold",E269&lt;&gt;"",H269&gt;0),IFERROR(_xlfn.LET(_xlpm.stopSell,EDATE(E269,-'FEFO Analysis'!$B$4),_xlpm.cumAtStop,SUMIFS('Planning Engine'!$F$4:$F$2331,'Planning Engine'!$B$4:$B$2331,A269,'Planning Engine'!$A$4:$A$2331,"&lt;="&amp;_xlpm.stopSell),_xlpm.threshold,_xlpm.cumAtStop-H269,IF(_xlpm.threshold&lt;=0,_xlfn.AGGREGATE(15,6,'Planning Engine'!$A$4:$A$2331/('Planning Engine'!$B$4:$B$2331=A269),1),_xlfn.AGGREGATE(15,6,'Planning Engine'!$A$4:$A$2331/(('Planning Engine'!$B$4:$B$2331=A269)*('Planning Engine'!$AB$4:$AB$2331&gt;_xlpm.threshold)),1))),""),"")</f>
        <v/>
      </c>
      <c r="N269" s="459" t="str">
        <f ca="1">IF(M269="","",M269-TODAY())</f>
        <v/>
      </c>
    </row>
    <row r="270" spans="1:14" ht="14.25" customHeight="1" x14ac:dyDescent="0.35">
      <c r="A270" s="46"/>
      <c r="B270" s="46"/>
      <c r="C270" s="47"/>
      <c r="D270" s="48"/>
      <c r="E270" s="48"/>
      <c r="F270" s="49"/>
      <c r="G270" s="49"/>
      <c r="H270" s="50">
        <v>0</v>
      </c>
      <c r="I270" s="51"/>
      <c r="J270" s="110" t="str">
        <f t="shared" si="14"/>
        <v/>
      </c>
      <c r="K270" s="46"/>
      <c r="M270" s="463" t="str" cm="1">
        <f t="array" ref="M270">IF(AND(L270="On Hold",E270&lt;&gt;"",H270&gt;0),IFERROR(_xlfn.LET(_xlpm.stopSell,EDATE(E270,-'FEFO Analysis'!$B$4),_xlpm.cumAtStop,SUMIFS('Planning Engine'!$F$4:$F$2331,'Planning Engine'!$B$4:$B$2331,A270,'Planning Engine'!$A$4:$A$2331,"&lt;="&amp;_xlpm.stopSell),_xlpm.threshold,_xlpm.cumAtStop-H270,IF(_xlpm.threshold&lt;=0,_xlfn.AGGREGATE(15,6,'Planning Engine'!$A$4:$A$2331/('Planning Engine'!$B$4:$B$2331=A270),1),_xlfn.AGGREGATE(15,6,'Planning Engine'!$A$4:$A$2331/(('Planning Engine'!$B$4:$B$2331=A270)*('Planning Engine'!$AB$4:$AB$2331&gt;_xlpm.threshold)),1))),""),"")</f>
        <v/>
      </c>
      <c r="N270" s="459" t="str">
        <f ca="1">IF(M270="","",M270-TODAY())</f>
        <v/>
      </c>
    </row>
    <row r="271" spans="1:14" ht="14.25" customHeight="1" x14ac:dyDescent="0.35">
      <c r="A271" s="46"/>
      <c r="B271" s="46"/>
      <c r="C271" s="47"/>
      <c r="D271" s="48"/>
      <c r="E271" s="48"/>
      <c r="F271" s="49"/>
      <c r="G271" s="49"/>
      <c r="H271" s="50">
        <v>0</v>
      </c>
      <c r="I271" s="51"/>
      <c r="J271" s="110" t="str">
        <f t="shared" si="14"/>
        <v/>
      </c>
      <c r="K271" s="46"/>
      <c r="M271" s="463" t="str" cm="1">
        <f t="array" ref="M271">IF(AND(L271="On Hold",E271&lt;&gt;"",H271&gt;0),IFERROR(_xlfn.LET(_xlpm.stopSell,EDATE(E271,-'FEFO Analysis'!$B$4),_xlpm.cumAtStop,SUMIFS('Planning Engine'!$F$4:$F$2331,'Planning Engine'!$B$4:$B$2331,A271,'Planning Engine'!$A$4:$A$2331,"&lt;="&amp;_xlpm.stopSell),_xlpm.threshold,_xlpm.cumAtStop-H271,IF(_xlpm.threshold&lt;=0,_xlfn.AGGREGATE(15,6,'Planning Engine'!$A$4:$A$2331/('Planning Engine'!$B$4:$B$2331=A271),1),_xlfn.AGGREGATE(15,6,'Planning Engine'!$A$4:$A$2331/(('Planning Engine'!$B$4:$B$2331=A271)*('Planning Engine'!$AB$4:$AB$2331&gt;_xlpm.threshold)),1))),""),"")</f>
        <v/>
      </c>
      <c r="N271" s="459" t="str">
        <f ca="1">IF(M271="","",M271-TODAY())</f>
        <v/>
      </c>
    </row>
    <row r="272" spans="1:14" ht="14.25" customHeight="1" x14ac:dyDescent="0.35">
      <c r="A272" s="46"/>
      <c r="B272" s="46"/>
      <c r="C272" s="47"/>
      <c r="D272" s="48"/>
      <c r="E272" s="48"/>
      <c r="F272" s="49"/>
      <c r="G272" s="49"/>
      <c r="H272" s="50">
        <v>0</v>
      </c>
      <c r="I272" s="51"/>
      <c r="J272" s="110" t="str">
        <f t="shared" si="14"/>
        <v/>
      </c>
      <c r="K272" s="46"/>
      <c r="M272" s="463" t="str" cm="1">
        <f t="array" ref="M272">IF(AND(L272="On Hold",E272&lt;&gt;"",H272&gt;0),IFERROR(_xlfn.LET(_xlpm.stopSell,EDATE(E272,-'FEFO Analysis'!$B$4),_xlpm.cumAtStop,SUMIFS('Planning Engine'!$F$4:$F$2331,'Planning Engine'!$B$4:$B$2331,A272,'Planning Engine'!$A$4:$A$2331,"&lt;="&amp;_xlpm.stopSell),_xlpm.threshold,_xlpm.cumAtStop-H272,IF(_xlpm.threshold&lt;=0,_xlfn.AGGREGATE(15,6,'Planning Engine'!$A$4:$A$2331/('Planning Engine'!$B$4:$B$2331=A272),1),_xlfn.AGGREGATE(15,6,'Planning Engine'!$A$4:$A$2331/(('Planning Engine'!$B$4:$B$2331=A272)*('Planning Engine'!$AB$4:$AB$2331&gt;_xlpm.threshold)),1))),""),"")</f>
        <v/>
      </c>
      <c r="N272" s="459" t="str">
        <f ca="1">IF(M272="","",M272-TODAY())</f>
        <v/>
      </c>
    </row>
    <row r="273" spans="1:14" ht="14.25" customHeight="1" x14ac:dyDescent="0.35">
      <c r="A273" s="46"/>
      <c r="B273" s="46"/>
      <c r="C273" s="47"/>
      <c r="D273" s="48"/>
      <c r="E273" s="48"/>
      <c r="F273" s="49"/>
      <c r="G273" s="49"/>
      <c r="H273" s="50">
        <v>0</v>
      </c>
      <c r="I273" s="51"/>
      <c r="J273" s="110" t="str">
        <f t="shared" si="14"/>
        <v/>
      </c>
      <c r="K273" s="46"/>
      <c r="M273" s="463" t="str" cm="1">
        <f t="array" ref="M273">IF(AND(L273="On Hold",E273&lt;&gt;"",H273&gt;0),IFERROR(_xlfn.LET(_xlpm.stopSell,EDATE(E273,-'FEFO Analysis'!$B$4),_xlpm.cumAtStop,SUMIFS('Planning Engine'!$F$4:$F$2331,'Planning Engine'!$B$4:$B$2331,A273,'Planning Engine'!$A$4:$A$2331,"&lt;="&amp;_xlpm.stopSell),_xlpm.threshold,_xlpm.cumAtStop-H273,IF(_xlpm.threshold&lt;=0,_xlfn.AGGREGATE(15,6,'Planning Engine'!$A$4:$A$2331/('Planning Engine'!$B$4:$B$2331=A273),1),_xlfn.AGGREGATE(15,6,'Planning Engine'!$A$4:$A$2331/(('Planning Engine'!$B$4:$B$2331=A273)*('Planning Engine'!$AB$4:$AB$2331&gt;_xlpm.threshold)),1))),""),"")</f>
        <v/>
      </c>
      <c r="N273" s="459" t="str">
        <f ca="1">IF(M273="","",M273-TODAY())</f>
        <v/>
      </c>
    </row>
    <row r="274" spans="1:14" ht="14.25" customHeight="1" x14ac:dyDescent="0.35">
      <c r="A274" s="46"/>
      <c r="B274" s="46"/>
      <c r="C274" s="47"/>
      <c r="D274" s="48"/>
      <c r="E274" s="48"/>
      <c r="F274" s="49"/>
      <c r="G274" s="49"/>
      <c r="H274" s="50">
        <v>0</v>
      </c>
      <c r="I274" s="51"/>
      <c r="J274" s="110" t="str">
        <f t="shared" si="14"/>
        <v/>
      </c>
      <c r="K274" s="46"/>
      <c r="M274" s="463" t="str" cm="1">
        <f t="array" ref="M274">IF(AND(L274="On Hold",E274&lt;&gt;"",H274&gt;0),IFERROR(_xlfn.LET(_xlpm.stopSell,EDATE(E274,-'FEFO Analysis'!$B$4),_xlpm.cumAtStop,SUMIFS('Planning Engine'!$F$4:$F$2331,'Planning Engine'!$B$4:$B$2331,A274,'Planning Engine'!$A$4:$A$2331,"&lt;="&amp;_xlpm.stopSell),_xlpm.threshold,_xlpm.cumAtStop-H274,IF(_xlpm.threshold&lt;=0,_xlfn.AGGREGATE(15,6,'Planning Engine'!$A$4:$A$2331/('Planning Engine'!$B$4:$B$2331=A274),1),_xlfn.AGGREGATE(15,6,'Planning Engine'!$A$4:$A$2331/(('Planning Engine'!$B$4:$B$2331=A274)*('Planning Engine'!$AB$4:$AB$2331&gt;_xlpm.threshold)),1))),""),"")</f>
        <v/>
      </c>
      <c r="N274" s="459" t="str">
        <f ca="1">IF(M274="","",M274-TODAY())</f>
        <v/>
      </c>
    </row>
    <row r="275" spans="1:14" ht="14.25" customHeight="1" x14ac:dyDescent="0.35">
      <c r="A275" s="46"/>
      <c r="B275" s="46"/>
      <c r="C275" s="47"/>
      <c r="D275" s="48"/>
      <c r="E275" s="48"/>
      <c r="F275" s="49"/>
      <c r="G275" s="49"/>
      <c r="H275" s="50">
        <v>0</v>
      </c>
      <c r="I275" s="51"/>
      <c r="J275" s="110" t="str">
        <f t="shared" si="14"/>
        <v/>
      </c>
      <c r="K275" s="46"/>
      <c r="M275" s="463" t="str" cm="1">
        <f t="array" ref="M275">IF(AND(L275="On Hold",E275&lt;&gt;"",H275&gt;0),IFERROR(_xlfn.LET(_xlpm.stopSell,EDATE(E275,-'FEFO Analysis'!$B$4),_xlpm.cumAtStop,SUMIFS('Planning Engine'!$F$4:$F$2331,'Planning Engine'!$B$4:$B$2331,A275,'Planning Engine'!$A$4:$A$2331,"&lt;="&amp;_xlpm.stopSell),_xlpm.threshold,_xlpm.cumAtStop-H275,IF(_xlpm.threshold&lt;=0,_xlfn.AGGREGATE(15,6,'Planning Engine'!$A$4:$A$2331/('Planning Engine'!$B$4:$B$2331=A275),1),_xlfn.AGGREGATE(15,6,'Planning Engine'!$A$4:$A$2331/(('Planning Engine'!$B$4:$B$2331=A275)*('Planning Engine'!$AB$4:$AB$2331&gt;_xlpm.threshold)),1))),""),"")</f>
        <v/>
      </c>
      <c r="N275" s="459" t="str">
        <f ca="1">IF(M275="","",M275-TODAY())</f>
        <v/>
      </c>
    </row>
    <row r="276" spans="1:14" ht="14.25" customHeight="1" x14ac:dyDescent="0.35">
      <c r="A276" s="46"/>
      <c r="B276" s="46"/>
      <c r="C276" s="47"/>
      <c r="D276" s="48"/>
      <c r="E276" s="48"/>
      <c r="F276" s="49"/>
      <c r="G276" s="49"/>
      <c r="H276" s="50">
        <v>0</v>
      </c>
      <c r="I276" s="51"/>
      <c r="J276" s="110" t="str">
        <f t="shared" si="14"/>
        <v/>
      </c>
      <c r="K276" s="46"/>
      <c r="M276" s="463" t="str" cm="1">
        <f t="array" ref="M276">IF(AND(L276="On Hold",E276&lt;&gt;"",H276&gt;0),IFERROR(_xlfn.LET(_xlpm.stopSell,EDATE(E276,-'FEFO Analysis'!$B$4),_xlpm.cumAtStop,SUMIFS('Planning Engine'!$F$4:$F$2331,'Planning Engine'!$B$4:$B$2331,A276,'Planning Engine'!$A$4:$A$2331,"&lt;="&amp;_xlpm.stopSell),_xlpm.threshold,_xlpm.cumAtStop-H276,IF(_xlpm.threshold&lt;=0,_xlfn.AGGREGATE(15,6,'Planning Engine'!$A$4:$A$2331/('Planning Engine'!$B$4:$B$2331=A276),1),_xlfn.AGGREGATE(15,6,'Planning Engine'!$A$4:$A$2331/(('Planning Engine'!$B$4:$B$2331=A276)*('Planning Engine'!$AB$4:$AB$2331&gt;_xlpm.threshold)),1))),""),"")</f>
        <v/>
      </c>
      <c r="N276" s="459" t="str">
        <f ca="1">IF(M276="","",M276-TODAY())</f>
        <v/>
      </c>
    </row>
    <row r="277" spans="1:14" ht="14.25" customHeight="1" x14ac:dyDescent="0.35">
      <c r="A277" s="46"/>
      <c r="B277" s="46"/>
      <c r="C277" s="47"/>
      <c r="D277" s="48"/>
      <c r="E277" s="48"/>
      <c r="F277" s="49"/>
      <c r="G277" s="49"/>
      <c r="H277" s="50">
        <v>0</v>
      </c>
      <c r="I277" s="51"/>
      <c r="J277" s="110" t="str">
        <f t="shared" si="14"/>
        <v/>
      </c>
      <c r="K277" s="46"/>
      <c r="M277" s="463" t="str" cm="1">
        <f t="array" ref="M277">IF(AND(L277="On Hold",E277&lt;&gt;"",H277&gt;0),IFERROR(_xlfn.LET(_xlpm.stopSell,EDATE(E277,-'FEFO Analysis'!$B$4),_xlpm.cumAtStop,SUMIFS('Planning Engine'!$F$4:$F$2331,'Planning Engine'!$B$4:$B$2331,A277,'Planning Engine'!$A$4:$A$2331,"&lt;="&amp;_xlpm.stopSell),_xlpm.threshold,_xlpm.cumAtStop-H277,IF(_xlpm.threshold&lt;=0,_xlfn.AGGREGATE(15,6,'Planning Engine'!$A$4:$A$2331/('Planning Engine'!$B$4:$B$2331=A277),1),_xlfn.AGGREGATE(15,6,'Planning Engine'!$A$4:$A$2331/(('Planning Engine'!$B$4:$B$2331=A277)*('Planning Engine'!$AB$4:$AB$2331&gt;_xlpm.threshold)),1))),""),"")</f>
        <v/>
      </c>
      <c r="N277" s="459" t="str">
        <f ca="1">IF(M277="","",M277-TODAY())</f>
        <v/>
      </c>
    </row>
    <row r="278" spans="1:14" ht="14.25" customHeight="1" x14ac:dyDescent="0.35">
      <c r="A278" s="46"/>
      <c r="B278" s="46"/>
      <c r="C278" s="47"/>
      <c r="D278" s="48"/>
      <c r="E278" s="48"/>
      <c r="F278" s="49"/>
      <c r="G278" s="49"/>
      <c r="H278" s="50">
        <v>0</v>
      </c>
      <c r="I278" s="51"/>
      <c r="J278" s="110" t="str">
        <f t="shared" si="14"/>
        <v/>
      </c>
      <c r="K278" s="46"/>
      <c r="M278" s="463" t="str" cm="1">
        <f t="array" ref="M278">IF(AND(L278="On Hold",E278&lt;&gt;"",H278&gt;0),IFERROR(_xlfn.LET(_xlpm.stopSell,EDATE(E278,-'FEFO Analysis'!$B$4),_xlpm.cumAtStop,SUMIFS('Planning Engine'!$F$4:$F$2331,'Planning Engine'!$B$4:$B$2331,A278,'Planning Engine'!$A$4:$A$2331,"&lt;="&amp;_xlpm.stopSell),_xlpm.threshold,_xlpm.cumAtStop-H278,IF(_xlpm.threshold&lt;=0,_xlfn.AGGREGATE(15,6,'Planning Engine'!$A$4:$A$2331/('Planning Engine'!$B$4:$B$2331=A278),1),_xlfn.AGGREGATE(15,6,'Planning Engine'!$A$4:$A$2331/(('Planning Engine'!$B$4:$B$2331=A278)*('Planning Engine'!$AB$4:$AB$2331&gt;_xlpm.threshold)),1))),""),"")</f>
        <v/>
      </c>
      <c r="N278" s="459" t="str">
        <f ca="1">IF(M278="","",M278-TODAY())</f>
        <v/>
      </c>
    </row>
    <row r="279" spans="1:14" ht="14.25" customHeight="1" x14ac:dyDescent="0.35">
      <c r="A279" s="46"/>
      <c r="B279" s="46"/>
      <c r="C279" s="47"/>
      <c r="D279" s="48"/>
      <c r="E279" s="48"/>
      <c r="F279" s="49"/>
      <c r="G279" s="49"/>
      <c r="H279" s="50">
        <v>0</v>
      </c>
      <c r="I279" s="51"/>
      <c r="J279" s="110" t="str">
        <f t="shared" si="14"/>
        <v/>
      </c>
      <c r="K279" s="46"/>
      <c r="M279" s="463" t="str" cm="1">
        <f t="array" ref="M279">IF(AND(L279="On Hold",E279&lt;&gt;"",H279&gt;0),IFERROR(_xlfn.LET(_xlpm.stopSell,EDATE(E279,-'FEFO Analysis'!$B$4),_xlpm.cumAtStop,SUMIFS('Planning Engine'!$F$4:$F$2331,'Planning Engine'!$B$4:$B$2331,A279,'Planning Engine'!$A$4:$A$2331,"&lt;="&amp;_xlpm.stopSell),_xlpm.threshold,_xlpm.cumAtStop-H279,IF(_xlpm.threshold&lt;=0,_xlfn.AGGREGATE(15,6,'Planning Engine'!$A$4:$A$2331/('Planning Engine'!$B$4:$B$2331=A279),1),_xlfn.AGGREGATE(15,6,'Planning Engine'!$A$4:$A$2331/(('Planning Engine'!$B$4:$B$2331=A279)*('Planning Engine'!$AB$4:$AB$2331&gt;_xlpm.threshold)),1))),""),"")</f>
        <v/>
      </c>
      <c r="N279" s="459" t="str">
        <f ca="1">IF(M279="","",M279-TODAY())</f>
        <v/>
      </c>
    </row>
    <row r="280" spans="1:14" ht="14.25" customHeight="1" x14ac:dyDescent="0.35">
      <c r="A280" s="46"/>
      <c r="B280" s="46"/>
      <c r="C280" s="47"/>
      <c r="D280" s="48"/>
      <c r="E280" s="48"/>
      <c r="F280" s="49"/>
      <c r="G280" s="49"/>
      <c r="H280" s="50">
        <v>0</v>
      </c>
      <c r="I280" s="51"/>
      <c r="J280" s="110" t="str">
        <f t="shared" si="14"/>
        <v/>
      </c>
      <c r="K280" s="46"/>
      <c r="M280" s="463" t="str" cm="1">
        <f t="array" ref="M280">IF(AND(L280="On Hold",E280&lt;&gt;"",H280&gt;0),IFERROR(_xlfn.LET(_xlpm.stopSell,EDATE(E280,-'FEFO Analysis'!$B$4),_xlpm.cumAtStop,SUMIFS('Planning Engine'!$F$4:$F$2331,'Planning Engine'!$B$4:$B$2331,A280,'Planning Engine'!$A$4:$A$2331,"&lt;="&amp;_xlpm.stopSell),_xlpm.threshold,_xlpm.cumAtStop-H280,IF(_xlpm.threshold&lt;=0,_xlfn.AGGREGATE(15,6,'Planning Engine'!$A$4:$A$2331/('Planning Engine'!$B$4:$B$2331=A280),1),_xlfn.AGGREGATE(15,6,'Planning Engine'!$A$4:$A$2331/(('Planning Engine'!$B$4:$B$2331=A280)*('Planning Engine'!$AB$4:$AB$2331&gt;_xlpm.threshold)),1))),""),"")</f>
        <v/>
      </c>
      <c r="N280" s="459" t="str">
        <f ca="1">IF(M280="","",M280-TODAY())</f>
        <v/>
      </c>
    </row>
    <row r="281" spans="1:14" ht="14.25" customHeight="1" x14ac:dyDescent="0.35">
      <c r="A281" s="46"/>
      <c r="B281" s="46"/>
      <c r="C281" s="47"/>
      <c r="D281" s="48"/>
      <c r="E281" s="48"/>
      <c r="F281" s="49"/>
      <c r="G281" s="49"/>
      <c r="H281" s="50">
        <v>0</v>
      </c>
      <c r="I281" s="51"/>
      <c r="J281" s="110" t="str">
        <f t="shared" si="14"/>
        <v/>
      </c>
      <c r="K281" s="46"/>
      <c r="M281" s="463" t="str" cm="1">
        <f t="array" ref="M281">IF(AND(L281="On Hold",E281&lt;&gt;"",H281&gt;0),IFERROR(_xlfn.LET(_xlpm.stopSell,EDATE(E281,-'FEFO Analysis'!$B$4),_xlpm.cumAtStop,SUMIFS('Planning Engine'!$F$4:$F$2331,'Planning Engine'!$B$4:$B$2331,A281,'Planning Engine'!$A$4:$A$2331,"&lt;="&amp;_xlpm.stopSell),_xlpm.threshold,_xlpm.cumAtStop-H281,IF(_xlpm.threshold&lt;=0,_xlfn.AGGREGATE(15,6,'Planning Engine'!$A$4:$A$2331/('Planning Engine'!$B$4:$B$2331=A281),1),_xlfn.AGGREGATE(15,6,'Planning Engine'!$A$4:$A$2331/(('Planning Engine'!$B$4:$B$2331=A281)*('Planning Engine'!$AB$4:$AB$2331&gt;_xlpm.threshold)),1))),""),"")</f>
        <v/>
      </c>
      <c r="N281" s="459" t="str">
        <f ca="1">IF(M281="","",M281-TODAY())</f>
        <v/>
      </c>
    </row>
    <row r="282" spans="1:14" ht="14.25" customHeight="1" x14ac:dyDescent="0.35">
      <c r="A282" s="46"/>
      <c r="B282" s="46"/>
      <c r="C282" s="47"/>
      <c r="D282" s="48"/>
      <c r="E282" s="48"/>
      <c r="F282" s="49"/>
      <c r="G282" s="49"/>
      <c r="H282" s="50">
        <v>0</v>
      </c>
      <c r="I282" s="51"/>
      <c r="J282" s="110" t="str">
        <f t="shared" si="14"/>
        <v/>
      </c>
      <c r="K282" s="46"/>
      <c r="M282" s="463" t="str" cm="1">
        <f t="array" ref="M282">IF(AND(L282="On Hold",E282&lt;&gt;"",H282&gt;0),IFERROR(_xlfn.LET(_xlpm.stopSell,EDATE(E282,-'FEFO Analysis'!$B$4),_xlpm.cumAtStop,SUMIFS('Planning Engine'!$F$4:$F$2331,'Planning Engine'!$B$4:$B$2331,A282,'Planning Engine'!$A$4:$A$2331,"&lt;="&amp;_xlpm.stopSell),_xlpm.threshold,_xlpm.cumAtStop-H282,IF(_xlpm.threshold&lt;=0,_xlfn.AGGREGATE(15,6,'Planning Engine'!$A$4:$A$2331/('Planning Engine'!$B$4:$B$2331=A282),1),_xlfn.AGGREGATE(15,6,'Planning Engine'!$A$4:$A$2331/(('Planning Engine'!$B$4:$B$2331=A282)*('Planning Engine'!$AB$4:$AB$2331&gt;_xlpm.threshold)),1))),""),"")</f>
        <v/>
      </c>
      <c r="N282" s="459" t="str">
        <f ca="1">IF(M282="","",M282-TODAY())</f>
        <v/>
      </c>
    </row>
    <row r="283" spans="1:14" ht="14.25" customHeight="1" x14ac:dyDescent="0.35">
      <c r="A283" s="46"/>
      <c r="B283" s="46"/>
      <c r="C283" s="47"/>
      <c r="D283" s="48"/>
      <c r="E283" s="48"/>
      <c r="F283" s="49"/>
      <c r="G283" s="49"/>
      <c r="H283" s="50">
        <v>0</v>
      </c>
      <c r="I283" s="51"/>
      <c r="J283" s="110" t="str">
        <f t="shared" si="14"/>
        <v/>
      </c>
      <c r="K283" s="46"/>
      <c r="M283" s="463" t="str" cm="1">
        <f t="array" ref="M283">IF(AND(L283="On Hold",E283&lt;&gt;"",H283&gt;0),IFERROR(_xlfn.LET(_xlpm.stopSell,EDATE(E283,-'FEFO Analysis'!$B$4),_xlpm.cumAtStop,SUMIFS('Planning Engine'!$F$4:$F$2331,'Planning Engine'!$B$4:$B$2331,A283,'Planning Engine'!$A$4:$A$2331,"&lt;="&amp;_xlpm.stopSell),_xlpm.threshold,_xlpm.cumAtStop-H283,IF(_xlpm.threshold&lt;=0,_xlfn.AGGREGATE(15,6,'Planning Engine'!$A$4:$A$2331/('Planning Engine'!$B$4:$B$2331=A283),1),_xlfn.AGGREGATE(15,6,'Planning Engine'!$A$4:$A$2331/(('Planning Engine'!$B$4:$B$2331=A283)*('Planning Engine'!$AB$4:$AB$2331&gt;_xlpm.threshold)),1))),""),"")</f>
        <v/>
      </c>
      <c r="N283" s="459" t="str">
        <f ca="1">IF(M283="","",M283-TODAY())</f>
        <v/>
      </c>
    </row>
    <row r="284" spans="1:14" ht="14.25" customHeight="1" x14ac:dyDescent="0.35">
      <c r="A284" s="46"/>
      <c r="B284" s="46"/>
      <c r="C284" s="47"/>
      <c r="D284" s="48"/>
      <c r="E284" s="48"/>
      <c r="F284" s="49"/>
      <c r="G284" s="49"/>
      <c r="H284" s="50">
        <v>0</v>
      </c>
      <c r="I284" s="51"/>
      <c r="J284" s="110" t="str">
        <f t="shared" si="14"/>
        <v/>
      </c>
      <c r="K284" s="46"/>
      <c r="M284" s="463" t="str" cm="1">
        <f t="array" ref="M284">IF(AND(L284="On Hold",E284&lt;&gt;"",H284&gt;0),IFERROR(_xlfn.LET(_xlpm.stopSell,EDATE(E284,-'FEFO Analysis'!$B$4),_xlpm.cumAtStop,SUMIFS('Planning Engine'!$F$4:$F$2331,'Planning Engine'!$B$4:$B$2331,A284,'Planning Engine'!$A$4:$A$2331,"&lt;="&amp;_xlpm.stopSell),_xlpm.threshold,_xlpm.cumAtStop-H284,IF(_xlpm.threshold&lt;=0,_xlfn.AGGREGATE(15,6,'Planning Engine'!$A$4:$A$2331/('Planning Engine'!$B$4:$B$2331=A284),1),_xlfn.AGGREGATE(15,6,'Planning Engine'!$A$4:$A$2331/(('Planning Engine'!$B$4:$B$2331=A284)*('Planning Engine'!$AB$4:$AB$2331&gt;_xlpm.threshold)),1))),""),"")</f>
        <v/>
      </c>
      <c r="N284" s="459" t="str">
        <f ca="1">IF(M284="","",M284-TODAY())</f>
        <v/>
      </c>
    </row>
    <row r="285" spans="1:14" ht="14.25" customHeight="1" x14ac:dyDescent="0.35">
      <c r="A285" s="46"/>
      <c r="B285" s="46"/>
      <c r="C285" s="47"/>
      <c r="D285" s="48"/>
      <c r="E285" s="48"/>
      <c r="F285" s="49"/>
      <c r="G285" s="49"/>
      <c r="H285" s="50">
        <v>0</v>
      </c>
      <c r="I285" s="51"/>
      <c r="J285" s="110" t="str">
        <f t="shared" si="14"/>
        <v/>
      </c>
      <c r="K285" s="46"/>
      <c r="M285" s="463" t="str" cm="1">
        <f t="array" ref="M285">IF(AND(L285="On Hold",E285&lt;&gt;"",H285&gt;0),IFERROR(_xlfn.LET(_xlpm.stopSell,EDATE(E285,-'FEFO Analysis'!$B$4),_xlpm.cumAtStop,SUMIFS('Planning Engine'!$F$4:$F$2331,'Planning Engine'!$B$4:$B$2331,A285,'Planning Engine'!$A$4:$A$2331,"&lt;="&amp;_xlpm.stopSell),_xlpm.threshold,_xlpm.cumAtStop-H285,IF(_xlpm.threshold&lt;=0,_xlfn.AGGREGATE(15,6,'Planning Engine'!$A$4:$A$2331/('Planning Engine'!$B$4:$B$2331=A285),1),_xlfn.AGGREGATE(15,6,'Planning Engine'!$A$4:$A$2331/(('Planning Engine'!$B$4:$B$2331=A285)*('Planning Engine'!$AB$4:$AB$2331&gt;_xlpm.threshold)),1))),""),"")</f>
        <v/>
      </c>
      <c r="N285" s="459" t="str">
        <f ca="1">IF(M285="","",M285-TODAY())</f>
        <v/>
      </c>
    </row>
    <row r="286" spans="1:14" ht="14.25" customHeight="1" x14ac:dyDescent="0.35">
      <c r="A286" s="46"/>
      <c r="B286" s="46"/>
      <c r="C286" s="47"/>
      <c r="D286" s="48"/>
      <c r="E286" s="48"/>
      <c r="F286" s="49"/>
      <c r="G286" s="49"/>
      <c r="H286" s="50">
        <v>0</v>
      </c>
      <c r="I286" s="51"/>
      <c r="J286" s="110" t="str">
        <f t="shared" si="14"/>
        <v/>
      </c>
      <c r="K286" s="46"/>
      <c r="M286" s="463" t="str" cm="1">
        <f t="array" ref="M286">IF(AND(L286="On Hold",E286&lt;&gt;"",H286&gt;0),IFERROR(_xlfn.LET(_xlpm.stopSell,EDATE(E286,-'FEFO Analysis'!$B$4),_xlpm.cumAtStop,SUMIFS('Planning Engine'!$F$4:$F$2331,'Planning Engine'!$B$4:$B$2331,A286,'Planning Engine'!$A$4:$A$2331,"&lt;="&amp;_xlpm.stopSell),_xlpm.threshold,_xlpm.cumAtStop-H286,IF(_xlpm.threshold&lt;=0,_xlfn.AGGREGATE(15,6,'Planning Engine'!$A$4:$A$2331/('Planning Engine'!$B$4:$B$2331=A286),1),_xlfn.AGGREGATE(15,6,'Planning Engine'!$A$4:$A$2331/(('Planning Engine'!$B$4:$B$2331=A286)*('Planning Engine'!$AB$4:$AB$2331&gt;_xlpm.threshold)),1))),""),"")</f>
        <v/>
      </c>
      <c r="N286" s="459" t="str">
        <f ca="1">IF(M286="","",M286-TODAY())</f>
        <v/>
      </c>
    </row>
    <row r="287" spans="1:14" ht="14.25" customHeight="1" x14ac:dyDescent="0.35">
      <c r="A287" s="46"/>
      <c r="B287" s="46"/>
      <c r="C287" s="47"/>
      <c r="D287" s="48"/>
      <c r="E287" s="48"/>
      <c r="F287" s="49"/>
      <c r="G287" s="49"/>
      <c r="H287" s="50">
        <v>0</v>
      </c>
      <c r="I287" s="51"/>
      <c r="J287" s="110" t="str">
        <f t="shared" si="14"/>
        <v/>
      </c>
      <c r="K287" s="46"/>
      <c r="M287" s="463" t="str" cm="1">
        <f t="array" ref="M287">IF(AND(L287="On Hold",E287&lt;&gt;"",H287&gt;0),IFERROR(_xlfn.LET(_xlpm.stopSell,EDATE(E287,-'FEFO Analysis'!$B$4),_xlpm.cumAtStop,SUMIFS('Planning Engine'!$F$4:$F$2331,'Planning Engine'!$B$4:$B$2331,A287,'Planning Engine'!$A$4:$A$2331,"&lt;="&amp;_xlpm.stopSell),_xlpm.threshold,_xlpm.cumAtStop-H287,IF(_xlpm.threshold&lt;=0,_xlfn.AGGREGATE(15,6,'Planning Engine'!$A$4:$A$2331/('Planning Engine'!$B$4:$B$2331=A287),1),_xlfn.AGGREGATE(15,6,'Planning Engine'!$A$4:$A$2331/(('Planning Engine'!$B$4:$B$2331=A287)*('Planning Engine'!$AB$4:$AB$2331&gt;_xlpm.threshold)),1))),""),"")</f>
        <v/>
      </c>
      <c r="N287" s="459" t="str">
        <f ca="1">IF(M287="","",M287-TODAY())</f>
        <v/>
      </c>
    </row>
    <row r="288" spans="1:14" ht="14.25" customHeight="1" x14ac:dyDescent="0.35">
      <c r="A288" s="46"/>
      <c r="B288" s="46"/>
      <c r="C288" s="47"/>
      <c r="D288" s="48"/>
      <c r="E288" s="48"/>
      <c r="F288" s="49"/>
      <c r="G288" s="49"/>
      <c r="H288" s="50">
        <v>0</v>
      </c>
      <c r="I288" s="51"/>
      <c r="J288" s="110" t="str">
        <f t="shared" si="14"/>
        <v/>
      </c>
      <c r="K288" s="46"/>
      <c r="M288" s="463" t="str" cm="1">
        <f t="array" ref="M288">IF(AND(L288="On Hold",E288&lt;&gt;"",H288&gt;0),IFERROR(_xlfn.LET(_xlpm.stopSell,EDATE(E288,-'FEFO Analysis'!$B$4),_xlpm.cumAtStop,SUMIFS('Planning Engine'!$F$4:$F$2331,'Planning Engine'!$B$4:$B$2331,A288,'Planning Engine'!$A$4:$A$2331,"&lt;="&amp;_xlpm.stopSell),_xlpm.threshold,_xlpm.cumAtStop-H288,IF(_xlpm.threshold&lt;=0,_xlfn.AGGREGATE(15,6,'Planning Engine'!$A$4:$A$2331/('Planning Engine'!$B$4:$B$2331=A288),1),_xlfn.AGGREGATE(15,6,'Planning Engine'!$A$4:$A$2331/(('Planning Engine'!$B$4:$B$2331=A288)*('Planning Engine'!$AB$4:$AB$2331&gt;_xlpm.threshold)),1))),""),"")</f>
        <v/>
      </c>
      <c r="N288" s="459" t="str">
        <f ca="1">IF(M288="","",M288-TODAY())</f>
        <v/>
      </c>
    </row>
    <row r="289" spans="1:14" ht="14.25" customHeight="1" x14ac:dyDescent="0.35">
      <c r="A289" s="46"/>
      <c r="B289" s="46"/>
      <c r="C289" s="47"/>
      <c r="D289" s="48"/>
      <c r="E289" s="48"/>
      <c r="F289" s="49"/>
      <c r="G289" s="49"/>
      <c r="H289" s="50">
        <v>0</v>
      </c>
      <c r="I289" s="51"/>
      <c r="J289" s="110" t="str">
        <f t="shared" si="14"/>
        <v/>
      </c>
      <c r="K289" s="46"/>
      <c r="M289" s="463" t="str" cm="1">
        <f t="array" ref="M289">IF(AND(L289="On Hold",E289&lt;&gt;"",H289&gt;0),IFERROR(_xlfn.LET(_xlpm.stopSell,EDATE(E289,-'FEFO Analysis'!$B$4),_xlpm.cumAtStop,SUMIFS('Planning Engine'!$F$4:$F$2331,'Planning Engine'!$B$4:$B$2331,A289,'Planning Engine'!$A$4:$A$2331,"&lt;="&amp;_xlpm.stopSell),_xlpm.threshold,_xlpm.cumAtStop-H289,IF(_xlpm.threshold&lt;=0,_xlfn.AGGREGATE(15,6,'Planning Engine'!$A$4:$A$2331/('Planning Engine'!$B$4:$B$2331=A289),1),_xlfn.AGGREGATE(15,6,'Planning Engine'!$A$4:$A$2331/(('Planning Engine'!$B$4:$B$2331=A289)*('Planning Engine'!$AB$4:$AB$2331&gt;_xlpm.threshold)),1))),""),"")</f>
        <v/>
      </c>
      <c r="N289" s="459" t="str">
        <f ca="1">IF(M289="","",M289-TODAY())</f>
        <v/>
      </c>
    </row>
    <row r="290" spans="1:14" ht="14.25" customHeight="1" x14ac:dyDescent="0.35">
      <c r="A290" s="46"/>
      <c r="B290" s="46"/>
      <c r="C290" s="47"/>
      <c r="D290" s="48"/>
      <c r="E290" s="48"/>
      <c r="F290" s="49"/>
      <c r="G290" s="49"/>
      <c r="H290" s="50">
        <v>0</v>
      </c>
      <c r="I290" s="51"/>
      <c r="J290" s="110" t="str">
        <f t="shared" si="14"/>
        <v/>
      </c>
      <c r="K290" s="46"/>
      <c r="M290" s="463" t="str" cm="1">
        <f t="array" ref="M290">IF(AND(L290="On Hold",E290&lt;&gt;"",H290&gt;0),IFERROR(_xlfn.LET(_xlpm.stopSell,EDATE(E290,-'FEFO Analysis'!$B$4),_xlpm.cumAtStop,SUMIFS('Planning Engine'!$F$4:$F$2331,'Planning Engine'!$B$4:$B$2331,A290,'Planning Engine'!$A$4:$A$2331,"&lt;="&amp;_xlpm.stopSell),_xlpm.threshold,_xlpm.cumAtStop-H290,IF(_xlpm.threshold&lt;=0,_xlfn.AGGREGATE(15,6,'Planning Engine'!$A$4:$A$2331/('Planning Engine'!$B$4:$B$2331=A290),1),_xlfn.AGGREGATE(15,6,'Planning Engine'!$A$4:$A$2331/(('Planning Engine'!$B$4:$B$2331=A290)*('Planning Engine'!$AB$4:$AB$2331&gt;_xlpm.threshold)),1))),""),"")</f>
        <v/>
      </c>
      <c r="N290" s="459" t="str">
        <f ca="1">IF(M290="","",M290-TODAY())</f>
        <v/>
      </c>
    </row>
    <row r="291" spans="1:14" ht="14.25" customHeight="1" x14ac:dyDescent="0.35">
      <c r="A291" s="46"/>
      <c r="B291" s="46"/>
      <c r="C291" s="47"/>
      <c r="D291" s="48"/>
      <c r="E291" s="48"/>
      <c r="F291" s="49"/>
      <c r="G291" s="49"/>
      <c r="H291" s="50">
        <v>0</v>
      </c>
      <c r="I291" s="51"/>
      <c r="J291" s="110" t="str">
        <f t="shared" si="14"/>
        <v/>
      </c>
      <c r="K291" s="46"/>
      <c r="M291" s="463" t="str" cm="1">
        <f t="array" ref="M291">IF(AND(L291="On Hold",E291&lt;&gt;"",H291&gt;0),IFERROR(_xlfn.LET(_xlpm.stopSell,EDATE(E291,-'FEFO Analysis'!$B$4),_xlpm.cumAtStop,SUMIFS('Planning Engine'!$F$4:$F$2331,'Planning Engine'!$B$4:$B$2331,A291,'Planning Engine'!$A$4:$A$2331,"&lt;="&amp;_xlpm.stopSell),_xlpm.threshold,_xlpm.cumAtStop-H291,IF(_xlpm.threshold&lt;=0,_xlfn.AGGREGATE(15,6,'Planning Engine'!$A$4:$A$2331/('Planning Engine'!$B$4:$B$2331=A291),1),_xlfn.AGGREGATE(15,6,'Planning Engine'!$A$4:$A$2331/(('Planning Engine'!$B$4:$B$2331=A291)*('Planning Engine'!$AB$4:$AB$2331&gt;_xlpm.threshold)),1))),""),"")</f>
        <v/>
      </c>
      <c r="N291" s="459" t="str">
        <f ca="1">IF(M291="","",M291-TODAY())</f>
        <v/>
      </c>
    </row>
    <row r="292" spans="1:14" ht="14.25" customHeight="1" x14ac:dyDescent="0.35">
      <c r="A292" s="46"/>
      <c r="B292" s="46"/>
      <c r="C292" s="47"/>
      <c r="D292" s="48"/>
      <c r="E292" s="48"/>
      <c r="F292" s="49"/>
      <c r="G292" s="49"/>
      <c r="H292" s="50">
        <v>0</v>
      </c>
      <c r="I292" s="51"/>
      <c r="J292" s="110" t="str">
        <f t="shared" si="14"/>
        <v/>
      </c>
      <c r="K292" s="46"/>
      <c r="M292" s="463" t="str" cm="1">
        <f t="array" ref="M292">IF(AND(L292="On Hold",E292&lt;&gt;"",H292&gt;0),IFERROR(_xlfn.LET(_xlpm.stopSell,EDATE(E292,-'FEFO Analysis'!$B$4),_xlpm.cumAtStop,SUMIFS('Planning Engine'!$F$4:$F$2331,'Planning Engine'!$B$4:$B$2331,A292,'Planning Engine'!$A$4:$A$2331,"&lt;="&amp;_xlpm.stopSell),_xlpm.threshold,_xlpm.cumAtStop-H292,IF(_xlpm.threshold&lt;=0,_xlfn.AGGREGATE(15,6,'Planning Engine'!$A$4:$A$2331/('Planning Engine'!$B$4:$B$2331=A292),1),_xlfn.AGGREGATE(15,6,'Planning Engine'!$A$4:$A$2331/(('Planning Engine'!$B$4:$B$2331=A292)*('Planning Engine'!$AB$4:$AB$2331&gt;_xlpm.threshold)),1))),""),"")</f>
        <v/>
      </c>
      <c r="N292" s="459" t="str">
        <f ca="1">IF(M292="","",M292-TODAY())</f>
        <v/>
      </c>
    </row>
    <row r="293" spans="1:14" ht="14.25" customHeight="1" x14ac:dyDescent="0.35">
      <c r="A293" s="46"/>
      <c r="B293" s="46"/>
      <c r="C293" s="47"/>
      <c r="D293" s="48"/>
      <c r="E293" s="48"/>
      <c r="F293" s="49"/>
      <c r="G293" s="49"/>
      <c r="H293" s="50">
        <v>0</v>
      </c>
      <c r="I293" s="51"/>
      <c r="J293" s="110" t="str">
        <f t="shared" si="14"/>
        <v/>
      </c>
      <c r="K293" s="46"/>
      <c r="M293" s="463" t="str" cm="1">
        <f t="array" ref="M293">IF(AND(L293="On Hold",E293&lt;&gt;"",H293&gt;0),IFERROR(_xlfn.LET(_xlpm.stopSell,EDATE(E293,-'FEFO Analysis'!$B$4),_xlpm.cumAtStop,SUMIFS('Planning Engine'!$F$4:$F$2331,'Planning Engine'!$B$4:$B$2331,A293,'Planning Engine'!$A$4:$A$2331,"&lt;="&amp;_xlpm.stopSell),_xlpm.threshold,_xlpm.cumAtStop-H293,IF(_xlpm.threshold&lt;=0,_xlfn.AGGREGATE(15,6,'Planning Engine'!$A$4:$A$2331/('Planning Engine'!$B$4:$B$2331=A293),1),_xlfn.AGGREGATE(15,6,'Planning Engine'!$A$4:$A$2331/(('Planning Engine'!$B$4:$B$2331=A293)*('Planning Engine'!$AB$4:$AB$2331&gt;_xlpm.threshold)),1))),""),"")</f>
        <v/>
      </c>
      <c r="N293" s="459" t="str">
        <f ca="1">IF(M293="","",M293-TODAY())</f>
        <v/>
      </c>
    </row>
    <row r="294" spans="1:14" ht="14.25" customHeight="1" x14ac:dyDescent="0.35">
      <c r="A294" s="46"/>
      <c r="B294" s="46"/>
      <c r="C294" s="47"/>
      <c r="D294" s="48"/>
      <c r="E294" s="48"/>
      <c r="F294" s="49"/>
      <c r="G294" s="49"/>
      <c r="H294" s="50">
        <v>0</v>
      </c>
      <c r="I294" s="51"/>
      <c r="J294" s="110" t="str">
        <f t="shared" si="14"/>
        <v/>
      </c>
      <c r="K294" s="46"/>
      <c r="M294" s="463" t="str" cm="1">
        <f t="array" ref="M294">IF(AND(L294="On Hold",E294&lt;&gt;"",H294&gt;0),IFERROR(_xlfn.LET(_xlpm.stopSell,EDATE(E294,-'FEFO Analysis'!$B$4),_xlpm.cumAtStop,SUMIFS('Planning Engine'!$F$4:$F$2331,'Planning Engine'!$B$4:$B$2331,A294,'Planning Engine'!$A$4:$A$2331,"&lt;="&amp;_xlpm.stopSell),_xlpm.threshold,_xlpm.cumAtStop-H294,IF(_xlpm.threshold&lt;=0,_xlfn.AGGREGATE(15,6,'Planning Engine'!$A$4:$A$2331/('Planning Engine'!$B$4:$B$2331=A294),1),_xlfn.AGGREGATE(15,6,'Planning Engine'!$A$4:$A$2331/(('Planning Engine'!$B$4:$B$2331=A294)*('Planning Engine'!$AB$4:$AB$2331&gt;_xlpm.threshold)),1))),""),"")</f>
        <v/>
      </c>
      <c r="N294" s="459" t="str">
        <f ca="1">IF(M294="","",M294-TODAY())</f>
        <v/>
      </c>
    </row>
    <row r="295" spans="1:14" ht="14.25" customHeight="1" x14ac:dyDescent="0.35">
      <c r="A295" s="46"/>
      <c r="B295" s="46"/>
      <c r="C295" s="47"/>
      <c r="D295" s="48"/>
      <c r="E295" s="48"/>
      <c r="F295" s="49"/>
      <c r="G295" s="49"/>
      <c r="H295" s="50">
        <v>0</v>
      </c>
      <c r="I295" s="51"/>
      <c r="J295" s="110" t="str">
        <f t="shared" si="14"/>
        <v/>
      </c>
      <c r="K295" s="46"/>
      <c r="M295" s="463" t="str" cm="1">
        <f t="array" ref="M295">IF(AND(L295="On Hold",E295&lt;&gt;"",H295&gt;0),IFERROR(_xlfn.LET(_xlpm.stopSell,EDATE(E295,-'FEFO Analysis'!$B$4),_xlpm.cumAtStop,SUMIFS('Planning Engine'!$F$4:$F$2331,'Planning Engine'!$B$4:$B$2331,A295,'Planning Engine'!$A$4:$A$2331,"&lt;="&amp;_xlpm.stopSell),_xlpm.threshold,_xlpm.cumAtStop-H295,IF(_xlpm.threshold&lt;=0,_xlfn.AGGREGATE(15,6,'Planning Engine'!$A$4:$A$2331/('Planning Engine'!$B$4:$B$2331=A295),1),_xlfn.AGGREGATE(15,6,'Planning Engine'!$A$4:$A$2331/(('Planning Engine'!$B$4:$B$2331=A295)*('Planning Engine'!$AB$4:$AB$2331&gt;_xlpm.threshold)),1))),""),"")</f>
        <v/>
      </c>
      <c r="N295" s="459" t="str">
        <f ca="1">IF(M295="","",M295-TODAY())</f>
        <v/>
      </c>
    </row>
    <row r="296" spans="1:14" ht="14.25" customHeight="1" x14ac:dyDescent="0.35">
      <c r="A296" s="46"/>
      <c r="B296" s="46"/>
      <c r="C296" s="47"/>
      <c r="D296" s="48"/>
      <c r="E296" s="48"/>
      <c r="F296" s="49"/>
      <c r="G296" s="49"/>
      <c r="H296" s="50">
        <v>0</v>
      </c>
      <c r="I296" s="51"/>
      <c r="J296" s="110" t="str">
        <f t="shared" si="14"/>
        <v/>
      </c>
      <c r="K296" s="46"/>
      <c r="M296" s="463" t="str" cm="1">
        <f t="array" ref="M296">IF(AND(L296="On Hold",E296&lt;&gt;"",H296&gt;0),IFERROR(_xlfn.LET(_xlpm.stopSell,EDATE(E296,-'FEFO Analysis'!$B$4),_xlpm.cumAtStop,SUMIFS('Planning Engine'!$F$4:$F$2331,'Planning Engine'!$B$4:$B$2331,A296,'Planning Engine'!$A$4:$A$2331,"&lt;="&amp;_xlpm.stopSell),_xlpm.threshold,_xlpm.cumAtStop-H296,IF(_xlpm.threshold&lt;=0,_xlfn.AGGREGATE(15,6,'Planning Engine'!$A$4:$A$2331/('Planning Engine'!$B$4:$B$2331=A296),1),_xlfn.AGGREGATE(15,6,'Planning Engine'!$A$4:$A$2331/(('Planning Engine'!$B$4:$B$2331=A296)*('Planning Engine'!$AB$4:$AB$2331&gt;_xlpm.threshold)),1))),""),"")</f>
        <v/>
      </c>
      <c r="N296" s="459" t="str">
        <f ca="1">IF(M296="","",M296-TODAY())</f>
        <v/>
      </c>
    </row>
    <row r="297" spans="1:14" ht="14.25" customHeight="1" x14ac:dyDescent="0.35">
      <c r="A297" s="46"/>
      <c r="B297" s="46"/>
      <c r="C297" s="47"/>
      <c r="D297" s="48"/>
      <c r="E297" s="48"/>
      <c r="F297" s="49"/>
      <c r="G297" s="49"/>
      <c r="H297" s="50">
        <v>0</v>
      </c>
      <c r="I297" s="51"/>
      <c r="J297" s="110" t="str">
        <f t="shared" si="14"/>
        <v/>
      </c>
      <c r="K297" s="46"/>
      <c r="M297" s="463" t="str" cm="1">
        <f t="array" ref="M297">IF(AND(L297="On Hold",E297&lt;&gt;"",H297&gt;0),IFERROR(_xlfn.LET(_xlpm.stopSell,EDATE(E297,-'FEFO Analysis'!$B$4),_xlpm.cumAtStop,SUMIFS('Planning Engine'!$F$4:$F$2331,'Planning Engine'!$B$4:$B$2331,A297,'Planning Engine'!$A$4:$A$2331,"&lt;="&amp;_xlpm.stopSell),_xlpm.threshold,_xlpm.cumAtStop-H297,IF(_xlpm.threshold&lt;=0,_xlfn.AGGREGATE(15,6,'Planning Engine'!$A$4:$A$2331/('Planning Engine'!$B$4:$B$2331=A297),1),_xlfn.AGGREGATE(15,6,'Planning Engine'!$A$4:$A$2331/(('Planning Engine'!$B$4:$B$2331=A297)*('Planning Engine'!$AB$4:$AB$2331&gt;_xlpm.threshold)),1))),""),"")</f>
        <v/>
      </c>
      <c r="N297" s="459" t="str">
        <f ca="1">IF(M297="","",M297-TODAY())</f>
        <v/>
      </c>
    </row>
    <row r="298" spans="1:14" ht="14.25" customHeight="1" x14ac:dyDescent="0.35">
      <c r="A298" s="46"/>
      <c r="B298" s="46"/>
      <c r="C298" s="47"/>
      <c r="D298" s="48"/>
      <c r="E298" s="48"/>
      <c r="F298" s="49"/>
      <c r="G298" s="49"/>
      <c r="H298" s="50">
        <v>0</v>
      </c>
      <c r="I298" s="51"/>
      <c r="J298" s="110" t="str">
        <f t="shared" si="14"/>
        <v/>
      </c>
      <c r="K298" s="46"/>
      <c r="M298" s="463" t="str" cm="1">
        <f t="array" ref="M298">IF(AND(L298="On Hold",E298&lt;&gt;"",H298&gt;0),IFERROR(_xlfn.LET(_xlpm.stopSell,EDATE(E298,-'FEFO Analysis'!$B$4),_xlpm.cumAtStop,SUMIFS('Planning Engine'!$F$4:$F$2331,'Planning Engine'!$B$4:$B$2331,A298,'Planning Engine'!$A$4:$A$2331,"&lt;="&amp;_xlpm.stopSell),_xlpm.threshold,_xlpm.cumAtStop-H298,IF(_xlpm.threshold&lt;=0,_xlfn.AGGREGATE(15,6,'Planning Engine'!$A$4:$A$2331/('Planning Engine'!$B$4:$B$2331=A298),1),_xlfn.AGGREGATE(15,6,'Planning Engine'!$A$4:$A$2331/(('Planning Engine'!$B$4:$B$2331=A298)*('Planning Engine'!$AB$4:$AB$2331&gt;_xlpm.threshold)),1))),""),"")</f>
        <v/>
      </c>
      <c r="N298" s="459" t="str">
        <f ca="1">IF(M298="","",M298-TODAY())</f>
        <v/>
      </c>
    </row>
    <row r="299" spans="1:14" ht="14.25" customHeight="1" x14ac:dyDescent="0.35">
      <c r="A299" s="46"/>
      <c r="B299" s="46"/>
      <c r="C299" s="47"/>
      <c r="D299" s="48"/>
      <c r="E299" s="48"/>
      <c r="F299" s="49"/>
      <c r="G299" s="49"/>
      <c r="H299" s="50">
        <v>0</v>
      </c>
      <c r="I299" s="51"/>
      <c r="J299" s="110" t="str">
        <f t="shared" si="14"/>
        <v/>
      </c>
      <c r="K299" s="46"/>
      <c r="M299" s="463" t="str" cm="1">
        <f t="array" ref="M299">IF(AND(L299="On Hold",E299&lt;&gt;"",H299&gt;0),IFERROR(_xlfn.LET(_xlpm.stopSell,EDATE(E299,-'FEFO Analysis'!$B$4),_xlpm.cumAtStop,SUMIFS('Planning Engine'!$F$4:$F$2331,'Planning Engine'!$B$4:$B$2331,A299,'Planning Engine'!$A$4:$A$2331,"&lt;="&amp;_xlpm.stopSell),_xlpm.threshold,_xlpm.cumAtStop-H299,IF(_xlpm.threshold&lt;=0,_xlfn.AGGREGATE(15,6,'Planning Engine'!$A$4:$A$2331/('Planning Engine'!$B$4:$B$2331=A299),1),_xlfn.AGGREGATE(15,6,'Planning Engine'!$A$4:$A$2331/(('Planning Engine'!$B$4:$B$2331=A299)*('Planning Engine'!$AB$4:$AB$2331&gt;_xlpm.threshold)),1))),""),"")</f>
        <v/>
      </c>
      <c r="N299" s="459" t="str">
        <f ca="1">IF(M299="","",M299-TODAY())</f>
        <v/>
      </c>
    </row>
    <row r="300" spans="1:14" ht="14.25" customHeight="1" x14ac:dyDescent="0.35">
      <c r="A300" s="46"/>
      <c r="B300" s="46"/>
      <c r="C300" s="47"/>
      <c r="D300" s="48"/>
      <c r="E300" s="48"/>
      <c r="F300" s="49"/>
      <c r="G300" s="49"/>
      <c r="H300" s="50">
        <v>0</v>
      </c>
      <c r="I300" s="51"/>
      <c r="J300" s="110" t="str">
        <f t="shared" si="14"/>
        <v/>
      </c>
      <c r="K300" s="46"/>
      <c r="M300" s="463" t="str" cm="1">
        <f t="array" ref="M300">IF(AND(L300="On Hold",E300&lt;&gt;"",H300&gt;0),IFERROR(_xlfn.LET(_xlpm.stopSell,EDATE(E300,-'FEFO Analysis'!$B$4),_xlpm.cumAtStop,SUMIFS('Planning Engine'!$F$4:$F$2331,'Planning Engine'!$B$4:$B$2331,A300,'Planning Engine'!$A$4:$A$2331,"&lt;="&amp;_xlpm.stopSell),_xlpm.threshold,_xlpm.cumAtStop-H300,IF(_xlpm.threshold&lt;=0,_xlfn.AGGREGATE(15,6,'Planning Engine'!$A$4:$A$2331/('Planning Engine'!$B$4:$B$2331=A300),1),_xlfn.AGGREGATE(15,6,'Planning Engine'!$A$4:$A$2331/(('Planning Engine'!$B$4:$B$2331=A300)*('Planning Engine'!$AB$4:$AB$2331&gt;_xlpm.threshold)),1))),""),"")</f>
        <v/>
      </c>
      <c r="N300" s="459" t="str">
        <f ca="1">IF(M300="","",M300-TODAY())</f>
        <v/>
      </c>
    </row>
    <row r="301" spans="1:14" ht="14.25" customHeight="1" x14ac:dyDescent="0.35">
      <c r="A301" s="46"/>
      <c r="B301" s="46"/>
      <c r="C301" s="47"/>
      <c r="D301" s="48"/>
      <c r="E301" s="48"/>
      <c r="F301" s="49"/>
      <c r="G301" s="49"/>
      <c r="H301" s="50">
        <v>0</v>
      </c>
      <c r="I301" s="51"/>
      <c r="J301" s="110" t="str">
        <f t="shared" si="14"/>
        <v/>
      </c>
      <c r="K301" s="46"/>
      <c r="M301" s="463" t="str" cm="1">
        <f t="array" ref="M301">IF(AND(L301="On Hold",E301&lt;&gt;"",H301&gt;0),IFERROR(_xlfn.LET(_xlpm.stopSell,EDATE(E301,-'FEFO Analysis'!$B$4),_xlpm.cumAtStop,SUMIFS('Planning Engine'!$F$4:$F$2331,'Planning Engine'!$B$4:$B$2331,A301,'Planning Engine'!$A$4:$A$2331,"&lt;="&amp;_xlpm.stopSell),_xlpm.threshold,_xlpm.cumAtStop-H301,IF(_xlpm.threshold&lt;=0,_xlfn.AGGREGATE(15,6,'Planning Engine'!$A$4:$A$2331/('Planning Engine'!$B$4:$B$2331=A301),1),_xlfn.AGGREGATE(15,6,'Planning Engine'!$A$4:$A$2331/(('Planning Engine'!$B$4:$B$2331=A301)*('Planning Engine'!$AB$4:$AB$2331&gt;_xlpm.threshold)),1))),""),"")</f>
        <v/>
      </c>
      <c r="N301" s="459" t="str">
        <f ca="1">IF(M301="","",M301-TODAY())</f>
        <v/>
      </c>
    </row>
    <row r="302" spans="1:14" ht="14.25" customHeight="1" x14ac:dyDescent="0.35">
      <c r="A302" s="46"/>
      <c r="B302" s="46"/>
      <c r="C302" s="47"/>
      <c r="D302" s="48"/>
      <c r="E302" s="48"/>
      <c r="F302" s="49"/>
      <c r="G302" s="49"/>
      <c r="H302" s="50">
        <v>0</v>
      </c>
      <c r="I302" s="51"/>
      <c r="J302" s="110" t="str">
        <f t="shared" si="14"/>
        <v/>
      </c>
      <c r="K302" s="46"/>
      <c r="M302" s="463" t="str" cm="1">
        <f t="array" ref="M302">IF(AND(L302="On Hold",E302&lt;&gt;"",H302&gt;0),IFERROR(_xlfn.LET(_xlpm.stopSell,EDATE(E302,-'FEFO Analysis'!$B$4),_xlpm.cumAtStop,SUMIFS('Planning Engine'!$F$4:$F$2331,'Planning Engine'!$B$4:$B$2331,A302,'Planning Engine'!$A$4:$A$2331,"&lt;="&amp;_xlpm.stopSell),_xlpm.threshold,_xlpm.cumAtStop-H302,IF(_xlpm.threshold&lt;=0,_xlfn.AGGREGATE(15,6,'Planning Engine'!$A$4:$A$2331/('Planning Engine'!$B$4:$B$2331=A302),1),_xlfn.AGGREGATE(15,6,'Planning Engine'!$A$4:$A$2331/(('Planning Engine'!$B$4:$B$2331=A302)*('Planning Engine'!$AB$4:$AB$2331&gt;_xlpm.threshold)),1))),""),"")</f>
        <v/>
      </c>
      <c r="N302" s="459" t="str">
        <f ca="1">IF(M302="","",M302-TODAY())</f>
        <v/>
      </c>
    </row>
    <row r="303" spans="1:14" ht="14.25" customHeight="1" x14ac:dyDescent="0.35">
      <c r="A303" s="46"/>
      <c r="B303" s="46"/>
      <c r="C303" s="47"/>
      <c r="D303" s="48"/>
      <c r="E303" s="48"/>
      <c r="F303" s="49"/>
      <c r="G303" s="49"/>
      <c r="H303" s="50">
        <v>0</v>
      </c>
      <c r="I303" s="51"/>
      <c r="J303" s="110" t="str">
        <f t="shared" si="14"/>
        <v/>
      </c>
      <c r="K303" s="46"/>
      <c r="M303" s="463" t="str" cm="1">
        <f t="array" ref="M303">IF(AND(L303="On Hold",E303&lt;&gt;"",H303&gt;0),IFERROR(_xlfn.LET(_xlpm.stopSell,EDATE(E303,-'FEFO Analysis'!$B$4),_xlpm.cumAtStop,SUMIFS('Planning Engine'!$F$4:$F$2331,'Planning Engine'!$B$4:$B$2331,A303,'Planning Engine'!$A$4:$A$2331,"&lt;="&amp;_xlpm.stopSell),_xlpm.threshold,_xlpm.cumAtStop-H303,IF(_xlpm.threshold&lt;=0,_xlfn.AGGREGATE(15,6,'Planning Engine'!$A$4:$A$2331/('Planning Engine'!$B$4:$B$2331=A303),1),_xlfn.AGGREGATE(15,6,'Planning Engine'!$A$4:$A$2331/(('Planning Engine'!$B$4:$B$2331=A303)*('Planning Engine'!$AB$4:$AB$2331&gt;_xlpm.threshold)),1))),""),"")</f>
        <v/>
      </c>
      <c r="N303" s="459" t="str">
        <f ca="1">IF(M303="","",M303-TODAY())</f>
        <v/>
      </c>
    </row>
    <row r="304" spans="1:14" ht="14.25" customHeight="1" x14ac:dyDescent="0.35">
      <c r="A304" s="46"/>
      <c r="B304" s="46"/>
      <c r="C304" s="47"/>
      <c r="D304" s="48"/>
      <c r="E304" s="48"/>
      <c r="F304" s="49"/>
      <c r="G304" s="49"/>
      <c r="H304" s="50">
        <v>0</v>
      </c>
      <c r="I304" s="51"/>
      <c r="J304" s="110" t="str">
        <f t="shared" si="14"/>
        <v/>
      </c>
      <c r="K304" s="46"/>
      <c r="M304" s="463" t="str" cm="1">
        <f t="array" ref="M304">IF(AND(L304="On Hold",E304&lt;&gt;"",H304&gt;0),IFERROR(_xlfn.LET(_xlpm.stopSell,EDATE(E304,-'FEFO Analysis'!$B$4),_xlpm.cumAtStop,SUMIFS('Planning Engine'!$F$4:$F$2331,'Planning Engine'!$B$4:$B$2331,A304,'Planning Engine'!$A$4:$A$2331,"&lt;="&amp;_xlpm.stopSell),_xlpm.threshold,_xlpm.cumAtStop-H304,IF(_xlpm.threshold&lt;=0,_xlfn.AGGREGATE(15,6,'Planning Engine'!$A$4:$A$2331/('Planning Engine'!$B$4:$B$2331=A304),1),_xlfn.AGGREGATE(15,6,'Planning Engine'!$A$4:$A$2331/(('Planning Engine'!$B$4:$B$2331=A304)*('Planning Engine'!$AB$4:$AB$2331&gt;_xlpm.threshold)),1))),""),"")</f>
        <v/>
      </c>
      <c r="N304" s="459" t="str">
        <f ca="1">IF(M304="","",M304-TODAY())</f>
        <v/>
      </c>
    </row>
    <row r="305" spans="1:14" ht="14.25" customHeight="1" x14ac:dyDescent="0.35">
      <c r="A305" s="46"/>
      <c r="B305" s="46"/>
      <c r="C305" s="47"/>
      <c r="D305" s="48"/>
      <c r="E305" s="48"/>
      <c r="F305" s="49"/>
      <c r="G305" s="49"/>
      <c r="H305" s="50">
        <v>0</v>
      </c>
      <c r="I305" s="51"/>
      <c r="J305" s="110" t="str">
        <f t="shared" si="14"/>
        <v/>
      </c>
      <c r="K305" s="46"/>
      <c r="M305" s="463" t="str" cm="1">
        <f t="array" ref="M305">IF(AND(L305="On Hold",E305&lt;&gt;"",H305&gt;0),IFERROR(_xlfn.LET(_xlpm.stopSell,EDATE(E305,-'FEFO Analysis'!$B$4),_xlpm.cumAtStop,SUMIFS('Planning Engine'!$F$4:$F$2331,'Planning Engine'!$B$4:$B$2331,A305,'Planning Engine'!$A$4:$A$2331,"&lt;="&amp;_xlpm.stopSell),_xlpm.threshold,_xlpm.cumAtStop-H305,IF(_xlpm.threshold&lt;=0,_xlfn.AGGREGATE(15,6,'Planning Engine'!$A$4:$A$2331/('Planning Engine'!$B$4:$B$2331=A305),1),_xlfn.AGGREGATE(15,6,'Planning Engine'!$A$4:$A$2331/(('Planning Engine'!$B$4:$B$2331=A305)*('Planning Engine'!$AB$4:$AB$2331&gt;_xlpm.threshold)),1))),""),"")</f>
        <v/>
      </c>
      <c r="N305" s="459" t="str">
        <f ca="1">IF(M305="","",M305-TODAY())</f>
        <v/>
      </c>
    </row>
    <row r="306" spans="1:14" ht="14.25" customHeight="1" x14ac:dyDescent="0.35">
      <c r="A306" s="46"/>
      <c r="B306" s="46"/>
      <c r="C306" s="47"/>
      <c r="D306" s="48"/>
      <c r="E306" s="48"/>
      <c r="F306" s="49"/>
      <c r="G306" s="49"/>
      <c r="H306" s="50">
        <v>0</v>
      </c>
      <c r="I306" s="51"/>
      <c r="J306" s="110" t="str">
        <f t="shared" si="14"/>
        <v/>
      </c>
      <c r="K306" s="46"/>
      <c r="M306" s="463" t="str" cm="1">
        <f t="array" ref="M306">IF(AND(L306="On Hold",E306&lt;&gt;"",H306&gt;0),IFERROR(_xlfn.LET(_xlpm.stopSell,EDATE(E306,-'FEFO Analysis'!$B$4),_xlpm.cumAtStop,SUMIFS('Planning Engine'!$F$4:$F$2331,'Planning Engine'!$B$4:$B$2331,A306,'Planning Engine'!$A$4:$A$2331,"&lt;="&amp;_xlpm.stopSell),_xlpm.threshold,_xlpm.cumAtStop-H306,IF(_xlpm.threshold&lt;=0,_xlfn.AGGREGATE(15,6,'Planning Engine'!$A$4:$A$2331/('Planning Engine'!$B$4:$B$2331=A306),1),_xlfn.AGGREGATE(15,6,'Planning Engine'!$A$4:$A$2331/(('Planning Engine'!$B$4:$B$2331=A306)*('Planning Engine'!$AB$4:$AB$2331&gt;_xlpm.threshold)),1))),""),"")</f>
        <v/>
      </c>
      <c r="N306" s="459" t="str">
        <f ca="1">IF(M306="","",M306-TODAY())</f>
        <v/>
      </c>
    </row>
    <row r="307" spans="1:14" ht="14.25" customHeight="1" x14ac:dyDescent="0.35">
      <c r="A307" s="46"/>
      <c r="B307" s="46"/>
      <c r="C307" s="47"/>
      <c r="D307" s="48"/>
      <c r="E307" s="48"/>
      <c r="F307" s="49"/>
      <c r="G307" s="49"/>
      <c r="H307" s="50">
        <v>0</v>
      </c>
      <c r="I307" s="51"/>
      <c r="J307" s="110" t="str">
        <f t="shared" si="14"/>
        <v/>
      </c>
      <c r="K307" s="46"/>
      <c r="M307" s="463" t="str" cm="1">
        <f t="array" ref="M307">IF(AND(L307="On Hold",E307&lt;&gt;"",H307&gt;0),IFERROR(_xlfn.LET(_xlpm.stopSell,EDATE(E307,-'FEFO Analysis'!$B$4),_xlpm.cumAtStop,SUMIFS('Planning Engine'!$F$4:$F$2331,'Planning Engine'!$B$4:$B$2331,A307,'Planning Engine'!$A$4:$A$2331,"&lt;="&amp;_xlpm.stopSell),_xlpm.threshold,_xlpm.cumAtStop-H307,IF(_xlpm.threshold&lt;=0,_xlfn.AGGREGATE(15,6,'Planning Engine'!$A$4:$A$2331/('Planning Engine'!$B$4:$B$2331=A307),1),_xlfn.AGGREGATE(15,6,'Planning Engine'!$A$4:$A$2331/(('Planning Engine'!$B$4:$B$2331=A307)*('Planning Engine'!$AB$4:$AB$2331&gt;_xlpm.threshold)),1))),""),"")</f>
        <v/>
      </c>
      <c r="N307" s="459" t="str">
        <f ca="1">IF(M307="","",M307-TODAY())</f>
        <v/>
      </c>
    </row>
    <row r="308" spans="1:14" ht="14.25" customHeight="1" x14ac:dyDescent="0.35">
      <c r="A308" s="46"/>
      <c r="B308" s="46"/>
      <c r="C308" s="47"/>
      <c r="D308" s="48"/>
      <c r="E308" s="48"/>
      <c r="F308" s="49"/>
      <c r="G308" s="49"/>
      <c r="H308" s="50">
        <v>0</v>
      </c>
      <c r="I308" s="51"/>
      <c r="J308" s="110" t="str">
        <f t="shared" si="14"/>
        <v/>
      </c>
      <c r="K308" s="46"/>
      <c r="M308" s="463" t="str" cm="1">
        <f t="array" ref="M308">IF(AND(L308="On Hold",E308&lt;&gt;"",H308&gt;0),IFERROR(_xlfn.LET(_xlpm.stopSell,EDATE(E308,-'FEFO Analysis'!$B$4),_xlpm.cumAtStop,SUMIFS('Planning Engine'!$F$4:$F$2331,'Planning Engine'!$B$4:$B$2331,A308,'Planning Engine'!$A$4:$A$2331,"&lt;="&amp;_xlpm.stopSell),_xlpm.threshold,_xlpm.cumAtStop-H308,IF(_xlpm.threshold&lt;=0,_xlfn.AGGREGATE(15,6,'Planning Engine'!$A$4:$A$2331/('Planning Engine'!$B$4:$B$2331=A308),1),_xlfn.AGGREGATE(15,6,'Planning Engine'!$A$4:$A$2331/(('Planning Engine'!$B$4:$B$2331=A308)*('Planning Engine'!$AB$4:$AB$2331&gt;_xlpm.threshold)),1))),""),"")</f>
        <v/>
      </c>
      <c r="N308" s="459" t="str">
        <f ca="1">IF(M308="","",M308-TODAY())</f>
        <v/>
      </c>
    </row>
    <row r="309" spans="1:14" ht="14.25" customHeight="1" x14ac:dyDescent="0.35">
      <c r="A309" s="46"/>
      <c r="B309" s="46"/>
      <c r="C309" s="47"/>
      <c r="D309" s="48"/>
      <c r="E309" s="48"/>
      <c r="F309" s="49"/>
      <c r="G309" s="49"/>
      <c r="H309" s="50">
        <v>0</v>
      </c>
      <c r="I309" s="51"/>
      <c r="J309" s="110" t="str">
        <f t="shared" si="14"/>
        <v/>
      </c>
      <c r="K309" s="46"/>
      <c r="M309" s="463" t="str" cm="1">
        <f t="array" ref="M309">IF(AND(L309="On Hold",E309&lt;&gt;"",H309&gt;0),IFERROR(_xlfn.LET(_xlpm.stopSell,EDATE(E309,-'FEFO Analysis'!$B$4),_xlpm.cumAtStop,SUMIFS('Planning Engine'!$F$4:$F$2331,'Planning Engine'!$B$4:$B$2331,A309,'Planning Engine'!$A$4:$A$2331,"&lt;="&amp;_xlpm.stopSell),_xlpm.threshold,_xlpm.cumAtStop-H309,IF(_xlpm.threshold&lt;=0,_xlfn.AGGREGATE(15,6,'Planning Engine'!$A$4:$A$2331/('Planning Engine'!$B$4:$B$2331=A309),1),_xlfn.AGGREGATE(15,6,'Planning Engine'!$A$4:$A$2331/(('Planning Engine'!$B$4:$B$2331=A309)*('Planning Engine'!$AB$4:$AB$2331&gt;_xlpm.threshold)),1))),""),"")</f>
        <v/>
      </c>
      <c r="N309" s="459" t="str">
        <f ca="1">IF(M309="","",M309-TODAY())</f>
        <v/>
      </c>
    </row>
    <row r="310" spans="1:14" ht="14.25" customHeight="1" x14ac:dyDescent="0.35">
      <c r="A310" s="46"/>
      <c r="B310" s="46"/>
      <c r="C310" s="47"/>
      <c r="D310" s="48"/>
      <c r="E310" s="48"/>
      <c r="F310" s="49"/>
      <c r="G310" s="49"/>
      <c r="H310" s="50">
        <v>0</v>
      </c>
      <c r="I310" s="51"/>
      <c r="J310" s="110" t="str">
        <f t="shared" si="14"/>
        <v/>
      </c>
      <c r="K310" s="46"/>
      <c r="M310" s="463" t="str" cm="1">
        <f t="array" ref="M310">IF(AND(L310="On Hold",E310&lt;&gt;"",H310&gt;0),IFERROR(_xlfn.LET(_xlpm.stopSell,EDATE(E310,-'FEFO Analysis'!$B$4),_xlpm.cumAtStop,SUMIFS('Planning Engine'!$F$4:$F$2331,'Planning Engine'!$B$4:$B$2331,A310,'Planning Engine'!$A$4:$A$2331,"&lt;="&amp;_xlpm.stopSell),_xlpm.threshold,_xlpm.cumAtStop-H310,IF(_xlpm.threshold&lt;=0,_xlfn.AGGREGATE(15,6,'Planning Engine'!$A$4:$A$2331/('Planning Engine'!$B$4:$B$2331=A310),1),_xlfn.AGGREGATE(15,6,'Planning Engine'!$A$4:$A$2331/(('Planning Engine'!$B$4:$B$2331=A310)*('Planning Engine'!$AB$4:$AB$2331&gt;_xlpm.threshold)),1))),""),"")</f>
        <v/>
      </c>
      <c r="N310" s="459" t="str">
        <f ca="1">IF(M310="","",M310-TODAY())</f>
        <v/>
      </c>
    </row>
    <row r="311" spans="1:14" ht="14.25" customHeight="1" x14ac:dyDescent="0.35">
      <c r="A311" s="46"/>
      <c r="B311" s="46"/>
      <c r="C311" s="47"/>
      <c r="D311" s="48"/>
      <c r="E311" s="48"/>
      <c r="F311" s="49"/>
      <c r="G311" s="49"/>
      <c r="H311" s="50">
        <v>0</v>
      </c>
      <c r="I311" s="51"/>
      <c r="J311" s="110" t="str">
        <f t="shared" si="14"/>
        <v/>
      </c>
      <c r="K311" s="46"/>
      <c r="M311" s="463" t="str" cm="1">
        <f t="array" ref="M311">IF(AND(L311="On Hold",E311&lt;&gt;"",H311&gt;0),IFERROR(_xlfn.LET(_xlpm.stopSell,EDATE(E311,-'FEFO Analysis'!$B$4),_xlpm.cumAtStop,SUMIFS('Planning Engine'!$F$4:$F$2331,'Planning Engine'!$B$4:$B$2331,A311,'Planning Engine'!$A$4:$A$2331,"&lt;="&amp;_xlpm.stopSell),_xlpm.threshold,_xlpm.cumAtStop-H311,IF(_xlpm.threshold&lt;=0,_xlfn.AGGREGATE(15,6,'Planning Engine'!$A$4:$A$2331/('Planning Engine'!$B$4:$B$2331=A311),1),_xlfn.AGGREGATE(15,6,'Planning Engine'!$A$4:$A$2331/(('Planning Engine'!$B$4:$B$2331=A311)*('Planning Engine'!$AB$4:$AB$2331&gt;_xlpm.threshold)),1))),""),"")</f>
        <v/>
      </c>
      <c r="N311" s="459" t="str">
        <f ca="1">IF(M311="","",M311-TODAY())</f>
        <v/>
      </c>
    </row>
    <row r="312" spans="1:14" ht="14.25" customHeight="1" x14ac:dyDescent="0.35">
      <c r="A312" s="46"/>
      <c r="B312" s="46"/>
      <c r="C312" s="47"/>
      <c r="D312" s="48"/>
      <c r="E312" s="48"/>
      <c r="F312" s="49"/>
      <c r="G312" s="49"/>
      <c r="H312" s="50">
        <v>0</v>
      </c>
      <c r="I312" s="51"/>
      <c r="J312" s="110" t="str">
        <f t="shared" si="14"/>
        <v/>
      </c>
      <c r="K312" s="46"/>
      <c r="M312" s="463" t="str" cm="1">
        <f t="array" ref="M312">IF(AND(L312="On Hold",E312&lt;&gt;"",H312&gt;0),IFERROR(_xlfn.LET(_xlpm.stopSell,EDATE(E312,-'FEFO Analysis'!$B$4),_xlpm.cumAtStop,SUMIFS('Planning Engine'!$F$4:$F$2331,'Planning Engine'!$B$4:$B$2331,A312,'Planning Engine'!$A$4:$A$2331,"&lt;="&amp;_xlpm.stopSell),_xlpm.threshold,_xlpm.cumAtStop-H312,IF(_xlpm.threshold&lt;=0,_xlfn.AGGREGATE(15,6,'Planning Engine'!$A$4:$A$2331/('Planning Engine'!$B$4:$B$2331=A312),1),_xlfn.AGGREGATE(15,6,'Planning Engine'!$A$4:$A$2331/(('Planning Engine'!$B$4:$B$2331=A312)*('Planning Engine'!$AB$4:$AB$2331&gt;_xlpm.threshold)),1))),""),"")</f>
        <v/>
      </c>
      <c r="N312" s="459" t="str">
        <f ca="1">IF(M312="","",M312-TODAY())</f>
        <v/>
      </c>
    </row>
    <row r="313" spans="1:14" ht="14.25" customHeight="1" x14ac:dyDescent="0.35">
      <c r="A313" s="46"/>
      <c r="B313" s="46"/>
      <c r="C313" s="47"/>
      <c r="D313" s="48"/>
      <c r="E313" s="48"/>
      <c r="F313" s="49"/>
      <c r="G313" s="49"/>
      <c r="H313" s="50">
        <v>0</v>
      </c>
      <c r="I313" s="51"/>
      <c r="J313" s="110" t="str">
        <f t="shared" si="14"/>
        <v/>
      </c>
      <c r="K313" s="46"/>
      <c r="M313" s="463" t="str" cm="1">
        <f t="array" ref="M313">IF(AND(L313="On Hold",E313&lt;&gt;"",H313&gt;0),IFERROR(_xlfn.LET(_xlpm.stopSell,EDATE(E313,-'FEFO Analysis'!$B$4),_xlpm.cumAtStop,SUMIFS('Planning Engine'!$F$4:$F$2331,'Planning Engine'!$B$4:$B$2331,A313,'Planning Engine'!$A$4:$A$2331,"&lt;="&amp;_xlpm.stopSell),_xlpm.threshold,_xlpm.cumAtStop-H313,IF(_xlpm.threshold&lt;=0,_xlfn.AGGREGATE(15,6,'Planning Engine'!$A$4:$A$2331/('Planning Engine'!$B$4:$B$2331=A313),1),_xlfn.AGGREGATE(15,6,'Planning Engine'!$A$4:$A$2331/(('Planning Engine'!$B$4:$B$2331=A313)*('Planning Engine'!$AB$4:$AB$2331&gt;_xlpm.threshold)),1))),""),"")</f>
        <v/>
      </c>
      <c r="N313" s="459" t="str">
        <f ca="1">IF(M313="","",M313-TODAY())</f>
        <v/>
      </c>
    </row>
    <row r="314" spans="1:14" ht="14.25" customHeight="1" x14ac:dyDescent="0.35">
      <c r="A314" s="46"/>
      <c r="B314" s="46"/>
      <c r="C314" s="47"/>
      <c r="D314" s="48"/>
      <c r="E314" s="48"/>
      <c r="F314" s="49"/>
      <c r="G314" s="49"/>
      <c r="H314" s="50">
        <v>0</v>
      </c>
      <c r="I314" s="51"/>
      <c r="J314" s="110" t="str">
        <f t="shared" si="14"/>
        <v/>
      </c>
      <c r="K314" s="46"/>
      <c r="M314" s="463" t="str" cm="1">
        <f t="array" ref="M314">IF(AND(L314="On Hold",E314&lt;&gt;"",H314&gt;0),IFERROR(_xlfn.LET(_xlpm.stopSell,EDATE(E314,-'FEFO Analysis'!$B$4),_xlpm.cumAtStop,SUMIFS('Planning Engine'!$F$4:$F$2331,'Planning Engine'!$B$4:$B$2331,A314,'Planning Engine'!$A$4:$A$2331,"&lt;="&amp;_xlpm.stopSell),_xlpm.threshold,_xlpm.cumAtStop-H314,IF(_xlpm.threshold&lt;=0,_xlfn.AGGREGATE(15,6,'Planning Engine'!$A$4:$A$2331/('Planning Engine'!$B$4:$B$2331=A314),1),_xlfn.AGGREGATE(15,6,'Planning Engine'!$A$4:$A$2331/(('Planning Engine'!$B$4:$B$2331=A314)*('Planning Engine'!$AB$4:$AB$2331&gt;_xlpm.threshold)),1))),""),"")</f>
        <v/>
      </c>
      <c r="N314" s="459" t="str">
        <f ca="1">IF(M314="","",M314-TODAY())</f>
        <v/>
      </c>
    </row>
    <row r="315" spans="1:14" ht="14.25" customHeight="1" x14ac:dyDescent="0.35">
      <c r="A315" s="46"/>
      <c r="B315" s="46"/>
      <c r="C315" s="47"/>
      <c r="D315" s="48"/>
      <c r="E315" s="48"/>
      <c r="F315" s="49"/>
      <c r="G315" s="49"/>
      <c r="H315" s="50">
        <v>0</v>
      </c>
      <c r="I315" s="51"/>
      <c r="J315" s="110" t="str">
        <f t="shared" si="14"/>
        <v/>
      </c>
      <c r="K315" s="46"/>
      <c r="M315" s="463" t="str" cm="1">
        <f t="array" ref="M315">IF(AND(L315="On Hold",E315&lt;&gt;"",H315&gt;0),IFERROR(_xlfn.LET(_xlpm.stopSell,EDATE(E315,-'FEFO Analysis'!$B$4),_xlpm.cumAtStop,SUMIFS('Planning Engine'!$F$4:$F$2331,'Planning Engine'!$B$4:$B$2331,A315,'Planning Engine'!$A$4:$A$2331,"&lt;="&amp;_xlpm.stopSell),_xlpm.threshold,_xlpm.cumAtStop-H315,IF(_xlpm.threshold&lt;=0,_xlfn.AGGREGATE(15,6,'Planning Engine'!$A$4:$A$2331/('Planning Engine'!$B$4:$B$2331=A315),1),_xlfn.AGGREGATE(15,6,'Planning Engine'!$A$4:$A$2331/(('Planning Engine'!$B$4:$B$2331=A315)*('Planning Engine'!$AB$4:$AB$2331&gt;_xlpm.threshold)),1))),""),"")</f>
        <v/>
      </c>
      <c r="N315" s="459" t="str">
        <f ca="1">IF(M315="","",M315-TODAY())</f>
        <v/>
      </c>
    </row>
    <row r="316" spans="1:14" ht="14.25" customHeight="1" x14ac:dyDescent="0.35">
      <c r="A316" s="46"/>
      <c r="B316" s="46"/>
      <c r="C316" s="47"/>
      <c r="D316" s="48"/>
      <c r="E316" s="48"/>
      <c r="F316" s="49"/>
      <c r="G316" s="49"/>
      <c r="H316" s="50">
        <v>0</v>
      </c>
      <c r="I316" s="51"/>
      <c r="J316" s="110" t="str">
        <f t="shared" si="14"/>
        <v/>
      </c>
      <c r="K316" s="46"/>
      <c r="M316" s="463" t="str" cm="1">
        <f t="array" ref="M316">IF(AND(L316="On Hold",E316&lt;&gt;"",H316&gt;0),IFERROR(_xlfn.LET(_xlpm.stopSell,EDATE(E316,-'FEFO Analysis'!$B$4),_xlpm.cumAtStop,SUMIFS('Planning Engine'!$F$4:$F$2331,'Planning Engine'!$B$4:$B$2331,A316,'Planning Engine'!$A$4:$A$2331,"&lt;="&amp;_xlpm.stopSell),_xlpm.threshold,_xlpm.cumAtStop-H316,IF(_xlpm.threshold&lt;=0,_xlfn.AGGREGATE(15,6,'Planning Engine'!$A$4:$A$2331/('Planning Engine'!$B$4:$B$2331=A316),1),_xlfn.AGGREGATE(15,6,'Planning Engine'!$A$4:$A$2331/(('Planning Engine'!$B$4:$B$2331=A316)*('Planning Engine'!$AB$4:$AB$2331&gt;_xlpm.threshold)),1))),""),"")</f>
        <v/>
      </c>
      <c r="N316" s="459" t="str">
        <f ca="1">IF(M316="","",M316-TODAY())</f>
        <v/>
      </c>
    </row>
    <row r="317" spans="1:14" ht="14.25" customHeight="1" x14ac:dyDescent="0.35">
      <c r="A317" s="46"/>
      <c r="B317" s="46"/>
      <c r="C317" s="47"/>
      <c r="D317" s="48"/>
      <c r="E317" s="48"/>
      <c r="F317" s="49"/>
      <c r="G317" s="49"/>
      <c r="H317" s="50">
        <v>0</v>
      </c>
      <c r="I317" s="51"/>
      <c r="J317" s="110" t="str">
        <f t="shared" si="14"/>
        <v/>
      </c>
      <c r="K317" s="46"/>
      <c r="M317" s="463" t="str" cm="1">
        <f t="array" ref="M317">IF(AND(L317="On Hold",E317&lt;&gt;"",H317&gt;0),IFERROR(_xlfn.LET(_xlpm.stopSell,EDATE(E317,-'FEFO Analysis'!$B$4),_xlpm.cumAtStop,SUMIFS('Planning Engine'!$F$4:$F$2331,'Planning Engine'!$B$4:$B$2331,A317,'Planning Engine'!$A$4:$A$2331,"&lt;="&amp;_xlpm.stopSell),_xlpm.threshold,_xlpm.cumAtStop-H317,IF(_xlpm.threshold&lt;=0,_xlfn.AGGREGATE(15,6,'Planning Engine'!$A$4:$A$2331/('Planning Engine'!$B$4:$B$2331=A317),1),_xlfn.AGGREGATE(15,6,'Planning Engine'!$A$4:$A$2331/(('Planning Engine'!$B$4:$B$2331=A317)*('Planning Engine'!$AB$4:$AB$2331&gt;_xlpm.threshold)),1))),""),"")</f>
        <v/>
      </c>
      <c r="N317" s="459" t="str">
        <f ca="1">IF(M317="","",M317-TODAY())</f>
        <v/>
      </c>
    </row>
    <row r="318" spans="1:14" ht="14.25" customHeight="1" x14ac:dyDescent="0.35">
      <c r="A318" s="46"/>
      <c r="B318" s="46"/>
      <c r="C318" s="47"/>
      <c r="D318" s="48"/>
      <c r="E318" s="48"/>
      <c r="F318" s="49"/>
      <c r="G318" s="49"/>
      <c r="H318" s="50">
        <v>0</v>
      </c>
      <c r="I318" s="51"/>
      <c r="J318" s="110" t="str">
        <f t="shared" si="14"/>
        <v/>
      </c>
      <c r="K318" s="46"/>
      <c r="M318" s="463" t="str" cm="1">
        <f t="array" ref="M318">IF(AND(L318="On Hold",E318&lt;&gt;"",H318&gt;0),IFERROR(_xlfn.LET(_xlpm.stopSell,EDATE(E318,-'FEFO Analysis'!$B$4),_xlpm.cumAtStop,SUMIFS('Planning Engine'!$F$4:$F$2331,'Planning Engine'!$B$4:$B$2331,A318,'Planning Engine'!$A$4:$A$2331,"&lt;="&amp;_xlpm.stopSell),_xlpm.threshold,_xlpm.cumAtStop-H318,IF(_xlpm.threshold&lt;=0,_xlfn.AGGREGATE(15,6,'Planning Engine'!$A$4:$A$2331/('Planning Engine'!$B$4:$B$2331=A318),1),_xlfn.AGGREGATE(15,6,'Planning Engine'!$A$4:$A$2331/(('Planning Engine'!$B$4:$B$2331=A318)*('Planning Engine'!$AB$4:$AB$2331&gt;_xlpm.threshold)),1))),""),"")</f>
        <v/>
      </c>
      <c r="N318" s="459" t="str">
        <f ca="1">IF(M318="","",M318-TODAY())</f>
        <v/>
      </c>
    </row>
    <row r="319" spans="1:14" ht="14.25" customHeight="1" x14ac:dyDescent="0.35">
      <c r="A319" s="46"/>
      <c r="B319" s="46"/>
      <c r="C319" s="47"/>
      <c r="D319" s="48"/>
      <c r="E319" s="48"/>
      <c r="F319" s="49"/>
      <c r="G319" s="49"/>
      <c r="H319" s="50">
        <v>0</v>
      </c>
      <c r="I319" s="51"/>
      <c r="J319" s="110" t="str">
        <f t="shared" si="14"/>
        <v/>
      </c>
      <c r="K319" s="46"/>
      <c r="M319" s="463" t="str" cm="1">
        <f t="array" ref="M319">IF(AND(L319="On Hold",E319&lt;&gt;"",H319&gt;0),IFERROR(_xlfn.LET(_xlpm.stopSell,EDATE(E319,-'FEFO Analysis'!$B$4),_xlpm.cumAtStop,SUMIFS('Planning Engine'!$F$4:$F$2331,'Planning Engine'!$B$4:$B$2331,A319,'Planning Engine'!$A$4:$A$2331,"&lt;="&amp;_xlpm.stopSell),_xlpm.threshold,_xlpm.cumAtStop-H319,IF(_xlpm.threshold&lt;=0,_xlfn.AGGREGATE(15,6,'Planning Engine'!$A$4:$A$2331/('Planning Engine'!$B$4:$B$2331=A319),1),_xlfn.AGGREGATE(15,6,'Planning Engine'!$A$4:$A$2331/(('Planning Engine'!$B$4:$B$2331=A319)*('Planning Engine'!$AB$4:$AB$2331&gt;_xlpm.threshold)),1))),""),"")</f>
        <v/>
      </c>
      <c r="N319" s="459" t="str">
        <f ca="1">IF(M319="","",M319-TODAY())</f>
        <v/>
      </c>
    </row>
    <row r="320" spans="1:14" ht="14.25" customHeight="1" x14ac:dyDescent="0.35">
      <c r="A320" s="46"/>
      <c r="B320" s="46"/>
      <c r="C320" s="47"/>
      <c r="D320" s="48"/>
      <c r="E320" s="48"/>
      <c r="F320" s="49"/>
      <c r="G320" s="49"/>
      <c r="H320" s="50">
        <v>0</v>
      </c>
      <c r="I320" s="51"/>
      <c r="J320" s="110" t="str">
        <f t="shared" si="14"/>
        <v/>
      </c>
      <c r="K320" s="46"/>
      <c r="M320" s="463" t="str" cm="1">
        <f t="array" ref="M320">IF(AND(L320="On Hold",E320&lt;&gt;"",H320&gt;0),IFERROR(_xlfn.LET(_xlpm.stopSell,EDATE(E320,-'FEFO Analysis'!$B$4),_xlpm.cumAtStop,SUMIFS('Planning Engine'!$F$4:$F$2331,'Planning Engine'!$B$4:$B$2331,A320,'Planning Engine'!$A$4:$A$2331,"&lt;="&amp;_xlpm.stopSell),_xlpm.threshold,_xlpm.cumAtStop-H320,IF(_xlpm.threshold&lt;=0,_xlfn.AGGREGATE(15,6,'Planning Engine'!$A$4:$A$2331/('Planning Engine'!$B$4:$B$2331=A320),1),_xlfn.AGGREGATE(15,6,'Planning Engine'!$A$4:$A$2331/(('Planning Engine'!$B$4:$B$2331=A320)*('Planning Engine'!$AB$4:$AB$2331&gt;_xlpm.threshold)),1))),""),"")</f>
        <v/>
      </c>
      <c r="N320" s="459" t="str">
        <f ca="1">IF(M320="","",M320-TODAY())</f>
        <v/>
      </c>
    </row>
    <row r="321" spans="1:14" ht="14.25" customHeight="1" x14ac:dyDescent="0.35">
      <c r="A321" s="46"/>
      <c r="B321" s="46"/>
      <c r="C321" s="47"/>
      <c r="D321" s="48"/>
      <c r="E321" s="48"/>
      <c r="F321" s="49"/>
      <c r="G321" s="49"/>
      <c r="H321" s="50">
        <v>0</v>
      </c>
      <c r="I321" s="51"/>
      <c r="J321" s="110" t="str">
        <f t="shared" si="14"/>
        <v/>
      </c>
      <c r="K321" s="46"/>
      <c r="M321" s="463" t="str" cm="1">
        <f t="array" ref="M321">IF(AND(L321="On Hold",E321&lt;&gt;"",H321&gt;0),IFERROR(_xlfn.LET(_xlpm.stopSell,EDATE(E321,-'FEFO Analysis'!$B$4),_xlpm.cumAtStop,SUMIFS('Planning Engine'!$F$4:$F$2331,'Planning Engine'!$B$4:$B$2331,A321,'Planning Engine'!$A$4:$A$2331,"&lt;="&amp;_xlpm.stopSell),_xlpm.threshold,_xlpm.cumAtStop-H321,IF(_xlpm.threshold&lt;=0,_xlfn.AGGREGATE(15,6,'Planning Engine'!$A$4:$A$2331/('Planning Engine'!$B$4:$B$2331=A321),1),_xlfn.AGGREGATE(15,6,'Planning Engine'!$A$4:$A$2331/(('Planning Engine'!$B$4:$B$2331=A321)*('Planning Engine'!$AB$4:$AB$2331&gt;_xlpm.threshold)),1))),""),"")</f>
        <v/>
      </c>
      <c r="N321" s="459" t="str">
        <f ca="1">IF(M321="","",M321-TODAY())</f>
        <v/>
      </c>
    </row>
    <row r="322" spans="1:14" ht="14.25" customHeight="1" x14ac:dyDescent="0.35">
      <c r="A322" s="46"/>
      <c r="B322" s="46"/>
      <c r="C322" s="47"/>
      <c r="D322" s="48"/>
      <c r="E322" s="48"/>
      <c r="F322" s="49"/>
      <c r="G322" s="49"/>
      <c r="H322" s="50">
        <v>0</v>
      </c>
      <c r="I322" s="51"/>
      <c r="J322" s="110" t="str">
        <f t="shared" si="14"/>
        <v/>
      </c>
      <c r="K322" s="46"/>
      <c r="M322" s="463" t="str" cm="1">
        <f t="array" ref="M322">IF(AND(L322="On Hold",E322&lt;&gt;"",H322&gt;0),IFERROR(_xlfn.LET(_xlpm.stopSell,EDATE(E322,-'FEFO Analysis'!$B$4),_xlpm.cumAtStop,SUMIFS('Planning Engine'!$F$4:$F$2331,'Planning Engine'!$B$4:$B$2331,A322,'Planning Engine'!$A$4:$A$2331,"&lt;="&amp;_xlpm.stopSell),_xlpm.threshold,_xlpm.cumAtStop-H322,IF(_xlpm.threshold&lt;=0,_xlfn.AGGREGATE(15,6,'Planning Engine'!$A$4:$A$2331/('Planning Engine'!$B$4:$B$2331=A322),1),_xlfn.AGGREGATE(15,6,'Planning Engine'!$A$4:$A$2331/(('Planning Engine'!$B$4:$B$2331=A322)*('Planning Engine'!$AB$4:$AB$2331&gt;_xlpm.threshold)),1))),""),"")</f>
        <v/>
      </c>
      <c r="N322" s="459" t="str">
        <f ca="1">IF(M322="","",M322-TODAY())</f>
        <v/>
      </c>
    </row>
    <row r="323" spans="1:14" ht="14.25" customHeight="1" x14ac:dyDescent="0.35">
      <c r="A323" s="46"/>
      <c r="B323" s="46"/>
      <c r="C323" s="47"/>
      <c r="D323" s="48"/>
      <c r="E323" s="48"/>
      <c r="F323" s="49"/>
      <c r="G323" s="49"/>
      <c r="H323" s="50">
        <v>0</v>
      </c>
      <c r="I323" s="51"/>
      <c r="J323" s="110" t="str">
        <f t="shared" si="14"/>
        <v/>
      </c>
      <c r="K323" s="46"/>
      <c r="M323" s="463" t="str" cm="1">
        <f t="array" ref="M323">IF(AND(L323="On Hold",E323&lt;&gt;"",H323&gt;0),IFERROR(_xlfn.LET(_xlpm.stopSell,EDATE(E323,-'FEFO Analysis'!$B$4),_xlpm.cumAtStop,SUMIFS('Planning Engine'!$F$4:$F$2331,'Planning Engine'!$B$4:$B$2331,A323,'Planning Engine'!$A$4:$A$2331,"&lt;="&amp;_xlpm.stopSell),_xlpm.threshold,_xlpm.cumAtStop-H323,IF(_xlpm.threshold&lt;=0,_xlfn.AGGREGATE(15,6,'Planning Engine'!$A$4:$A$2331/('Planning Engine'!$B$4:$B$2331=A323),1),_xlfn.AGGREGATE(15,6,'Planning Engine'!$A$4:$A$2331/(('Planning Engine'!$B$4:$B$2331=A323)*('Planning Engine'!$AB$4:$AB$2331&gt;_xlpm.threshold)),1))),""),"")</f>
        <v/>
      </c>
      <c r="N323" s="459" t="str">
        <f ca="1">IF(M323="","",M323-TODAY())</f>
        <v/>
      </c>
    </row>
    <row r="324" spans="1:14" ht="14.25" customHeight="1" x14ac:dyDescent="0.35">
      <c r="A324" s="46"/>
      <c r="B324" s="46"/>
      <c r="C324" s="47"/>
      <c r="D324" s="48"/>
      <c r="E324" s="48"/>
      <c r="F324" s="49"/>
      <c r="G324" s="49"/>
      <c r="H324" s="50">
        <v>0</v>
      </c>
      <c r="I324" s="51"/>
      <c r="J324" s="110" t="str">
        <f t="shared" si="14"/>
        <v/>
      </c>
      <c r="K324" s="46"/>
      <c r="M324" s="463" t="str" cm="1">
        <f t="array" ref="M324">IF(AND(L324="On Hold",E324&lt;&gt;"",H324&gt;0),IFERROR(_xlfn.LET(_xlpm.stopSell,EDATE(E324,-'FEFO Analysis'!$B$4),_xlpm.cumAtStop,SUMIFS('Planning Engine'!$F$4:$F$2331,'Planning Engine'!$B$4:$B$2331,A324,'Planning Engine'!$A$4:$A$2331,"&lt;="&amp;_xlpm.stopSell),_xlpm.threshold,_xlpm.cumAtStop-H324,IF(_xlpm.threshold&lt;=0,_xlfn.AGGREGATE(15,6,'Planning Engine'!$A$4:$A$2331/('Planning Engine'!$B$4:$B$2331=A324),1),_xlfn.AGGREGATE(15,6,'Planning Engine'!$A$4:$A$2331/(('Planning Engine'!$B$4:$B$2331=A324)*('Planning Engine'!$AB$4:$AB$2331&gt;_xlpm.threshold)),1))),""),"")</f>
        <v/>
      </c>
      <c r="N324" s="459" t="str">
        <f ca="1">IF(M324="","",M324-TODAY())</f>
        <v/>
      </c>
    </row>
    <row r="325" spans="1:14" ht="14.25" customHeight="1" x14ac:dyDescent="0.35">
      <c r="A325" s="46"/>
      <c r="B325" s="46"/>
      <c r="C325" s="47"/>
      <c r="D325" s="48"/>
      <c r="E325" s="48"/>
      <c r="F325" s="49"/>
      <c r="G325" s="49"/>
      <c r="H325" s="50">
        <v>0</v>
      </c>
      <c r="I325" s="51"/>
      <c r="J325" s="110" t="str">
        <f t="shared" si="14"/>
        <v/>
      </c>
      <c r="K325" s="46"/>
      <c r="M325" s="463" t="str" cm="1">
        <f t="array" ref="M325">IF(AND(L325="On Hold",E325&lt;&gt;"",H325&gt;0),IFERROR(_xlfn.LET(_xlpm.stopSell,EDATE(E325,-'FEFO Analysis'!$B$4),_xlpm.cumAtStop,SUMIFS('Planning Engine'!$F$4:$F$2331,'Planning Engine'!$B$4:$B$2331,A325,'Planning Engine'!$A$4:$A$2331,"&lt;="&amp;_xlpm.stopSell),_xlpm.threshold,_xlpm.cumAtStop-H325,IF(_xlpm.threshold&lt;=0,_xlfn.AGGREGATE(15,6,'Planning Engine'!$A$4:$A$2331/('Planning Engine'!$B$4:$B$2331=A325),1),_xlfn.AGGREGATE(15,6,'Planning Engine'!$A$4:$A$2331/(('Planning Engine'!$B$4:$B$2331=A325)*('Planning Engine'!$AB$4:$AB$2331&gt;_xlpm.threshold)),1))),""),"")</f>
        <v/>
      </c>
      <c r="N325" s="459" t="str">
        <f ca="1">IF(M325="","",M325-TODAY())</f>
        <v/>
      </c>
    </row>
    <row r="326" spans="1:14" ht="14.25" customHeight="1" x14ac:dyDescent="0.35">
      <c r="A326" s="46"/>
      <c r="B326" s="46"/>
      <c r="C326" s="47"/>
      <c r="D326" s="48"/>
      <c r="E326" s="48"/>
      <c r="F326" s="49"/>
      <c r="G326" s="49"/>
      <c r="H326" s="50">
        <v>0</v>
      </c>
      <c r="I326" s="51"/>
      <c r="J326" s="110" t="str">
        <f t="shared" ref="J326:J389" si="15">IF(E326&lt;&gt;"",E326+ROW()/1000000,"")</f>
        <v/>
      </c>
      <c r="K326" s="46"/>
      <c r="M326" s="463" t="str" cm="1">
        <f t="array" ref="M326">IF(AND(L326="On Hold",E326&lt;&gt;"",H326&gt;0),IFERROR(_xlfn.LET(_xlpm.stopSell,EDATE(E326,-'FEFO Analysis'!$B$4),_xlpm.cumAtStop,SUMIFS('Planning Engine'!$F$4:$F$2331,'Planning Engine'!$B$4:$B$2331,A326,'Planning Engine'!$A$4:$A$2331,"&lt;="&amp;_xlpm.stopSell),_xlpm.threshold,_xlpm.cumAtStop-H326,IF(_xlpm.threshold&lt;=0,_xlfn.AGGREGATE(15,6,'Planning Engine'!$A$4:$A$2331/('Planning Engine'!$B$4:$B$2331=A326),1),_xlfn.AGGREGATE(15,6,'Planning Engine'!$A$4:$A$2331/(('Planning Engine'!$B$4:$B$2331=A326)*('Planning Engine'!$AB$4:$AB$2331&gt;_xlpm.threshold)),1))),""),"")</f>
        <v/>
      </c>
      <c r="N326" s="459" t="str">
        <f ca="1">IF(M326="","",M326-TODAY())</f>
        <v/>
      </c>
    </row>
    <row r="327" spans="1:14" ht="14.25" customHeight="1" x14ac:dyDescent="0.35">
      <c r="A327" s="46"/>
      <c r="B327" s="46"/>
      <c r="C327" s="47"/>
      <c r="D327" s="48"/>
      <c r="E327" s="48"/>
      <c r="F327" s="49"/>
      <c r="G327" s="49"/>
      <c r="H327" s="50">
        <v>0</v>
      </c>
      <c r="I327" s="51"/>
      <c r="J327" s="110" t="str">
        <f t="shared" si="15"/>
        <v/>
      </c>
      <c r="K327" s="46"/>
      <c r="M327" s="463" t="str" cm="1">
        <f t="array" ref="M327">IF(AND(L327="On Hold",E327&lt;&gt;"",H327&gt;0),IFERROR(_xlfn.LET(_xlpm.stopSell,EDATE(E327,-'FEFO Analysis'!$B$4),_xlpm.cumAtStop,SUMIFS('Planning Engine'!$F$4:$F$2331,'Planning Engine'!$B$4:$B$2331,A327,'Planning Engine'!$A$4:$A$2331,"&lt;="&amp;_xlpm.stopSell),_xlpm.threshold,_xlpm.cumAtStop-H327,IF(_xlpm.threshold&lt;=0,_xlfn.AGGREGATE(15,6,'Planning Engine'!$A$4:$A$2331/('Planning Engine'!$B$4:$B$2331=A327),1),_xlfn.AGGREGATE(15,6,'Planning Engine'!$A$4:$A$2331/(('Planning Engine'!$B$4:$B$2331=A327)*('Planning Engine'!$AB$4:$AB$2331&gt;_xlpm.threshold)),1))),""),"")</f>
        <v/>
      </c>
      <c r="N327" s="459" t="str">
        <f ca="1">IF(M327="","",M327-TODAY())</f>
        <v/>
      </c>
    </row>
    <row r="328" spans="1:14" ht="14.25" customHeight="1" x14ac:dyDescent="0.35">
      <c r="A328" s="46"/>
      <c r="B328" s="46"/>
      <c r="C328" s="47"/>
      <c r="D328" s="48"/>
      <c r="E328" s="48"/>
      <c r="F328" s="49"/>
      <c r="G328" s="49"/>
      <c r="H328" s="50">
        <v>0</v>
      </c>
      <c r="I328" s="51"/>
      <c r="J328" s="110" t="str">
        <f t="shared" si="15"/>
        <v/>
      </c>
      <c r="K328" s="46"/>
      <c r="M328" s="463" t="str" cm="1">
        <f t="array" ref="M328">IF(AND(L328="On Hold",E328&lt;&gt;"",H328&gt;0),IFERROR(_xlfn.LET(_xlpm.stopSell,EDATE(E328,-'FEFO Analysis'!$B$4),_xlpm.cumAtStop,SUMIFS('Planning Engine'!$F$4:$F$2331,'Planning Engine'!$B$4:$B$2331,A328,'Planning Engine'!$A$4:$A$2331,"&lt;="&amp;_xlpm.stopSell),_xlpm.threshold,_xlpm.cumAtStop-H328,IF(_xlpm.threshold&lt;=0,_xlfn.AGGREGATE(15,6,'Planning Engine'!$A$4:$A$2331/('Planning Engine'!$B$4:$B$2331=A328),1),_xlfn.AGGREGATE(15,6,'Planning Engine'!$A$4:$A$2331/(('Planning Engine'!$B$4:$B$2331=A328)*('Planning Engine'!$AB$4:$AB$2331&gt;_xlpm.threshold)),1))),""),"")</f>
        <v/>
      </c>
      <c r="N328" s="459" t="str">
        <f ca="1">IF(M328="","",M328-TODAY())</f>
        <v/>
      </c>
    </row>
    <row r="329" spans="1:14" ht="14.25" customHeight="1" x14ac:dyDescent="0.35">
      <c r="A329" s="46"/>
      <c r="B329" s="46"/>
      <c r="C329" s="47"/>
      <c r="D329" s="48"/>
      <c r="E329" s="48"/>
      <c r="F329" s="49"/>
      <c r="G329" s="49"/>
      <c r="H329" s="50">
        <v>0</v>
      </c>
      <c r="I329" s="51"/>
      <c r="J329" s="110" t="str">
        <f t="shared" si="15"/>
        <v/>
      </c>
      <c r="K329" s="46"/>
      <c r="M329" s="463" t="str" cm="1">
        <f t="array" ref="M329">IF(AND(L329="On Hold",E329&lt;&gt;"",H329&gt;0),IFERROR(_xlfn.LET(_xlpm.stopSell,EDATE(E329,-'FEFO Analysis'!$B$4),_xlpm.cumAtStop,SUMIFS('Planning Engine'!$F$4:$F$2331,'Planning Engine'!$B$4:$B$2331,A329,'Planning Engine'!$A$4:$A$2331,"&lt;="&amp;_xlpm.stopSell),_xlpm.threshold,_xlpm.cumAtStop-H329,IF(_xlpm.threshold&lt;=0,_xlfn.AGGREGATE(15,6,'Planning Engine'!$A$4:$A$2331/('Planning Engine'!$B$4:$B$2331=A329),1),_xlfn.AGGREGATE(15,6,'Planning Engine'!$A$4:$A$2331/(('Planning Engine'!$B$4:$B$2331=A329)*('Planning Engine'!$AB$4:$AB$2331&gt;_xlpm.threshold)),1))),""),"")</f>
        <v/>
      </c>
      <c r="N329" s="459" t="str">
        <f ca="1">IF(M329="","",M329-TODAY())</f>
        <v/>
      </c>
    </row>
    <row r="330" spans="1:14" ht="14.25" customHeight="1" x14ac:dyDescent="0.35">
      <c r="A330" s="46"/>
      <c r="B330" s="46"/>
      <c r="C330" s="47"/>
      <c r="D330" s="48"/>
      <c r="E330" s="48"/>
      <c r="F330" s="49"/>
      <c r="G330" s="49"/>
      <c r="H330" s="50">
        <v>0</v>
      </c>
      <c r="I330" s="51"/>
      <c r="J330" s="110" t="str">
        <f t="shared" si="15"/>
        <v/>
      </c>
      <c r="K330" s="46"/>
      <c r="M330" s="463" t="str" cm="1">
        <f t="array" ref="M330">IF(AND(L330="On Hold",E330&lt;&gt;"",H330&gt;0),IFERROR(_xlfn.LET(_xlpm.stopSell,EDATE(E330,-'FEFO Analysis'!$B$4),_xlpm.cumAtStop,SUMIFS('Planning Engine'!$F$4:$F$2331,'Planning Engine'!$B$4:$B$2331,A330,'Planning Engine'!$A$4:$A$2331,"&lt;="&amp;_xlpm.stopSell),_xlpm.threshold,_xlpm.cumAtStop-H330,IF(_xlpm.threshold&lt;=0,_xlfn.AGGREGATE(15,6,'Planning Engine'!$A$4:$A$2331/('Planning Engine'!$B$4:$B$2331=A330),1),_xlfn.AGGREGATE(15,6,'Planning Engine'!$A$4:$A$2331/(('Planning Engine'!$B$4:$B$2331=A330)*('Planning Engine'!$AB$4:$AB$2331&gt;_xlpm.threshold)),1))),""),"")</f>
        <v/>
      </c>
      <c r="N330" s="459" t="str">
        <f ca="1">IF(M330="","",M330-TODAY())</f>
        <v/>
      </c>
    </row>
    <row r="331" spans="1:14" ht="14.25" customHeight="1" x14ac:dyDescent="0.35">
      <c r="A331" s="46"/>
      <c r="B331" s="46"/>
      <c r="C331" s="47"/>
      <c r="D331" s="48"/>
      <c r="E331" s="48"/>
      <c r="F331" s="49"/>
      <c r="G331" s="49"/>
      <c r="H331" s="50">
        <v>0</v>
      </c>
      <c r="I331" s="51"/>
      <c r="J331" s="110" t="str">
        <f t="shared" si="15"/>
        <v/>
      </c>
      <c r="K331" s="46"/>
      <c r="M331" s="463" t="str" cm="1">
        <f t="array" ref="M331">IF(AND(L331="On Hold",E331&lt;&gt;"",H331&gt;0),IFERROR(_xlfn.LET(_xlpm.stopSell,EDATE(E331,-'FEFO Analysis'!$B$4),_xlpm.cumAtStop,SUMIFS('Planning Engine'!$F$4:$F$2331,'Planning Engine'!$B$4:$B$2331,A331,'Planning Engine'!$A$4:$A$2331,"&lt;="&amp;_xlpm.stopSell),_xlpm.threshold,_xlpm.cumAtStop-H331,IF(_xlpm.threshold&lt;=0,_xlfn.AGGREGATE(15,6,'Planning Engine'!$A$4:$A$2331/('Planning Engine'!$B$4:$B$2331=A331),1),_xlfn.AGGREGATE(15,6,'Planning Engine'!$A$4:$A$2331/(('Planning Engine'!$B$4:$B$2331=A331)*('Planning Engine'!$AB$4:$AB$2331&gt;_xlpm.threshold)),1))),""),"")</f>
        <v/>
      </c>
      <c r="N331" s="459" t="str">
        <f ca="1">IF(M331="","",M331-TODAY())</f>
        <v/>
      </c>
    </row>
    <row r="332" spans="1:14" ht="14.25" customHeight="1" x14ac:dyDescent="0.35">
      <c r="A332" s="46"/>
      <c r="B332" s="46"/>
      <c r="C332" s="47"/>
      <c r="D332" s="48"/>
      <c r="E332" s="48"/>
      <c r="F332" s="49"/>
      <c r="G332" s="49"/>
      <c r="H332" s="50">
        <v>0</v>
      </c>
      <c r="I332" s="51"/>
      <c r="J332" s="110" t="str">
        <f t="shared" si="15"/>
        <v/>
      </c>
      <c r="K332" s="46"/>
      <c r="M332" s="463" t="str" cm="1">
        <f t="array" ref="M332">IF(AND(L332="On Hold",E332&lt;&gt;"",H332&gt;0),IFERROR(_xlfn.LET(_xlpm.stopSell,EDATE(E332,-'FEFO Analysis'!$B$4),_xlpm.cumAtStop,SUMIFS('Planning Engine'!$F$4:$F$2331,'Planning Engine'!$B$4:$B$2331,A332,'Planning Engine'!$A$4:$A$2331,"&lt;="&amp;_xlpm.stopSell),_xlpm.threshold,_xlpm.cumAtStop-H332,IF(_xlpm.threshold&lt;=0,_xlfn.AGGREGATE(15,6,'Planning Engine'!$A$4:$A$2331/('Planning Engine'!$B$4:$B$2331=A332),1),_xlfn.AGGREGATE(15,6,'Planning Engine'!$A$4:$A$2331/(('Planning Engine'!$B$4:$B$2331=A332)*('Planning Engine'!$AB$4:$AB$2331&gt;_xlpm.threshold)),1))),""),"")</f>
        <v/>
      </c>
      <c r="N332" s="459" t="str">
        <f ca="1">IF(M332="","",M332-TODAY())</f>
        <v/>
      </c>
    </row>
    <row r="333" spans="1:14" ht="14.25" customHeight="1" x14ac:dyDescent="0.35">
      <c r="A333" s="46"/>
      <c r="B333" s="46"/>
      <c r="C333" s="47"/>
      <c r="D333" s="48"/>
      <c r="E333" s="48"/>
      <c r="F333" s="49"/>
      <c r="G333" s="49"/>
      <c r="H333" s="50">
        <v>0</v>
      </c>
      <c r="I333" s="51"/>
      <c r="J333" s="110" t="str">
        <f t="shared" si="15"/>
        <v/>
      </c>
      <c r="K333" s="46"/>
      <c r="M333" s="463" t="str" cm="1">
        <f t="array" ref="M333">IF(AND(L333="On Hold",E333&lt;&gt;"",H333&gt;0),IFERROR(_xlfn.LET(_xlpm.stopSell,EDATE(E333,-'FEFO Analysis'!$B$4),_xlpm.cumAtStop,SUMIFS('Planning Engine'!$F$4:$F$2331,'Planning Engine'!$B$4:$B$2331,A333,'Planning Engine'!$A$4:$A$2331,"&lt;="&amp;_xlpm.stopSell),_xlpm.threshold,_xlpm.cumAtStop-H333,IF(_xlpm.threshold&lt;=0,_xlfn.AGGREGATE(15,6,'Planning Engine'!$A$4:$A$2331/('Planning Engine'!$B$4:$B$2331=A333),1),_xlfn.AGGREGATE(15,6,'Planning Engine'!$A$4:$A$2331/(('Planning Engine'!$B$4:$B$2331=A333)*('Planning Engine'!$AB$4:$AB$2331&gt;_xlpm.threshold)),1))),""),"")</f>
        <v/>
      </c>
      <c r="N333" s="459" t="str">
        <f ca="1">IF(M333="","",M333-TODAY())</f>
        <v/>
      </c>
    </row>
    <row r="334" spans="1:14" ht="14.25" customHeight="1" x14ac:dyDescent="0.35">
      <c r="A334" s="46"/>
      <c r="B334" s="46"/>
      <c r="C334" s="47"/>
      <c r="D334" s="48"/>
      <c r="E334" s="48"/>
      <c r="F334" s="49"/>
      <c r="G334" s="49"/>
      <c r="H334" s="50">
        <v>0</v>
      </c>
      <c r="I334" s="51"/>
      <c r="J334" s="110" t="str">
        <f t="shared" si="15"/>
        <v/>
      </c>
      <c r="K334" s="46"/>
      <c r="M334" s="463" t="str" cm="1">
        <f t="array" ref="M334">IF(AND(L334="On Hold",E334&lt;&gt;"",H334&gt;0),IFERROR(_xlfn.LET(_xlpm.stopSell,EDATE(E334,-'FEFO Analysis'!$B$4),_xlpm.cumAtStop,SUMIFS('Planning Engine'!$F$4:$F$2331,'Planning Engine'!$B$4:$B$2331,A334,'Planning Engine'!$A$4:$A$2331,"&lt;="&amp;_xlpm.stopSell),_xlpm.threshold,_xlpm.cumAtStop-H334,IF(_xlpm.threshold&lt;=0,_xlfn.AGGREGATE(15,6,'Planning Engine'!$A$4:$A$2331/('Planning Engine'!$B$4:$B$2331=A334),1),_xlfn.AGGREGATE(15,6,'Planning Engine'!$A$4:$A$2331/(('Planning Engine'!$B$4:$B$2331=A334)*('Planning Engine'!$AB$4:$AB$2331&gt;_xlpm.threshold)),1))),""),"")</f>
        <v/>
      </c>
      <c r="N334" s="459" t="str">
        <f ca="1">IF(M334="","",M334-TODAY())</f>
        <v/>
      </c>
    </row>
    <row r="335" spans="1:14" ht="14.25" customHeight="1" x14ac:dyDescent="0.35">
      <c r="A335" s="46"/>
      <c r="B335" s="46"/>
      <c r="C335" s="47"/>
      <c r="D335" s="48"/>
      <c r="E335" s="48"/>
      <c r="F335" s="49"/>
      <c r="G335" s="49"/>
      <c r="H335" s="50">
        <v>0</v>
      </c>
      <c r="I335" s="51"/>
      <c r="J335" s="110" t="str">
        <f t="shared" si="15"/>
        <v/>
      </c>
      <c r="K335" s="46"/>
      <c r="M335" s="463" t="str" cm="1">
        <f t="array" ref="M335">IF(AND(L335="On Hold",E335&lt;&gt;"",H335&gt;0),IFERROR(_xlfn.LET(_xlpm.stopSell,EDATE(E335,-'FEFO Analysis'!$B$4),_xlpm.cumAtStop,SUMIFS('Planning Engine'!$F$4:$F$2331,'Planning Engine'!$B$4:$B$2331,A335,'Planning Engine'!$A$4:$A$2331,"&lt;="&amp;_xlpm.stopSell),_xlpm.threshold,_xlpm.cumAtStop-H335,IF(_xlpm.threshold&lt;=0,_xlfn.AGGREGATE(15,6,'Planning Engine'!$A$4:$A$2331/('Planning Engine'!$B$4:$B$2331=A335),1),_xlfn.AGGREGATE(15,6,'Planning Engine'!$A$4:$A$2331/(('Planning Engine'!$B$4:$B$2331=A335)*('Planning Engine'!$AB$4:$AB$2331&gt;_xlpm.threshold)),1))),""),"")</f>
        <v/>
      </c>
      <c r="N335" s="459" t="str">
        <f ca="1">IF(M335="","",M335-TODAY())</f>
        <v/>
      </c>
    </row>
    <row r="336" spans="1:14" ht="14.25" customHeight="1" x14ac:dyDescent="0.35">
      <c r="A336" s="46"/>
      <c r="B336" s="46"/>
      <c r="C336" s="47"/>
      <c r="D336" s="48"/>
      <c r="E336" s="48"/>
      <c r="F336" s="49"/>
      <c r="G336" s="49"/>
      <c r="H336" s="50">
        <v>0</v>
      </c>
      <c r="I336" s="51"/>
      <c r="J336" s="110" t="str">
        <f t="shared" si="15"/>
        <v/>
      </c>
      <c r="K336" s="46"/>
      <c r="M336" s="463" t="str" cm="1">
        <f t="array" ref="M336">IF(AND(L336="On Hold",E336&lt;&gt;"",H336&gt;0),IFERROR(_xlfn.LET(_xlpm.stopSell,EDATE(E336,-'FEFO Analysis'!$B$4),_xlpm.cumAtStop,SUMIFS('Planning Engine'!$F$4:$F$2331,'Planning Engine'!$B$4:$B$2331,A336,'Planning Engine'!$A$4:$A$2331,"&lt;="&amp;_xlpm.stopSell),_xlpm.threshold,_xlpm.cumAtStop-H336,IF(_xlpm.threshold&lt;=0,_xlfn.AGGREGATE(15,6,'Planning Engine'!$A$4:$A$2331/('Planning Engine'!$B$4:$B$2331=A336),1),_xlfn.AGGREGATE(15,6,'Planning Engine'!$A$4:$A$2331/(('Planning Engine'!$B$4:$B$2331=A336)*('Planning Engine'!$AB$4:$AB$2331&gt;_xlpm.threshold)),1))),""),"")</f>
        <v/>
      </c>
      <c r="N336" s="459" t="str">
        <f ca="1">IF(M336="","",M336-TODAY())</f>
        <v/>
      </c>
    </row>
    <row r="337" spans="1:14" ht="14.25" customHeight="1" x14ac:dyDescent="0.35">
      <c r="A337" s="46"/>
      <c r="B337" s="46"/>
      <c r="C337" s="47"/>
      <c r="D337" s="48"/>
      <c r="E337" s="48"/>
      <c r="F337" s="49"/>
      <c r="G337" s="49"/>
      <c r="H337" s="50">
        <v>0</v>
      </c>
      <c r="I337" s="51"/>
      <c r="J337" s="110" t="str">
        <f t="shared" si="15"/>
        <v/>
      </c>
      <c r="K337" s="46"/>
      <c r="M337" s="463" t="str" cm="1">
        <f t="array" ref="M337">IF(AND(L337="On Hold",E337&lt;&gt;"",H337&gt;0),IFERROR(_xlfn.LET(_xlpm.stopSell,EDATE(E337,-'FEFO Analysis'!$B$4),_xlpm.cumAtStop,SUMIFS('Planning Engine'!$F$4:$F$2331,'Planning Engine'!$B$4:$B$2331,A337,'Planning Engine'!$A$4:$A$2331,"&lt;="&amp;_xlpm.stopSell),_xlpm.threshold,_xlpm.cumAtStop-H337,IF(_xlpm.threshold&lt;=0,_xlfn.AGGREGATE(15,6,'Planning Engine'!$A$4:$A$2331/('Planning Engine'!$B$4:$B$2331=A337),1),_xlfn.AGGREGATE(15,6,'Planning Engine'!$A$4:$A$2331/(('Planning Engine'!$B$4:$B$2331=A337)*('Planning Engine'!$AB$4:$AB$2331&gt;_xlpm.threshold)),1))),""),"")</f>
        <v/>
      </c>
      <c r="N337" s="459" t="str">
        <f ca="1">IF(M337="","",M337-TODAY())</f>
        <v/>
      </c>
    </row>
    <row r="338" spans="1:14" ht="14.25" customHeight="1" x14ac:dyDescent="0.35">
      <c r="A338" s="46"/>
      <c r="B338" s="46"/>
      <c r="C338" s="47"/>
      <c r="D338" s="48"/>
      <c r="E338" s="48"/>
      <c r="F338" s="49"/>
      <c r="G338" s="49"/>
      <c r="H338" s="50">
        <v>0</v>
      </c>
      <c r="I338" s="51"/>
      <c r="J338" s="110" t="str">
        <f t="shared" si="15"/>
        <v/>
      </c>
      <c r="K338" s="46"/>
      <c r="M338" s="463" t="str" cm="1">
        <f t="array" ref="M338">IF(AND(L338="On Hold",E338&lt;&gt;"",H338&gt;0),IFERROR(_xlfn.LET(_xlpm.stopSell,EDATE(E338,-'FEFO Analysis'!$B$4),_xlpm.cumAtStop,SUMIFS('Planning Engine'!$F$4:$F$2331,'Planning Engine'!$B$4:$B$2331,A338,'Planning Engine'!$A$4:$A$2331,"&lt;="&amp;_xlpm.stopSell),_xlpm.threshold,_xlpm.cumAtStop-H338,IF(_xlpm.threshold&lt;=0,_xlfn.AGGREGATE(15,6,'Planning Engine'!$A$4:$A$2331/('Planning Engine'!$B$4:$B$2331=A338),1),_xlfn.AGGREGATE(15,6,'Planning Engine'!$A$4:$A$2331/(('Planning Engine'!$B$4:$B$2331=A338)*('Planning Engine'!$AB$4:$AB$2331&gt;_xlpm.threshold)),1))),""),"")</f>
        <v/>
      </c>
      <c r="N338" s="459" t="str">
        <f ca="1">IF(M338="","",M338-TODAY())</f>
        <v/>
      </c>
    </row>
    <row r="339" spans="1:14" ht="14.25" customHeight="1" x14ac:dyDescent="0.35">
      <c r="A339" s="46"/>
      <c r="B339" s="46"/>
      <c r="C339" s="47"/>
      <c r="D339" s="48"/>
      <c r="E339" s="48"/>
      <c r="F339" s="49"/>
      <c r="G339" s="49"/>
      <c r="H339" s="50">
        <v>0</v>
      </c>
      <c r="I339" s="51"/>
      <c r="J339" s="110" t="str">
        <f t="shared" si="15"/>
        <v/>
      </c>
      <c r="K339" s="46"/>
      <c r="M339" s="463" t="str" cm="1">
        <f t="array" ref="M339">IF(AND(L339="On Hold",E339&lt;&gt;"",H339&gt;0),IFERROR(_xlfn.LET(_xlpm.stopSell,EDATE(E339,-'FEFO Analysis'!$B$4),_xlpm.cumAtStop,SUMIFS('Planning Engine'!$F$4:$F$2331,'Planning Engine'!$B$4:$B$2331,A339,'Planning Engine'!$A$4:$A$2331,"&lt;="&amp;_xlpm.stopSell),_xlpm.threshold,_xlpm.cumAtStop-H339,IF(_xlpm.threshold&lt;=0,_xlfn.AGGREGATE(15,6,'Planning Engine'!$A$4:$A$2331/('Planning Engine'!$B$4:$B$2331=A339),1),_xlfn.AGGREGATE(15,6,'Planning Engine'!$A$4:$A$2331/(('Planning Engine'!$B$4:$B$2331=A339)*('Planning Engine'!$AB$4:$AB$2331&gt;_xlpm.threshold)),1))),""),"")</f>
        <v/>
      </c>
      <c r="N339" s="459" t="str">
        <f ca="1">IF(M339="","",M339-TODAY())</f>
        <v/>
      </c>
    </row>
    <row r="340" spans="1:14" ht="14.25" customHeight="1" x14ac:dyDescent="0.35">
      <c r="A340" s="46"/>
      <c r="B340" s="46"/>
      <c r="C340" s="47"/>
      <c r="D340" s="48"/>
      <c r="E340" s="48"/>
      <c r="F340" s="49"/>
      <c r="G340" s="49"/>
      <c r="H340" s="50">
        <v>0</v>
      </c>
      <c r="I340" s="51"/>
      <c r="J340" s="110" t="str">
        <f t="shared" si="15"/>
        <v/>
      </c>
      <c r="K340" s="46"/>
      <c r="M340" s="463" t="str" cm="1">
        <f t="array" ref="M340">IF(AND(L340="On Hold",E340&lt;&gt;"",H340&gt;0),IFERROR(_xlfn.LET(_xlpm.stopSell,EDATE(E340,-'FEFO Analysis'!$B$4),_xlpm.cumAtStop,SUMIFS('Planning Engine'!$F$4:$F$2331,'Planning Engine'!$B$4:$B$2331,A340,'Planning Engine'!$A$4:$A$2331,"&lt;="&amp;_xlpm.stopSell),_xlpm.threshold,_xlpm.cumAtStop-H340,IF(_xlpm.threshold&lt;=0,_xlfn.AGGREGATE(15,6,'Planning Engine'!$A$4:$A$2331/('Planning Engine'!$B$4:$B$2331=A340),1),_xlfn.AGGREGATE(15,6,'Planning Engine'!$A$4:$A$2331/(('Planning Engine'!$B$4:$B$2331=A340)*('Planning Engine'!$AB$4:$AB$2331&gt;_xlpm.threshold)),1))),""),"")</f>
        <v/>
      </c>
      <c r="N340" s="459" t="str">
        <f ca="1">IF(M340="","",M340-TODAY())</f>
        <v/>
      </c>
    </row>
    <row r="341" spans="1:14" ht="14.25" customHeight="1" x14ac:dyDescent="0.35">
      <c r="A341" s="46"/>
      <c r="B341" s="46"/>
      <c r="C341" s="47"/>
      <c r="D341" s="48"/>
      <c r="E341" s="48"/>
      <c r="F341" s="49"/>
      <c r="G341" s="49"/>
      <c r="H341" s="50">
        <v>0</v>
      </c>
      <c r="I341" s="51"/>
      <c r="J341" s="110" t="str">
        <f t="shared" si="15"/>
        <v/>
      </c>
      <c r="K341" s="46"/>
      <c r="M341" s="463" t="str" cm="1">
        <f t="array" ref="M341">IF(AND(L341="On Hold",E341&lt;&gt;"",H341&gt;0),IFERROR(_xlfn.LET(_xlpm.stopSell,EDATE(E341,-'FEFO Analysis'!$B$4),_xlpm.cumAtStop,SUMIFS('Planning Engine'!$F$4:$F$2331,'Planning Engine'!$B$4:$B$2331,A341,'Planning Engine'!$A$4:$A$2331,"&lt;="&amp;_xlpm.stopSell),_xlpm.threshold,_xlpm.cumAtStop-H341,IF(_xlpm.threshold&lt;=0,_xlfn.AGGREGATE(15,6,'Planning Engine'!$A$4:$A$2331/('Planning Engine'!$B$4:$B$2331=A341),1),_xlfn.AGGREGATE(15,6,'Planning Engine'!$A$4:$A$2331/(('Planning Engine'!$B$4:$B$2331=A341)*('Planning Engine'!$AB$4:$AB$2331&gt;_xlpm.threshold)),1))),""),"")</f>
        <v/>
      </c>
      <c r="N341" s="459" t="str">
        <f ca="1">IF(M341="","",M341-TODAY())</f>
        <v/>
      </c>
    </row>
    <row r="342" spans="1:14" ht="14.25" customHeight="1" x14ac:dyDescent="0.35">
      <c r="A342" s="46"/>
      <c r="B342" s="46"/>
      <c r="C342" s="47"/>
      <c r="D342" s="48"/>
      <c r="E342" s="48"/>
      <c r="F342" s="49"/>
      <c r="G342" s="49"/>
      <c r="H342" s="50">
        <v>0</v>
      </c>
      <c r="I342" s="51"/>
      <c r="J342" s="110" t="str">
        <f t="shared" si="15"/>
        <v/>
      </c>
      <c r="K342" s="46"/>
      <c r="M342" s="463" t="str" cm="1">
        <f t="array" ref="M342">IF(AND(L342="On Hold",E342&lt;&gt;"",H342&gt;0),IFERROR(_xlfn.LET(_xlpm.stopSell,EDATE(E342,-'FEFO Analysis'!$B$4),_xlpm.cumAtStop,SUMIFS('Planning Engine'!$F$4:$F$2331,'Planning Engine'!$B$4:$B$2331,A342,'Planning Engine'!$A$4:$A$2331,"&lt;="&amp;_xlpm.stopSell),_xlpm.threshold,_xlpm.cumAtStop-H342,IF(_xlpm.threshold&lt;=0,_xlfn.AGGREGATE(15,6,'Planning Engine'!$A$4:$A$2331/('Planning Engine'!$B$4:$B$2331=A342),1),_xlfn.AGGREGATE(15,6,'Planning Engine'!$A$4:$A$2331/(('Planning Engine'!$B$4:$B$2331=A342)*('Planning Engine'!$AB$4:$AB$2331&gt;_xlpm.threshold)),1))),""),"")</f>
        <v/>
      </c>
      <c r="N342" s="459" t="str">
        <f ca="1">IF(M342="","",M342-TODAY())</f>
        <v/>
      </c>
    </row>
    <row r="343" spans="1:14" ht="14.25" customHeight="1" x14ac:dyDescent="0.35">
      <c r="A343" s="46"/>
      <c r="B343" s="46"/>
      <c r="C343" s="47"/>
      <c r="D343" s="48"/>
      <c r="E343" s="48"/>
      <c r="F343" s="49"/>
      <c r="G343" s="49"/>
      <c r="H343" s="50">
        <v>0</v>
      </c>
      <c r="I343" s="51"/>
      <c r="J343" s="110" t="str">
        <f t="shared" si="15"/>
        <v/>
      </c>
      <c r="K343" s="46"/>
      <c r="M343" s="463" t="str" cm="1">
        <f t="array" ref="M343">IF(AND(L343="On Hold",E343&lt;&gt;"",H343&gt;0),IFERROR(_xlfn.LET(_xlpm.stopSell,EDATE(E343,-'FEFO Analysis'!$B$4),_xlpm.cumAtStop,SUMIFS('Planning Engine'!$F$4:$F$2331,'Planning Engine'!$B$4:$B$2331,A343,'Planning Engine'!$A$4:$A$2331,"&lt;="&amp;_xlpm.stopSell),_xlpm.threshold,_xlpm.cumAtStop-H343,IF(_xlpm.threshold&lt;=0,_xlfn.AGGREGATE(15,6,'Planning Engine'!$A$4:$A$2331/('Planning Engine'!$B$4:$B$2331=A343),1),_xlfn.AGGREGATE(15,6,'Planning Engine'!$A$4:$A$2331/(('Planning Engine'!$B$4:$B$2331=A343)*('Planning Engine'!$AB$4:$AB$2331&gt;_xlpm.threshold)),1))),""),"")</f>
        <v/>
      </c>
      <c r="N343" s="459" t="str">
        <f ca="1">IF(M343="","",M343-TODAY())</f>
        <v/>
      </c>
    </row>
    <row r="344" spans="1:14" ht="14.25" customHeight="1" x14ac:dyDescent="0.35">
      <c r="A344" s="46"/>
      <c r="B344" s="46"/>
      <c r="C344" s="47"/>
      <c r="D344" s="48"/>
      <c r="E344" s="48"/>
      <c r="F344" s="49"/>
      <c r="G344" s="49"/>
      <c r="H344" s="50">
        <v>0</v>
      </c>
      <c r="I344" s="51"/>
      <c r="J344" s="110" t="str">
        <f t="shared" si="15"/>
        <v/>
      </c>
      <c r="K344" s="46"/>
      <c r="M344" s="463" t="str" cm="1">
        <f t="array" ref="M344">IF(AND(L344="On Hold",E344&lt;&gt;"",H344&gt;0),IFERROR(_xlfn.LET(_xlpm.stopSell,EDATE(E344,-'FEFO Analysis'!$B$4),_xlpm.cumAtStop,SUMIFS('Planning Engine'!$F$4:$F$2331,'Planning Engine'!$B$4:$B$2331,A344,'Planning Engine'!$A$4:$A$2331,"&lt;="&amp;_xlpm.stopSell),_xlpm.threshold,_xlpm.cumAtStop-H344,IF(_xlpm.threshold&lt;=0,_xlfn.AGGREGATE(15,6,'Planning Engine'!$A$4:$A$2331/('Planning Engine'!$B$4:$B$2331=A344),1),_xlfn.AGGREGATE(15,6,'Planning Engine'!$A$4:$A$2331/(('Planning Engine'!$B$4:$B$2331=A344)*('Planning Engine'!$AB$4:$AB$2331&gt;_xlpm.threshold)),1))),""),"")</f>
        <v/>
      </c>
      <c r="N344" s="459" t="str">
        <f ca="1">IF(M344="","",M344-TODAY())</f>
        <v/>
      </c>
    </row>
    <row r="345" spans="1:14" ht="14.25" customHeight="1" x14ac:dyDescent="0.35">
      <c r="A345" s="46"/>
      <c r="B345" s="46"/>
      <c r="C345" s="47"/>
      <c r="D345" s="48"/>
      <c r="E345" s="48"/>
      <c r="F345" s="49"/>
      <c r="G345" s="49"/>
      <c r="H345" s="50">
        <v>0</v>
      </c>
      <c r="I345" s="51"/>
      <c r="J345" s="110" t="str">
        <f t="shared" si="15"/>
        <v/>
      </c>
      <c r="K345" s="46"/>
      <c r="M345" s="463" t="str" cm="1">
        <f t="array" ref="M345">IF(AND(L345="On Hold",E345&lt;&gt;"",H345&gt;0),IFERROR(_xlfn.LET(_xlpm.stopSell,EDATE(E345,-'FEFO Analysis'!$B$4),_xlpm.cumAtStop,SUMIFS('Planning Engine'!$F$4:$F$2331,'Planning Engine'!$B$4:$B$2331,A345,'Planning Engine'!$A$4:$A$2331,"&lt;="&amp;_xlpm.stopSell),_xlpm.threshold,_xlpm.cumAtStop-H345,IF(_xlpm.threshold&lt;=0,_xlfn.AGGREGATE(15,6,'Planning Engine'!$A$4:$A$2331/('Planning Engine'!$B$4:$B$2331=A345),1),_xlfn.AGGREGATE(15,6,'Planning Engine'!$A$4:$A$2331/(('Planning Engine'!$B$4:$B$2331=A345)*('Planning Engine'!$AB$4:$AB$2331&gt;_xlpm.threshold)),1))),""),"")</f>
        <v/>
      </c>
      <c r="N345" s="459" t="str">
        <f ca="1">IF(M345="","",M345-TODAY())</f>
        <v/>
      </c>
    </row>
    <row r="346" spans="1:14" ht="14.25" customHeight="1" x14ac:dyDescent="0.35">
      <c r="A346" s="46"/>
      <c r="B346" s="46"/>
      <c r="C346" s="47"/>
      <c r="D346" s="48"/>
      <c r="E346" s="48"/>
      <c r="F346" s="49"/>
      <c r="G346" s="49"/>
      <c r="H346" s="50">
        <v>0</v>
      </c>
      <c r="I346" s="51"/>
      <c r="J346" s="110" t="str">
        <f t="shared" si="15"/>
        <v/>
      </c>
      <c r="K346" s="46"/>
      <c r="M346" s="463" t="str" cm="1">
        <f t="array" ref="M346">IF(AND(L346="On Hold",E346&lt;&gt;"",H346&gt;0),IFERROR(_xlfn.LET(_xlpm.stopSell,EDATE(E346,-'FEFO Analysis'!$B$4),_xlpm.cumAtStop,SUMIFS('Planning Engine'!$F$4:$F$2331,'Planning Engine'!$B$4:$B$2331,A346,'Planning Engine'!$A$4:$A$2331,"&lt;="&amp;_xlpm.stopSell),_xlpm.threshold,_xlpm.cumAtStop-H346,IF(_xlpm.threshold&lt;=0,_xlfn.AGGREGATE(15,6,'Planning Engine'!$A$4:$A$2331/('Planning Engine'!$B$4:$B$2331=A346),1),_xlfn.AGGREGATE(15,6,'Planning Engine'!$A$4:$A$2331/(('Planning Engine'!$B$4:$B$2331=A346)*('Planning Engine'!$AB$4:$AB$2331&gt;_xlpm.threshold)),1))),""),"")</f>
        <v/>
      </c>
      <c r="N346" s="459" t="str">
        <f ca="1">IF(M346="","",M346-TODAY())</f>
        <v/>
      </c>
    </row>
    <row r="347" spans="1:14" ht="14.25" customHeight="1" x14ac:dyDescent="0.35">
      <c r="A347" s="46"/>
      <c r="B347" s="46"/>
      <c r="C347" s="47"/>
      <c r="D347" s="48"/>
      <c r="E347" s="48"/>
      <c r="F347" s="49"/>
      <c r="G347" s="49"/>
      <c r="H347" s="50">
        <v>0</v>
      </c>
      <c r="I347" s="51"/>
      <c r="J347" s="110" t="str">
        <f t="shared" si="15"/>
        <v/>
      </c>
      <c r="K347" s="46"/>
      <c r="M347" s="463" t="str" cm="1">
        <f t="array" ref="M347">IF(AND(L347="On Hold",E347&lt;&gt;"",H347&gt;0),IFERROR(_xlfn.LET(_xlpm.stopSell,EDATE(E347,-'FEFO Analysis'!$B$4),_xlpm.cumAtStop,SUMIFS('Planning Engine'!$F$4:$F$2331,'Planning Engine'!$B$4:$B$2331,A347,'Planning Engine'!$A$4:$A$2331,"&lt;="&amp;_xlpm.stopSell),_xlpm.threshold,_xlpm.cumAtStop-H347,IF(_xlpm.threshold&lt;=0,_xlfn.AGGREGATE(15,6,'Planning Engine'!$A$4:$A$2331/('Planning Engine'!$B$4:$B$2331=A347),1),_xlfn.AGGREGATE(15,6,'Planning Engine'!$A$4:$A$2331/(('Planning Engine'!$B$4:$B$2331=A347)*('Planning Engine'!$AB$4:$AB$2331&gt;_xlpm.threshold)),1))),""),"")</f>
        <v/>
      </c>
      <c r="N347" s="459" t="str">
        <f ca="1">IF(M347="","",M347-TODAY())</f>
        <v/>
      </c>
    </row>
    <row r="348" spans="1:14" ht="14.25" customHeight="1" x14ac:dyDescent="0.35">
      <c r="A348" s="46"/>
      <c r="B348" s="46"/>
      <c r="C348" s="47"/>
      <c r="D348" s="48"/>
      <c r="E348" s="48"/>
      <c r="F348" s="49"/>
      <c r="G348" s="49"/>
      <c r="H348" s="50">
        <v>0</v>
      </c>
      <c r="I348" s="51"/>
      <c r="J348" s="110" t="str">
        <f t="shared" si="15"/>
        <v/>
      </c>
      <c r="K348" s="46"/>
      <c r="M348" s="463" t="str" cm="1">
        <f t="array" ref="M348">IF(AND(L348="On Hold",E348&lt;&gt;"",H348&gt;0),IFERROR(_xlfn.LET(_xlpm.stopSell,EDATE(E348,-'FEFO Analysis'!$B$4),_xlpm.cumAtStop,SUMIFS('Planning Engine'!$F$4:$F$2331,'Planning Engine'!$B$4:$B$2331,A348,'Planning Engine'!$A$4:$A$2331,"&lt;="&amp;_xlpm.stopSell),_xlpm.threshold,_xlpm.cumAtStop-H348,IF(_xlpm.threshold&lt;=0,_xlfn.AGGREGATE(15,6,'Planning Engine'!$A$4:$A$2331/('Planning Engine'!$B$4:$B$2331=A348),1),_xlfn.AGGREGATE(15,6,'Planning Engine'!$A$4:$A$2331/(('Planning Engine'!$B$4:$B$2331=A348)*('Planning Engine'!$AB$4:$AB$2331&gt;_xlpm.threshold)),1))),""),"")</f>
        <v/>
      </c>
      <c r="N348" s="459" t="str">
        <f ca="1">IF(M348="","",M348-TODAY())</f>
        <v/>
      </c>
    </row>
    <row r="349" spans="1:14" ht="14.25" customHeight="1" x14ac:dyDescent="0.35">
      <c r="A349" s="46"/>
      <c r="B349" s="46"/>
      <c r="C349" s="47"/>
      <c r="D349" s="48"/>
      <c r="E349" s="48"/>
      <c r="F349" s="49"/>
      <c r="G349" s="49"/>
      <c r="H349" s="50">
        <v>0</v>
      </c>
      <c r="I349" s="51"/>
      <c r="J349" s="110" t="str">
        <f t="shared" si="15"/>
        <v/>
      </c>
      <c r="K349" s="46"/>
      <c r="M349" s="463" t="str" cm="1">
        <f t="array" ref="M349">IF(AND(L349="On Hold",E349&lt;&gt;"",H349&gt;0),IFERROR(_xlfn.LET(_xlpm.stopSell,EDATE(E349,-'FEFO Analysis'!$B$4),_xlpm.cumAtStop,SUMIFS('Planning Engine'!$F$4:$F$2331,'Planning Engine'!$B$4:$B$2331,A349,'Planning Engine'!$A$4:$A$2331,"&lt;="&amp;_xlpm.stopSell),_xlpm.threshold,_xlpm.cumAtStop-H349,IF(_xlpm.threshold&lt;=0,_xlfn.AGGREGATE(15,6,'Planning Engine'!$A$4:$A$2331/('Planning Engine'!$B$4:$B$2331=A349),1),_xlfn.AGGREGATE(15,6,'Planning Engine'!$A$4:$A$2331/(('Planning Engine'!$B$4:$B$2331=A349)*('Planning Engine'!$AB$4:$AB$2331&gt;_xlpm.threshold)),1))),""),"")</f>
        <v/>
      </c>
      <c r="N349" s="459" t="str">
        <f ca="1">IF(M349="","",M349-TODAY())</f>
        <v/>
      </c>
    </row>
    <row r="350" spans="1:14" ht="14.25" customHeight="1" x14ac:dyDescent="0.35">
      <c r="A350" s="46"/>
      <c r="B350" s="46"/>
      <c r="C350" s="47"/>
      <c r="D350" s="48"/>
      <c r="E350" s="48"/>
      <c r="F350" s="49"/>
      <c r="G350" s="49"/>
      <c r="H350" s="50">
        <v>0</v>
      </c>
      <c r="I350" s="51"/>
      <c r="J350" s="110" t="str">
        <f t="shared" si="15"/>
        <v/>
      </c>
      <c r="K350" s="46"/>
      <c r="M350" s="463" t="str" cm="1">
        <f t="array" ref="M350">IF(AND(L350="On Hold",E350&lt;&gt;"",H350&gt;0),IFERROR(_xlfn.LET(_xlpm.stopSell,EDATE(E350,-'FEFO Analysis'!$B$4),_xlpm.cumAtStop,SUMIFS('Planning Engine'!$F$4:$F$2331,'Planning Engine'!$B$4:$B$2331,A350,'Planning Engine'!$A$4:$A$2331,"&lt;="&amp;_xlpm.stopSell),_xlpm.threshold,_xlpm.cumAtStop-H350,IF(_xlpm.threshold&lt;=0,_xlfn.AGGREGATE(15,6,'Planning Engine'!$A$4:$A$2331/('Planning Engine'!$B$4:$B$2331=A350),1),_xlfn.AGGREGATE(15,6,'Planning Engine'!$A$4:$A$2331/(('Planning Engine'!$B$4:$B$2331=A350)*('Planning Engine'!$AB$4:$AB$2331&gt;_xlpm.threshold)),1))),""),"")</f>
        <v/>
      </c>
      <c r="N350" s="459" t="str">
        <f ca="1">IF(M350="","",M350-TODAY())</f>
        <v/>
      </c>
    </row>
    <row r="351" spans="1:14" ht="14.25" customHeight="1" x14ac:dyDescent="0.35">
      <c r="A351" s="46"/>
      <c r="B351" s="46"/>
      <c r="C351" s="47"/>
      <c r="D351" s="48"/>
      <c r="E351" s="48"/>
      <c r="F351" s="49"/>
      <c r="G351" s="49"/>
      <c r="H351" s="50">
        <v>0</v>
      </c>
      <c r="I351" s="51"/>
      <c r="J351" s="110" t="str">
        <f t="shared" si="15"/>
        <v/>
      </c>
      <c r="K351" s="46"/>
      <c r="M351" s="463" t="str" cm="1">
        <f t="array" ref="M351">IF(AND(L351="On Hold",E351&lt;&gt;"",H351&gt;0),IFERROR(_xlfn.LET(_xlpm.stopSell,EDATE(E351,-'FEFO Analysis'!$B$4),_xlpm.cumAtStop,SUMIFS('Planning Engine'!$F$4:$F$2331,'Planning Engine'!$B$4:$B$2331,A351,'Planning Engine'!$A$4:$A$2331,"&lt;="&amp;_xlpm.stopSell),_xlpm.threshold,_xlpm.cumAtStop-H351,IF(_xlpm.threshold&lt;=0,_xlfn.AGGREGATE(15,6,'Planning Engine'!$A$4:$A$2331/('Planning Engine'!$B$4:$B$2331=A351),1),_xlfn.AGGREGATE(15,6,'Planning Engine'!$A$4:$A$2331/(('Planning Engine'!$B$4:$B$2331=A351)*('Planning Engine'!$AB$4:$AB$2331&gt;_xlpm.threshold)),1))),""),"")</f>
        <v/>
      </c>
      <c r="N351" s="459" t="str">
        <f ca="1">IF(M351="","",M351-TODAY())</f>
        <v/>
      </c>
    </row>
    <row r="352" spans="1:14" ht="14.25" customHeight="1" x14ac:dyDescent="0.35">
      <c r="A352" s="46"/>
      <c r="B352" s="46"/>
      <c r="C352" s="47"/>
      <c r="D352" s="48"/>
      <c r="E352" s="48"/>
      <c r="F352" s="49"/>
      <c r="G352" s="49"/>
      <c r="H352" s="50">
        <v>0</v>
      </c>
      <c r="I352" s="51"/>
      <c r="J352" s="110" t="str">
        <f t="shared" si="15"/>
        <v/>
      </c>
      <c r="K352" s="46"/>
      <c r="M352" s="463" t="str" cm="1">
        <f t="array" ref="M352">IF(AND(L352="On Hold",E352&lt;&gt;"",H352&gt;0),IFERROR(_xlfn.LET(_xlpm.stopSell,EDATE(E352,-'FEFO Analysis'!$B$4),_xlpm.cumAtStop,SUMIFS('Planning Engine'!$F$4:$F$2331,'Planning Engine'!$B$4:$B$2331,A352,'Planning Engine'!$A$4:$A$2331,"&lt;="&amp;_xlpm.stopSell),_xlpm.threshold,_xlpm.cumAtStop-H352,IF(_xlpm.threshold&lt;=0,_xlfn.AGGREGATE(15,6,'Planning Engine'!$A$4:$A$2331/('Planning Engine'!$B$4:$B$2331=A352),1),_xlfn.AGGREGATE(15,6,'Planning Engine'!$A$4:$A$2331/(('Planning Engine'!$B$4:$B$2331=A352)*('Planning Engine'!$AB$4:$AB$2331&gt;_xlpm.threshold)),1))),""),"")</f>
        <v/>
      </c>
      <c r="N352" s="459" t="str">
        <f ca="1">IF(M352="","",M352-TODAY())</f>
        <v/>
      </c>
    </row>
    <row r="353" spans="1:14" ht="14.25" customHeight="1" x14ac:dyDescent="0.35">
      <c r="A353" s="46"/>
      <c r="B353" s="46"/>
      <c r="C353" s="47"/>
      <c r="D353" s="48"/>
      <c r="E353" s="48"/>
      <c r="F353" s="49"/>
      <c r="G353" s="49"/>
      <c r="H353" s="50">
        <v>0</v>
      </c>
      <c r="I353" s="51"/>
      <c r="J353" s="110" t="str">
        <f t="shared" si="15"/>
        <v/>
      </c>
      <c r="K353" s="46"/>
      <c r="M353" s="463" t="str" cm="1">
        <f t="array" ref="M353">IF(AND(L353="On Hold",E353&lt;&gt;"",H353&gt;0),IFERROR(_xlfn.LET(_xlpm.stopSell,EDATE(E353,-'FEFO Analysis'!$B$4),_xlpm.cumAtStop,SUMIFS('Planning Engine'!$F$4:$F$2331,'Planning Engine'!$B$4:$B$2331,A353,'Planning Engine'!$A$4:$A$2331,"&lt;="&amp;_xlpm.stopSell),_xlpm.threshold,_xlpm.cumAtStop-H353,IF(_xlpm.threshold&lt;=0,_xlfn.AGGREGATE(15,6,'Planning Engine'!$A$4:$A$2331/('Planning Engine'!$B$4:$B$2331=A353),1),_xlfn.AGGREGATE(15,6,'Planning Engine'!$A$4:$A$2331/(('Planning Engine'!$B$4:$B$2331=A353)*('Planning Engine'!$AB$4:$AB$2331&gt;_xlpm.threshold)),1))),""),"")</f>
        <v/>
      </c>
      <c r="N353" s="459" t="str">
        <f ca="1">IF(M353="","",M353-TODAY())</f>
        <v/>
      </c>
    </row>
    <row r="354" spans="1:14" ht="14.25" customHeight="1" x14ac:dyDescent="0.35">
      <c r="A354" s="46"/>
      <c r="B354" s="46"/>
      <c r="C354" s="47"/>
      <c r="D354" s="48"/>
      <c r="E354" s="48"/>
      <c r="F354" s="49"/>
      <c r="G354" s="49"/>
      <c r="H354" s="50">
        <v>0</v>
      </c>
      <c r="I354" s="51"/>
      <c r="J354" s="110" t="str">
        <f t="shared" si="15"/>
        <v/>
      </c>
      <c r="K354" s="46"/>
      <c r="M354" s="463" t="str" cm="1">
        <f t="array" ref="M354">IF(AND(L354="On Hold",E354&lt;&gt;"",H354&gt;0),IFERROR(_xlfn.LET(_xlpm.stopSell,EDATE(E354,-'FEFO Analysis'!$B$4),_xlpm.cumAtStop,SUMIFS('Planning Engine'!$F$4:$F$2331,'Planning Engine'!$B$4:$B$2331,A354,'Planning Engine'!$A$4:$A$2331,"&lt;="&amp;_xlpm.stopSell),_xlpm.threshold,_xlpm.cumAtStop-H354,IF(_xlpm.threshold&lt;=0,_xlfn.AGGREGATE(15,6,'Planning Engine'!$A$4:$A$2331/('Planning Engine'!$B$4:$B$2331=A354),1),_xlfn.AGGREGATE(15,6,'Planning Engine'!$A$4:$A$2331/(('Planning Engine'!$B$4:$B$2331=A354)*('Planning Engine'!$AB$4:$AB$2331&gt;_xlpm.threshold)),1))),""),"")</f>
        <v/>
      </c>
      <c r="N354" s="459" t="str">
        <f ca="1">IF(M354="","",M354-TODAY())</f>
        <v/>
      </c>
    </row>
    <row r="355" spans="1:14" ht="14.25" customHeight="1" x14ac:dyDescent="0.35">
      <c r="A355" s="46"/>
      <c r="B355" s="46"/>
      <c r="C355" s="47"/>
      <c r="D355" s="48"/>
      <c r="E355" s="48"/>
      <c r="F355" s="49"/>
      <c r="G355" s="49"/>
      <c r="H355" s="50">
        <v>0</v>
      </c>
      <c r="I355" s="51"/>
      <c r="J355" s="110" t="str">
        <f t="shared" si="15"/>
        <v/>
      </c>
      <c r="K355" s="46"/>
      <c r="M355" s="463" t="str" cm="1">
        <f t="array" ref="M355">IF(AND(L355="On Hold",E355&lt;&gt;"",H355&gt;0),IFERROR(_xlfn.LET(_xlpm.stopSell,EDATE(E355,-'FEFO Analysis'!$B$4),_xlpm.cumAtStop,SUMIFS('Planning Engine'!$F$4:$F$2331,'Planning Engine'!$B$4:$B$2331,A355,'Planning Engine'!$A$4:$A$2331,"&lt;="&amp;_xlpm.stopSell),_xlpm.threshold,_xlpm.cumAtStop-H355,IF(_xlpm.threshold&lt;=0,_xlfn.AGGREGATE(15,6,'Planning Engine'!$A$4:$A$2331/('Planning Engine'!$B$4:$B$2331=A355),1),_xlfn.AGGREGATE(15,6,'Planning Engine'!$A$4:$A$2331/(('Planning Engine'!$B$4:$B$2331=A355)*('Planning Engine'!$AB$4:$AB$2331&gt;_xlpm.threshold)),1))),""),"")</f>
        <v/>
      </c>
      <c r="N355" s="459" t="str">
        <f ca="1">IF(M355="","",M355-TODAY())</f>
        <v/>
      </c>
    </row>
    <row r="356" spans="1:14" ht="14.25" customHeight="1" x14ac:dyDescent="0.35">
      <c r="A356" s="46"/>
      <c r="B356" s="46"/>
      <c r="C356" s="47"/>
      <c r="D356" s="48"/>
      <c r="E356" s="48"/>
      <c r="F356" s="49"/>
      <c r="G356" s="49"/>
      <c r="H356" s="50">
        <v>0</v>
      </c>
      <c r="I356" s="51"/>
      <c r="J356" s="110" t="str">
        <f t="shared" si="15"/>
        <v/>
      </c>
      <c r="K356" s="46"/>
      <c r="M356" s="463" t="str" cm="1">
        <f t="array" ref="M356">IF(AND(L356="On Hold",E356&lt;&gt;"",H356&gt;0),IFERROR(_xlfn.LET(_xlpm.stopSell,EDATE(E356,-'FEFO Analysis'!$B$4),_xlpm.cumAtStop,SUMIFS('Planning Engine'!$F$4:$F$2331,'Planning Engine'!$B$4:$B$2331,A356,'Planning Engine'!$A$4:$A$2331,"&lt;="&amp;_xlpm.stopSell),_xlpm.threshold,_xlpm.cumAtStop-H356,IF(_xlpm.threshold&lt;=0,_xlfn.AGGREGATE(15,6,'Planning Engine'!$A$4:$A$2331/('Planning Engine'!$B$4:$B$2331=A356),1),_xlfn.AGGREGATE(15,6,'Planning Engine'!$A$4:$A$2331/(('Planning Engine'!$B$4:$B$2331=A356)*('Planning Engine'!$AB$4:$AB$2331&gt;_xlpm.threshold)),1))),""),"")</f>
        <v/>
      </c>
      <c r="N356" s="459" t="str">
        <f ca="1">IF(M356="","",M356-TODAY())</f>
        <v/>
      </c>
    </row>
    <row r="357" spans="1:14" ht="14.25" customHeight="1" x14ac:dyDescent="0.35">
      <c r="A357" s="46"/>
      <c r="B357" s="46"/>
      <c r="C357" s="47"/>
      <c r="D357" s="48"/>
      <c r="E357" s="48"/>
      <c r="F357" s="49"/>
      <c r="G357" s="49"/>
      <c r="H357" s="50">
        <v>0</v>
      </c>
      <c r="I357" s="51"/>
      <c r="J357" s="110" t="str">
        <f t="shared" si="15"/>
        <v/>
      </c>
      <c r="K357" s="46"/>
      <c r="M357" s="463" t="str" cm="1">
        <f t="array" ref="M357">IF(AND(L357="On Hold",E357&lt;&gt;"",H357&gt;0),IFERROR(_xlfn.LET(_xlpm.stopSell,EDATE(E357,-'FEFO Analysis'!$B$4),_xlpm.cumAtStop,SUMIFS('Planning Engine'!$F$4:$F$2331,'Planning Engine'!$B$4:$B$2331,A357,'Planning Engine'!$A$4:$A$2331,"&lt;="&amp;_xlpm.stopSell),_xlpm.threshold,_xlpm.cumAtStop-H357,IF(_xlpm.threshold&lt;=0,_xlfn.AGGREGATE(15,6,'Planning Engine'!$A$4:$A$2331/('Planning Engine'!$B$4:$B$2331=A357),1),_xlfn.AGGREGATE(15,6,'Planning Engine'!$A$4:$A$2331/(('Planning Engine'!$B$4:$B$2331=A357)*('Planning Engine'!$AB$4:$AB$2331&gt;_xlpm.threshold)),1))),""),"")</f>
        <v/>
      </c>
      <c r="N357" s="459" t="str">
        <f ca="1">IF(M357="","",M357-TODAY())</f>
        <v/>
      </c>
    </row>
    <row r="358" spans="1:14" ht="14.25" customHeight="1" x14ac:dyDescent="0.35">
      <c r="A358" s="46"/>
      <c r="B358" s="46"/>
      <c r="C358" s="47"/>
      <c r="D358" s="48"/>
      <c r="E358" s="48"/>
      <c r="F358" s="49"/>
      <c r="G358" s="49"/>
      <c r="H358" s="50">
        <v>0</v>
      </c>
      <c r="I358" s="51"/>
      <c r="J358" s="110" t="str">
        <f t="shared" si="15"/>
        <v/>
      </c>
      <c r="K358" s="46"/>
      <c r="M358" s="463" t="str" cm="1">
        <f t="array" ref="M358">IF(AND(L358="On Hold",E358&lt;&gt;"",H358&gt;0),IFERROR(_xlfn.LET(_xlpm.stopSell,EDATE(E358,-'FEFO Analysis'!$B$4),_xlpm.cumAtStop,SUMIFS('Planning Engine'!$F$4:$F$2331,'Planning Engine'!$B$4:$B$2331,A358,'Planning Engine'!$A$4:$A$2331,"&lt;="&amp;_xlpm.stopSell),_xlpm.threshold,_xlpm.cumAtStop-H358,IF(_xlpm.threshold&lt;=0,_xlfn.AGGREGATE(15,6,'Planning Engine'!$A$4:$A$2331/('Planning Engine'!$B$4:$B$2331=A358),1),_xlfn.AGGREGATE(15,6,'Planning Engine'!$A$4:$A$2331/(('Planning Engine'!$B$4:$B$2331=A358)*('Planning Engine'!$AB$4:$AB$2331&gt;_xlpm.threshold)),1))),""),"")</f>
        <v/>
      </c>
      <c r="N358" s="459" t="str">
        <f ca="1">IF(M358="","",M358-TODAY())</f>
        <v/>
      </c>
    </row>
    <row r="359" spans="1:14" ht="14.25" customHeight="1" x14ac:dyDescent="0.35">
      <c r="A359" s="46"/>
      <c r="B359" s="46"/>
      <c r="C359" s="47"/>
      <c r="D359" s="48"/>
      <c r="E359" s="48"/>
      <c r="F359" s="49"/>
      <c r="G359" s="49"/>
      <c r="H359" s="50">
        <v>0</v>
      </c>
      <c r="I359" s="51"/>
      <c r="J359" s="110" t="str">
        <f t="shared" si="15"/>
        <v/>
      </c>
      <c r="K359" s="46"/>
      <c r="M359" s="463" t="str" cm="1">
        <f t="array" ref="M359">IF(AND(L359="On Hold",E359&lt;&gt;"",H359&gt;0),IFERROR(_xlfn.LET(_xlpm.stopSell,EDATE(E359,-'FEFO Analysis'!$B$4),_xlpm.cumAtStop,SUMIFS('Planning Engine'!$F$4:$F$2331,'Planning Engine'!$B$4:$B$2331,A359,'Planning Engine'!$A$4:$A$2331,"&lt;="&amp;_xlpm.stopSell),_xlpm.threshold,_xlpm.cumAtStop-H359,IF(_xlpm.threshold&lt;=0,_xlfn.AGGREGATE(15,6,'Planning Engine'!$A$4:$A$2331/('Planning Engine'!$B$4:$B$2331=A359),1),_xlfn.AGGREGATE(15,6,'Planning Engine'!$A$4:$A$2331/(('Planning Engine'!$B$4:$B$2331=A359)*('Planning Engine'!$AB$4:$AB$2331&gt;_xlpm.threshold)),1))),""),"")</f>
        <v/>
      </c>
      <c r="N359" s="459" t="str">
        <f ca="1">IF(M359="","",M359-TODAY())</f>
        <v/>
      </c>
    </row>
    <row r="360" spans="1:14" ht="14.25" customHeight="1" x14ac:dyDescent="0.35">
      <c r="A360" s="46"/>
      <c r="B360" s="46"/>
      <c r="C360" s="47"/>
      <c r="D360" s="48"/>
      <c r="E360" s="48"/>
      <c r="F360" s="49"/>
      <c r="G360" s="49"/>
      <c r="H360" s="50">
        <v>0</v>
      </c>
      <c r="I360" s="51"/>
      <c r="J360" s="110" t="str">
        <f t="shared" si="15"/>
        <v/>
      </c>
      <c r="K360" s="46"/>
      <c r="M360" s="463" t="str" cm="1">
        <f t="array" ref="M360">IF(AND(L360="On Hold",E360&lt;&gt;"",H360&gt;0),IFERROR(_xlfn.LET(_xlpm.stopSell,EDATE(E360,-'FEFO Analysis'!$B$4),_xlpm.cumAtStop,SUMIFS('Planning Engine'!$F$4:$F$2331,'Planning Engine'!$B$4:$B$2331,A360,'Planning Engine'!$A$4:$A$2331,"&lt;="&amp;_xlpm.stopSell),_xlpm.threshold,_xlpm.cumAtStop-H360,IF(_xlpm.threshold&lt;=0,_xlfn.AGGREGATE(15,6,'Planning Engine'!$A$4:$A$2331/('Planning Engine'!$B$4:$B$2331=A360),1),_xlfn.AGGREGATE(15,6,'Planning Engine'!$A$4:$A$2331/(('Planning Engine'!$B$4:$B$2331=A360)*('Planning Engine'!$AB$4:$AB$2331&gt;_xlpm.threshold)),1))),""),"")</f>
        <v/>
      </c>
      <c r="N360" s="459" t="str">
        <f ca="1">IF(M360="","",M360-TODAY())</f>
        <v/>
      </c>
    </row>
    <row r="361" spans="1:14" ht="14.25" customHeight="1" x14ac:dyDescent="0.35">
      <c r="A361" s="46"/>
      <c r="B361" s="46"/>
      <c r="C361" s="47"/>
      <c r="D361" s="48"/>
      <c r="E361" s="48"/>
      <c r="F361" s="49"/>
      <c r="G361" s="49"/>
      <c r="H361" s="50">
        <v>0</v>
      </c>
      <c r="I361" s="51"/>
      <c r="J361" s="110" t="str">
        <f t="shared" si="15"/>
        <v/>
      </c>
      <c r="K361" s="46"/>
      <c r="M361" s="463" t="str" cm="1">
        <f t="array" ref="M361">IF(AND(L361="On Hold",E361&lt;&gt;"",H361&gt;0),IFERROR(_xlfn.LET(_xlpm.stopSell,EDATE(E361,-'FEFO Analysis'!$B$4),_xlpm.cumAtStop,SUMIFS('Planning Engine'!$F$4:$F$2331,'Planning Engine'!$B$4:$B$2331,A361,'Planning Engine'!$A$4:$A$2331,"&lt;="&amp;_xlpm.stopSell),_xlpm.threshold,_xlpm.cumAtStop-H361,IF(_xlpm.threshold&lt;=0,_xlfn.AGGREGATE(15,6,'Planning Engine'!$A$4:$A$2331/('Planning Engine'!$B$4:$B$2331=A361),1),_xlfn.AGGREGATE(15,6,'Planning Engine'!$A$4:$A$2331/(('Planning Engine'!$B$4:$B$2331=A361)*('Planning Engine'!$AB$4:$AB$2331&gt;_xlpm.threshold)),1))),""),"")</f>
        <v/>
      </c>
      <c r="N361" s="459" t="str">
        <f ca="1">IF(M361="","",M361-TODAY())</f>
        <v/>
      </c>
    </row>
    <row r="362" spans="1:14" ht="14.25" customHeight="1" x14ac:dyDescent="0.35">
      <c r="A362" s="46"/>
      <c r="B362" s="46"/>
      <c r="C362" s="47"/>
      <c r="D362" s="48"/>
      <c r="E362" s="48"/>
      <c r="F362" s="49"/>
      <c r="G362" s="49"/>
      <c r="H362" s="50">
        <v>0</v>
      </c>
      <c r="I362" s="51"/>
      <c r="J362" s="110" t="str">
        <f t="shared" si="15"/>
        <v/>
      </c>
      <c r="K362" s="46"/>
      <c r="M362" s="463" t="str" cm="1">
        <f t="array" ref="M362">IF(AND(L362="On Hold",E362&lt;&gt;"",H362&gt;0),IFERROR(_xlfn.LET(_xlpm.stopSell,EDATE(E362,-'FEFO Analysis'!$B$4),_xlpm.cumAtStop,SUMIFS('Planning Engine'!$F$4:$F$2331,'Planning Engine'!$B$4:$B$2331,A362,'Planning Engine'!$A$4:$A$2331,"&lt;="&amp;_xlpm.stopSell),_xlpm.threshold,_xlpm.cumAtStop-H362,IF(_xlpm.threshold&lt;=0,_xlfn.AGGREGATE(15,6,'Planning Engine'!$A$4:$A$2331/('Planning Engine'!$B$4:$B$2331=A362),1),_xlfn.AGGREGATE(15,6,'Planning Engine'!$A$4:$A$2331/(('Planning Engine'!$B$4:$B$2331=A362)*('Planning Engine'!$AB$4:$AB$2331&gt;_xlpm.threshold)),1))),""),"")</f>
        <v/>
      </c>
      <c r="N362" s="459" t="str">
        <f ca="1">IF(M362="","",M362-TODAY())</f>
        <v/>
      </c>
    </row>
    <row r="363" spans="1:14" ht="14.25" customHeight="1" x14ac:dyDescent="0.35">
      <c r="A363" s="46"/>
      <c r="B363" s="46"/>
      <c r="C363" s="47"/>
      <c r="D363" s="48"/>
      <c r="E363" s="48"/>
      <c r="F363" s="49"/>
      <c r="G363" s="49"/>
      <c r="H363" s="50">
        <v>0</v>
      </c>
      <c r="I363" s="51"/>
      <c r="J363" s="110" t="str">
        <f t="shared" si="15"/>
        <v/>
      </c>
      <c r="K363" s="46"/>
      <c r="M363" s="463" t="str" cm="1">
        <f t="array" ref="M363">IF(AND(L363="On Hold",E363&lt;&gt;"",H363&gt;0),IFERROR(_xlfn.LET(_xlpm.stopSell,EDATE(E363,-'FEFO Analysis'!$B$4),_xlpm.cumAtStop,SUMIFS('Planning Engine'!$F$4:$F$2331,'Planning Engine'!$B$4:$B$2331,A363,'Planning Engine'!$A$4:$A$2331,"&lt;="&amp;_xlpm.stopSell),_xlpm.threshold,_xlpm.cumAtStop-H363,IF(_xlpm.threshold&lt;=0,_xlfn.AGGREGATE(15,6,'Planning Engine'!$A$4:$A$2331/('Planning Engine'!$B$4:$B$2331=A363),1),_xlfn.AGGREGATE(15,6,'Planning Engine'!$A$4:$A$2331/(('Planning Engine'!$B$4:$B$2331=A363)*('Planning Engine'!$AB$4:$AB$2331&gt;_xlpm.threshold)),1))),""),"")</f>
        <v/>
      </c>
      <c r="N363" s="459" t="str">
        <f ca="1">IF(M363="","",M363-TODAY())</f>
        <v/>
      </c>
    </row>
    <row r="364" spans="1:14" ht="14.25" customHeight="1" x14ac:dyDescent="0.35">
      <c r="A364" s="46"/>
      <c r="B364" s="46"/>
      <c r="C364" s="47"/>
      <c r="D364" s="48"/>
      <c r="E364" s="48"/>
      <c r="F364" s="49"/>
      <c r="G364" s="49"/>
      <c r="H364" s="50">
        <v>0</v>
      </c>
      <c r="I364" s="51"/>
      <c r="J364" s="110" t="str">
        <f t="shared" si="15"/>
        <v/>
      </c>
      <c r="K364" s="46"/>
      <c r="M364" s="463" t="str" cm="1">
        <f t="array" ref="M364">IF(AND(L364="On Hold",E364&lt;&gt;"",H364&gt;0),IFERROR(_xlfn.LET(_xlpm.stopSell,EDATE(E364,-'FEFO Analysis'!$B$4),_xlpm.cumAtStop,SUMIFS('Planning Engine'!$F$4:$F$2331,'Planning Engine'!$B$4:$B$2331,A364,'Planning Engine'!$A$4:$A$2331,"&lt;="&amp;_xlpm.stopSell),_xlpm.threshold,_xlpm.cumAtStop-H364,IF(_xlpm.threshold&lt;=0,_xlfn.AGGREGATE(15,6,'Planning Engine'!$A$4:$A$2331/('Planning Engine'!$B$4:$B$2331=A364),1),_xlfn.AGGREGATE(15,6,'Planning Engine'!$A$4:$A$2331/(('Planning Engine'!$B$4:$B$2331=A364)*('Planning Engine'!$AB$4:$AB$2331&gt;_xlpm.threshold)),1))),""),"")</f>
        <v/>
      </c>
      <c r="N364" s="459" t="str">
        <f ca="1">IF(M364="","",M364-TODAY())</f>
        <v/>
      </c>
    </row>
    <row r="365" spans="1:14" ht="14.25" customHeight="1" x14ac:dyDescent="0.35">
      <c r="A365" s="46"/>
      <c r="B365" s="46"/>
      <c r="C365" s="47"/>
      <c r="D365" s="48"/>
      <c r="E365" s="48"/>
      <c r="F365" s="49"/>
      <c r="G365" s="49"/>
      <c r="H365" s="50">
        <v>0</v>
      </c>
      <c r="I365" s="51"/>
      <c r="J365" s="110" t="str">
        <f t="shared" si="15"/>
        <v/>
      </c>
      <c r="K365" s="46"/>
      <c r="M365" s="463" t="str" cm="1">
        <f t="array" ref="M365">IF(AND(L365="On Hold",E365&lt;&gt;"",H365&gt;0),IFERROR(_xlfn.LET(_xlpm.stopSell,EDATE(E365,-'FEFO Analysis'!$B$4),_xlpm.cumAtStop,SUMIFS('Planning Engine'!$F$4:$F$2331,'Planning Engine'!$B$4:$B$2331,A365,'Planning Engine'!$A$4:$A$2331,"&lt;="&amp;_xlpm.stopSell),_xlpm.threshold,_xlpm.cumAtStop-H365,IF(_xlpm.threshold&lt;=0,_xlfn.AGGREGATE(15,6,'Planning Engine'!$A$4:$A$2331/('Planning Engine'!$B$4:$B$2331=A365),1),_xlfn.AGGREGATE(15,6,'Planning Engine'!$A$4:$A$2331/(('Planning Engine'!$B$4:$B$2331=A365)*('Planning Engine'!$AB$4:$AB$2331&gt;_xlpm.threshold)),1))),""),"")</f>
        <v/>
      </c>
      <c r="N365" s="459" t="str">
        <f ca="1">IF(M365="","",M365-TODAY())</f>
        <v/>
      </c>
    </row>
    <row r="366" spans="1:14" ht="14.25" customHeight="1" x14ac:dyDescent="0.35">
      <c r="A366" s="46"/>
      <c r="B366" s="46"/>
      <c r="C366" s="47"/>
      <c r="D366" s="48"/>
      <c r="E366" s="48"/>
      <c r="F366" s="49"/>
      <c r="G366" s="49"/>
      <c r="H366" s="50">
        <v>0</v>
      </c>
      <c r="I366" s="51"/>
      <c r="J366" s="110" t="str">
        <f t="shared" si="15"/>
        <v/>
      </c>
      <c r="K366" s="46"/>
      <c r="M366" s="463" t="str" cm="1">
        <f t="array" ref="M366">IF(AND(L366="On Hold",E366&lt;&gt;"",H366&gt;0),IFERROR(_xlfn.LET(_xlpm.stopSell,EDATE(E366,-'FEFO Analysis'!$B$4),_xlpm.cumAtStop,SUMIFS('Planning Engine'!$F$4:$F$2331,'Planning Engine'!$B$4:$B$2331,A366,'Planning Engine'!$A$4:$A$2331,"&lt;="&amp;_xlpm.stopSell),_xlpm.threshold,_xlpm.cumAtStop-H366,IF(_xlpm.threshold&lt;=0,_xlfn.AGGREGATE(15,6,'Planning Engine'!$A$4:$A$2331/('Planning Engine'!$B$4:$B$2331=A366),1),_xlfn.AGGREGATE(15,6,'Planning Engine'!$A$4:$A$2331/(('Planning Engine'!$B$4:$B$2331=A366)*('Planning Engine'!$AB$4:$AB$2331&gt;_xlpm.threshold)),1))),""),"")</f>
        <v/>
      </c>
      <c r="N366" s="459" t="str">
        <f ca="1">IF(M366="","",M366-TODAY())</f>
        <v/>
      </c>
    </row>
    <row r="367" spans="1:14" ht="14.25" customHeight="1" x14ac:dyDescent="0.35">
      <c r="A367" s="46"/>
      <c r="B367" s="46"/>
      <c r="C367" s="47"/>
      <c r="D367" s="48"/>
      <c r="E367" s="48"/>
      <c r="F367" s="49"/>
      <c r="G367" s="49"/>
      <c r="H367" s="50">
        <v>0</v>
      </c>
      <c r="I367" s="51"/>
      <c r="J367" s="110" t="str">
        <f t="shared" si="15"/>
        <v/>
      </c>
      <c r="K367" s="46"/>
      <c r="M367" s="463" t="str" cm="1">
        <f t="array" ref="M367">IF(AND(L367="On Hold",E367&lt;&gt;"",H367&gt;0),IFERROR(_xlfn.LET(_xlpm.stopSell,EDATE(E367,-'FEFO Analysis'!$B$4),_xlpm.cumAtStop,SUMIFS('Planning Engine'!$F$4:$F$2331,'Planning Engine'!$B$4:$B$2331,A367,'Planning Engine'!$A$4:$A$2331,"&lt;="&amp;_xlpm.stopSell),_xlpm.threshold,_xlpm.cumAtStop-H367,IF(_xlpm.threshold&lt;=0,_xlfn.AGGREGATE(15,6,'Planning Engine'!$A$4:$A$2331/('Planning Engine'!$B$4:$B$2331=A367),1),_xlfn.AGGREGATE(15,6,'Planning Engine'!$A$4:$A$2331/(('Planning Engine'!$B$4:$B$2331=A367)*('Planning Engine'!$AB$4:$AB$2331&gt;_xlpm.threshold)),1))),""),"")</f>
        <v/>
      </c>
      <c r="N367" s="459" t="str">
        <f ca="1">IF(M367="","",M367-TODAY())</f>
        <v/>
      </c>
    </row>
    <row r="368" spans="1:14" ht="14.25" customHeight="1" x14ac:dyDescent="0.35">
      <c r="A368" s="46"/>
      <c r="B368" s="46"/>
      <c r="C368" s="47"/>
      <c r="D368" s="48"/>
      <c r="E368" s="48"/>
      <c r="F368" s="49"/>
      <c r="G368" s="49"/>
      <c r="H368" s="50">
        <v>0</v>
      </c>
      <c r="I368" s="51"/>
      <c r="J368" s="110" t="str">
        <f t="shared" si="15"/>
        <v/>
      </c>
      <c r="K368" s="46"/>
      <c r="M368" s="463" t="str" cm="1">
        <f t="array" ref="M368">IF(AND(L368="On Hold",E368&lt;&gt;"",H368&gt;0),IFERROR(_xlfn.LET(_xlpm.stopSell,EDATE(E368,-'FEFO Analysis'!$B$4),_xlpm.cumAtStop,SUMIFS('Planning Engine'!$F$4:$F$2331,'Planning Engine'!$B$4:$B$2331,A368,'Planning Engine'!$A$4:$A$2331,"&lt;="&amp;_xlpm.stopSell),_xlpm.threshold,_xlpm.cumAtStop-H368,IF(_xlpm.threshold&lt;=0,_xlfn.AGGREGATE(15,6,'Planning Engine'!$A$4:$A$2331/('Planning Engine'!$B$4:$B$2331=A368),1),_xlfn.AGGREGATE(15,6,'Planning Engine'!$A$4:$A$2331/(('Planning Engine'!$B$4:$B$2331=A368)*('Planning Engine'!$AB$4:$AB$2331&gt;_xlpm.threshold)),1))),""),"")</f>
        <v/>
      </c>
      <c r="N368" s="459" t="str">
        <f ca="1">IF(M368="","",M368-TODAY())</f>
        <v/>
      </c>
    </row>
    <row r="369" spans="1:14" ht="14.25" customHeight="1" x14ac:dyDescent="0.35">
      <c r="A369" s="46"/>
      <c r="B369" s="46"/>
      <c r="C369" s="47"/>
      <c r="D369" s="48"/>
      <c r="E369" s="48"/>
      <c r="F369" s="49"/>
      <c r="G369" s="49"/>
      <c r="H369" s="50">
        <v>0</v>
      </c>
      <c r="I369" s="51"/>
      <c r="J369" s="110" t="str">
        <f t="shared" si="15"/>
        <v/>
      </c>
      <c r="K369" s="46"/>
      <c r="M369" s="463" t="str" cm="1">
        <f t="array" ref="M369">IF(AND(L369="On Hold",E369&lt;&gt;"",H369&gt;0),IFERROR(_xlfn.LET(_xlpm.stopSell,EDATE(E369,-'FEFO Analysis'!$B$4),_xlpm.cumAtStop,SUMIFS('Planning Engine'!$F$4:$F$2331,'Planning Engine'!$B$4:$B$2331,A369,'Planning Engine'!$A$4:$A$2331,"&lt;="&amp;_xlpm.stopSell),_xlpm.threshold,_xlpm.cumAtStop-H369,IF(_xlpm.threshold&lt;=0,_xlfn.AGGREGATE(15,6,'Planning Engine'!$A$4:$A$2331/('Planning Engine'!$B$4:$B$2331=A369),1),_xlfn.AGGREGATE(15,6,'Planning Engine'!$A$4:$A$2331/(('Planning Engine'!$B$4:$B$2331=A369)*('Planning Engine'!$AB$4:$AB$2331&gt;_xlpm.threshold)),1))),""),"")</f>
        <v/>
      </c>
      <c r="N369" s="459" t="str">
        <f ca="1">IF(M369="","",M369-TODAY())</f>
        <v/>
      </c>
    </row>
    <row r="370" spans="1:14" ht="14.25" customHeight="1" x14ac:dyDescent="0.35">
      <c r="A370" s="46"/>
      <c r="B370" s="46"/>
      <c r="C370" s="47"/>
      <c r="D370" s="48"/>
      <c r="E370" s="48"/>
      <c r="F370" s="49"/>
      <c r="G370" s="49"/>
      <c r="H370" s="50">
        <v>0</v>
      </c>
      <c r="I370" s="51"/>
      <c r="J370" s="110" t="str">
        <f t="shared" si="15"/>
        <v/>
      </c>
      <c r="K370" s="46"/>
      <c r="M370" s="463" t="str" cm="1">
        <f t="array" ref="M370">IF(AND(L370="On Hold",E370&lt;&gt;"",H370&gt;0),IFERROR(_xlfn.LET(_xlpm.stopSell,EDATE(E370,-'FEFO Analysis'!$B$4),_xlpm.cumAtStop,SUMIFS('Planning Engine'!$F$4:$F$2331,'Planning Engine'!$B$4:$B$2331,A370,'Planning Engine'!$A$4:$A$2331,"&lt;="&amp;_xlpm.stopSell),_xlpm.threshold,_xlpm.cumAtStop-H370,IF(_xlpm.threshold&lt;=0,_xlfn.AGGREGATE(15,6,'Planning Engine'!$A$4:$A$2331/('Planning Engine'!$B$4:$B$2331=A370),1),_xlfn.AGGREGATE(15,6,'Planning Engine'!$A$4:$A$2331/(('Planning Engine'!$B$4:$B$2331=A370)*('Planning Engine'!$AB$4:$AB$2331&gt;_xlpm.threshold)),1))),""),"")</f>
        <v/>
      </c>
      <c r="N370" s="459" t="str">
        <f ca="1">IF(M370="","",M370-TODAY())</f>
        <v/>
      </c>
    </row>
    <row r="371" spans="1:14" ht="14.25" customHeight="1" x14ac:dyDescent="0.35">
      <c r="A371" s="46"/>
      <c r="B371" s="46"/>
      <c r="C371" s="47"/>
      <c r="D371" s="48"/>
      <c r="E371" s="48"/>
      <c r="F371" s="49"/>
      <c r="G371" s="49"/>
      <c r="H371" s="50">
        <v>0</v>
      </c>
      <c r="I371" s="51"/>
      <c r="J371" s="110" t="str">
        <f t="shared" si="15"/>
        <v/>
      </c>
      <c r="K371" s="46"/>
      <c r="M371" s="463" t="str" cm="1">
        <f t="array" ref="M371">IF(AND(L371="On Hold",E371&lt;&gt;"",H371&gt;0),IFERROR(_xlfn.LET(_xlpm.stopSell,EDATE(E371,-'FEFO Analysis'!$B$4),_xlpm.cumAtStop,SUMIFS('Planning Engine'!$F$4:$F$2331,'Planning Engine'!$B$4:$B$2331,A371,'Planning Engine'!$A$4:$A$2331,"&lt;="&amp;_xlpm.stopSell),_xlpm.threshold,_xlpm.cumAtStop-H371,IF(_xlpm.threshold&lt;=0,_xlfn.AGGREGATE(15,6,'Planning Engine'!$A$4:$A$2331/('Planning Engine'!$B$4:$B$2331=A371),1),_xlfn.AGGREGATE(15,6,'Planning Engine'!$A$4:$A$2331/(('Planning Engine'!$B$4:$B$2331=A371)*('Planning Engine'!$AB$4:$AB$2331&gt;_xlpm.threshold)),1))),""),"")</f>
        <v/>
      </c>
      <c r="N371" s="459" t="str">
        <f ca="1">IF(M371="","",M371-TODAY())</f>
        <v/>
      </c>
    </row>
    <row r="372" spans="1:14" ht="14.25" customHeight="1" x14ac:dyDescent="0.35">
      <c r="A372" s="46"/>
      <c r="B372" s="46"/>
      <c r="C372" s="47"/>
      <c r="D372" s="48"/>
      <c r="E372" s="48"/>
      <c r="F372" s="49"/>
      <c r="G372" s="49"/>
      <c r="H372" s="50">
        <v>0</v>
      </c>
      <c r="I372" s="51"/>
      <c r="J372" s="110" t="str">
        <f t="shared" si="15"/>
        <v/>
      </c>
      <c r="K372" s="46"/>
      <c r="M372" s="463" t="str" cm="1">
        <f t="array" ref="M372">IF(AND(L372="On Hold",E372&lt;&gt;"",H372&gt;0),IFERROR(_xlfn.LET(_xlpm.stopSell,EDATE(E372,-'FEFO Analysis'!$B$4),_xlpm.cumAtStop,SUMIFS('Planning Engine'!$F$4:$F$2331,'Planning Engine'!$B$4:$B$2331,A372,'Planning Engine'!$A$4:$A$2331,"&lt;="&amp;_xlpm.stopSell),_xlpm.threshold,_xlpm.cumAtStop-H372,IF(_xlpm.threshold&lt;=0,_xlfn.AGGREGATE(15,6,'Planning Engine'!$A$4:$A$2331/('Planning Engine'!$B$4:$B$2331=A372),1),_xlfn.AGGREGATE(15,6,'Planning Engine'!$A$4:$A$2331/(('Planning Engine'!$B$4:$B$2331=A372)*('Planning Engine'!$AB$4:$AB$2331&gt;_xlpm.threshold)),1))),""),"")</f>
        <v/>
      </c>
      <c r="N372" s="459" t="str">
        <f ca="1">IF(M372="","",M372-TODAY())</f>
        <v/>
      </c>
    </row>
    <row r="373" spans="1:14" ht="14.25" customHeight="1" x14ac:dyDescent="0.35">
      <c r="A373" s="46"/>
      <c r="B373" s="46"/>
      <c r="C373" s="47"/>
      <c r="D373" s="48"/>
      <c r="E373" s="48"/>
      <c r="F373" s="49"/>
      <c r="G373" s="49"/>
      <c r="H373" s="50">
        <v>0</v>
      </c>
      <c r="I373" s="51"/>
      <c r="J373" s="110" t="str">
        <f t="shared" si="15"/>
        <v/>
      </c>
      <c r="K373" s="46"/>
      <c r="M373" s="463" t="str" cm="1">
        <f t="array" ref="M373">IF(AND(L373="On Hold",E373&lt;&gt;"",H373&gt;0),IFERROR(_xlfn.LET(_xlpm.stopSell,EDATE(E373,-'FEFO Analysis'!$B$4),_xlpm.cumAtStop,SUMIFS('Planning Engine'!$F$4:$F$2331,'Planning Engine'!$B$4:$B$2331,A373,'Planning Engine'!$A$4:$A$2331,"&lt;="&amp;_xlpm.stopSell),_xlpm.threshold,_xlpm.cumAtStop-H373,IF(_xlpm.threshold&lt;=0,_xlfn.AGGREGATE(15,6,'Planning Engine'!$A$4:$A$2331/('Planning Engine'!$B$4:$B$2331=A373),1),_xlfn.AGGREGATE(15,6,'Planning Engine'!$A$4:$A$2331/(('Planning Engine'!$B$4:$B$2331=A373)*('Planning Engine'!$AB$4:$AB$2331&gt;_xlpm.threshold)),1))),""),"")</f>
        <v/>
      </c>
      <c r="N373" s="459" t="str">
        <f ca="1">IF(M373="","",M373-TODAY())</f>
        <v/>
      </c>
    </row>
    <row r="374" spans="1:14" ht="14.25" customHeight="1" x14ac:dyDescent="0.35">
      <c r="A374" s="46"/>
      <c r="B374" s="46"/>
      <c r="C374" s="47"/>
      <c r="D374" s="48"/>
      <c r="E374" s="48"/>
      <c r="F374" s="49"/>
      <c r="G374" s="49"/>
      <c r="H374" s="50">
        <v>0</v>
      </c>
      <c r="I374" s="51"/>
      <c r="J374" s="110" t="str">
        <f t="shared" si="15"/>
        <v/>
      </c>
      <c r="K374" s="46"/>
      <c r="M374" s="463" t="str" cm="1">
        <f t="array" ref="M374">IF(AND(L374="On Hold",E374&lt;&gt;"",H374&gt;0),IFERROR(_xlfn.LET(_xlpm.stopSell,EDATE(E374,-'FEFO Analysis'!$B$4),_xlpm.cumAtStop,SUMIFS('Planning Engine'!$F$4:$F$2331,'Planning Engine'!$B$4:$B$2331,A374,'Planning Engine'!$A$4:$A$2331,"&lt;="&amp;_xlpm.stopSell),_xlpm.threshold,_xlpm.cumAtStop-H374,IF(_xlpm.threshold&lt;=0,_xlfn.AGGREGATE(15,6,'Planning Engine'!$A$4:$A$2331/('Planning Engine'!$B$4:$B$2331=A374),1),_xlfn.AGGREGATE(15,6,'Planning Engine'!$A$4:$A$2331/(('Planning Engine'!$B$4:$B$2331=A374)*('Planning Engine'!$AB$4:$AB$2331&gt;_xlpm.threshold)),1))),""),"")</f>
        <v/>
      </c>
      <c r="N374" s="459" t="str">
        <f ca="1">IF(M374="","",M374-TODAY())</f>
        <v/>
      </c>
    </row>
    <row r="375" spans="1:14" ht="14.25" customHeight="1" x14ac:dyDescent="0.35">
      <c r="A375" s="46"/>
      <c r="B375" s="46"/>
      <c r="C375" s="47"/>
      <c r="D375" s="48"/>
      <c r="E375" s="48"/>
      <c r="F375" s="49"/>
      <c r="G375" s="49"/>
      <c r="H375" s="50">
        <v>0</v>
      </c>
      <c r="I375" s="51"/>
      <c r="J375" s="110" t="str">
        <f t="shared" si="15"/>
        <v/>
      </c>
      <c r="K375" s="46"/>
      <c r="M375" s="463" t="str" cm="1">
        <f t="array" ref="M375">IF(AND(L375="On Hold",E375&lt;&gt;"",H375&gt;0),IFERROR(_xlfn.LET(_xlpm.stopSell,EDATE(E375,-'FEFO Analysis'!$B$4),_xlpm.cumAtStop,SUMIFS('Planning Engine'!$F$4:$F$2331,'Planning Engine'!$B$4:$B$2331,A375,'Planning Engine'!$A$4:$A$2331,"&lt;="&amp;_xlpm.stopSell),_xlpm.threshold,_xlpm.cumAtStop-H375,IF(_xlpm.threshold&lt;=0,_xlfn.AGGREGATE(15,6,'Planning Engine'!$A$4:$A$2331/('Planning Engine'!$B$4:$B$2331=A375),1),_xlfn.AGGREGATE(15,6,'Planning Engine'!$A$4:$A$2331/(('Planning Engine'!$B$4:$B$2331=A375)*('Planning Engine'!$AB$4:$AB$2331&gt;_xlpm.threshold)),1))),""),"")</f>
        <v/>
      </c>
      <c r="N375" s="459" t="str">
        <f ca="1">IF(M375="","",M375-TODAY())</f>
        <v/>
      </c>
    </row>
    <row r="376" spans="1:14" ht="14.25" customHeight="1" x14ac:dyDescent="0.35">
      <c r="A376" s="46"/>
      <c r="B376" s="46"/>
      <c r="C376" s="47"/>
      <c r="D376" s="48"/>
      <c r="E376" s="48"/>
      <c r="F376" s="49"/>
      <c r="G376" s="49"/>
      <c r="H376" s="50">
        <v>0</v>
      </c>
      <c r="I376" s="51"/>
      <c r="J376" s="110" t="str">
        <f t="shared" si="15"/>
        <v/>
      </c>
      <c r="K376" s="46"/>
      <c r="M376" s="463" t="str" cm="1">
        <f t="array" ref="M376">IF(AND(L376="On Hold",E376&lt;&gt;"",H376&gt;0),IFERROR(_xlfn.LET(_xlpm.stopSell,EDATE(E376,-'FEFO Analysis'!$B$4),_xlpm.cumAtStop,SUMIFS('Planning Engine'!$F$4:$F$2331,'Planning Engine'!$B$4:$B$2331,A376,'Planning Engine'!$A$4:$A$2331,"&lt;="&amp;_xlpm.stopSell),_xlpm.threshold,_xlpm.cumAtStop-H376,IF(_xlpm.threshold&lt;=0,_xlfn.AGGREGATE(15,6,'Planning Engine'!$A$4:$A$2331/('Planning Engine'!$B$4:$B$2331=A376),1),_xlfn.AGGREGATE(15,6,'Planning Engine'!$A$4:$A$2331/(('Planning Engine'!$B$4:$B$2331=A376)*('Planning Engine'!$AB$4:$AB$2331&gt;_xlpm.threshold)),1))),""),"")</f>
        <v/>
      </c>
      <c r="N376" s="459" t="str">
        <f ca="1">IF(M376="","",M376-TODAY())</f>
        <v/>
      </c>
    </row>
    <row r="377" spans="1:14" ht="14.25" customHeight="1" x14ac:dyDescent="0.35">
      <c r="A377" s="46"/>
      <c r="B377" s="46"/>
      <c r="C377" s="47"/>
      <c r="D377" s="48"/>
      <c r="E377" s="48"/>
      <c r="F377" s="49"/>
      <c r="G377" s="49"/>
      <c r="H377" s="50">
        <v>0</v>
      </c>
      <c r="I377" s="51"/>
      <c r="J377" s="110" t="str">
        <f t="shared" si="15"/>
        <v/>
      </c>
      <c r="K377" s="46"/>
      <c r="M377" s="463" t="str" cm="1">
        <f t="array" ref="M377">IF(AND(L377="On Hold",E377&lt;&gt;"",H377&gt;0),IFERROR(_xlfn.LET(_xlpm.stopSell,EDATE(E377,-'FEFO Analysis'!$B$4),_xlpm.cumAtStop,SUMIFS('Planning Engine'!$F$4:$F$2331,'Planning Engine'!$B$4:$B$2331,A377,'Planning Engine'!$A$4:$A$2331,"&lt;="&amp;_xlpm.stopSell),_xlpm.threshold,_xlpm.cumAtStop-H377,IF(_xlpm.threshold&lt;=0,_xlfn.AGGREGATE(15,6,'Planning Engine'!$A$4:$A$2331/('Planning Engine'!$B$4:$B$2331=A377),1),_xlfn.AGGREGATE(15,6,'Planning Engine'!$A$4:$A$2331/(('Planning Engine'!$B$4:$B$2331=A377)*('Planning Engine'!$AB$4:$AB$2331&gt;_xlpm.threshold)),1))),""),"")</f>
        <v/>
      </c>
      <c r="N377" s="459" t="str">
        <f ca="1">IF(M377="","",M377-TODAY())</f>
        <v/>
      </c>
    </row>
    <row r="378" spans="1:14" ht="14.25" customHeight="1" x14ac:dyDescent="0.35">
      <c r="A378" s="46"/>
      <c r="B378" s="46"/>
      <c r="C378" s="47"/>
      <c r="D378" s="48"/>
      <c r="E378" s="48"/>
      <c r="F378" s="49"/>
      <c r="G378" s="49"/>
      <c r="H378" s="50">
        <v>0</v>
      </c>
      <c r="I378" s="51"/>
      <c r="J378" s="110" t="str">
        <f t="shared" si="15"/>
        <v/>
      </c>
      <c r="K378" s="46"/>
      <c r="M378" s="463" t="str" cm="1">
        <f t="array" ref="M378">IF(AND(L378="On Hold",E378&lt;&gt;"",H378&gt;0),IFERROR(_xlfn.LET(_xlpm.stopSell,EDATE(E378,-'FEFO Analysis'!$B$4),_xlpm.cumAtStop,SUMIFS('Planning Engine'!$F$4:$F$2331,'Planning Engine'!$B$4:$B$2331,A378,'Planning Engine'!$A$4:$A$2331,"&lt;="&amp;_xlpm.stopSell),_xlpm.threshold,_xlpm.cumAtStop-H378,IF(_xlpm.threshold&lt;=0,_xlfn.AGGREGATE(15,6,'Planning Engine'!$A$4:$A$2331/('Planning Engine'!$B$4:$B$2331=A378),1),_xlfn.AGGREGATE(15,6,'Planning Engine'!$A$4:$A$2331/(('Planning Engine'!$B$4:$B$2331=A378)*('Planning Engine'!$AB$4:$AB$2331&gt;_xlpm.threshold)),1))),""),"")</f>
        <v/>
      </c>
      <c r="N378" s="459" t="str">
        <f ca="1">IF(M378="","",M378-TODAY())</f>
        <v/>
      </c>
    </row>
    <row r="379" spans="1:14" ht="14.25" customHeight="1" x14ac:dyDescent="0.35">
      <c r="A379" s="46"/>
      <c r="B379" s="46"/>
      <c r="C379" s="47"/>
      <c r="D379" s="48"/>
      <c r="E379" s="48"/>
      <c r="F379" s="49"/>
      <c r="G379" s="49"/>
      <c r="H379" s="50">
        <v>0</v>
      </c>
      <c r="I379" s="51"/>
      <c r="J379" s="110" t="str">
        <f t="shared" si="15"/>
        <v/>
      </c>
      <c r="K379" s="46"/>
      <c r="M379" s="463" t="str" cm="1">
        <f t="array" ref="M379">IF(AND(L379="On Hold",E379&lt;&gt;"",H379&gt;0),IFERROR(_xlfn.LET(_xlpm.stopSell,EDATE(E379,-'FEFO Analysis'!$B$4),_xlpm.cumAtStop,SUMIFS('Planning Engine'!$F$4:$F$2331,'Planning Engine'!$B$4:$B$2331,A379,'Planning Engine'!$A$4:$A$2331,"&lt;="&amp;_xlpm.stopSell),_xlpm.threshold,_xlpm.cumAtStop-H379,IF(_xlpm.threshold&lt;=0,_xlfn.AGGREGATE(15,6,'Planning Engine'!$A$4:$A$2331/('Planning Engine'!$B$4:$B$2331=A379),1),_xlfn.AGGREGATE(15,6,'Planning Engine'!$A$4:$A$2331/(('Planning Engine'!$B$4:$B$2331=A379)*('Planning Engine'!$AB$4:$AB$2331&gt;_xlpm.threshold)),1))),""),"")</f>
        <v/>
      </c>
      <c r="N379" s="459" t="str">
        <f ca="1">IF(M379="","",M379-TODAY())</f>
        <v/>
      </c>
    </row>
    <row r="380" spans="1:14" ht="14.25" customHeight="1" x14ac:dyDescent="0.35">
      <c r="A380" s="46"/>
      <c r="B380" s="46"/>
      <c r="C380" s="47"/>
      <c r="D380" s="48"/>
      <c r="E380" s="48"/>
      <c r="F380" s="49"/>
      <c r="G380" s="49"/>
      <c r="H380" s="50">
        <v>0</v>
      </c>
      <c r="I380" s="51"/>
      <c r="J380" s="110" t="str">
        <f t="shared" si="15"/>
        <v/>
      </c>
      <c r="K380" s="46"/>
      <c r="M380" s="463" t="str" cm="1">
        <f t="array" ref="M380">IF(AND(L380="On Hold",E380&lt;&gt;"",H380&gt;0),IFERROR(_xlfn.LET(_xlpm.stopSell,EDATE(E380,-'FEFO Analysis'!$B$4),_xlpm.cumAtStop,SUMIFS('Planning Engine'!$F$4:$F$2331,'Planning Engine'!$B$4:$B$2331,A380,'Planning Engine'!$A$4:$A$2331,"&lt;="&amp;_xlpm.stopSell),_xlpm.threshold,_xlpm.cumAtStop-H380,IF(_xlpm.threshold&lt;=0,_xlfn.AGGREGATE(15,6,'Planning Engine'!$A$4:$A$2331/('Planning Engine'!$B$4:$B$2331=A380),1),_xlfn.AGGREGATE(15,6,'Planning Engine'!$A$4:$A$2331/(('Planning Engine'!$B$4:$B$2331=A380)*('Planning Engine'!$AB$4:$AB$2331&gt;_xlpm.threshold)),1))),""),"")</f>
        <v/>
      </c>
      <c r="N380" s="459" t="str">
        <f ca="1">IF(M380="","",M380-TODAY())</f>
        <v/>
      </c>
    </row>
    <row r="381" spans="1:14" ht="14.25" customHeight="1" x14ac:dyDescent="0.35">
      <c r="A381" s="46"/>
      <c r="B381" s="46"/>
      <c r="C381" s="47"/>
      <c r="D381" s="48"/>
      <c r="E381" s="48"/>
      <c r="F381" s="49"/>
      <c r="G381" s="49"/>
      <c r="H381" s="50">
        <v>0</v>
      </c>
      <c r="I381" s="51"/>
      <c r="J381" s="110" t="str">
        <f t="shared" si="15"/>
        <v/>
      </c>
      <c r="K381" s="46"/>
      <c r="M381" s="463" t="str" cm="1">
        <f t="array" ref="M381">IF(AND(L381="On Hold",E381&lt;&gt;"",H381&gt;0),IFERROR(_xlfn.LET(_xlpm.stopSell,EDATE(E381,-'FEFO Analysis'!$B$4),_xlpm.cumAtStop,SUMIFS('Planning Engine'!$F$4:$F$2331,'Planning Engine'!$B$4:$B$2331,A381,'Planning Engine'!$A$4:$A$2331,"&lt;="&amp;_xlpm.stopSell),_xlpm.threshold,_xlpm.cumAtStop-H381,IF(_xlpm.threshold&lt;=0,_xlfn.AGGREGATE(15,6,'Planning Engine'!$A$4:$A$2331/('Planning Engine'!$B$4:$B$2331=A381),1),_xlfn.AGGREGATE(15,6,'Planning Engine'!$A$4:$A$2331/(('Planning Engine'!$B$4:$B$2331=A381)*('Planning Engine'!$AB$4:$AB$2331&gt;_xlpm.threshold)),1))),""),"")</f>
        <v/>
      </c>
      <c r="N381" s="459" t="str">
        <f ca="1">IF(M381="","",M381-TODAY())</f>
        <v/>
      </c>
    </row>
    <row r="382" spans="1:14" ht="14.25" customHeight="1" x14ac:dyDescent="0.35">
      <c r="A382" s="46"/>
      <c r="B382" s="46"/>
      <c r="C382" s="47"/>
      <c r="D382" s="48"/>
      <c r="E382" s="48"/>
      <c r="F382" s="49"/>
      <c r="G382" s="49"/>
      <c r="H382" s="50">
        <v>0</v>
      </c>
      <c r="I382" s="51"/>
      <c r="J382" s="110" t="str">
        <f t="shared" si="15"/>
        <v/>
      </c>
      <c r="K382" s="46"/>
      <c r="M382" s="463" t="str" cm="1">
        <f t="array" ref="M382">IF(AND(L382="On Hold",E382&lt;&gt;"",H382&gt;0),IFERROR(_xlfn.LET(_xlpm.stopSell,EDATE(E382,-'FEFO Analysis'!$B$4),_xlpm.cumAtStop,SUMIFS('Planning Engine'!$F$4:$F$2331,'Planning Engine'!$B$4:$B$2331,A382,'Planning Engine'!$A$4:$A$2331,"&lt;="&amp;_xlpm.stopSell),_xlpm.threshold,_xlpm.cumAtStop-H382,IF(_xlpm.threshold&lt;=0,_xlfn.AGGREGATE(15,6,'Planning Engine'!$A$4:$A$2331/('Planning Engine'!$B$4:$B$2331=A382),1),_xlfn.AGGREGATE(15,6,'Planning Engine'!$A$4:$A$2331/(('Planning Engine'!$B$4:$B$2331=A382)*('Planning Engine'!$AB$4:$AB$2331&gt;_xlpm.threshold)),1))),""),"")</f>
        <v/>
      </c>
      <c r="N382" s="459" t="str">
        <f ca="1">IF(M382="","",M382-TODAY())</f>
        <v/>
      </c>
    </row>
    <row r="383" spans="1:14" ht="14.25" customHeight="1" x14ac:dyDescent="0.35">
      <c r="A383" s="46"/>
      <c r="B383" s="46"/>
      <c r="C383" s="47"/>
      <c r="D383" s="48"/>
      <c r="E383" s="48"/>
      <c r="F383" s="49"/>
      <c r="G383" s="49"/>
      <c r="H383" s="50">
        <v>0</v>
      </c>
      <c r="I383" s="51"/>
      <c r="J383" s="110" t="str">
        <f t="shared" si="15"/>
        <v/>
      </c>
      <c r="K383" s="46"/>
      <c r="M383" s="463" t="str" cm="1">
        <f t="array" ref="M383">IF(AND(L383="On Hold",E383&lt;&gt;"",H383&gt;0),IFERROR(_xlfn.LET(_xlpm.stopSell,EDATE(E383,-'FEFO Analysis'!$B$4),_xlpm.cumAtStop,SUMIFS('Planning Engine'!$F$4:$F$2331,'Planning Engine'!$B$4:$B$2331,A383,'Planning Engine'!$A$4:$A$2331,"&lt;="&amp;_xlpm.stopSell),_xlpm.threshold,_xlpm.cumAtStop-H383,IF(_xlpm.threshold&lt;=0,_xlfn.AGGREGATE(15,6,'Planning Engine'!$A$4:$A$2331/('Planning Engine'!$B$4:$B$2331=A383),1),_xlfn.AGGREGATE(15,6,'Planning Engine'!$A$4:$A$2331/(('Planning Engine'!$B$4:$B$2331=A383)*('Planning Engine'!$AB$4:$AB$2331&gt;_xlpm.threshold)),1))),""),"")</f>
        <v/>
      </c>
      <c r="N383" s="459" t="str">
        <f ca="1">IF(M383="","",M383-TODAY())</f>
        <v/>
      </c>
    </row>
    <row r="384" spans="1:14" ht="14.25" customHeight="1" x14ac:dyDescent="0.35">
      <c r="A384" s="46"/>
      <c r="B384" s="46"/>
      <c r="C384" s="47"/>
      <c r="D384" s="48"/>
      <c r="E384" s="48"/>
      <c r="F384" s="49"/>
      <c r="G384" s="49"/>
      <c r="H384" s="50">
        <v>0</v>
      </c>
      <c r="I384" s="51"/>
      <c r="J384" s="110" t="str">
        <f t="shared" si="15"/>
        <v/>
      </c>
      <c r="K384" s="46"/>
      <c r="M384" s="463" t="str" cm="1">
        <f t="array" ref="M384">IF(AND(L384="On Hold",E384&lt;&gt;"",H384&gt;0),IFERROR(_xlfn.LET(_xlpm.stopSell,EDATE(E384,-'FEFO Analysis'!$B$4),_xlpm.cumAtStop,SUMIFS('Planning Engine'!$F$4:$F$2331,'Planning Engine'!$B$4:$B$2331,A384,'Planning Engine'!$A$4:$A$2331,"&lt;="&amp;_xlpm.stopSell),_xlpm.threshold,_xlpm.cumAtStop-H384,IF(_xlpm.threshold&lt;=0,_xlfn.AGGREGATE(15,6,'Planning Engine'!$A$4:$A$2331/('Planning Engine'!$B$4:$B$2331=A384),1),_xlfn.AGGREGATE(15,6,'Planning Engine'!$A$4:$A$2331/(('Planning Engine'!$B$4:$B$2331=A384)*('Planning Engine'!$AB$4:$AB$2331&gt;_xlpm.threshold)),1))),""),"")</f>
        <v/>
      </c>
      <c r="N384" s="459" t="str">
        <f ca="1">IF(M384="","",M384-TODAY())</f>
        <v/>
      </c>
    </row>
    <row r="385" spans="1:14" ht="14.25" customHeight="1" x14ac:dyDescent="0.35">
      <c r="A385" s="46"/>
      <c r="B385" s="46"/>
      <c r="C385" s="47"/>
      <c r="D385" s="48"/>
      <c r="E385" s="48"/>
      <c r="F385" s="49"/>
      <c r="G385" s="49"/>
      <c r="H385" s="50">
        <v>0</v>
      </c>
      <c r="I385" s="51"/>
      <c r="J385" s="110" t="str">
        <f t="shared" si="15"/>
        <v/>
      </c>
      <c r="K385" s="46"/>
      <c r="M385" s="463" t="str" cm="1">
        <f t="array" ref="M385">IF(AND(L385="On Hold",E385&lt;&gt;"",H385&gt;0),IFERROR(_xlfn.LET(_xlpm.stopSell,EDATE(E385,-'FEFO Analysis'!$B$4),_xlpm.cumAtStop,SUMIFS('Planning Engine'!$F$4:$F$2331,'Planning Engine'!$B$4:$B$2331,A385,'Planning Engine'!$A$4:$A$2331,"&lt;="&amp;_xlpm.stopSell),_xlpm.threshold,_xlpm.cumAtStop-H385,IF(_xlpm.threshold&lt;=0,_xlfn.AGGREGATE(15,6,'Planning Engine'!$A$4:$A$2331/('Planning Engine'!$B$4:$B$2331=A385),1),_xlfn.AGGREGATE(15,6,'Planning Engine'!$A$4:$A$2331/(('Planning Engine'!$B$4:$B$2331=A385)*('Planning Engine'!$AB$4:$AB$2331&gt;_xlpm.threshold)),1))),""),"")</f>
        <v/>
      </c>
      <c r="N385" s="459" t="str">
        <f ca="1">IF(M385="","",M385-TODAY())</f>
        <v/>
      </c>
    </row>
    <row r="386" spans="1:14" ht="14.25" customHeight="1" x14ac:dyDescent="0.35">
      <c r="A386" s="46"/>
      <c r="B386" s="46"/>
      <c r="C386" s="47"/>
      <c r="D386" s="48"/>
      <c r="E386" s="48"/>
      <c r="F386" s="49"/>
      <c r="G386" s="49"/>
      <c r="H386" s="50">
        <v>0</v>
      </c>
      <c r="I386" s="51"/>
      <c r="J386" s="110" t="str">
        <f t="shared" si="15"/>
        <v/>
      </c>
      <c r="K386" s="46"/>
      <c r="M386" s="463" t="str" cm="1">
        <f t="array" ref="M386">IF(AND(L386="On Hold",E386&lt;&gt;"",H386&gt;0),IFERROR(_xlfn.LET(_xlpm.stopSell,EDATE(E386,-'FEFO Analysis'!$B$4),_xlpm.cumAtStop,SUMIFS('Planning Engine'!$F$4:$F$2331,'Planning Engine'!$B$4:$B$2331,A386,'Planning Engine'!$A$4:$A$2331,"&lt;="&amp;_xlpm.stopSell),_xlpm.threshold,_xlpm.cumAtStop-H386,IF(_xlpm.threshold&lt;=0,_xlfn.AGGREGATE(15,6,'Planning Engine'!$A$4:$A$2331/('Planning Engine'!$B$4:$B$2331=A386),1),_xlfn.AGGREGATE(15,6,'Planning Engine'!$A$4:$A$2331/(('Planning Engine'!$B$4:$B$2331=A386)*('Planning Engine'!$AB$4:$AB$2331&gt;_xlpm.threshold)),1))),""),"")</f>
        <v/>
      </c>
      <c r="N386" s="459" t="str">
        <f ca="1">IF(M386="","",M386-TODAY())</f>
        <v/>
      </c>
    </row>
    <row r="387" spans="1:14" ht="14.25" customHeight="1" x14ac:dyDescent="0.35">
      <c r="A387" s="46"/>
      <c r="B387" s="46"/>
      <c r="C387" s="47"/>
      <c r="D387" s="48"/>
      <c r="E387" s="48"/>
      <c r="F387" s="49"/>
      <c r="G387" s="49"/>
      <c r="H387" s="50">
        <v>0</v>
      </c>
      <c r="I387" s="51"/>
      <c r="J387" s="110" t="str">
        <f t="shared" si="15"/>
        <v/>
      </c>
      <c r="K387" s="46"/>
      <c r="M387" s="463" t="str" cm="1">
        <f t="array" ref="M387">IF(AND(L387="On Hold",E387&lt;&gt;"",H387&gt;0),IFERROR(_xlfn.LET(_xlpm.stopSell,EDATE(E387,-'FEFO Analysis'!$B$4),_xlpm.cumAtStop,SUMIFS('Planning Engine'!$F$4:$F$2331,'Planning Engine'!$B$4:$B$2331,A387,'Planning Engine'!$A$4:$A$2331,"&lt;="&amp;_xlpm.stopSell),_xlpm.threshold,_xlpm.cumAtStop-H387,IF(_xlpm.threshold&lt;=0,_xlfn.AGGREGATE(15,6,'Planning Engine'!$A$4:$A$2331/('Planning Engine'!$B$4:$B$2331=A387),1),_xlfn.AGGREGATE(15,6,'Planning Engine'!$A$4:$A$2331/(('Planning Engine'!$B$4:$B$2331=A387)*('Planning Engine'!$AB$4:$AB$2331&gt;_xlpm.threshold)),1))),""),"")</f>
        <v/>
      </c>
      <c r="N387" s="459" t="str">
        <f ca="1">IF(M387="","",M387-TODAY())</f>
        <v/>
      </c>
    </row>
    <row r="388" spans="1:14" ht="14.25" customHeight="1" x14ac:dyDescent="0.35">
      <c r="A388" s="46"/>
      <c r="B388" s="46"/>
      <c r="C388" s="47"/>
      <c r="D388" s="48"/>
      <c r="E388" s="48"/>
      <c r="F388" s="49"/>
      <c r="G388" s="49"/>
      <c r="H388" s="50">
        <v>0</v>
      </c>
      <c r="I388" s="51"/>
      <c r="J388" s="110" t="str">
        <f t="shared" si="15"/>
        <v/>
      </c>
      <c r="K388" s="46"/>
      <c r="M388" s="463" t="str" cm="1">
        <f t="array" ref="M388">IF(AND(L388="On Hold",E388&lt;&gt;"",H388&gt;0),IFERROR(_xlfn.LET(_xlpm.stopSell,EDATE(E388,-'FEFO Analysis'!$B$4),_xlpm.cumAtStop,SUMIFS('Planning Engine'!$F$4:$F$2331,'Planning Engine'!$B$4:$B$2331,A388,'Planning Engine'!$A$4:$A$2331,"&lt;="&amp;_xlpm.stopSell),_xlpm.threshold,_xlpm.cumAtStop-H388,IF(_xlpm.threshold&lt;=0,_xlfn.AGGREGATE(15,6,'Planning Engine'!$A$4:$A$2331/('Planning Engine'!$B$4:$B$2331=A388),1),_xlfn.AGGREGATE(15,6,'Planning Engine'!$A$4:$A$2331/(('Planning Engine'!$B$4:$B$2331=A388)*('Planning Engine'!$AB$4:$AB$2331&gt;_xlpm.threshold)),1))),""),"")</f>
        <v/>
      </c>
      <c r="N388" s="459" t="str">
        <f ca="1">IF(M388="","",M388-TODAY())</f>
        <v/>
      </c>
    </row>
    <row r="389" spans="1:14" ht="14.25" customHeight="1" x14ac:dyDescent="0.35">
      <c r="A389" s="46"/>
      <c r="B389" s="46"/>
      <c r="C389" s="47"/>
      <c r="D389" s="48"/>
      <c r="E389" s="48"/>
      <c r="F389" s="49"/>
      <c r="G389" s="49"/>
      <c r="H389" s="50">
        <v>0</v>
      </c>
      <c r="I389" s="51"/>
      <c r="J389" s="110" t="str">
        <f t="shared" si="15"/>
        <v/>
      </c>
      <c r="K389" s="46"/>
      <c r="M389" s="463" t="str" cm="1">
        <f t="array" ref="M389">IF(AND(L389="On Hold",E389&lt;&gt;"",H389&gt;0),IFERROR(_xlfn.LET(_xlpm.stopSell,EDATE(E389,-'FEFO Analysis'!$B$4),_xlpm.cumAtStop,SUMIFS('Planning Engine'!$F$4:$F$2331,'Planning Engine'!$B$4:$B$2331,A389,'Planning Engine'!$A$4:$A$2331,"&lt;="&amp;_xlpm.stopSell),_xlpm.threshold,_xlpm.cumAtStop-H389,IF(_xlpm.threshold&lt;=0,_xlfn.AGGREGATE(15,6,'Planning Engine'!$A$4:$A$2331/('Planning Engine'!$B$4:$B$2331=A389),1),_xlfn.AGGREGATE(15,6,'Planning Engine'!$A$4:$A$2331/(('Planning Engine'!$B$4:$B$2331=A389)*('Planning Engine'!$AB$4:$AB$2331&gt;_xlpm.threshold)),1))),""),"")</f>
        <v/>
      </c>
      <c r="N389" s="459" t="str">
        <f ca="1">IF(M389="","",M389-TODAY())</f>
        <v/>
      </c>
    </row>
    <row r="390" spans="1:14" ht="14.25" customHeight="1" x14ac:dyDescent="0.35">
      <c r="A390" s="46"/>
      <c r="B390" s="46"/>
      <c r="C390" s="47"/>
      <c r="D390" s="48"/>
      <c r="E390" s="48"/>
      <c r="F390" s="49"/>
      <c r="G390" s="49"/>
      <c r="H390" s="50">
        <v>0</v>
      </c>
      <c r="I390" s="51"/>
      <c r="J390" s="110" t="str">
        <f t="shared" ref="J390:J453" si="16">IF(E390&lt;&gt;"",E390+ROW()/1000000,"")</f>
        <v/>
      </c>
      <c r="K390" s="46"/>
      <c r="M390" s="463" t="str" cm="1">
        <f t="array" ref="M390">IF(AND(L390="On Hold",E390&lt;&gt;"",H390&gt;0),IFERROR(_xlfn.LET(_xlpm.stopSell,EDATE(E390,-'FEFO Analysis'!$B$4),_xlpm.cumAtStop,SUMIFS('Planning Engine'!$F$4:$F$2331,'Planning Engine'!$B$4:$B$2331,A390,'Planning Engine'!$A$4:$A$2331,"&lt;="&amp;_xlpm.stopSell),_xlpm.threshold,_xlpm.cumAtStop-H390,IF(_xlpm.threshold&lt;=0,_xlfn.AGGREGATE(15,6,'Planning Engine'!$A$4:$A$2331/('Planning Engine'!$B$4:$B$2331=A390),1),_xlfn.AGGREGATE(15,6,'Planning Engine'!$A$4:$A$2331/(('Planning Engine'!$B$4:$B$2331=A390)*('Planning Engine'!$AB$4:$AB$2331&gt;_xlpm.threshold)),1))),""),"")</f>
        <v/>
      </c>
      <c r="N390" s="459" t="str">
        <f ca="1">IF(M390="","",M390-TODAY())</f>
        <v/>
      </c>
    </row>
    <row r="391" spans="1:14" ht="14.25" customHeight="1" x14ac:dyDescent="0.35">
      <c r="A391" s="46"/>
      <c r="B391" s="46"/>
      <c r="C391" s="47"/>
      <c r="D391" s="48"/>
      <c r="E391" s="48"/>
      <c r="F391" s="49"/>
      <c r="G391" s="49"/>
      <c r="H391" s="50">
        <v>0</v>
      </c>
      <c r="I391" s="51"/>
      <c r="J391" s="110" t="str">
        <f t="shared" si="16"/>
        <v/>
      </c>
      <c r="K391" s="46"/>
      <c r="M391" s="463" t="str" cm="1">
        <f t="array" ref="M391">IF(AND(L391="On Hold",E391&lt;&gt;"",H391&gt;0),IFERROR(_xlfn.LET(_xlpm.stopSell,EDATE(E391,-'FEFO Analysis'!$B$4),_xlpm.cumAtStop,SUMIFS('Planning Engine'!$F$4:$F$2331,'Planning Engine'!$B$4:$B$2331,A391,'Planning Engine'!$A$4:$A$2331,"&lt;="&amp;_xlpm.stopSell),_xlpm.threshold,_xlpm.cumAtStop-H391,IF(_xlpm.threshold&lt;=0,_xlfn.AGGREGATE(15,6,'Planning Engine'!$A$4:$A$2331/('Planning Engine'!$B$4:$B$2331=A391),1),_xlfn.AGGREGATE(15,6,'Planning Engine'!$A$4:$A$2331/(('Planning Engine'!$B$4:$B$2331=A391)*('Planning Engine'!$AB$4:$AB$2331&gt;_xlpm.threshold)),1))),""),"")</f>
        <v/>
      </c>
      <c r="N391" s="459" t="str">
        <f ca="1">IF(M391="","",M391-TODAY())</f>
        <v/>
      </c>
    </row>
    <row r="392" spans="1:14" ht="14.25" customHeight="1" x14ac:dyDescent="0.35">
      <c r="A392" s="46"/>
      <c r="B392" s="46"/>
      <c r="C392" s="47"/>
      <c r="D392" s="48"/>
      <c r="E392" s="48"/>
      <c r="F392" s="49"/>
      <c r="G392" s="49"/>
      <c r="H392" s="50">
        <v>0</v>
      </c>
      <c r="I392" s="51"/>
      <c r="J392" s="110" t="str">
        <f t="shared" si="16"/>
        <v/>
      </c>
      <c r="K392" s="46"/>
      <c r="M392" s="463" t="str" cm="1">
        <f t="array" ref="M392">IF(AND(L392="On Hold",E392&lt;&gt;"",H392&gt;0),IFERROR(_xlfn.LET(_xlpm.stopSell,EDATE(E392,-'FEFO Analysis'!$B$4),_xlpm.cumAtStop,SUMIFS('Planning Engine'!$F$4:$F$2331,'Planning Engine'!$B$4:$B$2331,A392,'Planning Engine'!$A$4:$A$2331,"&lt;="&amp;_xlpm.stopSell),_xlpm.threshold,_xlpm.cumAtStop-H392,IF(_xlpm.threshold&lt;=0,_xlfn.AGGREGATE(15,6,'Planning Engine'!$A$4:$A$2331/('Planning Engine'!$B$4:$B$2331=A392),1),_xlfn.AGGREGATE(15,6,'Planning Engine'!$A$4:$A$2331/(('Planning Engine'!$B$4:$B$2331=A392)*('Planning Engine'!$AB$4:$AB$2331&gt;_xlpm.threshold)),1))),""),"")</f>
        <v/>
      </c>
      <c r="N392" s="459" t="str">
        <f ca="1">IF(M392="","",M392-TODAY())</f>
        <v/>
      </c>
    </row>
    <row r="393" spans="1:14" ht="14.25" customHeight="1" x14ac:dyDescent="0.35">
      <c r="A393" s="46"/>
      <c r="B393" s="46"/>
      <c r="C393" s="47"/>
      <c r="D393" s="48"/>
      <c r="E393" s="48"/>
      <c r="F393" s="49"/>
      <c r="G393" s="49"/>
      <c r="H393" s="50">
        <v>0</v>
      </c>
      <c r="I393" s="51"/>
      <c r="J393" s="110" t="str">
        <f t="shared" si="16"/>
        <v/>
      </c>
      <c r="K393" s="46"/>
      <c r="M393" s="463" t="str" cm="1">
        <f t="array" ref="M393">IF(AND(L393="On Hold",E393&lt;&gt;"",H393&gt;0),IFERROR(_xlfn.LET(_xlpm.stopSell,EDATE(E393,-'FEFO Analysis'!$B$4),_xlpm.cumAtStop,SUMIFS('Planning Engine'!$F$4:$F$2331,'Planning Engine'!$B$4:$B$2331,A393,'Planning Engine'!$A$4:$A$2331,"&lt;="&amp;_xlpm.stopSell),_xlpm.threshold,_xlpm.cumAtStop-H393,IF(_xlpm.threshold&lt;=0,_xlfn.AGGREGATE(15,6,'Planning Engine'!$A$4:$A$2331/('Planning Engine'!$B$4:$B$2331=A393),1),_xlfn.AGGREGATE(15,6,'Planning Engine'!$A$4:$A$2331/(('Planning Engine'!$B$4:$B$2331=A393)*('Planning Engine'!$AB$4:$AB$2331&gt;_xlpm.threshold)),1))),""),"")</f>
        <v/>
      </c>
      <c r="N393" s="459" t="str">
        <f ca="1">IF(M393="","",M393-TODAY())</f>
        <v/>
      </c>
    </row>
    <row r="394" spans="1:14" ht="14.25" customHeight="1" x14ac:dyDescent="0.35">
      <c r="A394" s="46"/>
      <c r="B394" s="46"/>
      <c r="C394" s="47"/>
      <c r="D394" s="48"/>
      <c r="E394" s="48"/>
      <c r="F394" s="49"/>
      <c r="G394" s="49"/>
      <c r="H394" s="50">
        <v>0</v>
      </c>
      <c r="I394" s="51"/>
      <c r="J394" s="110" t="str">
        <f t="shared" si="16"/>
        <v/>
      </c>
      <c r="K394" s="46"/>
      <c r="M394" s="463" t="str" cm="1">
        <f t="array" ref="M394">IF(AND(L394="On Hold",E394&lt;&gt;"",H394&gt;0),IFERROR(_xlfn.LET(_xlpm.stopSell,EDATE(E394,-'FEFO Analysis'!$B$4),_xlpm.cumAtStop,SUMIFS('Planning Engine'!$F$4:$F$2331,'Planning Engine'!$B$4:$B$2331,A394,'Planning Engine'!$A$4:$A$2331,"&lt;="&amp;_xlpm.stopSell),_xlpm.threshold,_xlpm.cumAtStop-H394,IF(_xlpm.threshold&lt;=0,_xlfn.AGGREGATE(15,6,'Planning Engine'!$A$4:$A$2331/('Planning Engine'!$B$4:$B$2331=A394),1),_xlfn.AGGREGATE(15,6,'Planning Engine'!$A$4:$A$2331/(('Planning Engine'!$B$4:$B$2331=A394)*('Planning Engine'!$AB$4:$AB$2331&gt;_xlpm.threshold)),1))),""),"")</f>
        <v/>
      </c>
      <c r="N394" s="459" t="str">
        <f ca="1">IF(M394="","",M394-TODAY())</f>
        <v/>
      </c>
    </row>
    <row r="395" spans="1:14" ht="14.25" customHeight="1" x14ac:dyDescent="0.35">
      <c r="A395" s="46"/>
      <c r="B395" s="46"/>
      <c r="C395" s="47"/>
      <c r="D395" s="48"/>
      <c r="E395" s="48"/>
      <c r="F395" s="49"/>
      <c r="G395" s="49"/>
      <c r="H395" s="50">
        <v>0</v>
      </c>
      <c r="I395" s="51"/>
      <c r="J395" s="110" t="str">
        <f t="shared" si="16"/>
        <v/>
      </c>
      <c r="K395" s="46"/>
      <c r="M395" s="463" t="str" cm="1">
        <f t="array" ref="M395">IF(AND(L395="On Hold",E395&lt;&gt;"",H395&gt;0),IFERROR(_xlfn.LET(_xlpm.stopSell,EDATE(E395,-'FEFO Analysis'!$B$4),_xlpm.cumAtStop,SUMIFS('Planning Engine'!$F$4:$F$2331,'Planning Engine'!$B$4:$B$2331,A395,'Planning Engine'!$A$4:$A$2331,"&lt;="&amp;_xlpm.stopSell),_xlpm.threshold,_xlpm.cumAtStop-H395,IF(_xlpm.threshold&lt;=0,_xlfn.AGGREGATE(15,6,'Planning Engine'!$A$4:$A$2331/('Planning Engine'!$B$4:$B$2331=A395),1),_xlfn.AGGREGATE(15,6,'Planning Engine'!$A$4:$A$2331/(('Planning Engine'!$B$4:$B$2331=A395)*('Planning Engine'!$AB$4:$AB$2331&gt;_xlpm.threshold)),1))),""),"")</f>
        <v/>
      </c>
      <c r="N395" s="459" t="str">
        <f ca="1">IF(M395="","",M395-TODAY())</f>
        <v/>
      </c>
    </row>
    <row r="396" spans="1:14" ht="14.25" customHeight="1" x14ac:dyDescent="0.35">
      <c r="A396" s="46"/>
      <c r="B396" s="46"/>
      <c r="C396" s="47"/>
      <c r="D396" s="48"/>
      <c r="E396" s="48"/>
      <c r="F396" s="49"/>
      <c r="G396" s="49"/>
      <c r="H396" s="50">
        <v>0</v>
      </c>
      <c r="I396" s="51"/>
      <c r="J396" s="110" t="str">
        <f t="shared" si="16"/>
        <v/>
      </c>
      <c r="K396" s="46"/>
      <c r="M396" s="463" t="str" cm="1">
        <f t="array" ref="M396">IF(AND(L396="On Hold",E396&lt;&gt;"",H396&gt;0),IFERROR(_xlfn.LET(_xlpm.stopSell,EDATE(E396,-'FEFO Analysis'!$B$4),_xlpm.cumAtStop,SUMIFS('Planning Engine'!$F$4:$F$2331,'Planning Engine'!$B$4:$B$2331,A396,'Planning Engine'!$A$4:$A$2331,"&lt;="&amp;_xlpm.stopSell),_xlpm.threshold,_xlpm.cumAtStop-H396,IF(_xlpm.threshold&lt;=0,_xlfn.AGGREGATE(15,6,'Planning Engine'!$A$4:$A$2331/('Planning Engine'!$B$4:$B$2331=A396),1),_xlfn.AGGREGATE(15,6,'Planning Engine'!$A$4:$A$2331/(('Planning Engine'!$B$4:$B$2331=A396)*('Planning Engine'!$AB$4:$AB$2331&gt;_xlpm.threshold)),1))),""),"")</f>
        <v/>
      </c>
      <c r="N396" s="459" t="str">
        <f ca="1">IF(M396="","",M396-TODAY())</f>
        <v/>
      </c>
    </row>
    <row r="397" spans="1:14" ht="14.25" customHeight="1" x14ac:dyDescent="0.35">
      <c r="A397" s="46"/>
      <c r="B397" s="46"/>
      <c r="C397" s="47"/>
      <c r="D397" s="48"/>
      <c r="E397" s="48"/>
      <c r="F397" s="49"/>
      <c r="G397" s="49"/>
      <c r="H397" s="50">
        <v>0</v>
      </c>
      <c r="I397" s="51"/>
      <c r="J397" s="110" t="str">
        <f t="shared" si="16"/>
        <v/>
      </c>
      <c r="K397" s="46"/>
      <c r="M397" s="463" t="str" cm="1">
        <f t="array" ref="M397">IF(AND(L397="On Hold",E397&lt;&gt;"",H397&gt;0),IFERROR(_xlfn.LET(_xlpm.stopSell,EDATE(E397,-'FEFO Analysis'!$B$4),_xlpm.cumAtStop,SUMIFS('Planning Engine'!$F$4:$F$2331,'Planning Engine'!$B$4:$B$2331,A397,'Planning Engine'!$A$4:$A$2331,"&lt;="&amp;_xlpm.stopSell),_xlpm.threshold,_xlpm.cumAtStop-H397,IF(_xlpm.threshold&lt;=0,_xlfn.AGGREGATE(15,6,'Planning Engine'!$A$4:$A$2331/('Planning Engine'!$B$4:$B$2331=A397),1),_xlfn.AGGREGATE(15,6,'Planning Engine'!$A$4:$A$2331/(('Planning Engine'!$B$4:$B$2331=A397)*('Planning Engine'!$AB$4:$AB$2331&gt;_xlpm.threshold)),1))),""),"")</f>
        <v/>
      </c>
      <c r="N397" s="459" t="str">
        <f ca="1">IF(M397="","",M397-TODAY())</f>
        <v/>
      </c>
    </row>
    <row r="398" spans="1:14" ht="14.25" customHeight="1" x14ac:dyDescent="0.35">
      <c r="A398" s="46"/>
      <c r="B398" s="46"/>
      <c r="C398" s="47"/>
      <c r="D398" s="48"/>
      <c r="E398" s="48"/>
      <c r="F398" s="49"/>
      <c r="G398" s="49"/>
      <c r="H398" s="50">
        <v>0</v>
      </c>
      <c r="I398" s="51"/>
      <c r="J398" s="110" t="str">
        <f t="shared" si="16"/>
        <v/>
      </c>
      <c r="K398" s="46"/>
      <c r="M398" s="463" t="str" cm="1">
        <f t="array" ref="M398">IF(AND(L398="On Hold",E398&lt;&gt;"",H398&gt;0),IFERROR(_xlfn.LET(_xlpm.stopSell,EDATE(E398,-'FEFO Analysis'!$B$4),_xlpm.cumAtStop,SUMIFS('Planning Engine'!$F$4:$F$2331,'Planning Engine'!$B$4:$B$2331,A398,'Planning Engine'!$A$4:$A$2331,"&lt;="&amp;_xlpm.stopSell),_xlpm.threshold,_xlpm.cumAtStop-H398,IF(_xlpm.threshold&lt;=0,_xlfn.AGGREGATE(15,6,'Planning Engine'!$A$4:$A$2331/('Planning Engine'!$B$4:$B$2331=A398),1),_xlfn.AGGREGATE(15,6,'Planning Engine'!$A$4:$A$2331/(('Planning Engine'!$B$4:$B$2331=A398)*('Planning Engine'!$AB$4:$AB$2331&gt;_xlpm.threshold)),1))),""),"")</f>
        <v/>
      </c>
      <c r="N398" s="459" t="str">
        <f ca="1">IF(M398="","",M398-TODAY())</f>
        <v/>
      </c>
    </row>
    <row r="399" spans="1:14" ht="14.25" customHeight="1" x14ac:dyDescent="0.35">
      <c r="A399" s="46"/>
      <c r="B399" s="46"/>
      <c r="C399" s="47"/>
      <c r="D399" s="48"/>
      <c r="E399" s="48"/>
      <c r="F399" s="49"/>
      <c r="G399" s="49"/>
      <c r="H399" s="50">
        <v>0</v>
      </c>
      <c r="I399" s="51"/>
      <c r="J399" s="110" t="str">
        <f t="shared" si="16"/>
        <v/>
      </c>
      <c r="K399" s="46"/>
      <c r="M399" s="463" t="str" cm="1">
        <f t="array" ref="M399">IF(AND(L399="On Hold",E399&lt;&gt;"",H399&gt;0),IFERROR(_xlfn.LET(_xlpm.stopSell,EDATE(E399,-'FEFO Analysis'!$B$4),_xlpm.cumAtStop,SUMIFS('Planning Engine'!$F$4:$F$2331,'Planning Engine'!$B$4:$B$2331,A399,'Planning Engine'!$A$4:$A$2331,"&lt;="&amp;_xlpm.stopSell),_xlpm.threshold,_xlpm.cumAtStop-H399,IF(_xlpm.threshold&lt;=0,_xlfn.AGGREGATE(15,6,'Planning Engine'!$A$4:$A$2331/('Planning Engine'!$B$4:$B$2331=A399),1),_xlfn.AGGREGATE(15,6,'Planning Engine'!$A$4:$A$2331/(('Planning Engine'!$B$4:$B$2331=A399)*('Planning Engine'!$AB$4:$AB$2331&gt;_xlpm.threshold)),1))),""),"")</f>
        <v/>
      </c>
      <c r="N399" s="459" t="str">
        <f ca="1">IF(M399="","",M399-TODAY())</f>
        <v/>
      </c>
    </row>
    <row r="400" spans="1:14" ht="14.25" customHeight="1" x14ac:dyDescent="0.35">
      <c r="A400" s="46"/>
      <c r="B400" s="46"/>
      <c r="C400" s="47"/>
      <c r="D400" s="48"/>
      <c r="E400" s="48"/>
      <c r="F400" s="49"/>
      <c r="G400" s="49"/>
      <c r="H400" s="50">
        <v>0</v>
      </c>
      <c r="I400" s="51"/>
      <c r="J400" s="110" t="str">
        <f t="shared" si="16"/>
        <v/>
      </c>
      <c r="K400" s="46"/>
      <c r="M400" s="463" t="str" cm="1">
        <f t="array" ref="M400">IF(AND(L400="On Hold",E400&lt;&gt;"",H400&gt;0),IFERROR(_xlfn.LET(_xlpm.stopSell,EDATE(E400,-'FEFO Analysis'!$B$4),_xlpm.cumAtStop,SUMIFS('Planning Engine'!$F$4:$F$2331,'Planning Engine'!$B$4:$B$2331,A400,'Planning Engine'!$A$4:$A$2331,"&lt;="&amp;_xlpm.stopSell),_xlpm.threshold,_xlpm.cumAtStop-H400,IF(_xlpm.threshold&lt;=0,_xlfn.AGGREGATE(15,6,'Planning Engine'!$A$4:$A$2331/('Planning Engine'!$B$4:$B$2331=A400),1),_xlfn.AGGREGATE(15,6,'Planning Engine'!$A$4:$A$2331/(('Planning Engine'!$B$4:$B$2331=A400)*('Planning Engine'!$AB$4:$AB$2331&gt;_xlpm.threshold)),1))),""),"")</f>
        <v/>
      </c>
      <c r="N400" s="459" t="str">
        <f ca="1">IF(M400="","",M400-TODAY())</f>
        <v/>
      </c>
    </row>
    <row r="401" spans="1:14" ht="14.25" customHeight="1" x14ac:dyDescent="0.35">
      <c r="A401" s="46"/>
      <c r="B401" s="46"/>
      <c r="C401" s="47"/>
      <c r="D401" s="48"/>
      <c r="E401" s="48"/>
      <c r="F401" s="49"/>
      <c r="G401" s="49"/>
      <c r="H401" s="50">
        <v>0</v>
      </c>
      <c r="I401" s="51"/>
      <c r="J401" s="110" t="str">
        <f t="shared" si="16"/>
        <v/>
      </c>
      <c r="K401" s="46"/>
      <c r="M401" s="463" t="str" cm="1">
        <f t="array" ref="M401">IF(AND(L401="On Hold",E401&lt;&gt;"",H401&gt;0),IFERROR(_xlfn.LET(_xlpm.stopSell,EDATE(E401,-'FEFO Analysis'!$B$4),_xlpm.cumAtStop,SUMIFS('Planning Engine'!$F$4:$F$2331,'Planning Engine'!$B$4:$B$2331,A401,'Planning Engine'!$A$4:$A$2331,"&lt;="&amp;_xlpm.stopSell),_xlpm.threshold,_xlpm.cumAtStop-H401,IF(_xlpm.threshold&lt;=0,_xlfn.AGGREGATE(15,6,'Planning Engine'!$A$4:$A$2331/('Planning Engine'!$B$4:$B$2331=A401),1),_xlfn.AGGREGATE(15,6,'Planning Engine'!$A$4:$A$2331/(('Planning Engine'!$B$4:$B$2331=A401)*('Planning Engine'!$AB$4:$AB$2331&gt;_xlpm.threshold)),1))),""),"")</f>
        <v/>
      </c>
      <c r="N401" s="459" t="str">
        <f ca="1">IF(M401="","",M401-TODAY())</f>
        <v/>
      </c>
    </row>
    <row r="402" spans="1:14" ht="14.25" customHeight="1" x14ac:dyDescent="0.35">
      <c r="A402" s="46"/>
      <c r="B402" s="46"/>
      <c r="C402" s="47"/>
      <c r="D402" s="48"/>
      <c r="E402" s="48"/>
      <c r="F402" s="49"/>
      <c r="G402" s="49"/>
      <c r="H402" s="50">
        <v>0</v>
      </c>
      <c r="I402" s="51"/>
      <c r="J402" s="110" t="str">
        <f t="shared" si="16"/>
        <v/>
      </c>
      <c r="K402" s="46"/>
      <c r="M402" s="463" t="str" cm="1">
        <f t="array" ref="M402">IF(AND(L402="On Hold",E402&lt;&gt;"",H402&gt;0),IFERROR(_xlfn.LET(_xlpm.stopSell,EDATE(E402,-'FEFO Analysis'!$B$4),_xlpm.cumAtStop,SUMIFS('Planning Engine'!$F$4:$F$2331,'Planning Engine'!$B$4:$B$2331,A402,'Planning Engine'!$A$4:$A$2331,"&lt;="&amp;_xlpm.stopSell),_xlpm.threshold,_xlpm.cumAtStop-H402,IF(_xlpm.threshold&lt;=0,_xlfn.AGGREGATE(15,6,'Planning Engine'!$A$4:$A$2331/('Planning Engine'!$B$4:$B$2331=A402),1),_xlfn.AGGREGATE(15,6,'Planning Engine'!$A$4:$A$2331/(('Planning Engine'!$B$4:$B$2331=A402)*('Planning Engine'!$AB$4:$AB$2331&gt;_xlpm.threshold)),1))),""),"")</f>
        <v/>
      </c>
      <c r="N402" s="459" t="str">
        <f ca="1">IF(M402="","",M402-TODAY())</f>
        <v/>
      </c>
    </row>
    <row r="403" spans="1:14" ht="14.25" customHeight="1" x14ac:dyDescent="0.35">
      <c r="A403" s="46"/>
      <c r="B403" s="46"/>
      <c r="C403" s="47"/>
      <c r="D403" s="48"/>
      <c r="E403" s="48"/>
      <c r="F403" s="49"/>
      <c r="G403" s="49"/>
      <c r="H403" s="50">
        <v>0</v>
      </c>
      <c r="I403" s="51"/>
      <c r="J403" s="110" t="str">
        <f t="shared" si="16"/>
        <v/>
      </c>
      <c r="K403" s="46"/>
      <c r="M403" s="463" t="str" cm="1">
        <f t="array" ref="M403">IF(AND(L403="On Hold",E403&lt;&gt;"",H403&gt;0),IFERROR(_xlfn.LET(_xlpm.stopSell,EDATE(E403,-'FEFO Analysis'!$B$4),_xlpm.cumAtStop,SUMIFS('Planning Engine'!$F$4:$F$2331,'Planning Engine'!$B$4:$B$2331,A403,'Planning Engine'!$A$4:$A$2331,"&lt;="&amp;_xlpm.stopSell),_xlpm.threshold,_xlpm.cumAtStop-H403,IF(_xlpm.threshold&lt;=0,_xlfn.AGGREGATE(15,6,'Planning Engine'!$A$4:$A$2331/('Planning Engine'!$B$4:$B$2331=A403),1),_xlfn.AGGREGATE(15,6,'Planning Engine'!$A$4:$A$2331/(('Planning Engine'!$B$4:$B$2331=A403)*('Planning Engine'!$AB$4:$AB$2331&gt;_xlpm.threshold)),1))),""),"")</f>
        <v/>
      </c>
      <c r="N403" s="459" t="str">
        <f ca="1">IF(M403="","",M403-TODAY())</f>
        <v/>
      </c>
    </row>
    <row r="404" spans="1:14" ht="14.25" customHeight="1" x14ac:dyDescent="0.35">
      <c r="A404" s="46"/>
      <c r="B404" s="46"/>
      <c r="C404" s="47"/>
      <c r="D404" s="48"/>
      <c r="E404" s="48"/>
      <c r="F404" s="49"/>
      <c r="G404" s="49"/>
      <c r="H404" s="50">
        <v>0</v>
      </c>
      <c r="I404" s="51"/>
      <c r="J404" s="110" t="str">
        <f t="shared" si="16"/>
        <v/>
      </c>
      <c r="K404" s="46"/>
      <c r="M404" s="463" t="str" cm="1">
        <f t="array" ref="M404">IF(AND(L404="On Hold",E404&lt;&gt;"",H404&gt;0),IFERROR(_xlfn.LET(_xlpm.stopSell,EDATE(E404,-'FEFO Analysis'!$B$4),_xlpm.cumAtStop,SUMIFS('Planning Engine'!$F$4:$F$2331,'Planning Engine'!$B$4:$B$2331,A404,'Planning Engine'!$A$4:$A$2331,"&lt;="&amp;_xlpm.stopSell),_xlpm.threshold,_xlpm.cumAtStop-H404,IF(_xlpm.threshold&lt;=0,_xlfn.AGGREGATE(15,6,'Planning Engine'!$A$4:$A$2331/('Planning Engine'!$B$4:$B$2331=A404),1),_xlfn.AGGREGATE(15,6,'Planning Engine'!$A$4:$A$2331/(('Planning Engine'!$B$4:$B$2331=A404)*('Planning Engine'!$AB$4:$AB$2331&gt;_xlpm.threshold)),1))),""),"")</f>
        <v/>
      </c>
      <c r="N404" s="459" t="str">
        <f ca="1">IF(M404="","",M404-TODAY())</f>
        <v/>
      </c>
    </row>
    <row r="405" spans="1:14" ht="14.25" customHeight="1" x14ac:dyDescent="0.35">
      <c r="A405" s="46"/>
      <c r="B405" s="46"/>
      <c r="C405" s="47"/>
      <c r="D405" s="48"/>
      <c r="E405" s="48"/>
      <c r="F405" s="49"/>
      <c r="G405" s="49"/>
      <c r="H405" s="50">
        <v>0</v>
      </c>
      <c r="I405" s="51"/>
      <c r="J405" s="110" t="str">
        <f t="shared" si="16"/>
        <v/>
      </c>
      <c r="K405" s="46"/>
      <c r="M405" s="463" t="str" cm="1">
        <f t="array" ref="M405">IF(AND(L405="On Hold",E405&lt;&gt;"",H405&gt;0),IFERROR(_xlfn.LET(_xlpm.stopSell,EDATE(E405,-'FEFO Analysis'!$B$4),_xlpm.cumAtStop,SUMIFS('Planning Engine'!$F$4:$F$2331,'Planning Engine'!$B$4:$B$2331,A405,'Planning Engine'!$A$4:$A$2331,"&lt;="&amp;_xlpm.stopSell),_xlpm.threshold,_xlpm.cumAtStop-H405,IF(_xlpm.threshold&lt;=0,_xlfn.AGGREGATE(15,6,'Planning Engine'!$A$4:$A$2331/('Planning Engine'!$B$4:$B$2331=A405),1),_xlfn.AGGREGATE(15,6,'Planning Engine'!$A$4:$A$2331/(('Planning Engine'!$B$4:$B$2331=A405)*('Planning Engine'!$AB$4:$AB$2331&gt;_xlpm.threshold)),1))),""),"")</f>
        <v/>
      </c>
      <c r="N405" s="459" t="str">
        <f ca="1">IF(M405="","",M405-TODAY())</f>
        <v/>
      </c>
    </row>
    <row r="406" spans="1:14" ht="14.25" customHeight="1" x14ac:dyDescent="0.35">
      <c r="A406" s="46"/>
      <c r="B406" s="46"/>
      <c r="C406" s="47"/>
      <c r="D406" s="48"/>
      <c r="E406" s="48"/>
      <c r="F406" s="49"/>
      <c r="G406" s="49"/>
      <c r="H406" s="50">
        <v>0</v>
      </c>
      <c r="I406" s="51"/>
      <c r="J406" s="110" t="str">
        <f t="shared" si="16"/>
        <v/>
      </c>
      <c r="K406" s="46"/>
      <c r="M406" s="463" t="str" cm="1">
        <f t="array" ref="M406">IF(AND(L406="On Hold",E406&lt;&gt;"",H406&gt;0),IFERROR(_xlfn.LET(_xlpm.stopSell,EDATE(E406,-'FEFO Analysis'!$B$4),_xlpm.cumAtStop,SUMIFS('Planning Engine'!$F$4:$F$2331,'Planning Engine'!$B$4:$B$2331,A406,'Planning Engine'!$A$4:$A$2331,"&lt;="&amp;_xlpm.stopSell),_xlpm.threshold,_xlpm.cumAtStop-H406,IF(_xlpm.threshold&lt;=0,_xlfn.AGGREGATE(15,6,'Planning Engine'!$A$4:$A$2331/('Planning Engine'!$B$4:$B$2331=A406),1),_xlfn.AGGREGATE(15,6,'Planning Engine'!$A$4:$A$2331/(('Planning Engine'!$B$4:$B$2331=A406)*('Planning Engine'!$AB$4:$AB$2331&gt;_xlpm.threshold)),1))),""),"")</f>
        <v/>
      </c>
      <c r="N406" s="459" t="str">
        <f ca="1">IF(M406="","",M406-TODAY())</f>
        <v/>
      </c>
    </row>
    <row r="407" spans="1:14" ht="14.25" customHeight="1" x14ac:dyDescent="0.35">
      <c r="A407" s="46"/>
      <c r="B407" s="46"/>
      <c r="C407" s="47"/>
      <c r="D407" s="48"/>
      <c r="E407" s="48"/>
      <c r="F407" s="49"/>
      <c r="G407" s="49"/>
      <c r="H407" s="50">
        <v>0</v>
      </c>
      <c r="I407" s="51"/>
      <c r="J407" s="110" t="str">
        <f t="shared" si="16"/>
        <v/>
      </c>
      <c r="K407" s="46"/>
      <c r="M407" s="463" t="str" cm="1">
        <f t="array" ref="M407">IF(AND(L407="On Hold",E407&lt;&gt;"",H407&gt;0),IFERROR(_xlfn.LET(_xlpm.stopSell,EDATE(E407,-'FEFO Analysis'!$B$4),_xlpm.cumAtStop,SUMIFS('Planning Engine'!$F$4:$F$2331,'Planning Engine'!$B$4:$B$2331,A407,'Planning Engine'!$A$4:$A$2331,"&lt;="&amp;_xlpm.stopSell),_xlpm.threshold,_xlpm.cumAtStop-H407,IF(_xlpm.threshold&lt;=0,_xlfn.AGGREGATE(15,6,'Planning Engine'!$A$4:$A$2331/('Planning Engine'!$B$4:$B$2331=A407),1),_xlfn.AGGREGATE(15,6,'Planning Engine'!$A$4:$A$2331/(('Planning Engine'!$B$4:$B$2331=A407)*('Planning Engine'!$AB$4:$AB$2331&gt;_xlpm.threshold)),1))),""),"")</f>
        <v/>
      </c>
      <c r="N407" s="459" t="str">
        <f ca="1">IF(M407="","",M407-TODAY())</f>
        <v/>
      </c>
    </row>
    <row r="408" spans="1:14" ht="14.25" customHeight="1" x14ac:dyDescent="0.35">
      <c r="A408" s="46"/>
      <c r="B408" s="46"/>
      <c r="C408" s="47"/>
      <c r="D408" s="48"/>
      <c r="E408" s="48"/>
      <c r="F408" s="49"/>
      <c r="G408" s="49"/>
      <c r="H408" s="50">
        <v>0</v>
      </c>
      <c r="I408" s="51"/>
      <c r="J408" s="110" t="str">
        <f t="shared" si="16"/>
        <v/>
      </c>
      <c r="K408" s="46"/>
      <c r="M408" s="463" t="str" cm="1">
        <f t="array" ref="M408">IF(AND(L408="On Hold",E408&lt;&gt;"",H408&gt;0),IFERROR(_xlfn.LET(_xlpm.stopSell,EDATE(E408,-'FEFO Analysis'!$B$4),_xlpm.cumAtStop,SUMIFS('Planning Engine'!$F$4:$F$2331,'Planning Engine'!$B$4:$B$2331,A408,'Planning Engine'!$A$4:$A$2331,"&lt;="&amp;_xlpm.stopSell),_xlpm.threshold,_xlpm.cumAtStop-H408,IF(_xlpm.threshold&lt;=0,_xlfn.AGGREGATE(15,6,'Planning Engine'!$A$4:$A$2331/('Planning Engine'!$B$4:$B$2331=A408),1),_xlfn.AGGREGATE(15,6,'Planning Engine'!$A$4:$A$2331/(('Planning Engine'!$B$4:$B$2331=A408)*('Planning Engine'!$AB$4:$AB$2331&gt;_xlpm.threshold)),1))),""),"")</f>
        <v/>
      </c>
      <c r="N408" s="459" t="str">
        <f ca="1">IF(M408="","",M408-TODAY())</f>
        <v/>
      </c>
    </row>
    <row r="409" spans="1:14" ht="14.25" customHeight="1" x14ac:dyDescent="0.35">
      <c r="A409" s="46"/>
      <c r="B409" s="46"/>
      <c r="C409" s="47"/>
      <c r="D409" s="48"/>
      <c r="E409" s="48"/>
      <c r="F409" s="49"/>
      <c r="G409" s="49"/>
      <c r="H409" s="50">
        <v>0</v>
      </c>
      <c r="I409" s="51"/>
      <c r="J409" s="110" t="str">
        <f t="shared" si="16"/>
        <v/>
      </c>
      <c r="K409" s="46"/>
      <c r="M409" s="463" t="str" cm="1">
        <f t="array" ref="M409">IF(AND(L409="On Hold",E409&lt;&gt;"",H409&gt;0),IFERROR(_xlfn.LET(_xlpm.stopSell,EDATE(E409,-'FEFO Analysis'!$B$4),_xlpm.cumAtStop,SUMIFS('Planning Engine'!$F$4:$F$2331,'Planning Engine'!$B$4:$B$2331,A409,'Planning Engine'!$A$4:$A$2331,"&lt;="&amp;_xlpm.stopSell),_xlpm.threshold,_xlpm.cumAtStop-H409,IF(_xlpm.threshold&lt;=0,_xlfn.AGGREGATE(15,6,'Planning Engine'!$A$4:$A$2331/('Planning Engine'!$B$4:$B$2331=A409),1),_xlfn.AGGREGATE(15,6,'Planning Engine'!$A$4:$A$2331/(('Planning Engine'!$B$4:$B$2331=A409)*('Planning Engine'!$AB$4:$AB$2331&gt;_xlpm.threshold)),1))),""),"")</f>
        <v/>
      </c>
      <c r="N409" s="459" t="str">
        <f ca="1">IF(M409="","",M409-TODAY())</f>
        <v/>
      </c>
    </row>
    <row r="410" spans="1:14" ht="14.25" customHeight="1" x14ac:dyDescent="0.35">
      <c r="A410" s="46"/>
      <c r="B410" s="46"/>
      <c r="C410" s="47"/>
      <c r="D410" s="48"/>
      <c r="E410" s="48"/>
      <c r="F410" s="49"/>
      <c r="G410" s="49"/>
      <c r="H410" s="50">
        <v>0</v>
      </c>
      <c r="I410" s="51"/>
      <c r="J410" s="110" t="str">
        <f t="shared" si="16"/>
        <v/>
      </c>
      <c r="K410" s="46"/>
      <c r="M410" s="463" t="str" cm="1">
        <f t="array" ref="M410">IF(AND(L410="On Hold",E410&lt;&gt;"",H410&gt;0),IFERROR(_xlfn.LET(_xlpm.stopSell,EDATE(E410,-'FEFO Analysis'!$B$4),_xlpm.cumAtStop,SUMIFS('Planning Engine'!$F$4:$F$2331,'Planning Engine'!$B$4:$B$2331,A410,'Planning Engine'!$A$4:$A$2331,"&lt;="&amp;_xlpm.stopSell),_xlpm.threshold,_xlpm.cumAtStop-H410,IF(_xlpm.threshold&lt;=0,_xlfn.AGGREGATE(15,6,'Planning Engine'!$A$4:$A$2331/('Planning Engine'!$B$4:$B$2331=A410),1),_xlfn.AGGREGATE(15,6,'Planning Engine'!$A$4:$A$2331/(('Planning Engine'!$B$4:$B$2331=A410)*('Planning Engine'!$AB$4:$AB$2331&gt;_xlpm.threshold)),1))),""),"")</f>
        <v/>
      </c>
      <c r="N410" s="459" t="str">
        <f ca="1">IF(M410="","",M410-TODAY())</f>
        <v/>
      </c>
    </row>
    <row r="411" spans="1:14" ht="14.25" customHeight="1" x14ac:dyDescent="0.35">
      <c r="A411" s="46"/>
      <c r="B411" s="46"/>
      <c r="C411" s="47"/>
      <c r="D411" s="48"/>
      <c r="E411" s="48"/>
      <c r="F411" s="49"/>
      <c r="G411" s="49"/>
      <c r="H411" s="50">
        <v>0</v>
      </c>
      <c r="I411" s="51"/>
      <c r="J411" s="110" t="str">
        <f t="shared" si="16"/>
        <v/>
      </c>
      <c r="K411" s="46"/>
      <c r="M411" s="463" t="str" cm="1">
        <f t="array" ref="M411">IF(AND(L411="On Hold",E411&lt;&gt;"",H411&gt;0),IFERROR(_xlfn.LET(_xlpm.stopSell,EDATE(E411,-'FEFO Analysis'!$B$4),_xlpm.cumAtStop,SUMIFS('Planning Engine'!$F$4:$F$2331,'Planning Engine'!$B$4:$B$2331,A411,'Planning Engine'!$A$4:$A$2331,"&lt;="&amp;_xlpm.stopSell),_xlpm.threshold,_xlpm.cumAtStop-H411,IF(_xlpm.threshold&lt;=0,_xlfn.AGGREGATE(15,6,'Planning Engine'!$A$4:$A$2331/('Planning Engine'!$B$4:$B$2331=A411),1),_xlfn.AGGREGATE(15,6,'Planning Engine'!$A$4:$A$2331/(('Planning Engine'!$B$4:$B$2331=A411)*('Planning Engine'!$AB$4:$AB$2331&gt;_xlpm.threshold)),1))),""),"")</f>
        <v/>
      </c>
      <c r="N411" s="459" t="str">
        <f ca="1">IF(M411="","",M411-TODAY())</f>
        <v/>
      </c>
    </row>
    <row r="412" spans="1:14" ht="14.25" customHeight="1" x14ac:dyDescent="0.35">
      <c r="A412" s="46"/>
      <c r="B412" s="46"/>
      <c r="C412" s="47"/>
      <c r="D412" s="48"/>
      <c r="E412" s="48"/>
      <c r="F412" s="49"/>
      <c r="G412" s="49"/>
      <c r="H412" s="50">
        <v>0</v>
      </c>
      <c r="I412" s="51"/>
      <c r="J412" s="110" t="str">
        <f t="shared" si="16"/>
        <v/>
      </c>
      <c r="K412" s="46"/>
      <c r="M412" s="463" t="str" cm="1">
        <f t="array" ref="M412">IF(AND(L412="On Hold",E412&lt;&gt;"",H412&gt;0),IFERROR(_xlfn.LET(_xlpm.stopSell,EDATE(E412,-'FEFO Analysis'!$B$4),_xlpm.cumAtStop,SUMIFS('Planning Engine'!$F$4:$F$2331,'Planning Engine'!$B$4:$B$2331,A412,'Planning Engine'!$A$4:$A$2331,"&lt;="&amp;_xlpm.stopSell),_xlpm.threshold,_xlpm.cumAtStop-H412,IF(_xlpm.threshold&lt;=0,_xlfn.AGGREGATE(15,6,'Planning Engine'!$A$4:$A$2331/('Planning Engine'!$B$4:$B$2331=A412),1),_xlfn.AGGREGATE(15,6,'Planning Engine'!$A$4:$A$2331/(('Planning Engine'!$B$4:$B$2331=A412)*('Planning Engine'!$AB$4:$AB$2331&gt;_xlpm.threshold)),1))),""),"")</f>
        <v/>
      </c>
      <c r="N412" s="459" t="str">
        <f ca="1">IF(M412="","",M412-TODAY())</f>
        <v/>
      </c>
    </row>
    <row r="413" spans="1:14" ht="14.25" customHeight="1" x14ac:dyDescent="0.35">
      <c r="A413" s="46"/>
      <c r="B413" s="46"/>
      <c r="C413" s="47"/>
      <c r="D413" s="48"/>
      <c r="E413" s="48"/>
      <c r="F413" s="49"/>
      <c r="G413" s="49"/>
      <c r="H413" s="50">
        <v>0</v>
      </c>
      <c r="I413" s="51"/>
      <c r="J413" s="110" t="str">
        <f t="shared" si="16"/>
        <v/>
      </c>
      <c r="K413" s="46"/>
      <c r="M413" s="463" t="str" cm="1">
        <f t="array" ref="M413">IF(AND(L413="On Hold",E413&lt;&gt;"",H413&gt;0),IFERROR(_xlfn.LET(_xlpm.stopSell,EDATE(E413,-'FEFO Analysis'!$B$4),_xlpm.cumAtStop,SUMIFS('Planning Engine'!$F$4:$F$2331,'Planning Engine'!$B$4:$B$2331,A413,'Planning Engine'!$A$4:$A$2331,"&lt;="&amp;_xlpm.stopSell),_xlpm.threshold,_xlpm.cumAtStop-H413,IF(_xlpm.threshold&lt;=0,_xlfn.AGGREGATE(15,6,'Planning Engine'!$A$4:$A$2331/('Planning Engine'!$B$4:$B$2331=A413),1),_xlfn.AGGREGATE(15,6,'Planning Engine'!$A$4:$A$2331/(('Planning Engine'!$B$4:$B$2331=A413)*('Planning Engine'!$AB$4:$AB$2331&gt;_xlpm.threshold)),1))),""),"")</f>
        <v/>
      </c>
      <c r="N413" s="459" t="str">
        <f ca="1">IF(M413="","",M413-TODAY())</f>
        <v/>
      </c>
    </row>
    <row r="414" spans="1:14" ht="14.25" customHeight="1" x14ac:dyDescent="0.35">
      <c r="A414" s="46"/>
      <c r="B414" s="46"/>
      <c r="C414" s="47"/>
      <c r="D414" s="48"/>
      <c r="E414" s="48"/>
      <c r="F414" s="49"/>
      <c r="G414" s="49"/>
      <c r="H414" s="50">
        <v>0</v>
      </c>
      <c r="I414" s="51"/>
      <c r="J414" s="110" t="str">
        <f t="shared" si="16"/>
        <v/>
      </c>
      <c r="K414" s="46"/>
      <c r="M414" s="463" t="str" cm="1">
        <f t="array" ref="M414">IF(AND(L414="On Hold",E414&lt;&gt;"",H414&gt;0),IFERROR(_xlfn.LET(_xlpm.stopSell,EDATE(E414,-'FEFO Analysis'!$B$4),_xlpm.cumAtStop,SUMIFS('Planning Engine'!$F$4:$F$2331,'Planning Engine'!$B$4:$B$2331,A414,'Planning Engine'!$A$4:$A$2331,"&lt;="&amp;_xlpm.stopSell),_xlpm.threshold,_xlpm.cumAtStop-H414,IF(_xlpm.threshold&lt;=0,_xlfn.AGGREGATE(15,6,'Planning Engine'!$A$4:$A$2331/('Planning Engine'!$B$4:$B$2331=A414),1),_xlfn.AGGREGATE(15,6,'Planning Engine'!$A$4:$A$2331/(('Planning Engine'!$B$4:$B$2331=A414)*('Planning Engine'!$AB$4:$AB$2331&gt;_xlpm.threshold)),1))),""),"")</f>
        <v/>
      </c>
      <c r="N414" s="459" t="str">
        <f ca="1">IF(M414="","",M414-TODAY())</f>
        <v/>
      </c>
    </row>
    <row r="415" spans="1:14" ht="14.25" customHeight="1" x14ac:dyDescent="0.35">
      <c r="A415" s="46"/>
      <c r="B415" s="46"/>
      <c r="C415" s="47"/>
      <c r="D415" s="48"/>
      <c r="E415" s="48"/>
      <c r="F415" s="49"/>
      <c r="G415" s="49"/>
      <c r="H415" s="50">
        <v>0</v>
      </c>
      <c r="I415" s="51"/>
      <c r="J415" s="110" t="str">
        <f t="shared" si="16"/>
        <v/>
      </c>
      <c r="K415" s="46"/>
      <c r="M415" s="463" t="str" cm="1">
        <f t="array" ref="M415">IF(AND(L415="On Hold",E415&lt;&gt;"",H415&gt;0),IFERROR(_xlfn.LET(_xlpm.stopSell,EDATE(E415,-'FEFO Analysis'!$B$4),_xlpm.cumAtStop,SUMIFS('Planning Engine'!$F$4:$F$2331,'Planning Engine'!$B$4:$B$2331,A415,'Planning Engine'!$A$4:$A$2331,"&lt;="&amp;_xlpm.stopSell),_xlpm.threshold,_xlpm.cumAtStop-H415,IF(_xlpm.threshold&lt;=0,_xlfn.AGGREGATE(15,6,'Planning Engine'!$A$4:$A$2331/('Planning Engine'!$B$4:$B$2331=A415),1),_xlfn.AGGREGATE(15,6,'Planning Engine'!$A$4:$A$2331/(('Planning Engine'!$B$4:$B$2331=A415)*('Planning Engine'!$AB$4:$AB$2331&gt;_xlpm.threshold)),1))),""),"")</f>
        <v/>
      </c>
      <c r="N415" s="459" t="str">
        <f ca="1">IF(M415="","",M415-TODAY())</f>
        <v/>
      </c>
    </row>
    <row r="416" spans="1:14" ht="14.25" customHeight="1" x14ac:dyDescent="0.35">
      <c r="A416" s="46"/>
      <c r="B416" s="46"/>
      <c r="C416" s="47"/>
      <c r="D416" s="48"/>
      <c r="E416" s="48"/>
      <c r="F416" s="49"/>
      <c r="G416" s="49"/>
      <c r="H416" s="50">
        <v>0</v>
      </c>
      <c r="I416" s="51"/>
      <c r="J416" s="110" t="str">
        <f t="shared" si="16"/>
        <v/>
      </c>
      <c r="K416" s="46"/>
      <c r="M416" s="463" t="str" cm="1">
        <f t="array" ref="M416">IF(AND(L416="On Hold",E416&lt;&gt;"",H416&gt;0),IFERROR(_xlfn.LET(_xlpm.stopSell,EDATE(E416,-'FEFO Analysis'!$B$4),_xlpm.cumAtStop,SUMIFS('Planning Engine'!$F$4:$F$2331,'Planning Engine'!$B$4:$B$2331,A416,'Planning Engine'!$A$4:$A$2331,"&lt;="&amp;_xlpm.stopSell),_xlpm.threshold,_xlpm.cumAtStop-H416,IF(_xlpm.threshold&lt;=0,_xlfn.AGGREGATE(15,6,'Planning Engine'!$A$4:$A$2331/('Planning Engine'!$B$4:$B$2331=A416),1),_xlfn.AGGREGATE(15,6,'Planning Engine'!$A$4:$A$2331/(('Planning Engine'!$B$4:$B$2331=A416)*('Planning Engine'!$AB$4:$AB$2331&gt;_xlpm.threshold)),1))),""),"")</f>
        <v/>
      </c>
      <c r="N416" s="459" t="str">
        <f ca="1">IF(M416="","",M416-TODAY())</f>
        <v/>
      </c>
    </row>
    <row r="417" spans="1:14" ht="14.25" customHeight="1" x14ac:dyDescent="0.35">
      <c r="A417" s="46"/>
      <c r="B417" s="46"/>
      <c r="C417" s="47"/>
      <c r="D417" s="48"/>
      <c r="E417" s="48"/>
      <c r="F417" s="49"/>
      <c r="G417" s="49"/>
      <c r="H417" s="50">
        <v>0</v>
      </c>
      <c r="I417" s="51"/>
      <c r="J417" s="110" t="str">
        <f t="shared" si="16"/>
        <v/>
      </c>
      <c r="K417" s="46"/>
      <c r="M417" s="463" t="str" cm="1">
        <f t="array" ref="M417">IF(AND(L417="On Hold",E417&lt;&gt;"",H417&gt;0),IFERROR(_xlfn.LET(_xlpm.stopSell,EDATE(E417,-'FEFO Analysis'!$B$4),_xlpm.cumAtStop,SUMIFS('Planning Engine'!$F$4:$F$2331,'Planning Engine'!$B$4:$B$2331,A417,'Planning Engine'!$A$4:$A$2331,"&lt;="&amp;_xlpm.stopSell),_xlpm.threshold,_xlpm.cumAtStop-H417,IF(_xlpm.threshold&lt;=0,_xlfn.AGGREGATE(15,6,'Planning Engine'!$A$4:$A$2331/('Planning Engine'!$B$4:$B$2331=A417),1),_xlfn.AGGREGATE(15,6,'Planning Engine'!$A$4:$A$2331/(('Planning Engine'!$B$4:$B$2331=A417)*('Planning Engine'!$AB$4:$AB$2331&gt;_xlpm.threshold)),1))),""),"")</f>
        <v/>
      </c>
      <c r="N417" s="459" t="str">
        <f ca="1">IF(M417="","",M417-TODAY())</f>
        <v/>
      </c>
    </row>
    <row r="418" spans="1:14" ht="14.25" customHeight="1" x14ac:dyDescent="0.35">
      <c r="A418" s="46"/>
      <c r="B418" s="46"/>
      <c r="C418" s="47"/>
      <c r="D418" s="48"/>
      <c r="E418" s="48"/>
      <c r="F418" s="49"/>
      <c r="G418" s="49"/>
      <c r="H418" s="50">
        <v>0</v>
      </c>
      <c r="I418" s="51"/>
      <c r="J418" s="110" t="str">
        <f t="shared" si="16"/>
        <v/>
      </c>
      <c r="K418" s="46"/>
      <c r="M418" s="463" t="str" cm="1">
        <f t="array" ref="M418">IF(AND(L418="On Hold",E418&lt;&gt;"",H418&gt;0),IFERROR(_xlfn.LET(_xlpm.stopSell,EDATE(E418,-'FEFO Analysis'!$B$4),_xlpm.cumAtStop,SUMIFS('Planning Engine'!$F$4:$F$2331,'Planning Engine'!$B$4:$B$2331,A418,'Planning Engine'!$A$4:$A$2331,"&lt;="&amp;_xlpm.stopSell),_xlpm.threshold,_xlpm.cumAtStop-H418,IF(_xlpm.threshold&lt;=0,_xlfn.AGGREGATE(15,6,'Planning Engine'!$A$4:$A$2331/('Planning Engine'!$B$4:$B$2331=A418),1),_xlfn.AGGREGATE(15,6,'Planning Engine'!$A$4:$A$2331/(('Planning Engine'!$B$4:$B$2331=A418)*('Planning Engine'!$AB$4:$AB$2331&gt;_xlpm.threshold)),1))),""),"")</f>
        <v/>
      </c>
      <c r="N418" s="459" t="str">
        <f ca="1">IF(M418="","",M418-TODAY())</f>
        <v/>
      </c>
    </row>
    <row r="419" spans="1:14" ht="14.25" customHeight="1" x14ac:dyDescent="0.35">
      <c r="A419" s="46"/>
      <c r="B419" s="46"/>
      <c r="C419" s="47"/>
      <c r="D419" s="48"/>
      <c r="E419" s="48"/>
      <c r="F419" s="49"/>
      <c r="G419" s="49"/>
      <c r="H419" s="50">
        <v>0</v>
      </c>
      <c r="I419" s="51"/>
      <c r="J419" s="110" t="str">
        <f t="shared" si="16"/>
        <v/>
      </c>
      <c r="K419" s="46"/>
      <c r="M419" s="463" t="str" cm="1">
        <f t="array" ref="M419">IF(AND(L419="On Hold",E419&lt;&gt;"",H419&gt;0),IFERROR(_xlfn.LET(_xlpm.stopSell,EDATE(E419,-'FEFO Analysis'!$B$4),_xlpm.cumAtStop,SUMIFS('Planning Engine'!$F$4:$F$2331,'Planning Engine'!$B$4:$B$2331,A419,'Planning Engine'!$A$4:$A$2331,"&lt;="&amp;_xlpm.stopSell),_xlpm.threshold,_xlpm.cumAtStop-H419,IF(_xlpm.threshold&lt;=0,_xlfn.AGGREGATE(15,6,'Planning Engine'!$A$4:$A$2331/('Planning Engine'!$B$4:$B$2331=A419),1),_xlfn.AGGREGATE(15,6,'Planning Engine'!$A$4:$A$2331/(('Planning Engine'!$B$4:$B$2331=A419)*('Planning Engine'!$AB$4:$AB$2331&gt;_xlpm.threshold)),1))),""),"")</f>
        <v/>
      </c>
      <c r="N419" s="459" t="str">
        <f ca="1">IF(M419="","",M419-TODAY())</f>
        <v/>
      </c>
    </row>
    <row r="420" spans="1:14" ht="14.25" customHeight="1" x14ac:dyDescent="0.35">
      <c r="A420" s="46"/>
      <c r="B420" s="46"/>
      <c r="C420" s="47"/>
      <c r="D420" s="48"/>
      <c r="E420" s="48"/>
      <c r="F420" s="49"/>
      <c r="G420" s="49"/>
      <c r="H420" s="50">
        <v>0</v>
      </c>
      <c r="I420" s="51"/>
      <c r="J420" s="110" t="str">
        <f t="shared" si="16"/>
        <v/>
      </c>
      <c r="K420" s="46"/>
      <c r="M420" s="463" t="str" cm="1">
        <f t="array" ref="M420">IF(AND(L420="On Hold",E420&lt;&gt;"",H420&gt;0),IFERROR(_xlfn.LET(_xlpm.stopSell,EDATE(E420,-'FEFO Analysis'!$B$4),_xlpm.cumAtStop,SUMIFS('Planning Engine'!$F$4:$F$2331,'Planning Engine'!$B$4:$B$2331,A420,'Planning Engine'!$A$4:$A$2331,"&lt;="&amp;_xlpm.stopSell),_xlpm.threshold,_xlpm.cumAtStop-H420,IF(_xlpm.threshold&lt;=0,_xlfn.AGGREGATE(15,6,'Planning Engine'!$A$4:$A$2331/('Planning Engine'!$B$4:$B$2331=A420),1),_xlfn.AGGREGATE(15,6,'Planning Engine'!$A$4:$A$2331/(('Planning Engine'!$B$4:$B$2331=A420)*('Planning Engine'!$AB$4:$AB$2331&gt;_xlpm.threshold)),1))),""),"")</f>
        <v/>
      </c>
      <c r="N420" s="459" t="str">
        <f ca="1">IF(M420="","",M420-TODAY())</f>
        <v/>
      </c>
    </row>
    <row r="421" spans="1:14" ht="14.25" customHeight="1" x14ac:dyDescent="0.35">
      <c r="A421" s="46"/>
      <c r="B421" s="46"/>
      <c r="C421" s="47"/>
      <c r="D421" s="48"/>
      <c r="E421" s="48"/>
      <c r="F421" s="49"/>
      <c r="G421" s="49"/>
      <c r="H421" s="50">
        <v>0</v>
      </c>
      <c r="I421" s="51"/>
      <c r="J421" s="110" t="str">
        <f t="shared" si="16"/>
        <v/>
      </c>
      <c r="K421" s="46"/>
      <c r="M421" s="463" t="str" cm="1">
        <f t="array" ref="M421">IF(AND(L421="On Hold",E421&lt;&gt;"",H421&gt;0),IFERROR(_xlfn.LET(_xlpm.stopSell,EDATE(E421,-'FEFO Analysis'!$B$4),_xlpm.cumAtStop,SUMIFS('Planning Engine'!$F$4:$F$2331,'Planning Engine'!$B$4:$B$2331,A421,'Planning Engine'!$A$4:$A$2331,"&lt;="&amp;_xlpm.stopSell),_xlpm.threshold,_xlpm.cumAtStop-H421,IF(_xlpm.threshold&lt;=0,_xlfn.AGGREGATE(15,6,'Planning Engine'!$A$4:$A$2331/('Planning Engine'!$B$4:$B$2331=A421),1),_xlfn.AGGREGATE(15,6,'Planning Engine'!$A$4:$A$2331/(('Planning Engine'!$B$4:$B$2331=A421)*('Planning Engine'!$AB$4:$AB$2331&gt;_xlpm.threshold)),1))),""),"")</f>
        <v/>
      </c>
      <c r="N421" s="459" t="str">
        <f ca="1">IF(M421="","",M421-TODAY())</f>
        <v/>
      </c>
    </row>
    <row r="422" spans="1:14" ht="14.25" customHeight="1" x14ac:dyDescent="0.35">
      <c r="A422" s="46"/>
      <c r="B422" s="46"/>
      <c r="C422" s="47"/>
      <c r="D422" s="48"/>
      <c r="E422" s="48"/>
      <c r="F422" s="49"/>
      <c r="G422" s="49"/>
      <c r="H422" s="50">
        <v>0</v>
      </c>
      <c r="I422" s="51"/>
      <c r="J422" s="110" t="str">
        <f t="shared" si="16"/>
        <v/>
      </c>
      <c r="K422" s="46"/>
      <c r="M422" s="463" t="str" cm="1">
        <f t="array" ref="M422">IF(AND(L422="On Hold",E422&lt;&gt;"",H422&gt;0),IFERROR(_xlfn.LET(_xlpm.stopSell,EDATE(E422,-'FEFO Analysis'!$B$4),_xlpm.cumAtStop,SUMIFS('Planning Engine'!$F$4:$F$2331,'Planning Engine'!$B$4:$B$2331,A422,'Planning Engine'!$A$4:$A$2331,"&lt;="&amp;_xlpm.stopSell),_xlpm.threshold,_xlpm.cumAtStop-H422,IF(_xlpm.threshold&lt;=0,_xlfn.AGGREGATE(15,6,'Planning Engine'!$A$4:$A$2331/('Planning Engine'!$B$4:$B$2331=A422),1),_xlfn.AGGREGATE(15,6,'Planning Engine'!$A$4:$A$2331/(('Planning Engine'!$B$4:$B$2331=A422)*('Planning Engine'!$AB$4:$AB$2331&gt;_xlpm.threshold)),1))),""),"")</f>
        <v/>
      </c>
      <c r="N422" s="459" t="str">
        <f ca="1">IF(M422="","",M422-TODAY())</f>
        <v/>
      </c>
    </row>
    <row r="423" spans="1:14" ht="14.25" customHeight="1" x14ac:dyDescent="0.35">
      <c r="A423" s="46"/>
      <c r="B423" s="46"/>
      <c r="C423" s="47"/>
      <c r="D423" s="48"/>
      <c r="E423" s="48"/>
      <c r="F423" s="49"/>
      <c r="G423" s="49"/>
      <c r="H423" s="50">
        <v>0</v>
      </c>
      <c r="I423" s="51"/>
      <c r="J423" s="110" t="str">
        <f t="shared" si="16"/>
        <v/>
      </c>
      <c r="K423" s="46"/>
      <c r="M423" s="463" t="str" cm="1">
        <f t="array" ref="M423">IF(AND(L423="On Hold",E423&lt;&gt;"",H423&gt;0),IFERROR(_xlfn.LET(_xlpm.stopSell,EDATE(E423,-'FEFO Analysis'!$B$4),_xlpm.cumAtStop,SUMIFS('Planning Engine'!$F$4:$F$2331,'Planning Engine'!$B$4:$B$2331,A423,'Planning Engine'!$A$4:$A$2331,"&lt;="&amp;_xlpm.stopSell),_xlpm.threshold,_xlpm.cumAtStop-H423,IF(_xlpm.threshold&lt;=0,_xlfn.AGGREGATE(15,6,'Planning Engine'!$A$4:$A$2331/('Planning Engine'!$B$4:$B$2331=A423),1),_xlfn.AGGREGATE(15,6,'Planning Engine'!$A$4:$A$2331/(('Planning Engine'!$B$4:$B$2331=A423)*('Planning Engine'!$AB$4:$AB$2331&gt;_xlpm.threshold)),1))),""),"")</f>
        <v/>
      </c>
      <c r="N423" s="459" t="str">
        <f ca="1">IF(M423="","",M423-TODAY())</f>
        <v/>
      </c>
    </row>
    <row r="424" spans="1:14" ht="14.25" customHeight="1" x14ac:dyDescent="0.35">
      <c r="A424" s="46"/>
      <c r="B424" s="46"/>
      <c r="C424" s="47"/>
      <c r="D424" s="48"/>
      <c r="E424" s="48"/>
      <c r="F424" s="49"/>
      <c r="G424" s="49"/>
      <c r="H424" s="50">
        <v>0</v>
      </c>
      <c r="I424" s="51"/>
      <c r="J424" s="110" t="str">
        <f t="shared" si="16"/>
        <v/>
      </c>
      <c r="K424" s="46"/>
      <c r="M424" s="463" t="str" cm="1">
        <f t="array" ref="M424">IF(AND(L424="On Hold",E424&lt;&gt;"",H424&gt;0),IFERROR(_xlfn.LET(_xlpm.stopSell,EDATE(E424,-'FEFO Analysis'!$B$4),_xlpm.cumAtStop,SUMIFS('Planning Engine'!$F$4:$F$2331,'Planning Engine'!$B$4:$B$2331,A424,'Planning Engine'!$A$4:$A$2331,"&lt;="&amp;_xlpm.stopSell),_xlpm.threshold,_xlpm.cumAtStop-H424,IF(_xlpm.threshold&lt;=0,_xlfn.AGGREGATE(15,6,'Planning Engine'!$A$4:$A$2331/('Planning Engine'!$B$4:$B$2331=A424),1),_xlfn.AGGREGATE(15,6,'Planning Engine'!$A$4:$A$2331/(('Planning Engine'!$B$4:$B$2331=A424)*('Planning Engine'!$AB$4:$AB$2331&gt;_xlpm.threshold)),1))),""),"")</f>
        <v/>
      </c>
      <c r="N424" s="459" t="str">
        <f ca="1">IF(M424="","",M424-TODAY())</f>
        <v/>
      </c>
    </row>
    <row r="425" spans="1:14" ht="14.25" customHeight="1" x14ac:dyDescent="0.35">
      <c r="A425" s="46"/>
      <c r="B425" s="46"/>
      <c r="C425" s="47"/>
      <c r="D425" s="48"/>
      <c r="E425" s="48"/>
      <c r="F425" s="49"/>
      <c r="G425" s="49"/>
      <c r="H425" s="50">
        <v>0</v>
      </c>
      <c r="I425" s="51"/>
      <c r="J425" s="110" t="str">
        <f t="shared" si="16"/>
        <v/>
      </c>
      <c r="K425" s="46"/>
      <c r="M425" s="463" t="str" cm="1">
        <f t="array" ref="M425">IF(AND(L425="On Hold",E425&lt;&gt;"",H425&gt;0),IFERROR(_xlfn.LET(_xlpm.stopSell,EDATE(E425,-'FEFO Analysis'!$B$4),_xlpm.cumAtStop,SUMIFS('Planning Engine'!$F$4:$F$2331,'Planning Engine'!$B$4:$B$2331,A425,'Planning Engine'!$A$4:$A$2331,"&lt;="&amp;_xlpm.stopSell),_xlpm.threshold,_xlpm.cumAtStop-H425,IF(_xlpm.threshold&lt;=0,_xlfn.AGGREGATE(15,6,'Planning Engine'!$A$4:$A$2331/('Planning Engine'!$B$4:$B$2331=A425),1),_xlfn.AGGREGATE(15,6,'Planning Engine'!$A$4:$A$2331/(('Planning Engine'!$B$4:$B$2331=A425)*('Planning Engine'!$AB$4:$AB$2331&gt;_xlpm.threshold)),1))),""),"")</f>
        <v/>
      </c>
      <c r="N425" s="459" t="str">
        <f ca="1">IF(M425="","",M425-TODAY())</f>
        <v/>
      </c>
    </row>
    <row r="426" spans="1:14" ht="14.25" customHeight="1" x14ac:dyDescent="0.35">
      <c r="A426" s="46"/>
      <c r="B426" s="46"/>
      <c r="C426" s="47"/>
      <c r="D426" s="48"/>
      <c r="E426" s="48"/>
      <c r="F426" s="49"/>
      <c r="G426" s="49"/>
      <c r="H426" s="50">
        <v>0</v>
      </c>
      <c r="I426" s="51"/>
      <c r="J426" s="110" t="str">
        <f t="shared" si="16"/>
        <v/>
      </c>
      <c r="K426" s="46"/>
      <c r="M426" s="463" t="str" cm="1">
        <f t="array" ref="M426">IF(AND(L426="On Hold",E426&lt;&gt;"",H426&gt;0),IFERROR(_xlfn.LET(_xlpm.stopSell,EDATE(E426,-'FEFO Analysis'!$B$4),_xlpm.cumAtStop,SUMIFS('Planning Engine'!$F$4:$F$2331,'Planning Engine'!$B$4:$B$2331,A426,'Planning Engine'!$A$4:$A$2331,"&lt;="&amp;_xlpm.stopSell),_xlpm.threshold,_xlpm.cumAtStop-H426,IF(_xlpm.threshold&lt;=0,_xlfn.AGGREGATE(15,6,'Planning Engine'!$A$4:$A$2331/('Planning Engine'!$B$4:$B$2331=A426),1),_xlfn.AGGREGATE(15,6,'Planning Engine'!$A$4:$A$2331/(('Planning Engine'!$B$4:$B$2331=A426)*('Planning Engine'!$AB$4:$AB$2331&gt;_xlpm.threshold)),1))),""),"")</f>
        <v/>
      </c>
      <c r="N426" s="459" t="str">
        <f ca="1">IF(M426="","",M426-TODAY())</f>
        <v/>
      </c>
    </row>
    <row r="427" spans="1:14" ht="14.25" customHeight="1" x14ac:dyDescent="0.35">
      <c r="A427" s="46"/>
      <c r="B427" s="46"/>
      <c r="C427" s="47"/>
      <c r="D427" s="48"/>
      <c r="E427" s="48"/>
      <c r="F427" s="49"/>
      <c r="G427" s="49"/>
      <c r="H427" s="50">
        <v>0</v>
      </c>
      <c r="I427" s="51"/>
      <c r="J427" s="110" t="str">
        <f t="shared" si="16"/>
        <v/>
      </c>
      <c r="K427" s="46"/>
      <c r="M427" s="463" t="str" cm="1">
        <f t="array" ref="M427">IF(AND(L427="On Hold",E427&lt;&gt;"",H427&gt;0),IFERROR(_xlfn.LET(_xlpm.stopSell,EDATE(E427,-'FEFO Analysis'!$B$4),_xlpm.cumAtStop,SUMIFS('Planning Engine'!$F$4:$F$2331,'Planning Engine'!$B$4:$B$2331,A427,'Planning Engine'!$A$4:$A$2331,"&lt;="&amp;_xlpm.stopSell),_xlpm.threshold,_xlpm.cumAtStop-H427,IF(_xlpm.threshold&lt;=0,_xlfn.AGGREGATE(15,6,'Planning Engine'!$A$4:$A$2331/('Planning Engine'!$B$4:$B$2331=A427),1),_xlfn.AGGREGATE(15,6,'Planning Engine'!$A$4:$A$2331/(('Planning Engine'!$B$4:$B$2331=A427)*('Planning Engine'!$AB$4:$AB$2331&gt;_xlpm.threshold)),1))),""),"")</f>
        <v/>
      </c>
      <c r="N427" s="459" t="str">
        <f ca="1">IF(M427="","",M427-TODAY())</f>
        <v/>
      </c>
    </row>
    <row r="428" spans="1:14" ht="14.25" customHeight="1" x14ac:dyDescent="0.35">
      <c r="A428" s="46"/>
      <c r="B428" s="46"/>
      <c r="C428" s="47"/>
      <c r="D428" s="48"/>
      <c r="E428" s="48"/>
      <c r="F428" s="49"/>
      <c r="G428" s="49"/>
      <c r="H428" s="50">
        <v>0</v>
      </c>
      <c r="I428" s="51"/>
      <c r="J428" s="110" t="str">
        <f t="shared" si="16"/>
        <v/>
      </c>
      <c r="K428" s="46"/>
      <c r="M428" s="463" t="str" cm="1">
        <f t="array" ref="M428">IF(AND(L428="On Hold",E428&lt;&gt;"",H428&gt;0),IFERROR(_xlfn.LET(_xlpm.stopSell,EDATE(E428,-'FEFO Analysis'!$B$4),_xlpm.cumAtStop,SUMIFS('Planning Engine'!$F$4:$F$2331,'Planning Engine'!$B$4:$B$2331,A428,'Planning Engine'!$A$4:$A$2331,"&lt;="&amp;_xlpm.stopSell),_xlpm.threshold,_xlpm.cumAtStop-H428,IF(_xlpm.threshold&lt;=0,_xlfn.AGGREGATE(15,6,'Planning Engine'!$A$4:$A$2331/('Planning Engine'!$B$4:$B$2331=A428),1),_xlfn.AGGREGATE(15,6,'Planning Engine'!$A$4:$A$2331/(('Planning Engine'!$B$4:$B$2331=A428)*('Planning Engine'!$AB$4:$AB$2331&gt;_xlpm.threshold)),1))),""),"")</f>
        <v/>
      </c>
      <c r="N428" s="459" t="str">
        <f ca="1">IF(M428="","",M428-TODAY())</f>
        <v/>
      </c>
    </row>
    <row r="429" spans="1:14" ht="14.25" customHeight="1" x14ac:dyDescent="0.35">
      <c r="A429" s="46"/>
      <c r="B429" s="46"/>
      <c r="C429" s="47"/>
      <c r="D429" s="48"/>
      <c r="E429" s="48"/>
      <c r="F429" s="49"/>
      <c r="G429" s="49"/>
      <c r="H429" s="50">
        <v>0</v>
      </c>
      <c r="I429" s="51"/>
      <c r="J429" s="110" t="str">
        <f t="shared" si="16"/>
        <v/>
      </c>
      <c r="K429" s="46"/>
      <c r="M429" s="463" t="str" cm="1">
        <f t="array" ref="M429">IF(AND(L429="On Hold",E429&lt;&gt;"",H429&gt;0),IFERROR(_xlfn.LET(_xlpm.stopSell,EDATE(E429,-'FEFO Analysis'!$B$4),_xlpm.cumAtStop,SUMIFS('Planning Engine'!$F$4:$F$2331,'Planning Engine'!$B$4:$B$2331,A429,'Planning Engine'!$A$4:$A$2331,"&lt;="&amp;_xlpm.stopSell),_xlpm.threshold,_xlpm.cumAtStop-H429,IF(_xlpm.threshold&lt;=0,_xlfn.AGGREGATE(15,6,'Planning Engine'!$A$4:$A$2331/('Planning Engine'!$B$4:$B$2331=A429),1),_xlfn.AGGREGATE(15,6,'Planning Engine'!$A$4:$A$2331/(('Planning Engine'!$B$4:$B$2331=A429)*('Planning Engine'!$AB$4:$AB$2331&gt;_xlpm.threshold)),1))),""),"")</f>
        <v/>
      </c>
      <c r="N429" s="459" t="str">
        <f ca="1">IF(M429="","",M429-TODAY())</f>
        <v/>
      </c>
    </row>
    <row r="430" spans="1:14" ht="14.25" customHeight="1" x14ac:dyDescent="0.35">
      <c r="A430" s="46"/>
      <c r="B430" s="46"/>
      <c r="C430" s="47"/>
      <c r="D430" s="48"/>
      <c r="E430" s="48"/>
      <c r="F430" s="49"/>
      <c r="G430" s="49"/>
      <c r="H430" s="50">
        <v>0</v>
      </c>
      <c r="I430" s="51"/>
      <c r="J430" s="110" t="str">
        <f t="shared" si="16"/>
        <v/>
      </c>
      <c r="K430" s="46"/>
      <c r="M430" s="463" t="str" cm="1">
        <f t="array" ref="M430">IF(AND(L430="On Hold",E430&lt;&gt;"",H430&gt;0),IFERROR(_xlfn.LET(_xlpm.stopSell,EDATE(E430,-'FEFO Analysis'!$B$4),_xlpm.cumAtStop,SUMIFS('Planning Engine'!$F$4:$F$2331,'Planning Engine'!$B$4:$B$2331,A430,'Planning Engine'!$A$4:$A$2331,"&lt;="&amp;_xlpm.stopSell),_xlpm.threshold,_xlpm.cumAtStop-H430,IF(_xlpm.threshold&lt;=0,_xlfn.AGGREGATE(15,6,'Planning Engine'!$A$4:$A$2331/('Planning Engine'!$B$4:$B$2331=A430),1),_xlfn.AGGREGATE(15,6,'Planning Engine'!$A$4:$A$2331/(('Planning Engine'!$B$4:$B$2331=A430)*('Planning Engine'!$AB$4:$AB$2331&gt;_xlpm.threshold)),1))),""),"")</f>
        <v/>
      </c>
      <c r="N430" s="459" t="str">
        <f ca="1">IF(M430="","",M430-TODAY())</f>
        <v/>
      </c>
    </row>
    <row r="431" spans="1:14" ht="14.25" customHeight="1" x14ac:dyDescent="0.35">
      <c r="A431" s="46"/>
      <c r="B431" s="46"/>
      <c r="C431" s="47"/>
      <c r="D431" s="48"/>
      <c r="E431" s="48"/>
      <c r="F431" s="49"/>
      <c r="G431" s="49"/>
      <c r="H431" s="50">
        <v>0</v>
      </c>
      <c r="I431" s="51"/>
      <c r="J431" s="110" t="str">
        <f t="shared" si="16"/>
        <v/>
      </c>
      <c r="K431" s="46"/>
      <c r="M431" s="463" t="str" cm="1">
        <f t="array" ref="M431">IF(AND(L431="On Hold",E431&lt;&gt;"",H431&gt;0),IFERROR(_xlfn.LET(_xlpm.stopSell,EDATE(E431,-'FEFO Analysis'!$B$4),_xlpm.cumAtStop,SUMIFS('Planning Engine'!$F$4:$F$2331,'Planning Engine'!$B$4:$B$2331,A431,'Planning Engine'!$A$4:$A$2331,"&lt;="&amp;_xlpm.stopSell),_xlpm.threshold,_xlpm.cumAtStop-H431,IF(_xlpm.threshold&lt;=0,_xlfn.AGGREGATE(15,6,'Planning Engine'!$A$4:$A$2331/('Planning Engine'!$B$4:$B$2331=A431),1),_xlfn.AGGREGATE(15,6,'Planning Engine'!$A$4:$A$2331/(('Planning Engine'!$B$4:$B$2331=A431)*('Planning Engine'!$AB$4:$AB$2331&gt;_xlpm.threshold)),1))),""),"")</f>
        <v/>
      </c>
      <c r="N431" s="459" t="str">
        <f ca="1">IF(M431="","",M431-TODAY())</f>
        <v/>
      </c>
    </row>
    <row r="432" spans="1:14" ht="14.25" customHeight="1" x14ac:dyDescent="0.35">
      <c r="A432" s="46"/>
      <c r="B432" s="46"/>
      <c r="C432" s="47"/>
      <c r="D432" s="48"/>
      <c r="E432" s="48"/>
      <c r="F432" s="49"/>
      <c r="G432" s="49"/>
      <c r="H432" s="50">
        <v>0</v>
      </c>
      <c r="I432" s="51"/>
      <c r="J432" s="110" t="str">
        <f t="shared" si="16"/>
        <v/>
      </c>
      <c r="K432" s="46"/>
      <c r="M432" s="463" t="str" cm="1">
        <f t="array" ref="M432">IF(AND(L432="On Hold",E432&lt;&gt;"",H432&gt;0),IFERROR(_xlfn.LET(_xlpm.stopSell,EDATE(E432,-'FEFO Analysis'!$B$4),_xlpm.cumAtStop,SUMIFS('Planning Engine'!$F$4:$F$2331,'Planning Engine'!$B$4:$B$2331,A432,'Planning Engine'!$A$4:$A$2331,"&lt;="&amp;_xlpm.stopSell),_xlpm.threshold,_xlpm.cumAtStop-H432,IF(_xlpm.threshold&lt;=0,_xlfn.AGGREGATE(15,6,'Planning Engine'!$A$4:$A$2331/('Planning Engine'!$B$4:$B$2331=A432),1),_xlfn.AGGREGATE(15,6,'Planning Engine'!$A$4:$A$2331/(('Planning Engine'!$B$4:$B$2331=A432)*('Planning Engine'!$AB$4:$AB$2331&gt;_xlpm.threshold)),1))),""),"")</f>
        <v/>
      </c>
      <c r="N432" s="459" t="str">
        <f ca="1">IF(M432="","",M432-TODAY())</f>
        <v/>
      </c>
    </row>
    <row r="433" spans="1:14" ht="14.25" customHeight="1" x14ac:dyDescent="0.35">
      <c r="A433" s="46"/>
      <c r="B433" s="46"/>
      <c r="C433" s="47"/>
      <c r="D433" s="48"/>
      <c r="E433" s="48"/>
      <c r="F433" s="49"/>
      <c r="G433" s="49"/>
      <c r="H433" s="50">
        <v>0</v>
      </c>
      <c r="I433" s="51"/>
      <c r="J433" s="110" t="str">
        <f t="shared" si="16"/>
        <v/>
      </c>
      <c r="K433" s="46"/>
      <c r="M433" s="463" t="str" cm="1">
        <f t="array" ref="M433">IF(AND(L433="On Hold",E433&lt;&gt;"",H433&gt;0),IFERROR(_xlfn.LET(_xlpm.stopSell,EDATE(E433,-'FEFO Analysis'!$B$4),_xlpm.cumAtStop,SUMIFS('Planning Engine'!$F$4:$F$2331,'Planning Engine'!$B$4:$B$2331,A433,'Planning Engine'!$A$4:$A$2331,"&lt;="&amp;_xlpm.stopSell),_xlpm.threshold,_xlpm.cumAtStop-H433,IF(_xlpm.threshold&lt;=0,_xlfn.AGGREGATE(15,6,'Planning Engine'!$A$4:$A$2331/('Planning Engine'!$B$4:$B$2331=A433),1),_xlfn.AGGREGATE(15,6,'Planning Engine'!$A$4:$A$2331/(('Planning Engine'!$B$4:$B$2331=A433)*('Planning Engine'!$AB$4:$AB$2331&gt;_xlpm.threshold)),1))),""),"")</f>
        <v/>
      </c>
      <c r="N433" s="459" t="str">
        <f ca="1">IF(M433="","",M433-TODAY())</f>
        <v/>
      </c>
    </row>
    <row r="434" spans="1:14" ht="14.25" customHeight="1" x14ac:dyDescent="0.35">
      <c r="A434" s="46"/>
      <c r="B434" s="46"/>
      <c r="C434" s="47"/>
      <c r="D434" s="48"/>
      <c r="E434" s="48"/>
      <c r="F434" s="49"/>
      <c r="G434" s="49"/>
      <c r="H434" s="50">
        <v>0</v>
      </c>
      <c r="I434" s="51"/>
      <c r="J434" s="110" t="str">
        <f t="shared" si="16"/>
        <v/>
      </c>
      <c r="K434" s="46"/>
      <c r="M434" s="463" t="str" cm="1">
        <f t="array" ref="M434">IF(AND(L434="On Hold",E434&lt;&gt;"",H434&gt;0),IFERROR(_xlfn.LET(_xlpm.stopSell,EDATE(E434,-'FEFO Analysis'!$B$4),_xlpm.cumAtStop,SUMIFS('Planning Engine'!$F$4:$F$2331,'Planning Engine'!$B$4:$B$2331,A434,'Planning Engine'!$A$4:$A$2331,"&lt;="&amp;_xlpm.stopSell),_xlpm.threshold,_xlpm.cumAtStop-H434,IF(_xlpm.threshold&lt;=0,_xlfn.AGGREGATE(15,6,'Planning Engine'!$A$4:$A$2331/('Planning Engine'!$B$4:$B$2331=A434),1),_xlfn.AGGREGATE(15,6,'Planning Engine'!$A$4:$A$2331/(('Planning Engine'!$B$4:$B$2331=A434)*('Planning Engine'!$AB$4:$AB$2331&gt;_xlpm.threshold)),1))),""),"")</f>
        <v/>
      </c>
      <c r="N434" s="459" t="str">
        <f ca="1">IF(M434="","",M434-TODAY())</f>
        <v/>
      </c>
    </row>
    <row r="435" spans="1:14" ht="14.25" customHeight="1" x14ac:dyDescent="0.35">
      <c r="A435" s="46"/>
      <c r="B435" s="46"/>
      <c r="C435" s="47"/>
      <c r="D435" s="48"/>
      <c r="E435" s="48"/>
      <c r="F435" s="49"/>
      <c r="G435" s="49"/>
      <c r="H435" s="50">
        <v>0</v>
      </c>
      <c r="I435" s="51"/>
      <c r="J435" s="110" t="str">
        <f t="shared" si="16"/>
        <v/>
      </c>
      <c r="K435" s="46"/>
      <c r="M435" s="463" t="str" cm="1">
        <f t="array" ref="M435">IF(AND(L435="On Hold",E435&lt;&gt;"",H435&gt;0),IFERROR(_xlfn.LET(_xlpm.stopSell,EDATE(E435,-'FEFO Analysis'!$B$4),_xlpm.cumAtStop,SUMIFS('Planning Engine'!$F$4:$F$2331,'Planning Engine'!$B$4:$B$2331,A435,'Planning Engine'!$A$4:$A$2331,"&lt;="&amp;_xlpm.stopSell),_xlpm.threshold,_xlpm.cumAtStop-H435,IF(_xlpm.threshold&lt;=0,_xlfn.AGGREGATE(15,6,'Planning Engine'!$A$4:$A$2331/('Planning Engine'!$B$4:$B$2331=A435),1),_xlfn.AGGREGATE(15,6,'Planning Engine'!$A$4:$A$2331/(('Planning Engine'!$B$4:$B$2331=A435)*('Planning Engine'!$AB$4:$AB$2331&gt;_xlpm.threshold)),1))),""),"")</f>
        <v/>
      </c>
      <c r="N435" s="459" t="str">
        <f ca="1">IF(M435="","",M435-TODAY())</f>
        <v/>
      </c>
    </row>
    <row r="436" spans="1:14" ht="14.25" customHeight="1" x14ac:dyDescent="0.35">
      <c r="A436" s="46"/>
      <c r="B436" s="46"/>
      <c r="C436" s="47"/>
      <c r="D436" s="48"/>
      <c r="E436" s="48"/>
      <c r="F436" s="49"/>
      <c r="G436" s="49"/>
      <c r="H436" s="50">
        <v>0</v>
      </c>
      <c r="I436" s="51"/>
      <c r="J436" s="110" t="str">
        <f t="shared" si="16"/>
        <v/>
      </c>
      <c r="K436" s="46"/>
      <c r="M436" s="463" t="str" cm="1">
        <f t="array" ref="M436">IF(AND(L436="On Hold",E436&lt;&gt;"",H436&gt;0),IFERROR(_xlfn.LET(_xlpm.stopSell,EDATE(E436,-'FEFO Analysis'!$B$4),_xlpm.cumAtStop,SUMIFS('Planning Engine'!$F$4:$F$2331,'Planning Engine'!$B$4:$B$2331,A436,'Planning Engine'!$A$4:$A$2331,"&lt;="&amp;_xlpm.stopSell),_xlpm.threshold,_xlpm.cumAtStop-H436,IF(_xlpm.threshold&lt;=0,_xlfn.AGGREGATE(15,6,'Planning Engine'!$A$4:$A$2331/('Planning Engine'!$B$4:$B$2331=A436),1),_xlfn.AGGREGATE(15,6,'Planning Engine'!$A$4:$A$2331/(('Planning Engine'!$B$4:$B$2331=A436)*('Planning Engine'!$AB$4:$AB$2331&gt;_xlpm.threshold)),1))),""),"")</f>
        <v/>
      </c>
      <c r="N436" s="459" t="str">
        <f ca="1">IF(M436="","",M436-TODAY())</f>
        <v/>
      </c>
    </row>
    <row r="437" spans="1:14" ht="14.25" customHeight="1" x14ac:dyDescent="0.35">
      <c r="A437" s="46"/>
      <c r="B437" s="46"/>
      <c r="C437" s="47"/>
      <c r="D437" s="48"/>
      <c r="E437" s="48"/>
      <c r="F437" s="49"/>
      <c r="G437" s="49"/>
      <c r="H437" s="50">
        <v>0</v>
      </c>
      <c r="I437" s="51"/>
      <c r="J437" s="110" t="str">
        <f t="shared" si="16"/>
        <v/>
      </c>
      <c r="K437" s="46"/>
      <c r="M437" s="463" t="str" cm="1">
        <f t="array" ref="M437">IF(AND(L437="On Hold",E437&lt;&gt;"",H437&gt;0),IFERROR(_xlfn.LET(_xlpm.stopSell,EDATE(E437,-'FEFO Analysis'!$B$4),_xlpm.cumAtStop,SUMIFS('Planning Engine'!$F$4:$F$2331,'Planning Engine'!$B$4:$B$2331,A437,'Planning Engine'!$A$4:$A$2331,"&lt;="&amp;_xlpm.stopSell),_xlpm.threshold,_xlpm.cumAtStop-H437,IF(_xlpm.threshold&lt;=0,_xlfn.AGGREGATE(15,6,'Planning Engine'!$A$4:$A$2331/('Planning Engine'!$B$4:$B$2331=A437),1),_xlfn.AGGREGATE(15,6,'Planning Engine'!$A$4:$A$2331/(('Planning Engine'!$B$4:$B$2331=A437)*('Planning Engine'!$AB$4:$AB$2331&gt;_xlpm.threshold)),1))),""),"")</f>
        <v/>
      </c>
      <c r="N437" s="459" t="str">
        <f ca="1">IF(M437="","",M437-TODAY())</f>
        <v/>
      </c>
    </row>
    <row r="438" spans="1:14" ht="14.25" customHeight="1" x14ac:dyDescent="0.35">
      <c r="A438" s="46"/>
      <c r="B438" s="46"/>
      <c r="C438" s="47"/>
      <c r="D438" s="48"/>
      <c r="E438" s="48"/>
      <c r="F438" s="49"/>
      <c r="G438" s="49"/>
      <c r="H438" s="50">
        <v>0</v>
      </c>
      <c r="I438" s="51"/>
      <c r="J438" s="110" t="str">
        <f t="shared" si="16"/>
        <v/>
      </c>
      <c r="K438" s="46"/>
      <c r="M438" s="463" t="str" cm="1">
        <f t="array" ref="M438">IF(AND(L438="On Hold",E438&lt;&gt;"",H438&gt;0),IFERROR(_xlfn.LET(_xlpm.stopSell,EDATE(E438,-'FEFO Analysis'!$B$4),_xlpm.cumAtStop,SUMIFS('Planning Engine'!$F$4:$F$2331,'Planning Engine'!$B$4:$B$2331,A438,'Planning Engine'!$A$4:$A$2331,"&lt;="&amp;_xlpm.stopSell),_xlpm.threshold,_xlpm.cumAtStop-H438,IF(_xlpm.threshold&lt;=0,_xlfn.AGGREGATE(15,6,'Planning Engine'!$A$4:$A$2331/('Planning Engine'!$B$4:$B$2331=A438),1),_xlfn.AGGREGATE(15,6,'Planning Engine'!$A$4:$A$2331/(('Planning Engine'!$B$4:$B$2331=A438)*('Planning Engine'!$AB$4:$AB$2331&gt;_xlpm.threshold)),1))),""),"")</f>
        <v/>
      </c>
      <c r="N438" s="459" t="str">
        <f ca="1">IF(M438="","",M438-TODAY())</f>
        <v/>
      </c>
    </row>
    <row r="439" spans="1:14" ht="14.25" customHeight="1" x14ac:dyDescent="0.35">
      <c r="A439" s="46"/>
      <c r="B439" s="46"/>
      <c r="C439" s="47"/>
      <c r="D439" s="48"/>
      <c r="E439" s="48"/>
      <c r="F439" s="49"/>
      <c r="G439" s="49"/>
      <c r="H439" s="50">
        <v>0</v>
      </c>
      <c r="I439" s="51"/>
      <c r="J439" s="110" t="str">
        <f t="shared" si="16"/>
        <v/>
      </c>
      <c r="K439" s="46"/>
      <c r="M439" s="463" t="str" cm="1">
        <f t="array" ref="M439">IF(AND(L439="On Hold",E439&lt;&gt;"",H439&gt;0),IFERROR(_xlfn.LET(_xlpm.stopSell,EDATE(E439,-'FEFO Analysis'!$B$4),_xlpm.cumAtStop,SUMIFS('Planning Engine'!$F$4:$F$2331,'Planning Engine'!$B$4:$B$2331,A439,'Planning Engine'!$A$4:$A$2331,"&lt;="&amp;_xlpm.stopSell),_xlpm.threshold,_xlpm.cumAtStop-H439,IF(_xlpm.threshold&lt;=0,_xlfn.AGGREGATE(15,6,'Planning Engine'!$A$4:$A$2331/('Planning Engine'!$B$4:$B$2331=A439),1),_xlfn.AGGREGATE(15,6,'Planning Engine'!$A$4:$A$2331/(('Planning Engine'!$B$4:$B$2331=A439)*('Planning Engine'!$AB$4:$AB$2331&gt;_xlpm.threshold)),1))),""),"")</f>
        <v/>
      </c>
      <c r="N439" s="459" t="str">
        <f ca="1">IF(M439="","",M439-TODAY())</f>
        <v/>
      </c>
    </row>
    <row r="440" spans="1:14" ht="14.25" customHeight="1" x14ac:dyDescent="0.35">
      <c r="A440" s="46"/>
      <c r="B440" s="46"/>
      <c r="C440" s="47"/>
      <c r="D440" s="48"/>
      <c r="E440" s="48"/>
      <c r="F440" s="49"/>
      <c r="G440" s="49"/>
      <c r="H440" s="50">
        <v>0</v>
      </c>
      <c r="I440" s="51"/>
      <c r="J440" s="110" t="str">
        <f t="shared" si="16"/>
        <v/>
      </c>
      <c r="K440" s="46"/>
      <c r="M440" s="463" t="str" cm="1">
        <f t="array" ref="M440">IF(AND(L440="On Hold",E440&lt;&gt;"",H440&gt;0),IFERROR(_xlfn.LET(_xlpm.stopSell,EDATE(E440,-'FEFO Analysis'!$B$4),_xlpm.cumAtStop,SUMIFS('Planning Engine'!$F$4:$F$2331,'Planning Engine'!$B$4:$B$2331,A440,'Planning Engine'!$A$4:$A$2331,"&lt;="&amp;_xlpm.stopSell),_xlpm.threshold,_xlpm.cumAtStop-H440,IF(_xlpm.threshold&lt;=0,_xlfn.AGGREGATE(15,6,'Planning Engine'!$A$4:$A$2331/('Planning Engine'!$B$4:$B$2331=A440),1),_xlfn.AGGREGATE(15,6,'Planning Engine'!$A$4:$A$2331/(('Planning Engine'!$B$4:$B$2331=A440)*('Planning Engine'!$AB$4:$AB$2331&gt;_xlpm.threshold)),1))),""),"")</f>
        <v/>
      </c>
      <c r="N440" s="459" t="str">
        <f ca="1">IF(M440="","",M440-TODAY())</f>
        <v/>
      </c>
    </row>
    <row r="441" spans="1:14" ht="14.25" customHeight="1" x14ac:dyDescent="0.35">
      <c r="A441" s="46"/>
      <c r="B441" s="46"/>
      <c r="C441" s="47"/>
      <c r="D441" s="48"/>
      <c r="E441" s="48"/>
      <c r="F441" s="49"/>
      <c r="G441" s="49"/>
      <c r="H441" s="50">
        <v>0</v>
      </c>
      <c r="I441" s="51"/>
      <c r="J441" s="110" t="str">
        <f t="shared" si="16"/>
        <v/>
      </c>
      <c r="K441" s="46"/>
      <c r="M441" s="463" t="str" cm="1">
        <f t="array" ref="M441">IF(AND(L441="On Hold",E441&lt;&gt;"",H441&gt;0),IFERROR(_xlfn.LET(_xlpm.stopSell,EDATE(E441,-'FEFO Analysis'!$B$4),_xlpm.cumAtStop,SUMIFS('Planning Engine'!$F$4:$F$2331,'Planning Engine'!$B$4:$B$2331,A441,'Planning Engine'!$A$4:$A$2331,"&lt;="&amp;_xlpm.stopSell),_xlpm.threshold,_xlpm.cumAtStop-H441,IF(_xlpm.threshold&lt;=0,_xlfn.AGGREGATE(15,6,'Planning Engine'!$A$4:$A$2331/('Planning Engine'!$B$4:$B$2331=A441),1),_xlfn.AGGREGATE(15,6,'Planning Engine'!$A$4:$A$2331/(('Planning Engine'!$B$4:$B$2331=A441)*('Planning Engine'!$AB$4:$AB$2331&gt;_xlpm.threshold)),1))),""),"")</f>
        <v/>
      </c>
      <c r="N441" s="459" t="str">
        <f ca="1">IF(M441="","",M441-TODAY())</f>
        <v/>
      </c>
    </row>
    <row r="442" spans="1:14" ht="14.25" customHeight="1" x14ac:dyDescent="0.35">
      <c r="A442" s="46"/>
      <c r="B442" s="46"/>
      <c r="C442" s="47"/>
      <c r="D442" s="48"/>
      <c r="E442" s="48"/>
      <c r="F442" s="49"/>
      <c r="G442" s="49"/>
      <c r="H442" s="50">
        <v>0</v>
      </c>
      <c r="I442" s="51"/>
      <c r="J442" s="110" t="str">
        <f t="shared" si="16"/>
        <v/>
      </c>
      <c r="K442" s="46"/>
      <c r="M442" s="463" t="str" cm="1">
        <f t="array" ref="M442">IF(AND(L442="On Hold",E442&lt;&gt;"",H442&gt;0),IFERROR(_xlfn.LET(_xlpm.stopSell,EDATE(E442,-'FEFO Analysis'!$B$4),_xlpm.cumAtStop,SUMIFS('Planning Engine'!$F$4:$F$2331,'Planning Engine'!$B$4:$B$2331,A442,'Planning Engine'!$A$4:$A$2331,"&lt;="&amp;_xlpm.stopSell),_xlpm.threshold,_xlpm.cumAtStop-H442,IF(_xlpm.threshold&lt;=0,_xlfn.AGGREGATE(15,6,'Planning Engine'!$A$4:$A$2331/('Planning Engine'!$B$4:$B$2331=A442),1),_xlfn.AGGREGATE(15,6,'Planning Engine'!$A$4:$A$2331/(('Planning Engine'!$B$4:$B$2331=A442)*('Planning Engine'!$AB$4:$AB$2331&gt;_xlpm.threshold)),1))),""),"")</f>
        <v/>
      </c>
      <c r="N442" s="459" t="str">
        <f ca="1">IF(M442="","",M442-TODAY())</f>
        <v/>
      </c>
    </row>
    <row r="443" spans="1:14" ht="14.25" customHeight="1" x14ac:dyDescent="0.35">
      <c r="A443" s="46"/>
      <c r="B443" s="46"/>
      <c r="C443" s="47"/>
      <c r="D443" s="48"/>
      <c r="E443" s="48"/>
      <c r="F443" s="49"/>
      <c r="G443" s="49"/>
      <c r="H443" s="50">
        <v>0</v>
      </c>
      <c r="I443" s="51"/>
      <c r="J443" s="110" t="str">
        <f t="shared" si="16"/>
        <v/>
      </c>
      <c r="K443" s="46"/>
      <c r="M443" s="463" t="str" cm="1">
        <f t="array" ref="M443">IF(AND(L443="On Hold",E443&lt;&gt;"",H443&gt;0),IFERROR(_xlfn.LET(_xlpm.stopSell,EDATE(E443,-'FEFO Analysis'!$B$4),_xlpm.cumAtStop,SUMIFS('Planning Engine'!$F$4:$F$2331,'Planning Engine'!$B$4:$B$2331,A443,'Planning Engine'!$A$4:$A$2331,"&lt;="&amp;_xlpm.stopSell),_xlpm.threshold,_xlpm.cumAtStop-H443,IF(_xlpm.threshold&lt;=0,_xlfn.AGGREGATE(15,6,'Planning Engine'!$A$4:$A$2331/('Planning Engine'!$B$4:$B$2331=A443),1),_xlfn.AGGREGATE(15,6,'Planning Engine'!$A$4:$A$2331/(('Planning Engine'!$B$4:$B$2331=A443)*('Planning Engine'!$AB$4:$AB$2331&gt;_xlpm.threshold)),1))),""),"")</f>
        <v/>
      </c>
      <c r="N443" s="459" t="str">
        <f ca="1">IF(M443="","",M443-TODAY())</f>
        <v/>
      </c>
    </row>
    <row r="444" spans="1:14" ht="14.25" customHeight="1" x14ac:dyDescent="0.35">
      <c r="A444" s="46"/>
      <c r="B444" s="46"/>
      <c r="C444" s="47"/>
      <c r="D444" s="48"/>
      <c r="E444" s="48"/>
      <c r="F444" s="49"/>
      <c r="G444" s="49"/>
      <c r="H444" s="50">
        <v>0</v>
      </c>
      <c r="I444" s="51"/>
      <c r="J444" s="110" t="str">
        <f t="shared" si="16"/>
        <v/>
      </c>
      <c r="K444" s="46"/>
      <c r="M444" s="463" t="str" cm="1">
        <f t="array" ref="M444">IF(AND(L444="On Hold",E444&lt;&gt;"",H444&gt;0),IFERROR(_xlfn.LET(_xlpm.stopSell,EDATE(E444,-'FEFO Analysis'!$B$4),_xlpm.cumAtStop,SUMIFS('Planning Engine'!$F$4:$F$2331,'Planning Engine'!$B$4:$B$2331,A444,'Planning Engine'!$A$4:$A$2331,"&lt;="&amp;_xlpm.stopSell),_xlpm.threshold,_xlpm.cumAtStop-H444,IF(_xlpm.threshold&lt;=0,_xlfn.AGGREGATE(15,6,'Planning Engine'!$A$4:$A$2331/('Planning Engine'!$B$4:$B$2331=A444),1),_xlfn.AGGREGATE(15,6,'Planning Engine'!$A$4:$A$2331/(('Planning Engine'!$B$4:$B$2331=A444)*('Planning Engine'!$AB$4:$AB$2331&gt;_xlpm.threshold)),1))),""),"")</f>
        <v/>
      </c>
      <c r="N444" s="459" t="str">
        <f ca="1">IF(M444="","",M444-TODAY())</f>
        <v/>
      </c>
    </row>
    <row r="445" spans="1:14" ht="14.25" customHeight="1" x14ac:dyDescent="0.35">
      <c r="A445" s="46"/>
      <c r="B445" s="46"/>
      <c r="C445" s="47"/>
      <c r="D445" s="48"/>
      <c r="E445" s="48"/>
      <c r="F445" s="49"/>
      <c r="G445" s="49"/>
      <c r="H445" s="50">
        <v>0</v>
      </c>
      <c r="I445" s="51"/>
      <c r="J445" s="110" t="str">
        <f t="shared" si="16"/>
        <v/>
      </c>
      <c r="K445" s="46"/>
      <c r="M445" s="463" t="str" cm="1">
        <f t="array" ref="M445">IF(AND(L445="On Hold",E445&lt;&gt;"",H445&gt;0),IFERROR(_xlfn.LET(_xlpm.stopSell,EDATE(E445,-'FEFO Analysis'!$B$4),_xlpm.cumAtStop,SUMIFS('Planning Engine'!$F$4:$F$2331,'Planning Engine'!$B$4:$B$2331,A445,'Planning Engine'!$A$4:$A$2331,"&lt;="&amp;_xlpm.stopSell),_xlpm.threshold,_xlpm.cumAtStop-H445,IF(_xlpm.threshold&lt;=0,_xlfn.AGGREGATE(15,6,'Planning Engine'!$A$4:$A$2331/('Planning Engine'!$B$4:$B$2331=A445),1),_xlfn.AGGREGATE(15,6,'Planning Engine'!$A$4:$A$2331/(('Planning Engine'!$B$4:$B$2331=A445)*('Planning Engine'!$AB$4:$AB$2331&gt;_xlpm.threshold)),1))),""),"")</f>
        <v/>
      </c>
      <c r="N445" s="459" t="str">
        <f ca="1">IF(M445="","",M445-TODAY())</f>
        <v/>
      </c>
    </row>
    <row r="446" spans="1:14" ht="14.25" customHeight="1" x14ac:dyDescent="0.35">
      <c r="A446" s="46"/>
      <c r="B446" s="46"/>
      <c r="C446" s="47"/>
      <c r="D446" s="48"/>
      <c r="E446" s="48"/>
      <c r="F446" s="49"/>
      <c r="G446" s="49"/>
      <c r="H446" s="50">
        <v>0</v>
      </c>
      <c r="I446" s="51"/>
      <c r="J446" s="110" t="str">
        <f t="shared" si="16"/>
        <v/>
      </c>
      <c r="K446" s="46"/>
      <c r="M446" s="463" t="str" cm="1">
        <f t="array" ref="M446">IF(AND(L446="On Hold",E446&lt;&gt;"",H446&gt;0),IFERROR(_xlfn.LET(_xlpm.stopSell,EDATE(E446,-'FEFO Analysis'!$B$4),_xlpm.cumAtStop,SUMIFS('Planning Engine'!$F$4:$F$2331,'Planning Engine'!$B$4:$B$2331,A446,'Planning Engine'!$A$4:$A$2331,"&lt;="&amp;_xlpm.stopSell),_xlpm.threshold,_xlpm.cumAtStop-H446,IF(_xlpm.threshold&lt;=0,_xlfn.AGGREGATE(15,6,'Planning Engine'!$A$4:$A$2331/('Planning Engine'!$B$4:$B$2331=A446),1),_xlfn.AGGREGATE(15,6,'Planning Engine'!$A$4:$A$2331/(('Planning Engine'!$B$4:$B$2331=A446)*('Planning Engine'!$AB$4:$AB$2331&gt;_xlpm.threshold)),1))),""),"")</f>
        <v/>
      </c>
      <c r="N446" s="459" t="str">
        <f ca="1">IF(M446="","",M446-TODAY())</f>
        <v/>
      </c>
    </row>
    <row r="447" spans="1:14" ht="14.25" customHeight="1" x14ac:dyDescent="0.35">
      <c r="A447" s="46"/>
      <c r="B447" s="46"/>
      <c r="C447" s="47"/>
      <c r="D447" s="48"/>
      <c r="E447" s="48"/>
      <c r="F447" s="49"/>
      <c r="G447" s="49"/>
      <c r="H447" s="50">
        <v>0</v>
      </c>
      <c r="I447" s="51"/>
      <c r="J447" s="110" t="str">
        <f t="shared" si="16"/>
        <v/>
      </c>
      <c r="K447" s="46"/>
      <c r="M447" s="463" t="str" cm="1">
        <f t="array" ref="M447">IF(AND(L447="On Hold",E447&lt;&gt;"",H447&gt;0),IFERROR(_xlfn.LET(_xlpm.stopSell,EDATE(E447,-'FEFO Analysis'!$B$4),_xlpm.cumAtStop,SUMIFS('Planning Engine'!$F$4:$F$2331,'Planning Engine'!$B$4:$B$2331,A447,'Planning Engine'!$A$4:$A$2331,"&lt;="&amp;_xlpm.stopSell),_xlpm.threshold,_xlpm.cumAtStop-H447,IF(_xlpm.threshold&lt;=0,_xlfn.AGGREGATE(15,6,'Planning Engine'!$A$4:$A$2331/('Planning Engine'!$B$4:$B$2331=A447),1),_xlfn.AGGREGATE(15,6,'Planning Engine'!$A$4:$A$2331/(('Planning Engine'!$B$4:$B$2331=A447)*('Planning Engine'!$AB$4:$AB$2331&gt;_xlpm.threshold)),1))),""),"")</f>
        <v/>
      </c>
      <c r="N447" s="459" t="str">
        <f ca="1">IF(M447="","",M447-TODAY())</f>
        <v/>
      </c>
    </row>
    <row r="448" spans="1:14" ht="14.25" customHeight="1" x14ac:dyDescent="0.35">
      <c r="A448" s="46"/>
      <c r="B448" s="46"/>
      <c r="C448" s="47"/>
      <c r="D448" s="48"/>
      <c r="E448" s="48"/>
      <c r="F448" s="49"/>
      <c r="G448" s="49"/>
      <c r="H448" s="50">
        <v>0</v>
      </c>
      <c r="I448" s="51"/>
      <c r="J448" s="110" t="str">
        <f t="shared" si="16"/>
        <v/>
      </c>
      <c r="K448" s="46"/>
      <c r="M448" s="463" t="str" cm="1">
        <f t="array" ref="M448">IF(AND(L448="On Hold",E448&lt;&gt;"",H448&gt;0),IFERROR(_xlfn.LET(_xlpm.stopSell,EDATE(E448,-'FEFO Analysis'!$B$4),_xlpm.cumAtStop,SUMIFS('Planning Engine'!$F$4:$F$2331,'Planning Engine'!$B$4:$B$2331,A448,'Planning Engine'!$A$4:$A$2331,"&lt;="&amp;_xlpm.stopSell),_xlpm.threshold,_xlpm.cumAtStop-H448,IF(_xlpm.threshold&lt;=0,_xlfn.AGGREGATE(15,6,'Planning Engine'!$A$4:$A$2331/('Planning Engine'!$B$4:$B$2331=A448),1),_xlfn.AGGREGATE(15,6,'Planning Engine'!$A$4:$A$2331/(('Planning Engine'!$B$4:$B$2331=A448)*('Planning Engine'!$AB$4:$AB$2331&gt;_xlpm.threshold)),1))),""),"")</f>
        <v/>
      </c>
      <c r="N448" s="459" t="str">
        <f ca="1">IF(M448="","",M448-TODAY())</f>
        <v/>
      </c>
    </row>
    <row r="449" spans="1:14" ht="14.25" customHeight="1" x14ac:dyDescent="0.35">
      <c r="A449" s="46"/>
      <c r="B449" s="46"/>
      <c r="C449" s="47"/>
      <c r="D449" s="48"/>
      <c r="E449" s="48"/>
      <c r="F449" s="49"/>
      <c r="G449" s="49"/>
      <c r="H449" s="50">
        <v>0</v>
      </c>
      <c r="I449" s="51"/>
      <c r="J449" s="110" t="str">
        <f t="shared" si="16"/>
        <v/>
      </c>
      <c r="K449" s="46"/>
      <c r="M449" s="463" t="str" cm="1">
        <f t="array" ref="M449">IF(AND(L449="On Hold",E449&lt;&gt;"",H449&gt;0),IFERROR(_xlfn.LET(_xlpm.stopSell,EDATE(E449,-'FEFO Analysis'!$B$4),_xlpm.cumAtStop,SUMIFS('Planning Engine'!$F$4:$F$2331,'Planning Engine'!$B$4:$B$2331,A449,'Planning Engine'!$A$4:$A$2331,"&lt;="&amp;_xlpm.stopSell),_xlpm.threshold,_xlpm.cumAtStop-H449,IF(_xlpm.threshold&lt;=0,_xlfn.AGGREGATE(15,6,'Planning Engine'!$A$4:$A$2331/('Planning Engine'!$B$4:$B$2331=A449),1),_xlfn.AGGREGATE(15,6,'Planning Engine'!$A$4:$A$2331/(('Planning Engine'!$B$4:$B$2331=A449)*('Planning Engine'!$AB$4:$AB$2331&gt;_xlpm.threshold)),1))),""),"")</f>
        <v/>
      </c>
      <c r="N449" s="459" t="str">
        <f ca="1">IF(M449="","",M449-TODAY())</f>
        <v/>
      </c>
    </row>
    <row r="450" spans="1:14" ht="14.25" customHeight="1" x14ac:dyDescent="0.35">
      <c r="A450" s="46"/>
      <c r="B450" s="46"/>
      <c r="C450" s="47"/>
      <c r="D450" s="48"/>
      <c r="E450" s="48"/>
      <c r="F450" s="49"/>
      <c r="G450" s="49"/>
      <c r="H450" s="50">
        <v>0</v>
      </c>
      <c r="I450" s="51"/>
      <c r="J450" s="110" t="str">
        <f t="shared" si="16"/>
        <v/>
      </c>
      <c r="K450" s="46"/>
      <c r="M450" s="463" t="str" cm="1">
        <f t="array" ref="M450">IF(AND(L450="On Hold",E450&lt;&gt;"",H450&gt;0),IFERROR(_xlfn.LET(_xlpm.stopSell,EDATE(E450,-'FEFO Analysis'!$B$4),_xlpm.cumAtStop,SUMIFS('Planning Engine'!$F$4:$F$2331,'Planning Engine'!$B$4:$B$2331,A450,'Planning Engine'!$A$4:$A$2331,"&lt;="&amp;_xlpm.stopSell),_xlpm.threshold,_xlpm.cumAtStop-H450,IF(_xlpm.threshold&lt;=0,_xlfn.AGGREGATE(15,6,'Planning Engine'!$A$4:$A$2331/('Planning Engine'!$B$4:$B$2331=A450),1),_xlfn.AGGREGATE(15,6,'Planning Engine'!$A$4:$A$2331/(('Planning Engine'!$B$4:$B$2331=A450)*('Planning Engine'!$AB$4:$AB$2331&gt;_xlpm.threshold)),1))),""),"")</f>
        <v/>
      </c>
      <c r="N450" s="459" t="str">
        <f ca="1">IF(M450="","",M450-TODAY())</f>
        <v/>
      </c>
    </row>
    <row r="451" spans="1:14" ht="14.25" customHeight="1" x14ac:dyDescent="0.35">
      <c r="A451" s="46"/>
      <c r="B451" s="46"/>
      <c r="C451" s="47"/>
      <c r="D451" s="48"/>
      <c r="E451" s="48"/>
      <c r="F451" s="49"/>
      <c r="G451" s="49"/>
      <c r="H451" s="50">
        <v>0</v>
      </c>
      <c r="I451" s="51"/>
      <c r="J451" s="110" t="str">
        <f t="shared" si="16"/>
        <v/>
      </c>
      <c r="K451" s="46"/>
      <c r="M451" s="463" t="str" cm="1">
        <f t="array" ref="M451">IF(AND(L451="On Hold",E451&lt;&gt;"",H451&gt;0),IFERROR(_xlfn.LET(_xlpm.stopSell,EDATE(E451,-'FEFO Analysis'!$B$4),_xlpm.cumAtStop,SUMIFS('Planning Engine'!$F$4:$F$2331,'Planning Engine'!$B$4:$B$2331,A451,'Planning Engine'!$A$4:$A$2331,"&lt;="&amp;_xlpm.stopSell),_xlpm.threshold,_xlpm.cumAtStop-H451,IF(_xlpm.threshold&lt;=0,_xlfn.AGGREGATE(15,6,'Planning Engine'!$A$4:$A$2331/('Planning Engine'!$B$4:$B$2331=A451),1),_xlfn.AGGREGATE(15,6,'Planning Engine'!$A$4:$A$2331/(('Planning Engine'!$B$4:$B$2331=A451)*('Planning Engine'!$AB$4:$AB$2331&gt;_xlpm.threshold)),1))),""),"")</f>
        <v/>
      </c>
      <c r="N451" s="459" t="str">
        <f ca="1">IF(M451="","",M451-TODAY())</f>
        <v/>
      </c>
    </row>
    <row r="452" spans="1:14" ht="14.25" customHeight="1" x14ac:dyDescent="0.35">
      <c r="A452" s="46"/>
      <c r="B452" s="46"/>
      <c r="C452" s="47"/>
      <c r="D452" s="48"/>
      <c r="E452" s="48"/>
      <c r="F452" s="49"/>
      <c r="G452" s="49"/>
      <c r="H452" s="50">
        <v>0</v>
      </c>
      <c r="I452" s="51"/>
      <c r="J452" s="110" t="str">
        <f t="shared" si="16"/>
        <v/>
      </c>
      <c r="K452" s="46"/>
      <c r="M452" s="463" t="str" cm="1">
        <f t="array" ref="M452">IF(AND(L452="On Hold",E452&lt;&gt;"",H452&gt;0),IFERROR(_xlfn.LET(_xlpm.stopSell,EDATE(E452,-'FEFO Analysis'!$B$4),_xlpm.cumAtStop,SUMIFS('Planning Engine'!$F$4:$F$2331,'Planning Engine'!$B$4:$B$2331,A452,'Planning Engine'!$A$4:$A$2331,"&lt;="&amp;_xlpm.stopSell),_xlpm.threshold,_xlpm.cumAtStop-H452,IF(_xlpm.threshold&lt;=0,_xlfn.AGGREGATE(15,6,'Planning Engine'!$A$4:$A$2331/('Planning Engine'!$B$4:$B$2331=A452),1),_xlfn.AGGREGATE(15,6,'Planning Engine'!$A$4:$A$2331/(('Planning Engine'!$B$4:$B$2331=A452)*('Planning Engine'!$AB$4:$AB$2331&gt;_xlpm.threshold)),1))),""),"")</f>
        <v/>
      </c>
      <c r="N452" s="459" t="str">
        <f ca="1">IF(M452="","",M452-TODAY())</f>
        <v/>
      </c>
    </row>
    <row r="453" spans="1:14" ht="14.25" customHeight="1" x14ac:dyDescent="0.35">
      <c r="A453" s="46"/>
      <c r="B453" s="46"/>
      <c r="C453" s="47"/>
      <c r="D453" s="48"/>
      <c r="E453" s="48"/>
      <c r="F453" s="49"/>
      <c r="G453" s="49"/>
      <c r="H453" s="50">
        <v>0</v>
      </c>
      <c r="I453" s="51"/>
      <c r="J453" s="110" t="str">
        <f t="shared" si="16"/>
        <v/>
      </c>
      <c r="K453" s="46"/>
      <c r="M453" s="463" t="str" cm="1">
        <f t="array" ref="M453">IF(AND(L453="On Hold",E453&lt;&gt;"",H453&gt;0),IFERROR(_xlfn.LET(_xlpm.stopSell,EDATE(E453,-'FEFO Analysis'!$B$4),_xlpm.cumAtStop,SUMIFS('Planning Engine'!$F$4:$F$2331,'Planning Engine'!$B$4:$B$2331,A453,'Planning Engine'!$A$4:$A$2331,"&lt;="&amp;_xlpm.stopSell),_xlpm.threshold,_xlpm.cumAtStop-H453,IF(_xlpm.threshold&lt;=0,_xlfn.AGGREGATE(15,6,'Planning Engine'!$A$4:$A$2331/('Planning Engine'!$B$4:$B$2331=A453),1),_xlfn.AGGREGATE(15,6,'Planning Engine'!$A$4:$A$2331/(('Planning Engine'!$B$4:$B$2331=A453)*('Planning Engine'!$AB$4:$AB$2331&gt;_xlpm.threshold)),1))),""),"")</f>
        <v/>
      </c>
      <c r="N453" s="459" t="str">
        <f ca="1">IF(M453="","",M453-TODAY())</f>
        <v/>
      </c>
    </row>
    <row r="454" spans="1:14" ht="14.25" customHeight="1" x14ac:dyDescent="0.35">
      <c r="A454" s="46"/>
      <c r="B454" s="46"/>
      <c r="C454" s="47"/>
      <c r="D454" s="48"/>
      <c r="E454" s="48"/>
      <c r="F454" s="49"/>
      <c r="G454" s="49"/>
      <c r="H454" s="50">
        <v>0</v>
      </c>
      <c r="I454" s="51"/>
      <c r="J454" s="110" t="str">
        <f t="shared" ref="J454:J507" si="17">IF(E454&lt;&gt;"",E454+ROW()/1000000,"")</f>
        <v/>
      </c>
      <c r="K454" s="46"/>
      <c r="M454" s="463" t="str" cm="1">
        <f t="array" ref="M454">IF(AND(L454="On Hold",E454&lt;&gt;"",H454&gt;0),IFERROR(_xlfn.LET(_xlpm.stopSell,EDATE(E454,-'FEFO Analysis'!$B$4),_xlpm.cumAtStop,SUMIFS('Planning Engine'!$F$4:$F$2331,'Planning Engine'!$B$4:$B$2331,A454,'Planning Engine'!$A$4:$A$2331,"&lt;="&amp;_xlpm.stopSell),_xlpm.threshold,_xlpm.cumAtStop-H454,IF(_xlpm.threshold&lt;=0,_xlfn.AGGREGATE(15,6,'Planning Engine'!$A$4:$A$2331/('Planning Engine'!$B$4:$B$2331=A454),1),_xlfn.AGGREGATE(15,6,'Planning Engine'!$A$4:$A$2331/(('Planning Engine'!$B$4:$B$2331=A454)*('Planning Engine'!$AB$4:$AB$2331&gt;_xlpm.threshold)),1))),""),"")</f>
        <v/>
      </c>
      <c r="N454" s="459" t="str">
        <f ca="1">IF(M454="","",M454-TODAY())</f>
        <v/>
      </c>
    </row>
    <row r="455" spans="1:14" ht="14.25" customHeight="1" x14ac:dyDescent="0.35">
      <c r="A455" s="46"/>
      <c r="B455" s="46"/>
      <c r="C455" s="47"/>
      <c r="D455" s="48"/>
      <c r="E455" s="48"/>
      <c r="F455" s="49"/>
      <c r="G455" s="49"/>
      <c r="H455" s="50">
        <v>0</v>
      </c>
      <c r="I455" s="51"/>
      <c r="J455" s="110" t="str">
        <f t="shared" si="17"/>
        <v/>
      </c>
      <c r="K455" s="46"/>
      <c r="M455" s="463" t="str" cm="1">
        <f t="array" ref="M455">IF(AND(L455="On Hold",E455&lt;&gt;"",H455&gt;0),IFERROR(_xlfn.LET(_xlpm.stopSell,EDATE(E455,-'FEFO Analysis'!$B$4),_xlpm.cumAtStop,SUMIFS('Planning Engine'!$F$4:$F$2331,'Planning Engine'!$B$4:$B$2331,A455,'Planning Engine'!$A$4:$A$2331,"&lt;="&amp;_xlpm.stopSell),_xlpm.threshold,_xlpm.cumAtStop-H455,IF(_xlpm.threshold&lt;=0,_xlfn.AGGREGATE(15,6,'Planning Engine'!$A$4:$A$2331/('Planning Engine'!$B$4:$B$2331=A455),1),_xlfn.AGGREGATE(15,6,'Planning Engine'!$A$4:$A$2331/(('Planning Engine'!$B$4:$B$2331=A455)*('Planning Engine'!$AB$4:$AB$2331&gt;_xlpm.threshold)),1))),""),"")</f>
        <v/>
      </c>
      <c r="N455" s="459" t="str">
        <f ca="1">IF(M455="","",M455-TODAY())</f>
        <v/>
      </c>
    </row>
    <row r="456" spans="1:14" ht="14.25" customHeight="1" x14ac:dyDescent="0.35">
      <c r="A456" s="46"/>
      <c r="B456" s="46"/>
      <c r="C456" s="47"/>
      <c r="D456" s="48"/>
      <c r="E456" s="48"/>
      <c r="F456" s="49"/>
      <c r="G456" s="49"/>
      <c r="H456" s="50">
        <v>0</v>
      </c>
      <c r="I456" s="51"/>
      <c r="J456" s="110" t="str">
        <f t="shared" si="17"/>
        <v/>
      </c>
      <c r="K456" s="46"/>
      <c r="M456" s="463" t="str" cm="1">
        <f t="array" ref="M456">IF(AND(L456="On Hold",E456&lt;&gt;"",H456&gt;0),IFERROR(_xlfn.LET(_xlpm.stopSell,EDATE(E456,-'FEFO Analysis'!$B$4),_xlpm.cumAtStop,SUMIFS('Planning Engine'!$F$4:$F$2331,'Planning Engine'!$B$4:$B$2331,A456,'Planning Engine'!$A$4:$A$2331,"&lt;="&amp;_xlpm.stopSell),_xlpm.threshold,_xlpm.cumAtStop-H456,IF(_xlpm.threshold&lt;=0,_xlfn.AGGREGATE(15,6,'Planning Engine'!$A$4:$A$2331/('Planning Engine'!$B$4:$B$2331=A456),1),_xlfn.AGGREGATE(15,6,'Planning Engine'!$A$4:$A$2331/(('Planning Engine'!$B$4:$B$2331=A456)*('Planning Engine'!$AB$4:$AB$2331&gt;_xlpm.threshold)),1))),""),"")</f>
        <v/>
      </c>
      <c r="N456" s="459" t="str">
        <f ca="1">IF(M456="","",M456-TODAY())</f>
        <v/>
      </c>
    </row>
    <row r="457" spans="1:14" ht="14.25" customHeight="1" x14ac:dyDescent="0.35">
      <c r="A457" s="46"/>
      <c r="B457" s="46"/>
      <c r="C457" s="47"/>
      <c r="D457" s="48"/>
      <c r="E457" s="48"/>
      <c r="F457" s="49"/>
      <c r="G457" s="49"/>
      <c r="H457" s="50">
        <v>0</v>
      </c>
      <c r="I457" s="51"/>
      <c r="J457" s="110" t="str">
        <f t="shared" si="17"/>
        <v/>
      </c>
      <c r="K457" s="46"/>
      <c r="M457" s="463" t="str" cm="1">
        <f t="array" ref="M457">IF(AND(L457="On Hold",E457&lt;&gt;"",H457&gt;0),IFERROR(_xlfn.LET(_xlpm.stopSell,EDATE(E457,-'FEFO Analysis'!$B$4),_xlpm.cumAtStop,SUMIFS('Planning Engine'!$F$4:$F$2331,'Planning Engine'!$B$4:$B$2331,A457,'Planning Engine'!$A$4:$A$2331,"&lt;="&amp;_xlpm.stopSell),_xlpm.threshold,_xlpm.cumAtStop-H457,IF(_xlpm.threshold&lt;=0,_xlfn.AGGREGATE(15,6,'Planning Engine'!$A$4:$A$2331/('Planning Engine'!$B$4:$B$2331=A457),1),_xlfn.AGGREGATE(15,6,'Planning Engine'!$A$4:$A$2331/(('Planning Engine'!$B$4:$B$2331=A457)*('Planning Engine'!$AB$4:$AB$2331&gt;_xlpm.threshold)),1))),""),"")</f>
        <v/>
      </c>
      <c r="N457" s="459" t="str">
        <f ca="1">IF(M457="","",M457-TODAY())</f>
        <v/>
      </c>
    </row>
    <row r="458" spans="1:14" ht="14.25" customHeight="1" x14ac:dyDescent="0.35">
      <c r="A458" s="46"/>
      <c r="B458" s="46"/>
      <c r="C458" s="47"/>
      <c r="D458" s="48"/>
      <c r="E458" s="48"/>
      <c r="F458" s="49"/>
      <c r="G458" s="49"/>
      <c r="H458" s="50">
        <v>0</v>
      </c>
      <c r="I458" s="51"/>
      <c r="J458" s="110" t="str">
        <f t="shared" si="17"/>
        <v/>
      </c>
      <c r="K458" s="46"/>
      <c r="M458" s="463" t="str" cm="1">
        <f t="array" ref="M458">IF(AND(L458="On Hold",E458&lt;&gt;"",H458&gt;0),IFERROR(_xlfn.LET(_xlpm.stopSell,EDATE(E458,-'FEFO Analysis'!$B$4),_xlpm.cumAtStop,SUMIFS('Planning Engine'!$F$4:$F$2331,'Planning Engine'!$B$4:$B$2331,A458,'Planning Engine'!$A$4:$A$2331,"&lt;="&amp;_xlpm.stopSell),_xlpm.threshold,_xlpm.cumAtStop-H458,IF(_xlpm.threshold&lt;=0,_xlfn.AGGREGATE(15,6,'Planning Engine'!$A$4:$A$2331/('Planning Engine'!$B$4:$B$2331=A458),1),_xlfn.AGGREGATE(15,6,'Planning Engine'!$A$4:$A$2331/(('Planning Engine'!$B$4:$B$2331=A458)*('Planning Engine'!$AB$4:$AB$2331&gt;_xlpm.threshold)),1))),""),"")</f>
        <v/>
      </c>
      <c r="N458" s="459" t="str">
        <f ca="1">IF(M458="","",M458-TODAY())</f>
        <v/>
      </c>
    </row>
    <row r="459" spans="1:14" ht="14.25" customHeight="1" x14ac:dyDescent="0.35">
      <c r="A459" s="46"/>
      <c r="B459" s="46"/>
      <c r="C459" s="47"/>
      <c r="D459" s="48"/>
      <c r="E459" s="48"/>
      <c r="F459" s="49"/>
      <c r="G459" s="49"/>
      <c r="H459" s="50">
        <v>0</v>
      </c>
      <c r="I459" s="51"/>
      <c r="J459" s="110" t="str">
        <f t="shared" si="17"/>
        <v/>
      </c>
      <c r="K459" s="46"/>
      <c r="M459" s="463" t="str" cm="1">
        <f t="array" ref="M459">IF(AND(L459="On Hold",E459&lt;&gt;"",H459&gt;0),IFERROR(_xlfn.LET(_xlpm.stopSell,EDATE(E459,-'FEFO Analysis'!$B$4),_xlpm.cumAtStop,SUMIFS('Planning Engine'!$F$4:$F$2331,'Planning Engine'!$B$4:$B$2331,A459,'Planning Engine'!$A$4:$A$2331,"&lt;="&amp;_xlpm.stopSell),_xlpm.threshold,_xlpm.cumAtStop-H459,IF(_xlpm.threshold&lt;=0,_xlfn.AGGREGATE(15,6,'Planning Engine'!$A$4:$A$2331/('Planning Engine'!$B$4:$B$2331=A459),1),_xlfn.AGGREGATE(15,6,'Planning Engine'!$A$4:$A$2331/(('Planning Engine'!$B$4:$B$2331=A459)*('Planning Engine'!$AB$4:$AB$2331&gt;_xlpm.threshold)),1))),""),"")</f>
        <v/>
      </c>
      <c r="N459" s="459" t="str">
        <f ca="1">IF(M459="","",M459-TODAY())</f>
        <v/>
      </c>
    </row>
    <row r="460" spans="1:14" ht="14.25" customHeight="1" x14ac:dyDescent="0.35">
      <c r="A460" s="46"/>
      <c r="B460" s="46"/>
      <c r="C460" s="47"/>
      <c r="D460" s="48"/>
      <c r="E460" s="48"/>
      <c r="F460" s="49"/>
      <c r="G460" s="49"/>
      <c r="H460" s="50">
        <v>0</v>
      </c>
      <c r="I460" s="51"/>
      <c r="J460" s="110" t="str">
        <f t="shared" si="17"/>
        <v/>
      </c>
      <c r="K460" s="46"/>
      <c r="M460" s="463" t="str" cm="1">
        <f t="array" ref="M460">IF(AND(L460="On Hold",E460&lt;&gt;"",H460&gt;0),IFERROR(_xlfn.LET(_xlpm.stopSell,EDATE(E460,-'FEFO Analysis'!$B$4),_xlpm.cumAtStop,SUMIFS('Planning Engine'!$F$4:$F$2331,'Planning Engine'!$B$4:$B$2331,A460,'Planning Engine'!$A$4:$A$2331,"&lt;="&amp;_xlpm.stopSell),_xlpm.threshold,_xlpm.cumAtStop-H460,IF(_xlpm.threshold&lt;=0,_xlfn.AGGREGATE(15,6,'Planning Engine'!$A$4:$A$2331/('Planning Engine'!$B$4:$B$2331=A460),1),_xlfn.AGGREGATE(15,6,'Planning Engine'!$A$4:$A$2331/(('Planning Engine'!$B$4:$B$2331=A460)*('Planning Engine'!$AB$4:$AB$2331&gt;_xlpm.threshold)),1))),""),"")</f>
        <v/>
      </c>
      <c r="N460" s="459" t="str">
        <f ca="1">IF(M460="","",M460-TODAY())</f>
        <v/>
      </c>
    </row>
    <row r="461" spans="1:14" ht="14.25" customHeight="1" x14ac:dyDescent="0.35">
      <c r="A461" s="46"/>
      <c r="B461" s="46"/>
      <c r="C461" s="47"/>
      <c r="D461" s="48"/>
      <c r="E461" s="48"/>
      <c r="F461" s="49"/>
      <c r="G461" s="49"/>
      <c r="H461" s="50">
        <v>0</v>
      </c>
      <c r="I461" s="51"/>
      <c r="J461" s="110" t="str">
        <f t="shared" si="17"/>
        <v/>
      </c>
      <c r="K461" s="46"/>
      <c r="M461" s="463" t="str" cm="1">
        <f t="array" ref="M461">IF(AND(L461="On Hold",E461&lt;&gt;"",H461&gt;0),IFERROR(_xlfn.LET(_xlpm.stopSell,EDATE(E461,-'FEFO Analysis'!$B$4),_xlpm.cumAtStop,SUMIFS('Planning Engine'!$F$4:$F$2331,'Planning Engine'!$B$4:$B$2331,A461,'Planning Engine'!$A$4:$A$2331,"&lt;="&amp;_xlpm.stopSell),_xlpm.threshold,_xlpm.cumAtStop-H461,IF(_xlpm.threshold&lt;=0,_xlfn.AGGREGATE(15,6,'Planning Engine'!$A$4:$A$2331/('Planning Engine'!$B$4:$B$2331=A461),1),_xlfn.AGGREGATE(15,6,'Planning Engine'!$A$4:$A$2331/(('Planning Engine'!$B$4:$B$2331=A461)*('Planning Engine'!$AB$4:$AB$2331&gt;_xlpm.threshold)),1))),""),"")</f>
        <v/>
      </c>
      <c r="N461" s="459" t="str">
        <f ca="1">IF(M461="","",M461-TODAY())</f>
        <v/>
      </c>
    </row>
    <row r="462" spans="1:14" ht="14.25" customHeight="1" x14ac:dyDescent="0.35">
      <c r="A462" s="46"/>
      <c r="B462" s="46"/>
      <c r="C462" s="47"/>
      <c r="D462" s="48"/>
      <c r="E462" s="48"/>
      <c r="F462" s="49"/>
      <c r="G462" s="49"/>
      <c r="H462" s="50">
        <v>0</v>
      </c>
      <c r="I462" s="51"/>
      <c r="J462" s="110" t="str">
        <f t="shared" si="17"/>
        <v/>
      </c>
      <c r="K462" s="46"/>
      <c r="M462" s="463" t="str" cm="1">
        <f t="array" ref="M462">IF(AND(L462="On Hold",E462&lt;&gt;"",H462&gt;0),IFERROR(_xlfn.LET(_xlpm.stopSell,EDATE(E462,-'FEFO Analysis'!$B$4),_xlpm.cumAtStop,SUMIFS('Planning Engine'!$F$4:$F$2331,'Planning Engine'!$B$4:$B$2331,A462,'Planning Engine'!$A$4:$A$2331,"&lt;="&amp;_xlpm.stopSell),_xlpm.threshold,_xlpm.cumAtStop-H462,IF(_xlpm.threshold&lt;=0,_xlfn.AGGREGATE(15,6,'Planning Engine'!$A$4:$A$2331/('Planning Engine'!$B$4:$B$2331=A462),1),_xlfn.AGGREGATE(15,6,'Planning Engine'!$A$4:$A$2331/(('Planning Engine'!$B$4:$B$2331=A462)*('Planning Engine'!$AB$4:$AB$2331&gt;_xlpm.threshold)),1))),""),"")</f>
        <v/>
      </c>
      <c r="N462" s="459" t="str">
        <f ca="1">IF(M462="","",M462-TODAY())</f>
        <v/>
      </c>
    </row>
    <row r="463" spans="1:14" ht="14.25" customHeight="1" x14ac:dyDescent="0.35">
      <c r="A463" s="46"/>
      <c r="B463" s="46"/>
      <c r="C463" s="47"/>
      <c r="D463" s="48"/>
      <c r="E463" s="48"/>
      <c r="F463" s="49"/>
      <c r="G463" s="49"/>
      <c r="H463" s="50">
        <v>0</v>
      </c>
      <c r="I463" s="51"/>
      <c r="J463" s="110" t="str">
        <f t="shared" si="17"/>
        <v/>
      </c>
      <c r="K463" s="46"/>
      <c r="M463" s="463" t="str" cm="1">
        <f t="array" ref="M463">IF(AND(L463="On Hold",E463&lt;&gt;"",H463&gt;0),IFERROR(_xlfn.LET(_xlpm.stopSell,EDATE(E463,-'FEFO Analysis'!$B$4),_xlpm.cumAtStop,SUMIFS('Planning Engine'!$F$4:$F$2331,'Planning Engine'!$B$4:$B$2331,A463,'Planning Engine'!$A$4:$A$2331,"&lt;="&amp;_xlpm.stopSell),_xlpm.threshold,_xlpm.cumAtStop-H463,IF(_xlpm.threshold&lt;=0,_xlfn.AGGREGATE(15,6,'Planning Engine'!$A$4:$A$2331/('Planning Engine'!$B$4:$B$2331=A463),1),_xlfn.AGGREGATE(15,6,'Planning Engine'!$A$4:$A$2331/(('Planning Engine'!$B$4:$B$2331=A463)*('Planning Engine'!$AB$4:$AB$2331&gt;_xlpm.threshold)),1))),""),"")</f>
        <v/>
      </c>
      <c r="N463" s="459" t="str">
        <f ca="1">IF(M463="","",M463-TODAY())</f>
        <v/>
      </c>
    </row>
    <row r="464" spans="1:14" ht="14.25" customHeight="1" x14ac:dyDescent="0.35">
      <c r="A464" s="46"/>
      <c r="B464" s="46"/>
      <c r="C464" s="47"/>
      <c r="D464" s="48"/>
      <c r="E464" s="48"/>
      <c r="F464" s="49"/>
      <c r="G464" s="49"/>
      <c r="H464" s="50">
        <v>0</v>
      </c>
      <c r="I464" s="51"/>
      <c r="J464" s="110" t="str">
        <f t="shared" si="17"/>
        <v/>
      </c>
      <c r="K464" s="46"/>
      <c r="M464" s="463" t="str" cm="1">
        <f t="array" ref="M464">IF(AND(L464="On Hold",E464&lt;&gt;"",H464&gt;0),IFERROR(_xlfn.LET(_xlpm.stopSell,EDATE(E464,-'FEFO Analysis'!$B$4),_xlpm.cumAtStop,SUMIFS('Planning Engine'!$F$4:$F$2331,'Planning Engine'!$B$4:$B$2331,A464,'Planning Engine'!$A$4:$A$2331,"&lt;="&amp;_xlpm.stopSell),_xlpm.threshold,_xlpm.cumAtStop-H464,IF(_xlpm.threshold&lt;=0,_xlfn.AGGREGATE(15,6,'Planning Engine'!$A$4:$A$2331/('Planning Engine'!$B$4:$B$2331=A464),1),_xlfn.AGGREGATE(15,6,'Planning Engine'!$A$4:$A$2331/(('Planning Engine'!$B$4:$B$2331=A464)*('Planning Engine'!$AB$4:$AB$2331&gt;_xlpm.threshold)),1))),""),"")</f>
        <v/>
      </c>
      <c r="N464" s="459" t="str">
        <f ca="1">IF(M464="","",M464-TODAY())</f>
        <v/>
      </c>
    </row>
    <row r="465" spans="1:14" ht="14.25" customHeight="1" x14ac:dyDescent="0.35">
      <c r="A465" s="46"/>
      <c r="B465" s="46"/>
      <c r="C465" s="47"/>
      <c r="D465" s="48"/>
      <c r="E465" s="48"/>
      <c r="F465" s="49"/>
      <c r="G465" s="49"/>
      <c r="H465" s="50">
        <v>0</v>
      </c>
      <c r="I465" s="51"/>
      <c r="J465" s="110" t="str">
        <f t="shared" si="17"/>
        <v/>
      </c>
      <c r="K465" s="46"/>
      <c r="M465" s="463" t="str" cm="1">
        <f t="array" ref="M465">IF(AND(L465="On Hold",E465&lt;&gt;"",H465&gt;0),IFERROR(_xlfn.LET(_xlpm.stopSell,EDATE(E465,-'FEFO Analysis'!$B$4),_xlpm.cumAtStop,SUMIFS('Planning Engine'!$F$4:$F$2331,'Planning Engine'!$B$4:$B$2331,A465,'Planning Engine'!$A$4:$A$2331,"&lt;="&amp;_xlpm.stopSell),_xlpm.threshold,_xlpm.cumAtStop-H465,IF(_xlpm.threshold&lt;=0,_xlfn.AGGREGATE(15,6,'Planning Engine'!$A$4:$A$2331/('Planning Engine'!$B$4:$B$2331=A465),1),_xlfn.AGGREGATE(15,6,'Planning Engine'!$A$4:$A$2331/(('Planning Engine'!$B$4:$B$2331=A465)*('Planning Engine'!$AB$4:$AB$2331&gt;_xlpm.threshold)),1))),""),"")</f>
        <v/>
      </c>
      <c r="N465" s="459" t="str">
        <f ca="1">IF(M465="","",M465-TODAY())</f>
        <v/>
      </c>
    </row>
    <row r="466" spans="1:14" ht="14.25" customHeight="1" x14ac:dyDescent="0.35">
      <c r="A466" s="46"/>
      <c r="B466" s="46"/>
      <c r="C466" s="47"/>
      <c r="D466" s="48"/>
      <c r="E466" s="48"/>
      <c r="F466" s="49"/>
      <c r="G466" s="49"/>
      <c r="H466" s="50">
        <v>0</v>
      </c>
      <c r="I466" s="51"/>
      <c r="J466" s="110" t="str">
        <f t="shared" si="17"/>
        <v/>
      </c>
      <c r="K466" s="46"/>
      <c r="M466" s="463" t="str" cm="1">
        <f t="array" ref="M466">IF(AND(L466="On Hold",E466&lt;&gt;"",H466&gt;0),IFERROR(_xlfn.LET(_xlpm.stopSell,EDATE(E466,-'FEFO Analysis'!$B$4),_xlpm.cumAtStop,SUMIFS('Planning Engine'!$F$4:$F$2331,'Planning Engine'!$B$4:$B$2331,A466,'Planning Engine'!$A$4:$A$2331,"&lt;="&amp;_xlpm.stopSell),_xlpm.threshold,_xlpm.cumAtStop-H466,IF(_xlpm.threshold&lt;=0,_xlfn.AGGREGATE(15,6,'Planning Engine'!$A$4:$A$2331/('Planning Engine'!$B$4:$B$2331=A466),1),_xlfn.AGGREGATE(15,6,'Planning Engine'!$A$4:$A$2331/(('Planning Engine'!$B$4:$B$2331=A466)*('Planning Engine'!$AB$4:$AB$2331&gt;_xlpm.threshold)),1))),""),"")</f>
        <v/>
      </c>
      <c r="N466" s="459" t="str">
        <f ca="1">IF(M466="","",M466-TODAY())</f>
        <v/>
      </c>
    </row>
    <row r="467" spans="1:14" ht="14.25" customHeight="1" x14ac:dyDescent="0.35">
      <c r="A467" s="46"/>
      <c r="B467" s="46"/>
      <c r="C467" s="47"/>
      <c r="D467" s="48"/>
      <c r="E467" s="48"/>
      <c r="F467" s="49"/>
      <c r="G467" s="49"/>
      <c r="H467" s="50">
        <v>0</v>
      </c>
      <c r="I467" s="51"/>
      <c r="J467" s="110" t="str">
        <f t="shared" si="17"/>
        <v/>
      </c>
      <c r="K467" s="46"/>
      <c r="M467" s="463" t="str" cm="1">
        <f t="array" ref="M467">IF(AND(L467="On Hold",E467&lt;&gt;"",H467&gt;0),IFERROR(_xlfn.LET(_xlpm.stopSell,EDATE(E467,-'FEFO Analysis'!$B$4),_xlpm.cumAtStop,SUMIFS('Planning Engine'!$F$4:$F$2331,'Planning Engine'!$B$4:$B$2331,A467,'Planning Engine'!$A$4:$A$2331,"&lt;="&amp;_xlpm.stopSell),_xlpm.threshold,_xlpm.cumAtStop-H467,IF(_xlpm.threshold&lt;=0,_xlfn.AGGREGATE(15,6,'Planning Engine'!$A$4:$A$2331/('Planning Engine'!$B$4:$B$2331=A467),1),_xlfn.AGGREGATE(15,6,'Planning Engine'!$A$4:$A$2331/(('Planning Engine'!$B$4:$B$2331=A467)*('Planning Engine'!$AB$4:$AB$2331&gt;_xlpm.threshold)),1))),""),"")</f>
        <v/>
      </c>
      <c r="N467" s="459" t="str">
        <f ca="1">IF(M467="","",M467-TODAY())</f>
        <v/>
      </c>
    </row>
    <row r="468" spans="1:14" ht="14.25" customHeight="1" x14ac:dyDescent="0.35">
      <c r="A468" s="46"/>
      <c r="B468" s="46"/>
      <c r="C468" s="47"/>
      <c r="D468" s="48"/>
      <c r="E468" s="48"/>
      <c r="F468" s="49"/>
      <c r="G468" s="49"/>
      <c r="H468" s="50">
        <v>0</v>
      </c>
      <c r="I468" s="51"/>
      <c r="J468" s="110" t="str">
        <f t="shared" si="17"/>
        <v/>
      </c>
      <c r="K468" s="46"/>
      <c r="M468" s="463" t="str" cm="1">
        <f t="array" ref="M468">IF(AND(L468="On Hold",E468&lt;&gt;"",H468&gt;0),IFERROR(_xlfn.LET(_xlpm.stopSell,EDATE(E468,-'FEFO Analysis'!$B$4),_xlpm.cumAtStop,SUMIFS('Planning Engine'!$F$4:$F$2331,'Planning Engine'!$B$4:$B$2331,A468,'Planning Engine'!$A$4:$A$2331,"&lt;="&amp;_xlpm.stopSell),_xlpm.threshold,_xlpm.cumAtStop-H468,IF(_xlpm.threshold&lt;=0,_xlfn.AGGREGATE(15,6,'Planning Engine'!$A$4:$A$2331/('Planning Engine'!$B$4:$B$2331=A468),1),_xlfn.AGGREGATE(15,6,'Planning Engine'!$A$4:$A$2331/(('Planning Engine'!$B$4:$B$2331=A468)*('Planning Engine'!$AB$4:$AB$2331&gt;_xlpm.threshold)),1))),""),"")</f>
        <v/>
      </c>
      <c r="N468" s="459" t="str">
        <f ca="1">IF(M468="","",M468-TODAY())</f>
        <v/>
      </c>
    </row>
    <row r="469" spans="1:14" ht="14.25" customHeight="1" x14ac:dyDescent="0.35">
      <c r="A469" s="46"/>
      <c r="B469" s="46"/>
      <c r="C469" s="47"/>
      <c r="D469" s="48"/>
      <c r="E469" s="48"/>
      <c r="F469" s="49"/>
      <c r="G469" s="49"/>
      <c r="H469" s="50">
        <v>0</v>
      </c>
      <c r="I469" s="51"/>
      <c r="J469" s="110" t="str">
        <f t="shared" si="17"/>
        <v/>
      </c>
      <c r="K469" s="46"/>
      <c r="M469" s="463" t="str" cm="1">
        <f t="array" ref="M469">IF(AND(L469="On Hold",E469&lt;&gt;"",H469&gt;0),IFERROR(_xlfn.LET(_xlpm.stopSell,EDATE(E469,-'FEFO Analysis'!$B$4),_xlpm.cumAtStop,SUMIFS('Planning Engine'!$F$4:$F$2331,'Planning Engine'!$B$4:$B$2331,A469,'Planning Engine'!$A$4:$A$2331,"&lt;="&amp;_xlpm.stopSell),_xlpm.threshold,_xlpm.cumAtStop-H469,IF(_xlpm.threshold&lt;=0,_xlfn.AGGREGATE(15,6,'Planning Engine'!$A$4:$A$2331/('Planning Engine'!$B$4:$B$2331=A469),1),_xlfn.AGGREGATE(15,6,'Planning Engine'!$A$4:$A$2331/(('Planning Engine'!$B$4:$B$2331=A469)*('Planning Engine'!$AB$4:$AB$2331&gt;_xlpm.threshold)),1))),""),"")</f>
        <v/>
      </c>
      <c r="N469" s="459" t="str">
        <f ca="1">IF(M469="","",M469-TODAY())</f>
        <v/>
      </c>
    </row>
    <row r="470" spans="1:14" ht="14.25" customHeight="1" x14ac:dyDescent="0.35">
      <c r="A470" s="46"/>
      <c r="B470" s="46"/>
      <c r="C470" s="47"/>
      <c r="D470" s="48"/>
      <c r="E470" s="48"/>
      <c r="F470" s="49"/>
      <c r="G470" s="49"/>
      <c r="H470" s="50">
        <v>0</v>
      </c>
      <c r="I470" s="51"/>
      <c r="J470" s="110" t="str">
        <f t="shared" si="17"/>
        <v/>
      </c>
      <c r="K470" s="46"/>
      <c r="M470" s="463" t="str" cm="1">
        <f t="array" ref="M470">IF(AND(L470="On Hold",E470&lt;&gt;"",H470&gt;0),IFERROR(_xlfn.LET(_xlpm.stopSell,EDATE(E470,-'FEFO Analysis'!$B$4),_xlpm.cumAtStop,SUMIFS('Planning Engine'!$F$4:$F$2331,'Planning Engine'!$B$4:$B$2331,A470,'Planning Engine'!$A$4:$A$2331,"&lt;="&amp;_xlpm.stopSell),_xlpm.threshold,_xlpm.cumAtStop-H470,IF(_xlpm.threshold&lt;=0,_xlfn.AGGREGATE(15,6,'Planning Engine'!$A$4:$A$2331/('Planning Engine'!$B$4:$B$2331=A470),1),_xlfn.AGGREGATE(15,6,'Planning Engine'!$A$4:$A$2331/(('Planning Engine'!$B$4:$B$2331=A470)*('Planning Engine'!$AB$4:$AB$2331&gt;_xlpm.threshold)),1))),""),"")</f>
        <v/>
      </c>
      <c r="N470" s="459" t="str">
        <f ca="1">IF(M470="","",M470-TODAY())</f>
        <v/>
      </c>
    </row>
    <row r="471" spans="1:14" ht="14.25" customHeight="1" x14ac:dyDescent="0.35">
      <c r="A471" s="46"/>
      <c r="B471" s="46"/>
      <c r="C471" s="47"/>
      <c r="D471" s="48"/>
      <c r="E471" s="48"/>
      <c r="F471" s="49"/>
      <c r="G471" s="49"/>
      <c r="H471" s="50">
        <v>0</v>
      </c>
      <c r="I471" s="51"/>
      <c r="J471" s="110" t="str">
        <f t="shared" si="17"/>
        <v/>
      </c>
      <c r="K471" s="46"/>
      <c r="M471" s="463" t="str" cm="1">
        <f t="array" ref="M471">IF(AND(L471="On Hold",E471&lt;&gt;"",H471&gt;0),IFERROR(_xlfn.LET(_xlpm.stopSell,EDATE(E471,-'FEFO Analysis'!$B$4),_xlpm.cumAtStop,SUMIFS('Planning Engine'!$F$4:$F$2331,'Planning Engine'!$B$4:$B$2331,A471,'Planning Engine'!$A$4:$A$2331,"&lt;="&amp;_xlpm.stopSell),_xlpm.threshold,_xlpm.cumAtStop-H471,IF(_xlpm.threshold&lt;=0,_xlfn.AGGREGATE(15,6,'Planning Engine'!$A$4:$A$2331/('Planning Engine'!$B$4:$B$2331=A471),1),_xlfn.AGGREGATE(15,6,'Planning Engine'!$A$4:$A$2331/(('Planning Engine'!$B$4:$B$2331=A471)*('Planning Engine'!$AB$4:$AB$2331&gt;_xlpm.threshold)),1))),""),"")</f>
        <v/>
      </c>
      <c r="N471" s="459" t="str">
        <f ca="1">IF(M471="","",M471-TODAY())</f>
        <v/>
      </c>
    </row>
    <row r="472" spans="1:14" ht="14.25" customHeight="1" x14ac:dyDescent="0.35">
      <c r="A472" s="46"/>
      <c r="B472" s="46"/>
      <c r="C472" s="47"/>
      <c r="D472" s="48"/>
      <c r="E472" s="48"/>
      <c r="F472" s="49"/>
      <c r="G472" s="49"/>
      <c r="H472" s="50">
        <v>0</v>
      </c>
      <c r="I472" s="51"/>
      <c r="J472" s="110" t="str">
        <f t="shared" si="17"/>
        <v/>
      </c>
      <c r="K472" s="46"/>
      <c r="M472" s="463" t="str" cm="1">
        <f t="array" ref="M472">IF(AND(L472="On Hold",E472&lt;&gt;"",H472&gt;0),IFERROR(_xlfn.LET(_xlpm.stopSell,EDATE(E472,-'FEFO Analysis'!$B$4),_xlpm.cumAtStop,SUMIFS('Planning Engine'!$F$4:$F$2331,'Planning Engine'!$B$4:$B$2331,A472,'Planning Engine'!$A$4:$A$2331,"&lt;="&amp;_xlpm.stopSell),_xlpm.threshold,_xlpm.cumAtStop-H472,IF(_xlpm.threshold&lt;=0,_xlfn.AGGREGATE(15,6,'Planning Engine'!$A$4:$A$2331/('Planning Engine'!$B$4:$B$2331=A472),1),_xlfn.AGGREGATE(15,6,'Planning Engine'!$A$4:$A$2331/(('Planning Engine'!$B$4:$B$2331=A472)*('Planning Engine'!$AB$4:$AB$2331&gt;_xlpm.threshold)),1))),""),"")</f>
        <v/>
      </c>
      <c r="N472" s="459" t="str">
        <f ca="1">IF(M472="","",M472-TODAY())</f>
        <v/>
      </c>
    </row>
    <row r="473" spans="1:14" ht="14.25" customHeight="1" x14ac:dyDescent="0.35">
      <c r="A473" s="46"/>
      <c r="B473" s="46"/>
      <c r="C473" s="47"/>
      <c r="D473" s="48"/>
      <c r="E473" s="48"/>
      <c r="F473" s="49"/>
      <c r="G473" s="49"/>
      <c r="H473" s="50">
        <v>0</v>
      </c>
      <c r="I473" s="51"/>
      <c r="J473" s="110" t="str">
        <f t="shared" si="17"/>
        <v/>
      </c>
      <c r="K473" s="46"/>
      <c r="M473" s="463" t="str" cm="1">
        <f t="array" ref="M473">IF(AND(L473="On Hold",E473&lt;&gt;"",H473&gt;0),IFERROR(_xlfn.LET(_xlpm.stopSell,EDATE(E473,-'FEFO Analysis'!$B$4),_xlpm.cumAtStop,SUMIFS('Planning Engine'!$F$4:$F$2331,'Planning Engine'!$B$4:$B$2331,A473,'Planning Engine'!$A$4:$A$2331,"&lt;="&amp;_xlpm.stopSell),_xlpm.threshold,_xlpm.cumAtStop-H473,IF(_xlpm.threshold&lt;=0,_xlfn.AGGREGATE(15,6,'Planning Engine'!$A$4:$A$2331/('Planning Engine'!$B$4:$B$2331=A473),1),_xlfn.AGGREGATE(15,6,'Planning Engine'!$A$4:$A$2331/(('Planning Engine'!$B$4:$B$2331=A473)*('Planning Engine'!$AB$4:$AB$2331&gt;_xlpm.threshold)),1))),""),"")</f>
        <v/>
      </c>
      <c r="N473" s="459" t="str">
        <f ca="1">IF(M473="","",M473-TODAY())</f>
        <v/>
      </c>
    </row>
    <row r="474" spans="1:14" ht="14.25" customHeight="1" x14ac:dyDescent="0.35">
      <c r="A474" s="46"/>
      <c r="B474" s="46"/>
      <c r="C474" s="47"/>
      <c r="D474" s="48"/>
      <c r="E474" s="48"/>
      <c r="F474" s="49"/>
      <c r="G474" s="49"/>
      <c r="H474" s="50">
        <v>0</v>
      </c>
      <c r="I474" s="51"/>
      <c r="J474" s="110" t="str">
        <f t="shared" si="17"/>
        <v/>
      </c>
      <c r="K474" s="46"/>
      <c r="M474" s="463" t="str" cm="1">
        <f t="array" ref="M474">IF(AND(L474="On Hold",E474&lt;&gt;"",H474&gt;0),IFERROR(_xlfn.LET(_xlpm.stopSell,EDATE(E474,-'FEFO Analysis'!$B$4),_xlpm.cumAtStop,SUMIFS('Planning Engine'!$F$4:$F$2331,'Planning Engine'!$B$4:$B$2331,A474,'Planning Engine'!$A$4:$A$2331,"&lt;="&amp;_xlpm.stopSell),_xlpm.threshold,_xlpm.cumAtStop-H474,IF(_xlpm.threshold&lt;=0,_xlfn.AGGREGATE(15,6,'Planning Engine'!$A$4:$A$2331/('Planning Engine'!$B$4:$B$2331=A474),1),_xlfn.AGGREGATE(15,6,'Planning Engine'!$A$4:$A$2331/(('Planning Engine'!$B$4:$B$2331=A474)*('Planning Engine'!$AB$4:$AB$2331&gt;_xlpm.threshold)),1))),""),"")</f>
        <v/>
      </c>
      <c r="N474" s="459" t="str">
        <f ca="1">IF(M474="","",M474-TODAY())</f>
        <v/>
      </c>
    </row>
    <row r="475" spans="1:14" ht="14.25" customHeight="1" x14ac:dyDescent="0.35">
      <c r="A475" s="46"/>
      <c r="B475" s="46"/>
      <c r="C475" s="47"/>
      <c r="D475" s="48"/>
      <c r="E475" s="48"/>
      <c r="F475" s="49"/>
      <c r="G475" s="49"/>
      <c r="H475" s="50">
        <v>0</v>
      </c>
      <c r="I475" s="51"/>
      <c r="J475" s="110" t="str">
        <f t="shared" si="17"/>
        <v/>
      </c>
      <c r="K475" s="46"/>
      <c r="M475" s="463" t="str" cm="1">
        <f t="array" ref="M475">IF(AND(L475="On Hold",E475&lt;&gt;"",H475&gt;0),IFERROR(_xlfn.LET(_xlpm.stopSell,EDATE(E475,-'FEFO Analysis'!$B$4),_xlpm.cumAtStop,SUMIFS('Planning Engine'!$F$4:$F$2331,'Planning Engine'!$B$4:$B$2331,A475,'Planning Engine'!$A$4:$A$2331,"&lt;="&amp;_xlpm.stopSell),_xlpm.threshold,_xlpm.cumAtStop-H475,IF(_xlpm.threshold&lt;=0,_xlfn.AGGREGATE(15,6,'Planning Engine'!$A$4:$A$2331/('Planning Engine'!$B$4:$B$2331=A475),1),_xlfn.AGGREGATE(15,6,'Planning Engine'!$A$4:$A$2331/(('Planning Engine'!$B$4:$B$2331=A475)*('Planning Engine'!$AB$4:$AB$2331&gt;_xlpm.threshold)),1))),""),"")</f>
        <v/>
      </c>
      <c r="N475" s="459" t="str">
        <f ca="1">IF(M475="","",M475-TODAY())</f>
        <v/>
      </c>
    </row>
    <row r="476" spans="1:14" ht="14.25" customHeight="1" x14ac:dyDescent="0.35">
      <c r="A476" s="46"/>
      <c r="B476" s="46"/>
      <c r="C476" s="47"/>
      <c r="D476" s="48"/>
      <c r="E476" s="48"/>
      <c r="F476" s="49"/>
      <c r="G476" s="49"/>
      <c r="H476" s="50">
        <v>0</v>
      </c>
      <c r="I476" s="51"/>
      <c r="J476" s="110" t="str">
        <f t="shared" si="17"/>
        <v/>
      </c>
      <c r="K476" s="46"/>
      <c r="M476" s="463" t="str" cm="1">
        <f t="array" ref="M476">IF(AND(L476="On Hold",E476&lt;&gt;"",H476&gt;0),IFERROR(_xlfn.LET(_xlpm.stopSell,EDATE(E476,-'FEFO Analysis'!$B$4),_xlpm.cumAtStop,SUMIFS('Planning Engine'!$F$4:$F$2331,'Planning Engine'!$B$4:$B$2331,A476,'Planning Engine'!$A$4:$A$2331,"&lt;="&amp;_xlpm.stopSell),_xlpm.threshold,_xlpm.cumAtStop-H476,IF(_xlpm.threshold&lt;=0,_xlfn.AGGREGATE(15,6,'Planning Engine'!$A$4:$A$2331/('Planning Engine'!$B$4:$B$2331=A476),1),_xlfn.AGGREGATE(15,6,'Planning Engine'!$A$4:$A$2331/(('Planning Engine'!$B$4:$B$2331=A476)*('Planning Engine'!$AB$4:$AB$2331&gt;_xlpm.threshold)),1))),""),"")</f>
        <v/>
      </c>
      <c r="N476" s="459" t="str">
        <f ca="1">IF(M476="","",M476-TODAY())</f>
        <v/>
      </c>
    </row>
    <row r="477" spans="1:14" ht="14.25" customHeight="1" x14ac:dyDescent="0.35">
      <c r="A477" s="46"/>
      <c r="B477" s="46"/>
      <c r="C477" s="47"/>
      <c r="D477" s="48"/>
      <c r="E477" s="48"/>
      <c r="F477" s="49"/>
      <c r="G477" s="49"/>
      <c r="H477" s="50">
        <v>0</v>
      </c>
      <c r="I477" s="51"/>
      <c r="J477" s="110" t="str">
        <f t="shared" si="17"/>
        <v/>
      </c>
      <c r="K477" s="46"/>
      <c r="M477" s="463" t="str" cm="1">
        <f t="array" ref="M477">IF(AND(L477="On Hold",E477&lt;&gt;"",H477&gt;0),IFERROR(_xlfn.LET(_xlpm.stopSell,EDATE(E477,-'FEFO Analysis'!$B$4),_xlpm.cumAtStop,SUMIFS('Planning Engine'!$F$4:$F$2331,'Planning Engine'!$B$4:$B$2331,A477,'Planning Engine'!$A$4:$A$2331,"&lt;="&amp;_xlpm.stopSell),_xlpm.threshold,_xlpm.cumAtStop-H477,IF(_xlpm.threshold&lt;=0,_xlfn.AGGREGATE(15,6,'Planning Engine'!$A$4:$A$2331/('Planning Engine'!$B$4:$B$2331=A477),1),_xlfn.AGGREGATE(15,6,'Planning Engine'!$A$4:$A$2331/(('Planning Engine'!$B$4:$B$2331=A477)*('Planning Engine'!$AB$4:$AB$2331&gt;_xlpm.threshold)),1))),""),"")</f>
        <v/>
      </c>
      <c r="N477" s="459" t="str">
        <f ca="1">IF(M477="","",M477-TODAY())</f>
        <v/>
      </c>
    </row>
    <row r="478" spans="1:14" ht="14.25" customHeight="1" x14ac:dyDescent="0.35">
      <c r="A478" s="46"/>
      <c r="B478" s="46"/>
      <c r="C478" s="47"/>
      <c r="D478" s="48"/>
      <c r="E478" s="48"/>
      <c r="F478" s="49"/>
      <c r="G478" s="49"/>
      <c r="H478" s="50">
        <v>0</v>
      </c>
      <c r="I478" s="51"/>
      <c r="J478" s="110" t="str">
        <f t="shared" si="17"/>
        <v/>
      </c>
      <c r="K478" s="46"/>
      <c r="M478" s="463" t="str" cm="1">
        <f t="array" ref="M478">IF(AND(L478="On Hold",E478&lt;&gt;"",H478&gt;0),IFERROR(_xlfn.LET(_xlpm.stopSell,EDATE(E478,-'FEFO Analysis'!$B$4),_xlpm.cumAtStop,SUMIFS('Planning Engine'!$F$4:$F$2331,'Planning Engine'!$B$4:$B$2331,A478,'Planning Engine'!$A$4:$A$2331,"&lt;="&amp;_xlpm.stopSell),_xlpm.threshold,_xlpm.cumAtStop-H478,IF(_xlpm.threshold&lt;=0,_xlfn.AGGREGATE(15,6,'Planning Engine'!$A$4:$A$2331/('Planning Engine'!$B$4:$B$2331=A478),1),_xlfn.AGGREGATE(15,6,'Planning Engine'!$A$4:$A$2331/(('Planning Engine'!$B$4:$B$2331=A478)*('Planning Engine'!$AB$4:$AB$2331&gt;_xlpm.threshold)),1))),""),"")</f>
        <v/>
      </c>
      <c r="N478" s="459" t="str">
        <f ca="1">IF(M478="","",M478-TODAY())</f>
        <v/>
      </c>
    </row>
    <row r="479" spans="1:14" ht="14.25" customHeight="1" x14ac:dyDescent="0.35">
      <c r="A479" s="46"/>
      <c r="B479" s="46"/>
      <c r="C479" s="47"/>
      <c r="D479" s="48"/>
      <c r="E479" s="48"/>
      <c r="F479" s="49"/>
      <c r="G479" s="49"/>
      <c r="H479" s="50">
        <v>0</v>
      </c>
      <c r="I479" s="51"/>
      <c r="J479" s="110" t="str">
        <f t="shared" si="17"/>
        <v/>
      </c>
      <c r="K479" s="46"/>
      <c r="M479" s="463" t="str" cm="1">
        <f t="array" ref="M479">IF(AND(L479="On Hold",E479&lt;&gt;"",H479&gt;0),IFERROR(_xlfn.LET(_xlpm.stopSell,EDATE(E479,-'FEFO Analysis'!$B$4),_xlpm.cumAtStop,SUMIFS('Planning Engine'!$F$4:$F$2331,'Planning Engine'!$B$4:$B$2331,A479,'Planning Engine'!$A$4:$A$2331,"&lt;="&amp;_xlpm.stopSell),_xlpm.threshold,_xlpm.cumAtStop-H479,IF(_xlpm.threshold&lt;=0,_xlfn.AGGREGATE(15,6,'Planning Engine'!$A$4:$A$2331/('Planning Engine'!$B$4:$B$2331=A479),1),_xlfn.AGGREGATE(15,6,'Planning Engine'!$A$4:$A$2331/(('Planning Engine'!$B$4:$B$2331=A479)*('Planning Engine'!$AB$4:$AB$2331&gt;_xlpm.threshold)),1))),""),"")</f>
        <v/>
      </c>
      <c r="N479" s="459" t="str">
        <f ca="1">IF(M479="","",M479-TODAY())</f>
        <v/>
      </c>
    </row>
    <row r="480" spans="1:14" ht="14.25" customHeight="1" x14ac:dyDescent="0.35">
      <c r="A480" s="46"/>
      <c r="B480" s="46"/>
      <c r="C480" s="47"/>
      <c r="D480" s="48"/>
      <c r="E480" s="48"/>
      <c r="F480" s="49"/>
      <c r="G480" s="49"/>
      <c r="H480" s="50">
        <v>0</v>
      </c>
      <c r="I480" s="51"/>
      <c r="J480" s="110" t="str">
        <f t="shared" si="17"/>
        <v/>
      </c>
      <c r="K480" s="46"/>
      <c r="M480" s="463" t="str" cm="1">
        <f t="array" ref="M480">IF(AND(L480="On Hold",E480&lt;&gt;"",H480&gt;0),IFERROR(_xlfn.LET(_xlpm.stopSell,EDATE(E480,-'FEFO Analysis'!$B$4),_xlpm.cumAtStop,SUMIFS('Planning Engine'!$F$4:$F$2331,'Planning Engine'!$B$4:$B$2331,A480,'Planning Engine'!$A$4:$A$2331,"&lt;="&amp;_xlpm.stopSell),_xlpm.threshold,_xlpm.cumAtStop-H480,IF(_xlpm.threshold&lt;=0,_xlfn.AGGREGATE(15,6,'Planning Engine'!$A$4:$A$2331/('Planning Engine'!$B$4:$B$2331=A480),1),_xlfn.AGGREGATE(15,6,'Planning Engine'!$A$4:$A$2331/(('Planning Engine'!$B$4:$B$2331=A480)*('Planning Engine'!$AB$4:$AB$2331&gt;_xlpm.threshold)),1))),""),"")</f>
        <v/>
      </c>
      <c r="N480" s="459" t="str">
        <f ca="1">IF(M480="","",M480-TODAY())</f>
        <v/>
      </c>
    </row>
    <row r="481" spans="1:14" ht="14.25" customHeight="1" x14ac:dyDescent="0.35">
      <c r="A481" s="46"/>
      <c r="B481" s="46"/>
      <c r="C481" s="47"/>
      <c r="D481" s="48"/>
      <c r="E481" s="48"/>
      <c r="F481" s="49"/>
      <c r="G481" s="49"/>
      <c r="H481" s="50">
        <v>0</v>
      </c>
      <c r="I481" s="51"/>
      <c r="J481" s="110" t="str">
        <f t="shared" si="17"/>
        <v/>
      </c>
      <c r="K481" s="46"/>
      <c r="M481" s="463" t="str" cm="1">
        <f t="array" ref="M481">IF(AND(L481="On Hold",E481&lt;&gt;"",H481&gt;0),IFERROR(_xlfn.LET(_xlpm.stopSell,EDATE(E481,-'FEFO Analysis'!$B$4),_xlpm.cumAtStop,SUMIFS('Planning Engine'!$F$4:$F$2331,'Planning Engine'!$B$4:$B$2331,A481,'Planning Engine'!$A$4:$A$2331,"&lt;="&amp;_xlpm.stopSell),_xlpm.threshold,_xlpm.cumAtStop-H481,IF(_xlpm.threshold&lt;=0,_xlfn.AGGREGATE(15,6,'Planning Engine'!$A$4:$A$2331/('Planning Engine'!$B$4:$B$2331=A481),1),_xlfn.AGGREGATE(15,6,'Planning Engine'!$A$4:$A$2331/(('Planning Engine'!$B$4:$B$2331=A481)*('Planning Engine'!$AB$4:$AB$2331&gt;_xlpm.threshold)),1))),""),"")</f>
        <v/>
      </c>
      <c r="N481" s="459" t="str">
        <f ca="1">IF(M481="","",M481-TODAY())</f>
        <v/>
      </c>
    </row>
    <row r="482" spans="1:14" ht="14.25" customHeight="1" x14ac:dyDescent="0.35">
      <c r="A482" s="46"/>
      <c r="B482" s="46"/>
      <c r="C482" s="47"/>
      <c r="D482" s="48"/>
      <c r="E482" s="48"/>
      <c r="F482" s="49"/>
      <c r="G482" s="49"/>
      <c r="H482" s="50">
        <v>0</v>
      </c>
      <c r="I482" s="51"/>
      <c r="J482" s="110" t="str">
        <f t="shared" si="17"/>
        <v/>
      </c>
      <c r="K482" s="46"/>
      <c r="M482" s="463" t="str" cm="1">
        <f t="array" ref="M482">IF(AND(L482="On Hold",E482&lt;&gt;"",H482&gt;0),IFERROR(_xlfn.LET(_xlpm.stopSell,EDATE(E482,-'FEFO Analysis'!$B$4),_xlpm.cumAtStop,SUMIFS('Planning Engine'!$F$4:$F$2331,'Planning Engine'!$B$4:$B$2331,A482,'Planning Engine'!$A$4:$A$2331,"&lt;="&amp;_xlpm.stopSell),_xlpm.threshold,_xlpm.cumAtStop-H482,IF(_xlpm.threshold&lt;=0,_xlfn.AGGREGATE(15,6,'Planning Engine'!$A$4:$A$2331/('Planning Engine'!$B$4:$B$2331=A482),1),_xlfn.AGGREGATE(15,6,'Planning Engine'!$A$4:$A$2331/(('Planning Engine'!$B$4:$B$2331=A482)*('Planning Engine'!$AB$4:$AB$2331&gt;_xlpm.threshold)),1))),""),"")</f>
        <v/>
      </c>
      <c r="N482" s="459" t="str">
        <f ca="1">IF(M482="","",M482-TODAY())</f>
        <v/>
      </c>
    </row>
    <row r="483" spans="1:14" ht="14.25" customHeight="1" x14ac:dyDescent="0.35">
      <c r="A483" s="46"/>
      <c r="B483" s="46"/>
      <c r="C483" s="47"/>
      <c r="D483" s="48"/>
      <c r="E483" s="48"/>
      <c r="F483" s="49"/>
      <c r="G483" s="49"/>
      <c r="H483" s="50">
        <v>0</v>
      </c>
      <c r="I483" s="51"/>
      <c r="J483" s="110" t="str">
        <f t="shared" si="17"/>
        <v/>
      </c>
      <c r="K483" s="46"/>
      <c r="M483" s="463" t="str" cm="1">
        <f t="array" ref="M483">IF(AND(L483="On Hold",E483&lt;&gt;"",H483&gt;0),IFERROR(_xlfn.LET(_xlpm.stopSell,EDATE(E483,-'FEFO Analysis'!$B$4),_xlpm.cumAtStop,SUMIFS('Planning Engine'!$F$4:$F$2331,'Planning Engine'!$B$4:$B$2331,A483,'Planning Engine'!$A$4:$A$2331,"&lt;="&amp;_xlpm.stopSell),_xlpm.threshold,_xlpm.cumAtStop-H483,IF(_xlpm.threshold&lt;=0,_xlfn.AGGREGATE(15,6,'Planning Engine'!$A$4:$A$2331/('Planning Engine'!$B$4:$B$2331=A483),1),_xlfn.AGGREGATE(15,6,'Planning Engine'!$A$4:$A$2331/(('Planning Engine'!$B$4:$B$2331=A483)*('Planning Engine'!$AB$4:$AB$2331&gt;_xlpm.threshold)),1))),""),"")</f>
        <v/>
      </c>
      <c r="N483" s="459" t="str">
        <f ca="1">IF(M483="","",M483-TODAY())</f>
        <v/>
      </c>
    </row>
    <row r="484" spans="1:14" ht="14.25" customHeight="1" x14ac:dyDescent="0.35">
      <c r="A484" s="46"/>
      <c r="B484" s="46"/>
      <c r="C484" s="47"/>
      <c r="D484" s="48"/>
      <c r="E484" s="48"/>
      <c r="F484" s="49"/>
      <c r="G484" s="49"/>
      <c r="H484" s="50">
        <v>0</v>
      </c>
      <c r="I484" s="51"/>
      <c r="J484" s="110" t="str">
        <f t="shared" si="17"/>
        <v/>
      </c>
      <c r="K484" s="46"/>
      <c r="M484" s="463" t="str" cm="1">
        <f t="array" ref="M484">IF(AND(L484="On Hold",E484&lt;&gt;"",H484&gt;0),IFERROR(_xlfn.LET(_xlpm.stopSell,EDATE(E484,-'FEFO Analysis'!$B$4),_xlpm.cumAtStop,SUMIFS('Planning Engine'!$F$4:$F$2331,'Planning Engine'!$B$4:$B$2331,A484,'Planning Engine'!$A$4:$A$2331,"&lt;="&amp;_xlpm.stopSell),_xlpm.threshold,_xlpm.cumAtStop-H484,IF(_xlpm.threshold&lt;=0,_xlfn.AGGREGATE(15,6,'Planning Engine'!$A$4:$A$2331/('Planning Engine'!$B$4:$B$2331=A484),1),_xlfn.AGGREGATE(15,6,'Planning Engine'!$A$4:$A$2331/(('Planning Engine'!$B$4:$B$2331=A484)*('Planning Engine'!$AB$4:$AB$2331&gt;_xlpm.threshold)),1))),""),"")</f>
        <v/>
      </c>
      <c r="N484" s="459" t="str">
        <f ca="1">IF(M484="","",M484-TODAY())</f>
        <v/>
      </c>
    </row>
    <row r="485" spans="1:14" ht="14.25" customHeight="1" x14ac:dyDescent="0.35">
      <c r="A485" s="46"/>
      <c r="B485" s="46"/>
      <c r="C485" s="47"/>
      <c r="D485" s="48"/>
      <c r="E485" s="48"/>
      <c r="F485" s="49"/>
      <c r="G485" s="49"/>
      <c r="H485" s="50">
        <v>0</v>
      </c>
      <c r="I485" s="51"/>
      <c r="J485" s="110" t="str">
        <f t="shared" si="17"/>
        <v/>
      </c>
      <c r="K485" s="46"/>
      <c r="M485" s="463" t="str" cm="1">
        <f t="array" ref="M485">IF(AND(L485="On Hold",E485&lt;&gt;"",H485&gt;0),IFERROR(_xlfn.LET(_xlpm.stopSell,EDATE(E485,-'FEFO Analysis'!$B$4),_xlpm.cumAtStop,SUMIFS('Planning Engine'!$F$4:$F$2331,'Planning Engine'!$B$4:$B$2331,A485,'Planning Engine'!$A$4:$A$2331,"&lt;="&amp;_xlpm.stopSell),_xlpm.threshold,_xlpm.cumAtStop-H485,IF(_xlpm.threshold&lt;=0,_xlfn.AGGREGATE(15,6,'Planning Engine'!$A$4:$A$2331/('Planning Engine'!$B$4:$B$2331=A485),1),_xlfn.AGGREGATE(15,6,'Planning Engine'!$A$4:$A$2331/(('Planning Engine'!$B$4:$B$2331=A485)*('Planning Engine'!$AB$4:$AB$2331&gt;_xlpm.threshold)),1))),""),"")</f>
        <v/>
      </c>
      <c r="N485" s="459" t="str">
        <f ca="1">IF(M485="","",M485-TODAY())</f>
        <v/>
      </c>
    </row>
    <row r="486" spans="1:14" ht="14.25" customHeight="1" x14ac:dyDescent="0.35">
      <c r="A486" s="46"/>
      <c r="B486" s="46"/>
      <c r="C486" s="47"/>
      <c r="D486" s="48"/>
      <c r="E486" s="48"/>
      <c r="F486" s="49"/>
      <c r="G486" s="49"/>
      <c r="H486" s="50">
        <v>0</v>
      </c>
      <c r="I486" s="51"/>
      <c r="J486" s="110" t="str">
        <f t="shared" si="17"/>
        <v/>
      </c>
      <c r="K486" s="46"/>
      <c r="M486" s="463" t="str" cm="1">
        <f t="array" ref="M486">IF(AND(L486="On Hold",E486&lt;&gt;"",H486&gt;0),IFERROR(_xlfn.LET(_xlpm.stopSell,EDATE(E486,-'FEFO Analysis'!$B$4),_xlpm.cumAtStop,SUMIFS('Planning Engine'!$F$4:$F$2331,'Planning Engine'!$B$4:$B$2331,A486,'Planning Engine'!$A$4:$A$2331,"&lt;="&amp;_xlpm.stopSell),_xlpm.threshold,_xlpm.cumAtStop-H486,IF(_xlpm.threshold&lt;=0,_xlfn.AGGREGATE(15,6,'Planning Engine'!$A$4:$A$2331/('Planning Engine'!$B$4:$B$2331=A486),1),_xlfn.AGGREGATE(15,6,'Planning Engine'!$A$4:$A$2331/(('Planning Engine'!$B$4:$B$2331=A486)*('Planning Engine'!$AB$4:$AB$2331&gt;_xlpm.threshold)),1))),""),"")</f>
        <v/>
      </c>
      <c r="N486" s="459" t="str">
        <f ca="1">IF(M486="","",M486-TODAY())</f>
        <v/>
      </c>
    </row>
    <row r="487" spans="1:14" ht="14.25" customHeight="1" x14ac:dyDescent="0.35">
      <c r="A487" s="46"/>
      <c r="B487" s="46"/>
      <c r="C487" s="47"/>
      <c r="D487" s="48"/>
      <c r="E487" s="48"/>
      <c r="F487" s="49"/>
      <c r="G487" s="49"/>
      <c r="H487" s="50">
        <v>0</v>
      </c>
      <c r="I487" s="51"/>
      <c r="J487" s="110" t="str">
        <f t="shared" si="17"/>
        <v/>
      </c>
      <c r="K487" s="46"/>
      <c r="M487" s="463" t="str" cm="1">
        <f t="array" ref="M487">IF(AND(L487="On Hold",E487&lt;&gt;"",H487&gt;0),IFERROR(_xlfn.LET(_xlpm.stopSell,EDATE(E487,-'FEFO Analysis'!$B$4),_xlpm.cumAtStop,SUMIFS('Planning Engine'!$F$4:$F$2331,'Planning Engine'!$B$4:$B$2331,A487,'Planning Engine'!$A$4:$A$2331,"&lt;="&amp;_xlpm.stopSell),_xlpm.threshold,_xlpm.cumAtStop-H487,IF(_xlpm.threshold&lt;=0,_xlfn.AGGREGATE(15,6,'Planning Engine'!$A$4:$A$2331/('Planning Engine'!$B$4:$B$2331=A487),1),_xlfn.AGGREGATE(15,6,'Planning Engine'!$A$4:$A$2331/(('Planning Engine'!$B$4:$B$2331=A487)*('Planning Engine'!$AB$4:$AB$2331&gt;_xlpm.threshold)),1))),""),"")</f>
        <v/>
      </c>
      <c r="N487" s="459" t="str">
        <f ca="1">IF(M487="","",M487-TODAY())</f>
        <v/>
      </c>
    </row>
    <row r="488" spans="1:14" ht="14.25" customHeight="1" x14ac:dyDescent="0.35">
      <c r="A488" s="46"/>
      <c r="B488" s="46"/>
      <c r="C488" s="47"/>
      <c r="D488" s="48"/>
      <c r="E488" s="48"/>
      <c r="F488" s="49"/>
      <c r="G488" s="49"/>
      <c r="H488" s="50">
        <v>0</v>
      </c>
      <c r="I488" s="51"/>
      <c r="J488" s="110" t="str">
        <f t="shared" si="17"/>
        <v/>
      </c>
      <c r="K488" s="46"/>
      <c r="M488" s="463" t="str" cm="1">
        <f t="array" ref="M488">IF(AND(L488="On Hold",E488&lt;&gt;"",H488&gt;0),IFERROR(_xlfn.LET(_xlpm.stopSell,EDATE(E488,-'FEFO Analysis'!$B$4),_xlpm.cumAtStop,SUMIFS('Planning Engine'!$F$4:$F$2331,'Planning Engine'!$B$4:$B$2331,A488,'Planning Engine'!$A$4:$A$2331,"&lt;="&amp;_xlpm.stopSell),_xlpm.threshold,_xlpm.cumAtStop-H488,IF(_xlpm.threshold&lt;=0,_xlfn.AGGREGATE(15,6,'Planning Engine'!$A$4:$A$2331/('Planning Engine'!$B$4:$B$2331=A488),1),_xlfn.AGGREGATE(15,6,'Planning Engine'!$A$4:$A$2331/(('Planning Engine'!$B$4:$B$2331=A488)*('Planning Engine'!$AB$4:$AB$2331&gt;_xlpm.threshold)),1))),""),"")</f>
        <v/>
      </c>
      <c r="N488" s="459" t="str">
        <f ca="1">IF(M488="","",M488-TODAY())</f>
        <v/>
      </c>
    </row>
    <row r="489" spans="1:14" ht="14.25" customHeight="1" x14ac:dyDescent="0.35">
      <c r="A489" s="46"/>
      <c r="B489" s="46"/>
      <c r="C489" s="47"/>
      <c r="D489" s="48"/>
      <c r="E489" s="48"/>
      <c r="F489" s="49"/>
      <c r="G489" s="49"/>
      <c r="H489" s="50">
        <v>0</v>
      </c>
      <c r="I489" s="51"/>
      <c r="J489" s="110" t="str">
        <f t="shared" si="17"/>
        <v/>
      </c>
      <c r="K489" s="46"/>
      <c r="M489" s="463" t="str" cm="1">
        <f t="array" ref="M489">IF(AND(L489="On Hold",E489&lt;&gt;"",H489&gt;0),IFERROR(_xlfn.LET(_xlpm.stopSell,EDATE(E489,-'FEFO Analysis'!$B$4),_xlpm.cumAtStop,SUMIFS('Planning Engine'!$F$4:$F$2331,'Planning Engine'!$B$4:$B$2331,A489,'Planning Engine'!$A$4:$A$2331,"&lt;="&amp;_xlpm.stopSell),_xlpm.threshold,_xlpm.cumAtStop-H489,IF(_xlpm.threshold&lt;=0,_xlfn.AGGREGATE(15,6,'Planning Engine'!$A$4:$A$2331/('Planning Engine'!$B$4:$B$2331=A489),1),_xlfn.AGGREGATE(15,6,'Planning Engine'!$A$4:$A$2331/(('Planning Engine'!$B$4:$B$2331=A489)*('Planning Engine'!$AB$4:$AB$2331&gt;_xlpm.threshold)),1))),""),"")</f>
        <v/>
      </c>
      <c r="N489" s="459" t="str">
        <f ca="1">IF(M489="","",M489-TODAY())</f>
        <v/>
      </c>
    </row>
    <row r="490" spans="1:14" ht="14.25" customHeight="1" x14ac:dyDescent="0.35">
      <c r="A490" s="46"/>
      <c r="B490" s="46"/>
      <c r="C490" s="47"/>
      <c r="D490" s="48"/>
      <c r="E490" s="48"/>
      <c r="F490" s="49"/>
      <c r="G490" s="49"/>
      <c r="H490" s="50">
        <v>0</v>
      </c>
      <c r="I490" s="51"/>
      <c r="J490" s="110" t="str">
        <f t="shared" si="17"/>
        <v/>
      </c>
      <c r="K490" s="46"/>
      <c r="M490" s="463" t="str" cm="1">
        <f t="array" ref="M490">IF(AND(L490="On Hold",E490&lt;&gt;"",H490&gt;0),IFERROR(_xlfn.LET(_xlpm.stopSell,EDATE(E490,-'FEFO Analysis'!$B$4),_xlpm.cumAtStop,SUMIFS('Planning Engine'!$F$4:$F$2331,'Planning Engine'!$B$4:$B$2331,A490,'Planning Engine'!$A$4:$A$2331,"&lt;="&amp;_xlpm.stopSell),_xlpm.threshold,_xlpm.cumAtStop-H490,IF(_xlpm.threshold&lt;=0,_xlfn.AGGREGATE(15,6,'Planning Engine'!$A$4:$A$2331/('Planning Engine'!$B$4:$B$2331=A490),1),_xlfn.AGGREGATE(15,6,'Planning Engine'!$A$4:$A$2331/(('Planning Engine'!$B$4:$B$2331=A490)*('Planning Engine'!$AB$4:$AB$2331&gt;_xlpm.threshold)),1))),""),"")</f>
        <v/>
      </c>
      <c r="N490" s="459" t="str">
        <f ca="1">IF(M490="","",M490-TODAY())</f>
        <v/>
      </c>
    </row>
    <row r="491" spans="1:14" ht="14.25" customHeight="1" x14ac:dyDescent="0.35">
      <c r="A491" s="46"/>
      <c r="B491" s="46"/>
      <c r="C491" s="47"/>
      <c r="D491" s="48"/>
      <c r="E491" s="48"/>
      <c r="F491" s="49"/>
      <c r="G491" s="49"/>
      <c r="H491" s="50">
        <v>0</v>
      </c>
      <c r="I491" s="51"/>
      <c r="J491" s="110" t="str">
        <f t="shared" si="17"/>
        <v/>
      </c>
      <c r="K491" s="46"/>
      <c r="M491" s="463" t="str" cm="1">
        <f t="array" ref="M491">IF(AND(L491="On Hold",E491&lt;&gt;"",H491&gt;0),IFERROR(_xlfn.LET(_xlpm.stopSell,EDATE(E491,-'FEFO Analysis'!$B$4),_xlpm.cumAtStop,SUMIFS('Planning Engine'!$F$4:$F$2331,'Planning Engine'!$B$4:$B$2331,A491,'Planning Engine'!$A$4:$A$2331,"&lt;="&amp;_xlpm.stopSell),_xlpm.threshold,_xlpm.cumAtStop-H491,IF(_xlpm.threshold&lt;=0,_xlfn.AGGREGATE(15,6,'Planning Engine'!$A$4:$A$2331/('Planning Engine'!$B$4:$B$2331=A491),1),_xlfn.AGGREGATE(15,6,'Planning Engine'!$A$4:$A$2331/(('Planning Engine'!$B$4:$B$2331=A491)*('Planning Engine'!$AB$4:$AB$2331&gt;_xlpm.threshold)),1))),""),"")</f>
        <v/>
      </c>
      <c r="N491" s="459" t="str">
        <f ca="1">IF(M491="","",M491-TODAY())</f>
        <v/>
      </c>
    </row>
    <row r="492" spans="1:14" ht="14.25" customHeight="1" x14ac:dyDescent="0.35">
      <c r="A492" s="46"/>
      <c r="B492" s="46"/>
      <c r="C492" s="47"/>
      <c r="D492" s="48"/>
      <c r="E492" s="48"/>
      <c r="F492" s="49"/>
      <c r="G492" s="49"/>
      <c r="H492" s="50">
        <v>0</v>
      </c>
      <c r="I492" s="51"/>
      <c r="J492" s="110" t="str">
        <f t="shared" si="17"/>
        <v/>
      </c>
      <c r="K492" s="46"/>
      <c r="M492" s="463" t="str" cm="1">
        <f t="array" ref="M492">IF(AND(L492="On Hold",E492&lt;&gt;"",H492&gt;0),IFERROR(_xlfn.LET(_xlpm.stopSell,EDATE(E492,-'FEFO Analysis'!$B$4),_xlpm.cumAtStop,SUMIFS('Planning Engine'!$F$4:$F$2331,'Planning Engine'!$B$4:$B$2331,A492,'Planning Engine'!$A$4:$A$2331,"&lt;="&amp;_xlpm.stopSell),_xlpm.threshold,_xlpm.cumAtStop-H492,IF(_xlpm.threshold&lt;=0,_xlfn.AGGREGATE(15,6,'Planning Engine'!$A$4:$A$2331/('Planning Engine'!$B$4:$B$2331=A492),1),_xlfn.AGGREGATE(15,6,'Planning Engine'!$A$4:$A$2331/(('Planning Engine'!$B$4:$B$2331=A492)*('Planning Engine'!$AB$4:$AB$2331&gt;_xlpm.threshold)),1))),""),"")</f>
        <v/>
      </c>
      <c r="N492" s="459" t="str">
        <f ca="1">IF(M492="","",M492-TODAY())</f>
        <v/>
      </c>
    </row>
    <row r="493" spans="1:14" ht="14.25" customHeight="1" x14ac:dyDescent="0.35">
      <c r="A493" s="46"/>
      <c r="B493" s="46"/>
      <c r="C493" s="47"/>
      <c r="D493" s="48"/>
      <c r="E493" s="48"/>
      <c r="F493" s="49"/>
      <c r="G493" s="49"/>
      <c r="H493" s="50">
        <v>0</v>
      </c>
      <c r="I493" s="51"/>
      <c r="J493" s="110" t="str">
        <f t="shared" si="17"/>
        <v/>
      </c>
      <c r="K493" s="46"/>
      <c r="M493" s="463" t="str" cm="1">
        <f t="array" ref="M493">IF(AND(L493="On Hold",E493&lt;&gt;"",H493&gt;0),IFERROR(_xlfn.LET(_xlpm.stopSell,EDATE(E493,-'FEFO Analysis'!$B$4),_xlpm.cumAtStop,SUMIFS('Planning Engine'!$F$4:$F$2331,'Planning Engine'!$B$4:$B$2331,A493,'Planning Engine'!$A$4:$A$2331,"&lt;="&amp;_xlpm.stopSell),_xlpm.threshold,_xlpm.cumAtStop-H493,IF(_xlpm.threshold&lt;=0,_xlfn.AGGREGATE(15,6,'Planning Engine'!$A$4:$A$2331/('Planning Engine'!$B$4:$B$2331=A493),1),_xlfn.AGGREGATE(15,6,'Planning Engine'!$A$4:$A$2331/(('Planning Engine'!$B$4:$B$2331=A493)*('Planning Engine'!$AB$4:$AB$2331&gt;_xlpm.threshold)),1))),""),"")</f>
        <v/>
      </c>
      <c r="N493" s="459" t="str">
        <f ca="1">IF(M493="","",M493-TODAY())</f>
        <v/>
      </c>
    </row>
    <row r="494" spans="1:14" ht="14.25" customHeight="1" x14ac:dyDescent="0.35">
      <c r="A494" s="46"/>
      <c r="B494" s="46"/>
      <c r="C494" s="47"/>
      <c r="D494" s="48"/>
      <c r="E494" s="48"/>
      <c r="F494" s="49"/>
      <c r="G494" s="49"/>
      <c r="H494" s="50">
        <v>0</v>
      </c>
      <c r="I494" s="51"/>
      <c r="J494" s="110" t="str">
        <f t="shared" si="17"/>
        <v/>
      </c>
      <c r="K494" s="46"/>
      <c r="M494" s="463" t="str" cm="1">
        <f t="array" ref="M494">IF(AND(L494="On Hold",E494&lt;&gt;"",H494&gt;0),IFERROR(_xlfn.LET(_xlpm.stopSell,EDATE(E494,-'FEFO Analysis'!$B$4),_xlpm.cumAtStop,SUMIFS('Planning Engine'!$F$4:$F$2331,'Planning Engine'!$B$4:$B$2331,A494,'Planning Engine'!$A$4:$A$2331,"&lt;="&amp;_xlpm.stopSell),_xlpm.threshold,_xlpm.cumAtStop-H494,IF(_xlpm.threshold&lt;=0,_xlfn.AGGREGATE(15,6,'Planning Engine'!$A$4:$A$2331/('Planning Engine'!$B$4:$B$2331=A494),1),_xlfn.AGGREGATE(15,6,'Planning Engine'!$A$4:$A$2331/(('Planning Engine'!$B$4:$B$2331=A494)*('Planning Engine'!$AB$4:$AB$2331&gt;_xlpm.threshold)),1))),""),"")</f>
        <v/>
      </c>
      <c r="N494" s="459" t="str">
        <f ca="1">IF(M494="","",M494-TODAY())</f>
        <v/>
      </c>
    </row>
    <row r="495" spans="1:14" ht="14.25" customHeight="1" x14ac:dyDescent="0.35">
      <c r="A495" s="46"/>
      <c r="B495" s="46"/>
      <c r="C495" s="47"/>
      <c r="D495" s="48"/>
      <c r="E495" s="48"/>
      <c r="F495" s="49"/>
      <c r="G495" s="49"/>
      <c r="H495" s="50">
        <v>0</v>
      </c>
      <c r="I495" s="51"/>
      <c r="J495" s="110" t="str">
        <f t="shared" si="17"/>
        <v/>
      </c>
      <c r="K495" s="46"/>
      <c r="M495" s="463" t="str" cm="1">
        <f t="array" ref="M495">IF(AND(L495="On Hold",E495&lt;&gt;"",H495&gt;0),IFERROR(_xlfn.LET(_xlpm.stopSell,EDATE(E495,-'FEFO Analysis'!$B$4),_xlpm.cumAtStop,SUMIFS('Planning Engine'!$F$4:$F$2331,'Planning Engine'!$B$4:$B$2331,A495,'Planning Engine'!$A$4:$A$2331,"&lt;="&amp;_xlpm.stopSell),_xlpm.threshold,_xlpm.cumAtStop-H495,IF(_xlpm.threshold&lt;=0,_xlfn.AGGREGATE(15,6,'Planning Engine'!$A$4:$A$2331/('Planning Engine'!$B$4:$B$2331=A495),1),_xlfn.AGGREGATE(15,6,'Planning Engine'!$A$4:$A$2331/(('Planning Engine'!$B$4:$B$2331=A495)*('Planning Engine'!$AB$4:$AB$2331&gt;_xlpm.threshold)),1))),""),"")</f>
        <v/>
      </c>
      <c r="N495" s="459" t="str">
        <f ca="1">IF(M495="","",M495-TODAY())</f>
        <v/>
      </c>
    </row>
    <row r="496" spans="1:14" ht="14.25" customHeight="1" x14ac:dyDescent="0.35">
      <c r="A496" s="46"/>
      <c r="B496" s="46"/>
      <c r="C496" s="47"/>
      <c r="D496" s="48"/>
      <c r="E496" s="48"/>
      <c r="F496" s="49"/>
      <c r="G496" s="49"/>
      <c r="H496" s="50">
        <v>0</v>
      </c>
      <c r="I496" s="51"/>
      <c r="J496" s="110" t="str">
        <f t="shared" si="17"/>
        <v/>
      </c>
      <c r="K496" s="46"/>
      <c r="M496" s="463" t="str" cm="1">
        <f t="array" ref="M496">IF(AND(L496="On Hold",E496&lt;&gt;"",H496&gt;0),IFERROR(_xlfn.LET(_xlpm.stopSell,EDATE(E496,-'FEFO Analysis'!$B$4),_xlpm.cumAtStop,SUMIFS('Planning Engine'!$F$4:$F$2331,'Planning Engine'!$B$4:$B$2331,A496,'Planning Engine'!$A$4:$A$2331,"&lt;="&amp;_xlpm.stopSell),_xlpm.threshold,_xlpm.cumAtStop-H496,IF(_xlpm.threshold&lt;=0,_xlfn.AGGREGATE(15,6,'Planning Engine'!$A$4:$A$2331/('Planning Engine'!$B$4:$B$2331=A496),1),_xlfn.AGGREGATE(15,6,'Planning Engine'!$A$4:$A$2331/(('Planning Engine'!$B$4:$B$2331=A496)*('Planning Engine'!$AB$4:$AB$2331&gt;_xlpm.threshold)),1))),""),"")</f>
        <v/>
      </c>
      <c r="N496" s="459" t="str">
        <f ca="1">IF(M496="","",M496-TODAY())</f>
        <v/>
      </c>
    </row>
    <row r="497" spans="1:14" ht="14.25" customHeight="1" x14ac:dyDescent="0.35">
      <c r="A497" s="46"/>
      <c r="B497" s="46"/>
      <c r="C497" s="47"/>
      <c r="D497" s="48"/>
      <c r="E497" s="48"/>
      <c r="F497" s="49"/>
      <c r="G497" s="49"/>
      <c r="H497" s="50">
        <v>0</v>
      </c>
      <c r="I497" s="51"/>
      <c r="J497" s="110" t="str">
        <f t="shared" si="17"/>
        <v/>
      </c>
      <c r="K497" s="46"/>
      <c r="M497" s="463" t="str" cm="1">
        <f t="array" ref="M497">IF(AND(L497="On Hold",E497&lt;&gt;"",H497&gt;0),IFERROR(_xlfn.LET(_xlpm.stopSell,EDATE(E497,-'FEFO Analysis'!$B$4),_xlpm.cumAtStop,SUMIFS('Planning Engine'!$F$4:$F$2331,'Planning Engine'!$B$4:$B$2331,A497,'Planning Engine'!$A$4:$A$2331,"&lt;="&amp;_xlpm.stopSell),_xlpm.threshold,_xlpm.cumAtStop-H497,IF(_xlpm.threshold&lt;=0,_xlfn.AGGREGATE(15,6,'Planning Engine'!$A$4:$A$2331/('Planning Engine'!$B$4:$B$2331=A497),1),_xlfn.AGGREGATE(15,6,'Planning Engine'!$A$4:$A$2331/(('Planning Engine'!$B$4:$B$2331=A497)*('Planning Engine'!$AB$4:$AB$2331&gt;_xlpm.threshold)),1))),""),"")</f>
        <v/>
      </c>
      <c r="N497" s="459" t="str">
        <f ca="1">IF(M497="","",M497-TODAY())</f>
        <v/>
      </c>
    </row>
    <row r="498" spans="1:14" ht="14.25" customHeight="1" x14ac:dyDescent="0.35">
      <c r="A498" s="46"/>
      <c r="B498" s="46"/>
      <c r="C498" s="47"/>
      <c r="D498" s="48"/>
      <c r="E498" s="48"/>
      <c r="F498" s="49"/>
      <c r="G498" s="49"/>
      <c r="H498" s="50">
        <v>0</v>
      </c>
      <c r="I498" s="51"/>
      <c r="J498" s="110" t="str">
        <f t="shared" si="17"/>
        <v/>
      </c>
      <c r="K498" s="46"/>
      <c r="M498" s="463" t="str" cm="1">
        <f t="array" ref="M498">IF(AND(L498="On Hold",E498&lt;&gt;"",H498&gt;0),IFERROR(_xlfn.LET(_xlpm.stopSell,EDATE(E498,-'FEFO Analysis'!$B$4),_xlpm.cumAtStop,SUMIFS('Planning Engine'!$F$4:$F$2331,'Planning Engine'!$B$4:$B$2331,A498,'Planning Engine'!$A$4:$A$2331,"&lt;="&amp;_xlpm.stopSell),_xlpm.threshold,_xlpm.cumAtStop-H498,IF(_xlpm.threshold&lt;=0,_xlfn.AGGREGATE(15,6,'Planning Engine'!$A$4:$A$2331/('Planning Engine'!$B$4:$B$2331=A498),1),_xlfn.AGGREGATE(15,6,'Planning Engine'!$A$4:$A$2331/(('Planning Engine'!$B$4:$B$2331=A498)*('Planning Engine'!$AB$4:$AB$2331&gt;_xlpm.threshold)),1))),""),"")</f>
        <v/>
      </c>
      <c r="N498" s="459" t="str">
        <f ca="1">IF(M498="","",M498-TODAY())</f>
        <v/>
      </c>
    </row>
    <row r="499" spans="1:14" ht="14.25" customHeight="1" x14ac:dyDescent="0.35">
      <c r="A499" s="46"/>
      <c r="B499" s="46"/>
      <c r="C499" s="47"/>
      <c r="D499" s="48"/>
      <c r="E499" s="48"/>
      <c r="F499" s="49"/>
      <c r="G499" s="49"/>
      <c r="H499" s="50">
        <v>0</v>
      </c>
      <c r="I499" s="51"/>
      <c r="J499" s="110" t="str">
        <f t="shared" si="17"/>
        <v/>
      </c>
      <c r="K499" s="46"/>
      <c r="M499" s="463" t="str" cm="1">
        <f t="array" ref="M499">IF(AND(L499="On Hold",E499&lt;&gt;"",H499&gt;0),IFERROR(_xlfn.LET(_xlpm.stopSell,EDATE(E499,-'FEFO Analysis'!$B$4),_xlpm.cumAtStop,SUMIFS('Planning Engine'!$F$4:$F$2331,'Planning Engine'!$B$4:$B$2331,A499,'Planning Engine'!$A$4:$A$2331,"&lt;="&amp;_xlpm.stopSell),_xlpm.threshold,_xlpm.cumAtStop-H499,IF(_xlpm.threshold&lt;=0,_xlfn.AGGREGATE(15,6,'Planning Engine'!$A$4:$A$2331/('Planning Engine'!$B$4:$B$2331=A499),1),_xlfn.AGGREGATE(15,6,'Planning Engine'!$A$4:$A$2331/(('Planning Engine'!$B$4:$B$2331=A499)*('Planning Engine'!$AB$4:$AB$2331&gt;_xlpm.threshold)),1))),""),"")</f>
        <v/>
      </c>
      <c r="N499" s="459" t="str">
        <f ca="1">IF(M499="","",M499-TODAY())</f>
        <v/>
      </c>
    </row>
    <row r="500" spans="1:14" ht="14.25" customHeight="1" x14ac:dyDescent="0.35">
      <c r="A500" s="46"/>
      <c r="B500" s="46"/>
      <c r="C500" s="47"/>
      <c r="D500" s="48"/>
      <c r="E500" s="48"/>
      <c r="F500" s="49"/>
      <c r="G500" s="49"/>
      <c r="H500" s="50">
        <v>0</v>
      </c>
      <c r="I500" s="51"/>
      <c r="J500" s="110" t="str">
        <f t="shared" si="17"/>
        <v/>
      </c>
      <c r="K500" s="46"/>
      <c r="M500" s="463" t="str" cm="1">
        <f t="array" ref="M500">IF(AND(L500="On Hold",E500&lt;&gt;"",H500&gt;0),IFERROR(_xlfn.LET(_xlpm.stopSell,EDATE(E500,-'FEFO Analysis'!$B$4),_xlpm.cumAtStop,SUMIFS('Planning Engine'!$F$4:$F$2331,'Planning Engine'!$B$4:$B$2331,A500,'Planning Engine'!$A$4:$A$2331,"&lt;="&amp;_xlpm.stopSell),_xlpm.threshold,_xlpm.cumAtStop-H500,IF(_xlpm.threshold&lt;=0,_xlfn.AGGREGATE(15,6,'Planning Engine'!$A$4:$A$2331/('Planning Engine'!$B$4:$B$2331=A500),1),_xlfn.AGGREGATE(15,6,'Planning Engine'!$A$4:$A$2331/(('Planning Engine'!$B$4:$B$2331=A500)*('Planning Engine'!$AB$4:$AB$2331&gt;_xlpm.threshold)),1))),""),"")</f>
        <v/>
      </c>
      <c r="N500" s="459" t="str">
        <f ca="1">IF(M500="","",M500-TODAY())</f>
        <v/>
      </c>
    </row>
    <row r="501" spans="1:14" ht="14.25" customHeight="1" x14ac:dyDescent="0.35">
      <c r="A501" s="46"/>
      <c r="B501" s="46"/>
      <c r="C501" s="47"/>
      <c r="D501" s="48"/>
      <c r="E501" s="48"/>
      <c r="F501" s="49"/>
      <c r="G501" s="49"/>
      <c r="H501" s="50">
        <v>0</v>
      </c>
      <c r="I501" s="51"/>
      <c r="J501" s="110" t="str">
        <f t="shared" si="17"/>
        <v/>
      </c>
      <c r="K501" s="46"/>
      <c r="M501" s="463" t="str" cm="1">
        <f t="array" ref="M501">IF(AND(L501="On Hold",E501&lt;&gt;"",H501&gt;0),IFERROR(_xlfn.LET(_xlpm.stopSell,EDATE(E501,-'FEFO Analysis'!$B$4),_xlpm.cumAtStop,SUMIFS('Planning Engine'!$F$4:$F$2331,'Planning Engine'!$B$4:$B$2331,A501,'Planning Engine'!$A$4:$A$2331,"&lt;="&amp;_xlpm.stopSell),_xlpm.threshold,_xlpm.cumAtStop-H501,IF(_xlpm.threshold&lt;=0,_xlfn.AGGREGATE(15,6,'Planning Engine'!$A$4:$A$2331/('Planning Engine'!$B$4:$B$2331=A501),1),_xlfn.AGGREGATE(15,6,'Planning Engine'!$A$4:$A$2331/(('Planning Engine'!$B$4:$B$2331=A501)*('Planning Engine'!$AB$4:$AB$2331&gt;_xlpm.threshold)),1))),""),"")</f>
        <v/>
      </c>
      <c r="N501" s="459" t="str">
        <f ca="1">IF(M501="","",M501-TODAY())</f>
        <v/>
      </c>
    </row>
    <row r="502" spans="1:14" ht="14.25" customHeight="1" x14ac:dyDescent="0.35">
      <c r="A502" s="46"/>
      <c r="B502" s="46"/>
      <c r="C502" s="47"/>
      <c r="D502" s="48"/>
      <c r="E502" s="48"/>
      <c r="F502" s="49"/>
      <c r="G502" s="49"/>
      <c r="H502" s="50">
        <v>0</v>
      </c>
      <c r="I502" s="51"/>
      <c r="J502" s="110" t="str">
        <f t="shared" si="17"/>
        <v/>
      </c>
      <c r="K502" s="46"/>
      <c r="M502" s="463" t="str" cm="1">
        <f t="array" ref="M502">IF(AND(L502="On Hold",E502&lt;&gt;"",H502&gt;0),IFERROR(_xlfn.LET(_xlpm.stopSell,EDATE(E502,-'FEFO Analysis'!$B$4),_xlpm.cumAtStop,SUMIFS('Planning Engine'!$F$4:$F$2331,'Planning Engine'!$B$4:$B$2331,A502,'Planning Engine'!$A$4:$A$2331,"&lt;="&amp;_xlpm.stopSell),_xlpm.threshold,_xlpm.cumAtStop-H502,IF(_xlpm.threshold&lt;=0,_xlfn.AGGREGATE(15,6,'Planning Engine'!$A$4:$A$2331/('Planning Engine'!$B$4:$B$2331=A502),1),_xlfn.AGGREGATE(15,6,'Planning Engine'!$A$4:$A$2331/(('Planning Engine'!$B$4:$B$2331=A502)*('Planning Engine'!$AB$4:$AB$2331&gt;_xlpm.threshold)),1))),""),"")</f>
        <v/>
      </c>
      <c r="N502" s="459" t="str">
        <f ca="1">IF(M502="","",M502-TODAY())</f>
        <v/>
      </c>
    </row>
    <row r="503" spans="1:14" ht="14.25" customHeight="1" x14ac:dyDescent="0.35">
      <c r="A503" s="46"/>
      <c r="B503" s="46"/>
      <c r="C503" s="47"/>
      <c r="D503" s="48"/>
      <c r="E503" s="48"/>
      <c r="F503" s="49"/>
      <c r="G503" s="49"/>
      <c r="H503" s="50">
        <v>0</v>
      </c>
      <c r="I503" s="51"/>
      <c r="J503" s="110" t="str">
        <f t="shared" si="17"/>
        <v/>
      </c>
      <c r="K503" s="46"/>
      <c r="M503" s="463" t="str" cm="1">
        <f t="array" ref="M503">IF(AND(L503="On Hold",E503&lt;&gt;"",H503&gt;0),IFERROR(_xlfn.LET(_xlpm.stopSell,EDATE(E503,-'FEFO Analysis'!$B$4),_xlpm.cumAtStop,SUMIFS('Planning Engine'!$F$4:$F$2331,'Planning Engine'!$B$4:$B$2331,A503,'Planning Engine'!$A$4:$A$2331,"&lt;="&amp;_xlpm.stopSell),_xlpm.threshold,_xlpm.cumAtStop-H503,IF(_xlpm.threshold&lt;=0,_xlfn.AGGREGATE(15,6,'Planning Engine'!$A$4:$A$2331/('Planning Engine'!$B$4:$B$2331=A503),1),_xlfn.AGGREGATE(15,6,'Planning Engine'!$A$4:$A$2331/(('Planning Engine'!$B$4:$B$2331=A503)*('Planning Engine'!$AB$4:$AB$2331&gt;_xlpm.threshold)),1))),""),"")</f>
        <v/>
      </c>
      <c r="N503" s="459" t="str">
        <f ca="1">IF(M503="","",M503-TODAY())</f>
        <v/>
      </c>
    </row>
    <row r="504" spans="1:14" ht="14.25" customHeight="1" x14ac:dyDescent="0.35">
      <c r="A504" s="46"/>
      <c r="B504" s="46"/>
      <c r="C504" s="47"/>
      <c r="D504" s="48"/>
      <c r="E504" s="48"/>
      <c r="F504" s="49"/>
      <c r="G504" s="49"/>
      <c r="H504" s="50">
        <v>0</v>
      </c>
      <c r="I504" s="51"/>
      <c r="J504" s="110" t="str">
        <f t="shared" si="17"/>
        <v/>
      </c>
      <c r="K504" s="46"/>
      <c r="M504" s="463" t="str" cm="1">
        <f t="array" ref="M504">IF(AND(L504="On Hold",E504&lt;&gt;"",H504&gt;0),IFERROR(_xlfn.LET(_xlpm.stopSell,EDATE(E504,-'FEFO Analysis'!$B$4),_xlpm.cumAtStop,SUMIFS('Planning Engine'!$F$4:$F$2331,'Planning Engine'!$B$4:$B$2331,A504,'Planning Engine'!$A$4:$A$2331,"&lt;="&amp;_xlpm.stopSell),_xlpm.threshold,_xlpm.cumAtStop-H504,IF(_xlpm.threshold&lt;=0,_xlfn.AGGREGATE(15,6,'Planning Engine'!$A$4:$A$2331/('Planning Engine'!$B$4:$B$2331=A504),1),_xlfn.AGGREGATE(15,6,'Planning Engine'!$A$4:$A$2331/(('Planning Engine'!$B$4:$B$2331=A504)*('Planning Engine'!$AB$4:$AB$2331&gt;_xlpm.threshold)),1))),""),"")</f>
        <v/>
      </c>
      <c r="N504" s="459" t="str">
        <f ca="1">IF(M504="","",M504-TODAY())</f>
        <v/>
      </c>
    </row>
    <row r="505" spans="1:14" ht="14.25" customHeight="1" x14ac:dyDescent="0.35">
      <c r="A505" s="46"/>
      <c r="B505" s="46"/>
      <c r="C505" s="47"/>
      <c r="D505" s="48"/>
      <c r="E505" s="48"/>
      <c r="F505" s="49"/>
      <c r="G505" s="49"/>
      <c r="H505" s="50">
        <v>0</v>
      </c>
      <c r="I505" s="51"/>
      <c r="J505" s="110" t="str">
        <f t="shared" si="17"/>
        <v/>
      </c>
      <c r="K505" s="46"/>
      <c r="M505" s="463" t="str" cm="1">
        <f t="array" ref="M505">IF(AND(L505="On Hold",E505&lt;&gt;"",H505&gt;0),IFERROR(_xlfn.LET(_xlpm.stopSell,EDATE(E505,-'FEFO Analysis'!$B$4),_xlpm.cumAtStop,SUMIFS('Planning Engine'!$F$4:$F$2331,'Planning Engine'!$B$4:$B$2331,A505,'Planning Engine'!$A$4:$A$2331,"&lt;="&amp;_xlpm.stopSell),_xlpm.threshold,_xlpm.cumAtStop-H505,IF(_xlpm.threshold&lt;=0,_xlfn.AGGREGATE(15,6,'Planning Engine'!$A$4:$A$2331/('Planning Engine'!$B$4:$B$2331=A505),1),_xlfn.AGGREGATE(15,6,'Planning Engine'!$A$4:$A$2331/(('Planning Engine'!$B$4:$B$2331=A505)*('Planning Engine'!$AB$4:$AB$2331&gt;_xlpm.threshold)),1))),""),"")</f>
        <v/>
      </c>
      <c r="N505" s="459" t="str">
        <f ca="1">IF(M505="","",M505-TODAY())</f>
        <v/>
      </c>
    </row>
    <row r="506" spans="1:14" ht="14.25" customHeight="1" x14ac:dyDescent="0.35">
      <c r="A506" s="46"/>
      <c r="B506" s="46"/>
      <c r="C506" s="47"/>
      <c r="D506" s="48"/>
      <c r="E506" s="48"/>
      <c r="F506" s="49"/>
      <c r="G506" s="49"/>
      <c r="H506" s="50">
        <v>0</v>
      </c>
      <c r="I506" s="51"/>
      <c r="J506" s="110" t="str">
        <f t="shared" si="17"/>
        <v/>
      </c>
      <c r="K506" s="46"/>
      <c r="M506" s="463" t="str" cm="1">
        <f t="array" ref="M506">IF(AND(L506="On Hold",E506&lt;&gt;"",H506&gt;0),IFERROR(_xlfn.LET(_xlpm.stopSell,EDATE(E506,-'FEFO Analysis'!$B$4),_xlpm.cumAtStop,SUMIFS('Planning Engine'!$F$4:$F$2331,'Planning Engine'!$B$4:$B$2331,A506,'Planning Engine'!$A$4:$A$2331,"&lt;="&amp;_xlpm.stopSell),_xlpm.threshold,_xlpm.cumAtStop-H506,IF(_xlpm.threshold&lt;=0,_xlfn.AGGREGATE(15,6,'Planning Engine'!$A$4:$A$2331/('Planning Engine'!$B$4:$B$2331=A506),1),_xlfn.AGGREGATE(15,6,'Planning Engine'!$A$4:$A$2331/(('Planning Engine'!$B$4:$B$2331=A506)*('Planning Engine'!$AB$4:$AB$2331&gt;_xlpm.threshold)),1))),""),"")</f>
        <v/>
      </c>
      <c r="N506" s="459" t="str">
        <f ca="1">IF(M506="","",M506-TODAY())</f>
        <v/>
      </c>
    </row>
    <row r="507" spans="1:14" ht="14.25" customHeight="1" x14ac:dyDescent="0.35">
      <c r="A507" s="46"/>
      <c r="B507" s="46"/>
      <c r="C507" s="47"/>
      <c r="D507" s="48"/>
      <c r="E507" s="48"/>
      <c r="F507" s="49"/>
      <c r="G507" s="49"/>
      <c r="H507" s="50">
        <v>0</v>
      </c>
      <c r="I507" s="51"/>
      <c r="J507" s="110" t="str">
        <f t="shared" si="17"/>
        <v/>
      </c>
      <c r="K507" s="46"/>
      <c r="M507" s="463" t="str" cm="1">
        <f t="array" ref="M507">IF(AND(L507="On Hold",E507&lt;&gt;"",H507&gt;0),IFERROR(_xlfn.LET(_xlpm.stopSell,EDATE(E507,-'FEFO Analysis'!$B$4),_xlpm.cumAtStop,SUMIFS('Planning Engine'!$F$4:$F$2331,'Planning Engine'!$B$4:$B$2331,A507,'Planning Engine'!$A$4:$A$2331,"&lt;="&amp;_xlpm.stopSell),_xlpm.threshold,_xlpm.cumAtStop-H507,IF(_xlpm.threshold&lt;=0,_xlfn.AGGREGATE(15,6,'Planning Engine'!$A$4:$A$2331/('Planning Engine'!$B$4:$B$2331=A507),1),_xlfn.AGGREGATE(15,6,'Planning Engine'!$A$4:$A$2331/(('Planning Engine'!$B$4:$B$2331=A507)*('Planning Engine'!$AB$4:$AB$2331&gt;_xlpm.threshold)),1))),""),"")</f>
        <v/>
      </c>
      <c r="N507" s="459" t="str">
        <f ca="1">IF(M507="","",M507-TODAY())</f>
        <v/>
      </c>
    </row>
  </sheetData>
  <mergeCells count="2">
    <mergeCell ref="A1:K1"/>
    <mergeCell ref="A2:K2"/>
  </mergeCells>
  <phoneticPr fontId="65" type="noConversion"/>
  <dataValidations count="1">
    <dataValidation type="list" allowBlank="1" showErrorMessage="1" errorTitle="Invalid Status" error="Please select Active or On Hold" sqref="L5:L91" xr:uid="{4D4C2D84-E8E6-4B94-A066-AC5E800FC4D9}">
      <formula1>"Active,On Hold"</formula1>
    </dataValidation>
  </dataValidation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6"/>
  <dimension ref="A1:T206"/>
  <sheetViews>
    <sheetView showGridLines="0" zoomScale="55" zoomScaleNormal="55" workbookViewId="0">
      <pane ySplit="6" topLeftCell="A7" activePane="bottomLeft" state="frozen"/>
      <selection pane="bottomLeft" activeCell="E19" sqref="E19"/>
    </sheetView>
  </sheetViews>
  <sheetFormatPr defaultRowHeight="14.5" x14ac:dyDescent="0.35"/>
  <cols>
    <col min="1" max="1" width="7" customWidth="1"/>
    <col min="2" max="2" width="16" customWidth="1"/>
    <col min="3" max="3" width="12" customWidth="1"/>
    <col min="4" max="6" width="13" customWidth="1"/>
    <col min="7" max="8" width="14" customWidth="1"/>
    <col min="9" max="9" width="12" customWidth="1"/>
    <col min="10" max="10" width="11" customWidth="1"/>
    <col min="11" max="11" width="14" customWidth="1"/>
    <col min="12" max="12" width="12" customWidth="1"/>
    <col min="13" max="13" width="22" customWidth="1"/>
    <col min="14" max="14" width="13" customWidth="1"/>
    <col min="15" max="15" width="12" customWidth="1"/>
    <col min="16" max="17" width="13" customWidth="1"/>
    <col min="19" max="19" width="11" customWidth="1"/>
  </cols>
  <sheetData>
    <row r="1" spans="1:20" ht="22" customHeight="1" x14ac:dyDescent="0.35">
      <c r="A1" s="411" t="s">
        <v>608</v>
      </c>
      <c r="B1" s="395"/>
      <c r="C1" s="395"/>
      <c r="D1" s="395"/>
      <c r="E1" s="395"/>
      <c r="F1" s="395"/>
      <c r="G1" s="395"/>
      <c r="H1" s="395"/>
      <c r="I1" s="395"/>
      <c r="J1" s="395"/>
      <c r="K1" s="395"/>
      <c r="L1" s="395"/>
      <c r="M1" s="395"/>
      <c r="N1" s="395"/>
      <c r="O1" s="395"/>
      <c r="P1" s="395"/>
      <c r="Q1" s="395"/>
    </row>
    <row r="3" spans="1:20" ht="16" customHeight="1" x14ac:dyDescent="0.35">
      <c r="A3" s="138" t="s">
        <v>609</v>
      </c>
      <c r="B3" s="7" t="s">
        <v>26</v>
      </c>
      <c r="C3" s="138" t="s">
        <v>610</v>
      </c>
      <c r="E3" s="138" t="s">
        <v>611</v>
      </c>
      <c r="G3" s="138" t="s">
        <v>612</v>
      </c>
      <c r="I3" s="138" t="s">
        <v>613</v>
      </c>
    </row>
    <row r="4" spans="1:20" ht="16" customHeight="1" x14ac:dyDescent="0.35">
      <c r="A4" s="103" t="s">
        <v>614</v>
      </c>
      <c r="B4" s="7">
        <v>6</v>
      </c>
      <c r="D4" s="139">
        <f>COUNTIF(B7:B206,"&lt;&gt;")</f>
        <v>200</v>
      </c>
      <c r="F4" s="140">
        <f>SUM(I7:I206)</f>
        <v>0</v>
      </c>
      <c r="H4" s="110">
        <f>IFERROR(MIN(D7:D206),"")</f>
        <v>46589</v>
      </c>
      <c r="J4" s="79" t="str">
        <f>IF(F4=0,"Low",IF(F4&gt;SUM($O$7:INDEX($O:$O,6+$B$4)),"High","Medium"))</f>
        <v>Low</v>
      </c>
    </row>
    <row r="6" spans="1:20" ht="28" customHeight="1" x14ac:dyDescent="0.35">
      <c r="A6" s="141" t="s">
        <v>615</v>
      </c>
      <c r="B6" s="141" t="s">
        <v>583</v>
      </c>
      <c r="C6" s="141" t="s">
        <v>2</v>
      </c>
      <c r="D6" s="141" t="s">
        <v>585</v>
      </c>
      <c r="E6" s="141" t="s">
        <v>588</v>
      </c>
      <c r="F6" s="141" t="s">
        <v>616</v>
      </c>
      <c r="G6" s="141" t="s">
        <v>617</v>
      </c>
      <c r="H6" s="141" t="s">
        <v>618</v>
      </c>
      <c r="I6" s="141" t="s">
        <v>619</v>
      </c>
      <c r="J6" s="141" t="s">
        <v>620</v>
      </c>
      <c r="K6" s="141" t="s">
        <v>621</v>
      </c>
      <c r="L6" s="141" t="s">
        <v>622</v>
      </c>
      <c r="M6" s="141" t="s">
        <v>623</v>
      </c>
      <c r="N6" s="141" t="s">
        <v>428</v>
      </c>
      <c r="O6" s="141" t="s">
        <v>551</v>
      </c>
      <c r="P6" s="141" t="s">
        <v>624</v>
      </c>
      <c r="Q6" s="141" t="s">
        <v>625</v>
      </c>
      <c r="R6" s="461" t="s">
        <v>2831</v>
      </c>
      <c r="S6" s="461" t="s">
        <v>2829</v>
      </c>
      <c r="T6" s="461" t="s">
        <v>2830</v>
      </c>
    </row>
    <row r="7" spans="1:20" ht="14" customHeight="1" x14ac:dyDescent="0.35">
      <c r="A7" s="142">
        <v>1</v>
      </c>
      <c r="B7" s="143" t="str" cm="1">
        <f t="array" ref="B7">IFERROR(INDEX('Lot Inputs'!$B$5:$B$507,MATCH(_xlfn.AGGREGATE(15,6,('Lot Inputs'!$J$5:$J$507)/(('Lot Inputs'!$A$5:$A$507=$B$3)*('Lot Inputs'!$H$5:$H$507&gt;0)),ROW()-6),IF('Lot Inputs'!$A$5:$A$507=$B$3,'Lot Inputs'!$J$5:$J$507),0)),"")</f>
        <v>C025D24008</v>
      </c>
      <c r="C7" s="144" t="str">
        <f t="shared" ref="C7:C38" si="0">IF(B7="","",$B$3)</f>
        <v>188mg LP</v>
      </c>
      <c r="D7" s="145" cm="1">
        <f t="array" ref="D7">IF(B7="","",INDEX('Lot Inputs'!$E$5:$E$507,MATCH(1,('Lot Inputs'!$A$5:$A$507=$B$3)*('Lot Inputs'!$B$5:$B$507=B7),0)))</f>
        <v>46589</v>
      </c>
      <c r="E7" s="146" cm="1">
        <f t="array" ref="E7">IF(B7="","",INDEX('Lot Inputs'!$H$5:$H$507,MATCH(1,('Lot Inputs'!$A$5:$A$507=$B$3)*('Lot Inputs'!$B$5:$B$507=B7),0)))</f>
        <v>14972</v>
      </c>
      <c r="F7" s="108">
        <f>IF(E7="","",IF(R7="On Hold",0,E7))</f>
        <v>0</v>
      </c>
      <c r="G7" s="108">
        <f>IF(D7="","",SUMIFS($O$7:$O$500,$N$7:$N$500,"&gt;="&amp;IF(R7="On Hold",S7,Controls!$B$5),$N$7:$N$500,"&lt;="&amp;EDATE(D7,-$B$4)))</f>
        <v>16291.178030310261</v>
      </c>
      <c r="H7" s="108">
        <f>IF(E7="","",MIN(E7,MAX(0,G7-IF(ROW()=7,0,0))))</f>
        <v>14972</v>
      </c>
      <c r="I7" s="147">
        <f t="shared" ref="I7:I38" si="1">IF(E7="","",MAX(0,E7-H7))</f>
        <v>0</v>
      </c>
      <c r="J7" s="148">
        <f>IF(D7="","",(YEAR(EDATE(D7,-$B$4))-YEAR(Controls!$B$5))*12+MONTH(EDATE(D7,-$B$4))-MONTH(Controls!$B$5))</f>
        <v>9</v>
      </c>
      <c r="K7" s="149">
        <f t="array" ref="K7">IF(F7="","",IFERROR(INDEX($N$7:$N$500,MATCH(TRUE(),$P$7:$P$500&gt;=F7,0)),"After Horizon"))</f>
        <v>46054</v>
      </c>
      <c r="L7" t="str">
        <f>IF(E7="","",IF(R7="On Hold",IF(I7&gt;0,"On Hold - At Risk","On Hold"),IF(I7&gt;0,"At Risk",IF(K7&gt;D7,"FEFO Breach","OK"))))</f>
        <v>On Hold</v>
      </c>
      <c r="M7" s="17" t="str">
        <f>IF(B7="","",IF(R7="On Hold",IF(S7="","Release ASAP","Release by "&amp;TEXT(S7,"mmm-yy")),IF(L7="At Risk","Use before "&amp;TEXT(D7,"mmm-yy"),IF(L7="FEFO Breach","Accelerate consumption / reduce inventory","Standard FEFO"))))</f>
        <v>Release by Jul-26</v>
      </c>
      <c r="N7" s="145">
        <v>46054</v>
      </c>
      <c r="O7" s="108">
        <f>SUMIFS('Planning Engine'!$F:$F,'Planning Engine'!$B:$B,$B$3,'Planning Engine'!$A:$A,N7)</f>
        <v>1660.603868886466</v>
      </c>
      <c r="P7" s="108">
        <f>O7</f>
        <v>1660.603868886466</v>
      </c>
      <c r="Q7" s="146">
        <f>IF(N7&lt;=EDATE(Controls!$B$5,$B$4-1),O7,0)</f>
        <v>1660.603868886466</v>
      </c>
      <c r="R7" t="str" cm="1">
        <f t="array" ref="R7">IF(B7="","",IFERROR(INDEX('Lot Inputs'!$L$5:$L$507,MATCH(1,('Lot Inputs'!$A$5:$A$507=$B$3)*('Lot Inputs'!$B$5:$B$507=B7),0)),""))</f>
        <v>On Hold</v>
      </c>
      <c r="S7" s="205" cm="1">
        <f t="array" ref="S7">IF(B7="","",IFERROR(INDEX('Lot Inputs'!$M$5:$M$507,MATCH(1,('Lot Inputs'!$A$5:$A$507=$B$3)*('Lot Inputs'!$B$5:$B$507=B7),0)),""))</f>
        <v>46204</v>
      </c>
      <c r="T7" s="459">
        <f ca="1">IF(S7="","",S7-TODAY())</f>
        <v>49</v>
      </c>
    </row>
    <row r="8" spans="1:20" ht="14" customHeight="1" x14ac:dyDescent="0.35">
      <c r="A8" s="142">
        <v>2</v>
      </c>
      <c r="B8" s="143" t="str" cm="1">
        <f t="array" ref="B8">IFERROR(INDEX('Lot Inputs'!$B$5:$B$507,MATCH(_xlfn.AGGREGATE(15,6,('Lot Inputs'!$J$5:$J$507)/(('Lot Inputs'!$A$5:$A$507=$B$3)*('Lot Inputs'!$H$5:$H$507&gt;0)),ROW()-6),IF('Lot Inputs'!$A$5:$A$507=$B$3,'Lot Inputs'!$J$5:$J$507),0)),"")</f>
        <v>C022H24011</v>
      </c>
      <c r="C8" s="144" t="str">
        <f t="shared" ref="C8:C71" si="2">IF(B8="","",$B$3)</f>
        <v>188mg LP</v>
      </c>
      <c r="D8" s="145" cm="1">
        <f t="array" ref="D8">IF(B8="","",INDEX('Lot Inputs'!$E$5:$E$507,MATCH(1,('Lot Inputs'!$A$5:$A$507=$B$3)*('Lot Inputs'!$B$5:$B$507=B8),0)))</f>
        <v>46772</v>
      </c>
      <c r="E8" s="146" cm="1">
        <f t="array" ref="E8">IF(B8="","",INDEX('Lot Inputs'!$H$5:$H$507,MATCH(1,('Lot Inputs'!$A$5:$A$507=$B$3)*('Lot Inputs'!$B$5:$B$507=B8),0)))</f>
        <v>11098</v>
      </c>
      <c r="F8" s="108">
        <f>IF(E8="","",IF(R8="On Hold",0,E8)+IF(F7="",0,F7))</f>
        <v>11098</v>
      </c>
      <c r="G8" s="108">
        <f>IF(D8="","",SUMIFS($O$7:$O$500,$N$7:$N$500,"&gt;="&amp;IF(R8="On Hold",S8,Controls!$B$5),$N$7:$N$500,"&lt;="&amp;EDATE(D8,-$B$4)))</f>
        <v>40685.240645648264</v>
      </c>
      <c r="H8" s="108">
        <f t="shared" ref="H8:H39" si="3">IF(E8="","",MIN(E8,MAX(0,G8-IF(ROW()=7,0,F7))))</f>
        <v>11098</v>
      </c>
      <c r="I8" s="147">
        <f t="shared" si="1"/>
        <v>0</v>
      </c>
      <c r="J8" s="148">
        <f>IF(D8="","",(YEAR(EDATE(D8,-$B$4))-YEAR(Controls!$B$5))*12+MONTH(EDATE(D8,-$B$4))-MONTH(Controls!$B$5))</f>
        <v>15</v>
      </c>
      <c r="K8" s="149">
        <f t="array" ref="K8">IF(F8="","",IFERROR(INDEX($N$7:$N$500,MATCH(TRUE(),$P$7:$P$500&gt;=F8,0)),"After Horizon"))</f>
        <v>46204</v>
      </c>
      <c r="L8" t="str">
        <f t="shared" ref="L8:L71" si="4">IF(E8="","",IF(R8="On Hold",IF(I8&gt;0,"On Hold - At Risk","On Hold"),IF(I8&gt;0,"At Risk",IF(K8&gt;D8,"FEFO Breach","OK"))))</f>
        <v>OK</v>
      </c>
      <c r="M8" s="17" t="str">
        <f t="shared" ref="M8:M71" si="5">IF(B8="","",IF(R8="On Hold",IF(S8="","Release ASAP","Release by "&amp;TEXT(S8,"mmm-yy")),IF(L8="At Risk","Use before "&amp;TEXT(D8,"mmm-yy"),IF(L8="FEFO Breach","Accelerate consumption / reduce inventory","Standard FEFO"))))</f>
        <v>Standard FEFO</v>
      </c>
      <c r="N8" s="145">
        <v>46082</v>
      </c>
      <c r="O8" s="108">
        <f>SUMIFS('Planning Engine'!$F:$F,'Planning Engine'!$B:$B,$B$3,'Planning Engine'!$A:$A,N8)</f>
        <v>1597.750505474781</v>
      </c>
      <c r="P8" s="108">
        <f t="shared" ref="P8:P39" si="6">P7+O8</f>
        <v>3258.3543743612472</v>
      </c>
      <c r="Q8" s="146">
        <f>IF(N8&lt;=EDATE(Controls!$B$5,$B$4-1),O8,0)</f>
        <v>1597.750505474781</v>
      </c>
      <c r="R8" t="str" cm="1">
        <f t="array" ref="R8">IF(B8="","",IFERROR(INDEX('Lot Inputs'!$L$5:$L$507,MATCH(1,('Lot Inputs'!$A$5:$A$507=$B$3)*('Lot Inputs'!$B$5:$B$507=B8),0)),""))</f>
        <v>Active</v>
      </c>
      <c r="S8" s="205" t="str" cm="1">
        <f t="array" ref="S8">IF(B8="","",IFERROR(INDEX('Lot Inputs'!$M$5:$M$507,MATCH(1,('Lot Inputs'!$A$5:$A$507=$B$3)*('Lot Inputs'!$B$5:$B$507=B8),0)),""))</f>
        <v/>
      </c>
      <c r="T8" s="459" t="str">
        <f ca="1">IF(S8="","",S8-TODAY())</f>
        <v/>
      </c>
    </row>
    <row r="9" spans="1:20" ht="14" customHeight="1" x14ac:dyDescent="0.35">
      <c r="A9" s="142">
        <v>3</v>
      </c>
      <c r="B9" s="143" t="str" cm="1">
        <f t="array" ref="B9">IFERROR(INDEX('Lot Inputs'!$B$5:$B$507,MATCH(_xlfn.AGGREGATE(15,6,('Lot Inputs'!$J$5:$J$507)/(('Lot Inputs'!$A$5:$A$507=$B$3)*('Lot Inputs'!$H$5:$H$507&gt;0)),ROW()-6),IF('Lot Inputs'!$A$5:$A$507=$B$3,'Lot Inputs'!$J$5:$J$507),0)),"")</f>
        <v>C011J24015</v>
      </c>
      <c r="C9" s="144" t="str">
        <f t="shared" si="2"/>
        <v>188mg LP</v>
      </c>
      <c r="D9" s="145" cm="1">
        <f t="array" ref="D9">IF(B9="","",INDEX('Lot Inputs'!$E$5:$E$507,MATCH(1,('Lot Inputs'!$A$5:$A$507=$B$3)*('Lot Inputs'!$B$5:$B$507=B9),0)))</f>
        <v>46777</v>
      </c>
      <c r="E9" s="146" cm="1">
        <f t="array" ref="E9">IF(B9="","",INDEX('Lot Inputs'!$H$5:$H$507,MATCH(1,('Lot Inputs'!$A$5:$A$507=$B$3)*('Lot Inputs'!$B$5:$B$507=B9),0)))</f>
        <v>10922</v>
      </c>
      <c r="F9" s="108">
        <f>IF(E9="","",IF(R9="On Hold",0,E9)+IF(F8="",0,F8))</f>
        <v>22020</v>
      </c>
      <c r="G9" s="108">
        <f>IF(D9="","",SUMIFS($O$7:$O$500,$N$7:$N$500,"&gt;="&amp;IF(R9="On Hold",S9,Controls!$B$5),$N$7:$N$500,"&lt;="&amp;EDATE(D9,-$B$4)))</f>
        <v>40685.240645648264</v>
      </c>
      <c r="H9" s="108">
        <f t="shared" si="3"/>
        <v>10922</v>
      </c>
      <c r="I9" s="147">
        <f t="shared" si="1"/>
        <v>0</v>
      </c>
      <c r="J9" s="148">
        <f>IF(D9="","",(YEAR(EDATE(D9,-$B$4))-YEAR(Controls!$B$5))*12+MONTH(EDATE(D9,-$B$4))-MONTH(Controls!$B$5))</f>
        <v>15</v>
      </c>
      <c r="K9" s="149">
        <f t="array" ref="K9">IF(F9="","",IFERROR(INDEX($N$7:$N$500,MATCH(TRUE(),$P$7:$P$500&gt;=F9,0)),"After Horizon"))</f>
        <v>46357</v>
      </c>
      <c r="L9" t="str">
        <f t="shared" si="4"/>
        <v>OK</v>
      </c>
      <c r="M9" s="17" t="str">
        <f t="shared" si="5"/>
        <v>Standard FEFO</v>
      </c>
      <c r="N9" s="145">
        <v>46113</v>
      </c>
      <c r="O9" s="108">
        <f>SUMIFS('Planning Engine'!$F:$F,'Planning Engine'!$B:$B,$B$3,'Planning Engine'!$A:$A,N9)</f>
        <v>2124.9921880618376</v>
      </c>
      <c r="P9" s="108">
        <f t="shared" si="6"/>
        <v>5383.3465624230848</v>
      </c>
      <c r="Q9" s="146">
        <f>IF(N9&lt;=EDATE(Controls!$B$5,$B$4-1),O9,0)</f>
        <v>2124.9921880618376</v>
      </c>
      <c r="R9" t="str" cm="1">
        <f t="array" ref="R9">IF(B9="","",IFERROR(INDEX('Lot Inputs'!$L$5:$L$507,MATCH(1,('Lot Inputs'!$A$5:$A$507=$B$3)*('Lot Inputs'!$B$5:$B$507=B9),0)),""))</f>
        <v>Active</v>
      </c>
      <c r="S9" s="205" t="str" cm="1">
        <f t="array" ref="S9">IF(B9="","",IFERROR(INDEX('Lot Inputs'!$M$5:$M$507,MATCH(1,('Lot Inputs'!$A$5:$A$507=$B$3)*('Lot Inputs'!$B$5:$B$507=B9),0)),""))</f>
        <v/>
      </c>
      <c r="T9" s="459" t="str">
        <f ca="1">IF(S9="","",S9-TODAY())</f>
        <v/>
      </c>
    </row>
    <row r="10" spans="1:20" ht="14" customHeight="1" x14ac:dyDescent="0.35">
      <c r="A10" s="142">
        <v>4</v>
      </c>
      <c r="B10" s="143" t="str" cm="1">
        <f t="array" ref="B10">IFERROR(INDEX('Lot Inputs'!$B$5:$B$507,MATCH(_xlfn.AGGREGATE(15,6,('Lot Inputs'!$J$5:$J$507)/(('Lot Inputs'!$A$5:$A$507=$B$3)*('Lot Inputs'!$H$5:$H$507&gt;0)),ROW()-6),IF('Lot Inputs'!$A$5:$A$507=$B$3,'Lot Inputs'!$J$5:$J$507),0)),"")</f>
        <v>008H25</v>
      </c>
      <c r="C10" s="144" t="str">
        <f t="shared" si="2"/>
        <v>188mg LP</v>
      </c>
      <c r="D10" s="145" cm="1">
        <f t="array" ref="D10">IF(B10="","",INDEX('Lot Inputs'!$E$5:$E$507,MATCH(1,('Lot Inputs'!$A$5:$A$507=$B$3)*('Lot Inputs'!$B$5:$B$507=B10),0)))</f>
        <v>47518</v>
      </c>
      <c r="E10" s="146" cm="1">
        <f t="array" ref="E10">IF(B10="","",INDEX('Lot Inputs'!$H$5:$H$507,MATCH(1,('Lot Inputs'!$A$5:$A$507=$B$3)*('Lot Inputs'!$B$5:$B$507=B10),0)))</f>
        <v>2700</v>
      </c>
      <c r="F10" s="108">
        <f>IF(E10="","",IF(R10="On Hold",0,E10)+IF(F9="",0,F9))</f>
        <v>24720</v>
      </c>
      <c r="G10" s="108">
        <f>IF(D10="","",SUMIFS($O$7:$O$500,$N$7:$N$500,"&gt;="&amp;IF(R10="On Hold",S10,Controls!$B$5),$N$7:$N$500,"&lt;="&amp;EDATE(D10,-$B$4)))</f>
        <v>241852.32884487294</v>
      </c>
      <c r="H10" s="108">
        <f t="shared" si="3"/>
        <v>2700</v>
      </c>
      <c r="I10" s="147">
        <f t="shared" si="1"/>
        <v>0</v>
      </c>
      <c r="J10" s="148">
        <f>IF(D10="","",(YEAR(EDATE(D10,-$B$4))-YEAR(Controls!$B$5))*12+MONTH(EDATE(D10,-$B$4))-MONTH(Controls!$B$5))</f>
        <v>40</v>
      </c>
      <c r="K10" s="149">
        <f t="array" ref="K10">IF(F10="","",IFERROR(INDEX($N$7:$N$500,MATCH(TRUE(),$P$7:$P$500&gt;=F10,0)),"After Horizon"))</f>
        <v>46388</v>
      </c>
      <c r="L10" t="str">
        <f t="shared" si="4"/>
        <v>OK</v>
      </c>
      <c r="M10" s="17" t="str">
        <f t="shared" si="5"/>
        <v>Standard FEFO</v>
      </c>
      <c r="N10" s="145">
        <v>46143</v>
      </c>
      <c r="O10" s="108">
        <f>SUMIFS('Planning Engine'!$F:$F,'Planning Engine'!$B:$B,$B$3,'Planning Engine'!$A:$A,N10)</f>
        <v>2053.6576284117737</v>
      </c>
      <c r="P10" s="108">
        <f t="shared" si="6"/>
        <v>7437.0041908348585</v>
      </c>
      <c r="Q10" s="146">
        <f>IF(N10&lt;=EDATE(Controls!$B$5,$B$4-1),O10,0)</f>
        <v>2053.6576284117737</v>
      </c>
      <c r="R10" t="str" cm="1">
        <f t="array" ref="R10">IF(B10="","",IFERROR(INDEX('Lot Inputs'!$L$5:$L$507,MATCH(1,('Lot Inputs'!$A$5:$A$507=$B$3)*('Lot Inputs'!$B$5:$B$507=B10),0)),""))</f>
        <v>Active</v>
      </c>
      <c r="S10" s="205" t="str" cm="1">
        <f t="array" ref="S10">IF(B10="","",IFERROR(INDEX('Lot Inputs'!$M$5:$M$507,MATCH(1,('Lot Inputs'!$A$5:$A$507=$B$3)*('Lot Inputs'!$B$5:$B$507=B10),0)),""))</f>
        <v/>
      </c>
      <c r="T10" s="459" t="str">
        <f ca="1">IF(S10="","",S10-TODAY())</f>
        <v/>
      </c>
    </row>
    <row r="11" spans="1:20" ht="14" customHeight="1" x14ac:dyDescent="0.35">
      <c r="A11" s="142">
        <v>5</v>
      </c>
      <c r="B11" s="143" t="str" cm="1">
        <f t="array" ref="B11">IFERROR(INDEX('Lot Inputs'!$B$5:$B$507,MATCH(_xlfn.AGGREGATE(15,6,('Lot Inputs'!$J$5:$J$507)/(('Lot Inputs'!$A$5:$A$507=$B$3)*('Lot Inputs'!$H$5:$H$507&gt;0)),ROW()-6),IF('Lot Inputs'!$A$5:$A$507=$B$3,'Lot Inputs'!$J$5:$J$507),0)),"")</f>
        <v>010H25</v>
      </c>
      <c r="C11" s="144" t="str">
        <f t="shared" si="2"/>
        <v>188mg LP</v>
      </c>
      <c r="D11" s="145" cm="1">
        <f t="array" ref="D11">IF(B11="","",INDEX('Lot Inputs'!$E$5:$E$507,MATCH(1,('Lot Inputs'!$A$5:$A$507=$B$3)*('Lot Inputs'!$B$5:$B$507=B11),0)))</f>
        <v>47698</v>
      </c>
      <c r="E11" s="146" cm="1">
        <f t="array" ref="E11">IF(B11="","",INDEX('Lot Inputs'!$H$5:$H$507,MATCH(1,('Lot Inputs'!$A$5:$A$507=$B$3)*('Lot Inputs'!$B$5:$B$507=B11),0)))</f>
        <v>16932</v>
      </c>
      <c r="F11" s="108">
        <f>IF(E11="","",IF(R11="On Hold",0,E11)+IF(F10="",0,F10))</f>
        <v>41652</v>
      </c>
      <c r="G11" s="108">
        <f>IF(D11="","",SUMIFS($O$7:$O$500,$N$7:$N$500,"&gt;="&amp;IF(R11="On Hold",S11,Controls!$B$5),$N$7:$N$500,"&lt;="&amp;EDATE(D11,-$B$4)))</f>
        <v>310218.16561996983</v>
      </c>
      <c r="H11" s="108">
        <f t="shared" si="3"/>
        <v>16932</v>
      </c>
      <c r="I11" s="147">
        <f t="shared" si="1"/>
        <v>0</v>
      </c>
      <c r="J11" s="148">
        <f>IF(D11="","",(YEAR(EDATE(D11,-$B$4))-YEAR(Controls!$B$5))*12+MONTH(EDATE(D11,-$B$4))-MONTH(Controls!$B$5))</f>
        <v>46</v>
      </c>
      <c r="K11" s="149">
        <f t="array" ref="K11">IF(F11="","",IFERROR(INDEX($N$7:$N$500,MATCH(TRUE(),$P$7:$P$500&gt;=F11,0)),"After Horizon"))</f>
        <v>46569</v>
      </c>
      <c r="L11" t="str">
        <f t="shared" si="4"/>
        <v>OK</v>
      </c>
      <c r="M11" s="17" t="str">
        <f t="shared" si="5"/>
        <v>Standard FEFO</v>
      </c>
      <c r="N11" s="145">
        <v>46174</v>
      </c>
      <c r="O11" s="108">
        <f>SUMIFS('Planning Engine'!$F:$F,'Planning Engine'!$B:$B,$B$3,'Planning Engine'!$A:$A,N11)</f>
        <v>1789.3498301935292</v>
      </c>
      <c r="P11" s="108">
        <f t="shared" si="6"/>
        <v>9226.3540210283882</v>
      </c>
      <c r="Q11" s="146">
        <f>IF(N11&lt;=EDATE(Controls!$B$5,$B$4-1),O11,0)</f>
        <v>1789.3498301935292</v>
      </c>
      <c r="R11" t="str" cm="1">
        <f t="array" ref="R11">IF(B11="","",IFERROR(INDEX('Lot Inputs'!$L$5:$L$507,MATCH(1,('Lot Inputs'!$A$5:$A$507=$B$3)*('Lot Inputs'!$B$5:$B$507=B11),0)),""))</f>
        <v>Active</v>
      </c>
      <c r="S11" s="205" t="str" cm="1">
        <f t="array" ref="S11">IF(B11="","",IFERROR(INDEX('Lot Inputs'!$M$5:$M$507,MATCH(1,('Lot Inputs'!$A$5:$A$507=$B$3)*('Lot Inputs'!$B$5:$B$507=B11),0)),""))</f>
        <v/>
      </c>
      <c r="T11" s="459" t="str">
        <f ca="1">IF(S11="","",S11-TODAY())</f>
        <v/>
      </c>
    </row>
    <row r="12" spans="1:20" ht="14" customHeight="1" x14ac:dyDescent="0.35">
      <c r="A12" s="142">
        <v>6</v>
      </c>
      <c r="B12" s="143" t="str" cm="1">
        <f t="array" ref="B12">IFERROR(INDEX('Lot Inputs'!$B$5:$B$507,MATCH(_xlfn.AGGREGATE(15,6,('Lot Inputs'!$J$5:$J$507)/(('Lot Inputs'!$A$5:$A$507=$B$3)*('Lot Inputs'!$H$5:$H$507&gt;0)),ROW()-6),IF('Lot Inputs'!$A$5:$A$507=$B$3,'Lot Inputs'!$J$5:$J$507),0)),"")</f>
        <v>C034F25016</v>
      </c>
      <c r="C12" s="144" t="str">
        <f t="shared" si="2"/>
        <v>188mg LP</v>
      </c>
      <c r="D12" s="145" cm="1">
        <f t="array" ref="D12">IF(B12="","",INDEX('Lot Inputs'!$E$5:$E$507,MATCH(1,('Lot Inputs'!$A$5:$A$507=$B$3)*('Lot Inputs'!$B$5:$B$507=B12),0)))</f>
        <v>47705</v>
      </c>
      <c r="E12" s="146" cm="1">
        <f t="array" ref="E12">IF(B12="","",INDEX('Lot Inputs'!$H$5:$H$507,MATCH(1,('Lot Inputs'!$A$5:$A$507=$B$3)*('Lot Inputs'!$B$5:$B$507=B12),0)))</f>
        <v>17103</v>
      </c>
      <c r="F12" s="108">
        <f>IF(E12="","",IF(R12="On Hold",0,E12)+IF(F11="",0,F11))</f>
        <v>58755</v>
      </c>
      <c r="G12" s="108">
        <f>IF(D12="","",SUMIFS($O$7:$O$500,$N$7:$N$500,"&gt;="&amp;IF(R12="On Hold",S12,Controls!$B$5),$N$7:$N$500,"&lt;="&amp;EDATE(D12,-$B$4)))</f>
        <v>310218.16561996983</v>
      </c>
      <c r="H12" s="108">
        <f t="shared" si="3"/>
        <v>17103</v>
      </c>
      <c r="I12" s="147">
        <f t="shared" si="1"/>
        <v>0</v>
      </c>
      <c r="J12" s="148">
        <f>IF(D12="","",(YEAR(EDATE(D12,-$B$4))-YEAR(Controls!$B$5))*12+MONTH(EDATE(D12,-$B$4))-MONTH(Controls!$B$5))</f>
        <v>46</v>
      </c>
      <c r="K12" s="149">
        <f t="array" ref="K12">IF(F12="","",IFERROR(INDEX($N$7:$N$500,MATCH(TRUE(),$P$7:$P$500&gt;=F12,0)),"After Horizon"))</f>
        <v>46692</v>
      </c>
      <c r="L12" t="str">
        <f t="shared" si="4"/>
        <v>OK</v>
      </c>
      <c r="M12" s="17" t="str">
        <f t="shared" si="5"/>
        <v>Standard FEFO</v>
      </c>
      <c r="N12" s="145">
        <v>46204</v>
      </c>
      <c r="O12" s="108">
        <f>SUMIFS('Planning Engine'!$F:$F,'Planning Engine'!$B:$B,$B$3,'Planning Engine'!$A:$A,N12)</f>
        <v>2101.9326546434804</v>
      </c>
      <c r="P12" s="108">
        <f t="shared" si="6"/>
        <v>11328.286675671869</v>
      </c>
      <c r="Q12" s="146">
        <f>IF(N12&lt;=EDATE(Controls!$B$5,$B$4-1),O12,0)</f>
        <v>2101.9326546434804</v>
      </c>
      <c r="R12" t="str" cm="1">
        <f t="array" ref="R12">IF(B12="","",IFERROR(INDEX('Lot Inputs'!$L$5:$L$507,MATCH(1,('Lot Inputs'!$A$5:$A$507=$B$3)*('Lot Inputs'!$B$5:$B$507=B12),0)),""))</f>
        <v>Active</v>
      </c>
      <c r="S12" s="205" t="str" cm="1">
        <f t="array" ref="S12">IF(B12="","",IFERROR(INDEX('Lot Inputs'!$M$5:$M$507,MATCH(1,('Lot Inputs'!$A$5:$A$507=$B$3)*('Lot Inputs'!$B$5:$B$507=B12),0)),""))</f>
        <v/>
      </c>
      <c r="T12" s="459" t="str">
        <f ca="1">IF(S12="","",S12-TODAY())</f>
        <v/>
      </c>
    </row>
    <row r="13" spans="1:20" ht="14" customHeight="1" x14ac:dyDescent="0.35">
      <c r="A13" s="142">
        <v>7</v>
      </c>
      <c r="B13" s="143" t="str" cm="1">
        <f t="array" ref="B13">IFERROR(INDEX('Lot Inputs'!$B$5:$B$507,MATCH(_xlfn.AGGREGATE(15,6,('Lot Inputs'!$J$5:$J$507)/(('Lot Inputs'!$A$5:$A$507=$B$3)*('Lot Inputs'!$H$5:$H$507&gt;0)),ROW()-6),IF('Lot Inputs'!$A$5:$A$507=$B$3,'Lot Inputs'!$J$5:$J$507),0)),"")</f>
        <v>030A26</v>
      </c>
      <c r="C13" s="144" t="str">
        <f t="shared" si="2"/>
        <v>188mg LP</v>
      </c>
      <c r="D13" s="145" cm="1">
        <f t="array" ref="D13">IF(B13="","",INDEX('Lot Inputs'!$E$5:$E$507,MATCH(1,('Lot Inputs'!$A$5:$A$507=$B$3)*('Lot Inputs'!$B$5:$B$507=B13),0)))</f>
        <v>47939</v>
      </c>
      <c r="E13" s="146" cm="1">
        <f t="array" ref="E13">IF(B13="","",INDEX('Lot Inputs'!$H$5:$H$507,MATCH(1,('Lot Inputs'!$A$5:$A$507=$B$3)*('Lot Inputs'!$B$5:$B$507=B13),0)))</f>
        <v>16200</v>
      </c>
      <c r="F13" s="108">
        <f>IF(E13="","",IF(R13="On Hold",0,E13)+IF(F12="",0,F12))</f>
        <v>74955</v>
      </c>
      <c r="G13" s="108">
        <f>IF(D13="","",SUMIFS($O$7:$O$500,$N$7:$N$500,"&gt;="&amp;IF(R13="On Hold",S13,Controls!$B$5),$N$7:$N$500,"&lt;="&amp;EDATE(D13,-$B$4)))</f>
        <v>415353.17924576672</v>
      </c>
      <c r="H13" s="108">
        <f t="shared" si="3"/>
        <v>16200</v>
      </c>
      <c r="I13" s="147">
        <f t="shared" si="1"/>
        <v>0</v>
      </c>
      <c r="J13" s="148">
        <f>IF(D13="","",(YEAR(EDATE(D13,-$B$4))-YEAR(Controls!$B$5))*12+MONTH(EDATE(D13,-$B$4))-MONTH(Controls!$B$5))</f>
        <v>54</v>
      </c>
      <c r="K13" s="149">
        <f t="array" ref="K13">IF(F13="","",IFERROR(INDEX($N$7:$N$500,MATCH(TRUE(),$P$7:$P$500&gt;=F13,0)),"After Horizon"))</f>
        <v>46784</v>
      </c>
      <c r="L13" t="str">
        <f t="shared" si="4"/>
        <v>OK</v>
      </c>
      <c r="M13" s="17" t="str">
        <f t="shared" si="5"/>
        <v>Standard FEFO</v>
      </c>
      <c r="N13" s="145">
        <v>46235</v>
      </c>
      <c r="O13" s="108">
        <f>SUMIFS('Planning Engine'!$F:$F,'Planning Engine'!$B:$B,$B$3,'Planning Engine'!$A:$A,N13)</f>
        <v>2300.2239886063553</v>
      </c>
      <c r="P13" s="108">
        <f t="shared" si="6"/>
        <v>13628.510664278223</v>
      </c>
      <c r="Q13" s="146">
        <f>IF(N13&lt;=EDATE(Controls!$B$5,$B$4-1),O13,0)</f>
        <v>2300.2239886063553</v>
      </c>
      <c r="R13" t="str" cm="1">
        <f t="array" ref="R13">IF(B13="","",IFERROR(INDEX('Lot Inputs'!$L$5:$L$507,MATCH(1,('Lot Inputs'!$A$5:$A$507=$B$3)*('Lot Inputs'!$B$5:$B$507=B13),0)),""))</f>
        <v>Active</v>
      </c>
      <c r="S13" s="205" t="str" cm="1">
        <f t="array" ref="S13">IF(B13="","",IFERROR(INDEX('Lot Inputs'!$M$5:$M$507,MATCH(1,('Lot Inputs'!$A$5:$A$507=$B$3)*('Lot Inputs'!$B$5:$B$507=B13),0)),""))</f>
        <v/>
      </c>
      <c r="T13" s="459" t="str">
        <f ca="1">IF(S13="","",S13-TODAY())</f>
        <v/>
      </c>
    </row>
    <row r="14" spans="1:20" ht="14" customHeight="1" x14ac:dyDescent="0.35">
      <c r="A14" s="142">
        <v>8</v>
      </c>
      <c r="B14" s="143" t="str" cm="1">
        <f t="array" ref="B14">IFERROR(INDEX('Lot Inputs'!$B$5:$B$507,MATCH(_xlfn.AGGREGATE(15,6,('Lot Inputs'!$J$5:$J$507)/(('Lot Inputs'!$A$5:$A$507=$B$3)*('Lot Inputs'!$H$5:$H$507&gt;0)),ROW()-6),IF('Lot Inputs'!$A$5:$A$507=$B$3,'Lot Inputs'!$J$5:$J$507),0)),"")</f>
        <v>003N25</v>
      </c>
      <c r="C14" s="144" t="str">
        <f t="shared" si="2"/>
        <v>188mg LP</v>
      </c>
      <c r="D14" s="145" cm="1">
        <f t="array" ref="D14">IF(B14="","",INDEX('Lot Inputs'!$E$5:$E$507,MATCH(1,('Lot Inputs'!$A$5:$A$507=$B$3)*('Lot Inputs'!$B$5:$B$507=B14),0)))</f>
        <v>48000</v>
      </c>
      <c r="E14" s="146" cm="1">
        <f t="array" ref="E14">IF(B14="","",INDEX('Lot Inputs'!$H$5:$H$507,MATCH(1,('Lot Inputs'!$A$5:$A$507=$B$3)*('Lot Inputs'!$B$5:$B$507=B14),0)))</f>
        <v>16200</v>
      </c>
      <c r="F14" s="108">
        <f>IF(E14="","",IF(R14="On Hold",0,E14)+IF(F13="",0,F13))</f>
        <v>91155</v>
      </c>
      <c r="G14" s="108">
        <f>IF(D14="","",SUMIFS($O$7:$O$500,$N$7:$N$500,"&gt;="&amp;IF(R14="On Hold",S14,Controls!$B$5),$N$7:$N$500,"&lt;="&amp;EDATE(D14,-$B$4)))</f>
        <v>445237.47573582904</v>
      </c>
      <c r="H14" s="108">
        <f t="shared" si="3"/>
        <v>16200</v>
      </c>
      <c r="I14" s="147">
        <f t="shared" si="1"/>
        <v>0</v>
      </c>
      <c r="J14" s="148">
        <f>IF(D14="","",(YEAR(EDATE(D14,-$B$4))-YEAR(Controls!$B$5))*12+MONTH(EDATE(D14,-$B$4))-MONTH(Controls!$B$5))</f>
        <v>56</v>
      </c>
      <c r="K14" s="149">
        <f t="array" ref="K14">IF(F14="","",IFERROR(INDEX($N$7:$N$500,MATCH(TRUE(),$P$7:$P$500&gt;=F14,0)),"After Horizon"))</f>
        <v>46844</v>
      </c>
      <c r="L14" t="str">
        <f t="shared" si="4"/>
        <v>OK</v>
      </c>
      <c r="M14" s="17" t="str">
        <f t="shared" si="5"/>
        <v>Standard FEFO</v>
      </c>
      <c r="N14" s="145">
        <v>46266</v>
      </c>
      <c r="O14" s="108">
        <f>SUMIFS('Planning Engine'!$F:$F,'Planning Engine'!$B:$B,$B$3,'Planning Engine'!$A:$A,N14)</f>
        <v>2156.5918919219398</v>
      </c>
      <c r="P14" s="108">
        <f t="shared" si="6"/>
        <v>15785.102556200163</v>
      </c>
      <c r="Q14" s="146">
        <f>IF(N14&lt;=EDATE(Controls!$B$5,$B$4-1),O14,0)</f>
        <v>2156.5918919219398</v>
      </c>
      <c r="R14" t="str" cm="1">
        <f t="array" ref="R14">IF(B14="","",IFERROR(INDEX('Lot Inputs'!$L$5:$L$507,MATCH(1,('Lot Inputs'!$A$5:$A$507=$B$3)*('Lot Inputs'!$B$5:$B$507=B14),0)),""))</f>
        <v>Active</v>
      </c>
      <c r="S14" s="205" t="str" cm="1">
        <f t="array" ref="S14">IF(B14="","",IFERROR(INDEX('Lot Inputs'!$M$5:$M$507,MATCH(1,('Lot Inputs'!$A$5:$A$507=$B$3)*('Lot Inputs'!$B$5:$B$507=B14),0)),""))</f>
        <v/>
      </c>
      <c r="T14" s="459" t="str">
        <f ca="1">IF(S14="","",S14-TODAY())</f>
        <v/>
      </c>
    </row>
    <row r="15" spans="1:20" ht="14" customHeight="1" x14ac:dyDescent="0.35">
      <c r="A15" s="142">
        <v>9</v>
      </c>
      <c r="B15" s="143" t="str" cm="1">
        <f t="array" ref="B15">IFERROR(INDEX('Lot Inputs'!$B$5:$B$507,MATCH(_xlfn.AGGREGATE(15,6,('Lot Inputs'!$J$5:$J$507)/(('Lot Inputs'!$A$5:$A$507=$B$3)*('Lot Inputs'!$H$5:$H$507&gt;0)),ROW()-6),IF('Lot Inputs'!$A$5:$A$507=$B$3,'Lot Inputs'!$J$5:$J$507),0)),"")</f>
        <v>Simtra PPQ 1</v>
      </c>
      <c r="C15" s="144" t="str">
        <f t="shared" si="2"/>
        <v>188mg LP</v>
      </c>
      <c r="D15" s="145" cm="1">
        <f t="array" ref="D15">IF(B15="","",INDEX('Lot Inputs'!$E$5:$E$507,MATCH(1,('Lot Inputs'!$A$5:$A$507=$B$3)*('Lot Inputs'!$B$5:$B$507=B15),0)))</f>
        <v>48366</v>
      </c>
      <c r="E15" s="146" cm="1">
        <f t="array" ref="E15">IF(B15="","",INDEX('Lot Inputs'!$H$5:$H$507,MATCH(1,('Lot Inputs'!$A$5:$A$507=$B$3)*('Lot Inputs'!$B$5:$B$507=B15),0)))</f>
        <v>33500</v>
      </c>
      <c r="F15" s="108">
        <f>IF(E15="","",IF(R15="On Hold",0,E15)+IF(F14="",0,F14))</f>
        <v>124655</v>
      </c>
      <c r="G15" s="108">
        <f>IF(D15="","",SUMIFS($O$7:$O$500,$N$7:$N$500,"&gt;="&amp;IF(R15="On Hold",S15,Controls!$B$5),$N$7:$N$500,"&lt;="&amp;EDATE(D15,-$B$4)))</f>
        <v>677907.82724553801</v>
      </c>
      <c r="H15" s="108">
        <f t="shared" si="3"/>
        <v>33500</v>
      </c>
      <c r="I15" s="147">
        <f t="shared" si="1"/>
        <v>0</v>
      </c>
      <c r="J15" s="148">
        <f>IF(D15="","",(YEAR(EDATE(D15,-$B$4))-YEAR(Controls!$B$5))*12+MONTH(EDATE(D15,-$B$4))-MONTH(Controls!$B$5))</f>
        <v>68</v>
      </c>
      <c r="K15" s="149">
        <f t="array" ref="K15">IF(F15="","",IFERROR(INDEX($N$7:$N$500,MATCH(TRUE(),$P$7:$P$500&gt;=F15,0)),"After Horizon"))</f>
        <v>46997</v>
      </c>
      <c r="L15" t="str">
        <f t="shared" si="4"/>
        <v>OK</v>
      </c>
      <c r="M15" s="17" t="str">
        <f t="shared" si="5"/>
        <v>Standard FEFO</v>
      </c>
      <c r="N15" s="145">
        <v>46296</v>
      </c>
      <c r="O15" s="108">
        <f>SUMIFS('Planning Engine'!$F:$F,'Planning Engine'!$B:$B,$B$3,'Planning Engine'!$A:$A,N15)</f>
        <v>2287.397516316053</v>
      </c>
      <c r="P15" s="108">
        <f t="shared" si="6"/>
        <v>18072.500072516217</v>
      </c>
      <c r="Q15" s="146">
        <f>IF(N15&lt;=EDATE(Controls!$B$5,$B$4-1),O15,0)</f>
        <v>0</v>
      </c>
      <c r="R15" t="str" cm="1">
        <f t="array" ref="R15">IF(B15="","",IFERROR(INDEX('Lot Inputs'!$L$5:$L$507,MATCH(1,('Lot Inputs'!$A$5:$A$507=$B$3)*('Lot Inputs'!$B$5:$B$507=B15),0)),""))</f>
        <v>Active</v>
      </c>
      <c r="S15" s="205" t="str" cm="1">
        <f t="array" ref="S15">IF(B15="","",IFERROR(INDEX('Lot Inputs'!$M$5:$M$507,MATCH(1,('Lot Inputs'!$A$5:$A$507=$B$3)*('Lot Inputs'!$B$5:$B$507=B15),0)),""))</f>
        <v/>
      </c>
      <c r="T15" s="459" t="str">
        <f ca="1">IF(S15="","",S15-TODAY())</f>
        <v/>
      </c>
    </row>
    <row r="16" spans="1:20" ht="14" customHeight="1" x14ac:dyDescent="0.35">
      <c r="A16" s="142">
        <v>10</v>
      </c>
      <c r="B16" s="143" t="str" cm="1">
        <f t="array" ref="B16">IFERROR(INDEX('Lot Inputs'!$B$5:$B$507,MATCH(_xlfn.AGGREGATE(15,6,('Lot Inputs'!$J$5:$J$507)/(('Lot Inputs'!$A$5:$A$507=$B$3)*('Lot Inputs'!$H$5:$H$507&gt;0)),ROW()-6),IF('Lot Inputs'!$A$5:$A$507=$B$3,'Lot Inputs'!$J$5:$J$507),0)),"")</f>
        <v>Simtra PPQ 2</v>
      </c>
      <c r="C16" s="144" t="str">
        <f t="shared" si="2"/>
        <v>188mg LP</v>
      </c>
      <c r="D16" s="145" cm="1">
        <f t="array" ref="D16">IF(B16="","",INDEX('Lot Inputs'!$E$5:$E$507,MATCH(1,('Lot Inputs'!$A$5:$A$507=$B$3)*('Lot Inputs'!$B$5:$B$507=B16),0)))</f>
        <v>48366</v>
      </c>
      <c r="E16" s="146" cm="1">
        <f t="array" ref="E16">IF(B16="","",INDEX('Lot Inputs'!$H$5:$H$507,MATCH(1,('Lot Inputs'!$A$5:$A$507=$B$3)*('Lot Inputs'!$B$5:$B$507=B16),0)))</f>
        <v>38000</v>
      </c>
      <c r="F16" s="108">
        <f>IF(E16="","",IF(R16="On Hold",0,E16)+IF(F15="",0,F15))</f>
        <v>162655</v>
      </c>
      <c r="G16" s="108">
        <f>IF(D16="","",SUMIFS($O$7:$O$500,$N$7:$N$500,"&gt;="&amp;IF(R16="On Hold",S16,Controls!$B$5),$N$7:$N$500,"&lt;="&amp;EDATE(D16,-$B$4)))</f>
        <v>677907.82724553801</v>
      </c>
      <c r="H16" s="108">
        <f t="shared" si="3"/>
        <v>38000</v>
      </c>
      <c r="I16" s="147">
        <f t="shared" si="1"/>
        <v>0</v>
      </c>
      <c r="J16" s="148">
        <f>IF(D16="","",(YEAR(EDATE(D16,-$B$4))-YEAR(Controls!$B$5))*12+MONTH(EDATE(D16,-$B$4))-MONTH(Controls!$B$5))</f>
        <v>68</v>
      </c>
      <c r="K16" s="149">
        <f t="array" ref="K16">IF(F16="","",IFERROR(INDEX($N$7:$N$500,MATCH(TRUE(),$P$7:$P$500&gt;=F16,0)),"After Horizon"))</f>
        <v>47119</v>
      </c>
      <c r="L16" t="str">
        <f t="shared" si="4"/>
        <v>OK</v>
      </c>
      <c r="M16" s="17" t="str">
        <f t="shared" si="5"/>
        <v>Standard FEFO</v>
      </c>
      <c r="N16" s="145">
        <v>46327</v>
      </c>
      <c r="O16" s="108">
        <f>SUMIFS('Planning Engine'!$F:$F,'Planning Engine'!$B:$B,$B$3,'Planning Engine'!$A:$A,N16)</f>
        <v>2411.2846308610096</v>
      </c>
      <c r="P16" s="108">
        <f t="shared" si="6"/>
        <v>20483.784703377227</v>
      </c>
      <c r="Q16" s="146">
        <f>IF(N16&lt;=EDATE(Controls!$B$5,$B$4-1),O16,0)</f>
        <v>0</v>
      </c>
      <c r="R16" cm="1">
        <f t="array" ref="R16">IF(B16="","",IFERROR(INDEX('Lot Inputs'!$L$5:$L$507,MATCH(1,('Lot Inputs'!$A$5:$A$507=$B$3)*('Lot Inputs'!$B$5:$B$507=B16),0)),""))</f>
        <v>0</v>
      </c>
      <c r="S16" s="205" t="str" cm="1">
        <f t="array" ref="S16">IF(B16="","",IFERROR(INDEX('Lot Inputs'!$M$5:$M$507,MATCH(1,('Lot Inputs'!$A$5:$A$507=$B$3)*('Lot Inputs'!$B$5:$B$507=B16),0)),""))</f>
        <v/>
      </c>
      <c r="T16" s="459" t="str">
        <f ca="1">IF(S16="","",S16-TODAY())</f>
        <v/>
      </c>
    </row>
    <row r="17" spans="1:20" ht="14" customHeight="1" x14ac:dyDescent="0.35">
      <c r="A17" s="142">
        <v>11</v>
      </c>
      <c r="B17" s="143" t="str" cm="1">
        <f t="array" ref="B17">IFERROR(INDEX('Lot Inputs'!$B$5:$B$507,MATCH(_xlfn.AGGREGATE(15,6,('Lot Inputs'!$J$5:$J$507)/(('Lot Inputs'!$A$5:$A$507=$B$3)*('Lot Inputs'!$H$5:$H$507&gt;0)),ROW()-6),IF('Lot Inputs'!$A$5:$A$507=$B$3,'Lot Inputs'!$J$5:$J$507),0)),"")</f>
        <v>Simtra PPQ 3</v>
      </c>
      <c r="C17" s="144" t="str">
        <f t="shared" si="2"/>
        <v>188mg LP</v>
      </c>
      <c r="D17" s="145" cm="1">
        <f t="array" ref="D17">IF(B17="","",INDEX('Lot Inputs'!$E$5:$E$507,MATCH(1,('Lot Inputs'!$A$5:$A$507=$B$3)*('Lot Inputs'!$B$5:$B$507=B17),0)))</f>
        <v>48366</v>
      </c>
      <c r="E17" s="146" cm="1">
        <f t="array" ref="E17">IF(B17="","",INDEX('Lot Inputs'!$H$5:$H$507,MATCH(1,('Lot Inputs'!$A$5:$A$507=$B$3)*('Lot Inputs'!$B$5:$B$507=B17),0)))</f>
        <v>38000</v>
      </c>
      <c r="F17" s="108">
        <f>IF(E17="","",IF(R17="On Hold",0,E17)+IF(F16="",0,F16))</f>
        <v>200655</v>
      </c>
      <c r="G17" s="108">
        <f>IF(D17="","",SUMIFS($O$7:$O$500,$N$7:$N$500,"&gt;="&amp;IF(R17="On Hold",S17,Controls!$B$5),$N$7:$N$500,"&lt;="&amp;EDATE(D17,-$B$4)))</f>
        <v>677907.82724553801</v>
      </c>
      <c r="H17" s="108">
        <f t="shared" si="3"/>
        <v>38000</v>
      </c>
      <c r="I17" s="147">
        <f t="shared" si="1"/>
        <v>0</v>
      </c>
      <c r="J17" s="148">
        <f>IF(D17="","",(YEAR(EDATE(D17,-$B$4))-YEAR(Controls!$B$5))*12+MONTH(EDATE(D17,-$B$4))-MONTH(Controls!$B$5))</f>
        <v>68</v>
      </c>
      <c r="K17" s="149">
        <f t="array" ref="K17">IF(F17="","",IFERROR(INDEX($N$7:$N$500,MATCH(TRUE(),$P$7:$P$500&gt;=F17,0)),"After Horizon"))</f>
        <v>47209</v>
      </c>
      <c r="L17" t="str">
        <f t="shared" si="4"/>
        <v>OK</v>
      </c>
      <c r="M17" s="17" t="str">
        <f t="shared" si="5"/>
        <v>Standard FEFO</v>
      </c>
      <c r="N17" s="145">
        <v>46357</v>
      </c>
      <c r="O17" s="108">
        <f>SUMIFS('Planning Engine'!$F:$F,'Planning Engine'!$B:$B,$B$3,'Planning Engine'!$A:$A,N17)</f>
        <v>2102.2871252017048</v>
      </c>
      <c r="P17" s="108">
        <f t="shared" si="6"/>
        <v>22586.071828578933</v>
      </c>
      <c r="Q17" s="146">
        <f>IF(N17&lt;=EDATE(Controls!$B$5,$B$4-1),O17,0)</f>
        <v>0</v>
      </c>
      <c r="R17" cm="1">
        <f t="array" ref="R17">IF(B17="","",IFERROR(INDEX('Lot Inputs'!$L$5:$L$507,MATCH(1,('Lot Inputs'!$A$5:$A$507=$B$3)*('Lot Inputs'!$B$5:$B$507=B17),0)),""))</f>
        <v>0</v>
      </c>
      <c r="S17" s="205" t="str" cm="1">
        <f t="array" ref="S17">IF(B17="","",IFERROR(INDEX('Lot Inputs'!$M$5:$M$507,MATCH(1,('Lot Inputs'!$A$5:$A$507=$B$3)*('Lot Inputs'!$B$5:$B$507=B17),0)),""))</f>
        <v/>
      </c>
      <c r="T17" s="459" t="str">
        <f ca="1">IF(S17="","",S17-TODAY())</f>
        <v/>
      </c>
    </row>
    <row r="18" spans="1:20" ht="14" customHeight="1" x14ac:dyDescent="0.35">
      <c r="A18" s="142">
        <v>12</v>
      </c>
      <c r="B18" s="143" t="str" cm="1">
        <f t="array" ref="B18">IFERROR(INDEX('Lot Inputs'!$B$5:$B$507,MATCH(_xlfn.AGGREGATE(15,6,('Lot Inputs'!$J$5:$J$507)/(('Lot Inputs'!$A$5:$A$507=$B$3)*('Lot Inputs'!$H$5:$H$507&gt;0)),ROW()-6),IF('Lot Inputs'!$A$5:$A$507=$B$3,'Lot Inputs'!$J$5:$J$507),0)),"")</f>
        <v/>
      </c>
      <c r="C18" s="144" t="str">
        <f t="shared" si="2"/>
        <v/>
      </c>
      <c r="D18" s="145" t="str" cm="1">
        <f t="array" ref="D18">IF(B18="","",INDEX('Lot Inputs'!$E$5:$E$507,MATCH(1,('Lot Inputs'!$A$5:$A$507=$B$3)*('Lot Inputs'!$B$5:$B$507=B18),0)))</f>
        <v/>
      </c>
      <c r="E18" s="146" t="str" cm="1">
        <f t="array" ref="E18">IF(B18="","",INDEX('Lot Inputs'!$H$5:$H$507,MATCH(1,('Lot Inputs'!$A$5:$A$507=$B$3)*('Lot Inputs'!$B$5:$B$507=B18),0)))</f>
        <v/>
      </c>
      <c r="F18" s="108" t="str">
        <f>IF(E18="","",IF(R18="On Hold",0,E18)+IF(F17="",0,F17))</f>
        <v/>
      </c>
      <c r="G18" s="108" t="str">
        <f>IF(D18="","",SUMIFS($O$7:$O$500,$N$7:$N$500,"&gt;="&amp;IF(R18="On Hold",S18,Controls!$B$5),$N$7:$N$500,"&lt;="&amp;EDATE(D18,-$B$4)))</f>
        <v/>
      </c>
      <c r="H18" s="108" t="str">
        <f t="shared" si="3"/>
        <v/>
      </c>
      <c r="I18" s="147" t="str">
        <f t="shared" si="1"/>
        <v/>
      </c>
      <c r="J18" s="148" t="str">
        <f>IF(D18="","",(YEAR(EDATE(D18,-$B$4))-YEAR(Controls!$B$5))*12+MONTH(EDATE(D18,-$B$4))-MONTH(Controls!$B$5))</f>
        <v/>
      </c>
      <c r="K18" s="149" t="str">
        <f t="array" ref="K18">IF(F18="","",IFERROR(INDEX($N$7:$N$500,MATCH(TRUE(),$P$7:$P$500&gt;=F18,0)),"After Horizon"))</f>
        <v/>
      </c>
      <c r="L18" t="str">
        <f t="shared" si="4"/>
        <v/>
      </c>
      <c r="M18" s="17" t="str">
        <f t="shared" si="5"/>
        <v/>
      </c>
      <c r="N18" s="145">
        <v>46388</v>
      </c>
      <c r="O18" s="108">
        <f>SUMIFS('Planning Engine'!$F:$F,'Planning Engine'!$B:$B,$B$3,'Planning Engine'!$A:$A,N18)</f>
        <v>2931.4602227597193</v>
      </c>
      <c r="P18" s="108">
        <f t="shared" si="6"/>
        <v>25517.532051338654</v>
      </c>
      <c r="Q18" s="146">
        <f>IF(N18&lt;=EDATE(Controls!$B$5,$B$4-1),O18,0)</f>
        <v>0</v>
      </c>
      <c r="R18" t="str" cm="1">
        <f t="array" ref="R18">IF(B18="","",IFERROR(INDEX('Lot Inputs'!$L$5:$L$507,MATCH(1,('Lot Inputs'!$A$5:$A$507=$B$3)*('Lot Inputs'!$B$5:$B$507=B18),0)),""))</f>
        <v/>
      </c>
      <c r="S18" s="205" t="str" cm="1">
        <f t="array" ref="S18">IF(B18="","",IFERROR(INDEX('Lot Inputs'!$M$5:$M$507,MATCH(1,('Lot Inputs'!$A$5:$A$507=$B$3)*('Lot Inputs'!$B$5:$B$507=B18),0)),""))</f>
        <v/>
      </c>
      <c r="T18" s="459" t="str">
        <f ca="1">IF(S18="","",S18-TODAY())</f>
        <v/>
      </c>
    </row>
    <row r="19" spans="1:20" ht="14" customHeight="1" x14ac:dyDescent="0.35">
      <c r="A19" s="142">
        <v>13</v>
      </c>
      <c r="B19" s="143" t="str" cm="1">
        <f t="array" ref="B19">IFERROR(INDEX('Lot Inputs'!$B$5:$B$507,MATCH(_xlfn.AGGREGATE(15,6,('Lot Inputs'!$J$5:$J$507)/(('Lot Inputs'!$A$5:$A$507=$B$3)*('Lot Inputs'!$H$5:$H$507&gt;0)),ROW()-6),IF('Lot Inputs'!$A$5:$A$507=$B$3,'Lot Inputs'!$J$5:$J$507),0)),"")</f>
        <v/>
      </c>
      <c r="C19" s="144" t="str">
        <f t="shared" si="2"/>
        <v/>
      </c>
      <c r="D19" s="145" t="str" cm="1">
        <f t="array" ref="D19">IF(B19="","",INDEX('Lot Inputs'!$E$5:$E$507,MATCH(1,('Lot Inputs'!$A$5:$A$507=$B$3)*('Lot Inputs'!$B$5:$B$507=B19),0)))</f>
        <v/>
      </c>
      <c r="E19" s="146" t="str" cm="1">
        <f t="array" ref="E19">IF(B19="","",INDEX('Lot Inputs'!$H$5:$H$507,MATCH(1,('Lot Inputs'!$A$5:$A$507=$B$3)*('Lot Inputs'!$B$5:$B$507=B19),0)))</f>
        <v/>
      </c>
      <c r="F19" s="108" t="str">
        <f>IF(E19="","",IF(R19="On Hold",0,E19)+IF(F18="",0,F18))</f>
        <v/>
      </c>
      <c r="G19" s="108" t="str">
        <f>IF(D19="","",SUMIFS($O$7:$O$500,$N$7:$N$500,"&gt;="&amp;IF(R19="On Hold",S19,Controls!$B$5),$N$7:$N$500,"&lt;="&amp;EDATE(D19,-$B$4)))</f>
        <v/>
      </c>
      <c r="H19" s="108" t="str">
        <f t="shared" si="3"/>
        <v/>
      </c>
      <c r="I19" s="147" t="str">
        <f t="shared" si="1"/>
        <v/>
      </c>
      <c r="J19" s="148" t="str">
        <f>IF(D19="","",(YEAR(EDATE(D19,-$B$4))-YEAR(Controls!$B$5))*12+MONTH(EDATE(D19,-$B$4))-MONTH(Controls!$B$5))</f>
        <v/>
      </c>
      <c r="K19" s="149" t="str">
        <f t="array" ref="K19">IF(F19="","",IFERROR(INDEX($N$7:$N$500,MATCH(TRUE(),$P$7:$P$500&gt;=F19,0)),"After Horizon"))</f>
        <v/>
      </c>
      <c r="L19" t="str">
        <f t="shared" si="4"/>
        <v/>
      </c>
      <c r="M19" s="17" t="str">
        <f t="shared" si="5"/>
        <v/>
      </c>
      <c r="N19" s="145">
        <v>46419</v>
      </c>
      <c r="O19" s="108">
        <f>SUMIFS('Planning Engine'!$F:$F,'Planning Engine'!$B:$B,$B$3,'Planning Engine'!$A:$A,N19)</f>
        <v>2238.5979430491811</v>
      </c>
      <c r="P19" s="108">
        <f t="shared" si="6"/>
        <v>27756.129994387837</v>
      </c>
      <c r="Q19" s="146">
        <f>IF(N19&lt;=EDATE(Controls!$B$5,$B$4-1),O19,0)</f>
        <v>0</v>
      </c>
      <c r="R19" t="str" cm="1">
        <f t="array" ref="R19">IF(B19="","",IFERROR(INDEX('Lot Inputs'!$L$5:$L$507,MATCH(1,('Lot Inputs'!$A$5:$A$507=$B$3)*('Lot Inputs'!$B$5:$B$507=B19),0)),""))</f>
        <v/>
      </c>
      <c r="S19" s="205" t="str" cm="1">
        <f t="array" ref="S19">IF(B19="","",IFERROR(INDEX('Lot Inputs'!$M$5:$M$507,MATCH(1,('Lot Inputs'!$A$5:$A$507=$B$3)*('Lot Inputs'!$B$5:$B$507=B19),0)),""))</f>
        <v/>
      </c>
      <c r="T19" s="459" t="str">
        <f ca="1">IF(S19="","",S19-TODAY())</f>
        <v/>
      </c>
    </row>
    <row r="20" spans="1:20" ht="14" customHeight="1" x14ac:dyDescent="0.35">
      <c r="A20" s="142">
        <v>14</v>
      </c>
      <c r="B20" s="143" t="str" cm="1">
        <f t="array" ref="B20">IFERROR(INDEX('Lot Inputs'!$B$5:$B$507,MATCH(_xlfn.AGGREGATE(15,6,('Lot Inputs'!$J$5:$J$507)/(('Lot Inputs'!$A$5:$A$507=$B$3)*('Lot Inputs'!$H$5:$H$507&gt;0)),ROW()-6),IF('Lot Inputs'!$A$5:$A$507=$B$3,'Lot Inputs'!$J$5:$J$507),0)),"")</f>
        <v/>
      </c>
      <c r="C20" s="144" t="str">
        <f t="shared" si="2"/>
        <v/>
      </c>
      <c r="D20" s="145" t="str" cm="1">
        <f t="array" ref="D20">IF(B20="","",INDEX('Lot Inputs'!$E$5:$E$507,MATCH(1,('Lot Inputs'!$A$5:$A$507=$B$3)*('Lot Inputs'!$B$5:$B$507=B20),0)))</f>
        <v/>
      </c>
      <c r="E20" s="146" t="str" cm="1">
        <f t="array" ref="E20">IF(B20="","",INDEX('Lot Inputs'!$H$5:$H$507,MATCH(1,('Lot Inputs'!$A$5:$A$507=$B$3)*('Lot Inputs'!$B$5:$B$507=B20),0)))</f>
        <v/>
      </c>
      <c r="F20" s="108" t="str">
        <f>IF(E20="","",IF(R20="On Hold",0,E20)+IF(F19="",0,F19))</f>
        <v/>
      </c>
      <c r="G20" s="108" t="str">
        <f>IF(D20="","",SUMIFS($O$7:$O$500,$N$7:$N$500,"&gt;="&amp;IF(R20="On Hold",S20,Controls!$B$5),$N$7:$N$500,"&lt;="&amp;EDATE(D20,-$B$4)))</f>
        <v/>
      </c>
      <c r="H20" s="108" t="str">
        <f t="shared" si="3"/>
        <v/>
      </c>
      <c r="I20" s="147" t="str">
        <f t="shared" si="1"/>
        <v/>
      </c>
      <c r="J20" s="148" t="str">
        <f>IF(D20="","",(YEAR(EDATE(D20,-$B$4))-YEAR(Controls!$B$5))*12+MONTH(EDATE(D20,-$B$4))-MONTH(Controls!$B$5))</f>
        <v/>
      </c>
      <c r="K20" s="149" t="str">
        <f t="array" ref="K20">IF(F20="","",IFERROR(INDEX($N$7:$N$500,MATCH(TRUE(),$P$7:$P$500&gt;=F20,0)),"After Horizon"))</f>
        <v/>
      </c>
      <c r="L20" t="str">
        <f t="shared" si="4"/>
        <v/>
      </c>
      <c r="M20" s="17" t="str">
        <f t="shared" si="5"/>
        <v/>
      </c>
      <c r="N20" s="145">
        <v>46447</v>
      </c>
      <c r="O20" s="108">
        <f>SUMIFS('Planning Engine'!$F:$F,'Planning Engine'!$B:$B,$B$3,'Planning Engine'!$A:$A,N20)</f>
        <v>2525.5929800666936</v>
      </c>
      <c r="P20" s="108">
        <f t="shared" si="6"/>
        <v>30281.722974454529</v>
      </c>
      <c r="Q20" s="146">
        <f>IF(N20&lt;=EDATE(Controls!$B$5,$B$4-1),O20,0)</f>
        <v>0</v>
      </c>
      <c r="R20" t="str" cm="1">
        <f t="array" ref="R20">IF(B20="","",IFERROR(INDEX('Lot Inputs'!$L$5:$L$507,MATCH(1,('Lot Inputs'!$A$5:$A$507=$B$3)*('Lot Inputs'!$B$5:$B$507=B20),0)),""))</f>
        <v/>
      </c>
      <c r="S20" s="205" t="str" cm="1">
        <f t="array" ref="S20">IF(B20="","",IFERROR(INDEX('Lot Inputs'!$M$5:$M$507,MATCH(1,('Lot Inputs'!$A$5:$A$507=$B$3)*('Lot Inputs'!$B$5:$B$507=B20),0)),""))</f>
        <v/>
      </c>
      <c r="T20" s="459" t="str">
        <f ca="1">IF(S20="","",S20-TODAY())</f>
        <v/>
      </c>
    </row>
    <row r="21" spans="1:20" ht="14" customHeight="1" x14ac:dyDescent="0.35">
      <c r="A21" s="142">
        <v>15</v>
      </c>
      <c r="B21" s="143" t="str" cm="1">
        <f t="array" ref="B21">IFERROR(INDEX('Lot Inputs'!$B$5:$B$507,MATCH(_xlfn.AGGREGATE(15,6,('Lot Inputs'!$J$5:$J$507)/(('Lot Inputs'!$A$5:$A$507=$B$3)*('Lot Inputs'!$H$5:$H$507&gt;0)),ROW()-6),IF('Lot Inputs'!$A$5:$A$507=$B$3,'Lot Inputs'!$J$5:$J$507),0)),"")</f>
        <v/>
      </c>
      <c r="C21" s="144" t="str">
        <f t="shared" si="2"/>
        <v/>
      </c>
      <c r="D21" s="145" t="str" cm="1">
        <f t="array" ref="D21">IF(B21="","",INDEX('Lot Inputs'!$E$5:$E$507,MATCH(1,('Lot Inputs'!$A$5:$A$507=$B$3)*('Lot Inputs'!$B$5:$B$507=B21),0)))</f>
        <v/>
      </c>
      <c r="E21" s="146" t="str" cm="1">
        <f t="array" ref="E21">IF(B21="","",INDEX('Lot Inputs'!$H$5:$H$507,MATCH(1,('Lot Inputs'!$A$5:$A$507=$B$3)*('Lot Inputs'!$B$5:$B$507=B21),0)))</f>
        <v/>
      </c>
      <c r="F21" s="108" t="str">
        <f>IF(E21="","",IF(R21="On Hold",0,E21)+IF(F20="",0,F20))</f>
        <v/>
      </c>
      <c r="G21" s="108" t="str">
        <f>IF(D21="","",SUMIFS($O$7:$O$500,$N$7:$N$500,"&gt;="&amp;IF(R21="On Hold",S21,Controls!$B$5),$N$7:$N$500,"&lt;="&amp;EDATE(D21,-$B$4)))</f>
        <v/>
      </c>
      <c r="H21" s="108" t="str">
        <f t="shared" si="3"/>
        <v/>
      </c>
      <c r="I21" s="147" t="str">
        <f t="shared" si="1"/>
        <v/>
      </c>
      <c r="J21" s="148" t="str">
        <f>IF(D21="","",(YEAR(EDATE(D21,-$B$4))-YEAR(Controls!$B$5))*12+MONTH(EDATE(D21,-$B$4))-MONTH(Controls!$B$5))</f>
        <v/>
      </c>
      <c r="K21" s="149" t="str">
        <f t="array" ref="K21">IF(F21="","",IFERROR(INDEX($N$7:$N$500,MATCH(TRUE(),$P$7:$P$500&gt;=F21,0)),"After Horizon"))</f>
        <v/>
      </c>
      <c r="L21" t="str">
        <f t="shared" si="4"/>
        <v/>
      </c>
      <c r="M21" s="17" t="str">
        <f t="shared" si="5"/>
        <v/>
      </c>
      <c r="N21" s="145">
        <v>46478</v>
      </c>
      <c r="O21" s="108">
        <f>SUMIFS('Planning Engine'!$F:$F,'Planning Engine'!$B:$B,$B$3,'Planning Engine'!$A:$A,N21)</f>
        <v>3618.7106049950644</v>
      </c>
      <c r="P21" s="108">
        <f t="shared" si="6"/>
        <v>33900.433579449593</v>
      </c>
      <c r="Q21" s="146">
        <f>IF(N21&lt;=EDATE(Controls!$B$5,$B$4-1),O21,0)</f>
        <v>0</v>
      </c>
      <c r="R21" t="str" cm="1">
        <f t="array" ref="R21">IF(B21="","",IFERROR(INDEX('Lot Inputs'!$L$5:$L$507,MATCH(1,('Lot Inputs'!$A$5:$A$507=$B$3)*('Lot Inputs'!$B$5:$B$507=B21),0)),""))</f>
        <v/>
      </c>
      <c r="S21" s="205" t="str" cm="1">
        <f t="array" ref="S21">IF(B21="","",IFERROR(INDEX('Lot Inputs'!$M$5:$M$507,MATCH(1,('Lot Inputs'!$A$5:$A$507=$B$3)*('Lot Inputs'!$B$5:$B$507=B21),0)),""))</f>
        <v/>
      </c>
      <c r="T21" s="459" t="str">
        <f ca="1">IF(S21="","",S21-TODAY())</f>
        <v/>
      </c>
    </row>
    <row r="22" spans="1:20" ht="14" customHeight="1" x14ac:dyDescent="0.35">
      <c r="A22" s="142">
        <v>16</v>
      </c>
      <c r="B22" s="143" t="str" cm="1">
        <f t="array" ref="B22">IFERROR(INDEX('Lot Inputs'!$B$5:$B$507,MATCH(_xlfn.AGGREGATE(15,6,('Lot Inputs'!$J$5:$J$507)/(('Lot Inputs'!$A$5:$A$507=$B$3)*('Lot Inputs'!$H$5:$H$507&gt;0)),ROW()-6),IF('Lot Inputs'!$A$5:$A$507=$B$3,'Lot Inputs'!$J$5:$J$507),0)),"")</f>
        <v/>
      </c>
      <c r="C22" s="144" t="str">
        <f t="shared" si="2"/>
        <v/>
      </c>
      <c r="D22" s="145" t="str" cm="1">
        <f t="array" ref="D22">IF(B22="","",INDEX('Lot Inputs'!$E$5:$E$507,MATCH(1,('Lot Inputs'!$A$5:$A$507=$B$3)*('Lot Inputs'!$B$5:$B$507=B22),0)))</f>
        <v/>
      </c>
      <c r="E22" s="146" t="str" cm="1">
        <f t="array" ref="E22">IF(B22="","",INDEX('Lot Inputs'!$H$5:$H$507,MATCH(1,('Lot Inputs'!$A$5:$A$507=$B$3)*('Lot Inputs'!$B$5:$B$507=B22),0)))</f>
        <v/>
      </c>
      <c r="F22" s="108" t="str">
        <f>IF(E22="","",IF(R22="On Hold",0,E22)+IF(F21="",0,F21))</f>
        <v/>
      </c>
      <c r="G22" s="108" t="str">
        <f>IF(D22="","",SUMIFS($O$7:$O$500,$N$7:$N$500,"&gt;="&amp;IF(R22="On Hold",S22,Controls!$B$5),$N$7:$N$500,"&lt;="&amp;EDATE(D22,-$B$4)))</f>
        <v/>
      </c>
      <c r="H22" s="108" t="str">
        <f t="shared" si="3"/>
        <v/>
      </c>
      <c r="I22" s="147" t="str">
        <f t="shared" si="1"/>
        <v/>
      </c>
      <c r="J22" s="148" t="str">
        <f>IF(D22="","",(YEAR(EDATE(D22,-$B$4))-YEAR(Controls!$B$5))*12+MONTH(EDATE(D22,-$B$4))-MONTH(Controls!$B$5))</f>
        <v/>
      </c>
      <c r="K22" s="149" t="str">
        <f t="array" ref="K22">IF(F22="","",IFERROR(INDEX($N$7:$N$500,MATCH(TRUE(),$P$7:$P$500&gt;=F22,0)),"After Horizon"))</f>
        <v/>
      </c>
      <c r="L22" t="str">
        <f t="shared" si="4"/>
        <v/>
      </c>
      <c r="M22" s="17" t="str">
        <f t="shared" si="5"/>
        <v/>
      </c>
      <c r="N22" s="145">
        <v>46508</v>
      </c>
      <c r="O22" s="108">
        <f>SUMIFS('Planning Engine'!$F:$F,'Planning Engine'!$B:$B,$B$3,'Planning Engine'!$A:$A,N22)</f>
        <v>3306.2074884801073</v>
      </c>
      <c r="P22" s="108">
        <f t="shared" si="6"/>
        <v>37206.641067929697</v>
      </c>
      <c r="Q22" s="146">
        <f>IF(N22&lt;=EDATE(Controls!$B$5,$B$4-1),O22,0)</f>
        <v>0</v>
      </c>
      <c r="R22" t="str" cm="1">
        <f t="array" ref="R22">IF(B22="","",IFERROR(INDEX('Lot Inputs'!$L$5:$L$507,MATCH(1,('Lot Inputs'!$A$5:$A$507=$B$3)*('Lot Inputs'!$B$5:$B$507=B22),0)),""))</f>
        <v/>
      </c>
      <c r="S22" s="205" t="str" cm="1">
        <f t="array" ref="S22">IF(B22="","",IFERROR(INDEX('Lot Inputs'!$M$5:$M$507,MATCH(1,('Lot Inputs'!$A$5:$A$507=$B$3)*('Lot Inputs'!$B$5:$B$507=B22),0)),""))</f>
        <v/>
      </c>
      <c r="T22" s="459" t="str">
        <f ca="1">IF(S22="","",S22-TODAY())</f>
        <v/>
      </c>
    </row>
    <row r="23" spans="1:20" ht="14" customHeight="1" x14ac:dyDescent="0.35">
      <c r="A23" s="142">
        <v>17</v>
      </c>
      <c r="B23" s="143" t="str" cm="1">
        <f t="array" ref="B23">IFERROR(INDEX('Lot Inputs'!$B$5:$B$507,MATCH(_xlfn.AGGREGATE(15,6,('Lot Inputs'!$J$5:$J$507)/(('Lot Inputs'!$A$5:$A$507=$B$3)*('Lot Inputs'!$H$5:$H$507&gt;0)),ROW()-6),IF('Lot Inputs'!$A$5:$A$507=$B$3,'Lot Inputs'!$J$5:$J$507),0)),"")</f>
        <v/>
      </c>
      <c r="C23" s="144" t="str">
        <f t="shared" si="2"/>
        <v/>
      </c>
      <c r="D23" s="145" t="str" cm="1">
        <f t="array" ref="D23">IF(B23="","",INDEX('Lot Inputs'!$E$5:$E$507,MATCH(1,('Lot Inputs'!$A$5:$A$507=$B$3)*('Lot Inputs'!$B$5:$B$507=B23),0)))</f>
        <v/>
      </c>
      <c r="E23" s="146" t="str" cm="1">
        <f t="array" ref="E23">IF(B23="","",INDEX('Lot Inputs'!$H$5:$H$507,MATCH(1,('Lot Inputs'!$A$5:$A$507=$B$3)*('Lot Inputs'!$B$5:$B$507=B23),0)))</f>
        <v/>
      </c>
      <c r="F23" s="108" t="str">
        <f>IF(E23="","",IF(R23="On Hold",0,E23)+IF(F22="",0,F22))</f>
        <v/>
      </c>
      <c r="G23" s="108" t="str">
        <f>IF(D23="","",SUMIFS($O$7:$O$500,$N$7:$N$500,"&gt;="&amp;IF(R23="On Hold",S23,Controls!$B$5),$N$7:$N$500,"&lt;="&amp;EDATE(D23,-$B$4)))</f>
        <v/>
      </c>
      <c r="H23" s="108" t="str">
        <f t="shared" si="3"/>
        <v/>
      </c>
      <c r="I23" s="147" t="str">
        <f t="shared" si="1"/>
        <v/>
      </c>
      <c r="J23" s="148" t="str">
        <f>IF(D23="","",(YEAR(EDATE(D23,-$B$4))-YEAR(Controls!$B$5))*12+MONTH(EDATE(D23,-$B$4))-MONTH(Controls!$B$5))</f>
        <v/>
      </c>
      <c r="K23" s="149" t="str">
        <f t="array" ref="K23">IF(F23="","",IFERROR(INDEX($N$7:$N$500,MATCH(TRUE(),$P$7:$P$500&gt;=F23,0)),"After Horizon"))</f>
        <v/>
      </c>
      <c r="L23" t="str">
        <f t="shared" si="4"/>
        <v/>
      </c>
      <c r="M23" s="17" t="str">
        <f t="shared" si="5"/>
        <v/>
      </c>
      <c r="N23" s="145">
        <v>46539</v>
      </c>
      <c r="O23" s="108">
        <f>SUMIFS('Planning Engine'!$F:$F,'Planning Engine'!$B:$B,$B$3,'Planning Engine'!$A:$A,N23)</f>
        <v>3046.5446589714029</v>
      </c>
      <c r="P23" s="108">
        <f t="shared" si="6"/>
        <v>40253.185726901102</v>
      </c>
      <c r="Q23" s="146">
        <f>IF(N23&lt;=EDATE(Controls!$B$5,$B$4-1),O23,0)</f>
        <v>0</v>
      </c>
      <c r="R23" t="str" cm="1">
        <f t="array" ref="R23">IF(B23="","",IFERROR(INDEX('Lot Inputs'!$L$5:$L$507,MATCH(1,('Lot Inputs'!$A$5:$A$507=$B$3)*('Lot Inputs'!$B$5:$B$507=B23),0)),""))</f>
        <v/>
      </c>
      <c r="S23" s="205" t="str" cm="1">
        <f t="array" ref="S23">IF(B23="","",IFERROR(INDEX('Lot Inputs'!$M$5:$M$507,MATCH(1,('Lot Inputs'!$A$5:$A$507=$B$3)*('Lot Inputs'!$B$5:$B$507=B23),0)),""))</f>
        <v/>
      </c>
      <c r="T23" s="459" t="str">
        <f ca="1">IF(S23="","",S23-TODAY())</f>
        <v/>
      </c>
    </row>
    <row r="24" spans="1:20" ht="14" customHeight="1" x14ac:dyDescent="0.35">
      <c r="A24" s="142">
        <v>18</v>
      </c>
      <c r="B24" s="143" t="str" cm="1">
        <f t="array" ref="B24">IFERROR(INDEX('Lot Inputs'!$B$5:$B$507,MATCH(_xlfn.AGGREGATE(15,6,('Lot Inputs'!$J$5:$J$507)/(('Lot Inputs'!$A$5:$A$507=$B$3)*('Lot Inputs'!$H$5:$H$507&gt;0)),ROW()-6),IF('Lot Inputs'!$A$5:$A$507=$B$3,'Lot Inputs'!$J$5:$J$507),0)),"")</f>
        <v/>
      </c>
      <c r="C24" s="144" t="str">
        <f t="shared" si="2"/>
        <v/>
      </c>
      <c r="D24" s="145" t="str" cm="1">
        <f t="array" ref="D24">IF(B24="","",INDEX('Lot Inputs'!$E$5:$E$507,MATCH(1,('Lot Inputs'!$A$5:$A$507=$B$3)*('Lot Inputs'!$B$5:$B$507=B24),0)))</f>
        <v/>
      </c>
      <c r="E24" s="146" t="str" cm="1">
        <f t="array" ref="E24">IF(B24="","",INDEX('Lot Inputs'!$H$5:$H$507,MATCH(1,('Lot Inputs'!$A$5:$A$507=$B$3)*('Lot Inputs'!$B$5:$B$507=B24),0)))</f>
        <v/>
      </c>
      <c r="F24" s="108" t="str">
        <f>IF(E24="","",IF(R24="On Hold",0,E24)+IF(F23="",0,F23))</f>
        <v/>
      </c>
      <c r="G24" s="108" t="str">
        <f>IF(D24="","",SUMIFS($O$7:$O$500,$N$7:$N$500,"&gt;="&amp;IF(R24="On Hold",S24,Controls!$B$5),$N$7:$N$500,"&lt;="&amp;EDATE(D24,-$B$4)))</f>
        <v/>
      </c>
      <c r="H24" s="108" t="str">
        <f t="shared" si="3"/>
        <v/>
      </c>
      <c r="I24" s="147" t="str">
        <f t="shared" si="1"/>
        <v/>
      </c>
      <c r="J24" s="148" t="str">
        <f>IF(D24="","",(YEAR(EDATE(D24,-$B$4))-YEAR(Controls!$B$5))*12+MONTH(EDATE(D24,-$B$4))-MONTH(Controls!$B$5))</f>
        <v/>
      </c>
      <c r="K24" s="149" t="str">
        <f t="array" ref="K24">IF(F24="","",IFERROR(INDEX($N$7:$N$500,MATCH(TRUE(),$P$7:$P$500&gt;=F24,0)),"After Horizon"))</f>
        <v/>
      </c>
      <c r="L24" t="str">
        <f t="shared" si="4"/>
        <v/>
      </c>
      <c r="M24" s="17" t="str">
        <f t="shared" si="5"/>
        <v/>
      </c>
      <c r="N24" s="145">
        <v>46569</v>
      </c>
      <c r="O24" s="108">
        <f>SUMIFS('Planning Engine'!$F:$F,'Planning Engine'!$B:$B,$B$3,'Planning Engine'!$A:$A,N24)</f>
        <v>3690.4092931084087</v>
      </c>
      <c r="P24" s="108">
        <f t="shared" si="6"/>
        <v>43943.59502000951</v>
      </c>
      <c r="Q24" s="146">
        <f>IF(N24&lt;=EDATE(Controls!$B$5,$B$4-1),O24,0)</f>
        <v>0</v>
      </c>
      <c r="R24" t="str" cm="1">
        <f t="array" ref="R24">IF(B24="","",IFERROR(INDEX('Lot Inputs'!$L$5:$L$507,MATCH(1,('Lot Inputs'!$A$5:$A$507=$B$3)*('Lot Inputs'!$B$5:$B$507=B24),0)),""))</f>
        <v/>
      </c>
      <c r="S24" s="205" t="str" cm="1">
        <f t="array" ref="S24">IF(B24="","",IFERROR(INDEX('Lot Inputs'!$M$5:$M$507,MATCH(1,('Lot Inputs'!$A$5:$A$507=$B$3)*('Lot Inputs'!$B$5:$B$507=B24),0)),""))</f>
        <v/>
      </c>
      <c r="T24" s="459" t="str">
        <f ca="1">IF(S24="","",S24-TODAY())</f>
        <v/>
      </c>
    </row>
    <row r="25" spans="1:20" ht="14" customHeight="1" x14ac:dyDescent="0.35">
      <c r="A25" s="142">
        <v>19</v>
      </c>
      <c r="B25" s="143" t="str" cm="1">
        <f t="array" ref="B25">IFERROR(INDEX('Lot Inputs'!$B$5:$B$507,MATCH(_xlfn.AGGREGATE(15,6,('Lot Inputs'!$J$5:$J$507)/(('Lot Inputs'!$A$5:$A$507=$B$3)*('Lot Inputs'!$H$5:$H$507&gt;0)),ROW()-6),IF('Lot Inputs'!$A$5:$A$507=$B$3,'Lot Inputs'!$J$5:$J$507),0)),"")</f>
        <v/>
      </c>
      <c r="C25" s="144" t="str">
        <f t="shared" si="2"/>
        <v/>
      </c>
      <c r="D25" s="145" t="str" cm="1">
        <f t="array" ref="D25">IF(B25="","",INDEX('Lot Inputs'!$E$5:$E$507,MATCH(1,('Lot Inputs'!$A$5:$A$507=$B$3)*('Lot Inputs'!$B$5:$B$507=B25),0)))</f>
        <v/>
      </c>
      <c r="E25" s="146" t="str" cm="1">
        <f t="array" ref="E25">IF(B25="","",INDEX('Lot Inputs'!$H$5:$H$507,MATCH(1,('Lot Inputs'!$A$5:$A$507=$B$3)*('Lot Inputs'!$B$5:$B$507=B25),0)))</f>
        <v/>
      </c>
      <c r="F25" s="108" t="str">
        <f>IF(E25="","",IF(R25="On Hold",0,E25)+IF(F24="",0,F24))</f>
        <v/>
      </c>
      <c r="G25" s="108" t="str">
        <f>IF(D25="","",SUMIFS($O$7:$O$500,$N$7:$N$500,"&gt;="&amp;IF(R25="On Hold",S25,Controls!$B$5),$N$7:$N$500,"&lt;="&amp;EDATE(D25,-$B$4)))</f>
        <v/>
      </c>
      <c r="H25" s="108" t="str">
        <f t="shared" si="3"/>
        <v/>
      </c>
      <c r="I25" s="147" t="str">
        <f t="shared" si="1"/>
        <v/>
      </c>
      <c r="J25" s="148" t="str">
        <f>IF(D25="","",(YEAR(EDATE(D25,-$B$4))-YEAR(Controls!$B$5))*12+MONTH(EDATE(D25,-$B$4))-MONTH(Controls!$B$5))</f>
        <v/>
      </c>
      <c r="K25" s="149" t="str">
        <f t="array" ref="K25">IF(F25="","",IFERROR(INDEX($N$7:$N$500,MATCH(TRUE(),$P$7:$P$500&gt;=F25,0)),"After Horizon"))</f>
        <v/>
      </c>
      <c r="L25" t="str">
        <f t="shared" si="4"/>
        <v/>
      </c>
      <c r="M25" s="17" t="str">
        <f t="shared" si="5"/>
        <v/>
      </c>
      <c r="N25" s="145">
        <v>46600</v>
      </c>
      <c r="O25" s="108">
        <f>SUMIFS('Planning Engine'!$F:$F,'Planning Engine'!$B:$B,$B$3,'Planning Engine'!$A:$A,N25)</f>
        <v>3856.5826810063154</v>
      </c>
      <c r="P25" s="108">
        <f t="shared" si="6"/>
        <v>47800.177701015826</v>
      </c>
      <c r="Q25" s="146">
        <f>IF(N25&lt;=EDATE(Controls!$B$5,$B$4-1),O25,0)</f>
        <v>0</v>
      </c>
      <c r="R25" t="str" cm="1">
        <f t="array" ref="R25">IF(B25="","",IFERROR(INDEX('Lot Inputs'!$L$5:$L$507,MATCH(1,('Lot Inputs'!$A$5:$A$507=$B$3)*('Lot Inputs'!$B$5:$B$507=B25),0)),""))</f>
        <v/>
      </c>
      <c r="S25" s="205" t="str" cm="1">
        <f t="array" ref="S25">IF(B25="","",IFERROR(INDEX('Lot Inputs'!$M$5:$M$507,MATCH(1,('Lot Inputs'!$A$5:$A$507=$B$3)*('Lot Inputs'!$B$5:$B$507=B25),0)),""))</f>
        <v/>
      </c>
      <c r="T25" s="459" t="str">
        <f ca="1">IF(S25="","",S25-TODAY())</f>
        <v/>
      </c>
    </row>
    <row r="26" spans="1:20" ht="14" customHeight="1" x14ac:dyDescent="0.35">
      <c r="A26" s="142">
        <v>20</v>
      </c>
      <c r="B26" s="143" t="str" cm="1">
        <f t="array" ref="B26">IFERROR(INDEX('Lot Inputs'!$B$5:$B$507,MATCH(_xlfn.AGGREGATE(15,6,('Lot Inputs'!$J$5:$J$507)/(('Lot Inputs'!$A$5:$A$507=$B$3)*('Lot Inputs'!$H$5:$H$507&gt;0)),ROW()-6),IF('Lot Inputs'!$A$5:$A$507=$B$3,'Lot Inputs'!$J$5:$J$507),0)),"")</f>
        <v/>
      </c>
      <c r="C26" s="144" t="str">
        <f t="shared" si="2"/>
        <v/>
      </c>
      <c r="D26" s="145" t="str" cm="1">
        <f t="array" ref="D26">IF(B26="","",INDEX('Lot Inputs'!$E$5:$E$507,MATCH(1,('Lot Inputs'!$A$5:$A$507=$B$3)*('Lot Inputs'!$B$5:$B$507=B26),0)))</f>
        <v/>
      </c>
      <c r="E26" s="146" t="str" cm="1">
        <f t="array" ref="E26">IF(B26="","",INDEX('Lot Inputs'!$H$5:$H$507,MATCH(1,('Lot Inputs'!$A$5:$A$507=$B$3)*('Lot Inputs'!$B$5:$B$507=B26),0)))</f>
        <v/>
      </c>
      <c r="F26" s="108" t="str">
        <f>IF(E26="","",IF(R26="On Hold",0,E26)+IF(F25="",0,F25))</f>
        <v/>
      </c>
      <c r="G26" s="108" t="str">
        <f>IF(D26="","",SUMIFS($O$7:$O$500,$N$7:$N$500,"&gt;="&amp;IF(R26="On Hold",S26,Controls!$B$5),$N$7:$N$500,"&lt;="&amp;EDATE(D26,-$B$4)))</f>
        <v/>
      </c>
      <c r="H26" s="108" t="str">
        <f t="shared" si="3"/>
        <v/>
      </c>
      <c r="I26" s="147" t="str">
        <f t="shared" si="1"/>
        <v/>
      </c>
      <c r="J26" s="148" t="str">
        <f>IF(D26="","",(YEAR(EDATE(D26,-$B$4))-YEAR(Controls!$B$5))*12+MONTH(EDATE(D26,-$B$4))-MONTH(Controls!$B$5))</f>
        <v/>
      </c>
      <c r="K26" s="149" t="str">
        <f t="array" ref="K26">IF(F26="","",IFERROR(INDEX($N$7:$N$500,MATCH(TRUE(),$P$7:$P$500&gt;=F26,0)),"After Horizon"))</f>
        <v/>
      </c>
      <c r="L26" t="str">
        <f t="shared" si="4"/>
        <v/>
      </c>
      <c r="M26" s="17" t="str">
        <f t="shared" si="5"/>
        <v/>
      </c>
      <c r="N26" s="145">
        <v>46631</v>
      </c>
      <c r="O26" s="108">
        <f>SUMIFS('Planning Engine'!$F:$F,'Planning Engine'!$B:$B,$B$3,'Planning Engine'!$A:$A,N26)</f>
        <v>4488.9609107204742</v>
      </c>
      <c r="P26" s="108">
        <f t="shared" si="6"/>
        <v>52289.1386117363</v>
      </c>
      <c r="Q26" s="146">
        <f>IF(N26&lt;=EDATE(Controls!$B$5,$B$4-1),O26,0)</f>
        <v>0</v>
      </c>
      <c r="R26" t="str" cm="1">
        <f t="array" ref="R26">IF(B26="","",IFERROR(INDEX('Lot Inputs'!$L$5:$L$507,MATCH(1,('Lot Inputs'!$A$5:$A$507=$B$3)*('Lot Inputs'!$B$5:$B$507=B26),0)),""))</f>
        <v/>
      </c>
      <c r="S26" s="205" t="str" cm="1">
        <f t="array" ref="S26">IF(B26="","",IFERROR(INDEX('Lot Inputs'!$M$5:$M$507,MATCH(1,('Lot Inputs'!$A$5:$A$507=$B$3)*('Lot Inputs'!$B$5:$B$507=B26),0)),""))</f>
        <v/>
      </c>
      <c r="T26" s="459" t="str">
        <f ca="1">IF(S26="","",S26-TODAY())</f>
        <v/>
      </c>
    </row>
    <row r="27" spans="1:20" ht="14" customHeight="1" x14ac:dyDescent="0.35">
      <c r="A27" s="142">
        <v>21</v>
      </c>
      <c r="B27" s="143" t="str" cm="1">
        <f t="array" ref="B27">IFERROR(INDEX('Lot Inputs'!$B$5:$B$507,MATCH(_xlfn.AGGREGATE(15,6,('Lot Inputs'!$J$5:$J$507)/(('Lot Inputs'!$A$5:$A$507=$B$3)*('Lot Inputs'!$H$5:$H$507&gt;0)),ROW()-6),IF('Lot Inputs'!$A$5:$A$507=$B$3,'Lot Inputs'!$J$5:$J$507),0)),"")</f>
        <v/>
      </c>
      <c r="C27" s="144" t="str">
        <f t="shared" si="2"/>
        <v/>
      </c>
      <c r="D27" s="145" t="str" cm="1">
        <f t="array" ref="D27">IF(B27="","",INDEX('Lot Inputs'!$E$5:$E$507,MATCH(1,('Lot Inputs'!$A$5:$A$507=$B$3)*('Lot Inputs'!$B$5:$B$507=B27),0)))</f>
        <v/>
      </c>
      <c r="E27" s="146" t="str" cm="1">
        <f t="array" ref="E27">IF(B27="","",INDEX('Lot Inputs'!$H$5:$H$507,MATCH(1,('Lot Inputs'!$A$5:$A$507=$B$3)*('Lot Inputs'!$B$5:$B$507=B27),0)))</f>
        <v/>
      </c>
      <c r="F27" s="108" t="str">
        <f>IF(E27="","",IF(R27="On Hold",0,E27)+IF(F26="",0,F26))</f>
        <v/>
      </c>
      <c r="G27" s="108" t="str">
        <f>IF(D27="","",SUMIFS($O$7:$O$500,$N$7:$N$500,"&gt;="&amp;IF(R27="On Hold",S27,Controls!$B$5),$N$7:$N$500,"&lt;="&amp;EDATE(D27,-$B$4)))</f>
        <v/>
      </c>
      <c r="H27" s="108" t="str">
        <f t="shared" si="3"/>
        <v/>
      </c>
      <c r="I27" s="147" t="str">
        <f t="shared" si="1"/>
        <v/>
      </c>
      <c r="J27" s="148" t="str">
        <f>IF(D27="","",(YEAR(EDATE(D27,-$B$4))-YEAR(Controls!$B$5))*12+MONTH(EDATE(D27,-$B$4))-MONTH(Controls!$B$5))</f>
        <v/>
      </c>
      <c r="K27" s="149" t="str">
        <f t="array" ref="K27">IF(F27="","",IFERROR(INDEX($N$7:$N$500,MATCH(TRUE(),$P$7:$P$500&gt;=F27,0)),"After Horizon"))</f>
        <v/>
      </c>
      <c r="L27" t="str">
        <f t="shared" si="4"/>
        <v/>
      </c>
      <c r="M27" s="17" t="str">
        <f t="shared" si="5"/>
        <v/>
      </c>
      <c r="N27" s="145">
        <v>46661</v>
      </c>
      <c r="O27" s="108">
        <f>SUMIFS('Planning Engine'!$F:$F,'Planning Engine'!$B:$B,$B$3,'Planning Engine'!$A:$A,N27)</f>
        <v>4390.8676898315116</v>
      </c>
      <c r="P27" s="108">
        <f t="shared" si="6"/>
        <v>56680.00630156781</v>
      </c>
      <c r="Q27" s="146">
        <f>IF(N27&lt;=EDATE(Controls!$B$5,$B$4-1),O27,0)</f>
        <v>0</v>
      </c>
      <c r="R27" t="str" cm="1">
        <f t="array" ref="R27">IF(B27="","",IFERROR(INDEX('Lot Inputs'!$L$5:$L$507,MATCH(1,('Lot Inputs'!$A$5:$A$507=$B$3)*('Lot Inputs'!$B$5:$B$507=B27),0)),""))</f>
        <v/>
      </c>
      <c r="S27" s="205" t="str" cm="1">
        <f t="array" ref="S27">IF(B27="","",IFERROR(INDEX('Lot Inputs'!$M$5:$M$507,MATCH(1,('Lot Inputs'!$A$5:$A$507=$B$3)*('Lot Inputs'!$B$5:$B$507=B27),0)),""))</f>
        <v/>
      </c>
      <c r="T27" s="459" t="str">
        <f ca="1">IF(S27="","",S27-TODAY())</f>
        <v/>
      </c>
    </row>
    <row r="28" spans="1:20" ht="14" customHeight="1" x14ac:dyDescent="0.35">
      <c r="A28" s="142">
        <v>22</v>
      </c>
      <c r="B28" s="143" t="str" cm="1">
        <f t="array" ref="B28">IFERROR(INDEX('Lot Inputs'!$B$5:$B$507,MATCH(_xlfn.AGGREGATE(15,6,('Lot Inputs'!$J$5:$J$507)/(('Lot Inputs'!$A$5:$A$507=$B$3)*('Lot Inputs'!$H$5:$H$507&gt;0)),ROW()-6),IF('Lot Inputs'!$A$5:$A$507=$B$3,'Lot Inputs'!$J$5:$J$507),0)),"")</f>
        <v/>
      </c>
      <c r="C28" s="144" t="str">
        <f t="shared" si="2"/>
        <v/>
      </c>
      <c r="D28" s="145" t="str" cm="1">
        <f t="array" ref="D28">IF(B28="","",INDEX('Lot Inputs'!$E$5:$E$507,MATCH(1,('Lot Inputs'!$A$5:$A$507=$B$3)*('Lot Inputs'!$B$5:$B$507=B28),0)))</f>
        <v/>
      </c>
      <c r="E28" s="146" t="str" cm="1">
        <f t="array" ref="E28">IF(B28="","",INDEX('Lot Inputs'!$H$5:$H$507,MATCH(1,('Lot Inputs'!$A$5:$A$507=$B$3)*('Lot Inputs'!$B$5:$B$507=B28),0)))</f>
        <v/>
      </c>
      <c r="F28" s="108" t="str">
        <f>IF(E28="","",IF(R28="On Hold",0,E28)+IF(F27="",0,F27))</f>
        <v/>
      </c>
      <c r="G28" s="108" t="str">
        <f>IF(D28="","",SUMIFS($O$7:$O$500,$N$7:$N$500,"&gt;="&amp;IF(R28="On Hold",S28,Controls!$B$5),$N$7:$N$500,"&lt;="&amp;EDATE(D28,-$B$4)))</f>
        <v/>
      </c>
      <c r="H28" s="108" t="str">
        <f t="shared" si="3"/>
        <v/>
      </c>
      <c r="I28" s="147" t="str">
        <f t="shared" si="1"/>
        <v/>
      </c>
      <c r="J28" s="148" t="str">
        <f>IF(D28="","",(YEAR(EDATE(D28,-$B$4))-YEAR(Controls!$B$5))*12+MONTH(EDATE(D28,-$B$4))-MONTH(Controls!$B$5))</f>
        <v/>
      </c>
      <c r="K28" s="149" t="str">
        <f t="array" ref="K28">IF(F28="","",IFERROR(INDEX($N$7:$N$500,MATCH(TRUE(),$P$7:$P$500&gt;=F28,0)),"After Horizon"))</f>
        <v/>
      </c>
      <c r="L28" t="str">
        <f t="shared" si="4"/>
        <v/>
      </c>
      <c r="M28" s="17" t="str">
        <f t="shared" si="5"/>
        <v/>
      </c>
      <c r="N28" s="145">
        <v>46692</v>
      </c>
      <c r="O28" s="108">
        <f>SUMIFS('Planning Engine'!$F:$F,'Planning Engine'!$B:$B,$B$3,'Planning Engine'!$A:$A,N28)</f>
        <v>4470.5850761545644</v>
      </c>
      <c r="P28" s="108">
        <f t="shared" si="6"/>
        <v>61150.591377722376</v>
      </c>
      <c r="Q28" s="146">
        <f>IF(N28&lt;=EDATE(Controls!$B$5,$B$4-1),O28,0)</f>
        <v>0</v>
      </c>
      <c r="R28" t="str" cm="1">
        <f t="array" ref="R28">IF(B28="","",IFERROR(INDEX('Lot Inputs'!$L$5:$L$507,MATCH(1,('Lot Inputs'!$A$5:$A$507=$B$3)*('Lot Inputs'!$B$5:$B$507=B28),0)),""))</f>
        <v/>
      </c>
      <c r="S28" s="205" t="str" cm="1">
        <f t="array" ref="S28">IF(B28="","",IFERROR(INDEX('Lot Inputs'!$M$5:$M$507,MATCH(1,('Lot Inputs'!$A$5:$A$507=$B$3)*('Lot Inputs'!$B$5:$B$507=B28),0)),""))</f>
        <v/>
      </c>
      <c r="T28" s="459" t="str">
        <f ca="1">IF(S28="","",S28-TODAY())</f>
        <v/>
      </c>
    </row>
    <row r="29" spans="1:20" ht="14" customHeight="1" x14ac:dyDescent="0.35">
      <c r="A29" s="142">
        <v>23</v>
      </c>
      <c r="B29" s="143" t="str" cm="1">
        <f t="array" ref="B29">IFERROR(INDEX('Lot Inputs'!$B$5:$B$507,MATCH(_xlfn.AGGREGATE(15,6,('Lot Inputs'!$J$5:$J$507)/(('Lot Inputs'!$A$5:$A$507=$B$3)*('Lot Inputs'!$H$5:$H$507&gt;0)),ROW()-6),IF('Lot Inputs'!$A$5:$A$507=$B$3,'Lot Inputs'!$J$5:$J$507),0)),"")</f>
        <v/>
      </c>
      <c r="C29" s="144" t="str">
        <f t="shared" si="2"/>
        <v/>
      </c>
      <c r="D29" s="145" t="str" cm="1">
        <f t="array" ref="D29">IF(B29="","",INDEX('Lot Inputs'!$E$5:$E$507,MATCH(1,('Lot Inputs'!$A$5:$A$507=$B$3)*('Lot Inputs'!$B$5:$B$507=B29),0)))</f>
        <v/>
      </c>
      <c r="E29" s="146" t="str" cm="1">
        <f t="array" ref="E29">IF(B29="","",INDEX('Lot Inputs'!$H$5:$H$507,MATCH(1,('Lot Inputs'!$A$5:$A$507=$B$3)*('Lot Inputs'!$B$5:$B$507=B29),0)))</f>
        <v/>
      </c>
      <c r="F29" s="108" t="str">
        <f>IF(E29="","",IF(R29="On Hold",0,E29)+IF(F28="",0,F28))</f>
        <v/>
      </c>
      <c r="G29" s="108" t="str">
        <f>IF(D29="","",SUMIFS($O$7:$O$500,$N$7:$N$500,"&gt;="&amp;IF(R29="On Hold",S29,Controls!$B$5),$N$7:$N$500,"&lt;="&amp;EDATE(D29,-$B$4)))</f>
        <v/>
      </c>
      <c r="H29" s="108" t="str">
        <f t="shared" si="3"/>
        <v/>
      </c>
      <c r="I29" s="147" t="str">
        <f t="shared" si="1"/>
        <v/>
      </c>
      <c r="J29" s="148" t="str">
        <f>IF(D29="","",(YEAR(EDATE(D29,-$B$4))-YEAR(Controls!$B$5))*12+MONTH(EDATE(D29,-$B$4))-MONTH(Controls!$B$5))</f>
        <v/>
      </c>
      <c r="K29" s="149" t="str">
        <f t="array" ref="K29">IF(F29="","",IFERROR(INDEX($N$7:$N$500,MATCH(TRUE(),$P$7:$P$500&gt;=F29,0)),"After Horizon"))</f>
        <v/>
      </c>
      <c r="L29" t="str">
        <f t="shared" si="4"/>
        <v/>
      </c>
      <c r="M29" s="17" t="str">
        <f t="shared" si="5"/>
        <v/>
      </c>
      <c r="N29" s="145">
        <v>46722</v>
      </c>
      <c r="O29" s="108">
        <f>SUMIFS('Planning Engine'!$F:$F,'Planning Engine'!$B:$B,$B$3,'Planning Engine'!$A:$A,N29)</f>
        <v>4947.5609232171882</v>
      </c>
      <c r="P29" s="108">
        <f t="shared" si="6"/>
        <v>66098.152300939561</v>
      </c>
      <c r="Q29" s="146">
        <f>IF(N29&lt;=EDATE(Controls!$B$5,$B$4-1),O29,0)</f>
        <v>0</v>
      </c>
      <c r="R29" t="str" cm="1">
        <f t="array" ref="R29">IF(B29="","",IFERROR(INDEX('Lot Inputs'!$L$5:$L$507,MATCH(1,('Lot Inputs'!$A$5:$A$507=$B$3)*('Lot Inputs'!$B$5:$B$507=B29),0)),""))</f>
        <v/>
      </c>
      <c r="S29" s="205" t="str" cm="1">
        <f t="array" ref="S29">IF(B29="","",IFERROR(INDEX('Lot Inputs'!$M$5:$M$507,MATCH(1,('Lot Inputs'!$A$5:$A$507=$B$3)*('Lot Inputs'!$B$5:$B$507=B29),0)),""))</f>
        <v/>
      </c>
      <c r="T29" s="459" t="str">
        <f ca="1">IF(S29="","",S29-TODAY())</f>
        <v/>
      </c>
    </row>
    <row r="30" spans="1:20" ht="14" customHeight="1" x14ac:dyDescent="0.35">
      <c r="A30" s="142">
        <v>24</v>
      </c>
      <c r="B30" s="143" t="str" cm="1">
        <f t="array" ref="B30">IFERROR(INDEX('Lot Inputs'!$B$5:$B$507,MATCH(_xlfn.AGGREGATE(15,6,('Lot Inputs'!$J$5:$J$507)/(('Lot Inputs'!$A$5:$A$507=$B$3)*('Lot Inputs'!$H$5:$H$507&gt;0)),ROW()-6),IF('Lot Inputs'!$A$5:$A$507=$B$3,'Lot Inputs'!$J$5:$J$507),0)),"")</f>
        <v/>
      </c>
      <c r="C30" s="144" t="str">
        <f t="shared" si="2"/>
        <v/>
      </c>
      <c r="D30" s="145" t="str" cm="1">
        <f t="array" ref="D30">IF(B30="","",INDEX('Lot Inputs'!$E$5:$E$507,MATCH(1,('Lot Inputs'!$A$5:$A$507=$B$3)*('Lot Inputs'!$B$5:$B$507=B30),0)))</f>
        <v/>
      </c>
      <c r="E30" s="146" t="str" cm="1">
        <f t="array" ref="E30">IF(B30="","",INDEX('Lot Inputs'!$H$5:$H$507,MATCH(1,('Lot Inputs'!$A$5:$A$507=$B$3)*('Lot Inputs'!$B$5:$B$507=B30),0)))</f>
        <v/>
      </c>
      <c r="F30" s="108" t="str">
        <f>IF(E30="","",IF(R30="On Hold",0,E30)+IF(F29="",0,F29))</f>
        <v/>
      </c>
      <c r="G30" s="108" t="str">
        <f>IF(D30="","",SUMIFS($O$7:$O$500,$N$7:$N$500,"&gt;="&amp;IF(R30="On Hold",S30,Controls!$B$5),$N$7:$N$500,"&lt;="&amp;EDATE(D30,-$B$4)))</f>
        <v/>
      </c>
      <c r="H30" s="108" t="str">
        <f t="shared" si="3"/>
        <v/>
      </c>
      <c r="I30" s="147" t="str">
        <f t="shared" si="1"/>
        <v/>
      </c>
      <c r="J30" s="148" t="str">
        <f>IF(D30="","",(YEAR(EDATE(D30,-$B$4))-YEAR(Controls!$B$5))*12+MONTH(EDATE(D30,-$B$4))-MONTH(Controls!$B$5))</f>
        <v/>
      </c>
      <c r="K30" s="149" t="str">
        <f t="array" ref="K30">IF(F30="","",IFERROR(INDEX($N$7:$N$500,MATCH(TRUE(),$P$7:$P$500&gt;=F30,0)),"After Horizon"))</f>
        <v/>
      </c>
      <c r="L30" t="str">
        <f t="shared" si="4"/>
        <v/>
      </c>
      <c r="M30" s="17" t="str">
        <f t="shared" si="5"/>
        <v/>
      </c>
      <c r="N30" s="145">
        <v>46753</v>
      </c>
      <c r="O30" s="108">
        <f>SUMIFS('Planning Engine'!$F:$F,'Planning Engine'!$B:$B,$B$3,'Planning Engine'!$A:$A,N30)</f>
        <v>6277.2442594367567</v>
      </c>
      <c r="P30" s="108">
        <f t="shared" si="6"/>
        <v>72375.396560376321</v>
      </c>
      <c r="Q30" s="146">
        <f>IF(N30&lt;=EDATE(Controls!$B$5,$B$4-1),O30,0)</f>
        <v>0</v>
      </c>
      <c r="R30" t="str" cm="1">
        <f t="array" ref="R30">IF(B30="","",IFERROR(INDEX('Lot Inputs'!$L$5:$L$507,MATCH(1,('Lot Inputs'!$A$5:$A$507=$B$3)*('Lot Inputs'!$B$5:$B$507=B30),0)),""))</f>
        <v/>
      </c>
      <c r="S30" s="205" t="str" cm="1">
        <f t="array" ref="S30">IF(B30="","",IFERROR(INDEX('Lot Inputs'!$M$5:$M$507,MATCH(1,('Lot Inputs'!$A$5:$A$507=$B$3)*('Lot Inputs'!$B$5:$B$507=B30),0)),""))</f>
        <v/>
      </c>
      <c r="T30" s="459" t="str">
        <f ca="1">IF(S30="","",S30-TODAY())</f>
        <v/>
      </c>
    </row>
    <row r="31" spans="1:20" ht="14" customHeight="1" x14ac:dyDescent="0.35">
      <c r="A31" s="142">
        <v>25</v>
      </c>
      <c r="B31" s="143" t="str" cm="1">
        <f t="array" ref="B31">IFERROR(INDEX('Lot Inputs'!$B$5:$B$507,MATCH(_xlfn.AGGREGATE(15,6,('Lot Inputs'!$J$5:$J$507)/(('Lot Inputs'!$A$5:$A$507=$B$3)*('Lot Inputs'!$H$5:$H$507&gt;0)),ROW()-6),IF('Lot Inputs'!$A$5:$A$507=$B$3,'Lot Inputs'!$J$5:$J$507),0)),"")</f>
        <v/>
      </c>
      <c r="C31" s="144" t="str">
        <f t="shared" si="2"/>
        <v/>
      </c>
      <c r="D31" s="145" t="str" cm="1">
        <f t="array" ref="D31">IF(B31="","",INDEX('Lot Inputs'!$E$5:$E$507,MATCH(1,('Lot Inputs'!$A$5:$A$507=$B$3)*('Lot Inputs'!$B$5:$B$507=B31),0)))</f>
        <v/>
      </c>
      <c r="E31" s="146" t="str" cm="1">
        <f t="array" ref="E31">IF(B31="","",INDEX('Lot Inputs'!$H$5:$H$507,MATCH(1,('Lot Inputs'!$A$5:$A$507=$B$3)*('Lot Inputs'!$B$5:$B$507=B31),0)))</f>
        <v/>
      </c>
      <c r="F31" s="108" t="str">
        <f>IF(E31="","",IF(R31="On Hold",0,E31)+IF(F30="",0,F30))</f>
        <v/>
      </c>
      <c r="G31" s="108" t="str">
        <f>IF(D31="","",SUMIFS($O$7:$O$500,$N$7:$N$500,"&gt;="&amp;IF(R31="On Hold",S31,Controls!$B$5),$N$7:$N$500,"&lt;="&amp;EDATE(D31,-$B$4)))</f>
        <v/>
      </c>
      <c r="H31" s="108" t="str">
        <f t="shared" si="3"/>
        <v/>
      </c>
      <c r="I31" s="147" t="str">
        <f t="shared" si="1"/>
        <v/>
      </c>
      <c r="J31" s="148" t="str">
        <f>IF(D31="","",(YEAR(EDATE(D31,-$B$4))-YEAR(Controls!$B$5))*12+MONTH(EDATE(D31,-$B$4))-MONTH(Controls!$B$5))</f>
        <v/>
      </c>
      <c r="K31" s="149" t="str">
        <f t="array" ref="K31">IF(F31="","",IFERROR(INDEX($N$7:$N$500,MATCH(TRUE(),$P$7:$P$500&gt;=F31,0)),"After Horizon"))</f>
        <v/>
      </c>
      <c r="L31" t="str">
        <f t="shared" si="4"/>
        <v/>
      </c>
      <c r="M31" s="17" t="str">
        <f t="shared" si="5"/>
        <v/>
      </c>
      <c r="N31" s="145">
        <v>46784</v>
      </c>
      <c r="O31" s="108">
        <f>SUMIFS('Planning Engine'!$F:$F,'Planning Engine'!$B:$B,$B$3,'Planning Engine'!$A:$A,N31)</f>
        <v>5028.2403452700946</v>
      </c>
      <c r="P31" s="108">
        <f t="shared" si="6"/>
        <v>77403.636905646417</v>
      </c>
      <c r="Q31" s="146">
        <f>IF(N31&lt;=EDATE(Controls!$B$5,$B$4-1),O31,0)</f>
        <v>0</v>
      </c>
      <c r="R31" t="str" cm="1">
        <f t="array" ref="R31">IF(B31="","",IFERROR(INDEX('Lot Inputs'!$L$5:$L$507,MATCH(1,('Lot Inputs'!$A$5:$A$507=$B$3)*('Lot Inputs'!$B$5:$B$507=B31),0)),""))</f>
        <v/>
      </c>
      <c r="S31" s="205" t="str" cm="1">
        <f t="array" ref="S31">IF(B31="","",IFERROR(INDEX('Lot Inputs'!$M$5:$M$507,MATCH(1,('Lot Inputs'!$A$5:$A$507=$B$3)*('Lot Inputs'!$B$5:$B$507=B31),0)),""))</f>
        <v/>
      </c>
      <c r="T31" s="459" t="str">
        <f ca="1">IF(S31="","",S31-TODAY())</f>
        <v/>
      </c>
    </row>
    <row r="32" spans="1:20" ht="14" customHeight="1" x14ac:dyDescent="0.35">
      <c r="A32" s="142">
        <v>26</v>
      </c>
      <c r="B32" s="143" t="str" cm="1">
        <f t="array" ref="B32">IFERROR(INDEX('Lot Inputs'!$B$5:$B$507,MATCH(_xlfn.AGGREGATE(15,6,('Lot Inputs'!$J$5:$J$507)/(('Lot Inputs'!$A$5:$A$507=$B$3)*('Lot Inputs'!$H$5:$H$507&gt;0)),ROW()-6),IF('Lot Inputs'!$A$5:$A$507=$B$3,'Lot Inputs'!$J$5:$J$507),0)),"")</f>
        <v/>
      </c>
      <c r="C32" s="144" t="str">
        <f t="shared" si="2"/>
        <v/>
      </c>
      <c r="D32" s="145" t="str" cm="1">
        <f t="array" ref="D32">IF(B32="","",INDEX('Lot Inputs'!$E$5:$E$507,MATCH(1,('Lot Inputs'!$A$5:$A$507=$B$3)*('Lot Inputs'!$B$5:$B$507=B32),0)))</f>
        <v/>
      </c>
      <c r="E32" s="146" t="str" cm="1">
        <f t="array" ref="E32">IF(B32="","",INDEX('Lot Inputs'!$H$5:$H$507,MATCH(1,('Lot Inputs'!$A$5:$A$507=$B$3)*('Lot Inputs'!$B$5:$B$507=B32),0)))</f>
        <v/>
      </c>
      <c r="F32" s="108" t="str">
        <f>IF(E32="","",IF(R32="On Hold",0,E32)+IF(F31="",0,F31))</f>
        <v/>
      </c>
      <c r="G32" s="108" t="str">
        <f>IF(D32="","",SUMIFS($O$7:$O$500,$N$7:$N$500,"&gt;="&amp;IF(R32="On Hold",S32,Controls!$B$5),$N$7:$N$500,"&lt;="&amp;EDATE(D32,-$B$4)))</f>
        <v/>
      </c>
      <c r="H32" s="108" t="str">
        <f t="shared" si="3"/>
        <v/>
      </c>
      <c r="I32" s="147" t="str">
        <f t="shared" si="1"/>
        <v/>
      </c>
      <c r="J32" s="148" t="str">
        <f>IF(D32="","",(YEAR(EDATE(D32,-$B$4))-YEAR(Controls!$B$5))*12+MONTH(EDATE(D32,-$B$4))-MONTH(Controls!$B$5))</f>
        <v/>
      </c>
      <c r="K32" s="149" t="str">
        <f t="array" ref="K32">IF(F32="","",IFERROR(INDEX($N$7:$N$500,MATCH(TRUE(),$P$7:$P$500&gt;=F32,0)),"After Horizon"))</f>
        <v/>
      </c>
      <c r="L32" t="str">
        <f t="shared" si="4"/>
        <v/>
      </c>
      <c r="M32" s="17" t="str">
        <f t="shared" si="5"/>
        <v/>
      </c>
      <c r="N32" s="145">
        <v>46813</v>
      </c>
      <c r="O32" s="108">
        <f>SUMIFS('Planning Engine'!$F:$F,'Planning Engine'!$B:$B,$B$3,'Planning Engine'!$A:$A,N32)</f>
        <v>6375.1433722913716</v>
      </c>
      <c r="P32" s="108">
        <f t="shared" si="6"/>
        <v>83778.780277937796</v>
      </c>
      <c r="Q32" s="146">
        <f>IF(N32&lt;=EDATE(Controls!$B$5,$B$4-1),O32,0)</f>
        <v>0</v>
      </c>
      <c r="R32" t="str" cm="1">
        <f t="array" ref="R32">IF(B32="","",IFERROR(INDEX('Lot Inputs'!$L$5:$L$507,MATCH(1,('Lot Inputs'!$A$5:$A$507=$B$3)*('Lot Inputs'!$B$5:$B$507=B32),0)),""))</f>
        <v/>
      </c>
      <c r="S32" s="205" t="str" cm="1">
        <f t="array" ref="S32">IF(B32="","",IFERROR(INDEX('Lot Inputs'!$M$5:$M$507,MATCH(1,('Lot Inputs'!$A$5:$A$507=$B$3)*('Lot Inputs'!$B$5:$B$507=B32),0)),""))</f>
        <v/>
      </c>
      <c r="T32" s="459" t="str">
        <f ca="1">IF(S32="","",S32-TODAY())</f>
        <v/>
      </c>
    </row>
    <row r="33" spans="1:20" ht="14" customHeight="1" x14ac:dyDescent="0.35">
      <c r="A33" s="142">
        <v>27</v>
      </c>
      <c r="B33" s="143" t="str" cm="1">
        <f t="array" ref="B33">IFERROR(INDEX('Lot Inputs'!$B$5:$B$507,MATCH(_xlfn.AGGREGATE(15,6,('Lot Inputs'!$J$5:$J$507)/(('Lot Inputs'!$A$5:$A$507=$B$3)*('Lot Inputs'!$H$5:$H$507&gt;0)),ROW()-6),IF('Lot Inputs'!$A$5:$A$507=$B$3,'Lot Inputs'!$J$5:$J$507),0)),"")</f>
        <v/>
      </c>
      <c r="C33" s="144" t="str">
        <f t="shared" si="2"/>
        <v/>
      </c>
      <c r="D33" s="145" t="str" cm="1">
        <f t="array" ref="D33">IF(B33="","",INDEX('Lot Inputs'!$E$5:$E$507,MATCH(1,('Lot Inputs'!$A$5:$A$507=$B$3)*('Lot Inputs'!$B$5:$B$507=B33),0)))</f>
        <v/>
      </c>
      <c r="E33" s="146" t="str" cm="1">
        <f t="array" ref="E33">IF(B33="","",INDEX('Lot Inputs'!$H$5:$H$507,MATCH(1,('Lot Inputs'!$A$5:$A$507=$B$3)*('Lot Inputs'!$B$5:$B$507=B33),0)))</f>
        <v/>
      </c>
      <c r="F33" s="108" t="str">
        <f>IF(E33="","",IF(R33="On Hold",0,E33)+IF(F32="",0,F32))</f>
        <v/>
      </c>
      <c r="G33" s="108" t="str">
        <f>IF(D33="","",SUMIFS($O$7:$O$500,$N$7:$N$500,"&gt;="&amp;IF(R33="On Hold",S33,Controls!$B$5),$N$7:$N$500,"&lt;="&amp;EDATE(D33,-$B$4)))</f>
        <v/>
      </c>
      <c r="H33" s="108" t="str">
        <f t="shared" si="3"/>
        <v/>
      </c>
      <c r="I33" s="147" t="str">
        <f t="shared" si="1"/>
        <v/>
      </c>
      <c r="J33" s="148" t="str">
        <f>IF(D33="","",(YEAR(EDATE(D33,-$B$4))-YEAR(Controls!$B$5))*12+MONTH(EDATE(D33,-$B$4))-MONTH(Controls!$B$5))</f>
        <v/>
      </c>
      <c r="K33" s="149" t="str">
        <f t="array" ref="K33">IF(F33="","",IFERROR(INDEX($N$7:$N$500,MATCH(TRUE(),$P$7:$P$500&gt;=F33,0)),"After Horizon"))</f>
        <v/>
      </c>
      <c r="L33" t="str">
        <f t="shared" si="4"/>
        <v/>
      </c>
      <c r="M33" s="17" t="str">
        <f t="shared" si="5"/>
        <v/>
      </c>
      <c r="N33" s="145">
        <v>46844</v>
      </c>
      <c r="O33" s="108">
        <f>SUMIFS('Planning Engine'!$F:$F,'Planning Engine'!$B:$B,$B$3,'Planning Engine'!$A:$A,N33)</f>
        <v>8397.9412931950319</v>
      </c>
      <c r="P33" s="108">
        <f t="shared" si="6"/>
        <v>92176.721571132832</v>
      </c>
      <c r="Q33" s="146">
        <f>IF(N33&lt;=EDATE(Controls!$B$5,$B$4-1),O33,0)</f>
        <v>0</v>
      </c>
      <c r="R33" t="str" cm="1">
        <f t="array" ref="R33">IF(B33="","",IFERROR(INDEX('Lot Inputs'!$L$5:$L$507,MATCH(1,('Lot Inputs'!$A$5:$A$507=$B$3)*('Lot Inputs'!$B$5:$B$507=B33),0)),""))</f>
        <v/>
      </c>
      <c r="S33" s="205" t="str" cm="1">
        <f t="array" ref="S33">IF(B33="","",IFERROR(INDEX('Lot Inputs'!$M$5:$M$507,MATCH(1,('Lot Inputs'!$A$5:$A$507=$B$3)*('Lot Inputs'!$B$5:$B$507=B33),0)),""))</f>
        <v/>
      </c>
      <c r="T33" s="459" t="str">
        <f ca="1">IF(S33="","",S33-TODAY())</f>
        <v/>
      </c>
    </row>
    <row r="34" spans="1:20" ht="14" customHeight="1" x14ac:dyDescent="0.35">
      <c r="A34" s="142">
        <v>28</v>
      </c>
      <c r="B34" s="143" t="str" cm="1">
        <f t="array" ref="B34">IFERROR(INDEX('Lot Inputs'!$B$5:$B$507,MATCH(_xlfn.AGGREGATE(15,6,('Lot Inputs'!$J$5:$J$507)/(('Lot Inputs'!$A$5:$A$507=$B$3)*('Lot Inputs'!$H$5:$H$507&gt;0)),ROW()-6),IF('Lot Inputs'!$A$5:$A$507=$B$3,'Lot Inputs'!$J$5:$J$507),0)),"")</f>
        <v/>
      </c>
      <c r="C34" s="144" t="str">
        <f t="shared" si="2"/>
        <v/>
      </c>
      <c r="D34" s="145" t="str" cm="1">
        <f t="array" ref="D34">IF(B34="","",INDEX('Lot Inputs'!$E$5:$E$507,MATCH(1,('Lot Inputs'!$A$5:$A$507=$B$3)*('Lot Inputs'!$B$5:$B$507=B34),0)))</f>
        <v/>
      </c>
      <c r="E34" s="146" t="str" cm="1">
        <f t="array" ref="E34">IF(B34="","",INDEX('Lot Inputs'!$H$5:$H$507,MATCH(1,('Lot Inputs'!$A$5:$A$507=$B$3)*('Lot Inputs'!$B$5:$B$507=B34),0)))</f>
        <v/>
      </c>
      <c r="F34" s="108" t="str">
        <f>IF(E34="","",IF(R34="On Hold",0,E34)+IF(F33="",0,F33))</f>
        <v/>
      </c>
      <c r="G34" s="108" t="str">
        <f>IF(D34="","",SUMIFS($O$7:$O$500,$N$7:$N$500,"&gt;="&amp;IF(R34="On Hold",S34,Controls!$B$5),$N$7:$N$500,"&lt;="&amp;EDATE(D34,-$B$4)))</f>
        <v/>
      </c>
      <c r="H34" s="108" t="str">
        <f t="shared" si="3"/>
        <v/>
      </c>
      <c r="I34" s="147" t="str">
        <f t="shared" si="1"/>
        <v/>
      </c>
      <c r="J34" s="148" t="str">
        <f>IF(D34="","",(YEAR(EDATE(D34,-$B$4))-YEAR(Controls!$B$5))*12+MONTH(EDATE(D34,-$B$4))-MONTH(Controls!$B$5))</f>
        <v/>
      </c>
      <c r="K34" s="149" t="str">
        <f t="array" ref="K34">IF(F34="","",IFERROR(INDEX($N$7:$N$500,MATCH(TRUE(),$P$7:$P$500&gt;=F34,0)),"After Horizon"))</f>
        <v/>
      </c>
      <c r="L34" t="str">
        <f t="shared" si="4"/>
        <v/>
      </c>
      <c r="M34" s="17" t="str">
        <f t="shared" si="5"/>
        <v/>
      </c>
      <c r="N34" s="145">
        <v>46874</v>
      </c>
      <c r="O34" s="108">
        <f>SUMIFS('Planning Engine'!$F:$F,'Planning Engine'!$B:$B,$B$3,'Planning Engine'!$A:$A,N34)</f>
        <v>6617.4277027717235</v>
      </c>
      <c r="P34" s="108">
        <f t="shared" si="6"/>
        <v>98794.14927390455</v>
      </c>
      <c r="Q34" s="146">
        <f>IF(N34&lt;=EDATE(Controls!$B$5,$B$4-1),O34,0)</f>
        <v>0</v>
      </c>
      <c r="R34" t="str" cm="1">
        <f t="array" ref="R34">IF(B34="","",IFERROR(INDEX('Lot Inputs'!$L$5:$L$507,MATCH(1,('Lot Inputs'!$A$5:$A$507=$B$3)*('Lot Inputs'!$B$5:$B$507=B34),0)),""))</f>
        <v/>
      </c>
      <c r="S34" s="205" t="str" cm="1">
        <f t="array" ref="S34">IF(B34="","",IFERROR(INDEX('Lot Inputs'!$M$5:$M$507,MATCH(1,('Lot Inputs'!$A$5:$A$507=$B$3)*('Lot Inputs'!$B$5:$B$507=B34),0)),""))</f>
        <v/>
      </c>
      <c r="T34" s="459" t="str">
        <f ca="1">IF(S34="","",S34-TODAY())</f>
        <v/>
      </c>
    </row>
    <row r="35" spans="1:20" ht="14" customHeight="1" x14ac:dyDescent="0.35">
      <c r="A35" s="142">
        <v>29</v>
      </c>
      <c r="B35" s="143" t="str" cm="1">
        <f t="array" ref="B35">IFERROR(INDEX('Lot Inputs'!$B$5:$B$507,MATCH(_xlfn.AGGREGATE(15,6,('Lot Inputs'!$J$5:$J$507)/(('Lot Inputs'!$A$5:$A$507=$B$3)*('Lot Inputs'!$H$5:$H$507&gt;0)),ROW()-6),IF('Lot Inputs'!$A$5:$A$507=$B$3,'Lot Inputs'!$J$5:$J$507),0)),"")</f>
        <v/>
      </c>
      <c r="C35" s="144" t="str">
        <f t="shared" si="2"/>
        <v/>
      </c>
      <c r="D35" s="145" t="str" cm="1">
        <f t="array" ref="D35">IF(B35="","",INDEX('Lot Inputs'!$E$5:$E$507,MATCH(1,('Lot Inputs'!$A$5:$A$507=$B$3)*('Lot Inputs'!$B$5:$B$507=B35),0)))</f>
        <v/>
      </c>
      <c r="E35" s="146" t="str" cm="1">
        <f t="array" ref="E35">IF(B35="","",INDEX('Lot Inputs'!$H$5:$H$507,MATCH(1,('Lot Inputs'!$A$5:$A$507=$B$3)*('Lot Inputs'!$B$5:$B$507=B35),0)))</f>
        <v/>
      </c>
      <c r="F35" s="108" t="str">
        <f>IF(E35="","",IF(R35="On Hold",0,E35)+IF(F34="",0,F34))</f>
        <v/>
      </c>
      <c r="G35" s="108" t="str">
        <f>IF(D35="","",SUMIFS($O$7:$O$500,$N$7:$N$500,"&gt;="&amp;IF(R35="On Hold",S35,Controls!$B$5),$N$7:$N$500,"&lt;="&amp;EDATE(D35,-$B$4)))</f>
        <v/>
      </c>
      <c r="H35" s="108" t="str">
        <f t="shared" si="3"/>
        <v/>
      </c>
      <c r="I35" s="147" t="str">
        <f t="shared" si="1"/>
        <v/>
      </c>
      <c r="J35" s="148" t="str">
        <f>IF(D35="","",(YEAR(EDATE(D35,-$B$4))-YEAR(Controls!$B$5))*12+MONTH(EDATE(D35,-$B$4))-MONTH(Controls!$B$5))</f>
        <v/>
      </c>
      <c r="K35" s="149" t="str">
        <f t="array" ref="K35">IF(F35="","",IFERROR(INDEX($N$7:$N$500,MATCH(TRUE(),$P$7:$P$500&gt;=F35,0)),"After Horizon"))</f>
        <v/>
      </c>
      <c r="L35" t="str">
        <f t="shared" si="4"/>
        <v/>
      </c>
      <c r="M35" s="17" t="str">
        <f t="shared" si="5"/>
        <v/>
      </c>
      <c r="N35" s="145">
        <v>46905</v>
      </c>
      <c r="O35" s="108">
        <f>SUMIFS('Planning Engine'!$F:$F,'Planning Engine'!$B:$B,$B$3,'Planning Engine'!$A:$A,N35)</f>
        <v>8869.5561006615644</v>
      </c>
      <c r="P35" s="108">
        <f t="shared" si="6"/>
        <v>107663.70537456611</v>
      </c>
      <c r="Q35" s="146">
        <f>IF(N35&lt;=EDATE(Controls!$B$5,$B$4-1),O35,0)</f>
        <v>0</v>
      </c>
      <c r="R35" t="str" cm="1">
        <f t="array" ref="R35">IF(B35="","",IFERROR(INDEX('Lot Inputs'!$L$5:$L$507,MATCH(1,('Lot Inputs'!$A$5:$A$507=$B$3)*('Lot Inputs'!$B$5:$B$507=B35),0)),""))</f>
        <v/>
      </c>
      <c r="S35" s="205" t="str" cm="1">
        <f t="array" ref="S35">IF(B35="","",IFERROR(INDEX('Lot Inputs'!$M$5:$M$507,MATCH(1,('Lot Inputs'!$A$5:$A$507=$B$3)*('Lot Inputs'!$B$5:$B$507=B35),0)),""))</f>
        <v/>
      </c>
      <c r="T35" s="459" t="str">
        <f ca="1">IF(S35="","",S35-TODAY())</f>
        <v/>
      </c>
    </row>
    <row r="36" spans="1:20" ht="14" customHeight="1" x14ac:dyDescent="0.35">
      <c r="A36" s="142">
        <v>30</v>
      </c>
      <c r="B36" s="143" t="str" cm="1">
        <f t="array" ref="B36">IFERROR(INDEX('Lot Inputs'!$B$5:$B$507,MATCH(_xlfn.AGGREGATE(15,6,('Lot Inputs'!$J$5:$J$507)/(('Lot Inputs'!$A$5:$A$507=$B$3)*('Lot Inputs'!$H$5:$H$507&gt;0)),ROW()-6),IF('Lot Inputs'!$A$5:$A$507=$B$3,'Lot Inputs'!$J$5:$J$507),0)),"")</f>
        <v/>
      </c>
      <c r="C36" s="144" t="str">
        <f t="shared" si="2"/>
        <v/>
      </c>
      <c r="D36" s="145" t="str" cm="1">
        <f t="array" ref="D36">IF(B36="","",INDEX('Lot Inputs'!$E$5:$E$507,MATCH(1,('Lot Inputs'!$A$5:$A$507=$B$3)*('Lot Inputs'!$B$5:$B$507=B36),0)))</f>
        <v/>
      </c>
      <c r="E36" s="146" t="str" cm="1">
        <f t="array" ref="E36">IF(B36="","",INDEX('Lot Inputs'!$H$5:$H$507,MATCH(1,('Lot Inputs'!$A$5:$A$507=$B$3)*('Lot Inputs'!$B$5:$B$507=B36),0)))</f>
        <v/>
      </c>
      <c r="F36" s="108" t="str">
        <f>IF(E36="","",IF(R36="On Hold",0,E36)+IF(F35="",0,F35))</f>
        <v/>
      </c>
      <c r="G36" s="108" t="str">
        <f>IF(D36="","",SUMIFS($O$7:$O$500,$N$7:$N$500,"&gt;="&amp;IF(R36="On Hold",S36,Controls!$B$5),$N$7:$N$500,"&lt;="&amp;EDATE(D36,-$B$4)))</f>
        <v/>
      </c>
      <c r="H36" s="108" t="str">
        <f t="shared" si="3"/>
        <v/>
      </c>
      <c r="I36" s="147" t="str">
        <f t="shared" si="1"/>
        <v/>
      </c>
      <c r="J36" s="148" t="str">
        <f>IF(D36="","",(YEAR(EDATE(D36,-$B$4))-YEAR(Controls!$B$5))*12+MONTH(EDATE(D36,-$B$4))-MONTH(Controls!$B$5))</f>
        <v/>
      </c>
      <c r="K36" s="149" t="str">
        <f t="array" ref="K36">IF(F36="","",IFERROR(INDEX($N$7:$N$500,MATCH(TRUE(),$P$7:$P$500&gt;=F36,0)),"After Horizon"))</f>
        <v/>
      </c>
      <c r="L36" t="str">
        <f t="shared" si="4"/>
        <v/>
      </c>
      <c r="M36" s="17" t="str">
        <f t="shared" si="5"/>
        <v/>
      </c>
      <c r="N36" s="145">
        <v>46935</v>
      </c>
      <c r="O36" s="108">
        <f>SUMIFS('Planning Engine'!$F:$F,'Planning Engine'!$B:$B,$B$3,'Planning Engine'!$A:$A,N36)</f>
        <v>8263.4961096135248</v>
      </c>
      <c r="P36" s="108">
        <f t="shared" si="6"/>
        <v>115927.20148417963</v>
      </c>
      <c r="Q36" s="146">
        <f>IF(N36&lt;=EDATE(Controls!$B$5,$B$4-1),O36,0)</f>
        <v>0</v>
      </c>
      <c r="R36" t="str" cm="1">
        <f t="array" ref="R36">IF(B36="","",IFERROR(INDEX('Lot Inputs'!$L$5:$L$507,MATCH(1,('Lot Inputs'!$A$5:$A$507=$B$3)*('Lot Inputs'!$B$5:$B$507=B36),0)),""))</f>
        <v/>
      </c>
      <c r="S36" s="205" t="str" cm="1">
        <f t="array" ref="S36">IF(B36="","",IFERROR(INDEX('Lot Inputs'!$M$5:$M$507,MATCH(1,('Lot Inputs'!$A$5:$A$507=$B$3)*('Lot Inputs'!$B$5:$B$507=B36),0)),""))</f>
        <v/>
      </c>
      <c r="T36" s="459" t="str">
        <f ca="1">IF(S36="","",S36-TODAY())</f>
        <v/>
      </c>
    </row>
    <row r="37" spans="1:20" ht="14" customHeight="1" x14ac:dyDescent="0.35">
      <c r="A37" s="142">
        <v>31</v>
      </c>
      <c r="B37" s="143" t="str" cm="1">
        <f t="array" ref="B37">IFERROR(INDEX('Lot Inputs'!$B$5:$B$507,MATCH(_xlfn.AGGREGATE(15,6,('Lot Inputs'!$J$5:$J$507)/(('Lot Inputs'!$A$5:$A$507=$B$3)*('Lot Inputs'!$H$5:$H$507&gt;0)),ROW()-6),IF('Lot Inputs'!$A$5:$A$507=$B$3,'Lot Inputs'!$J$5:$J$507),0)),"")</f>
        <v/>
      </c>
      <c r="C37" s="144" t="str">
        <f t="shared" si="2"/>
        <v/>
      </c>
      <c r="D37" s="145" t="str" cm="1">
        <f t="array" ref="D37">IF(B37="","",INDEX('Lot Inputs'!$E$5:$E$507,MATCH(1,('Lot Inputs'!$A$5:$A$507=$B$3)*('Lot Inputs'!$B$5:$B$507=B37),0)))</f>
        <v/>
      </c>
      <c r="E37" s="146" t="str" cm="1">
        <f t="array" ref="E37">IF(B37="","",INDEX('Lot Inputs'!$H$5:$H$507,MATCH(1,('Lot Inputs'!$A$5:$A$507=$B$3)*('Lot Inputs'!$B$5:$B$507=B37),0)))</f>
        <v/>
      </c>
      <c r="F37" s="108" t="str">
        <f>IF(E37="","",IF(R37="On Hold",0,E37)+IF(F36="",0,F36))</f>
        <v/>
      </c>
      <c r="G37" s="108" t="str">
        <f>IF(D37="","",SUMIFS($O$7:$O$500,$N$7:$N$500,"&gt;="&amp;IF(R37="On Hold",S37,Controls!$B$5),$N$7:$N$500,"&lt;="&amp;EDATE(D37,-$B$4)))</f>
        <v/>
      </c>
      <c r="H37" s="108" t="str">
        <f t="shared" si="3"/>
        <v/>
      </c>
      <c r="I37" s="147" t="str">
        <f t="shared" si="1"/>
        <v/>
      </c>
      <c r="J37" s="148" t="str">
        <f>IF(D37="","",(YEAR(EDATE(D37,-$B$4))-YEAR(Controls!$B$5))*12+MONTH(EDATE(D37,-$B$4))-MONTH(Controls!$B$5))</f>
        <v/>
      </c>
      <c r="K37" s="149" t="str">
        <f t="array" ref="K37">IF(F37="","",IFERROR(INDEX($N$7:$N$500,MATCH(TRUE(),$P$7:$P$500&gt;=F37,0)),"After Horizon"))</f>
        <v/>
      </c>
      <c r="L37" t="str">
        <f t="shared" si="4"/>
        <v/>
      </c>
      <c r="M37" s="17" t="str">
        <f t="shared" si="5"/>
        <v/>
      </c>
      <c r="N37" s="145">
        <v>46966</v>
      </c>
      <c r="O37" s="108">
        <f>SUMIFS('Planning Engine'!$F:$F,'Planning Engine'!$B:$B,$B$3,'Planning Engine'!$A:$A,N37)</f>
        <v>8112.2357642945672</v>
      </c>
      <c r="P37" s="108">
        <f t="shared" si="6"/>
        <v>124039.43724847421</v>
      </c>
      <c r="Q37" s="146">
        <f>IF(N37&lt;=EDATE(Controls!$B$5,$B$4-1),O37,0)</f>
        <v>0</v>
      </c>
      <c r="R37" t="str" cm="1">
        <f t="array" ref="R37">IF(B37="","",IFERROR(INDEX('Lot Inputs'!$L$5:$L$507,MATCH(1,('Lot Inputs'!$A$5:$A$507=$B$3)*('Lot Inputs'!$B$5:$B$507=B37),0)),""))</f>
        <v/>
      </c>
      <c r="S37" s="205" t="str" cm="1">
        <f t="array" ref="S37">IF(B37="","",IFERROR(INDEX('Lot Inputs'!$M$5:$M$507,MATCH(1,('Lot Inputs'!$A$5:$A$507=$B$3)*('Lot Inputs'!$B$5:$B$507=B37),0)),""))</f>
        <v/>
      </c>
      <c r="T37" s="459" t="str">
        <f ca="1">IF(S37="","",S37-TODAY())</f>
        <v/>
      </c>
    </row>
    <row r="38" spans="1:20" ht="14" customHeight="1" x14ac:dyDescent="0.35">
      <c r="A38" s="142">
        <v>32</v>
      </c>
      <c r="B38" s="143" t="str" cm="1">
        <f t="array" ref="B38">IFERROR(INDEX('Lot Inputs'!$B$5:$B$507,MATCH(_xlfn.AGGREGATE(15,6,('Lot Inputs'!$J$5:$J$507)/(('Lot Inputs'!$A$5:$A$507=$B$3)*('Lot Inputs'!$H$5:$H$507&gt;0)),ROW()-6),IF('Lot Inputs'!$A$5:$A$507=$B$3,'Lot Inputs'!$J$5:$J$507),0)),"")</f>
        <v/>
      </c>
      <c r="C38" s="144" t="str">
        <f t="shared" si="2"/>
        <v/>
      </c>
      <c r="D38" s="145" t="str" cm="1">
        <f t="array" ref="D38">IF(B38="","",INDEX('Lot Inputs'!$E$5:$E$507,MATCH(1,('Lot Inputs'!$A$5:$A$507=$B$3)*('Lot Inputs'!$B$5:$B$507=B38),0)))</f>
        <v/>
      </c>
      <c r="E38" s="146" t="str" cm="1">
        <f t="array" ref="E38">IF(B38="","",INDEX('Lot Inputs'!$H$5:$H$507,MATCH(1,('Lot Inputs'!$A$5:$A$507=$B$3)*('Lot Inputs'!$B$5:$B$507=B38),0)))</f>
        <v/>
      </c>
      <c r="F38" s="108" t="str">
        <f>IF(E38="","",IF(R38="On Hold",0,E38)+IF(F37="",0,F37))</f>
        <v/>
      </c>
      <c r="G38" s="108" t="str">
        <f>IF(D38="","",SUMIFS($O$7:$O$500,$N$7:$N$500,"&gt;="&amp;IF(R38="On Hold",S38,Controls!$B$5),$N$7:$N$500,"&lt;="&amp;EDATE(D38,-$B$4)))</f>
        <v/>
      </c>
      <c r="H38" s="108" t="str">
        <f t="shared" si="3"/>
        <v/>
      </c>
      <c r="I38" s="147" t="str">
        <f t="shared" si="1"/>
        <v/>
      </c>
      <c r="J38" s="148" t="str">
        <f>IF(D38="","",(YEAR(EDATE(D38,-$B$4))-YEAR(Controls!$B$5))*12+MONTH(EDATE(D38,-$B$4))-MONTH(Controls!$B$5))</f>
        <v/>
      </c>
      <c r="K38" s="149" t="str">
        <f t="array" ref="K38">IF(F38="","",IFERROR(INDEX($N$7:$N$500,MATCH(TRUE(),$P$7:$P$500&gt;=F38,0)),"After Horizon"))</f>
        <v/>
      </c>
      <c r="L38" t="str">
        <f t="shared" si="4"/>
        <v/>
      </c>
      <c r="M38" s="17" t="str">
        <f t="shared" si="5"/>
        <v/>
      </c>
      <c r="N38" s="145">
        <v>46997</v>
      </c>
      <c r="O38" s="108">
        <f>SUMIFS('Planning Engine'!$F:$F,'Planning Engine'!$B:$B,$B$3,'Planning Engine'!$A:$A,N38)</f>
        <v>10852.914817644212</v>
      </c>
      <c r="P38" s="108">
        <f t="shared" si="6"/>
        <v>134892.35206611842</v>
      </c>
      <c r="Q38" s="146">
        <f>IF(N38&lt;=EDATE(Controls!$B$5,$B$4-1),O38,0)</f>
        <v>0</v>
      </c>
      <c r="R38" t="str" cm="1">
        <f t="array" ref="R38">IF(B38="","",IFERROR(INDEX('Lot Inputs'!$L$5:$L$507,MATCH(1,('Lot Inputs'!$A$5:$A$507=$B$3)*('Lot Inputs'!$B$5:$B$507=B38),0)),""))</f>
        <v/>
      </c>
      <c r="S38" s="205" t="str" cm="1">
        <f t="array" ref="S38">IF(B38="","",IFERROR(INDEX('Lot Inputs'!$M$5:$M$507,MATCH(1,('Lot Inputs'!$A$5:$A$507=$B$3)*('Lot Inputs'!$B$5:$B$507=B38),0)),""))</f>
        <v/>
      </c>
      <c r="T38" s="459" t="str">
        <f ca="1">IF(S38="","",S38-TODAY())</f>
        <v/>
      </c>
    </row>
    <row r="39" spans="1:20" ht="14" customHeight="1" x14ac:dyDescent="0.35">
      <c r="A39" s="142">
        <v>33</v>
      </c>
      <c r="B39" s="143" t="str" cm="1">
        <f t="array" ref="B39">IFERROR(INDEX('Lot Inputs'!$B$5:$B$507,MATCH(_xlfn.AGGREGATE(15,6,('Lot Inputs'!$J$5:$J$507)/(('Lot Inputs'!$A$5:$A$507=$B$3)*('Lot Inputs'!$H$5:$H$507&gt;0)),ROW()-6),IF('Lot Inputs'!$A$5:$A$507=$B$3,'Lot Inputs'!$J$5:$J$507),0)),"")</f>
        <v/>
      </c>
      <c r="C39" s="144" t="str">
        <f t="shared" si="2"/>
        <v/>
      </c>
      <c r="D39" s="145" t="str" cm="1">
        <f t="array" ref="D39">IF(B39="","",INDEX('Lot Inputs'!$E$5:$E$507,MATCH(1,('Lot Inputs'!$A$5:$A$507=$B$3)*('Lot Inputs'!$B$5:$B$507=B39),0)))</f>
        <v/>
      </c>
      <c r="E39" s="146" t="str" cm="1">
        <f t="array" ref="E39">IF(B39="","",INDEX('Lot Inputs'!$H$5:$H$507,MATCH(1,('Lot Inputs'!$A$5:$A$507=$B$3)*('Lot Inputs'!$B$5:$B$507=B39),0)))</f>
        <v/>
      </c>
      <c r="F39" s="108" t="str">
        <f>IF(E39="","",IF(R39="On Hold",0,E39)+IF(F38="",0,F38))</f>
        <v/>
      </c>
      <c r="G39" s="108" t="str">
        <f>IF(D39="","",SUMIFS($O$7:$O$500,$N$7:$N$500,"&gt;="&amp;IF(R39="On Hold",S39,Controls!$B$5),$N$7:$N$500,"&lt;="&amp;EDATE(D39,-$B$4)))</f>
        <v/>
      </c>
      <c r="H39" s="108" t="str">
        <f t="shared" si="3"/>
        <v/>
      </c>
      <c r="I39" s="147" t="str">
        <f t="shared" ref="I39:I70" si="7">IF(E39="","",MAX(0,E39-H39))</f>
        <v/>
      </c>
      <c r="J39" s="148" t="str">
        <f>IF(D39="","",(YEAR(EDATE(D39,-$B$4))-YEAR(Controls!$B$5))*12+MONTH(EDATE(D39,-$B$4))-MONTH(Controls!$B$5))</f>
        <v/>
      </c>
      <c r="K39" s="149" t="str">
        <f t="array" ref="K39">IF(F39="","",IFERROR(INDEX($N$7:$N$500,MATCH(TRUE(),$P$7:$P$500&gt;=F39,0)),"After Horizon"))</f>
        <v/>
      </c>
      <c r="L39" t="str">
        <f t="shared" si="4"/>
        <v/>
      </c>
      <c r="M39" s="17" t="str">
        <f t="shared" si="5"/>
        <v/>
      </c>
      <c r="N39" s="145">
        <v>47027</v>
      </c>
      <c r="O39" s="108">
        <f>SUMIFS('Planning Engine'!$F:$F,'Planning Engine'!$B:$B,$B$3,'Planning Engine'!$A:$A,N39)</f>
        <v>8259.6592431022946</v>
      </c>
      <c r="P39" s="108">
        <f t="shared" si="6"/>
        <v>143152.01130922072</v>
      </c>
      <c r="Q39" s="146">
        <f>IF(N39&lt;=EDATE(Controls!$B$5,$B$4-1),O39,0)</f>
        <v>0</v>
      </c>
      <c r="R39" t="str" cm="1">
        <f t="array" ref="R39">IF(B39="","",IFERROR(INDEX('Lot Inputs'!$L$5:$L$507,MATCH(1,('Lot Inputs'!$A$5:$A$507=$B$3)*('Lot Inputs'!$B$5:$B$507=B39),0)),""))</f>
        <v/>
      </c>
      <c r="S39" s="205" t="str" cm="1">
        <f t="array" ref="S39">IF(B39="","",IFERROR(INDEX('Lot Inputs'!$M$5:$M$507,MATCH(1,('Lot Inputs'!$A$5:$A$507=$B$3)*('Lot Inputs'!$B$5:$B$507=B39),0)),""))</f>
        <v/>
      </c>
      <c r="T39" s="459" t="str">
        <f ca="1">IF(S39="","",S39-TODAY())</f>
        <v/>
      </c>
    </row>
    <row r="40" spans="1:20" ht="14" customHeight="1" x14ac:dyDescent="0.35">
      <c r="A40" s="142">
        <v>34</v>
      </c>
      <c r="B40" s="143" t="str" cm="1">
        <f t="array" ref="B40">IFERROR(INDEX('Lot Inputs'!$B$5:$B$507,MATCH(_xlfn.AGGREGATE(15,6,('Lot Inputs'!$J$5:$J$507)/(('Lot Inputs'!$A$5:$A$507=$B$3)*('Lot Inputs'!$H$5:$H$507&gt;0)),ROW()-6),IF('Lot Inputs'!$A$5:$A$507=$B$3,'Lot Inputs'!$J$5:$J$507),0)),"")</f>
        <v/>
      </c>
      <c r="C40" s="144" t="str">
        <f t="shared" si="2"/>
        <v/>
      </c>
      <c r="D40" s="145" t="str" cm="1">
        <f t="array" ref="D40">IF(B40="","",INDEX('Lot Inputs'!$E$5:$E$507,MATCH(1,('Lot Inputs'!$A$5:$A$507=$B$3)*('Lot Inputs'!$B$5:$B$507=B40),0)))</f>
        <v/>
      </c>
      <c r="E40" s="146" t="str" cm="1">
        <f t="array" ref="E40">IF(B40="","",INDEX('Lot Inputs'!$H$5:$H$507,MATCH(1,('Lot Inputs'!$A$5:$A$507=$B$3)*('Lot Inputs'!$B$5:$B$507=B40),0)))</f>
        <v/>
      </c>
      <c r="F40" s="108" t="str">
        <f>IF(E40="","",IF(R40="On Hold",0,E40)+IF(F39="",0,F39))</f>
        <v/>
      </c>
      <c r="G40" s="108" t="str">
        <f>IF(D40="","",SUMIFS($O$7:$O$500,$N$7:$N$500,"&gt;="&amp;IF(R40="On Hold",S40,Controls!$B$5),$N$7:$N$500,"&lt;="&amp;EDATE(D40,-$B$4)))</f>
        <v/>
      </c>
      <c r="H40" s="108" t="str">
        <f t="shared" ref="H40:H71" si="8">IF(E40="","",MIN(E40,MAX(0,G40-IF(ROW()=7,0,F39))))</f>
        <v/>
      </c>
      <c r="I40" s="147" t="str">
        <f t="shared" si="7"/>
        <v/>
      </c>
      <c r="J40" s="148" t="str">
        <f>IF(D40="","",(YEAR(EDATE(D40,-$B$4))-YEAR(Controls!$B$5))*12+MONTH(EDATE(D40,-$B$4))-MONTH(Controls!$B$5))</f>
        <v/>
      </c>
      <c r="K40" s="149" t="str">
        <f t="array" ref="K40">IF(F40="","",IFERROR(INDEX($N$7:$N$500,MATCH(TRUE(),$P$7:$P$500&gt;=F40,0)),"After Horizon"))</f>
        <v/>
      </c>
      <c r="L40" t="str">
        <f t="shared" si="4"/>
        <v/>
      </c>
      <c r="M40" s="17" t="str">
        <f t="shared" si="5"/>
        <v/>
      </c>
      <c r="N40" s="145">
        <v>47058</v>
      </c>
      <c r="O40" s="108">
        <f>SUMIFS('Planning Engine'!$F:$F,'Planning Engine'!$B:$B,$B$3,'Planning Engine'!$A:$A,N40)</f>
        <v>9926.9778893556359</v>
      </c>
      <c r="P40" s="108">
        <f t="shared" ref="P40:P71" si="9">P39+O40</f>
        <v>153078.98919857637</v>
      </c>
      <c r="Q40" s="146">
        <f>IF(N40&lt;=EDATE(Controls!$B$5,$B$4-1),O40,0)</f>
        <v>0</v>
      </c>
      <c r="R40" t="str" cm="1">
        <f t="array" ref="R40">IF(B40="","",IFERROR(INDEX('Lot Inputs'!$L$5:$L$507,MATCH(1,('Lot Inputs'!$A$5:$A$507=$B$3)*('Lot Inputs'!$B$5:$B$507=B40),0)),""))</f>
        <v/>
      </c>
      <c r="S40" s="205" t="str" cm="1">
        <f t="array" ref="S40">IF(B40="","",IFERROR(INDEX('Lot Inputs'!$M$5:$M$507,MATCH(1,('Lot Inputs'!$A$5:$A$507=$B$3)*('Lot Inputs'!$B$5:$B$507=B40),0)),""))</f>
        <v/>
      </c>
      <c r="T40" s="459" t="str">
        <f ca="1">IF(S40="","",S40-TODAY())</f>
        <v/>
      </c>
    </row>
    <row r="41" spans="1:20" ht="14" customHeight="1" x14ac:dyDescent="0.35">
      <c r="A41" s="142">
        <v>35</v>
      </c>
      <c r="B41" s="143" t="str" cm="1">
        <f t="array" ref="B41">IFERROR(INDEX('Lot Inputs'!$B$5:$B$507,MATCH(_xlfn.AGGREGATE(15,6,('Lot Inputs'!$J$5:$J$507)/(('Lot Inputs'!$A$5:$A$507=$B$3)*('Lot Inputs'!$H$5:$H$507&gt;0)),ROW()-6),IF('Lot Inputs'!$A$5:$A$507=$B$3,'Lot Inputs'!$J$5:$J$507),0)),"")</f>
        <v/>
      </c>
      <c r="C41" s="144" t="str">
        <f t="shared" si="2"/>
        <v/>
      </c>
      <c r="D41" s="145" t="str" cm="1">
        <f t="array" ref="D41">IF(B41="","",INDEX('Lot Inputs'!$E$5:$E$507,MATCH(1,('Lot Inputs'!$A$5:$A$507=$B$3)*('Lot Inputs'!$B$5:$B$507=B41),0)))</f>
        <v/>
      </c>
      <c r="E41" s="146" t="str" cm="1">
        <f t="array" ref="E41">IF(B41="","",INDEX('Lot Inputs'!$H$5:$H$507,MATCH(1,('Lot Inputs'!$A$5:$A$507=$B$3)*('Lot Inputs'!$B$5:$B$507=B41),0)))</f>
        <v/>
      </c>
      <c r="F41" s="108" t="str">
        <f>IF(E41="","",IF(R41="On Hold",0,E41)+IF(F40="",0,F40))</f>
        <v/>
      </c>
      <c r="G41" s="108" t="str">
        <f>IF(D41="","",SUMIFS($O$7:$O$500,$N$7:$N$500,"&gt;="&amp;IF(R41="On Hold",S41,Controls!$B$5),$N$7:$N$500,"&lt;="&amp;EDATE(D41,-$B$4)))</f>
        <v/>
      </c>
      <c r="H41" s="108" t="str">
        <f t="shared" si="8"/>
        <v/>
      </c>
      <c r="I41" s="147" t="str">
        <f t="shared" si="7"/>
        <v/>
      </c>
      <c r="J41" s="148" t="str">
        <f>IF(D41="","",(YEAR(EDATE(D41,-$B$4))-YEAR(Controls!$B$5))*12+MONTH(EDATE(D41,-$B$4))-MONTH(Controls!$B$5))</f>
        <v/>
      </c>
      <c r="K41" s="149" t="str">
        <f t="array" ref="K41">IF(F41="","",IFERROR(INDEX($N$7:$N$500,MATCH(TRUE(),$P$7:$P$500&gt;=F41,0)),"After Horizon"))</f>
        <v/>
      </c>
      <c r="L41" t="str">
        <f t="shared" si="4"/>
        <v/>
      </c>
      <c r="M41" s="17" t="str">
        <f t="shared" si="5"/>
        <v/>
      </c>
      <c r="N41" s="145">
        <v>47088</v>
      </c>
      <c r="O41" s="108">
        <f>SUMIFS('Planning Engine'!$F:$F,'Planning Engine'!$B:$B,$B$3,'Planning Engine'!$A:$A,N41)</f>
        <v>9094.1021153869915</v>
      </c>
      <c r="P41" s="108">
        <f t="shared" si="9"/>
        <v>162173.09131396335</v>
      </c>
      <c r="Q41" s="146">
        <f>IF(N41&lt;=EDATE(Controls!$B$5,$B$4-1),O41,0)</f>
        <v>0</v>
      </c>
      <c r="R41" t="str" cm="1">
        <f t="array" ref="R41">IF(B41="","",IFERROR(INDEX('Lot Inputs'!$L$5:$L$507,MATCH(1,('Lot Inputs'!$A$5:$A$507=$B$3)*('Lot Inputs'!$B$5:$B$507=B41),0)),""))</f>
        <v/>
      </c>
      <c r="S41" s="205" t="str" cm="1">
        <f t="array" ref="S41">IF(B41="","",IFERROR(INDEX('Lot Inputs'!$M$5:$M$507,MATCH(1,('Lot Inputs'!$A$5:$A$507=$B$3)*('Lot Inputs'!$B$5:$B$507=B41),0)),""))</f>
        <v/>
      </c>
      <c r="T41" s="459" t="str">
        <f ca="1">IF(S41="","",S41-TODAY())</f>
        <v/>
      </c>
    </row>
    <row r="42" spans="1:20" ht="14" customHeight="1" x14ac:dyDescent="0.35">
      <c r="A42" s="142">
        <v>36</v>
      </c>
      <c r="B42" s="143" t="str" cm="1">
        <f t="array" ref="B42">IFERROR(INDEX('Lot Inputs'!$B$5:$B$507,MATCH(_xlfn.AGGREGATE(15,6,('Lot Inputs'!$J$5:$J$507)/(('Lot Inputs'!$A$5:$A$507=$B$3)*('Lot Inputs'!$H$5:$H$507&gt;0)),ROW()-6),IF('Lot Inputs'!$A$5:$A$507=$B$3,'Lot Inputs'!$J$5:$J$507),0)),"")</f>
        <v/>
      </c>
      <c r="C42" s="144" t="str">
        <f t="shared" si="2"/>
        <v/>
      </c>
      <c r="D42" s="145" t="str" cm="1">
        <f t="array" ref="D42">IF(B42="","",INDEX('Lot Inputs'!$E$5:$E$507,MATCH(1,('Lot Inputs'!$A$5:$A$507=$B$3)*('Lot Inputs'!$B$5:$B$507=B42),0)))</f>
        <v/>
      </c>
      <c r="E42" s="146" t="str" cm="1">
        <f t="array" ref="E42">IF(B42="","",INDEX('Lot Inputs'!$H$5:$H$507,MATCH(1,('Lot Inputs'!$A$5:$A$507=$B$3)*('Lot Inputs'!$B$5:$B$507=B42),0)))</f>
        <v/>
      </c>
      <c r="F42" s="108" t="str">
        <f>IF(E42="","",IF(R42="On Hold",0,E42)+IF(F41="",0,F41))</f>
        <v/>
      </c>
      <c r="G42" s="108" t="str">
        <f>IF(D42="","",SUMIFS($O$7:$O$500,$N$7:$N$500,"&gt;="&amp;IF(R42="On Hold",S42,Controls!$B$5),$N$7:$N$500,"&lt;="&amp;EDATE(D42,-$B$4)))</f>
        <v/>
      </c>
      <c r="H42" s="108" t="str">
        <f t="shared" si="8"/>
        <v/>
      </c>
      <c r="I42" s="147" t="str">
        <f t="shared" si="7"/>
        <v/>
      </c>
      <c r="J42" s="148" t="str">
        <f>IF(D42="","",(YEAR(EDATE(D42,-$B$4))-YEAR(Controls!$B$5))*12+MONTH(EDATE(D42,-$B$4))-MONTH(Controls!$B$5))</f>
        <v/>
      </c>
      <c r="K42" s="149" t="str">
        <f t="array" ref="K42">IF(F42="","",IFERROR(INDEX($N$7:$N$500,MATCH(TRUE(),$P$7:$P$500&gt;=F42,0)),"After Horizon"))</f>
        <v/>
      </c>
      <c r="L42" t="str">
        <f t="shared" si="4"/>
        <v/>
      </c>
      <c r="M42" s="17" t="str">
        <f t="shared" si="5"/>
        <v/>
      </c>
      <c r="N42" s="145">
        <v>47119</v>
      </c>
      <c r="O42" s="108">
        <f>SUMIFS('Planning Engine'!$F:$F,'Planning Engine'!$B:$B,$B$3,'Planning Engine'!$A:$A,N42)</f>
        <v>9455.8897034058209</v>
      </c>
      <c r="P42" s="108">
        <f t="shared" si="9"/>
        <v>171628.98101736917</v>
      </c>
      <c r="Q42" s="146">
        <f>IF(N42&lt;=EDATE(Controls!$B$5,$B$4-1),O42,0)</f>
        <v>0</v>
      </c>
      <c r="R42" t="str" cm="1">
        <f t="array" ref="R42">IF(B42="","",IFERROR(INDEX('Lot Inputs'!$L$5:$L$507,MATCH(1,('Lot Inputs'!$A$5:$A$507=$B$3)*('Lot Inputs'!$B$5:$B$507=B42),0)),""))</f>
        <v/>
      </c>
      <c r="S42" s="205" t="str" cm="1">
        <f t="array" ref="S42">IF(B42="","",IFERROR(INDEX('Lot Inputs'!$M$5:$M$507,MATCH(1,('Lot Inputs'!$A$5:$A$507=$B$3)*('Lot Inputs'!$B$5:$B$507=B42),0)),""))</f>
        <v/>
      </c>
      <c r="T42" s="459" t="str">
        <f ca="1">IF(S42="","",S42-TODAY())</f>
        <v/>
      </c>
    </row>
    <row r="43" spans="1:20" ht="14" customHeight="1" x14ac:dyDescent="0.35">
      <c r="A43" s="142">
        <v>37</v>
      </c>
      <c r="B43" s="143" t="str" cm="1">
        <f t="array" ref="B43">IFERROR(INDEX('Lot Inputs'!$B$5:$B$507,MATCH(_xlfn.AGGREGATE(15,6,('Lot Inputs'!$J$5:$J$507)/(('Lot Inputs'!$A$5:$A$507=$B$3)*('Lot Inputs'!$H$5:$H$507&gt;0)),ROW()-6),IF('Lot Inputs'!$A$5:$A$507=$B$3,'Lot Inputs'!$J$5:$J$507),0)),"")</f>
        <v/>
      </c>
      <c r="C43" s="144" t="str">
        <f t="shared" si="2"/>
        <v/>
      </c>
      <c r="D43" s="145" t="str" cm="1">
        <f t="array" ref="D43">IF(B43="","",INDEX('Lot Inputs'!$E$5:$E$507,MATCH(1,('Lot Inputs'!$A$5:$A$507=$B$3)*('Lot Inputs'!$B$5:$B$507=B43),0)))</f>
        <v/>
      </c>
      <c r="E43" s="146" t="str" cm="1">
        <f t="array" ref="E43">IF(B43="","",INDEX('Lot Inputs'!$H$5:$H$507,MATCH(1,('Lot Inputs'!$A$5:$A$507=$B$3)*('Lot Inputs'!$B$5:$B$507=B43),0)))</f>
        <v/>
      </c>
      <c r="F43" s="108" t="str">
        <f>IF(E43="","",IF(R43="On Hold",0,E43)+IF(F42="",0,F42))</f>
        <v/>
      </c>
      <c r="G43" s="108" t="str">
        <f>IF(D43="","",SUMIFS($O$7:$O$500,$N$7:$N$500,"&gt;="&amp;IF(R43="On Hold",S43,Controls!$B$5),$N$7:$N$500,"&lt;="&amp;EDATE(D43,-$B$4)))</f>
        <v/>
      </c>
      <c r="H43" s="108" t="str">
        <f t="shared" si="8"/>
        <v/>
      </c>
      <c r="I43" s="147" t="str">
        <f t="shared" si="7"/>
        <v/>
      </c>
      <c r="J43" s="148" t="str">
        <f>IF(D43="","",(YEAR(EDATE(D43,-$B$4))-YEAR(Controls!$B$5))*12+MONTH(EDATE(D43,-$B$4))-MONTH(Controls!$B$5))</f>
        <v/>
      </c>
      <c r="K43" s="149" t="str">
        <f t="array" ref="K43">IF(F43="","",IFERROR(INDEX($N$7:$N$500,MATCH(TRUE(),$P$7:$P$500&gt;=F43,0)),"After Horizon"))</f>
        <v/>
      </c>
      <c r="L43" t="str">
        <f t="shared" si="4"/>
        <v/>
      </c>
      <c r="M43" s="17" t="str">
        <f t="shared" si="5"/>
        <v/>
      </c>
      <c r="N43" s="145">
        <v>47150</v>
      </c>
      <c r="O43" s="108">
        <f>SUMIFS('Planning Engine'!$F:$F,'Planning Engine'!$B:$B,$B$3,'Planning Engine'!$A:$A,N43)</f>
        <v>10399.376703097714</v>
      </c>
      <c r="P43" s="108">
        <f t="shared" si="9"/>
        <v>182028.35772046688</v>
      </c>
      <c r="Q43" s="146">
        <f>IF(N43&lt;=EDATE(Controls!$B$5,$B$4-1),O43,0)</f>
        <v>0</v>
      </c>
      <c r="R43" t="str" cm="1">
        <f t="array" ref="R43">IF(B43="","",IFERROR(INDEX('Lot Inputs'!$L$5:$L$507,MATCH(1,('Lot Inputs'!$A$5:$A$507=$B$3)*('Lot Inputs'!$B$5:$B$507=B43),0)),""))</f>
        <v/>
      </c>
      <c r="S43" s="205" t="str" cm="1">
        <f t="array" ref="S43">IF(B43="","",IFERROR(INDEX('Lot Inputs'!$M$5:$M$507,MATCH(1,('Lot Inputs'!$A$5:$A$507=$B$3)*('Lot Inputs'!$B$5:$B$507=B43),0)),""))</f>
        <v/>
      </c>
      <c r="T43" s="459" t="str">
        <f ca="1">IF(S43="","",S43-TODAY())</f>
        <v/>
      </c>
    </row>
    <row r="44" spans="1:20" ht="14" customHeight="1" x14ac:dyDescent="0.35">
      <c r="A44" s="142">
        <v>38</v>
      </c>
      <c r="B44" s="143" t="str" cm="1">
        <f t="array" ref="B44">IFERROR(INDEX('Lot Inputs'!$B$5:$B$507,MATCH(_xlfn.AGGREGATE(15,6,('Lot Inputs'!$J$5:$J$507)/(('Lot Inputs'!$A$5:$A$507=$B$3)*('Lot Inputs'!$H$5:$H$507&gt;0)),ROW()-6),IF('Lot Inputs'!$A$5:$A$507=$B$3,'Lot Inputs'!$J$5:$J$507),0)),"")</f>
        <v/>
      </c>
      <c r="C44" s="144" t="str">
        <f t="shared" si="2"/>
        <v/>
      </c>
      <c r="D44" s="145" t="str" cm="1">
        <f t="array" ref="D44">IF(B44="","",INDEX('Lot Inputs'!$E$5:$E$507,MATCH(1,('Lot Inputs'!$A$5:$A$507=$B$3)*('Lot Inputs'!$B$5:$B$507=B44),0)))</f>
        <v/>
      </c>
      <c r="E44" s="146" t="str" cm="1">
        <f t="array" ref="E44">IF(B44="","",INDEX('Lot Inputs'!$H$5:$H$507,MATCH(1,('Lot Inputs'!$A$5:$A$507=$B$3)*('Lot Inputs'!$B$5:$B$507=B44),0)))</f>
        <v/>
      </c>
      <c r="F44" s="108" t="str">
        <f>IF(E44="","",IF(R44="On Hold",0,E44)+IF(F43="",0,F43))</f>
        <v/>
      </c>
      <c r="G44" s="108" t="str">
        <f>IF(D44="","",SUMIFS($O$7:$O$500,$N$7:$N$500,"&gt;="&amp;IF(R44="On Hold",S44,Controls!$B$5),$N$7:$N$500,"&lt;="&amp;EDATE(D44,-$B$4)))</f>
        <v/>
      </c>
      <c r="H44" s="108" t="str">
        <f t="shared" si="8"/>
        <v/>
      </c>
      <c r="I44" s="147" t="str">
        <f t="shared" si="7"/>
        <v/>
      </c>
      <c r="J44" s="148" t="str">
        <f>IF(D44="","",(YEAR(EDATE(D44,-$B$4))-YEAR(Controls!$B$5))*12+MONTH(EDATE(D44,-$B$4))-MONTH(Controls!$B$5))</f>
        <v/>
      </c>
      <c r="K44" s="149" t="str">
        <f t="array" ref="K44">IF(F44="","",IFERROR(INDEX($N$7:$N$500,MATCH(TRUE(),$P$7:$P$500&gt;=F44,0)),"After Horizon"))</f>
        <v/>
      </c>
      <c r="L44" t="str">
        <f t="shared" si="4"/>
        <v/>
      </c>
      <c r="M44" s="17" t="str">
        <f t="shared" si="5"/>
        <v/>
      </c>
      <c r="N44" s="145">
        <v>47178</v>
      </c>
      <c r="O44" s="108">
        <f>SUMIFS('Planning Engine'!$F:$F,'Planning Engine'!$B:$B,$B$3,'Planning Engine'!$A:$A,N44)</f>
        <v>8633.43340643991</v>
      </c>
      <c r="P44" s="108">
        <f t="shared" si="9"/>
        <v>190661.79112690678</v>
      </c>
      <c r="Q44" s="146">
        <f>IF(N44&lt;=EDATE(Controls!$B$5,$B$4-1),O44,0)</f>
        <v>0</v>
      </c>
      <c r="R44" t="str" cm="1">
        <f t="array" ref="R44">IF(B44="","",IFERROR(INDEX('Lot Inputs'!$L$5:$L$507,MATCH(1,('Lot Inputs'!$A$5:$A$507=$B$3)*('Lot Inputs'!$B$5:$B$507=B44),0)),""))</f>
        <v/>
      </c>
      <c r="S44" s="205" t="str" cm="1">
        <f t="array" ref="S44">IF(B44="","",IFERROR(INDEX('Lot Inputs'!$M$5:$M$507,MATCH(1,('Lot Inputs'!$A$5:$A$507=$B$3)*('Lot Inputs'!$B$5:$B$507=B44),0)),""))</f>
        <v/>
      </c>
      <c r="T44" s="459" t="str">
        <f ca="1">IF(S44="","",S44-TODAY())</f>
        <v/>
      </c>
    </row>
    <row r="45" spans="1:20" ht="14" customHeight="1" x14ac:dyDescent="0.35">
      <c r="A45" s="142">
        <v>39</v>
      </c>
      <c r="B45" s="143" t="str" cm="1">
        <f t="array" ref="B45">IFERROR(INDEX('Lot Inputs'!$B$5:$B$507,MATCH(_xlfn.AGGREGATE(15,6,('Lot Inputs'!$J$5:$J$507)/(('Lot Inputs'!$A$5:$A$507=$B$3)*('Lot Inputs'!$H$5:$H$507&gt;0)),ROW()-6),IF('Lot Inputs'!$A$5:$A$507=$B$3,'Lot Inputs'!$J$5:$J$507),0)),"")</f>
        <v/>
      </c>
      <c r="C45" s="144" t="str">
        <f t="shared" si="2"/>
        <v/>
      </c>
      <c r="D45" s="145" t="str" cm="1">
        <f t="array" ref="D45">IF(B45="","",INDEX('Lot Inputs'!$E$5:$E$507,MATCH(1,('Lot Inputs'!$A$5:$A$507=$B$3)*('Lot Inputs'!$B$5:$B$507=B45),0)))</f>
        <v/>
      </c>
      <c r="E45" s="146" t="str" cm="1">
        <f t="array" ref="E45">IF(B45="","",INDEX('Lot Inputs'!$H$5:$H$507,MATCH(1,('Lot Inputs'!$A$5:$A$507=$B$3)*('Lot Inputs'!$B$5:$B$507=B45),0)))</f>
        <v/>
      </c>
      <c r="F45" s="108" t="str">
        <f>IF(E45="","",IF(R45="On Hold",0,E45)+IF(F44="",0,F44))</f>
        <v/>
      </c>
      <c r="G45" s="108" t="str">
        <f>IF(D45="","",SUMIFS($O$7:$O$500,$N$7:$N$500,"&gt;="&amp;IF(R45="On Hold",S45,Controls!$B$5),$N$7:$N$500,"&lt;="&amp;EDATE(D45,-$B$4)))</f>
        <v/>
      </c>
      <c r="H45" s="108" t="str">
        <f t="shared" si="8"/>
        <v/>
      </c>
      <c r="I45" s="147" t="str">
        <f t="shared" si="7"/>
        <v/>
      </c>
      <c r="J45" s="148" t="str">
        <f>IF(D45="","",(YEAR(EDATE(D45,-$B$4))-YEAR(Controls!$B$5))*12+MONTH(EDATE(D45,-$B$4))-MONTH(Controls!$B$5))</f>
        <v/>
      </c>
      <c r="K45" s="149" t="str">
        <f t="array" ref="K45">IF(F45="","",IFERROR(INDEX($N$7:$N$500,MATCH(TRUE(),$P$7:$P$500&gt;=F45,0)),"After Horizon"))</f>
        <v/>
      </c>
      <c r="L45" t="str">
        <f t="shared" si="4"/>
        <v/>
      </c>
      <c r="M45" s="17" t="str">
        <f t="shared" si="5"/>
        <v/>
      </c>
      <c r="N45" s="145">
        <v>47209</v>
      </c>
      <c r="O45" s="108">
        <f>SUMIFS('Planning Engine'!$F:$F,'Planning Engine'!$B:$B,$B$3,'Planning Engine'!$A:$A,N45)</f>
        <v>11698.43947969805</v>
      </c>
      <c r="P45" s="108">
        <f t="shared" si="9"/>
        <v>202360.23060660483</v>
      </c>
      <c r="Q45" s="146">
        <f>IF(N45&lt;=EDATE(Controls!$B$5,$B$4-1),O45,0)</f>
        <v>0</v>
      </c>
      <c r="R45" t="str" cm="1">
        <f t="array" ref="R45">IF(B45="","",IFERROR(INDEX('Lot Inputs'!$L$5:$L$507,MATCH(1,('Lot Inputs'!$A$5:$A$507=$B$3)*('Lot Inputs'!$B$5:$B$507=B45),0)),""))</f>
        <v/>
      </c>
      <c r="S45" s="205" t="str" cm="1">
        <f t="array" ref="S45">IF(B45="","",IFERROR(INDEX('Lot Inputs'!$M$5:$M$507,MATCH(1,('Lot Inputs'!$A$5:$A$507=$B$3)*('Lot Inputs'!$B$5:$B$507=B45),0)),""))</f>
        <v/>
      </c>
      <c r="T45" s="459" t="str">
        <f ca="1">IF(S45="","",S45-TODAY())</f>
        <v/>
      </c>
    </row>
    <row r="46" spans="1:20" ht="14" customHeight="1" x14ac:dyDescent="0.35">
      <c r="A46" s="142">
        <v>40</v>
      </c>
      <c r="B46" s="143" t="str" cm="1">
        <f t="array" ref="B46">IFERROR(INDEX('Lot Inputs'!$B$5:$B$507,MATCH(_xlfn.AGGREGATE(15,6,('Lot Inputs'!$J$5:$J$507)/(('Lot Inputs'!$A$5:$A$507=$B$3)*('Lot Inputs'!$H$5:$H$507&gt;0)),ROW()-6),IF('Lot Inputs'!$A$5:$A$507=$B$3,'Lot Inputs'!$J$5:$J$507),0)),"")</f>
        <v/>
      </c>
      <c r="C46" s="144" t="str">
        <f t="shared" si="2"/>
        <v/>
      </c>
      <c r="D46" s="145" t="str" cm="1">
        <f t="array" ref="D46">IF(B46="","",INDEX('Lot Inputs'!$E$5:$E$507,MATCH(1,('Lot Inputs'!$A$5:$A$507=$B$3)*('Lot Inputs'!$B$5:$B$507=B46),0)))</f>
        <v/>
      </c>
      <c r="E46" s="146" t="str" cm="1">
        <f t="array" ref="E46">IF(B46="","",INDEX('Lot Inputs'!$H$5:$H$507,MATCH(1,('Lot Inputs'!$A$5:$A$507=$B$3)*('Lot Inputs'!$B$5:$B$507=B46),0)))</f>
        <v/>
      </c>
      <c r="F46" s="108" t="str">
        <f>IF(E46="","",IF(R46="On Hold",0,E46)+IF(F45="",0,F45))</f>
        <v/>
      </c>
      <c r="G46" s="108" t="str">
        <f>IF(D46="","",SUMIFS($O$7:$O$500,$N$7:$N$500,"&gt;="&amp;IF(R46="On Hold",S46,Controls!$B$5),$N$7:$N$500,"&lt;="&amp;EDATE(D46,-$B$4)))</f>
        <v/>
      </c>
      <c r="H46" s="108" t="str">
        <f t="shared" si="8"/>
        <v/>
      </c>
      <c r="I46" s="147" t="str">
        <f t="shared" si="7"/>
        <v/>
      </c>
      <c r="J46" s="148" t="str">
        <f>IF(D46="","",(YEAR(EDATE(D46,-$B$4))-YEAR(Controls!$B$5))*12+MONTH(EDATE(D46,-$B$4))-MONTH(Controls!$B$5))</f>
        <v/>
      </c>
      <c r="K46" s="149" t="str">
        <f t="array" ref="K46">IF(F46="","",IFERROR(INDEX($N$7:$N$500,MATCH(TRUE(),$P$7:$P$500&gt;=F46,0)),"After Horizon"))</f>
        <v/>
      </c>
      <c r="L46" t="str">
        <f t="shared" si="4"/>
        <v/>
      </c>
      <c r="M46" s="17" t="str">
        <f t="shared" si="5"/>
        <v/>
      </c>
      <c r="N46" s="145">
        <v>47239</v>
      </c>
      <c r="O46" s="108">
        <f>SUMIFS('Planning Engine'!$F:$F,'Planning Engine'!$B:$B,$B$3,'Planning Engine'!$A:$A,N46)</f>
        <v>10281.361155544804</v>
      </c>
      <c r="P46" s="108">
        <f t="shared" si="9"/>
        <v>212641.59176214965</v>
      </c>
      <c r="Q46" s="146">
        <f>IF(N46&lt;=EDATE(Controls!$B$5,$B$4-1),O46,0)</f>
        <v>0</v>
      </c>
      <c r="R46" t="str" cm="1">
        <f t="array" ref="R46">IF(B46="","",IFERROR(INDEX('Lot Inputs'!$L$5:$L$507,MATCH(1,('Lot Inputs'!$A$5:$A$507=$B$3)*('Lot Inputs'!$B$5:$B$507=B46),0)),""))</f>
        <v/>
      </c>
      <c r="S46" s="205" t="str" cm="1">
        <f t="array" ref="S46">IF(B46="","",IFERROR(INDEX('Lot Inputs'!$M$5:$M$507,MATCH(1,('Lot Inputs'!$A$5:$A$507=$B$3)*('Lot Inputs'!$B$5:$B$507=B46),0)),""))</f>
        <v/>
      </c>
      <c r="T46" s="459" t="str">
        <f ca="1">IF(S46="","",S46-TODAY())</f>
        <v/>
      </c>
    </row>
    <row r="47" spans="1:20" ht="14" customHeight="1" x14ac:dyDescent="0.35">
      <c r="A47" s="142">
        <v>41</v>
      </c>
      <c r="B47" s="143" t="str" cm="1">
        <f t="array" ref="B47">IFERROR(INDEX('Lot Inputs'!$B$5:$B$507,MATCH(_xlfn.AGGREGATE(15,6,('Lot Inputs'!$J$5:$J$507)/(('Lot Inputs'!$A$5:$A$507=$B$3)*('Lot Inputs'!$H$5:$H$507&gt;0)),ROW()-6),IF('Lot Inputs'!$A$5:$A$507=$B$3,'Lot Inputs'!$J$5:$J$507),0)),"")</f>
        <v/>
      </c>
      <c r="C47" s="144" t="str">
        <f t="shared" si="2"/>
        <v/>
      </c>
      <c r="D47" s="145" t="str" cm="1">
        <f t="array" ref="D47">IF(B47="","",INDEX('Lot Inputs'!$E$5:$E$507,MATCH(1,('Lot Inputs'!$A$5:$A$507=$B$3)*('Lot Inputs'!$B$5:$B$507=B47),0)))</f>
        <v/>
      </c>
      <c r="E47" s="146" t="str" cm="1">
        <f t="array" ref="E47">IF(B47="","",INDEX('Lot Inputs'!$H$5:$H$507,MATCH(1,('Lot Inputs'!$A$5:$A$507=$B$3)*('Lot Inputs'!$B$5:$B$507=B47),0)))</f>
        <v/>
      </c>
      <c r="F47" s="108" t="str">
        <f>IF(E47="","",IF(R47="On Hold",0,E47)+IF(F46="",0,F46))</f>
        <v/>
      </c>
      <c r="G47" s="108" t="str">
        <f>IF(D47="","",SUMIFS($O$7:$O$500,$N$7:$N$500,"&gt;="&amp;IF(R47="On Hold",S47,Controls!$B$5),$N$7:$N$500,"&lt;="&amp;EDATE(D47,-$B$4)))</f>
        <v/>
      </c>
      <c r="H47" s="108" t="str">
        <f t="shared" si="8"/>
        <v/>
      </c>
      <c r="I47" s="147" t="str">
        <f t="shared" si="7"/>
        <v/>
      </c>
      <c r="J47" s="148" t="str">
        <f>IF(D47="","",(YEAR(EDATE(D47,-$B$4))-YEAR(Controls!$B$5))*12+MONTH(EDATE(D47,-$B$4))-MONTH(Controls!$B$5))</f>
        <v/>
      </c>
      <c r="K47" s="149" t="str">
        <f t="array" ref="K47">IF(F47="","",IFERROR(INDEX($N$7:$N$500,MATCH(TRUE(),$P$7:$P$500&gt;=F47,0)),"After Horizon"))</f>
        <v/>
      </c>
      <c r="L47" t="str">
        <f t="shared" si="4"/>
        <v/>
      </c>
      <c r="M47" s="17" t="str">
        <f t="shared" si="5"/>
        <v/>
      </c>
      <c r="N47" s="145">
        <v>47270</v>
      </c>
      <c r="O47" s="108">
        <f>SUMIFS('Planning Engine'!$F:$F,'Planning Engine'!$B:$B,$B$3,'Planning Engine'!$A:$A,N47)</f>
        <v>11558.047294338838</v>
      </c>
      <c r="P47" s="108">
        <f t="shared" si="9"/>
        <v>224199.63905648849</v>
      </c>
      <c r="Q47" s="146">
        <f>IF(N47&lt;=EDATE(Controls!$B$5,$B$4-1),O47,0)</f>
        <v>0</v>
      </c>
      <c r="R47" t="str" cm="1">
        <f t="array" ref="R47">IF(B47="","",IFERROR(INDEX('Lot Inputs'!$L$5:$L$507,MATCH(1,('Lot Inputs'!$A$5:$A$507=$B$3)*('Lot Inputs'!$B$5:$B$507=B47),0)),""))</f>
        <v/>
      </c>
      <c r="S47" s="205" t="str" cm="1">
        <f t="array" ref="S47">IF(B47="","",IFERROR(INDEX('Lot Inputs'!$M$5:$M$507,MATCH(1,('Lot Inputs'!$A$5:$A$507=$B$3)*('Lot Inputs'!$B$5:$B$507=B47),0)),""))</f>
        <v/>
      </c>
      <c r="T47" s="459" t="str">
        <f ca="1">IF(S47="","",S47-TODAY())</f>
        <v/>
      </c>
    </row>
    <row r="48" spans="1:20" ht="14" customHeight="1" x14ac:dyDescent="0.35">
      <c r="A48" s="142">
        <v>42</v>
      </c>
      <c r="B48" s="143" t="str" cm="1">
        <f t="array" ref="B48">IFERROR(INDEX('Lot Inputs'!$B$5:$B$507,MATCH(_xlfn.AGGREGATE(15,6,('Lot Inputs'!$J$5:$J$507)/(('Lot Inputs'!$A$5:$A$507=$B$3)*('Lot Inputs'!$H$5:$H$507&gt;0)),ROW()-6),IF('Lot Inputs'!$A$5:$A$507=$B$3,'Lot Inputs'!$J$5:$J$507),0)),"")</f>
        <v/>
      </c>
      <c r="C48" s="144" t="str">
        <f t="shared" si="2"/>
        <v/>
      </c>
      <c r="D48" s="145" t="str" cm="1">
        <f t="array" ref="D48">IF(B48="","",INDEX('Lot Inputs'!$E$5:$E$507,MATCH(1,('Lot Inputs'!$A$5:$A$507=$B$3)*('Lot Inputs'!$B$5:$B$507=B48),0)))</f>
        <v/>
      </c>
      <c r="E48" s="146" t="str" cm="1">
        <f t="array" ref="E48">IF(B48="","",INDEX('Lot Inputs'!$H$5:$H$507,MATCH(1,('Lot Inputs'!$A$5:$A$507=$B$3)*('Lot Inputs'!$B$5:$B$507=B48),0)))</f>
        <v/>
      </c>
      <c r="F48" s="108" t="str">
        <f>IF(E48="","",IF(R48="On Hold",0,E48)+IF(F47="",0,F47))</f>
        <v/>
      </c>
      <c r="G48" s="108" t="str">
        <f>IF(D48="","",SUMIFS($O$7:$O$500,$N$7:$N$500,"&gt;="&amp;IF(R48="On Hold",S48,Controls!$B$5),$N$7:$N$500,"&lt;="&amp;EDATE(D48,-$B$4)))</f>
        <v/>
      </c>
      <c r="H48" s="108" t="str">
        <f t="shared" si="8"/>
        <v/>
      </c>
      <c r="I48" s="147" t="str">
        <f t="shared" si="7"/>
        <v/>
      </c>
      <c r="J48" s="148" t="str">
        <f>IF(D48="","",(YEAR(EDATE(D48,-$B$4))-YEAR(Controls!$B$5))*12+MONTH(EDATE(D48,-$B$4))-MONTH(Controls!$B$5))</f>
        <v/>
      </c>
      <c r="K48" s="149" t="str">
        <f t="array" ref="K48">IF(F48="","",IFERROR(INDEX($N$7:$N$500,MATCH(TRUE(),$P$7:$P$500&gt;=F48,0)),"After Horizon"))</f>
        <v/>
      </c>
      <c r="L48" t="str">
        <f t="shared" si="4"/>
        <v/>
      </c>
      <c r="M48" s="17" t="str">
        <f t="shared" si="5"/>
        <v/>
      </c>
      <c r="N48" s="145">
        <v>47300</v>
      </c>
      <c r="O48" s="108">
        <f>SUMIFS('Planning Engine'!$F:$F,'Planning Engine'!$B:$B,$B$3,'Planning Engine'!$A:$A,N48)</f>
        <v>9710.2972673691693</v>
      </c>
      <c r="P48" s="108">
        <f t="shared" si="9"/>
        <v>233909.93632385766</v>
      </c>
      <c r="Q48" s="146">
        <f>IF(N48&lt;=EDATE(Controls!$B$5,$B$4-1),O48,0)</f>
        <v>0</v>
      </c>
      <c r="R48" t="str" cm="1">
        <f t="array" ref="R48">IF(B48="","",IFERROR(INDEX('Lot Inputs'!$L$5:$L$507,MATCH(1,('Lot Inputs'!$A$5:$A$507=$B$3)*('Lot Inputs'!$B$5:$B$507=B48),0)),""))</f>
        <v/>
      </c>
      <c r="S48" s="205" t="str" cm="1">
        <f t="array" ref="S48">IF(B48="","",IFERROR(INDEX('Lot Inputs'!$M$5:$M$507,MATCH(1,('Lot Inputs'!$A$5:$A$507=$B$3)*('Lot Inputs'!$B$5:$B$507=B48),0)),""))</f>
        <v/>
      </c>
      <c r="T48" s="459" t="str">
        <f ca="1">IF(S48="","",S48-TODAY())</f>
        <v/>
      </c>
    </row>
    <row r="49" spans="1:20" ht="14" customHeight="1" x14ac:dyDescent="0.35">
      <c r="A49" s="142">
        <v>43</v>
      </c>
      <c r="B49" s="143" t="str" cm="1">
        <f t="array" ref="B49">IFERROR(INDEX('Lot Inputs'!$B$5:$B$507,MATCH(_xlfn.AGGREGATE(15,6,('Lot Inputs'!$J$5:$J$507)/(('Lot Inputs'!$A$5:$A$507=$B$3)*('Lot Inputs'!$H$5:$H$507&gt;0)),ROW()-6),IF('Lot Inputs'!$A$5:$A$507=$B$3,'Lot Inputs'!$J$5:$J$507),0)),"")</f>
        <v/>
      </c>
      <c r="C49" s="144" t="str">
        <f t="shared" si="2"/>
        <v/>
      </c>
      <c r="D49" s="145" t="str" cm="1">
        <f t="array" ref="D49">IF(B49="","",INDEX('Lot Inputs'!$E$5:$E$507,MATCH(1,('Lot Inputs'!$A$5:$A$507=$B$3)*('Lot Inputs'!$B$5:$B$507=B49),0)))</f>
        <v/>
      </c>
      <c r="E49" s="146" t="str" cm="1">
        <f t="array" ref="E49">IF(B49="","",INDEX('Lot Inputs'!$H$5:$H$507,MATCH(1,('Lot Inputs'!$A$5:$A$507=$B$3)*('Lot Inputs'!$B$5:$B$507=B49),0)))</f>
        <v/>
      </c>
      <c r="F49" s="108" t="str">
        <f>IF(E49="","",IF(R49="On Hold",0,E49)+IF(F48="",0,F48))</f>
        <v/>
      </c>
      <c r="G49" s="108" t="str">
        <f>IF(D49="","",SUMIFS($O$7:$O$500,$N$7:$N$500,"&gt;="&amp;IF(R49="On Hold",S49,Controls!$B$5),$N$7:$N$500,"&lt;="&amp;EDATE(D49,-$B$4)))</f>
        <v/>
      </c>
      <c r="H49" s="108" t="str">
        <f t="shared" si="8"/>
        <v/>
      </c>
      <c r="I49" s="147" t="str">
        <f t="shared" si="7"/>
        <v/>
      </c>
      <c r="J49" s="148" t="str">
        <f>IF(D49="","",(YEAR(EDATE(D49,-$B$4))-YEAR(Controls!$B$5))*12+MONTH(EDATE(D49,-$B$4))-MONTH(Controls!$B$5))</f>
        <v/>
      </c>
      <c r="K49" s="149" t="str">
        <f t="array" ref="K49">IF(F49="","",IFERROR(INDEX($N$7:$N$500,MATCH(TRUE(),$P$7:$P$500&gt;=F49,0)),"After Horizon"))</f>
        <v/>
      </c>
      <c r="L49" t="str">
        <f t="shared" si="4"/>
        <v/>
      </c>
      <c r="M49" s="17" t="str">
        <f t="shared" si="5"/>
        <v/>
      </c>
      <c r="N49" s="145">
        <v>47331</v>
      </c>
      <c r="O49" s="108">
        <f>SUMIFS('Planning Engine'!$F:$F,'Planning Engine'!$B:$B,$B$3,'Planning Engine'!$A:$A,N49)</f>
        <v>11200.746895376578</v>
      </c>
      <c r="P49" s="108">
        <f t="shared" si="9"/>
        <v>245110.68321923423</v>
      </c>
      <c r="Q49" s="146">
        <f>IF(N49&lt;=EDATE(Controls!$B$5,$B$4-1),O49,0)</f>
        <v>0</v>
      </c>
      <c r="R49" t="str" cm="1">
        <f t="array" ref="R49">IF(B49="","",IFERROR(INDEX('Lot Inputs'!$L$5:$L$507,MATCH(1,('Lot Inputs'!$A$5:$A$507=$B$3)*('Lot Inputs'!$B$5:$B$507=B49),0)),""))</f>
        <v/>
      </c>
      <c r="S49" s="205" t="str" cm="1">
        <f t="array" ref="S49">IF(B49="","",IFERROR(INDEX('Lot Inputs'!$M$5:$M$507,MATCH(1,('Lot Inputs'!$A$5:$A$507=$B$3)*('Lot Inputs'!$B$5:$B$507=B49),0)),""))</f>
        <v/>
      </c>
      <c r="T49" s="459" t="str">
        <f ca="1">IF(S49="","",S49-TODAY())</f>
        <v/>
      </c>
    </row>
    <row r="50" spans="1:20" ht="14" customHeight="1" x14ac:dyDescent="0.35">
      <c r="A50" s="142">
        <v>44</v>
      </c>
      <c r="B50" s="143" t="str" cm="1">
        <f t="array" ref="B50">IFERROR(INDEX('Lot Inputs'!$B$5:$B$507,MATCH(_xlfn.AGGREGATE(15,6,('Lot Inputs'!$J$5:$J$507)/(('Lot Inputs'!$A$5:$A$507=$B$3)*('Lot Inputs'!$H$5:$H$507&gt;0)),ROW()-6),IF('Lot Inputs'!$A$5:$A$507=$B$3,'Lot Inputs'!$J$5:$J$507),0)),"")</f>
        <v/>
      </c>
      <c r="C50" s="144" t="str">
        <f t="shared" si="2"/>
        <v/>
      </c>
      <c r="D50" s="145" t="str" cm="1">
        <f t="array" ref="D50">IF(B50="","",INDEX('Lot Inputs'!$E$5:$E$507,MATCH(1,('Lot Inputs'!$A$5:$A$507=$B$3)*('Lot Inputs'!$B$5:$B$507=B50),0)))</f>
        <v/>
      </c>
      <c r="E50" s="146" t="str" cm="1">
        <f t="array" ref="E50">IF(B50="","",INDEX('Lot Inputs'!$H$5:$H$507,MATCH(1,('Lot Inputs'!$A$5:$A$507=$B$3)*('Lot Inputs'!$B$5:$B$507=B50),0)))</f>
        <v/>
      </c>
      <c r="F50" s="108" t="str">
        <f>IF(E50="","",IF(R50="On Hold",0,E50)+IF(F49="",0,F49))</f>
        <v/>
      </c>
      <c r="G50" s="108" t="str">
        <f>IF(D50="","",SUMIFS($O$7:$O$500,$N$7:$N$500,"&gt;="&amp;IF(R50="On Hold",S50,Controls!$B$5),$N$7:$N$500,"&lt;="&amp;EDATE(D50,-$B$4)))</f>
        <v/>
      </c>
      <c r="H50" s="108" t="str">
        <f t="shared" si="8"/>
        <v/>
      </c>
      <c r="I50" s="147" t="str">
        <f t="shared" si="7"/>
        <v/>
      </c>
      <c r="J50" s="148" t="str">
        <f>IF(D50="","",(YEAR(EDATE(D50,-$B$4))-YEAR(Controls!$B$5))*12+MONTH(EDATE(D50,-$B$4))-MONTH(Controls!$B$5))</f>
        <v/>
      </c>
      <c r="K50" s="149" t="str">
        <f t="array" ref="K50">IF(F50="","",IFERROR(INDEX($N$7:$N$500,MATCH(TRUE(),$P$7:$P$500&gt;=F50,0)),"After Horizon"))</f>
        <v/>
      </c>
      <c r="L50" t="str">
        <f t="shared" si="4"/>
        <v/>
      </c>
      <c r="M50" s="17" t="str">
        <f t="shared" si="5"/>
        <v/>
      </c>
      <c r="N50" s="145">
        <v>47362</v>
      </c>
      <c r="O50" s="108">
        <f>SUMIFS('Planning Engine'!$F:$F,'Planning Engine'!$B:$B,$B$3,'Planning Engine'!$A:$A,N50)</f>
        <v>12925.351391310809</v>
      </c>
      <c r="P50" s="108">
        <f t="shared" si="9"/>
        <v>258036.03461054503</v>
      </c>
      <c r="Q50" s="146">
        <f>IF(N50&lt;=EDATE(Controls!$B$5,$B$4-1),O50,0)</f>
        <v>0</v>
      </c>
      <c r="R50" t="str" cm="1">
        <f t="array" ref="R50">IF(B50="","",IFERROR(INDEX('Lot Inputs'!$L$5:$L$507,MATCH(1,('Lot Inputs'!$A$5:$A$507=$B$3)*('Lot Inputs'!$B$5:$B$507=B50),0)),""))</f>
        <v/>
      </c>
      <c r="S50" s="205" t="str" cm="1">
        <f t="array" ref="S50">IF(B50="","",IFERROR(INDEX('Lot Inputs'!$M$5:$M$507,MATCH(1,('Lot Inputs'!$A$5:$A$507=$B$3)*('Lot Inputs'!$B$5:$B$507=B50),0)),""))</f>
        <v/>
      </c>
      <c r="T50" s="459" t="str">
        <f ca="1">IF(S50="","",S50-TODAY())</f>
        <v/>
      </c>
    </row>
    <row r="51" spans="1:20" ht="14" customHeight="1" x14ac:dyDescent="0.35">
      <c r="A51" s="142">
        <v>45</v>
      </c>
      <c r="B51" s="143" t="str" cm="1">
        <f t="array" ref="B51">IFERROR(INDEX('Lot Inputs'!$B$5:$B$507,MATCH(_xlfn.AGGREGATE(15,6,('Lot Inputs'!$J$5:$J$507)/(('Lot Inputs'!$A$5:$A$507=$B$3)*('Lot Inputs'!$H$5:$H$507&gt;0)),ROW()-6),IF('Lot Inputs'!$A$5:$A$507=$B$3,'Lot Inputs'!$J$5:$J$507),0)),"")</f>
        <v/>
      </c>
      <c r="C51" s="144" t="str">
        <f t="shared" si="2"/>
        <v/>
      </c>
      <c r="D51" s="145" t="str" cm="1">
        <f t="array" ref="D51">IF(B51="","",INDEX('Lot Inputs'!$E$5:$E$507,MATCH(1,('Lot Inputs'!$A$5:$A$507=$B$3)*('Lot Inputs'!$B$5:$B$507=B51),0)))</f>
        <v/>
      </c>
      <c r="E51" s="146" t="str" cm="1">
        <f t="array" ref="E51">IF(B51="","",INDEX('Lot Inputs'!$H$5:$H$507,MATCH(1,('Lot Inputs'!$A$5:$A$507=$B$3)*('Lot Inputs'!$B$5:$B$507=B51),0)))</f>
        <v/>
      </c>
      <c r="F51" s="108" t="str">
        <f>IF(E51="","",IF(R51="On Hold",0,E51)+IF(F50="",0,F50))</f>
        <v/>
      </c>
      <c r="G51" s="108" t="str">
        <f>IF(D51="","",SUMIFS($O$7:$O$500,$N$7:$N$500,"&gt;="&amp;IF(R51="On Hold",S51,Controls!$B$5),$N$7:$N$500,"&lt;="&amp;EDATE(D51,-$B$4)))</f>
        <v/>
      </c>
      <c r="H51" s="108" t="str">
        <f t="shared" si="8"/>
        <v/>
      </c>
      <c r="I51" s="147" t="str">
        <f t="shared" si="7"/>
        <v/>
      </c>
      <c r="J51" s="148" t="str">
        <f>IF(D51="","",(YEAR(EDATE(D51,-$B$4))-YEAR(Controls!$B$5))*12+MONTH(EDATE(D51,-$B$4))-MONTH(Controls!$B$5))</f>
        <v/>
      </c>
      <c r="K51" s="149" t="str">
        <f t="array" ref="K51">IF(F51="","",IFERROR(INDEX($N$7:$N$500,MATCH(TRUE(),$P$7:$P$500&gt;=F51,0)),"After Horizon"))</f>
        <v/>
      </c>
      <c r="L51" t="str">
        <f t="shared" si="4"/>
        <v/>
      </c>
      <c r="M51" s="17" t="str">
        <f t="shared" si="5"/>
        <v/>
      </c>
      <c r="N51" s="145">
        <v>47392</v>
      </c>
      <c r="O51" s="108">
        <f>SUMIFS('Planning Engine'!$F:$F,'Planning Engine'!$B:$B,$B$3,'Planning Engine'!$A:$A,N51)</f>
        <v>8945.5607420650613</v>
      </c>
      <c r="P51" s="108">
        <f t="shared" si="9"/>
        <v>266981.59535261011</v>
      </c>
      <c r="Q51" s="146">
        <f>IF(N51&lt;=EDATE(Controls!$B$5,$B$4-1),O51,0)</f>
        <v>0</v>
      </c>
      <c r="R51" t="str" cm="1">
        <f t="array" ref="R51">IF(B51="","",IFERROR(INDEX('Lot Inputs'!$L$5:$L$507,MATCH(1,('Lot Inputs'!$A$5:$A$507=$B$3)*('Lot Inputs'!$B$5:$B$507=B51),0)),""))</f>
        <v/>
      </c>
      <c r="S51" s="205" t="str" cm="1">
        <f t="array" ref="S51">IF(B51="","",IFERROR(INDEX('Lot Inputs'!$M$5:$M$507,MATCH(1,('Lot Inputs'!$A$5:$A$507=$B$3)*('Lot Inputs'!$B$5:$B$507=B51),0)),""))</f>
        <v/>
      </c>
      <c r="T51" s="459" t="str">
        <f ca="1">IF(S51="","",S51-TODAY())</f>
        <v/>
      </c>
    </row>
    <row r="52" spans="1:20" ht="14" customHeight="1" x14ac:dyDescent="0.35">
      <c r="A52" s="142">
        <v>46</v>
      </c>
      <c r="B52" s="143" t="str" cm="1">
        <f t="array" ref="B52">IFERROR(INDEX('Lot Inputs'!$B$5:$B$507,MATCH(_xlfn.AGGREGATE(15,6,('Lot Inputs'!$J$5:$J$507)/(('Lot Inputs'!$A$5:$A$507=$B$3)*('Lot Inputs'!$H$5:$H$507&gt;0)),ROW()-6),IF('Lot Inputs'!$A$5:$A$507=$B$3,'Lot Inputs'!$J$5:$J$507),0)),"")</f>
        <v/>
      </c>
      <c r="C52" s="144" t="str">
        <f t="shared" si="2"/>
        <v/>
      </c>
      <c r="D52" s="145" t="str" cm="1">
        <f t="array" ref="D52">IF(B52="","",INDEX('Lot Inputs'!$E$5:$E$507,MATCH(1,('Lot Inputs'!$A$5:$A$507=$B$3)*('Lot Inputs'!$B$5:$B$507=B52),0)))</f>
        <v/>
      </c>
      <c r="E52" s="146" t="str" cm="1">
        <f t="array" ref="E52">IF(B52="","",INDEX('Lot Inputs'!$H$5:$H$507,MATCH(1,('Lot Inputs'!$A$5:$A$507=$B$3)*('Lot Inputs'!$B$5:$B$507=B52),0)))</f>
        <v/>
      </c>
      <c r="F52" s="108" t="str">
        <f>IF(E52="","",IF(R52="On Hold",0,E52)+IF(F51="",0,F51))</f>
        <v/>
      </c>
      <c r="G52" s="108" t="str">
        <f>IF(D52="","",SUMIFS($O$7:$O$500,$N$7:$N$500,"&gt;="&amp;IF(R52="On Hold",S52,Controls!$B$5),$N$7:$N$500,"&lt;="&amp;EDATE(D52,-$B$4)))</f>
        <v/>
      </c>
      <c r="H52" s="108" t="str">
        <f t="shared" si="8"/>
        <v/>
      </c>
      <c r="I52" s="147" t="str">
        <f t="shared" si="7"/>
        <v/>
      </c>
      <c r="J52" s="148" t="str">
        <f>IF(D52="","",(YEAR(EDATE(D52,-$B$4))-YEAR(Controls!$B$5))*12+MONTH(EDATE(D52,-$B$4))-MONTH(Controls!$B$5))</f>
        <v/>
      </c>
      <c r="K52" s="149" t="str">
        <f t="array" ref="K52">IF(F52="","",IFERROR(INDEX($N$7:$N$500,MATCH(TRUE(),$P$7:$P$500&gt;=F52,0)),"After Horizon"))</f>
        <v/>
      </c>
      <c r="L52" t="str">
        <f t="shared" si="4"/>
        <v/>
      </c>
      <c r="M52" s="17" t="str">
        <f t="shared" si="5"/>
        <v/>
      </c>
      <c r="N52" s="145">
        <v>47423</v>
      </c>
      <c r="O52" s="108">
        <f>SUMIFS('Planning Engine'!$F:$F,'Planning Engine'!$B:$B,$B$3,'Planning Engine'!$A:$A,N52)</f>
        <v>12873.241468251274</v>
      </c>
      <c r="P52" s="108">
        <f t="shared" si="9"/>
        <v>279854.83682086138</v>
      </c>
      <c r="Q52" s="146">
        <f>IF(N52&lt;=EDATE(Controls!$B$5,$B$4-1),O52,0)</f>
        <v>0</v>
      </c>
      <c r="R52" t="str" cm="1">
        <f t="array" ref="R52">IF(B52="","",IFERROR(INDEX('Lot Inputs'!$L$5:$L$507,MATCH(1,('Lot Inputs'!$A$5:$A$507=$B$3)*('Lot Inputs'!$B$5:$B$507=B52),0)),""))</f>
        <v/>
      </c>
      <c r="S52" s="205" t="str" cm="1">
        <f t="array" ref="S52">IF(B52="","",IFERROR(INDEX('Lot Inputs'!$M$5:$M$507,MATCH(1,('Lot Inputs'!$A$5:$A$507=$B$3)*('Lot Inputs'!$B$5:$B$507=B52),0)),""))</f>
        <v/>
      </c>
      <c r="T52" s="459" t="str">
        <f ca="1">IF(S52="","",S52-TODAY())</f>
        <v/>
      </c>
    </row>
    <row r="53" spans="1:20" ht="14" customHeight="1" x14ac:dyDescent="0.35">
      <c r="A53" s="142">
        <v>47</v>
      </c>
      <c r="B53" s="143" t="str" cm="1">
        <f t="array" ref="B53">IFERROR(INDEX('Lot Inputs'!$B$5:$B$507,MATCH(_xlfn.AGGREGATE(15,6,('Lot Inputs'!$J$5:$J$507)/(('Lot Inputs'!$A$5:$A$507=$B$3)*('Lot Inputs'!$H$5:$H$507&gt;0)),ROW()-6),IF('Lot Inputs'!$A$5:$A$507=$B$3,'Lot Inputs'!$J$5:$J$507),0)),"")</f>
        <v/>
      </c>
      <c r="C53" s="144" t="str">
        <f t="shared" si="2"/>
        <v/>
      </c>
      <c r="D53" s="145" t="str" cm="1">
        <f t="array" ref="D53">IF(B53="","",INDEX('Lot Inputs'!$E$5:$E$507,MATCH(1,('Lot Inputs'!$A$5:$A$507=$B$3)*('Lot Inputs'!$B$5:$B$507=B53),0)))</f>
        <v/>
      </c>
      <c r="E53" s="146" t="str" cm="1">
        <f t="array" ref="E53">IF(B53="","",INDEX('Lot Inputs'!$H$5:$H$507,MATCH(1,('Lot Inputs'!$A$5:$A$507=$B$3)*('Lot Inputs'!$B$5:$B$507=B53),0)))</f>
        <v/>
      </c>
      <c r="F53" s="108" t="str">
        <f>IF(E53="","",IF(R53="On Hold",0,E53)+IF(F52="",0,F52))</f>
        <v/>
      </c>
      <c r="G53" s="108" t="str">
        <f>IF(D53="","",SUMIFS($O$7:$O$500,$N$7:$N$500,"&gt;="&amp;IF(R53="On Hold",S53,Controls!$B$5),$N$7:$N$500,"&lt;="&amp;EDATE(D53,-$B$4)))</f>
        <v/>
      </c>
      <c r="H53" s="108" t="str">
        <f t="shared" si="8"/>
        <v/>
      </c>
      <c r="I53" s="147" t="str">
        <f t="shared" si="7"/>
        <v/>
      </c>
      <c r="J53" s="148" t="str">
        <f>IF(D53="","",(YEAR(EDATE(D53,-$B$4))-YEAR(Controls!$B$5))*12+MONTH(EDATE(D53,-$B$4))-MONTH(Controls!$B$5))</f>
        <v/>
      </c>
      <c r="K53" s="149" t="str">
        <f t="array" ref="K53">IF(F53="","",IFERROR(INDEX($N$7:$N$500,MATCH(TRUE(),$P$7:$P$500&gt;=F53,0)),"After Horizon"))</f>
        <v/>
      </c>
      <c r="L53" t="str">
        <f t="shared" si="4"/>
        <v/>
      </c>
      <c r="M53" s="17" t="str">
        <f t="shared" si="5"/>
        <v/>
      </c>
      <c r="N53" s="145">
        <v>47453</v>
      </c>
      <c r="O53" s="108">
        <f>SUMIFS('Planning Engine'!$F:$F,'Planning Engine'!$B:$B,$B$3,'Planning Engine'!$A:$A,N53)</f>
        <v>10380.982334060835</v>
      </c>
      <c r="P53" s="108">
        <f t="shared" si="9"/>
        <v>290235.81915492221</v>
      </c>
      <c r="Q53" s="146">
        <f>IF(N53&lt;=EDATE(Controls!$B$5,$B$4-1),O53,0)</f>
        <v>0</v>
      </c>
      <c r="R53" t="str" cm="1">
        <f t="array" ref="R53">IF(B53="","",IFERROR(INDEX('Lot Inputs'!$L$5:$L$507,MATCH(1,('Lot Inputs'!$A$5:$A$507=$B$3)*('Lot Inputs'!$B$5:$B$507=B53),0)),""))</f>
        <v/>
      </c>
      <c r="S53" s="205" t="str" cm="1">
        <f t="array" ref="S53">IF(B53="","",IFERROR(INDEX('Lot Inputs'!$M$5:$M$507,MATCH(1,('Lot Inputs'!$A$5:$A$507=$B$3)*('Lot Inputs'!$B$5:$B$507=B53),0)),""))</f>
        <v/>
      </c>
      <c r="T53" s="459" t="str">
        <f ca="1">IF(S53="","",S53-TODAY())</f>
        <v/>
      </c>
    </row>
    <row r="54" spans="1:20" ht="14" customHeight="1" x14ac:dyDescent="0.35">
      <c r="A54" s="142">
        <v>48</v>
      </c>
      <c r="B54" s="143" t="str" cm="1">
        <f t="array" ref="B54">IFERROR(INDEX('Lot Inputs'!$B$5:$B$507,MATCH(_xlfn.AGGREGATE(15,6,('Lot Inputs'!$J$5:$J$507)/(('Lot Inputs'!$A$5:$A$507=$B$3)*('Lot Inputs'!$H$5:$H$507&gt;0)),ROW()-6),IF('Lot Inputs'!$A$5:$A$507=$B$3,'Lot Inputs'!$J$5:$J$507),0)),"")</f>
        <v/>
      </c>
      <c r="C54" s="144" t="str">
        <f t="shared" si="2"/>
        <v/>
      </c>
      <c r="D54" s="145" t="str" cm="1">
        <f t="array" ref="D54">IF(B54="","",INDEX('Lot Inputs'!$E$5:$E$507,MATCH(1,('Lot Inputs'!$A$5:$A$507=$B$3)*('Lot Inputs'!$B$5:$B$507=B54),0)))</f>
        <v/>
      </c>
      <c r="E54" s="146" t="str" cm="1">
        <f t="array" ref="E54">IF(B54="","",INDEX('Lot Inputs'!$H$5:$H$507,MATCH(1,('Lot Inputs'!$A$5:$A$507=$B$3)*('Lot Inputs'!$B$5:$B$507=B54),0)))</f>
        <v/>
      </c>
      <c r="F54" s="108" t="str">
        <f>IF(E54="","",IF(R54="On Hold",0,E54)+IF(F53="",0,F53))</f>
        <v/>
      </c>
      <c r="G54" s="108" t="str">
        <f>IF(D54="","",SUMIFS($O$7:$O$500,$N$7:$N$500,"&gt;="&amp;IF(R54="On Hold",S54,Controls!$B$5),$N$7:$N$500,"&lt;="&amp;EDATE(D54,-$B$4)))</f>
        <v/>
      </c>
      <c r="H54" s="108" t="str">
        <f t="shared" si="8"/>
        <v/>
      </c>
      <c r="I54" s="147" t="str">
        <f t="shared" si="7"/>
        <v/>
      </c>
      <c r="J54" s="148" t="str">
        <f>IF(D54="","",(YEAR(EDATE(D54,-$B$4))-YEAR(Controls!$B$5))*12+MONTH(EDATE(D54,-$B$4))-MONTH(Controls!$B$5))</f>
        <v/>
      </c>
      <c r="K54" s="149" t="str">
        <f t="array" ref="K54">IF(F54="","",IFERROR(INDEX($N$7:$N$500,MATCH(TRUE(),$P$7:$P$500&gt;=F54,0)),"After Horizon"))</f>
        <v/>
      </c>
      <c r="L54" t="str">
        <f t="shared" si="4"/>
        <v/>
      </c>
      <c r="M54" s="17" t="str">
        <f t="shared" si="5"/>
        <v/>
      </c>
      <c r="N54" s="145">
        <v>47484</v>
      </c>
      <c r="O54" s="108">
        <f>SUMIFS('Planning Engine'!$F:$F,'Planning Engine'!$B:$B,$B$3,'Planning Engine'!$A:$A,N54)</f>
        <v>11061.929450169715</v>
      </c>
      <c r="P54" s="108">
        <f t="shared" si="9"/>
        <v>301297.74860509194</v>
      </c>
      <c r="Q54" s="146">
        <f>IF(N54&lt;=EDATE(Controls!$B$5,$B$4-1),O54,0)</f>
        <v>0</v>
      </c>
      <c r="R54" t="str" cm="1">
        <f t="array" ref="R54">IF(B54="","",IFERROR(INDEX('Lot Inputs'!$L$5:$L$507,MATCH(1,('Lot Inputs'!$A$5:$A$507=$B$3)*('Lot Inputs'!$B$5:$B$507=B54),0)),""))</f>
        <v/>
      </c>
      <c r="S54" s="205" t="str" cm="1">
        <f t="array" ref="S54">IF(B54="","",IFERROR(INDEX('Lot Inputs'!$M$5:$M$507,MATCH(1,('Lot Inputs'!$A$5:$A$507=$B$3)*('Lot Inputs'!$B$5:$B$507=B54),0)),""))</f>
        <v/>
      </c>
      <c r="T54" s="459" t="str">
        <f ca="1">IF(S54="","",S54-TODAY())</f>
        <v/>
      </c>
    </row>
    <row r="55" spans="1:20" ht="14" customHeight="1" x14ac:dyDescent="0.35">
      <c r="A55" s="142">
        <v>49</v>
      </c>
      <c r="B55" s="143" t="str" cm="1">
        <f t="array" ref="B55">IFERROR(INDEX('Lot Inputs'!$B$5:$B$507,MATCH(_xlfn.AGGREGATE(15,6,('Lot Inputs'!$J$5:$J$507)/(('Lot Inputs'!$A$5:$A$507=$B$3)*('Lot Inputs'!$H$5:$H$507&gt;0)),ROW()-6),IF('Lot Inputs'!$A$5:$A$507=$B$3,'Lot Inputs'!$J$5:$J$507),0)),"")</f>
        <v/>
      </c>
      <c r="C55" s="144" t="str">
        <f t="shared" si="2"/>
        <v/>
      </c>
      <c r="D55" s="145" t="str" cm="1">
        <f t="array" ref="D55">IF(B55="","",INDEX('Lot Inputs'!$E$5:$E$507,MATCH(1,('Lot Inputs'!$A$5:$A$507=$B$3)*('Lot Inputs'!$B$5:$B$507=B55),0)))</f>
        <v/>
      </c>
      <c r="E55" s="146" t="str" cm="1">
        <f t="array" ref="E55">IF(B55="","",INDEX('Lot Inputs'!$H$5:$H$507,MATCH(1,('Lot Inputs'!$A$5:$A$507=$B$3)*('Lot Inputs'!$B$5:$B$507=B55),0)))</f>
        <v/>
      </c>
      <c r="F55" s="108" t="str">
        <f>IF(E55="","",IF(R55="On Hold",0,E55)+IF(F54="",0,F54))</f>
        <v/>
      </c>
      <c r="G55" s="108" t="str">
        <f>IF(D55="","",SUMIFS($O$7:$O$500,$N$7:$N$500,"&gt;="&amp;IF(R55="On Hold",S55,Controls!$B$5),$N$7:$N$500,"&lt;="&amp;EDATE(D55,-$B$4)))</f>
        <v/>
      </c>
      <c r="H55" s="108" t="str">
        <f t="shared" si="8"/>
        <v/>
      </c>
      <c r="I55" s="147" t="str">
        <f t="shared" si="7"/>
        <v/>
      </c>
      <c r="J55" s="148" t="str">
        <f>IF(D55="","",(YEAR(EDATE(D55,-$B$4))-YEAR(Controls!$B$5))*12+MONTH(EDATE(D55,-$B$4))-MONTH(Controls!$B$5))</f>
        <v/>
      </c>
      <c r="K55" s="149" t="str">
        <f t="array" ref="K55">IF(F55="","",IFERROR(INDEX($N$7:$N$500,MATCH(TRUE(),$P$7:$P$500&gt;=F55,0)),"After Horizon"))</f>
        <v/>
      </c>
      <c r="L55" t="str">
        <f t="shared" si="4"/>
        <v/>
      </c>
      <c r="M55" s="17" t="str">
        <f t="shared" si="5"/>
        <v/>
      </c>
      <c r="N55" s="145">
        <v>47515</v>
      </c>
      <c r="O55" s="108">
        <f>SUMIFS('Planning Engine'!$F:$F,'Planning Engine'!$B:$B,$B$3,'Planning Engine'!$A:$A,N55)</f>
        <v>12178.771389239188</v>
      </c>
      <c r="P55" s="108">
        <f t="shared" si="9"/>
        <v>313476.51999433112</v>
      </c>
      <c r="Q55" s="146">
        <f>IF(N55&lt;=EDATE(Controls!$B$5,$B$4-1),O55,0)</f>
        <v>0</v>
      </c>
      <c r="R55" t="str" cm="1">
        <f t="array" ref="R55">IF(B55="","",IFERROR(INDEX('Lot Inputs'!$L$5:$L$507,MATCH(1,('Lot Inputs'!$A$5:$A$507=$B$3)*('Lot Inputs'!$B$5:$B$507=B55),0)),""))</f>
        <v/>
      </c>
      <c r="S55" s="205" t="str" cm="1">
        <f t="array" ref="S55">IF(B55="","",IFERROR(INDEX('Lot Inputs'!$M$5:$M$507,MATCH(1,('Lot Inputs'!$A$5:$A$507=$B$3)*('Lot Inputs'!$B$5:$B$507=B55),0)),""))</f>
        <v/>
      </c>
      <c r="T55" s="459" t="str">
        <f ca="1">IF(S55="","",S55-TODAY())</f>
        <v/>
      </c>
    </row>
    <row r="56" spans="1:20" ht="14" customHeight="1" x14ac:dyDescent="0.35">
      <c r="A56" s="142">
        <v>50</v>
      </c>
      <c r="B56" s="143" t="str" cm="1">
        <f t="array" ref="B56">IFERROR(INDEX('Lot Inputs'!$B$5:$B$507,MATCH(_xlfn.AGGREGATE(15,6,('Lot Inputs'!$J$5:$J$507)/(('Lot Inputs'!$A$5:$A$507=$B$3)*('Lot Inputs'!$H$5:$H$507&gt;0)),ROW()-6),IF('Lot Inputs'!$A$5:$A$507=$B$3,'Lot Inputs'!$J$5:$J$507),0)),"")</f>
        <v/>
      </c>
      <c r="C56" s="144" t="str">
        <f t="shared" si="2"/>
        <v/>
      </c>
      <c r="D56" s="145" t="str" cm="1">
        <f t="array" ref="D56">IF(B56="","",INDEX('Lot Inputs'!$E$5:$E$507,MATCH(1,('Lot Inputs'!$A$5:$A$507=$B$3)*('Lot Inputs'!$B$5:$B$507=B56),0)))</f>
        <v/>
      </c>
      <c r="E56" s="146" t="str" cm="1">
        <f t="array" ref="E56">IF(B56="","",INDEX('Lot Inputs'!$H$5:$H$507,MATCH(1,('Lot Inputs'!$A$5:$A$507=$B$3)*('Lot Inputs'!$B$5:$B$507=B56),0)))</f>
        <v/>
      </c>
      <c r="F56" s="108" t="str">
        <f>IF(E56="","",IF(R56="On Hold",0,E56)+IF(F55="",0,F55))</f>
        <v/>
      </c>
      <c r="G56" s="108" t="str">
        <f>IF(D56="","",SUMIFS($O$7:$O$500,$N$7:$N$500,"&gt;="&amp;IF(R56="On Hold",S56,Controls!$B$5),$N$7:$N$500,"&lt;="&amp;EDATE(D56,-$B$4)))</f>
        <v/>
      </c>
      <c r="H56" s="108" t="str">
        <f t="shared" si="8"/>
        <v/>
      </c>
      <c r="I56" s="147" t="str">
        <f t="shared" si="7"/>
        <v/>
      </c>
      <c r="J56" s="148" t="str">
        <f>IF(D56="","",(YEAR(EDATE(D56,-$B$4))-YEAR(Controls!$B$5))*12+MONTH(EDATE(D56,-$B$4))-MONTH(Controls!$B$5))</f>
        <v/>
      </c>
      <c r="K56" s="149" t="str">
        <f t="array" ref="K56">IF(F56="","",IFERROR(INDEX($N$7:$N$500,MATCH(TRUE(),$P$7:$P$500&gt;=F56,0)),"After Horizon"))</f>
        <v/>
      </c>
      <c r="L56" t="str">
        <f t="shared" si="4"/>
        <v/>
      </c>
      <c r="M56" s="17" t="str">
        <f t="shared" si="5"/>
        <v/>
      </c>
      <c r="N56" s="145">
        <v>47543</v>
      </c>
      <c r="O56" s="108">
        <f>SUMIFS('Planning Engine'!$F:$F,'Planning Engine'!$B:$B,$B$3,'Planning Engine'!$A:$A,N56)</f>
        <v>10151.054279299346</v>
      </c>
      <c r="P56" s="108">
        <f t="shared" si="9"/>
        <v>323627.57427363045</v>
      </c>
      <c r="Q56" s="146">
        <f>IF(N56&lt;=EDATE(Controls!$B$5,$B$4-1),O56,0)</f>
        <v>0</v>
      </c>
      <c r="R56" t="str" cm="1">
        <f t="array" ref="R56">IF(B56="","",IFERROR(INDEX('Lot Inputs'!$L$5:$L$507,MATCH(1,('Lot Inputs'!$A$5:$A$507=$B$3)*('Lot Inputs'!$B$5:$B$507=B56),0)),""))</f>
        <v/>
      </c>
      <c r="S56" s="205" t="str" cm="1">
        <f t="array" ref="S56">IF(B56="","",IFERROR(INDEX('Lot Inputs'!$M$5:$M$507,MATCH(1,('Lot Inputs'!$A$5:$A$507=$B$3)*('Lot Inputs'!$B$5:$B$507=B56),0)),""))</f>
        <v/>
      </c>
      <c r="T56" s="459" t="str">
        <f ca="1">IF(S56="","",S56-TODAY())</f>
        <v/>
      </c>
    </row>
    <row r="57" spans="1:20" ht="14" customHeight="1" x14ac:dyDescent="0.35">
      <c r="A57" s="142">
        <v>51</v>
      </c>
      <c r="B57" s="143" t="str" cm="1">
        <f t="array" ref="B57">IFERROR(INDEX('Lot Inputs'!$B$5:$B$507,MATCH(_xlfn.AGGREGATE(15,6,('Lot Inputs'!$J$5:$J$507)/(('Lot Inputs'!$A$5:$A$507=$B$3)*('Lot Inputs'!$H$5:$H$507&gt;0)),ROW()-6),IF('Lot Inputs'!$A$5:$A$507=$B$3,'Lot Inputs'!$J$5:$J$507),0)),"")</f>
        <v/>
      </c>
      <c r="C57" s="144" t="str">
        <f t="shared" si="2"/>
        <v/>
      </c>
      <c r="D57" s="145" t="str" cm="1">
        <f t="array" ref="D57">IF(B57="","",INDEX('Lot Inputs'!$E$5:$E$507,MATCH(1,('Lot Inputs'!$A$5:$A$507=$B$3)*('Lot Inputs'!$B$5:$B$507=B57),0)))</f>
        <v/>
      </c>
      <c r="E57" s="146" t="str" cm="1">
        <f t="array" ref="E57">IF(B57="","",INDEX('Lot Inputs'!$H$5:$H$507,MATCH(1,('Lot Inputs'!$A$5:$A$507=$B$3)*('Lot Inputs'!$B$5:$B$507=B57),0)))</f>
        <v/>
      </c>
      <c r="F57" s="108" t="str">
        <f>IF(E57="","",IF(R57="On Hold",0,E57)+IF(F56="",0,F56))</f>
        <v/>
      </c>
      <c r="G57" s="108" t="str">
        <f>IF(D57="","",SUMIFS($O$7:$O$500,$N$7:$N$500,"&gt;="&amp;IF(R57="On Hold",S57,Controls!$B$5),$N$7:$N$500,"&lt;="&amp;EDATE(D57,-$B$4)))</f>
        <v/>
      </c>
      <c r="H57" s="108" t="str">
        <f t="shared" si="8"/>
        <v/>
      </c>
      <c r="I57" s="147" t="str">
        <f t="shared" si="7"/>
        <v/>
      </c>
      <c r="J57" s="148" t="str">
        <f>IF(D57="","",(YEAR(EDATE(D57,-$B$4))-YEAR(Controls!$B$5))*12+MONTH(EDATE(D57,-$B$4))-MONTH(Controls!$B$5))</f>
        <v/>
      </c>
      <c r="K57" s="149" t="str">
        <f t="array" ref="K57">IF(F57="","",IFERROR(INDEX($N$7:$N$500,MATCH(TRUE(),$P$7:$P$500&gt;=F57,0)),"After Horizon"))</f>
        <v/>
      </c>
      <c r="L57" t="str">
        <f t="shared" si="4"/>
        <v/>
      </c>
      <c r="M57" s="17" t="str">
        <f t="shared" si="5"/>
        <v/>
      </c>
      <c r="N57" s="145">
        <v>47574</v>
      </c>
      <c r="O57" s="108">
        <f>SUMIFS('Planning Engine'!$F:$F,'Planning Engine'!$B:$B,$B$3,'Planning Engine'!$A:$A,N57)</f>
        <v>12857.351659373257</v>
      </c>
      <c r="P57" s="108">
        <f t="shared" si="9"/>
        <v>336484.92593300372</v>
      </c>
      <c r="Q57" s="146">
        <f>IF(N57&lt;=EDATE(Controls!$B$5,$B$4-1),O57,0)</f>
        <v>0</v>
      </c>
      <c r="R57" t="str" cm="1">
        <f t="array" ref="R57">IF(B57="","",IFERROR(INDEX('Lot Inputs'!$L$5:$L$507,MATCH(1,('Lot Inputs'!$A$5:$A$507=$B$3)*('Lot Inputs'!$B$5:$B$507=B57),0)),""))</f>
        <v/>
      </c>
      <c r="S57" s="205" t="str" cm="1">
        <f t="array" ref="S57">IF(B57="","",IFERROR(INDEX('Lot Inputs'!$M$5:$M$507,MATCH(1,('Lot Inputs'!$A$5:$A$507=$B$3)*('Lot Inputs'!$B$5:$B$507=B57),0)),""))</f>
        <v/>
      </c>
      <c r="T57" s="459" t="str">
        <f ca="1">IF(S57="","",S57-TODAY())</f>
        <v/>
      </c>
    </row>
    <row r="58" spans="1:20" ht="14" customHeight="1" x14ac:dyDescent="0.35">
      <c r="A58" s="142">
        <v>52</v>
      </c>
      <c r="B58" s="143" t="str" cm="1">
        <f t="array" ref="B58">IFERROR(INDEX('Lot Inputs'!$B$5:$B$507,MATCH(_xlfn.AGGREGATE(15,6,('Lot Inputs'!$J$5:$J$507)/(('Lot Inputs'!$A$5:$A$507=$B$3)*('Lot Inputs'!$H$5:$H$507&gt;0)),ROW()-6),IF('Lot Inputs'!$A$5:$A$507=$B$3,'Lot Inputs'!$J$5:$J$507),0)),"")</f>
        <v/>
      </c>
      <c r="C58" s="144" t="str">
        <f t="shared" si="2"/>
        <v/>
      </c>
      <c r="D58" s="145" t="str" cm="1">
        <f t="array" ref="D58">IF(B58="","",INDEX('Lot Inputs'!$E$5:$E$507,MATCH(1,('Lot Inputs'!$A$5:$A$507=$B$3)*('Lot Inputs'!$B$5:$B$507=B58),0)))</f>
        <v/>
      </c>
      <c r="E58" s="146" t="str" cm="1">
        <f t="array" ref="E58">IF(B58="","",INDEX('Lot Inputs'!$H$5:$H$507,MATCH(1,('Lot Inputs'!$A$5:$A$507=$B$3)*('Lot Inputs'!$B$5:$B$507=B58),0)))</f>
        <v/>
      </c>
      <c r="F58" s="108" t="str">
        <f>IF(E58="","",IF(R58="On Hold",0,E58)+IF(F57="",0,F57))</f>
        <v/>
      </c>
      <c r="G58" s="108" t="str">
        <f>IF(D58="","",SUMIFS($O$7:$O$500,$N$7:$N$500,"&gt;="&amp;IF(R58="On Hold",S58,Controls!$B$5),$N$7:$N$500,"&lt;="&amp;EDATE(D58,-$B$4)))</f>
        <v/>
      </c>
      <c r="H58" s="108" t="str">
        <f t="shared" si="8"/>
        <v/>
      </c>
      <c r="I58" s="147" t="str">
        <f t="shared" si="7"/>
        <v/>
      </c>
      <c r="J58" s="148" t="str">
        <f>IF(D58="","",(YEAR(EDATE(D58,-$B$4))-YEAR(Controls!$B$5))*12+MONTH(EDATE(D58,-$B$4))-MONTH(Controls!$B$5))</f>
        <v/>
      </c>
      <c r="K58" s="149" t="str">
        <f t="array" ref="K58">IF(F58="","",IFERROR(INDEX($N$7:$N$500,MATCH(TRUE(),$P$7:$P$500&gt;=F58,0)),"After Horizon"))</f>
        <v/>
      </c>
      <c r="L58" t="str">
        <f t="shared" si="4"/>
        <v/>
      </c>
      <c r="M58" s="17" t="str">
        <f t="shared" si="5"/>
        <v/>
      </c>
      <c r="N58" s="145">
        <v>47604</v>
      </c>
      <c r="O58" s="108">
        <f>SUMIFS('Planning Engine'!$F:$F,'Planning Engine'!$B:$B,$B$3,'Planning Engine'!$A:$A,N58)</f>
        <v>13625.060424707097</v>
      </c>
      <c r="P58" s="108">
        <f t="shared" si="9"/>
        <v>350109.98635771079</v>
      </c>
      <c r="Q58" s="146">
        <f>IF(N58&lt;=EDATE(Controls!$B$5,$B$4-1),O58,0)</f>
        <v>0</v>
      </c>
      <c r="R58" t="str" cm="1">
        <f t="array" ref="R58">IF(B58="","",IFERROR(INDEX('Lot Inputs'!$L$5:$L$507,MATCH(1,('Lot Inputs'!$A$5:$A$507=$B$3)*('Lot Inputs'!$B$5:$B$507=B58),0)),""))</f>
        <v/>
      </c>
      <c r="S58" s="205" t="str" cm="1">
        <f t="array" ref="S58">IF(B58="","",IFERROR(INDEX('Lot Inputs'!$M$5:$M$507,MATCH(1,('Lot Inputs'!$A$5:$A$507=$B$3)*('Lot Inputs'!$B$5:$B$507=B58),0)),""))</f>
        <v/>
      </c>
      <c r="T58" s="459" t="str">
        <f ca="1">IF(S58="","",S58-TODAY())</f>
        <v/>
      </c>
    </row>
    <row r="59" spans="1:20" ht="14" customHeight="1" x14ac:dyDescent="0.35">
      <c r="A59" s="142">
        <v>53</v>
      </c>
      <c r="B59" s="143" t="str" cm="1">
        <f t="array" ref="B59">IFERROR(INDEX('Lot Inputs'!$B$5:$B$507,MATCH(_xlfn.AGGREGATE(15,6,('Lot Inputs'!$J$5:$J$507)/(('Lot Inputs'!$A$5:$A$507=$B$3)*('Lot Inputs'!$H$5:$H$507&gt;0)),ROW()-6),IF('Lot Inputs'!$A$5:$A$507=$B$3,'Lot Inputs'!$J$5:$J$507),0)),"")</f>
        <v/>
      </c>
      <c r="C59" s="144" t="str">
        <f t="shared" si="2"/>
        <v/>
      </c>
      <c r="D59" s="145" t="str" cm="1">
        <f t="array" ref="D59">IF(B59="","",INDEX('Lot Inputs'!$E$5:$E$507,MATCH(1,('Lot Inputs'!$A$5:$A$507=$B$3)*('Lot Inputs'!$B$5:$B$507=B59),0)))</f>
        <v/>
      </c>
      <c r="E59" s="146" t="str" cm="1">
        <f t="array" ref="E59">IF(B59="","",INDEX('Lot Inputs'!$H$5:$H$507,MATCH(1,('Lot Inputs'!$A$5:$A$507=$B$3)*('Lot Inputs'!$B$5:$B$507=B59),0)))</f>
        <v/>
      </c>
      <c r="F59" s="108" t="str">
        <f>IF(E59="","",IF(R59="On Hold",0,E59)+IF(F58="",0,F58))</f>
        <v/>
      </c>
      <c r="G59" s="108" t="str">
        <f>IF(D59="","",SUMIFS($O$7:$O$500,$N$7:$N$500,"&gt;="&amp;IF(R59="On Hold",S59,Controls!$B$5),$N$7:$N$500,"&lt;="&amp;EDATE(D59,-$B$4)))</f>
        <v/>
      </c>
      <c r="H59" s="108" t="str">
        <f t="shared" si="8"/>
        <v/>
      </c>
      <c r="I59" s="147" t="str">
        <f t="shared" si="7"/>
        <v/>
      </c>
      <c r="J59" s="148" t="str">
        <f>IF(D59="","",(YEAR(EDATE(D59,-$B$4))-YEAR(Controls!$B$5))*12+MONTH(EDATE(D59,-$B$4))-MONTH(Controls!$B$5))</f>
        <v/>
      </c>
      <c r="K59" s="149" t="str">
        <f t="array" ref="K59">IF(F59="","",IFERROR(INDEX($N$7:$N$500,MATCH(TRUE(),$P$7:$P$500&gt;=F59,0)),"After Horizon"))</f>
        <v/>
      </c>
      <c r="L59" t="str">
        <f t="shared" si="4"/>
        <v/>
      </c>
      <c r="M59" s="17" t="str">
        <f t="shared" si="5"/>
        <v/>
      </c>
      <c r="N59" s="145">
        <v>47635</v>
      </c>
      <c r="O59" s="108">
        <f>SUMIFS('Planning Engine'!$F:$F,'Planning Engine'!$B:$B,$B$3,'Planning Engine'!$A:$A,N59)</f>
        <v>13764.877213475216</v>
      </c>
      <c r="P59" s="108">
        <f t="shared" si="9"/>
        <v>363874.86357118603</v>
      </c>
      <c r="Q59" s="146">
        <f>IF(N59&lt;=EDATE(Controls!$B$5,$B$4-1),O59,0)</f>
        <v>0</v>
      </c>
      <c r="R59" t="str" cm="1">
        <f t="array" ref="R59">IF(B59="","",IFERROR(INDEX('Lot Inputs'!$L$5:$L$507,MATCH(1,('Lot Inputs'!$A$5:$A$507=$B$3)*('Lot Inputs'!$B$5:$B$507=B59),0)),""))</f>
        <v/>
      </c>
      <c r="S59" s="205" t="str" cm="1">
        <f t="array" ref="S59">IF(B59="","",IFERROR(INDEX('Lot Inputs'!$M$5:$M$507,MATCH(1,('Lot Inputs'!$A$5:$A$507=$B$3)*('Lot Inputs'!$B$5:$B$507=B59),0)),""))</f>
        <v/>
      </c>
      <c r="T59" s="459" t="str">
        <f ca="1">IF(S59="","",S59-TODAY())</f>
        <v/>
      </c>
    </row>
    <row r="60" spans="1:20" ht="14" customHeight="1" x14ac:dyDescent="0.35">
      <c r="A60" s="142">
        <v>54</v>
      </c>
      <c r="B60" s="143" t="str" cm="1">
        <f t="array" ref="B60">IFERROR(INDEX('Lot Inputs'!$B$5:$B$507,MATCH(_xlfn.AGGREGATE(15,6,('Lot Inputs'!$J$5:$J$507)/(('Lot Inputs'!$A$5:$A$507=$B$3)*('Lot Inputs'!$H$5:$H$507&gt;0)),ROW()-6),IF('Lot Inputs'!$A$5:$A$507=$B$3,'Lot Inputs'!$J$5:$J$507),0)),"")</f>
        <v/>
      </c>
      <c r="C60" s="144" t="str">
        <f t="shared" si="2"/>
        <v/>
      </c>
      <c r="D60" s="145" t="str" cm="1">
        <f t="array" ref="D60">IF(B60="","",INDEX('Lot Inputs'!$E$5:$E$507,MATCH(1,('Lot Inputs'!$A$5:$A$507=$B$3)*('Lot Inputs'!$B$5:$B$507=B60),0)))</f>
        <v/>
      </c>
      <c r="E60" s="146" t="str" cm="1">
        <f t="array" ref="E60">IF(B60="","",INDEX('Lot Inputs'!$H$5:$H$507,MATCH(1,('Lot Inputs'!$A$5:$A$507=$B$3)*('Lot Inputs'!$B$5:$B$507=B60),0)))</f>
        <v/>
      </c>
      <c r="F60" s="108" t="str">
        <f>IF(E60="","",IF(R60="On Hold",0,E60)+IF(F59="",0,F59))</f>
        <v/>
      </c>
      <c r="G60" s="108" t="str">
        <f>IF(D60="","",SUMIFS($O$7:$O$500,$N$7:$N$500,"&gt;="&amp;IF(R60="On Hold",S60,Controls!$B$5),$N$7:$N$500,"&lt;="&amp;EDATE(D60,-$B$4)))</f>
        <v/>
      </c>
      <c r="H60" s="108" t="str">
        <f t="shared" si="8"/>
        <v/>
      </c>
      <c r="I60" s="147" t="str">
        <f t="shared" si="7"/>
        <v/>
      </c>
      <c r="J60" s="148" t="str">
        <f>IF(D60="","",(YEAR(EDATE(D60,-$B$4))-YEAR(Controls!$B$5))*12+MONTH(EDATE(D60,-$B$4))-MONTH(Controls!$B$5))</f>
        <v/>
      </c>
      <c r="K60" s="149" t="str">
        <f t="array" ref="K60">IF(F60="","",IFERROR(INDEX($N$7:$N$500,MATCH(TRUE(),$P$7:$P$500&gt;=F60,0)),"After Horizon"))</f>
        <v/>
      </c>
      <c r="L60" t="str">
        <f t="shared" si="4"/>
        <v/>
      </c>
      <c r="M60" s="17" t="str">
        <f t="shared" si="5"/>
        <v/>
      </c>
      <c r="N60" s="145">
        <v>47665</v>
      </c>
      <c r="O60" s="108">
        <f>SUMIFS('Planning Engine'!$F:$F,'Planning Engine'!$B:$B,$B$3,'Planning Engine'!$A:$A,N60)</f>
        <v>10904.157642449123</v>
      </c>
      <c r="P60" s="108">
        <f t="shared" si="9"/>
        <v>374779.02121363516</v>
      </c>
      <c r="Q60" s="146">
        <f>IF(N60&lt;=EDATE(Controls!$B$5,$B$4-1),O60,0)</f>
        <v>0</v>
      </c>
      <c r="R60" t="str" cm="1">
        <f t="array" ref="R60">IF(B60="","",IFERROR(INDEX('Lot Inputs'!$L$5:$L$507,MATCH(1,('Lot Inputs'!$A$5:$A$507=$B$3)*('Lot Inputs'!$B$5:$B$507=B60),0)),""))</f>
        <v/>
      </c>
      <c r="S60" s="205" t="str" cm="1">
        <f t="array" ref="S60">IF(B60="","",IFERROR(INDEX('Lot Inputs'!$M$5:$M$507,MATCH(1,('Lot Inputs'!$A$5:$A$507=$B$3)*('Lot Inputs'!$B$5:$B$507=B60),0)),""))</f>
        <v/>
      </c>
      <c r="T60" s="459" t="str">
        <f ca="1">IF(S60="","",S60-TODAY())</f>
        <v/>
      </c>
    </row>
    <row r="61" spans="1:20" ht="14" customHeight="1" x14ac:dyDescent="0.35">
      <c r="A61" s="142">
        <v>55</v>
      </c>
      <c r="B61" s="143" t="str" cm="1">
        <f t="array" ref="B61">IFERROR(INDEX('Lot Inputs'!$B$5:$B$507,MATCH(_xlfn.AGGREGATE(15,6,('Lot Inputs'!$J$5:$J$507)/(('Lot Inputs'!$A$5:$A$507=$B$3)*('Lot Inputs'!$H$5:$H$507&gt;0)),ROW()-6),IF('Lot Inputs'!$A$5:$A$507=$B$3,'Lot Inputs'!$J$5:$J$507),0)),"")</f>
        <v/>
      </c>
      <c r="C61" s="144" t="str">
        <f t="shared" si="2"/>
        <v/>
      </c>
      <c r="D61" s="145" t="str" cm="1">
        <f t="array" ref="D61">IF(B61="","",INDEX('Lot Inputs'!$E$5:$E$507,MATCH(1,('Lot Inputs'!$A$5:$A$507=$B$3)*('Lot Inputs'!$B$5:$B$507=B61),0)))</f>
        <v/>
      </c>
      <c r="E61" s="146" t="str" cm="1">
        <f t="array" ref="E61">IF(B61="","",INDEX('Lot Inputs'!$H$5:$H$507,MATCH(1,('Lot Inputs'!$A$5:$A$507=$B$3)*('Lot Inputs'!$B$5:$B$507=B61),0)))</f>
        <v/>
      </c>
      <c r="F61" s="108" t="str">
        <f>IF(E61="","",IF(R61="On Hold",0,E61)+IF(F60="",0,F60))</f>
        <v/>
      </c>
      <c r="G61" s="108" t="str">
        <f>IF(D61="","",SUMIFS($O$7:$O$500,$N$7:$N$500,"&gt;="&amp;IF(R61="On Hold",S61,Controls!$B$5),$N$7:$N$500,"&lt;="&amp;EDATE(D61,-$B$4)))</f>
        <v/>
      </c>
      <c r="H61" s="108" t="str">
        <f t="shared" si="8"/>
        <v/>
      </c>
      <c r="I61" s="147" t="str">
        <f t="shared" si="7"/>
        <v/>
      </c>
      <c r="J61" s="148" t="str">
        <f>IF(D61="","",(YEAR(EDATE(D61,-$B$4))-YEAR(Controls!$B$5))*12+MONTH(EDATE(D61,-$B$4))-MONTH(Controls!$B$5))</f>
        <v/>
      </c>
      <c r="K61" s="149" t="str">
        <f t="array" ref="K61">IF(F61="","",IFERROR(INDEX($N$7:$N$500,MATCH(TRUE(),$P$7:$P$500&gt;=F61,0)),"After Horizon"))</f>
        <v/>
      </c>
      <c r="L61" t="str">
        <f t="shared" si="4"/>
        <v/>
      </c>
      <c r="M61" s="17" t="str">
        <f t="shared" si="5"/>
        <v/>
      </c>
      <c r="N61" s="145">
        <v>47696</v>
      </c>
      <c r="O61" s="108">
        <f>SUMIFS('Planning Engine'!$F:$F,'Planning Engine'!$B:$B,$B$3,'Planning Engine'!$A:$A,N61)</f>
        <v>15522.235490108971</v>
      </c>
      <c r="P61" s="108">
        <f t="shared" si="9"/>
        <v>390301.25670374412</v>
      </c>
      <c r="Q61" s="146">
        <f>IF(N61&lt;=EDATE(Controls!$B$5,$B$4-1),O61,0)</f>
        <v>0</v>
      </c>
      <c r="R61" t="str" cm="1">
        <f t="array" ref="R61">IF(B61="","",IFERROR(INDEX('Lot Inputs'!$L$5:$L$507,MATCH(1,('Lot Inputs'!$A$5:$A$507=$B$3)*('Lot Inputs'!$B$5:$B$507=B61),0)),""))</f>
        <v/>
      </c>
      <c r="S61" s="205" t="str" cm="1">
        <f t="array" ref="S61">IF(B61="","",IFERROR(INDEX('Lot Inputs'!$M$5:$M$507,MATCH(1,('Lot Inputs'!$A$5:$A$507=$B$3)*('Lot Inputs'!$B$5:$B$507=B61),0)),""))</f>
        <v/>
      </c>
      <c r="T61" s="459" t="str">
        <f ca="1">IF(S61="","",S61-TODAY())</f>
        <v/>
      </c>
    </row>
    <row r="62" spans="1:20" ht="14" customHeight="1" x14ac:dyDescent="0.35">
      <c r="A62" s="142">
        <v>56</v>
      </c>
      <c r="B62" s="143" t="str" cm="1">
        <f t="array" ref="B62">IFERROR(INDEX('Lot Inputs'!$B$5:$B$507,MATCH(_xlfn.AGGREGATE(15,6,('Lot Inputs'!$J$5:$J$507)/(('Lot Inputs'!$A$5:$A$507=$B$3)*('Lot Inputs'!$H$5:$H$507&gt;0)),ROW()-6),IF('Lot Inputs'!$A$5:$A$507=$B$3,'Lot Inputs'!$J$5:$J$507),0)),"")</f>
        <v/>
      </c>
      <c r="C62" s="144" t="str">
        <f t="shared" si="2"/>
        <v/>
      </c>
      <c r="D62" s="145" t="str" cm="1">
        <f t="array" ref="D62">IF(B62="","",INDEX('Lot Inputs'!$E$5:$E$507,MATCH(1,('Lot Inputs'!$A$5:$A$507=$B$3)*('Lot Inputs'!$B$5:$B$507=B62),0)))</f>
        <v/>
      </c>
      <c r="E62" s="146" t="str" cm="1">
        <f t="array" ref="E62">IF(B62="","",INDEX('Lot Inputs'!$H$5:$H$507,MATCH(1,('Lot Inputs'!$A$5:$A$507=$B$3)*('Lot Inputs'!$B$5:$B$507=B62),0)))</f>
        <v/>
      </c>
      <c r="F62" s="108" t="str">
        <f>IF(E62="","",IF(R62="On Hold",0,E62)+IF(F61="",0,F61))</f>
        <v/>
      </c>
      <c r="G62" s="108" t="str">
        <f>IF(D62="","",SUMIFS($O$7:$O$500,$N$7:$N$500,"&gt;="&amp;IF(R62="On Hold",S62,Controls!$B$5),$N$7:$N$500,"&lt;="&amp;EDATE(D62,-$B$4)))</f>
        <v/>
      </c>
      <c r="H62" s="108" t="str">
        <f t="shared" si="8"/>
        <v/>
      </c>
      <c r="I62" s="147" t="str">
        <f t="shared" si="7"/>
        <v/>
      </c>
      <c r="J62" s="148" t="str">
        <f>IF(D62="","",(YEAR(EDATE(D62,-$B$4))-YEAR(Controls!$B$5))*12+MONTH(EDATE(D62,-$B$4))-MONTH(Controls!$B$5))</f>
        <v/>
      </c>
      <c r="K62" s="149" t="str">
        <f t="array" ref="K62">IF(F62="","",IFERROR(INDEX($N$7:$N$500,MATCH(TRUE(),$P$7:$P$500&gt;=F62,0)),"After Horizon"))</f>
        <v/>
      </c>
      <c r="L62" t="str">
        <f t="shared" si="4"/>
        <v/>
      </c>
      <c r="M62" s="17" t="str">
        <f t="shared" si="5"/>
        <v/>
      </c>
      <c r="N62" s="145">
        <v>47727</v>
      </c>
      <c r="O62" s="108">
        <f>SUMIFS('Planning Engine'!$F:$F,'Planning Engine'!$B:$B,$B$3,'Planning Engine'!$A:$A,N62)</f>
        <v>15088.427382390448</v>
      </c>
      <c r="P62" s="108">
        <f t="shared" si="9"/>
        <v>405389.68408613454</v>
      </c>
      <c r="Q62" s="146">
        <f>IF(N62&lt;=EDATE(Controls!$B$5,$B$4-1),O62,0)</f>
        <v>0</v>
      </c>
      <c r="R62" t="str" cm="1">
        <f t="array" ref="R62">IF(B62="","",IFERROR(INDEX('Lot Inputs'!$L$5:$L$507,MATCH(1,('Lot Inputs'!$A$5:$A$507=$B$3)*('Lot Inputs'!$B$5:$B$507=B62),0)),""))</f>
        <v/>
      </c>
      <c r="S62" s="205" t="str" cm="1">
        <f t="array" ref="S62">IF(B62="","",IFERROR(INDEX('Lot Inputs'!$M$5:$M$507,MATCH(1,('Lot Inputs'!$A$5:$A$507=$B$3)*('Lot Inputs'!$B$5:$B$507=B62),0)),""))</f>
        <v/>
      </c>
      <c r="T62" s="459" t="str">
        <f ca="1">IF(S62="","",S62-TODAY())</f>
        <v/>
      </c>
    </row>
    <row r="63" spans="1:20" ht="14" customHeight="1" x14ac:dyDescent="0.35">
      <c r="A63" s="142">
        <v>57</v>
      </c>
      <c r="B63" s="143" t="str" cm="1">
        <f t="array" ref="B63">IFERROR(INDEX('Lot Inputs'!$B$5:$B$507,MATCH(_xlfn.AGGREGATE(15,6,('Lot Inputs'!$J$5:$J$507)/(('Lot Inputs'!$A$5:$A$507=$B$3)*('Lot Inputs'!$H$5:$H$507&gt;0)),ROW()-6),IF('Lot Inputs'!$A$5:$A$507=$B$3,'Lot Inputs'!$J$5:$J$507),0)),"")</f>
        <v/>
      </c>
      <c r="C63" s="144" t="str">
        <f t="shared" si="2"/>
        <v/>
      </c>
      <c r="D63" s="145" t="str" cm="1">
        <f t="array" ref="D63">IF(B63="","",INDEX('Lot Inputs'!$E$5:$E$507,MATCH(1,('Lot Inputs'!$A$5:$A$507=$B$3)*('Lot Inputs'!$B$5:$B$507=B63),0)))</f>
        <v/>
      </c>
      <c r="E63" s="146" t="str" cm="1">
        <f t="array" ref="E63">IF(B63="","",INDEX('Lot Inputs'!$H$5:$H$507,MATCH(1,('Lot Inputs'!$A$5:$A$507=$B$3)*('Lot Inputs'!$B$5:$B$507=B63),0)))</f>
        <v/>
      </c>
      <c r="F63" s="108" t="str">
        <f>IF(E63="","",IF(R63="On Hold",0,E63)+IF(F62="",0,F62))</f>
        <v/>
      </c>
      <c r="G63" s="108" t="str">
        <f>IF(D63="","",SUMIFS($O$7:$O$500,$N$7:$N$500,"&gt;="&amp;IF(R63="On Hold",S63,Controls!$B$5),$N$7:$N$500,"&lt;="&amp;EDATE(D63,-$B$4)))</f>
        <v/>
      </c>
      <c r="H63" s="108" t="str">
        <f t="shared" si="8"/>
        <v/>
      </c>
      <c r="I63" s="147" t="str">
        <f t="shared" si="7"/>
        <v/>
      </c>
      <c r="J63" s="148" t="str">
        <f>IF(D63="","",(YEAR(EDATE(D63,-$B$4))-YEAR(Controls!$B$5))*12+MONTH(EDATE(D63,-$B$4))-MONTH(Controls!$B$5))</f>
        <v/>
      </c>
      <c r="K63" s="149" t="str">
        <f t="array" ref="K63">IF(F63="","",IFERROR(INDEX($N$7:$N$500,MATCH(TRUE(),$P$7:$P$500&gt;=F63,0)),"After Horizon"))</f>
        <v/>
      </c>
      <c r="L63" t="str">
        <f t="shared" si="4"/>
        <v/>
      </c>
      <c r="M63" s="17" t="str">
        <f t="shared" si="5"/>
        <v/>
      </c>
      <c r="N63" s="145">
        <v>47757</v>
      </c>
      <c r="O63" s="108">
        <f>SUMIFS('Planning Engine'!$F:$F,'Planning Engine'!$B:$B,$B$3,'Planning Engine'!$A:$A,N63)</f>
        <v>13221.849533993436</v>
      </c>
      <c r="P63" s="108">
        <f t="shared" si="9"/>
        <v>418611.533620128</v>
      </c>
      <c r="Q63" s="146">
        <f>IF(N63&lt;=EDATE(Controls!$B$5,$B$4-1),O63,0)</f>
        <v>0</v>
      </c>
      <c r="R63" t="str" cm="1">
        <f t="array" ref="R63">IF(B63="","",IFERROR(INDEX('Lot Inputs'!$L$5:$L$507,MATCH(1,('Lot Inputs'!$A$5:$A$507=$B$3)*('Lot Inputs'!$B$5:$B$507=B63),0)),""))</f>
        <v/>
      </c>
      <c r="S63" s="205" t="str" cm="1">
        <f t="array" ref="S63">IF(B63="","",IFERROR(INDEX('Lot Inputs'!$M$5:$M$507,MATCH(1,('Lot Inputs'!$A$5:$A$507=$B$3)*('Lot Inputs'!$B$5:$B$507=B63),0)),""))</f>
        <v/>
      </c>
      <c r="T63" s="459" t="str">
        <f ca="1">IF(S63="","",S63-TODAY())</f>
        <v/>
      </c>
    </row>
    <row r="64" spans="1:20" ht="14" customHeight="1" x14ac:dyDescent="0.35">
      <c r="A64" s="142">
        <v>58</v>
      </c>
      <c r="B64" s="143" t="str" cm="1">
        <f t="array" ref="B64">IFERROR(INDEX('Lot Inputs'!$B$5:$B$507,MATCH(_xlfn.AGGREGATE(15,6,('Lot Inputs'!$J$5:$J$507)/(('Lot Inputs'!$A$5:$A$507=$B$3)*('Lot Inputs'!$H$5:$H$507&gt;0)),ROW()-6),IF('Lot Inputs'!$A$5:$A$507=$B$3,'Lot Inputs'!$J$5:$J$507),0)),"")</f>
        <v/>
      </c>
      <c r="C64" s="144" t="str">
        <f t="shared" si="2"/>
        <v/>
      </c>
      <c r="D64" s="145" t="str" cm="1">
        <f t="array" ref="D64">IF(B64="","",INDEX('Lot Inputs'!$E$5:$E$507,MATCH(1,('Lot Inputs'!$A$5:$A$507=$B$3)*('Lot Inputs'!$B$5:$B$507=B64),0)))</f>
        <v/>
      </c>
      <c r="E64" s="146" t="str" cm="1">
        <f t="array" ref="E64">IF(B64="","",INDEX('Lot Inputs'!$H$5:$H$507,MATCH(1,('Lot Inputs'!$A$5:$A$507=$B$3)*('Lot Inputs'!$B$5:$B$507=B64),0)))</f>
        <v/>
      </c>
      <c r="F64" s="108" t="str">
        <f>IF(E64="","",IF(R64="On Hold",0,E64)+IF(F63="",0,F63))</f>
        <v/>
      </c>
      <c r="G64" s="108" t="str">
        <f>IF(D64="","",SUMIFS($O$7:$O$500,$N$7:$N$500,"&gt;="&amp;IF(R64="On Hold",S64,Controls!$B$5),$N$7:$N$500,"&lt;="&amp;EDATE(D64,-$B$4)))</f>
        <v/>
      </c>
      <c r="H64" s="108" t="str">
        <f t="shared" si="8"/>
        <v/>
      </c>
      <c r="I64" s="147" t="str">
        <f t="shared" si="7"/>
        <v/>
      </c>
      <c r="J64" s="148" t="str">
        <f>IF(D64="","",(YEAR(EDATE(D64,-$B$4))-YEAR(Controls!$B$5))*12+MONTH(EDATE(D64,-$B$4))-MONTH(Controls!$B$5))</f>
        <v/>
      </c>
      <c r="K64" s="149" t="str">
        <f t="array" ref="K64">IF(F64="","",IFERROR(INDEX($N$7:$N$500,MATCH(TRUE(),$P$7:$P$500&gt;=F64,0)),"After Horizon"))</f>
        <v/>
      </c>
      <c r="L64" t="str">
        <f t="shared" si="4"/>
        <v/>
      </c>
      <c r="M64" s="17" t="str">
        <f t="shared" si="5"/>
        <v/>
      </c>
      <c r="N64" s="145">
        <v>47788</v>
      </c>
      <c r="O64" s="108">
        <f>SUMIFS('Planning Engine'!$F:$F,'Planning Engine'!$B:$B,$B$3,'Planning Engine'!$A:$A,N64)</f>
        <v>16972.559291183326</v>
      </c>
      <c r="P64" s="108">
        <f t="shared" si="9"/>
        <v>435584.09291131131</v>
      </c>
      <c r="Q64" s="146">
        <f>IF(N64&lt;=EDATE(Controls!$B$5,$B$4-1),O64,0)</f>
        <v>0</v>
      </c>
      <c r="R64" t="str" cm="1">
        <f t="array" ref="R64">IF(B64="","",IFERROR(INDEX('Lot Inputs'!$L$5:$L$507,MATCH(1,('Lot Inputs'!$A$5:$A$507=$B$3)*('Lot Inputs'!$B$5:$B$507=B64),0)),""))</f>
        <v/>
      </c>
      <c r="S64" s="205" t="str" cm="1">
        <f t="array" ref="S64">IF(B64="","",IFERROR(INDEX('Lot Inputs'!$M$5:$M$507,MATCH(1,('Lot Inputs'!$A$5:$A$507=$B$3)*('Lot Inputs'!$B$5:$B$507=B64),0)),""))</f>
        <v/>
      </c>
      <c r="T64" s="459" t="str">
        <f ca="1">IF(S64="","",S64-TODAY())</f>
        <v/>
      </c>
    </row>
    <row r="65" spans="1:20" ht="14" customHeight="1" x14ac:dyDescent="0.35">
      <c r="A65" s="142">
        <v>59</v>
      </c>
      <c r="B65" s="143" t="str" cm="1">
        <f t="array" ref="B65">IFERROR(INDEX('Lot Inputs'!$B$5:$B$507,MATCH(_xlfn.AGGREGATE(15,6,('Lot Inputs'!$J$5:$J$507)/(('Lot Inputs'!$A$5:$A$507=$B$3)*('Lot Inputs'!$H$5:$H$507&gt;0)),ROW()-6),IF('Lot Inputs'!$A$5:$A$507=$B$3,'Lot Inputs'!$J$5:$J$507),0)),"")</f>
        <v/>
      </c>
      <c r="C65" s="144" t="str">
        <f t="shared" si="2"/>
        <v/>
      </c>
      <c r="D65" s="145" t="str" cm="1">
        <f t="array" ref="D65">IF(B65="","",INDEX('Lot Inputs'!$E$5:$E$507,MATCH(1,('Lot Inputs'!$A$5:$A$507=$B$3)*('Lot Inputs'!$B$5:$B$507=B65),0)))</f>
        <v/>
      </c>
      <c r="E65" s="146" t="str" cm="1">
        <f t="array" ref="E65">IF(B65="","",INDEX('Lot Inputs'!$H$5:$H$507,MATCH(1,('Lot Inputs'!$A$5:$A$507=$B$3)*('Lot Inputs'!$B$5:$B$507=B65),0)))</f>
        <v/>
      </c>
      <c r="F65" s="108" t="str">
        <f>IF(E65="","",IF(R65="On Hold",0,E65)+IF(F64="",0,F64))</f>
        <v/>
      </c>
      <c r="G65" s="108" t="str">
        <f>IF(D65="","",SUMIFS($O$7:$O$500,$N$7:$N$500,"&gt;="&amp;IF(R65="On Hold",S65,Controls!$B$5),$N$7:$N$500,"&lt;="&amp;EDATE(D65,-$B$4)))</f>
        <v/>
      </c>
      <c r="H65" s="108" t="str">
        <f t="shared" si="8"/>
        <v/>
      </c>
      <c r="I65" s="147" t="str">
        <f t="shared" si="7"/>
        <v/>
      </c>
      <c r="J65" s="148" t="str">
        <f>IF(D65="","",(YEAR(EDATE(D65,-$B$4))-YEAR(Controls!$B$5))*12+MONTH(EDATE(D65,-$B$4))-MONTH(Controls!$B$5))</f>
        <v/>
      </c>
      <c r="K65" s="149" t="str">
        <f t="array" ref="K65">IF(F65="","",IFERROR(INDEX($N$7:$N$500,MATCH(TRUE(),$P$7:$P$500&gt;=F65,0)),"After Horizon"))</f>
        <v/>
      </c>
      <c r="L65" t="str">
        <f t="shared" si="4"/>
        <v/>
      </c>
      <c r="M65" s="17" t="str">
        <f t="shared" si="5"/>
        <v/>
      </c>
      <c r="N65" s="145">
        <v>47818</v>
      </c>
      <c r="O65" s="108">
        <f>SUMIFS('Planning Engine'!$F:$F,'Planning Engine'!$B:$B,$B$3,'Planning Engine'!$A:$A,N65)</f>
        <v>12911.737198879006</v>
      </c>
      <c r="P65" s="108">
        <f t="shared" si="9"/>
        <v>448495.83011019032</v>
      </c>
      <c r="Q65" s="146">
        <f>IF(N65&lt;=EDATE(Controls!$B$5,$B$4-1),O65,0)</f>
        <v>0</v>
      </c>
      <c r="R65" t="str" cm="1">
        <f t="array" ref="R65">IF(B65="","",IFERROR(INDEX('Lot Inputs'!$L$5:$L$507,MATCH(1,('Lot Inputs'!$A$5:$A$507=$B$3)*('Lot Inputs'!$B$5:$B$507=B65),0)),""))</f>
        <v/>
      </c>
      <c r="S65" s="205" t="str" cm="1">
        <f t="array" ref="S65">IF(B65="","",IFERROR(INDEX('Lot Inputs'!$M$5:$M$507,MATCH(1,('Lot Inputs'!$A$5:$A$507=$B$3)*('Lot Inputs'!$B$5:$B$507=B65),0)),""))</f>
        <v/>
      </c>
      <c r="T65" s="459" t="str">
        <f ca="1">IF(S65="","",S65-TODAY())</f>
        <v/>
      </c>
    </row>
    <row r="66" spans="1:20" ht="14" customHeight="1" x14ac:dyDescent="0.35">
      <c r="A66" s="142">
        <v>60</v>
      </c>
      <c r="B66" s="143" t="str" cm="1">
        <f t="array" ref="B66">IFERROR(INDEX('Lot Inputs'!$B$5:$B$507,MATCH(_xlfn.AGGREGATE(15,6,('Lot Inputs'!$J$5:$J$507)/(('Lot Inputs'!$A$5:$A$507=$B$3)*('Lot Inputs'!$H$5:$H$507&gt;0)),ROW()-6),IF('Lot Inputs'!$A$5:$A$507=$B$3,'Lot Inputs'!$J$5:$J$507),0)),"")</f>
        <v/>
      </c>
      <c r="C66" s="144" t="str">
        <f t="shared" si="2"/>
        <v/>
      </c>
      <c r="D66" s="145" t="str" cm="1">
        <f t="array" ref="D66">IF(B66="","",INDEX('Lot Inputs'!$E$5:$E$507,MATCH(1,('Lot Inputs'!$A$5:$A$507=$B$3)*('Lot Inputs'!$B$5:$B$507=B66),0)))</f>
        <v/>
      </c>
      <c r="E66" s="146" t="str" cm="1">
        <f t="array" ref="E66">IF(B66="","",INDEX('Lot Inputs'!$H$5:$H$507,MATCH(1,('Lot Inputs'!$A$5:$A$507=$B$3)*('Lot Inputs'!$B$5:$B$507=B66),0)))</f>
        <v/>
      </c>
      <c r="F66" s="108" t="str">
        <f>IF(E66="","",IF(R66="On Hold",0,E66)+IF(F65="",0,F65))</f>
        <v/>
      </c>
      <c r="G66" s="108" t="str">
        <f>IF(D66="","",SUMIFS($O$7:$O$500,$N$7:$N$500,"&gt;="&amp;IF(R66="On Hold",S66,Controls!$B$5),$N$7:$N$500,"&lt;="&amp;EDATE(D66,-$B$4)))</f>
        <v/>
      </c>
      <c r="H66" s="108" t="str">
        <f t="shared" si="8"/>
        <v/>
      </c>
      <c r="I66" s="147" t="str">
        <f t="shared" si="7"/>
        <v/>
      </c>
      <c r="J66" s="148" t="str">
        <f>IF(D66="","",(YEAR(EDATE(D66,-$B$4))-YEAR(Controls!$B$5))*12+MONTH(EDATE(D66,-$B$4))-MONTH(Controls!$B$5))</f>
        <v/>
      </c>
      <c r="K66" s="149" t="str">
        <f t="array" ref="K66">IF(F66="","",IFERROR(INDEX($N$7:$N$500,MATCH(TRUE(),$P$7:$P$500&gt;=F66,0)),"After Horizon"))</f>
        <v/>
      </c>
      <c r="L66" t="str">
        <f t="shared" si="4"/>
        <v/>
      </c>
      <c r="M66" s="17" t="str">
        <f t="shared" si="5"/>
        <v/>
      </c>
      <c r="N66" s="145">
        <v>47849</v>
      </c>
      <c r="O66" s="108">
        <f>SUMIFS('Planning Engine'!$F:$F,'Planning Engine'!$B:$B,$B$3,'Planning Engine'!$A:$A,N66)</f>
        <v>17267.448749521587</v>
      </c>
      <c r="P66" s="108">
        <f t="shared" si="9"/>
        <v>465763.27885971189</v>
      </c>
      <c r="Q66" s="146">
        <f>IF(N66&lt;=EDATE(Controls!$B$5,$B$4-1),O66,0)</f>
        <v>0</v>
      </c>
      <c r="R66" t="str" cm="1">
        <f t="array" ref="R66">IF(B66="","",IFERROR(INDEX('Lot Inputs'!$L$5:$L$507,MATCH(1,('Lot Inputs'!$A$5:$A$507=$B$3)*('Lot Inputs'!$B$5:$B$507=B66),0)),""))</f>
        <v/>
      </c>
      <c r="S66" s="205" t="str" cm="1">
        <f t="array" ref="S66">IF(B66="","",IFERROR(INDEX('Lot Inputs'!$M$5:$M$507,MATCH(1,('Lot Inputs'!$A$5:$A$507=$B$3)*('Lot Inputs'!$B$5:$B$507=B66),0)),""))</f>
        <v/>
      </c>
      <c r="T66" s="459" t="str">
        <f ca="1">IF(S66="","",S66-TODAY())</f>
        <v/>
      </c>
    </row>
    <row r="67" spans="1:20" ht="14" customHeight="1" x14ac:dyDescent="0.35">
      <c r="A67" s="142">
        <v>61</v>
      </c>
      <c r="B67" s="143" t="str" cm="1">
        <f t="array" ref="B67">IFERROR(INDEX('Lot Inputs'!$B$5:$B$507,MATCH(_xlfn.AGGREGATE(15,6,('Lot Inputs'!$J$5:$J$507)/(('Lot Inputs'!$A$5:$A$507=$B$3)*('Lot Inputs'!$H$5:$H$507&gt;0)),ROW()-6),IF('Lot Inputs'!$A$5:$A$507=$B$3,'Lot Inputs'!$J$5:$J$507),0)),"")</f>
        <v/>
      </c>
      <c r="C67" s="144" t="str">
        <f t="shared" si="2"/>
        <v/>
      </c>
      <c r="D67" s="145" t="str" cm="1">
        <f t="array" ref="D67">IF(B67="","",INDEX('Lot Inputs'!$E$5:$E$507,MATCH(1,('Lot Inputs'!$A$5:$A$507=$B$3)*('Lot Inputs'!$B$5:$B$507=B67),0)))</f>
        <v/>
      </c>
      <c r="E67" s="146" t="str" cm="1">
        <f t="array" ref="E67">IF(B67="","",INDEX('Lot Inputs'!$H$5:$H$507,MATCH(1,('Lot Inputs'!$A$5:$A$507=$B$3)*('Lot Inputs'!$B$5:$B$507=B67),0)))</f>
        <v/>
      </c>
      <c r="F67" s="108" t="str">
        <f>IF(E67="","",IF(R67="On Hold",0,E67)+IF(F66="",0,F66))</f>
        <v/>
      </c>
      <c r="G67" s="108" t="str">
        <f>IF(D67="","",SUMIFS($O$7:$O$500,$N$7:$N$500,"&gt;="&amp;IF(R67="On Hold",S67,Controls!$B$5),$N$7:$N$500,"&lt;="&amp;EDATE(D67,-$B$4)))</f>
        <v/>
      </c>
      <c r="H67" s="108" t="str">
        <f t="shared" si="8"/>
        <v/>
      </c>
      <c r="I67" s="147" t="str">
        <f t="shared" si="7"/>
        <v/>
      </c>
      <c r="J67" s="148" t="str">
        <f>IF(D67="","",(YEAR(EDATE(D67,-$B$4))-YEAR(Controls!$B$5))*12+MONTH(EDATE(D67,-$B$4))-MONTH(Controls!$B$5))</f>
        <v/>
      </c>
      <c r="K67" s="149" t="str">
        <f t="array" ref="K67">IF(F67="","",IFERROR(INDEX($N$7:$N$500,MATCH(TRUE(),$P$7:$P$500&gt;=F67,0)),"After Horizon"))</f>
        <v/>
      </c>
      <c r="L67" t="str">
        <f t="shared" si="4"/>
        <v/>
      </c>
      <c r="M67" s="17" t="str">
        <f t="shared" si="5"/>
        <v/>
      </c>
      <c r="N67" s="145">
        <v>47880</v>
      </c>
      <c r="O67" s="108">
        <f>SUMIFS('Planning Engine'!$F:$F,'Planning Engine'!$B:$B,$B$3,'Planning Engine'!$A:$A,N67)</f>
        <v>17098.763893882613</v>
      </c>
      <c r="P67" s="108">
        <f t="shared" si="9"/>
        <v>482862.04275359452</v>
      </c>
      <c r="Q67" s="146">
        <f>IF(N67&lt;=EDATE(Controls!$B$5,$B$4-1),O67,0)</f>
        <v>0</v>
      </c>
      <c r="R67" t="str" cm="1">
        <f t="array" ref="R67">IF(B67="","",IFERROR(INDEX('Lot Inputs'!$L$5:$L$507,MATCH(1,('Lot Inputs'!$A$5:$A$507=$B$3)*('Lot Inputs'!$B$5:$B$507=B67),0)),""))</f>
        <v/>
      </c>
      <c r="S67" s="205" t="str" cm="1">
        <f t="array" ref="S67">IF(B67="","",IFERROR(INDEX('Lot Inputs'!$M$5:$M$507,MATCH(1,('Lot Inputs'!$A$5:$A$507=$B$3)*('Lot Inputs'!$B$5:$B$507=B67),0)),""))</f>
        <v/>
      </c>
      <c r="T67" s="459" t="str">
        <f ca="1">IF(S67="","",S67-TODAY())</f>
        <v/>
      </c>
    </row>
    <row r="68" spans="1:20" ht="14" customHeight="1" x14ac:dyDescent="0.35">
      <c r="A68" s="142">
        <v>62</v>
      </c>
      <c r="B68" s="143" t="str" cm="1">
        <f t="array" ref="B68">IFERROR(INDEX('Lot Inputs'!$B$5:$B$507,MATCH(_xlfn.AGGREGATE(15,6,('Lot Inputs'!$J$5:$J$507)/(('Lot Inputs'!$A$5:$A$507=$B$3)*('Lot Inputs'!$H$5:$H$507&gt;0)),ROW()-6),IF('Lot Inputs'!$A$5:$A$507=$B$3,'Lot Inputs'!$J$5:$J$507),0)),"")</f>
        <v/>
      </c>
      <c r="C68" s="144" t="str">
        <f t="shared" si="2"/>
        <v/>
      </c>
      <c r="D68" s="145" t="str" cm="1">
        <f t="array" ref="D68">IF(B68="","",INDEX('Lot Inputs'!$E$5:$E$507,MATCH(1,('Lot Inputs'!$A$5:$A$507=$B$3)*('Lot Inputs'!$B$5:$B$507=B68),0)))</f>
        <v/>
      </c>
      <c r="E68" s="146" t="str" cm="1">
        <f t="array" ref="E68">IF(B68="","",INDEX('Lot Inputs'!$H$5:$H$507,MATCH(1,('Lot Inputs'!$A$5:$A$507=$B$3)*('Lot Inputs'!$B$5:$B$507=B68),0)))</f>
        <v/>
      </c>
      <c r="F68" s="108" t="str">
        <f>IF(E68="","",IF(R68="On Hold",0,E68)+IF(F67="",0,F67))</f>
        <v/>
      </c>
      <c r="G68" s="108" t="str">
        <f>IF(D68="","",SUMIFS($O$7:$O$500,$N$7:$N$500,"&gt;="&amp;IF(R68="On Hold",S68,Controls!$B$5),$N$7:$N$500,"&lt;="&amp;EDATE(D68,-$B$4)))</f>
        <v/>
      </c>
      <c r="H68" s="108" t="str">
        <f t="shared" si="8"/>
        <v/>
      </c>
      <c r="I68" s="147" t="str">
        <f t="shared" si="7"/>
        <v/>
      </c>
      <c r="J68" s="148" t="str">
        <f>IF(D68="","",(YEAR(EDATE(D68,-$B$4))-YEAR(Controls!$B$5))*12+MONTH(EDATE(D68,-$B$4))-MONTH(Controls!$B$5))</f>
        <v/>
      </c>
      <c r="K68" s="149" t="str">
        <f t="array" ref="K68">IF(F68="","",IFERROR(INDEX($N$7:$N$500,MATCH(TRUE(),$P$7:$P$500&gt;=F68,0)),"After Horizon"))</f>
        <v/>
      </c>
      <c r="L68" t="str">
        <f t="shared" si="4"/>
        <v/>
      </c>
      <c r="M68" s="17" t="str">
        <f t="shared" si="5"/>
        <v/>
      </c>
      <c r="N68" s="145">
        <v>47908</v>
      </c>
      <c r="O68" s="108">
        <f>SUMIFS('Planning Engine'!$F:$F,'Planning Engine'!$B:$B,$B$3,'Planning Engine'!$A:$A,N68)</f>
        <v>14803.979864345691</v>
      </c>
      <c r="P68" s="108">
        <f t="shared" si="9"/>
        <v>497666.02261794021</v>
      </c>
      <c r="Q68" s="146">
        <f>IF(N68&lt;=EDATE(Controls!$B$5,$B$4-1),O68,0)</f>
        <v>0</v>
      </c>
      <c r="R68" t="str" cm="1">
        <f t="array" ref="R68">IF(B68="","",IFERROR(INDEX('Lot Inputs'!$L$5:$L$507,MATCH(1,('Lot Inputs'!$A$5:$A$507=$B$3)*('Lot Inputs'!$B$5:$B$507=B68),0)),""))</f>
        <v/>
      </c>
      <c r="S68" s="205" t="str" cm="1">
        <f t="array" ref="S68">IF(B68="","",IFERROR(INDEX('Lot Inputs'!$M$5:$M$507,MATCH(1,('Lot Inputs'!$A$5:$A$507=$B$3)*('Lot Inputs'!$B$5:$B$507=B68),0)),""))</f>
        <v/>
      </c>
      <c r="T68" s="459" t="str">
        <f ca="1">IF(S68="","",S68-TODAY())</f>
        <v/>
      </c>
    </row>
    <row r="69" spans="1:20" ht="14" customHeight="1" x14ac:dyDescent="0.35">
      <c r="A69" s="142">
        <v>63</v>
      </c>
      <c r="B69" s="143" t="str" cm="1">
        <f t="array" ref="B69">IFERROR(INDEX('Lot Inputs'!$B$5:$B$507,MATCH(_xlfn.AGGREGATE(15,6,('Lot Inputs'!$J$5:$J$507)/(('Lot Inputs'!$A$5:$A$507=$B$3)*('Lot Inputs'!$H$5:$H$507&gt;0)),ROW()-6),IF('Lot Inputs'!$A$5:$A$507=$B$3,'Lot Inputs'!$J$5:$J$507),0)),"")</f>
        <v/>
      </c>
      <c r="C69" s="144" t="str">
        <f t="shared" si="2"/>
        <v/>
      </c>
      <c r="D69" s="145" t="str" cm="1">
        <f t="array" ref="D69">IF(B69="","",INDEX('Lot Inputs'!$E$5:$E$507,MATCH(1,('Lot Inputs'!$A$5:$A$507=$B$3)*('Lot Inputs'!$B$5:$B$507=B69),0)))</f>
        <v/>
      </c>
      <c r="E69" s="146" t="str" cm="1">
        <f t="array" ref="E69">IF(B69="","",INDEX('Lot Inputs'!$H$5:$H$507,MATCH(1,('Lot Inputs'!$A$5:$A$507=$B$3)*('Lot Inputs'!$B$5:$B$507=B69),0)))</f>
        <v/>
      </c>
      <c r="F69" s="108" t="str">
        <f>IF(E69="","",IF(R69="On Hold",0,E69)+IF(F68="",0,F68))</f>
        <v/>
      </c>
      <c r="G69" s="108" t="str">
        <f>IF(D69="","",SUMIFS($O$7:$O$500,$N$7:$N$500,"&gt;="&amp;IF(R69="On Hold",S69,Controls!$B$5),$N$7:$N$500,"&lt;="&amp;EDATE(D69,-$B$4)))</f>
        <v/>
      </c>
      <c r="H69" s="108" t="str">
        <f t="shared" si="8"/>
        <v/>
      </c>
      <c r="I69" s="147" t="str">
        <f t="shared" si="7"/>
        <v/>
      </c>
      <c r="J69" s="148" t="str">
        <f>IF(D69="","",(YEAR(EDATE(D69,-$B$4))-YEAR(Controls!$B$5))*12+MONTH(EDATE(D69,-$B$4))-MONTH(Controls!$B$5))</f>
        <v/>
      </c>
      <c r="K69" s="149" t="str">
        <f t="array" ref="K69">IF(F69="","",IFERROR(INDEX($N$7:$N$500,MATCH(TRUE(),$P$7:$P$500&gt;=F69,0)),"After Horizon"))</f>
        <v/>
      </c>
      <c r="L69" t="str">
        <f t="shared" si="4"/>
        <v/>
      </c>
      <c r="M69" s="17" t="str">
        <f t="shared" si="5"/>
        <v/>
      </c>
      <c r="N69" s="145">
        <v>47939</v>
      </c>
      <c r="O69" s="108">
        <f>SUMIFS('Planning Engine'!$F:$F,'Planning Engine'!$B:$B,$B$3,'Planning Engine'!$A:$A,N69)</f>
        <v>19236.375144980924</v>
      </c>
      <c r="P69" s="108">
        <f t="shared" si="9"/>
        <v>516902.39776292111</v>
      </c>
      <c r="Q69" s="146">
        <f>IF(N69&lt;=EDATE(Controls!$B$5,$B$4-1),O69,0)</f>
        <v>0</v>
      </c>
      <c r="R69" t="str" cm="1">
        <f t="array" ref="R69">IF(B69="","",IFERROR(INDEX('Lot Inputs'!$L$5:$L$507,MATCH(1,('Lot Inputs'!$A$5:$A$507=$B$3)*('Lot Inputs'!$B$5:$B$507=B69),0)),""))</f>
        <v/>
      </c>
      <c r="S69" s="205" t="str" cm="1">
        <f t="array" ref="S69">IF(B69="","",IFERROR(INDEX('Lot Inputs'!$M$5:$M$507,MATCH(1,('Lot Inputs'!$A$5:$A$507=$B$3)*('Lot Inputs'!$B$5:$B$507=B69),0)),""))</f>
        <v/>
      </c>
      <c r="T69" s="459" t="str">
        <f ca="1">IF(S69="","",S69-TODAY())</f>
        <v/>
      </c>
    </row>
    <row r="70" spans="1:20" ht="14" customHeight="1" x14ac:dyDescent="0.35">
      <c r="A70" s="142">
        <v>64</v>
      </c>
      <c r="B70" s="143" t="str" cm="1">
        <f t="array" ref="B70">IFERROR(INDEX('Lot Inputs'!$B$5:$B$507,MATCH(_xlfn.AGGREGATE(15,6,('Lot Inputs'!$J$5:$J$507)/(('Lot Inputs'!$A$5:$A$507=$B$3)*('Lot Inputs'!$H$5:$H$507&gt;0)),ROW()-6),IF('Lot Inputs'!$A$5:$A$507=$B$3,'Lot Inputs'!$J$5:$J$507),0)),"")</f>
        <v/>
      </c>
      <c r="C70" s="144" t="str">
        <f t="shared" si="2"/>
        <v/>
      </c>
      <c r="D70" s="145" t="str" cm="1">
        <f t="array" ref="D70">IF(B70="","",INDEX('Lot Inputs'!$E$5:$E$507,MATCH(1,('Lot Inputs'!$A$5:$A$507=$B$3)*('Lot Inputs'!$B$5:$B$507=B70),0)))</f>
        <v/>
      </c>
      <c r="E70" s="146" t="str" cm="1">
        <f t="array" ref="E70">IF(B70="","",INDEX('Lot Inputs'!$H$5:$H$507,MATCH(1,('Lot Inputs'!$A$5:$A$507=$B$3)*('Lot Inputs'!$B$5:$B$507=B70),0)))</f>
        <v/>
      </c>
      <c r="F70" s="108" t="str">
        <f>IF(E70="","",IF(R70="On Hold",0,E70)+IF(F69="",0,F69))</f>
        <v/>
      </c>
      <c r="G70" s="108" t="str">
        <f>IF(D70="","",SUMIFS($O$7:$O$500,$N$7:$N$500,"&gt;="&amp;IF(R70="On Hold",S70,Controls!$B$5),$N$7:$N$500,"&lt;="&amp;EDATE(D70,-$B$4)))</f>
        <v/>
      </c>
      <c r="H70" s="108" t="str">
        <f t="shared" si="8"/>
        <v/>
      </c>
      <c r="I70" s="147" t="str">
        <f t="shared" si="7"/>
        <v/>
      </c>
      <c r="J70" s="148" t="str">
        <f>IF(D70="","",(YEAR(EDATE(D70,-$B$4))-YEAR(Controls!$B$5))*12+MONTH(EDATE(D70,-$B$4))-MONTH(Controls!$B$5))</f>
        <v/>
      </c>
      <c r="K70" s="149" t="str">
        <f t="array" ref="K70">IF(F70="","",IFERROR(INDEX($N$7:$N$500,MATCH(TRUE(),$P$7:$P$500&gt;=F70,0)),"After Horizon"))</f>
        <v/>
      </c>
      <c r="L70" t="str">
        <f t="shared" si="4"/>
        <v/>
      </c>
      <c r="M70" s="17" t="str">
        <f t="shared" si="5"/>
        <v/>
      </c>
      <c r="N70" s="145">
        <v>47969</v>
      </c>
      <c r="O70" s="108">
        <f>SUMIFS('Planning Engine'!$F:$F,'Planning Engine'!$B:$B,$B$3,'Planning Engine'!$A:$A,N70)</f>
        <v>20580.299021664116</v>
      </c>
      <c r="P70" s="108">
        <f t="shared" si="9"/>
        <v>537482.69678458525</v>
      </c>
      <c r="Q70" s="146">
        <f>IF(N70&lt;=EDATE(Controls!$B$5,$B$4-1),O70,0)</f>
        <v>0</v>
      </c>
      <c r="R70" t="str" cm="1">
        <f t="array" ref="R70">IF(B70="","",IFERROR(INDEX('Lot Inputs'!$L$5:$L$507,MATCH(1,('Lot Inputs'!$A$5:$A$507=$B$3)*('Lot Inputs'!$B$5:$B$507=B70),0)),""))</f>
        <v/>
      </c>
      <c r="S70" s="205" t="str" cm="1">
        <f t="array" ref="S70">IF(B70="","",IFERROR(INDEX('Lot Inputs'!$M$5:$M$507,MATCH(1,('Lot Inputs'!$A$5:$A$507=$B$3)*('Lot Inputs'!$B$5:$B$507=B70),0)),""))</f>
        <v/>
      </c>
      <c r="T70" s="459" t="str">
        <f ca="1">IF(S70="","",S70-TODAY())</f>
        <v/>
      </c>
    </row>
    <row r="71" spans="1:20" ht="14" customHeight="1" x14ac:dyDescent="0.35">
      <c r="A71" s="142">
        <v>65</v>
      </c>
      <c r="B71" s="143" t="str" cm="1">
        <f t="array" ref="B71">IFERROR(INDEX('Lot Inputs'!$B$5:$B$507,MATCH(_xlfn.AGGREGATE(15,6,('Lot Inputs'!$J$5:$J$507)/(('Lot Inputs'!$A$5:$A$507=$B$3)*('Lot Inputs'!$H$5:$H$507&gt;0)),ROW()-6),IF('Lot Inputs'!$A$5:$A$507=$B$3,'Lot Inputs'!$J$5:$J$507),0)),"")</f>
        <v/>
      </c>
      <c r="C71" s="144" t="str">
        <f t="shared" si="2"/>
        <v/>
      </c>
      <c r="D71" s="145" t="str" cm="1">
        <f t="array" ref="D71">IF(B71="","",INDEX('Lot Inputs'!$E$5:$E$507,MATCH(1,('Lot Inputs'!$A$5:$A$507=$B$3)*('Lot Inputs'!$B$5:$B$507=B71),0)))</f>
        <v/>
      </c>
      <c r="E71" s="146" t="str" cm="1">
        <f t="array" ref="E71">IF(B71="","",INDEX('Lot Inputs'!$H$5:$H$507,MATCH(1,('Lot Inputs'!$A$5:$A$507=$B$3)*('Lot Inputs'!$B$5:$B$507=B71),0)))</f>
        <v/>
      </c>
      <c r="F71" s="108" t="str">
        <f>IF(E71="","",IF(R71="On Hold",0,E71)+IF(F70="",0,F70))</f>
        <v/>
      </c>
      <c r="G71" s="108" t="str">
        <f>IF(D71="","",SUMIFS($O$7:$O$500,$N$7:$N$500,"&gt;="&amp;IF(R71="On Hold",S71,Controls!$B$5),$N$7:$N$500,"&lt;="&amp;EDATE(D71,-$B$4)))</f>
        <v/>
      </c>
      <c r="H71" s="108" t="str">
        <f t="shared" si="8"/>
        <v/>
      </c>
      <c r="I71" s="147" t="str">
        <f t="shared" ref="I71:I102" si="10">IF(E71="","",MAX(0,E71-H71))</f>
        <v/>
      </c>
      <c r="J71" s="148" t="str">
        <f>IF(D71="","",(YEAR(EDATE(D71,-$B$4))-YEAR(Controls!$B$5))*12+MONTH(EDATE(D71,-$B$4))-MONTH(Controls!$B$5))</f>
        <v/>
      </c>
      <c r="K71" s="149" t="str">
        <f t="array" ref="K71">IF(F71="","",IFERROR(INDEX($N$7:$N$500,MATCH(TRUE(),$P$7:$P$500&gt;=F71,0)),"After Horizon"))</f>
        <v/>
      </c>
      <c r="L71" t="str">
        <f t="shared" si="4"/>
        <v/>
      </c>
      <c r="M71" s="17" t="str">
        <f t="shared" si="5"/>
        <v/>
      </c>
      <c r="N71" s="145">
        <v>48000</v>
      </c>
      <c r="O71" s="108">
        <f>SUMIFS('Planning Engine'!$F:$F,'Planning Engine'!$B:$B,$B$3,'Planning Engine'!$A:$A,N71)</f>
        <v>19181.630624953432</v>
      </c>
      <c r="P71" s="108">
        <f t="shared" si="9"/>
        <v>556664.32740953867</v>
      </c>
      <c r="Q71" s="146">
        <f>IF(N71&lt;=EDATE(Controls!$B$5,$B$4-1),O71,0)</f>
        <v>0</v>
      </c>
      <c r="R71" t="str" cm="1">
        <f t="array" ref="R71">IF(B71="","",IFERROR(INDEX('Lot Inputs'!$L$5:$L$507,MATCH(1,('Lot Inputs'!$A$5:$A$507=$B$3)*('Lot Inputs'!$B$5:$B$507=B71),0)),""))</f>
        <v/>
      </c>
      <c r="S71" s="205" t="str" cm="1">
        <f t="array" ref="S71">IF(B71="","",IFERROR(INDEX('Lot Inputs'!$M$5:$M$507,MATCH(1,('Lot Inputs'!$A$5:$A$507=$B$3)*('Lot Inputs'!$B$5:$B$507=B71),0)),""))</f>
        <v/>
      </c>
      <c r="T71" s="459" t="str">
        <f ca="1">IF(S71="","",S71-TODAY())</f>
        <v/>
      </c>
    </row>
    <row r="72" spans="1:20" ht="14" customHeight="1" x14ac:dyDescent="0.35">
      <c r="A72" s="142">
        <v>66</v>
      </c>
      <c r="B72" s="143" t="str" cm="1">
        <f t="array" ref="B72">IFERROR(INDEX('Lot Inputs'!$B$5:$B$507,MATCH(_xlfn.AGGREGATE(15,6,('Lot Inputs'!$J$5:$J$507)/(('Lot Inputs'!$A$5:$A$507=$B$3)*('Lot Inputs'!$H$5:$H$507&gt;0)),ROW()-6),IF('Lot Inputs'!$A$5:$A$507=$B$3,'Lot Inputs'!$J$5:$J$507),0)),"")</f>
        <v/>
      </c>
      <c r="C72" s="144" t="str">
        <f t="shared" ref="C72:C135" si="11">IF(B72="","",$B$3)</f>
        <v/>
      </c>
      <c r="D72" s="145" t="str" cm="1">
        <f t="array" ref="D72">IF(B72="","",INDEX('Lot Inputs'!$E$5:$E$507,MATCH(1,('Lot Inputs'!$A$5:$A$507=$B$3)*('Lot Inputs'!$B$5:$B$507=B72),0)))</f>
        <v/>
      </c>
      <c r="E72" s="146" t="str" cm="1">
        <f t="array" ref="E72">IF(B72="","",INDEX('Lot Inputs'!$H$5:$H$507,MATCH(1,('Lot Inputs'!$A$5:$A$507=$B$3)*('Lot Inputs'!$B$5:$B$507=B72),0)))</f>
        <v/>
      </c>
      <c r="F72" s="108" t="str">
        <f>IF(E72="","",IF(R72="On Hold",0,E72)+IF(F71="",0,F71))</f>
        <v/>
      </c>
      <c r="G72" s="108" t="str">
        <f>IF(D72="","",SUMIFS($O$7:$O$500,$N$7:$N$500,"&gt;="&amp;IF(R72="On Hold",S72,Controls!$B$5),$N$7:$N$500,"&lt;="&amp;EDATE(D72,-$B$4)))</f>
        <v/>
      </c>
      <c r="H72" s="108" t="str">
        <f t="shared" ref="H72:H103" si="12">IF(E72="","",MIN(E72,MAX(0,G72-IF(ROW()=7,0,F71))))</f>
        <v/>
      </c>
      <c r="I72" s="147" t="str">
        <f t="shared" si="10"/>
        <v/>
      </c>
      <c r="J72" s="148" t="str">
        <f>IF(D72="","",(YEAR(EDATE(D72,-$B$4))-YEAR(Controls!$B$5))*12+MONTH(EDATE(D72,-$B$4))-MONTH(Controls!$B$5))</f>
        <v/>
      </c>
      <c r="K72" s="149" t="str">
        <f t="array" ref="K72">IF(F72="","",IFERROR(INDEX($N$7:$N$500,MATCH(TRUE(),$P$7:$P$500&gt;=F72,0)),"After Horizon"))</f>
        <v/>
      </c>
      <c r="L72" t="str">
        <f t="shared" ref="L72:L135" si="13">IF(E72="","",IF(R72="On Hold",IF(I72&gt;0,"On Hold - At Risk","On Hold"),IF(I72&gt;0,"At Risk",IF(K72&gt;D72,"FEFO Breach","OK"))))</f>
        <v/>
      </c>
      <c r="M72" s="17" t="str">
        <f t="shared" ref="M72:M135" si="14">IF(B72="","",IF(R72="On Hold",IF(S72="","Release ASAP","Release by "&amp;TEXT(S72,"mmm-yy")),IF(L72="At Risk","Use before "&amp;TEXT(D72,"mmm-yy"),IF(L72="FEFO Breach","Accelerate consumption / reduce inventory","Standard FEFO"))))</f>
        <v/>
      </c>
      <c r="N72" s="145">
        <v>48030</v>
      </c>
      <c r="O72" s="108">
        <f>SUMIFS('Planning Engine'!$F:$F,'Planning Engine'!$B:$B,$B$3,'Planning Engine'!$A:$A,N72)</f>
        <v>18585.341673585677</v>
      </c>
      <c r="P72" s="108">
        <f t="shared" ref="P72:P103" si="15">P71+O72</f>
        <v>575249.66908312438</v>
      </c>
      <c r="Q72" s="146">
        <f>IF(N72&lt;=EDATE(Controls!$B$5,$B$4-1),O72,0)</f>
        <v>0</v>
      </c>
      <c r="R72" t="str" cm="1">
        <f t="array" ref="R72">IF(B72="","",IFERROR(INDEX('Lot Inputs'!$L$5:$L$507,MATCH(1,('Lot Inputs'!$A$5:$A$507=$B$3)*('Lot Inputs'!$B$5:$B$507=B72),0)),""))</f>
        <v/>
      </c>
      <c r="S72" s="205" t="str" cm="1">
        <f t="array" ref="S72">IF(B72="","",IFERROR(INDEX('Lot Inputs'!$M$5:$M$507,MATCH(1,('Lot Inputs'!$A$5:$A$507=$B$3)*('Lot Inputs'!$B$5:$B$507=B72),0)),""))</f>
        <v/>
      </c>
      <c r="T72" s="459" t="str">
        <f ca="1">IF(S72="","",S72-TODAY())</f>
        <v/>
      </c>
    </row>
    <row r="73" spans="1:20" ht="14" customHeight="1" x14ac:dyDescent="0.35">
      <c r="A73" s="142">
        <v>67</v>
      </c>
      <c r="B73" s="143" t="str" cm="1">
        <f t="array" ref="B73">IFERROR(INDEX('Lot Inputs'!$B$5:$B$507,MATCH(_xlfn.AGGREGATE(15,6,('Lot Inputs'!$J$5:$J$507)/(('Lot Inputs'!$A$5:$A$507=$B$3)*('Lot Inputs'!$H$5:$H$507&gt;0)),ROW()-6),IF('Lot Inputs'!$A$5:$A$507=$B$3,'Lot Inputs'!$J$5:$J$507),0)),"")</f>
        <v/>
      </c>
      <c r="C73" s="144" t="str">
        <f t="shared" si="11"/>
        <v/>
      </c>
      <c r="D73" s="145" t="str" cm="1">
        <f t="array" ref="D73">IF(B73="","",INDEX('Lot Inputs'!$E$5:$E$507,MATCH(1,('Lot Inputs'!$A$5:$A$507=$B$3)*('Lot Inputs'!$B$5:$B$507=B73),0)))</f>
        <v/>
      </c>
      <c r="E73" s="146" t="str" cm="1">
        <f t="array" ref="E73">IF(B73="","",INDEX('Lot Inputs'!$H$5:$H$507,MATCH(1,('Lot Inputs'!$A$5:$A$507=$B$3)*('Lot Inputs'!$B$5:$B$507=B73),0)))</f>
        <v/>
      </c>
      <c r="F73" s="108" t="str">
        <f>IF(E73="","",IF(R73="On Hold",0,E73)+IF(F72="",0,F72))</f>
        <v/>
      </c>
      <c r="G73" s="108" t="str">
        <f>IF(D73="","",SUMIFS($O$7:$O$500,$N$7:$N$500,"&gt;="&amp;IF(R73="On Hold",S73,Controls!$B$5),$N$7:$N$500,"&lt;="&amp;EDATE(D73,-$B$4)))</f>
        <v/>
      </c>
      <c r="H73" s="108" t="str">
        <f t="shared" si="12"/>
        <v/>
      </c>
      <c r="I73" s="147" t="str">
        <f t="shared" si="10"/>
        <v/>
      </c>
      <c r="J73" s="148" t="str">
        <f>IF(D73="","",(YEAR(EDATE(D73,-$B$4))-YEAR(Controls!$B$5))*12+MONTH(EDATE(D73,-$B$4))-MONTH(Controls!$B$5))</f>
        <v/>
      </c>
      <c r="K73" s="149" t="str">
        <f t="array" ref="K73">IF(F73="","",IFERROR(INDEX($N$7:$N$500,MATCH(TRUE(),$P$7:$P$500&gt;=F73,0)),"After Horizon"))</f>
        <v/>
      </c>
      <c r="L73" t="str">
        <f t="shared" si="13"/>
        <v/>
      </c>
      <c r="M73" s="17" t="str">
        <f t="shared" si="14"/>
        <v/>
      </c>
      <c r="N73" s="145">
        <v>48061</v>
      </c>
      <c r="O73" s="108">
        <f>SUMIFS('Planning Engine'!$F:$F,'Planning Engine'!$B:$B,$B$3,'Planning Engine'!$A:$A,N73)</f>
        <v>23099.861248685011</v>
      </c>
      <c r="P73" s="108">
        <f t="shared" si="15"/>
        <v>598349.53033180942</v>
      </c>
      <c r="Q73" s="146">
        <f>IF(N73&lt;=EDATE(Controls!$B$5,$B$4-1),O73,0)</f>
        <v>0</v>
      </c>
      <c r="R73" t="str" cm="1">
        <f t="array" ref="R73">IF(B73="","",IFERROR(INDEX('Lot Inputs'!$L$5:$L$507,MATCH(1,('Lot Inputs'!$A$5:$A$507=$B$3)*('Lot Inputs'!$B$5:$B$507=B73),0)),""))</f>
        <v/>
      </c>
      <c r="S73" s="205" t="str" cm="1">
        <f t="array" ref="S73">IF(B73="","",IFERROR(INDEX('Lot Inputs'!$M$5:$M$507,MATCH(1,('Lot Inputs'!$A$5:$A$507=$B$3)*('Lot Inputs'!$B$5:$B$507=B73),0)),""))</f>
        <v/>
      </c>
      <c r="T73" s="459" t="str">
        <f ca="1">IF(S73="","",S73-TODAY())</f>
        <v/>
      </c>
    </row>
    <row r="74" spans="1:20" ht="14" customHeight="1" x14ac:dyDescent="0.35">
      <c r="A74" s="142">
        <v>68</v>
      </c>
      <c r="B74" s="143" t="str" cm="1">
        <f t="array" ref="B74">IFERROR(INDEX('Lot Inputs'!$B$5:$B$507,MATCH(_xlfn.AGGREGATE(15,6,('Lot Inputs'!$J$5:$J$507)/(('Lot Inputs'!$A$5:$A$507=$B$3)*('Lot Inputs'!$H$5:$H$507&gt;0)),ROW()-6),IF('Lot Inputs'!$A$5:$A$507=$B$3,'Lot Inputs'!$J$5:$J$507),0)),"")</f>
        <v/>
      </c>
      <c r="C74" s="144" t="str">
        <f t="shared" si="11"/>
        <v/>
      </c>
      <c r="D74" s="145" t="str" cm="1">
        <f t="array" ref="D74">IF(B74="","",INDEX('Lot Inputs'!$E$5:$E$507,MATCH(1,('Lot Inputs'!$A$5:$A$507=$B$3)*('Lot Inputs'!$B$5:$B$507=B74),0)))</f>
        <v/>
      </c>
      <c r="E74" s="146" t="str" cm="1">
        <f t="array" ref="E74">IF(B74="","",INDEX('Lot Inputs'!$H$5:$H$507,MATCH(1,('Lot Inputs'!$A$5:$A$507=$B$3)*('Lot Inputs'!$B$5:$B$507=B74),0)))</f>
        <v/>
      </c>
      <c r="F74" s="108" t="str">
        <f>IF(E74="","",IF(R74="On Hold",0,E74)+IF(F73="",0,F73))</f>
        <v/>
      </c>
      <c r="G74" s="108" t="str">
        <f>IF(D74="","",SUMIFS($O$7:$O$500,$N$7:$N$500,"&gt;="&amp;IF(R74="On Hold",S74,Controls!$B$5),$N$7:$N$500,"&lt;="&amp;EDATE(D74,-$B$4)))</f>
        <v/>
      </c>
      <c r="H74" s="108" t="str">
        <f t="shared" si="12"/>
        <v/>
      </c>
      <c r="I74" s="147" t="str">
        <f t="shared" si="10"/>
        <v/>
      </c>
      <c r="J74" s="148" t="str">
        <f>IF(D74="","",(YEAR(EDATE(D74,-$B$4))-YEAR(Controls!$B$5))*12+MONTH(EDATE(D74,-$B$4))-MONTH(Controls!$B$5))</f>
        <v/>
      </c>
      <c r="K74" s="149" t="str">
        <f t="array" ref="K74">IF(F74="","",IFERROR(INDEX($N$7:$N$500,MATCH(TRUE(),$P$7:$P$500&gt;=F74,0)),"After Horizon"))</f>
        <v/>
      </c>
      <c r="L74" t="str">
        <f t="shared" si="13"/>
        <v/>
      </c>
      <c r="M74" s="17" t="str">
        <f t="shared" si="14"/>
        <v/>
      </c>
      <c r="N74" s="145">
        <v>48092</v>
      </c>
      <c r="O74" s="108">
        <f>SUMIFS('Planning Engine'!$F:$F,'Planning Engine'!$B:$B,$B$3,'Planning Engine'!$A:$A,N74)</f>
        <v>20758.438539557646</v>
      </c>
      <c r="P74" s="108">
        <f t="shared" si="15"/>
        <v>619107.96887136705</v>
      </c>
      <c r="Q74" s="146">
        <f>IF(N74&lt;=EDATE(Controls!$B$5,$B$4-1),O74,0)</f>
        <v>0</v>
      </c>
      <c r="R74" t="str" cm="1">
        <f t="array" ref="R74">IF(B74="","",IFERROR(INDEX('Lot Inputs'!$L$5:$L$507,MATCH(1,('Lot Inputs'!$A$5:$A$507=$B$3)*('Lot Inputs'!$B$5:$B$507=B74),0)),""))</f>
        <v/>
      </c>
      <c r="S74" s="205" t="str" cm="1">
        <f t="array" ref="S74">IF(B74="","",IFERROR(INDEX('Lot Inputs'!$M$5:$M$507,MATCH(1,('Lot Inputs'!$A$5:$A$507=$B$3)*('Lot Inputs'!$B$5:$B$507=B74),0)),""))</f>
        <v/>
      </c>
      <c r="T74" s="459" t="str">
        <f ca="1">IF(S74="","",S74-TODAY())</f>
        <v/>
      </c>
    </row>
    <row r="75" spans="1:20" ht="14" customHeight="1" x14ac:dyDescent="0.35">
      <c r="A75" s="142">
        <v>69</v>
      </c>
      <c r="B75" s="143" t="str" cm="1">
        <f t="array" ref="B75">IFERROR(INDEX('Lot Inputs'!$B$5:$B$507,MATCH(_xlfn.AGGREGATE(15,6,('Lot Inputs'!$J$5:$J$507)/(('Lot Inputs'!$A$5:$A$507=$B$3)*('Lot Inputs'!$H$5:$H$507&gt;0)),ROW()-6),IF('Lot Inputs'!$A$5:$A$507=$B$3,'Lot Inputs'!$J$5:$J$507),0)),"")</f>
        <v/>
      </c>
      <c r="C75" s="144" t="str">
        <f t="shared" si="11"/>
        <v/>
      </c>
      <c r="D75" s="145" t="str" cm="1">
        <f t="array" ref="D75">IF(B75="","",INDEX('Lot Inputs'!$E$5:$E$507,MATCH(1,('Lot Inputs'!$A$5:$A$507=$B$3)*('Lot Inputs'!$B$5:$B$507=B75),0)))</f>
        <v/>
      </c>
      <c r="E75" s="146" t="str" cm="1">
        <f t="array" ref="E75">IF(B75="","",INDEX('Lot Inputs'!$H$5:$H$507,MATCH(1,('Lot Inputs'!$A$5:$A$507=$B$3)*('Lot Inputs'!$B$5:$B$507=B75),0)))</f>
        <v/>
      </c>
      <c r="F75" s="108" t="str">
        <f>IF(E75="","",IF(R75="On Hold",0,E75)+IF(F74="",0,F74))</f>
        <v/>
      </c>
      <c r="G75" s="108" t="str">
        <f>IF(D75="","",SUMIFS($O$7:$O$500,$N$7:$N$500,"&gt;="&amp;IF(R75="On Hold",S75,Controls!$B$5),$N$7:$N$500,"&lt;="&amp;EDATE(D75,-$B$4)))</f>
        <v/>
      </c>
      <c r="H75" s="108" t="str">
        <f t="shared" si="12"/>
        <v/>
      </c>
      <c r="I75" s="147" t="str">
        <f t="shared" si="10"/>
        <v/>
      </c>
      <c r="J75" s="148" t="str">
        <f>IF(D75="","",(YEAR(EDATE(D75,-$B$4))-YEAR(Controls!$B$5))*12+MONTH(EDATE(D75,-$B$4))-MONTH(Controls!$B$5))</f>
        <v/>
      </c>
      <c r="K75" s="149" t="str">
        <f t="array" ref="K75">IF(F75="","",IFERROR(INDEX($N$7:$N$500,MATCH(TRUE(),$P$7:$P$500&gt;=F75,0)),"After Horizon"))</f>
        <v/>
      </c>
      <c r="L75" t="str">
        <f t="shared" si="13"/>
        <v/>
      </c>
      <c r="M75" s="17" t="str">
        <f t="shared" si="14"/>
        <v/>
      </c>
      <c r="N75" s="145">
        <v>48122</v>
      </c>
      <c r="O75" s="108">
        <f>SUMIFS('Planning Engine'!$F:$F,'Planning Engine'!$B:$B,$B$3,'Planning Engine'!$A:$A,N75)</f>
        <v>21775.369520488282</v>
      </c>
      <c r="P75" s="108">
        <f t="shared" si="15"/>
        <v>640883.33839185536</v>
      </c>
      <c r="Q75" s="146">
        <f>IF(N75&lt;=EDATE(Controls!$B$5,$B$4-1),O75,0)</f>
        <v>0</v>
      </c>
      <c r="R75" t="str" cm="1">
        <f t="array" ref="R75">IF(B75="","",IFERROR(INDEX('Lot Inputs'!$L$5:$L$507,MATCH(1,('Lot Inputs'!$A$5:$A$507=$B$3)*('Lot Inputs'!$B$5:$B$507=B75),0)),""))</f>
        <v/>
      </c>
      <c r="S75" s="205" t="str" cm="1">
        <f t="array" ref="S75">IF(B75="","",IFERROR(INDEX('Lot Inputs'!$M$5:$M$507,MATCH(1,('Lot Inputs'!$A$5:$A$507=$B$3)*('Lot Inputs'!$B$5:$B$507=B75),0)),""))</f>
        <v/>
      </c>
      <c r="T75" s="459" t="str">
        <f ca="1">IF(S75="","",S75-TODAY())</f>
        <v/>
      </c>
    </row>
    <row r="76" spans="1:20" ht="14" customHeight="1" x14ac:dyDescent="0.35">
      <c r="A76" s="142">
        <v>70</v>
      </c>
      <c r="B76" s="143" t="str" cm="1">
        <f t="array" ref="B76">IFERROR(INDEX('Lot Inputs'!$B$5:$B$507,MATCH(_xlfn.AGGREGATE(15,6,('Lot Inputs'!$J$5:$J$507)/(('Lot Inputs'!$A$5:$A$507=$B$3)*('Lot Inputs'!$H$5:$H$507&gt;0)),ROW()-6),IF('Lot Inputs'!$A$5:$A$507=$B$3,'Lot Inputs'!$J$5:$J$507),0)),"")</f>
        <v/>
      </c>
      <c r="C76" s="144" t="str">
        <f t="shared" si="11"/>
        <v/>
      </c>
      <c r="D76" s="145" t="str" cm="1">
        <f t="array" ref="D76">IF(B76="","",INDEX('Lot Inputs'!$E$5:$E$507,MATCH(1,('Lot Inputs'!$A$5:$A$507=$B$3)*('Lot Inputs'!$B$5:$B$507=B76),0)))</f>
        <v/>
      </c>
      <c r="E76" s="146" t="str" cm="1">
        <f t="array" ref="E76">IF(B76="","",INDEX('Lot Inputs'!$H$5:$H$507,MATCH(1,('Lot Inputs'!$A$5:$A$507=$B$3)*('Lot Inputs'!$B$5:$B$507=B76),0)))</f>
        <v/>
      </c>
      <c r="F76" s="108" t="str">
        <f>IF(E76="","",IF(R76="On Hold",0,E76)+IF(F75="",0,F75))</f>
        <v/>
      </c>
      <c r="G76" s="108" t="str">
        <f>IF(D76="","",SUMIFS($O$7:$O$500,$N$7:$N$500,"&gt;="&amp;IF(R76="On Hold",S76,Controls!$B$5),$N$7:$N$500,"&lt;="&amp;EDATE(D76,-$B$4)))</f>
        <v/>
      </c>
      <c r="H76" s="108" t="str">
        <f t="shared" si="12"/>
        <v/>
      </c>
      <c r="I76" s="147" t="str">
        <f t="shared" si="10"/>
        <v/>
      </c>
      <c r="J76" s="148" t="str">
        <f>IF(D76="","",(YEAR(EDATE(D76,-$B$4))-YEAR(Controls!$B$5))*12+MONTH(EDATE(D76,-$B$4))-MONTH(Controls!$B$5))</f>
        <v/>
      </c>
      <c r="K76" s="149" t="str">
        <f t="array" ref="K76">IF(F76="","",IFERROR(INDEX($N$7:$N$500,MATCH(TRUE(),$P$7:$P$500&gt;=F76,0)),"After Horizon"))</f>
        <v/>
      </c>
      <c r="L76" t="str">
        <f t="shared" si="13"/>
        <v/>
      </c>
      <c r="M76" s="17" t="str">
        <f t="shared" si="14"/>
        <v/>
      </c>
      <c r="N76" s="145">
        <v>48153</v>
      </c>
      <c r="O76" s="108">
        <f>SUMIFS('Planning Engine'!$F:$F,'Planning Engine'!$B:$B,$B$3,'Planning Engine'!$A:$A,N76)</f>
        <v>24062.823454952217</v>
      </c>
      <c r="P76" s="108">
        <f t="shared" si="15"/>
        <v>664946.16184680758</v>
      </c>
      <c r="Q76" s="146">
        <f>IF(N76&lt;=EDATE(Controls!$B$5,$B$4-1),O76,0)</f>
        <v>0</v>
      </c>
      <c r="R76" t="str" cm="1">
        <f t="array" ref="R76">IF(B76="","",IFERROR(INDEX('Lot Inputs'!$L$5:$L$507,MATCH(1,('Lot Inputs'!$A$5:$A$507=$B$3)*('Lot Inputs'!$B$5:$B$507=B76),0)),""))</f>
        <v/>
      </c>
      <c r="S76" s="205" t="str" cm="1">
        <f t="array" ref="S76">IF(B76="","",IFERROR(INDEX('Lot Inputs'!$M$5:$M$507,MATCH(1,('Lot Inputs'!$A$5:$A$507=$B$3)*('Lot Inputs'!$B$5:$B$507=B76),0)),""))</f>
        <v/>
      </c>
      <c r="T76" s="459" t="str">
        <f ca="1">IF(S76="","",S76-TODAY())</f>
        <v/>
      </c>
    </row>
    <row r="77" spans="1:20" ht="14" customHeight="1" x14ac:dyDescent="0.35">
      <c r="A77" s="142">
        <v>71</v>
      </c>
      <c r="B77" s="143" t="str" cm="1">
        <f t="array" ref="B77">IFERROR(INDEX('Lot Inputs'!$B$5:$B$507,MATCH(_xlfn.AGGREGATE(15,6,('Lot Inputs'!$J$5:$J$507)/(('Lot Inputs'!$A$5:$A$507=$B$3)*('Lot Inputs'!$H$5:$H$507&gt;0)),ROW()-6),IF('Lot Inputs'!$A$5:$A$507=$B$3,'Lot Inputs'!$J$5:$J$507),0)),"")</f>
        <v/>
      </c>
      <c r="C77" s="144" t="str">
        <f t="shared" si="11"/>
        <v/>
      </c>
      <c r="D77" s="145" t="str" cm="1">
        <f t="array" ref="D77">IF(B77="","",INDEX('Lot Inputs'!$E$5:$E$507,MATCH(1,('Lot Inputs'!$A$5:$A$507=$B$3)*('Lot Inputs'!$B$5:$B$507=B77),0)))</f>
        <v/>
      </c>
      <c r="E77" s="146" t="str" cm="1">
        <f t="array" ref="E77">IF(B77="","",INDEX('Lot Inputs'!$H$5:$H$507,MATCH(1,('Lot Inputs'!$A$5:$A$507=$B$3)*('Lot Inputs'!$B$5:$B$507=B77),0)))</f>
        <v/>
      </c>
      <c r="F77" s="108" t="str">
        <f>IF(E77="","",IF(R77="On Hold",0,E77)+IF(F76="",0,F76))</f>
        <v/>
      </c>
      <c r="G77" s="108" t="str">
        <f>IF(D77="","",SUMIFS($O$7:$O$500,$N$7:$N$500,"&gt;="&amp;IF(R77="On Hold",S77,Controls!$B$5),$N$7:$N$500,"&lt;="&amp;EDATE(D77,-$B$4)))</f>
        <v/>
      </c>
      <c r="H77" s="108" t="str">
        <f t="shared" si="12"/>
        <v/>
      </c>
      <c r="I77" s="147" t="str">
        <f t="shared" si="10"/>
        <v/>
      </c>
      <c r="J77" s="148" t="str">
        <f>IF(D77="","",(YEAR(EDATE(D77,-$B$4))-YEAR(Controls!$B$5))*12+MONTH(EDATE(D77,-$B$4))-MONTH(Controls!$B$5))</f>
        <v/>
      </c>
      <c r="K77" s="149" t="str">
        <f t="array" ref="K77">IF(F77="","",IFERROR(INDEX($N$7:$N$500,MATCH(TRUE(),$P$7:$P$500&gt;=F77,0)),"After Horizon"))</f>
        <v/>
      </c>
      <c r="L77" t="str">
        <f t="shared" si="13"/>
        <v/>
      </c>
      <c r="M77" s="17" t="str">
        <f t="shared" si="14"/>
        <v/>
      </c>
      <c r="N77" s="145">
        <v>48183</v>
      </c>
      <c r="O77" s="108">
        <f>SUMIFS('Planning Engine'!$F:$F,'Planning Engine'!$B:$B,$B$3,'Planning Engine'!$A:$A,N77)</f>
        <v>16220.019773091768</v>
      </c>
      <c r="P77" s="108">
        <f t="shared" si="15"/>
        <v>681166.18161989935</v>
      </c>
      <c r="Q77" s="146">
        <f>IF(N77&lt;=EDATE(Controls!$B$5,$B$4-1),O77,0)</f>
        <v>0</v>
      </c>
      <c r="R77" t="str" cm="1">
        <f t="array" ref="R77">IF(B77="","",IFERROR(INDEX('Lot Inputs'!$L$5:$L$507,MATCH(1,('Lot Inputs'!$A$5:$A$507=$B$3)*('Lot Inputs'!$B$5:$B$507=B77),0)),""))</f>
        <v/>
      </c>
      <c r="S77" s="205" t="str" cm="1">
        <f t="array" ref="S77">IF(B77="","",IFERROR(INDEX('Lot Inputs'!$M$5:$M$507,MATCH(1,('Lot Inputs'!$A$5:$A$507=$B$3)*('Lot Inputs'!$B$5:$B$507=B77),0)),""))</f>
        <v/>
      </c>
      <c r="T77" s="459" t="str">
        <f ca="1">IF(S77="","",S77-TODAY())</f>
        <v/>
      </c>
    </row>
    <row r="78" spans="1:20" ht="14" customHeight="1" x14ac:dyDescent="0.35">
      <c r="A78" s="142">
        <v>72</v>
      </c>
      <c r="B78" s="143" t="str" cm="1">
        <f t="array" ref="B78">IFERROR(INDEX('Lot Inputs'!$B$5:$B$507,MATCH(_xlfn.AGGREGATE(15,6,('Lot Inputs'!$J$5:$J$507)/(('Lot Inputs'!$A$5:$A$507=$B$3)*('Lot Inputs'!$H$5:$H$507&gt;0)),ROW()-6),IF('Lot Inputs'!$A$5:$A$507=$B$3,'Lot Inputs'!$J$5:$J$507),0)),"")</f>
        <v/>
      </c>
      <c r="C78" s="144" t="str">
        <f t="shared" si="11"/>
        <v/>
      </c>
      <c r="D78" s="145" t="str" cm="1">
        <f t="array" ref="D78">IF(B78="","",INDEX('Lot Inputs'!$E$5:$E$507,MATCH(1,('Lot Inputs'!$A$5:$A$507=$B$3)*('Lot Inputs'!$B$5:$B$507=B78),0)))</f>
        <v/>
      </c>
      <c r="E78" s="146" t="str" cm="1">
        <f t="array" ref="E78">IF(B78="","",INDEX('Lot Inputs'!$H$5:$H$507,MATCH(1,('Lot Inputs'!$A$5:$A$507=$B$3)*('Lot Inputs'!$B$5:$B$507=B78),0)))</f>
        <v/>
      </c>
      <c r="F78" s="108" t="str">
        <f>IF(E78="","",IF(R78="On Hold",0,E78)+IF(F77="",0,F77))</f>
        <v/>
      </c>
      <c r="G78" s="108" t="str">
        <f>IF(D78="","",SUMIFS($O$7:$O$500,$N$7:$N$500,"&gt;="&amp;IF(R78="On Hold",S78,Controls!$B$5),$N$7:$N$500,"&lt;="&amp;EDATE(D78,-$B$4)))</f>
        <v/>
      </c>
      <c r="H78" s="108" t="str">
        <f t="shared" si="12"/>
        <v/>
      </c>
      <c r="I78" s="147" t="str">
        <f t="shared" si="10"/>
        <v/>
      </c>
      <c r="J78" s="148" t="str">
        <f>IF(D78="","",(YEAR(EDATE(D78,-$B$4))-YEAR(Controls!$B$5))*12+MONTH(EDATE(D78,-$B$4))-MONTH(Controls!$B$5))</f>
        <v/>
      </c>
      <c r="K78" s="149" t="str">
        <f t="array" ref="K78">IF(F78="","",IFERROR(INDEX($N$7:$N$500,MATCH(TRUE(),$P$7:$P$500&gt;=F78,0)),"After Horizon"))</f>
        <v/>
      </c>
      <c r="L78" t="str">
        <f t="shared" si="13"/>
        <v/>
      </c>
      <c r="M78" s="17" t="str">
        <f t="shared" si="14"/>
        <v/>
      </c>
      <c r="N78" s="145">
        <v>48214</v>
      </c>
      <c r="O78" s="108">
        <f>SUMIFS('Planning Engine'!$F:$F,'Planning Engine'!$B:$B,$B$3,'Planning Engine'!$A:$A,N78)</f>
        <v>26313.972639173018</v>
      </c>
      <c r="P78" s="108">
        <f t="shared" si="15"/>
        <v>707480.15425907238</v>
      </c>
      <c r="Q78" s="146">
        <f>IF(N78&lt;=EDATE(Controls!$B$5,$B$4-1),O78,0)</f>
        <v>0</v>
      </c>
      <c r="R78" t="str" cm="1">
        <f t="array" ref="R78">IF(B78="","",IFERROR(INDEX('Lot Inputs'!$L$5:$L$507,MATCH(1,('Lot Inputs'!$A$5:$A$507=$B$3)*('Lot Inputs'!$B$5:$B$507=B78),0)),""))</f>
        <v/>
      </c>
      <c r="S78" s="205" t="str" cm="1">
        <f t="array" ref="S78">IF(B78="","",IFERROR(INDEX('Lot Inputs'!$M$5:$M$507,MATCH(1,('Lot Inputs'!$A$5:$A$507=$B$3)*('Lot Inputs'!$B$5:$B$507=B78),0)),""))</f>
        <v/>
      </c>
      <c r="T78" s="459" t="str">
        <f ca="1">IF(S78="","",S78-TODAY())</f>
        <v/>
      </c>
    </row>
    <row r="79" spans="1:20" ht="14" customHeight="1" x14ac:dyDescent="0.35">
      <c r="A79" s="142">
        <v>73</v>
      </c>
      <c r="B79" s="143" t="str" cm="1">
        <f t="array" ref="B79">IFERROR(INDEX('Lot Inputs'!$B$5:$B$507,MATCH(_xlfn.AGGREGATE(15,6,('Lot Inputs'!$J$5:$J$507)/(('Lot Inputs'!$A$5:$A$507=$B$3)*('Lot Inputs'!$H$5:$H$507&gt;0)),ROW()-6),IF('Lot Inputs'!$A$5:$A$507=$B$3,'Lot Inputs'!$J$5:$J$507),0)),"")</f>
        <v/>
      </c>
      <c r="C79" s="144" t="str">
        <f t="shared" si="11"/>
        <v/>
      </c>
      <c r="D79" s="145" t="str" cm="1">
        <f t="array" ref="D79">IF(B79="","",INDEX('Lot Inputs'!$E$5:$E$507,MATCH(1,('Lot Inputs'!$A$5:$A$507=$B$3)*('Lot Inputs'!$B$5:$B$507=B79),0)))</f>
        <v/>
      </c>
      <c r="E79" s="146" t="str" cm="1">
        <f t="array" ref="E79">IF(B79="","",INDEX('Lot Inputs'!$H$5:$H$507,MATCH(1,('Lot Inputs'!$A$5:$A$507=$B$3)*('Lot Inputs'!$B$5:$B$507=B79),0)))</f>
        <v/>
      </c>
      <c r="F79" s="108" t="str">
        <f>IF(E79="","",IF(R79="On Hold",0,E79)+IF(F78="",0,F78))</f>
        <v/>
      </c>
      <c r="G79" s="108" t="str">
        <f>IF(D79="","",SUMIFS($O$7:$O$500,$N$7:$N$500,"&gt;="&amp;IF(R79="On Hold",S79,Controls!$B$5),$N$7:$N$500,"&lt;="&amp;EDATE(D79,-$B$4)))</f>
        <v/>
      </c>
      <c r="H79" s="108" t="str">
        <f t="shared" si="12"/>
        <v/>
      </c>
      <c r="I79" s="147" t="str">
        <f t="shared" si="10"/>
        <v/>
      </c>
      <c r="J79" s="148" t="str">
        <f>IF(D79="","",(YEAR(EDATE(D79,-$B$4))-YEAR(Controls!$B$5))*12+MONTH(EDATE(D79,-$B$4))-MONTH(Controls!$B$5))</f>
        <v/>
      </c>
      <c r="K79" s="149" t="str">
        <f t="array" ref="K79">IF(F79="","",IFERROR(INDEX($N$7:$N$500,MATCH(TRUE(),$P$7:$P$500&gt;=F79,0)),"After Horizon"))</f>
        <v/>
      </c>
      <c r="L79" t="str">
        <f t="shared" si="13"/>
        <v/>
      </c>
      <c r="M79" s="17" t="str">
        <f t="shared" si="14"/>
        <v/>
      </c>
      <c r="N79" s="145">
        <v>48245</v>
      </c>
      <c r="O79" s="108">
        <f>SUMIFS('Planning Engine'!$F:$F,'Planning Engine'!$B:$B,$B$3,'Planning Engine'!$A:$A,N79)</f>
        <v>20229.581100876891</v>
      </c>
      <c r="P79" s="108">
        <f t="shared" si="15"/>
        <v>727709.73535994929</v>
      </c>
      <c r="Q79" s="146">
        <f>IF(N79&lt;=EDATE(Controls!$B$5,$B$4-1),O79,0)</f>
        <v>0</v>
      </c>
      <c r="R79" t="str" cm="1">
        <f t="array" ref="R79">IF(B79="","",IFERROR(INDEX('Lot Inputs'!$L$5:$L$507,MATCH(1,('Lot Inputs'!$A$5:$A$507=$B$3)*('Lot Inputs'!$B$5:$B$507=B79),0)),""))</f>
        <v/>
      </c>
      <c r="S79" s="205" t="str" cm="1">
        <f t="array" ref="S79">IF(B79="","",IFERROR(INDEX('Lot Inputs'!$M$5:$M$507,MATCH(1,('Lot Inputs'!$A$5:$A$507=$B$3)*('Lot Inputs'!$B$5:$B$507=B79),0)),""))</f>
        <v/>
      </c>
      <c r="T79" s="459" t="str">
        <f ca="1">IF(S79="","",S79-TODAY())</f>
        <v/>
      </c>
    </row>
    <row r="80" spans="1:20" ht="14" customHeight="1" x14ac:dyDescent="0.35">
      <c r="A80" s="142">
        <v>74</v>
      </c>
      <c r="B80" s="143" t="str" cm="1">
        <f t="array" ref="B80">IFERROR(INDEX('Lot Inputs'!$B$5:$B$507,MATCH(_xlfn.AGGREGATE(15,6,('Lot Inputs'!$J$5:$J$507)/(('Lot Inputs'!$A$5:$A$507=$B$3)*('Lot Inputs'!$H$5:$H$507&gt;0)),ROW()-6),IF('Lot Inputs'!$A$5:$A$507=$B$3,'Lot Inputs'!$J$5:$J$507),0)),"")</f>
        <v/>
      </c>
      <c r="C80" s="144" t="str">
        <f t="shared" si="11"/>
        <v/>
      </c>
      <c r="D80" s="145" t="str" cm="1">
        <f t="array" ref="D80">IF(B80="","",INDEX('Lot Inputs'!$E$5:$E$507,MATCH(1,('Lot Inputs'!$A$5:$A$507=$B$3)*('Lot Inputs'!$B$5:$B$507=B80),0)))</f>
        <v/>
      </c>
      <c r="E80" s="146" t="str" cm="1">
        <f t="array" ref="E80">IF(B80="","",INDEX('Lot Inputs'!$H$5:$H$507,MATCH(1,('Lot Inputs'!$A$5:$A$507=$B$3)*('Lot Inputs'!$B$5:$B$507=B80),0)))</f>
        <v/>
      </c>
      <c r="F80" s="108" t="str">
        <f>IF(E80="","",IF(R80="On Hold",0,E80)+IF(F79="",0,F79))</f>
        <v/>
      </c>
      <c r="G80" s="108" t="str">
        <f>IF(D80="","",SUMIFS($O$7:$O$500,$N$7:$N$500,"&gt;="&amp;IF(R80="On Hold",S80,Controls!$B$5),$N$7:$N$500,"&lt;="&amp;EDATE(D80,-$B$4)))</f>
        <v/>
      </c>
      <c r="H80" s="108" t="str">
        <f t="shared" si="12"/>
        <v/>
      </c>
      <c r="I80" s="147" t="str">
        <f t="shared" si="10"/>
        <v/>
      </c>
      <c r="J80" s="148" t="str">
        <f>IF(D80="","",(YEAR(EDATE(D80,-$B$4))-YEAR(Controls!$B$5))*12+MONTH(EDATE(D80,-$B$4))-MONTH(Controls!$B$5))</f>
        <v/>
      </c>
      <c r="K80" s="149" t="str">
        <f t="array" ref="K80">IF(F80="","",IFERROR(INDEX($N$7:$N$500,MATCH(TRUE(),$P$7:$P$500&gt;=F80,0)),"After Horizon"))</f>
        <v/>
      </c>
      <c r="L80" t="str">
        <f t="shared" si="13"/>
        <v/>
      </c>
      <c r="M80" s="17" t="str">
        <f t="shared" si="14"/>
        <v/>
      </c>
      <c r="N80" s="145">
        <v>48274</v>
      </c>
      <c r="O80" s="108">
        <f>SUMIFS('Planning Engine'!$F:$F,'Planning Engine'!$B:$B,$B$3,'Planning Engine'!$A:$A,N80)</f>
        <v>19647.071002106328</v>
      </c>
      <c r="P80" s="108">
        <f t="shared" si="15"/>
        <v>747356.80636205559</v>
      </c>
      <c r="Q80" s="146">
        <f>IF(N80&lt;=EDATE(Controls!$B$5,$B$4-1),O80,0)</f>
        <v>0</v>
      </c>
      <c r="R80" t="str" cm="1">
        <f t="array" ref="R80">IF(B80="","",IFERROR(INDEX('Lot Inputs'!$L$5:$L$507,MATCH(1,('Lot Inputs'!$A$5:$A$507=$B$3)*('Lot Inputs'!$B$5:$B$507=B80),0)),""))</f>
        <v/>
      </c>
      <c r="S80" s="205" t="str" cm="1">
        <f t="array" ref="S80">IF(B80="","",IFERROR(INDEX('Lot Inputs'!$M$5:$M$507,MATCH(1,('Lot Inputs'!$A$5:$A$507=$B$3)*('Lot Inputs'!$B$5:$B$507=B80),0)),""))</f>
        <v/>
      </c>
      <c r="T80" s="459" t="str">
        <f ca="1">IF(S80="","",S80-TODAY())</f>
        <v/>
      </c>
    </row>
    <row r="81" spans="1:20" ht="14" customHeight="1" x14ac:dyDescent="0.35">
      <c r="A81" s="142">
        <v>75</v>
      </c>
      <c r="B81" s="143" t="str" cm="1">
        <f t="array" ref="B81">IFERROR(INDEX('Lot Inputs'!$B$5:$B$507,MATCH(_xlfn.AGGREGATE(15,6,('Lot Inputs'!$J$5:$J$507)/(('Lot Inputs'!$A$5:$A$507=$B$3)*('Lot Inputs'!$H$5:$H$507&gt;0)),ROW()-6),IF('Lot Inputs'!$A$5:$A$507=$B$3,'Lot Inputs'!$J$5:$J$507),0)),"")</f>
        <v/>
      </c>
      <c r="C81" s="144" t="str">
        <f t="shared" si="11"/>
        <v/>
      </c>
      <c r="D81" s="145" t="str" cm="1">
        <f t="array" ref="D81">IF(B81="","",INDEX('Lot Inputs'!$E$5:$E$507,MATCH(1,('Lot Inputs'!$A$5:$A$507=$B$3)*('Lot Inputs'!$B$5:$B$507=B81),0)))</f>
        <v/>
      </c>
      <c r="E81" s="146" t="str" cm="1">
        <f t="array" ref="E81">IF(B81="","",INDEX('Lot Inputs'!$H$5:$H$507,MATCH(1,('Lot Inputs'!$A$5:$A$507=$B$3)*('Lot Inputs'!$B$5:$B$507=B81),0)))</f>
        <v/>
      </c>
      <c r="F81" s="108" t="str">
        <f>IF(E81="","",IF(R81="On Hold",0,E81)+IF(F80="",0,F80))</f>
        <v/>
      </c>
      <c r="G81" s="108" t="str">
        <f>IF(D81="","",SUMIFS($O$7:$O$500,$N$7:$N$500,"&gt;="&amp;IF(R81="On Hold",S81,Controls!$B$5),$N$7:$N$500,"&lt;="&amp;EDATE(D81,-$B$4)))</f>
        <v/>
      </c>
      <c r="H81" s="108" t="str">
        <f t="shared" si="12"/>
        <v/>
      </c>
      <c r="I81" s="147" t="str">
        <f t="shared" si="10"/>
        <v/>
      </c>
      <c r="J81" s="148" t="str">
        <f>IF(D81="","",(YEAR(EDATE(D81,-$B$4))-YEAR(Controls!$B$5))*12+MONTH(EDATE(D81,-$B$4))-MONTH(Controls!$B$5))</f>
        <v/>
      </c>
      <c r="K81" s="149" t="str">
        <f t="array" ref="K81">IF(F81="","",IFERROR(INDEX($N$7:$N$500,MATCH(TRUE(),$P$7:$P$500&gt;=F81,0)),"After Horizon"))</f>
        <v/>
      </c>
      <c r="L81" t="str">
        <f t="shared" si="13"/>
        <v/>
      </c>
      <c r="M81" s="17" t="str">
        <f t="shared" si="14"/>
        <v/>
      </c>
      <c r="N81" s="145">
        <v>48305</v>
      </c>
      <c r="O81" s="108">
        <f>SUMIFS('Planning Engine'!$F:$F,'Planning Engine'!$B:$B,$B$3,'Planning Engine'!$A:$A,N81)</f>
        <v>28104.545886704265</v>
      </c>
      <c r="P81" s="108">
        <f t="shared" si="15"/>
        <v>775461.35224875982</v>
      </c>
      <c r="Q81" s="146">
        <f>IF(N81&lt;=EDATE(Controls!$B$5,$B$4-1),O81,0)</f>
        <v>0</v>
      </c>
      <c r="R81" t="str" cm="1">
        <f t="array" ref="R81">IF(B81="","",IFERROR(INDEX('Lot Inputs'!$L$5:$L$507,MATCH(1,('Lot Inputs'!$A$5:$A$507=$B$3)*('Lot Inputs'!$B$5:$B$507=B81),0)),""))</f>
        <v/>
      </c>
      <c r="S81" s="205" t="str" cm="1">
        <f t="array" ref="S81">IF(B81="","",IFERROR(INDEX('Lot Inputs'!$M$5:$M$507,MATCH(1,('Lot Inputs'!$A$5:$A$507=$B$3)*('Lot Inputs'!$B$5:$B$507=B81),0)),""))</f>
        <v/>
      </c>
      <c r="T81" s="459" t="str">
        <f ca="1">IF(S81="","",S81-TODAY())</f>
        <v/>
      </c>
    </row>
    <row r="82" spans="1:20" ht="14" customHeight="1" x14ac:dyDescent="0.35">
      <c r="A82" s="142">
        <v>76</v>
      </c>
      <c r="B82" s="143" t="str" cm="1">
        <f t="array" ref="B82">IFERROR(INDEX('Lot Inputs'!$B$5:$B$507,MATCH(_xlfn.AGGREGATE(15,6,('Lot Inputs'!$J$5:$J$507)/(('Lot Inputs'!$A$5:$A$507=$B$3)*('Lot Inputs'!$H$5:$H$507&gt;0)),ROW()-6),IF('Lot Inputs'!$A$5:$A$507=$B$3,'Lot Inputs'!$J$5:$J$507),0)),"")</f>
        <v/>
      </c>
      <c r="C82" s="144" t="str">
        <f t="shared" si="11"/>
        <v/>
      </c>
      <c r="D82" s="145" t="str" cm="1">
        <f t="array" ref="D82">IF(B82="","",INDEX('Lot Inputs'!$E$5:$E$507,MATCH(1,('Lot Inputs'!$A$5:$A$507=$B$3)*('Lot Inputs'!$B$5:$B$507=B82),0)))</f>
        <v/>
      </c>
      <c r="E82" s="146" t="str" cm="1">
        <f t="array" ref="E82">IF(B82="","",INDEX('Lot Inputs'!$H$5:$H$507,MATCH(1,('Lot Inputs'!$A$5:$A$507=$B$3)*('Lot Inputs'!$B$5:$B$507=B82),0)))</f>
        <v/>
      </c>
      <c r="F82" s="108" t="str">
        <f>IF(E82="","",IF(R82="On Hold",0,E82)+IF(F81="",0,F81))</f>
        <v/>
      </c>
      <c r="G82" s="108" t="str">
        <f>IF(D82="","",SUMIFS($O$7:$O$500,$N$7:$N$500,"&gt;="&amp;IF(R82="On Hold",S82,Controls!$B$5),$N$7:$N$500,"&lt;="&amp;EDATE(D82,-$B$4)))</f>
        <v/>
      </c>
      <c r="H82" s="108" t="str">
        <f t="shared" si="12"/>
        <v/>
      </c>
      <c r="I82" s="147" t="str">
        <f t="shared" si="10"/>
        <v/>
      </c>
      <c r="J82" s="148" t="str">
        <f>IF(D82="","",(YEAR(EDATE(D82,-$B$4))-YEAR(Controls!$B$5))*12+MONTH(EDATE(D82,-$B$4))-MONTH(Controls!$B$5))</f>
        <v/>
      </c>
      <c r="K82" s="149" t="str">
        <f t="array" ref="K82">IF(F82="","",IFERROR(INDEX($N$7:$N$500,MATCH(TRUE(),$P$7:$P$500&gt;=F82,0)),"After Horizon"))</f>
        <v/>
      </c>
      <c r="L82" t="str">
        <f t="shared" si="13"/>
        <v/>
      </c>
      <c r="M82" s="17" t="str">
        <f t="shared" si="14"/>
        <v/>
      </c>
      <c r="N82" s="145">
        <v>48335</v>
      </c>
      <c r="O82" s="108">
        <f>SUMIFS('Planning Engine'!$F:$F,'Planning Engine'!$B:$B,$B$3,'Planning Engine'!$A:$A,N82)</f>
        <v>23928.444746743262</v>
      </c>
      <c r="P82" s="108">
        <f t="shared" si="15"/>
        <v>799389.79699550313</v>
      </c>
      <c r="Q82" s="146">
        <f>IF(N82&lt;=EDATE(Controls!$B$5,$B$4-1),O82,0)</f>
        <v>0</v>
      </c>
      <c r="R82" t="str" cm="1">
        <f t="array" ref="R82">IF(B82="","",IFERROR(INDEX('Lot Inputs'!$L$5:$L$507,MATCH(1,('Lot Inputs'!$A$5:$A$507=$B$3)*('Lot Inputs'!$B$5:$B$507=B82),0)),""))</f>
        <v/>
      </c>
      <c r="S82" s="205" t="str" cm="1">
        <f t="array" ref="S82">IF(B82="","",IFERROR(INDEX('Lot Inputs'!$M$5:$M$507,MATCH(1,('Lot Inputs'!$A$5:$A$507=$B$3)*('Lot Inputs'!$B$5:$B$507=B82),0)),""))</f>
        <v/>
      </c>
      <c r="T82" s="459" t="str">
        <f ca="1">IF(S82="","",S82-TODAY())</f>
        <v/>
      </c>
    </row>
    <row r="83" spans="1:20" ht="14" customHeight="1" x14ac:dyDescent="0.35">
      <c r="A83" s="142">
        <v>77</v>
      </c>
      <c r="B83" s="143" t="str" cm="1">
        <f t="array" ref="B83">IFERROR(INDEX('Lot Inputs'!$B$5:$B$507,MATCH(_xlfn.AGGREGATE(15,6,('Lot Inputs'!$J$5:$J$507)/(('Lot Inputs'!$A$5:$A$507=$B$3)*('Lot Inputs'!$H$5:$H$507&gt;0)),ROW()-6),IF('Lot Inputs'!$A$5:$A$507=$B$3,'Lot Inputs'!$J$5:$J$507),0)),"")</f>
        <v/>
      </c>
      <c r="C83" s="144" t="str">
        <f t="shared" si="11"/>
        <v/>
      </c>
      <c r="D83" s="145" t="str" cm="1">
        <f t="array" ref="D83">IF(B83="","",INDEX('Lot Inputs'!$E$5:$E$507,MATCH(1,('Lot Inputs'!$A$5:$A$507=$B$3)*('Lot Inputs'!$B$5:$B$507=B83),0)))</f>
        <v/>
      </c>
      <c r="E83" s="146" t="str" cm="1">
        <f t="array" ref="E83">IF(B83="","",INDEX('Lot Inputs'!$H$5:$H$507,MATCH(1,('Lot Inputs'!$A$5:$A$507=$B$3)*('Lot Inputs'!$B$5:$B$507=B83),0)))</f>
        <v/>
      </c>
      <c r="F83" s="108" t="str">
        <f>IF(E83="","",IF(R83="On Hold",0,E83)+IF(F82="",0,F82))</f>
        <v/>
      </c>
      <c r="G83" s="108" t="str">
        <f>IF(D83="","",SUMIFS($O$7:$O$500,$N$7:$N$500,"&gt;="&amp;IF(R83="On Hold",S83,Controls!$B$5),$N$7:$N$500,"&lt;="&amp;EDATE(D83,-$B$4)))</f>
        <v/>
      </c>
      <c r="H83" s="108" t="str">
        <f t="shared" si="12"/>
        <v/>
      </c>
      <c r="I83" s="147" t="str">
        <f t="shared" si="10"/>
        <v/>
      </c>
      <c r="J83" s="148" t="str">
        <f>IF(D83="","",(YEAR(EDATE(D83,-$B$4))-YEAR(Controls!$B$5))*12+MONTH(EDATE(D83,-$B$4))-MONTH(Controls!$B$5))</f>
        <v/>
      </c>
      <c r="K83" s="149" t="str">
        <f t="array" ref="K83">IF(F83="","",IFERROR(INDEX($N$7:$N$500,MATCH(TRUE(),$P$7:$P$500&gt;=F83,0)),"After Horizon"))</f>
        <v/>
      </c>
      <c r="L83" t="str">
        <f t="shared" si="13"/>
        <v/>
      </c>
      <c r="M83" s="17" t="str">
        <f t="shared" si="14"/>
        <v/>
      </c>
      <c r="N83" s="145">
        <v>48366</v>
      </c>
      <c r="O83" s="108">
        <f>SUMIFS('Planning Engine'!$F:$F,'Planning Engine'!$B:$B,$B$3,'Planning Engine'!$A:$A,N83)</f>
        <v>20806.57969807808</v>
      </c>
      <c r="P83" s="108">
        <f t="shared" si="15"/>
        <v>820196.37669358123</v>
      </c>
      <c r="Q83" s="146">
        <f>IF(N83&lt;=EDATE(Controls!$B$5,$B$4-1),O83,0)</f>
        <v>0</v>
      </c>
      <c r="R83" t="str" cm="1">
        <f t="array" ref="R83">IF(B83="","",IFERROR(INDEX('Lot Inputs'!$L$5:$L$507,MATCH(1,('Lot Inputs'!$A$5:$A$507=$B$3)*('Lot Inputs'!$B$5:$B$507=B83),0)),""))</f>
        <v/>
      </c>
      <c r="S83" s="205" t="str" cm="1">
        <f t="array" ref="S83">IF(B83="","",IFERROR(INDEX('Lot Inputs'!$M$5:$M$507,MATCH(1,('Lot Inputs'!$A$5:$A$507=$B$3)*('Lot Inputs'!$B$5:$B$507=B83),0)),""))</f>
        <v/>
      </c>
      <c r="T83" s="459" t="str">
        <f ca="1">IF(S83="","",S83-TODAY())</f>
        <v/>
      </c>
    </row>
    <row r="84" spans="1:20" ht="14" customHeight="1" x14ac:dyDescent="0.35">
      <c r="A84" s="142">
        <v>78</v>
      </c>
      <c r="B84" s="143" t="str" cm="1">
        <f t="array" ref="B84">IFERROR(INDEX('Lot Inputs'!$B$5:$B$507,MATCH(_xlfn.AGGREGATE(15,6,('Lot Inputs'!$J$5:$J$507)/(('Lot Inputs'!$A$5:$A$507=$B$3)*('Lot Inputs'!$H$5:$H$507&gt;0)),ROW()-6),IF('Lot Inputs'!$A$5:$A$507=$B$3,'Lot Inputs'!$J$5:$J$507),0)),"")</f>
        <v/>
      </c>
      <c r="C84" s="144" t="str">
        <f t="shared" si="11"/>
        <v/>
      </c>
      <c r="D84" s="145" t="str" cm="1">
        <f t="array" ref="D84">IF(B84="","",INDEX('Lot Inputs'!$E$5:$E$507,MATCH(1,('Lot Inputs'!$A$5:$A$507=$B$3)*('Lot Inputs'!$B$5:$B$507=B84),0)))</f>
        <v/>
      </c>
      <c r="E84" s="146" t="str" cm="1">
        <f t="array" ref="E84">IF(B84="","",INDEX('Lot Inputs'!$H$5:$H$507,MATCH(1,('Lot Inputs'!$A$5:$A$507=$B$3)*('Lot Inputs'!$B$5:$B$507=B84),0)))</f>
        <v/>
      </c>
      <c r="F84" s="108" t="str">
        <f>IF(E84="","",IF(R84="On Hold",0,E84)+IF(F83="",0,F83))</f>
        <v/>
      </c>
      <c r="G84" s="108" t="str">
        <f>IF(D84="","",SUMIFS($O$7:$O$500,$N$7:$N$500,"&gt;="&amp;IF(R84="On Hold",S84,Controls!$B$5),$N$7:$N$500,"&lt;="&amp;EDATE(D84,-$B$4)))</f>
        <v/>
      </c>
      <c r="H84" s="108" t="str">
        <f t="shared" si="12"/>
        <v/>
      </c>
      <c r="I84" s="147" t="str">
        <f t="shared" si="10"/>
        <v/>
      </c>
      <c r="J84" s="148" t="str">
        <f>IF(D84="","",(YEAR(EDATE(D84,-$B$4))-YEAR(Controls!$B$5))*12+MONTH(EDATE(D84,-$B$4))-MONTH(Controls!$B$5))</f>
        <v/>
      </c>
      <c r="K84" s="149" t="str">
        <f t="array" ref="K84">IF(F84="","",IFERROR(INDEX($N$7:$N$500,MATCH(TRUE(),$P$7:$P$500&gt;=F84,0)),"After Horizon"))</f>
        <v/>
      </c>
      <c r="L84" t="str">
        <f t="shared" si="13"/>
        <v/>
      </c>
      <c r="M84" s="17" t="str">
        <f t="shared" si="14"/>
        <v/>
      </c>
      <c r="N84" s="145">
        <v>48396</v>
      </c>
      <c r="O84" s="108">
        <f>SUMIFS('Planning Engine'!$F:$F,'Planning Engine'!$B:$B,$B$3,'Planning Engine'!$A:$A,N84)</f>
        <v>24143.021378824651</v>
      </c>
      <c r="P84" s="108">
        <f t="shared" si="15"/>
        <v>844339.39807240583</v>
      </c>
      <c r="Q84" s="146">
        <f>IF(N84&lt;=EDATE(Controls!$B$5,$B$4-1),O84,0)</f>
        <v>0</v>
      </c>
      <c r="R84" t="str" cm="1">
        <f t="array" ref="R84">IF(B84="","",IFERROR(INDEX('Lot Inputs'!$L$5:$L$507,MATCH(1,('Lot Inputs'!$A$5:$A$507=$B$3)*('Lot Inputs'!$B$5:$B$507=B84),0)),""))</f>
        <v/>
      </c>
      <c r="S84" s="205" t="str" cm="1">
        <f t="array" ref="S84">IF(B84="","",IFERROR(INDEX('Lot Inputs'!$M$5:$M$507,MATCH(1,('Lot Inputs'!$A$5:$A$507=$B$3)*('Lot Inputs'!$B$5:$B$507=B84),0)),""))</f>
        <v/>
      </c>
      <c r="T84" s="459" t="str">
        <f ca="1">IF(S84="","",S84-TODAY())</f>
        <v/>
      </c>
    </row>
    <row r="85" spans="1:20" ht="14" customHeight="1" x14ac:dyDescent="0.35">
      <c r="A85" s="142">
        <v>79</v>
      </c>
      <c r="B85" s="143" t="str" cm="1">
        <f t="array" ref="B85">IFERROR(INDEX('Lot Inputs'!$B$5:$B$507,MATCH(_xlfn.AGGREGATE(15,6,('Lot Inputs'!$J$5:$J$507)/(('Lot Inputs'!$A$5:$A$507=$B$3)*('Lot Inputs'!$H$5:$H$507&gt;0)),ROW()-6),IF('Lot Inputs'!$A$5:$A$507=$B$3,'Lot Inputs'!$J$5:$J$507),0)),"")</f>
        <v/>
      </c>
      <c r="C85" s="144" t="str">
        <f t="shared" si="11"/>
        <v/>
      </c>
      <c r="D85" s="145" t="str" cm="1">
        <f t="array" ref="D85">IF(B85="","",INDEX('Lot Inputs'!$E$5:$E$507,MATCH(1,('Lot Inputs'!$A$5:$A$507=$B$3)*('Lot Inputs'!$B$5:$B$507=B85),0)))</f>
        <v/>
      </c>
      <c r="E85" s="146" t="str" cm="1">
        <f t="array" ref="E85">IF(B85="","",INDEX('Lot Inputs'!$H$5:$H$507,MATCH(1,('Lot Inputs'!$A$5:$A$507=$B$3)*('Lot Inputs'!$B$5:$B$507=B85),0)))</f>
        <v/>
      </c>
      <c r="F85" s="108" t="str">
        <f>IF(E85="","",IF(R85="On Hold",0,E85)+IF(F84="",0,F84))</f>
        <v/>
      </c>
      <c r="G85" s="108" t="str">
        <f>IF(D85="","",SUMIFS($O$7:$O$500,$N$7:$N$500,"&gt;="&amp;IF(R85="On Hold",S85,Controls!$B$5),$N$7:$N$500,"&lt;="&amp;EDATE(D85,-$B$4)))</f>
        <v/>
      </c>
      <c r="H85" s="108" t="str">
        <f t="shared" si="12"/>
        <v/>
      </c>
      <c r="I85" s="147" t="str">
        <f t="shared" si="10"/>
        <v/>
      </c>
      <c r="J85" s="148" t="str">
        <f>IF(D85="","",(YEAR(EDATE(D85,-$B$4))-YEAR(Controls!$B$5))*12+MONTH(EDATE(D85,-$B$4))-MONTH(Controls!$B$5))</f>
        <v/>
      </c>
      <c r="K85" s="149" t="str">
        <f t="array" ref="K85">IF(F85="","",IFERROR(INDEX($N$7:$N$500,MATCH(TRUE(),$P$7:$P$500&gt;=F85,0)),"After Horizon"))</f>
        <v/>
      </c>
      <c r="L85" t="str">
        <f t="shared" si="13"/>
        <v/>
      </c>
      <c r="M85" s="17" t="str">
        <f t="shared" si="14"/>
        <v/>
      </c>
      <c r="N85" s="145">
        <v>48427</v>
      </c>
      <c r="O85" s="108">
        <f>SUMIFS('Planning Engine'!$F:$F,'Planning Engine'!$B:$B,$B$3,'Planning Engine'!$A:$A,N85)</f>
        <v>23568.456155716733</v>
      </c>
      <c r="P85" s="108">
        <f t="shared" si="15"/>
        <v>867907.85422812263</v>
      </c>
      <c r="Q85" s="146">
        <f>IF(N85&lt;=EDATE(Controls!$B$5,$B$4-1),O85,0)</f>
        <v>0</v>
      </c>
      <c r="R85" t="str" cm="1">
        <f t="array" ref="R85">IF(B85="","",IFERROR(INDEX('Lot Inputs'!$L$5:$L$507,MATCH(1,('Lot Inputs'!$A$5:$A$507=$B$3)*('Lot Inputs'!$B$5:$B$507=B85),0)),""))</f>
        <v/>
      </c>
      <c r="S85" s="205" t="str" cm="1">
        <f t="array" ref="S85">IF(B85="","",IFERROR(INDEX('Lot Inputs'!$M$5:$M$507,MATCH(1,('Lot Inputs'!$A$5:$A$507=$B$3)*('Lot Inputs'!$B$5:$B$507=B85),0)),""))</f>
        <v/>
      </c>
      <c r="T85" s="459" t="str">
        <f ca="1">IF(S85="","",S85-TODAY())</f>
        <v/>
      </c>
    </row>
    <row r="86" spans="1:20" ht="14" customHeight="1" x14ac:dyDescent="0.35">
      <c r="A86" s="142">
        <v>80</v>
      </c>
      <c r="B86" s="143" t="str" cm="1">
        <f t="array" ref="B86">IFERROR(INDEX('Lot Inputs'!$B$5:$B$507,MATCH(_xlfn.AGGREGATE(15,6,('Lot Inputs'!$J$5:$J$507)/(('Lot Inputs'!$A$5:$A$507=$B$3)*('Lot Inputs'!$H$5:$H$507&gt;0)),ROW()-6),IF('Lot Inputs'!$A$5:$A$507=$B$3,'Lot Inputs'!$J$5:$J$507),0)),"")</f>
        <v/>
      </c>
      <c r="C86" s="144" t="str">
        <f t="shared" si="11"/>
        <v/>
      </c>
      <c r="D86" s="145" t="str" cm="1">
        <f t="array" ref="D86">IF(B86="","",INDEX('Lot Inputs'!$E$5:$E$507,MATCH(1,('Lot Inputs'!$A$5:$A$507=$B$3)*('Lot Inputs'!$B$5:$B$507=B86),0)))</f>
        <v/>
      </c>
      <c r="E86" s="146" t="str" cm="1">
        <f t="array" ref="E86">IF(B86="","",INDEX('Lot Inputs'!$H$5:$H$507,MATCH(1,('Lot Inputs'!$A$5:$A$507=$B$3)*('Lot Inputs'!$B$5:$B$507=B86),0)))</f>
        <v/>
      </c>
      <c r="F86" s="108" t="str">
        <f>IF(E86="","",IF(R86="On Hold",0,E86)+IF(F85="",0,F85))</f>
        <v/>
      </c>
      <c r="G86" s="108" t="str">
        <f>IF(D86="","",SUMIFS($O$7:$O$500,$N$7:$N$500,"&gt;="&amp;IF(R86="On Hold",S86,Controls!$B$5),$N$7:$N$500,"&lt;="&amp;EDATE(D86,-$B$4)))</f>
        <v/>
      </c>
      <c r="H86" s="108" t="str">
        <f t="shared" si="12"/>
        <v/>
      </c>
      <c r="I86" s="147" t="str">
        <f t="shared" si="10"/>
        <v/>
      </c>
      <c r="J86" s="148" t="str">
        <f>IF(D86="","",(YEAR(EDATE(D86,-$B$4))-YEAR(Controls!$B$5))*12+MONTH(EDATE(D86,-$B$4))-MONTH(Controls!$B$5))</f>
        <v/>
      </c>
      <c r="K86" s="149" t="str">
        <f t="array" ref="K86">IF(F86="","",IFERROR(INDEX($N$7:$N$500,MATCH(TRUE(),$P$7:$P$500&gt;=F86,0)),"After Horizon"))</f>
        <v/>
      </c>
      <c r="L86" t="str">
        <f t="shared" si="13"/>
        <v/>
      </c>
      <c r="M86" s="17" t="str">
        <f t="shared" si="14"/>
        <v/>
      </c>
      <c r="N86" s="145">
        <v>48458</v>
      </c>
      <c r="O86" s="108">
        <f>SUMIFS('Planning Engine'!$F:$F,'Planning Engine'!$B:$B,$B$3,'Planning Engine'!$A:$A,N86)</f>
        <v>25709.910428696974</v>
      </c>
      <c r="P86" s="108">
        <f t="shared" si="15"/>
        <v>893617.76465681964</v>
      </c>
      <c r="Q86" s="146">
        <f>IF(N86&lt;=EDATE(Controls!$B$5,$B$4-1),O86,0)</f>
        <v>0</v>
      </c>
      <c r="R86" t="str" cm="1">
        <f t="array" ref="R86">IF(B86="","",IFERROR(INDEX('Lot Inputs'!$L$5:$L$507,MATCH(1,('Lot Inputs'!$A$5:$A$507=$B$3)*('Lot Inputs'!$B$5:$B$507=B86),0)),""))</f>
        <v/>
      </c>
      <c r="S86" s="205" t="str" cm="1">
        <f t="array" ref="S86">IF(B86="","",IFERROR(INDEX('Lot Inputs'!$M$5:$M$507,MATCH(1,('Lot Inputs'!$A$5:$A$507=$B$3)*('Lot Inputs'!$B$5:$B$507=B86),0)),""))</f>
        <v/>
      </c>
      <c r="T86" s="459" t="str">
        <f ca="1">IF(S86="","",S86-TODAY())</f>
        <v/>
      </c>
    </row>
    <row r="87" spans="1:20" ht="14" customHeight="1" x14ac:dyDescent="0.35">
      <c r="A87" s="142">
        <v>81</v>
      </c>
      <c r="B87" s="143" t="str" cm="1">
        <f t="array" ref="B87">IFERROR(INDEX('Lot Inputs'!$B$5:$B$507,MATCH(_xlfn.AGGREGATE(15,6,('Lot Inputs'!$J$5:$J$507)/(('Lot Inputs'!$A$5:$A$507=$B$3)*('Lot Inputs'!$H$5:$H$507&gt;0)),ROW()-6),IF('Lot Inputs'!$A$5:$A$507=$B$3,'Lot Inputs'!$J$5:$J$507),0)),"")</f>
        <v/>
      </c>
      <c r="C87" s="144" t="str">
        <f t="shared" si="11"/>
        <v/>
      </c>
      <c r="D87" s="145" t="str" cm="1">
        <f t="array" ref="D87">IF(B87="","",INDEX('Lot Inputs'!$E$5:$E$507,MATCH(1,('Lot Inputs'!$A$5:$A$507=$B$3)*('Lot Inputs'!$B$5:$B$507=B87),0)))</f>
        <v/>
      </c>
      <c r="E87" s="146" t="str" cm="1">
        <f t="array" ref="E87">IF(B87="","",INDEX('Lot Inputs'!$H$5:$H$507,MATCH(1,('Lot Inputs'!$A$5:$A$507=$B$3)*('Lot Inputs'!$B$5:$B$507=B87),0)))</f>
        <v/>
      </c>
      <c r="F87" s="108" t="str">
        <f>IF(E87="","",IF(R87="On Hold",0,E87)+IF(F86="",0,F86))</f>
        <v/>
      </c>
      <c r="G87" s="108" t="str">
        <f>IF(D87="","",SUMIFS($O$7:$O$500,$N$7:$N$500,"&gt;="&amp;IF(R87="On Hold",S87,Controls!$B$5),$N$7:$N$500,"&lt;="&amp;EDATE(D87,-$B$4)))</f>
        <v/>
      </c>
      <c r="H87" s="108" t="str">
        <f t="shared" si="12"/>
        <v/>
      </c>
      <c r="I87" s="147" t="str">
        <f t="shared" si="10"/>
        <v/>
      </c>
      <c r="J87" s="148" t="str">
        <f>IF(D87="","",(YEAR(EDATE(D87,-$B$4))-YEAR(Controls!$B$5))*12+MONTH(EDATE(D87,-$B$4))-MONTH(Controls!$B$5))</f>
        <v/>
      </c>
      <c r="K87" s="149" t="str">
        <f t="array" ref="K87">IF(F87="","",IFERROR(INDEX($N$7:$N$500,MATCH(TRUE(),$P$7:$P$500&gt;=F87,0)),"After Horizon"))</f>
        <v/>
      </c>
      <c r="L87" t="str">
        <f t="shared" si="13"/>
        <v/>
      </c>
      <c r="M87" s="17" t="str">
        <f t="shared" si="14"/>
        <v/>
      </c>
      <c r="N87" s="145">
        <v>48488</v>
      </c>
      <c r="O87" s="108">
        <f>SUMIFS('Planning Engine'!$F:$F,'Planning Engine'!$B:$B,$B$3,'Planning Engine'!$A:$A,N87)</f>
        <v>23172.525630914246</v>
      </c>
      <c r="P87" s="108">
        <f t="shared" si="15"/>
        <v>916790.29028773389</v>
      </c>
      <c r="Q87" s="146">
        <f>IF(N87&lt;=EDATE(Controls!$B$5,$B$4-1),O87,0)</f>
        <v>0</v>
      </c>
      <c r="R87" t="str" cm="1">
        <f t="array" ref="R87">IF(B87="","",IFERROR(INDEX('Lot Inputs'!$L$5:$L$507,MATCH(1,('Lot Inputs'!$A$5:$A$507=$B$3)*('Lot Inputs'!$B$5:$B$507=B87),0)),""))</f>
        <v/>
      </c>
      <c r="S87" s="205" t="str" cm="1">
        <f t="array" ref="S87">IF(B87="","",IFERROR(INDEX('Lot Inputs'!$M$5:$M$507,MATCH(1,('Lot Inputs'!$A$5:$A$507=$B$3)*('Lot Inputs'!$B$5:$B$507=B87),0)),""))</f>
        <v/>
      </c>
      <c r="T87" s="459" t="str">
        <f ca="1">IF(S87="","",S87-TODAY())</f>
        <v/>
      </c>
    </row>
    <row r="88" spans="1:20" ht="14" customHeight="1" x14ac:dyDescent="0.35">
      <c r="A88" s="142">
        <v>82</v>
      </c>
      <c r="B88" s="143" t="str" cm="1">
        <f t="array" ref="B88">IFERROR(INDEX('Lot Inputs'!$B$5:$B$507,MATCH(_xlfn.AGGREGATE(15,6,('Lot Inputs'!$J$5:$J$507)/(('Lot Inputs'!$A$5:$A$507=$B$3)*('Lot Inputs'!$H$5:$H$507&gt;0)),ROW()-6),IF('Lot Inputs'!$A$5:$A$507=$B$3,'Lot Inputs'!$J$5:$J$507),0)),"")</f>
        <v/>
      </c>
      <c r="C88" s="144" t="str">
        <f t="shared" si="11"/>
        <v/>
      </c>
      <c r="D88" s="145" t="str" cm="1">
        <f t="array" ref="D88">IF(B88="","",INDEX('Lot Inputs'!$E$5:$E$507,MATCH(1,('Lot Inputs'!$A$5:$A$507=$B$3)*('Lot Inputs'!$B$5:$B$507=B88),0)))</f>
        <v/>
      </c>
      <c r="E88" s="146" t="str" cm="1">
        <f t="array" ref="E88">IF(B88="","",INDEX('Lot Inputs'!$H$5:$H$507,MATCH(1,('Lot Inputs'!$A$5:$A$507=$B$3)*('Lot Inputs'!$B$5:$B$507=B88),0)))</f>
        <v/>
      </c>
      <c r="F88" s="108" t="str">
        <f>IF(E88="","",IF(R88="On Hold",0,E88)+IF(F87="",0,F87))</f>
        <v/>
      </c>
      <c r="G88" s="108" t="str">
        <f>IF(D88="","",SUMIFS($O$7:$O$500,$N$7:$N$500,"&gt;="&amp;IF(R88="On Hold",S88,Controls!$B$5),$N$7:$N$500,"&lt;="&amp;EDATE(D88,-$B$4)))</f>
        <v/>
      </c>
      <c r="H88" s="108" t="str">
        <f t="shared" si="12"/>
        <v/>
      </c>
      <c r="I88" s="147" t="str">
        <f t="shared" si="10"/>
        <v/>
      </c>
      <c r="J88" s="148" t="str">
        <f>IF(D88="","",(YEAR(EDATE(D88,-$B$4))-YEAR(Controls!$B$5))*12+MONTH(EDATE(D88,-$B$4))-MONTH(Controls!$B$5))</f>
        <v/>
      </c>
      <c r="K88" s="149" t="str">
        <f t="array" ref="K88">IF(F88="","",IFERROR(INDEX($N$7:$N$500,MATCH(TRUE(),$P$7:$P$500&gt;=F88,0)),"After Horizon"))</f>
        <v/>
      </c>
      <c r="L88" t="str">
        <f t="shared" si="13"/>
        <v/>
      </c>
      <c r="M88" s="17" t="str">
        <f t="shared" si="14"/>
        <v/>
      </c>
      <c r="N88" s="145">
        <v>48519</v>
      </c>
      <c r="O88" s="108">
        <f>SUMIFS('Planning Engine'!$F:$F,'Planning Engine'!$B:$B,$B$3,'Planning Engine'!$A:$A,N88)</f>
        <v>21861.504654971453</v>
      </c>
      <c r="P88" s="108">
        <f t="shared" si="15"/>
        <v>938651.79494270531</v>
      </c>
      <c r="Q88" s="146">
        <f>IF(N88&lt;=EDATE(Controls!$B$5,$B$4-1),O88,0)</f>
        <v>0</v>
      </c>
      <c r="R88" t="str" cm="1">
        <f t="array" ref="R88">IF(B88="","",IFERROR(INDEX('Lot Inputs'!$L$5:$L$507,MATCH(1,('Lot Inputs'!$A$5:$A$507=$B$3)*('Lot Inputs'!$B$5:$B$507=B88),0)),""))</f>
        <v/>
      </c>
      <c r="S88" s="205" t="str" cm="1">
        <f t="array" ref="S88">IF(B88="","",IFERROR(INDEX('Lot Inputs'!$M$5:$M$507,MATCH(1,('Lot Inputs'!$A$5:$A$507=$B$3)*('Lot Inputs'!$B$5:$B$507=B88),0)),""))</f>
        <v/>
      </c>
      <c r="T88" s="459" t="str">
        <f ca="1">IF(S88="","",S88-TODAY())</f>
        <v/>
      </c>
    </row>
    <row r="89" spans="1:20" ht="14" customHeight="1" x14ac:dyDescent="0.35">
      <c r="A89" s="142">
        <v>83</v>
      </c>
      <c r="B89" s="143" t="str" cm="1">
        <f t="array" ref="B89">IFERROR(INDEX('Lot Inputs'!$B$5:$B$507,MATCH(_xlfn.AGGREGATE(15,6,('Lot Inputs'!$J$5:$J$507)/(('Lot Inputs'!$A$5:$A$507=$B$3)*('Lot Inputs'!$H$5:$H$507&gt;0)),ROW()-6),IF('Lot Inputs'!$A$5:$A$507=$B$3,'Lot Inputs'!$J$5:$J$507),0)),"")</f>
        <v/>
      </c>
      <c r="C89" s="144" t="str">
        <f t="shared" si="11"/>
        <v/>
      </c>
      <c r="D89" s="145" t="str" cm="1">
        <f t="array" ref="D89">IF(B89="","",INDEX('Lot Inputs'!$E$5:$E$507,MATCH(1,('Lot Inputs'!$A$5:$A$507=$B$3)*('Lot Inputs'!$B$5:$B$507=B89),0)))</f>
        <v/>
      </c>
      <c r="E89" s="146" t="str" cm="1">
        <f t="array" ref="E89">IF(B89="","",INDEX('Lot Inputs'!$H$5:$H$507,MATCH(1,('Lot Inputs'!$A$5:$A$507=$B$3)*('Lot Inputs'!$B$5:$B$507=B89),0)))</f>
        <v/>
      </c>
      <c r="F89" s="108" t="str">
        <f>IF(E89="","",IF(R89="On Hold",0,E89)+IF(F88="",0,F88))</f>
        <v/>
      </c>
      <c r="G89" s="108" t="str">
        <f>IF(D89="","",SUMIFS($O$7:$O$500,$N$7:$N$500,"&gt;="&amp;IF(R89="On Hold",S89,Controls!$B$5),$N$7:$N$500,"&lt;="&amp;EDATE(D89,-$B$4)))</f>
        <v/>
      </c>
      <c r="H89" s="108" t="str">
        <f t="shared" si="12"/>
        <v/>
      </c>
      <c r="I89" s="147" t="str">
        <f t="shared" si="10"/>
        <v/>
      </c>
      <c r="J89" s="148" t="str">
        <f>IF(D89="","",(YEAR(EDATE(D89,-$B$4))-YEAR(Controls!$B$5))*12+MONTH(EDATE(D89,-$B$4))-MONTH(Controls!$B$5))</f>
        <v/>
      </c>
      <c r="K89" s="149" t="str">
        <f t="array" ref="K89">IF(F89="","",IFERROR(INDEX($N$7:$N$500,MATCH(TRUE(),$P$7:$P$500&gt;=F89,0)),"After Horizon"))</f>
        <v/>
      </c>
      <c r="L89" t="str">
        <f t="shared" si="13"/>
        <v/>
      </c>
      <c r="M89" s="17" t="str">
        <f t="shared" si="14"/>
        <v/>
      </c>
      <c r="N89" s="145">
        <v>48549</v>
      </c>
      <c r="O89" s="108">
        <f>SUMIFS('Planning Engine'!$F:$F,'Planning Engine'!$B:$B,$B$3,'Planning Engine'!$A:$A,N89)</f>
        <v>22471.305835527819</v>
      </c>
      <c r="P89" s="108">
        <f t="shared" si="15"/>
        <v>961123.10077823314</v>
      </c>
      <c r="Q89" s="146">
        <f>IF(N89&lt;=EDATE(Controls!$B$5,$B$4-1),O89,0)</f>
        <v>0</v>
      </c>
      <c r="R89" t="str" cm="1">
        <f t="array" ref="R89">IF(B89="","",IFERROR(INDEX('Lot Inputs'!$L$5:$L$507,MATCH(1,('Lot Inputs'!$A$5:$A$507=$B$3)*('Lot Inputs'!$B$5:$B$507=B89),0)),""))</f>
        <v/>
      </c>
      <c r="S89" s="205" t="str" cm="1">
        <f t="array" ref="S89">IF(B89="","",IFERROR(INDEX('Lot Inputs'!$M$5:$M$507,MATCH(1,('Lot Inputs'!$A$5:$A$507=$B$3)*('Lot Inputs'!$B$5:$B$507=B89),0)),""))</f>
        <v/>
      </c>
      <c r="T89" s="459" t="str">
        <f ca="1">IF(S89="","",S89-TODAY())</f>
        <v/>
      </c>
    </row>
    <row r="90" spans="1:20" ht="14" customHeight="1" x14ac:dyDescent="0.35">
      <c r="A90" s="142">
        <v>84</v>
      </c>
      <c r="B90" s="143" t="str" cm="1">
        <f t="array" ref="B90">IFERROR(INDEX('Lot Inputs'!$B$5:$B$507,MATCH(_xlfn.AGGREGATE(15,6,('Lot Inputs'!$J$5:$J$507)/(('Lot Inputs'!$A$5:$A$507=$B$3)*('Lot Inputs'!$H$5:$H$507&gt;0)),ROW()-6),IF('Lot Inputs'!$A$5:$A$507=$B$3,'Lot Inputs'!$J$5:$J$507),0)),"")</f>
        <v/>
      </c>
      <c r="C90" s="144" t="str">
        <f t="shared" si="11"/>
        <v/>
      </c>
      <c r="D90" s="145" t="str" cm="1">
        <f t="array" ref="D90">IF(B90="","",INDEX('Lot Inputs'!$E$5:$E$507,MATCH(1,('Lot Inputs'!$A$5:$A$507=$B$3)*('Lot Inputs'!$B$5:$B$507=B90),0)))</f>
        <v/>
      </c>
      <c r="E90" s="146" t="str" cm="1">
        <f t="array" ref="E90">IF(B90="","",INDEX('Lot Inputs'!$H$5:$H$507,MATCH(1,('Lot Inputs'!$A$5:$A$507=$B$3)*('Lot Inputs'!$B$5:$B$507=B90),0)))</f>
        <v/>
      </c>
      <c r="F90" s="108" t="str">
        <f>IF(E90="","",IF(R90="On Hold",0,E90)+IF(F89="",0,F89))</f>
        <v/>
      </c>
      <c r="G90" s="108" t="str">
        <f>IF(D90="","",SUMIFS($O$7:$O$500,$N$7:$N$500,"&gt;="&amp;IF(R90="On Hold",S90,Controls!$B$5),$N$7:$N$500,"&lt;="&amp;EDATE(D90,-$B$4)))</f>
        <v/>
      </c>
      <c r="H90" s="108" t="str">
        <f t="shared" si="12"/>
        <v/>
      </c>
      <c r="I90" s="147" t="str">
        <f t="shared" si="10"/>
        <v/>
      </c>
      <c r="J90" s="148" t="str">
        <f>IF(D90="","",(YEAR(EDATE(D90,-$B$4))-YEAR(Controls!$B$5))*12+MONTH(EDATE(D90,-$B$4))-MONTH(Controls!$B$5))</f>
        <v/>
      </c>
      <c r="K90" s="149" t="str">
        <f t="array" ref="K90">IF(F90="","",IFERROR(INDEX($N$7:$N$500,MATCH(TRUE(),$P$7:$P$500&gt;=F90,0)),"After Horizon"))</f>
        <v/>
      </c>
      <c r="L90" t="str">
        <f t="shared" si="13"/>
        <v/>
      </c>
      <c r="M90" s="17" t="str">
        <f t="shared" si="14"/>
        <v/>
      </c>
      <c r="N90" s="145">
        <v>48580</v>
      </c>
      <c r="O90" s="108">
        <f>SUMIFS('Planning Engine'!$F:$F,'Planning Engine'!$B:$B,$B$3,'Planning Engine'!$A:$A,N90)</f>
        <v>26500.674645218191</v>
      </c>
      <c r="P90" s="108">
        <f t="shared" si="15"/>
        <v>987623.77542345133</v>
      </c>
      <c r="Q90" s="146">
        <f>IF(N90&lt;=EDATE(Controls!$B$5,$B$4-1),O90,0)</f>
        <v>0</v>
      </c>
      <c r="R90" t="str" cm="1">
        <f t="array" ref="R90">IF(B90="","",IFERROR(INDEX('Lot Inputs'!$L$5:$L$507,MATCH(1,('Lot Inputs'!$A$5:$A$507=$B$3)*('Lot Inputs'!$B$5:$B$507=B90),0)),""))</f>
        <v/>
      </c>
      <c r="S90" s="205" t="str" cm="1">
        <f t="array" ref="S90">IF(B90="","",IFERROR(INDEX('Lot Inputs'!$M$5:$M$507,MATCH(1,('Lot Inputs'!$A$5:$A$507=$B$3)*('Lot Inputs'!$B$5:$B$507=B90),0)),""))</f>
        <v/>
      </c>
      <c r="T90" s="459" t="str">
        <f ca="1">IF(S90="","",S90-TODAY())</f>
        <v/>
      </c>
    </row>
    <row r="91" spans="1:20" ht="14" customHeight="1" x14ac:dyDescent="0.35">
      <c r="A91" s="142">
        <v>85</v>
      </c>
      <c r="B91" s="143" t="str" cm="1">
        <f t="array" ref="B91">IFERROR(INDEX('Lot Inputs'!$B$5:$B$507,MATCH(_xlfn.AGGREGATE(15,6,('Lot Inputs'!$J$5:$J$507)/(('Lot Inputs'!$A$5:$A$507=$B$3)*('Lot Inputs'!$H$5:$H$507&gt;0)),ROW()-6),IF('Lot Inputs'!$A$5:$A$507=$B$3,'Lot Inputs'!$J$5:$J$507),0)),"")</f>
        <v/>
      </c>
      <c r="C91" s="144" t="str">
        <f t="shared" si="11"/>
        <v/>
      </c>
      <c r="D91" s="145" t="str" cm="1">
        <f t="array" ref="D91">IF(B91="","",INDEX('Lot Inputs'!$E$5:$E$507,MATCH(1,('Lot Inputs'!$A$5:$A$507=$B$3)*('Lot Inputs'!$B$5:$B$507=B91),0)))</f>
        <v/>
      </c>
      <c r="E91" s="146" t="str" cm="1">
        <f t="array" ref="E91">IF(B91="","",INDEX('Lot Inputs'!$H$5:$H$507,MATCH(1,('Lot Inputs'!$A$5:$A$507=$B$3)*('Lot Inputs'!$B$5:$B$507=B91),0)))</f>
        <v/>
      </c>
      <c r="F91" s="108" t="str">
        <f>IF(E91="","",IF(R91="On Hold",0,E91)+IF(F90="",0,F90))</f>
        <v/>
      </c>
      <c r="G91" s="108" t="str">
        <f>IF(D91="","",SUMIFS($O$7:$O$500,$N$7:$N$500,"&gt;="&amp;IF(R91="On Hold",S91,Controls!$B$5),$N$7:$N$500,"&lt;="&amp;EDATE(D91,-$B$4)))</f>
        <v/>
      </c>
      <c r="H91" s="108" t="str">
        <f t="shared" si="12"/>
        <v/>
      </c>
      <c r="I91" s="147" t="str">
        <f t="shared" si="10"/>
        <v/>
      </c>
      <c r="J91" s="148" t="str">
        <f>IF(D91="","",(YEAR(EDATE(D91,-$B$4))-YEAR(Controls!$B$5))*12+MONTH(EDATE(D91,-$B$4))-MONTH(Controls!$B$5))</f>
        <v/>
      </c>
      <c r="K91" s="149" t="str">
        <f t="array" ref="K91">IF(F91="","",IFERROR(INDEX($N$7:$N$500,MATCH(TRUE(),$P$7:$P$500&gt;=F91,0)),"After Horizon"))</f>
        <v/>
      </c>
      <c r="L91" t="str">
        <f t="shared" si="13"/>
        <v/>
      </c>
      <c r="M91" s="17" t="str">
        <f t="shared" si="14"/>
        <v/>
      </c>
      <c r="N91" s="145">
        <v>48611</v>
      </c>
      <c r="O91" s="108">
        <f>SUMIFS('Planning Engine'!$F:$F,'Planning Engine'!$B:$B,$B$3,'Planning Engine'!$A:$A,N91)</f>
        <v>19152.896927292219</v>
      </c>
      <c r="P91" s="108">
        <f t="shared" si="15"/>
        <v>1006776.6723507436</v>
      </c>
      <c r="Q91" s="146">
        <f>IF(N91&lt;=EDATE(Controls!$B$5,$B$4-1),O91,0)</f>
        <v>0</v>
      </c>
      <c r="R91" t="str" cm="1">
        <f t="array" ref="R91">IF(B91="","",IFERROR(INDEX('Lot Inputs'!$L$5:$L$507,MATCH(1,('Lot Inputs'!$A$5:$A$507=$B$3)*('Lot Inputs'!$B$5:$B$507=B91),0)),""))</f>
        <v/>
      </c>
      <c r="S91" s="205" t="str" cm="1">
        <f t="array" ref="S91">IF(B91="","",IFERROR(INDEX('Lot Inputs'!$M$5:$M$507,MATCH(1,('Lot Inputs'!$A$5:$A$507=$B$3)*('Lot Inputs'!$B$5:$B$507=B91),0)),""))</f>
        <v/>
      </c>
      <c r="T91" s="459" t="str">
        <f ca="1">IF(S91="","",S91-TODAY())</f>
        <v/>
      </c>
    </row>
    <row r="92" spans="1:20" ht="14" customHeight="1" x14ac:dyDescent="0.35">
      <c r="A92" s="142">
        <v>86</v>
      </c>
      <c r="B92" s="143" t="str" cm="1">
        <f t="array" ref="B92">IFERROR(INDEX('Lot Inputs'!$B$5:$B$507,MATCH(_xlfn.AGGREGATE(15,6,('Lot Inputs'!$J$5:$J$507)/(('Lot Inputs'!$A$5:$A$507=$B$3)*('Lot Inputs'!$H$5:$H$507&gt;0)),ROW()-6),IF('Lot Inputs'!$A$5:$A$507=$B$3,'Lot Inputs'!$J$5:$J$507),0)),"")</f>
        <v/>
      </c>
      <c r="C92" s="144" t="str">
        <f t="shared" si="11"/>
        <v/>
      </c>
      <c r="D92" s="145" t="str" cm="1">
        <f t="array" ref="D92">IF(B92="","",INDEX('Lot Inputs'!$E$5:$E$507,MATCH(1,('Lot Inputs'!$A$5:$A$507=$B$3)*('Lot Inputs'!$B$5:$B$507=B92),0)))</f>
        <v/>
      </c>
      <c r="E92" s="146" t="str" cm="1">
        <f t="array" ref="E92">IF(B92="","",INDEX('Lot Inputs'!$H$5:$H$507,MATCH(1,('Lot Inputs'!$A$5:$A$507=$B$3)*('Lot Inputs'!$B$5:$B$507=B92),0)))</f>
        <v/>
      </c>
      <c r="F92" s="108" t="str">
        <f>IF(E92="","",IF(R92="On Hold",0,E92)+IF(F91="",0,F91))</f>
        <v/>
      </c>
      <c r="G92" s="108" t="str">
        <f>IF(D92="","",SUMIFS($O$7:$O$500,$N$7:$N$500,"&gt;="&amp;IF(R92="On Hold",S92,Controls!$B$5),$N$7:$N$500,"&lt;="&amp;EDATE(D92,-$B$4)))</f>
        <v/>
      </c>
      <c r="H92" s="108" t="str">
        <f t="shared" si="12"/>
        <v/>
      </c>
      <c r="I92" s="147" t="str">
        <f t="shared" si="10"/>
        <v/>
      </c>
      <c r="J92" s="148" t="str">
        <f>IF(D92="","",(YEAR(EDATE(D92,-$B$4))-YEAR(Controls!$B$5))*12+MONTH(EDATE(D92,-$B$4))-MONTH(Controls!$B$5))</f>
        <v/>
      </c>
      <c r="K92" s="149" t="str">
        <f t="array" ref="K92">IF(F92="","",IFERROR(INDEX($N$7:$N$500,MATCH(TRUE(),$P$7:$P$500&gt;=F92,0)),"After Horizon"))</f>
        <v/>
      </c>
      <c r="L92" t="str">
        <f t="shared" si="13"/>
        <v/>
      </c>
      <c r="M92" s="17" t="str">
        <f t="shared" si="14"/>
        <v/>
      </c>
      <c r="N92" s="145">
        <v>48639</v>
      </c>
      <c r="O92" s="108">
        <f>SUMIFS('Planning Engine'!$F:$F,'Planning Engine'!$B:$B,$B$3,'Planning Engine'!$A:$A,N92)</f>
        <v>21015.365641366225</v>
      </c>
      <c r="P92" s="108">
        <f t="shared" si="15"/>
        <v>1027792.0379921098</v>
      </c>
      <c r="Q92" s="146">
        <f>IF(N92&lt;=EDATE(Controls!$B$5,$B$4-1),O92,0)</f>
        <v>0</v>
      </c>
      <c r="R92" t="str" cm="1">
        <f t="array" ref="R92">IF(B92="","",IFERROR(INDEX('Lot Inputs'!$L$5:$L$507,MATCH(1,('Lot Inputs'!$A$5:$A$507=$B$3)*('Lot Inputs'!$B$5:$B$507=B92),0)),""))</f>
        <v/>
      </c>
      <c r="S92" s="205" t="str" cm="1">
        <f t="array" ref="S92">IF(B92="","",IFERROR(INDEX('Lot Inputs'!$M$5:$M$507,MATCH(1,('Lot Inputs'!$A$5:$A$507=$B$3)*('Lot Inputs'!$B$5:$B$507=B92),0)),""))</f>
        <v/>
      </c>
      <c r="T92" s="459" t="str">
        <f ca="1">IF(S92="","",S92-TODAY())</f>
        <v/>
      </c>
    </row>
    <row r="93" spans="1:20" ht="14" customHeight="1" x14ac:dyDescent="0.35">
      <c r="A93" s="142">
        <v>87</v>
      </c>
      <c r="B93" s="143" t="str" cm="1">
        <f t="array" ref="B93">IFERROR(INDEX('Lot Inputs'!$B$5:$B$507,MATCH(_xlfn.AGGREGATE(15,6,('Lot Inputs'!$J$5:$J$507)/(('Lot Inputs'!$A$5:$A$507=$B$3)*('Lot Inputs'!$H$5:$H$507&gt;0)),ROW()-6),IF('Lot Inputs'!$A$5:$A$507=$B$3,'Lot Inputs'!$J$5:$J$507),0)),"")</f>
        <v/>
      </c>
      <c r="C93" s="144" t="str">
        <f t="shared" si="11"/>
        <v/>
      </c>
      <c r="D93" s="145" t="str" cm="1">
        <f t="array" ref="D93">IF(B93="","",INDEX('Lot Inputs'!$E$5:$E$507,MATCH(1,('Lot Inputs'!$A$5:$A$507=$B$3)*('Lot Inputs'!$B$5:$B$507=B93),0)))</f>
        <v/>
      </c>
      <c r="E93" s="146" t="str" cm="1">
        <f t="array" ref="E93">IF(B93="","",INDEX('Lot Inputs'!$H$5:$H$507,MATCH(1,('Lot Inputs'!$A$5:$A$507=$B$3)*('Lot Inputs'!$B$5:$B$507=B93),0)))</f>
        <v/>
      </c>
      <c r="F93" s="108" t="str">
        <f>IF(E93="","",IF(R93="On Hold",0,E93)+IF(F92="",0,F92))</f>
        <v/>
      </c>
      <c r="G93" s="108" t="str">
        <f>IF(D93="","",SUMIFS($O$7:$O$500,$N$7:$N$500,"&gt;="&amp;IF(R93="On Hold",S93,Controls!$B$5),$N$7:$N$500,"&lt;="&amp;EDATE(D93,-$B$4)))</f>
        <v/>
      </c>
      <c r="H93" s="108" t="str">
        <f t="shared" si="12"/>
        <v/>
      </c>
      <c r="I93" s="147" t="str">
        <f t="shared" si="10"/>
        <v/>
      </c>
      <c r="J93" s="148" t="str">
        <f>IF(D93="","",(YEAR(EDATE(D93,-$B$4))-YEAR(Controls!$B$5))*12+MONTH(EDATE(D93,-$B$4))-MONTH(Controls!$B$5))</f>
        <v/>
      </c>
      <c r="K93" s="149" t="str">
        <f t="array" ref="K93">IF(F93="","",IFERROR(INDEX($N$7:$N$500,MATCH(TRUE(),$P$7:$P$500&gt;=F93,0)),"After Horizon"))</f>
        <v/>
      </c>
      <c r="L93" t="str">
        <f t="shared" si="13"/>
        <v/>
      </c>
      <c r="M93" s="17" t="str">
        <f t="shared" si="14"/>
        <v/>
      </c>
      <c r="N93" s="145">
        <v>48670</v>
      </c>
      <c r="O93" s="108">
        <f>SUMIFS('Planning Engine'!$F:$F,'Planning Engine'!$B:$B,$B$3,'Planning Engine'!$A:$A,N93)</f>
        <v>28949.266902361283</v>
      </c>
      <c r="P93" s="108">
        <f t="shared" si="15"/>
        <v>1056741.3048944711</v>
      </c>
      <c r="Q93" s="146">
        <f>IF(N93&lt;=EDATE(Controls!$B$5,$B$4-1),O93,0)</f>
        <v>0</v>
      </c>
      <c r="R93" t="str" cm="1">
        <f t="array" ref="R93">IF(B93="","",IFERROR(INDEX('Lot Inputs'!$L$5:$L$507,MATCH(1,('Lot Inputs'!$A$5:$A$507=$B$3)*('Lot Inputs'!$B$5:$B$507=B93),0)),""))</f>
        <v/>
      </c>
      <c r="S93" s="205" t="str" cm="1">
        <f t="array" ref="S93">IF(B93="","",IFERROR(INDEX('Lot Inputs'!$M$5:$M$507,MATCH(1,('Lot Inputs'!$A$5:$A$507=$B$3)*('Lot Inputs'!$B$5:$B$507=B93),0)),""))</f>
        <v/>
      </c>
      <c r="T93" s="459" t="str">
        <f ca="1">IF(S93="","",S93-TODAY())</f>
        <v/>
      </c>
    </row>
    <row r="94" spans="1:20" ht="14" customHeight="1" x14ac:dyDescent="0.35">
      <c r="A94" s="142">
        <v>88</v>
      </c>
      <c r="B94" s="143" t="str" cm="1">
        <f t="array" ref="B94">IFERROR(INDEX('Lot Inputs'!$B$5:$B$507,MATCH(_xlfn.AGGREGATE(15,6,('Lot Inputs'!$J$5:$J$507)/(('Lot Inputs'!$A$5:$A$507=$B$3)*('Lot Inputs'!$H$5:$H$507&gt;0)),ROW()-6),IF('Lot Inputs'!$A$5:$A$507=$B$3,'Lot Inputs'!$J$5:$J$507),0)),"")</f>
        <v/>
      </c>
      <c r="C94" s="144" t="str">
        <f t="shared" si="11"/>
        <v/>
      </c>
      <c r="D94" s="145" t="str" cm="1">
        <f t="array" ref="D94">IF(B94="","",INDEX('Lot Inputs'!$E$5:$E$507,MATCH(1,('Lot Inputs'!$A$5:$A$507=$B$3)*('Lot Inputs'!$B$5:$B$507=B94),0)))</f>
        <v/>
      </c>
      <c r="E94" s="146" t="str" cm="1">
        <f t="array" ref="E94">IF(B94="","",INDEX('Lot Inputs'!$H$5:$H$507,MATCH(1,('Lot Inputs'!$A$5:$A$507=$B$3)*('Lot Inputs'!$B$5:$B$507=B94),0)))</f>
        <v/>
      </c>
      <c r="F94" s="108" t="str">
        <f>IF(E94="","",IF(R94="On Hold",0,E94)+IF(F93="",0,F93))</f>
        <v/>
      </c>
      <c r="G94" s="108" t="str">
        <f>IF(D94="","",SUMIFS($O$7:$O$500,$N$7:$N$500,"&gt;="&amp;IF(R94="On Hold",S94,Controls!$B$5),$N$7:$N$500,"&lt;="&amp;EDATE(D94,-$B$4)))</f>
        <v/>
      </c>
      <c r="H94" s="108" t="str">
        <f t="shared" si="12"/>
        <v/>
      </c>
      <c r="I94" s="147" t="str">
        <f t="shared" si="10"/>
        <v/>
      </c>
      <c r="J94" s="148" t="str">
        <f>IF(D94="","",(YEAR(EDATE(D94,-$B$4))-YEAR(Controls!$B$5))*12+MONTH(EDATE(D94,-$B$4))-MONTH(Controls!$B$5))</f>
        <v/>
      </c>
      <c r="K94" s="149" t="str">
        <f t="array" ref="K94">IF(F94="","",IFERROR(INDEX($N$7:$N$500,MATCH(TRUE(),$P$7:$P$500&gt;=F94,0)),"After Horizon"))</f>
        <v/>
      </c>
      <c r="L94" t="str">
        <f t="shared" si="13"/>
        <v/>
      </c>
      <c r="M94" s="17" t="str">
        <f t="shared" si="14"/>
        <v/>
      </c>
      <c r="N94" s="145">
        <v>48700</v>
      </c>
      <c r="O94" s="108">
        <f>SUMIFS('Planning Engine'!$F:$F,'Planning Engine'!$B:$B,$B$3,'Planning Engine'!$A:$A,N94)</f>
        <v>22430.582756568845</v>
      </c>
      <c r="P94" s="108">
        <f t="shared" si="15"/>
        <v>1079171.88765104</v>
      </c>
      <c r="Q94" s="146">
        <f>IF(N94&lt;=EDATE(Controls!$B$5,$B$4-1),O94,0)</f>
        <v>0</v>
      </c>
      <c r="R94" t="str" cm="1">
        <f t="array" ref="R94">IF(B94="","",IFERROR(INDEX('Lot Inputs'!$L$5:$L$507,MATCH(1,('Lot Inputs'!$A$5:$A$507=$B$3)*('Lot Inputs'!$B$5:$B$507=B94),0)),""))</f>
        <v/>
      </c>
      <c r="S94" s="205" t="str" cm="1">
        <f t="array" ref="S94">IF(B94="","",IFERROR(INDEX('Lot Inputs'!$M$5:$M$507,MATCH(1,('Lot Inputs'!$A$5:$A$507=$B$3)*('Lot Inputs'!$B$5:$B$507=B94),0)),""))</f>
        <v/>
      </c>
      <c r="T94" s="459" t="str">
        <f ca="1">IF(S94="","",S94-TODAY())</f>
        <v/>
      </c>
    </row>
    <row r="95" spans="1:20" ht="14" customHeight="1" x14ac:dyDescent="0.35">
      <c r="A95" s="142">
        <v>89</v>
      </c>
      <c r="B95" s="143" t="str" cm="1">
        <f t="array" ref="B95">IFERROR(INDEX('Lot Inputs'!$B$5:$B$507,MATCH(_xlfn.AGGREGATE(15,6,('Lot Inputs'!$J$5:$J$507)/(('Lot Inputs'!$A$5:$A$507=$B$3)*('Lot Inputs'!$H$5:$H$507&gt;0)),ROW()-6),IF('Lot Inputs'!$A$5:$A$507=$B$3,'Lot Inputs'!$J$5:$J$507),0)),"")</f>
        <v/>
      </c>
      <c r="C95" s="144" t="str">
        <f t="shared" si="11"/>
        <v/>
      </c>
      <c r="D95" s="145" t="str" cm="1">
        <f t="array" ref="D95">IF(B95="","",INDEX('Lot Inputs'!$E$5:$E$507,MATCH(1,('Lot Inputs'!$A$5:$A$507=$B$3)*('Lot Inputs'!$B$5:$B$507=B95),0)))</f>
        <v/>
      </c>
      <c r="E95" s="146" t="str" cm="1">
        <f t="array" ref="E95">IF(B95="","",INDEX('Lot Inputs'!$H$5:$H$507,MATCH(1,('Lot Inputs'!$A$5:$A$507=$B$3)*('Lot Inputs'!$B$5:$B$507=B95),0)))</f>
        <v/>
      </c>
      <c r="F95" s="108" t="str">
        <f>IF(E95="","",IF(R95="On Hold",0,E95)+IF(F94="",0,F94))</f>
        <v/>
      </c>
      <c r="G95" s="108" t="str">
        <f>IF(D95="","",SUMIFS($O$7:$O$500,$N$7:$N$500,"&gt;="&amp;IF(R95="On Hold",S95,Controls!$B$5),$N$7:$N$500,"&lt;="&amp;EDATE(D95,-$B$4)))</f>
        <v/>
      </c>
      <c r="H95" s="108" t="str">
        <f t="shared" si="12"/>
        <v/>
      </c>
      <c r="I95" s="147" t="str">
        <f t="shared" si="10"/>
        <v/>
      </c>
      <c r="J95" s="148" t="str">
        <f>IF(D95="","",(YEAR(EDATE(D95,-$B$4))-YEAR(Controls!$B$5))*12+MONTH(EDATE(D95,-$B$4))-MONTH(Controls!$B$5))</f>
        <v/>
      </c>
      <c r="K95" s="149" t="str">
        <f t="array" ref="K95">IF(F95="","",IFERROR(INDEX($N$7:$N$500,MATCH(TRUE(),$P$7:$P$500&gt;=F95,0)),"After Horizon"))</f>
        <v/>
      </c>
      <c r="L95" t="str">
        <f t="shared" si="13"/>
        <v/>
      </c>
      <c r="M95" s="17" t="str">
        <f t="shared" si="14"/>
        <v/>
      </c>
      <c r="N95" s="145">
        <v>48731</v>
      </c>
      <c r="O95" s="108">
        <f>SUMIFS('Planning Engine'!$F:$F,'Planning Engine'!$B:$B,$B$3,'Planning Engine'!$A:$A,N95)</f>
        <v>23841.868121835716</v>
      </c>
      <c r="P95" s="108">
        <f t="shared" si="15"/>
        <v>1103013.7557728756</v>
      </c>
      <c r="Q95" s="146">
        <f>IF(N95&lt;=EDATE(Controls!$B$5,$B$4-1),O95,0)</f>
        <v>0</v>
      </c>
      <c r="R95" t="str" cm="1">
        <f t="array" ref="R95">IF(B95="","",IFERROR(INDEX('Lot Inputs'!$L$5:$L$507,MATCH(1,('Lot Inputs'!$A$5:$A$507=$B$3)*('Lot Inputs'!$B$5:$B$507=B95),0)),""))</f>
        <v/>
      </c>
      <c r="S95" s="205" t="str" cm="1">
        <f t="array" ref="S95">IF(B95="","",IFERROR(INDEX('Lot Inputs'!$M$5:$M$507,MATCH(1,('Lot Inputs'!$A$5:$A$507=$B$3)*('Lot Inputs'!$B$5:$B$507=B95),0)),""))</f>
        <v/>
      </c>
      <c r="T95" s="459" t="str">
        <f ca="1">IF(S95="","",S95-TODAY())</f>
        <v/>
      </c>
    </row>
    <row r="96" spans="1:20" ht="14" customHeight="1" x14ac:dyDescent="0.35">
      <c r="A96" s="142">
        <v>90</v>
      </c>
      <c r="B96" s="143" t="str" cm="1">
        <f t="array" ref="B96">IFERROR(INDEX('Lot Inputs'!$B$5:$B$507,MATCH(_xlfn.AGGREGATE(15,6,('Lot Inputs'!$J$5:$J$507)/(('Lot Inputs'!$A$5:$A$507=$B$3)*('Lot Inputs'!$H$5:$H$507&gt;0)),ROW()-6),IF('Lot Inputs'!$A$5:$A$507=$B$3,'Lot Inputs'!$J$5:$J$507),0)),"")</f>
        <v/>
      </c>
      <c r="C96" s="144" t="str">
        <f t="shared" si="11"/>
        <v/>
      </c>
      <c r="D96" s="145" t="str" cm="1">
        <f t="array" ref="D96">IF(B96="","",INDEX('Lot Inputs'!$E$5:$E$507,MATCH(1,('Lot Inputs'!$A$5:$A$507=$B$3)*('Lot Inputs'!$B$5:$B$507=B96),0)))</f>
        <v/>
      </c>
      <c r="E96" s="146" t="str" cm="1">
        <f t="array" ref="E96">IF(B96="","",INDEX('Lot Inputs'!$H$5:$H$507,MATCH(1,('Lot Inputs'!$A$5:$A$507=$B$3)*('Lot Inputs'!$B$5:$B$507=B96),0)))</f>
        <v/>
      </c>
      <c r="F96" s="108" t="str">
        <f>IF(E96="","",IF(R96="On Hold",0,E96)+IF(F95="",0,F95))</f>
        <v/>
      </c>
      <c r="G96" s="108" t="str">
        <f>IF(D96="","",SUMIFS($O$7:$O$500,$N$7:$N$500,"&gt;="&amp;IF(R96="On Hold",S96,Controls!$B$5),$N$7:$N$500,"&lt;="&amp;EDATE(D96,-$B$4)))</f>
        <v/>
      </c>
      <c r="H96" s="108" t="str">
        <f t="shared" si="12"/>
        <v/>
      </c>
      <c r="I96" s="147" t="str">
        <f t="shared" si="10"/>
        <v/>
      </c>
      <c r="J96" s="148" t="str">
        <f>IF(D96="","",(YEAR(EDATE(D96,-$B$4))-YEAR(Controls!$B$5))*12+MONTH(EDATE(D96,-$B$4))-MONTH(Controls!$B$5))</f>
        <v/>
      </c>
      <c r="K96" s="149" t="str">
        <f t="array" ref="K96">IF(F96="","",IFERROR(INDEX($N$7:$N$500,MATCH(TRUE(),$P$7:$P$500&gt;=F96,0)),"After Horizon"))</f>
        <v/>
      </c>
      <c r="L96" t="str">
        <f t="shared" si="13"/>
        <v/>
      </c>
      <c r="M96" s="17" t="str">
        <f t="shared" si="14"/>
        <v/>
      </c>
      <c r="N96" s="145">
        <v>48761</v>
      </c>
      <c r="O96" s="108">
        <f>SUMIFS('Planning Engine'!$F:$F,'Planning Engine'!$B:$B,$B$3,'Planning Engine'!$A:$A,N96)</f>
        <v>23880.229663403035</v>
      </c>
      <c r="P96" s="108">
        <f t="shared" si="15"/>
        <v>1126893.9854362786</v>
      </c>
      <c r="Q96" s="146">
        <f>IF(N96&lt;=EDATE(Controls!$B$5,$B$4-1),O96,0)</f>
        <v>0</v>
      </c>
      <c r="R96" t="str" cm="1">
        <f t="array" ref="R96">IF(B96="","",IFERROR(INDEX('Lot Inputs'!$L$5:$L$507,MATCH(1,('Lot Inputs'!$A$5:$A$507=$B$3)*('Lot Inputs'!$B$5:$B$507=B96),0)),""))</f>
        <v/>
      </c>
      <c r="S96" s="205" t="str" cm="1">
        <f t="array" ref="S96">IF(B96="","",IFERROR(INDEX('Lot Inputs'!$M$5:$M$507,MATCH(1,('Lot Inputs'!$A$5:$A$507=$B$3)*('Lot Inputs'!$B$5:$B$507=B96),0)),""))</f>
        <v/>
      </c>
      <c r="T96" s="459" t="str">
        <f ca="1">IF(S96="","",S96-TODAY())</f>
        <v/>
      </c>
    </row>
    <row r="97" spans="1:20" ht="14" customHeight="1" x14ac:dyDescent="0.35">
      <c r="A97" s="142">
        <v>91</v>
      </c>
      <c r="B97" s="143" t="str" cm="1">
        <f t="array" ref="B97">IFERROR(INDEX('Lot Inputs'!$B$5:$B$507,MATCH(_xlfn.AGGREGATE(15,6,('Lot Inputs'!$J$5:$J$507)/(('Lot Inputs'!$A$5:$A$507=$B$3)*('Lot Inputs'!$H$5:$H$507&gt;0)),ROW()-6),IF('Lot Inputs'!$A$5:$A$507=$B$3,'Lot Inputs'!$J$5:$J$507),0)),"")</f>
        <v/>
      </c>
      <c r="C97" s="144" t="str">
        <f t="shared" si="11"/>
        <v/>
      </c>
      <c r="D97" s="145" t="str" cm="1">
        <f t="array" ref="D97">IF(B97="","",INDEX('Lot Inputs'!$E$5:$E$507,MATCH(1,('Lot Inputs'!$A$5:$A$507=$B$3)*('Lot Inputs'!$B$5:$B$507=B97),0)))</f>
        <v/>
      </c>
      <c r="E97" s="146" t="str" cm="1">
        <f t="array" ref="E97">IF(B97="","",INDEX('Lot Inputs'!$H$5:$H$507,MATCH(1,('Lot Inputs'!$A$5:$A$507=$B$3)*('Lot Inputs'!$B$5:$B$507=B97),0)))</f>
        <v/>
      </c>
      <c r="F97" s="108" t="str">
        <f>IF(E97="","",IF(R97="On Hold",0,E97)+IF(F96="",0,F96))</f>
        <v/>
      </c>
      <c r="G97" s="108" t="str">
        <f>IF(D97="","",SUMIFS($O$7:$O$500,$N$7:$N$500,"&gt;="&amp;IF(R97="On Hold",S97,Controls!$B$5),$N$7:$N$500,"&lt;="&amp;EDATE(D97,-$B$4)))</f>
        <v/>
      </c>
      <c r="H97" s="108" t="str">
        <f t="shared" si="12"/>
        <v/>
      </c>
      <c r="I97" s="147" t="str">
        <f t="shared" si="10"/>
        <v/>
      </c>
      <c r="J97" s="148" t="str">
        <f>IF(D97="","",(YEAR(EDATE(D97,-$B$4))-YEAR(Controls!$B$5))*12+MONTH(EDATE(D97,-$B$4))-MONTH(Controls!$B$5))</f>
        <v/>
      </c>
      <c r="K97" s="149" t="str">
        <f t="array" ref="K97">IF(F97="","",IFERROR(INDEX($N$7:$N$500,MATCH(TRUE(),$P$7:$P$500&gt;=F97,0)),"After Horizon"))</f>
        <v/>
      </c>
      <c r="L97" t="str">
        <f t="shared" si="13"/>
        <v/>
      </c>
      <c r="M97" s="17" t="str">
        <f t="shared" si="14"/>
        <v/>
      </c>
      <c r="N97" s="145">
        <v>48792</v>
      </c>
      <c r="O97" s="108">
        <f>SUMIFS('Planning Engine'!$F:$F,'Planning Engine'!$B:$B,$B$3,'Planning Engine'!$A:$A,N97)</f>
        <v>21860.4439236371</v>
      </c>
      <c r="P97" s="108">
        <f t="shared" si="15"/>
        <v>1148754.4293599157</v>
      </c>
      <c r="Q97" s="146">
        <f>IF(N97&lt;=EDATE(Controls!$B$5,$B$4-1),O97,0)</f>
        <v>0</v>
      </c>
      <c r="R97" t="str" cm="1">
        <f t="array" ref="R97">IF(B97="","",IFERROR(INDEX('Lot Inputs'!$L$5:$L$507,MATCH(1,('Lot Inputs'!$A$5:$A$507=$B$3)*('Lot Inputs'!$B$5:$B$507=B97),0)),""))</f>
        <v/>
      </c>
      <c r="S97" s="205" t="str" cm="1">
        <f t="array" ref="S97">IF(B97="","",IFERROR(INDEX('Lot Inputs'!$M$5:$M$507,MATCH(1,('Lot Inputs'!$A$5:$A$507=$B$3)*('Lot Inputs'!$B$5:$B$507=B97),0)),""))</f>
        <v/>
      </c>
      <c r="T97" s="459" t="str">
        <f ca="1">IF(S97="","",S97-TODAY())</f>
        <v/>
      </c>
    </row>
    <row r="98" spans="1:20" ht="14" customHeight="1" x14ac:dyDescent="0.35">
      <c r="A98" s="142">
        <v>92</v>
      </c>
      <c r="B98" s="143" t="str" cm="1">
        <f t="array" ref="B98">IFERROR(INDEX('Lot Inputs'!$B$5:$B$507,MATCH(_xlfn.AGGREGATE(15,6,('Lot Inputs'!$J$5:$J$507)/(('Lot Inputs'!$A$5:$A$507=$B$3)*('Lot Inputs'!$H$5:$H$507&gt;0)),ROW()-6),IF('Lot Inputs'!$A$5:$A$507=$B$3,'Lot Inputs'!$J$5:$J$507),0)),"")</f>
        <v/>
      </c>
      <c r="C98" s="144" t="str">
        <f t="shared" si="11"/>
        <v/>
      </c>
      <c r="D98" s="145" t="str" cm="1">
        <f t="array" ref="D98">IF(B98="","",INDEX('Lot Inputs'!$E$5:$E$507,MATCH(1,('Lot Inputs'!$A$5:$A$507=$B$3)*('Lot Inputs'!$B$5:$B$507=B98),0)))</f>
        <v/>
      </c>
      <c r="E98" s="146" t="str" cm="1">
        <f t="array" ref="E98">IF(B98="","",INDEX('Lot Inputs'!$H$5:$H$507,MATCH(1,('Lot Inputs'!$A$5:$A$507=$B$3)*('Lot Inputs'!$B$5:$B$507=B98),0)))</f>
        <v/>
      </c>
      <c r="F98" s="108" t="str">
        <f>IF(E98="","",IF(R98="On Hold",0,E98)+IF(F97="",0,F97))</f>
        <v/>
      </c>
      <c r="G98" s="108" t="str">
        <f>IF(D98="","",SUMIFS($O$7:$O$500,$N$7:$N$500,"&gt;="&amp;IF(R98="On Hold",S98,Controls!$B$5),$N$7:$N$500,"&lt;="&amp;EDATE(D98,-$B$4)))</f>
        <v/>
      </c>
      <c r="H98" s="108" t="str">
        <f t="shared" si="12"/>
        <v/>
      </c>
      <c r="I98" s="147" t="str">
        <f t="shared" si="10"/>
        <v/>
      </c>
      <c r="J98" s="148" t="str">
        <f>IF(D98="","",(YEAR(EDATE(D98,-$B$4))-YEAR(Controls!$B$5))*12+MONTH(EDATE(D98,-$B$4))-MONTH(Controls!$B$5))</f>
        <v/>
      </c>
      <c r="K98" s="149" t="str">
        <f t="array" ref="K98">IF(F98="","",IFERROR(INDEX($N$7:$N$500,MATCH(TRUE(),$P$7:$P$500&gt;=F98,0)),"After Horizon"))</f>
        <v/>
      </c>
      <c r="L98" t="str">
        <f t="shared" si="13"/>
        <v/>
      </c>
      <c r="M98" s="17" t="str">
        <f t="shared" si="14"/>
        <v/>
      </c>
      <c r="N98" s="145">
        <v>48823</v>
      </c>
      <c r="O98" s="108">
        <f>SUMIFS('Planning Engine'!$F:$F,'Planning Engine'!$B:$B,$B$3,'Planning Engine'!$A:$A,N98)</f>
        <v>28673.490789305375</v>
      </c>
      <c r="P98" s="108">
        <f t="shared" si="15"/>
        <v>1177427.9201492211</v>
      </c>
      <c r="Q98" s="146">
        <f>IF(N98&lt;=EDATE(Controls!$B$5,$B$4-1),O98,0)</f>
        <v>0</v>
      </c>
      <c r="R98" t="str" cm="1">
        <f t="array" ref="R98">IF(B98="","",IFERROR(INDEX('Lot Inputs'!$L$5:$L$507,MATCH(1,('Lot Inputs'!$A$5:$A$507=$B$3)*('Lot Inputs'!$B$5:$B$507=B98),0)),""))</f>
        <v/>
      </c>
      <c r="S98" s="205" t="str" cm="1">
        <f t="array" ref="S98">IF(B98="","",IFERROR(INDEX('Lot Inputs'!$M$5:$M$507,MATCH(1,('Lot Inputs'!$A$5:$A$507=$B$3)*('Lot Inputs'!$B$5:$B$507=B98),0)),""))</f>
        <v/>
      </c>
      <c r="T98" s="459" t="str">
        <f ca="1">IF(S98="","",S98-TODAY())</f>
        <v/>
      </c>
    </row>
    <row r="99" spans="1:20" ht="14" customHeight="1" x14ac:dyDescent="0.35">
      <c r="A99" s="142">
        <v>93</v>
      </c>
      <c r="B99" s="143" t="str" cm="1">
        <f t="array" ref="B99">IFERROR(INDEX('Lot Inputs'!$B$5:$B$507,MATCH(_xlfn.AGGREGATE(15,6,('Lot Inputs'!$J$5:$J$507)/(('Lot Inputs'!$A$5:$A$507=$B$3)*('Lot Inputs'!$H$5:$H$507&gt;0)),ROW()-6),IF('Lot Inputs'!$A$5:$A$507=$B$3,'Lot Inputs'!$J$5:$J$507),0)),"")</f>
        <v/>
      </c>
      <c r="C99" s="144" t="str">
        <f t="shared" si="11"/>
        <v/>
      </c>
      <c r="D99" s="145" t="str" cm="1">
        <f t="array" ref="D99">IF(B99="","",INDEX('Lot Inputs'!$E$5:$E$507,MATCH(1,('Lot Inputs'!$A$5:$A$507=$B$3)*('Lot Inputs'!$B$5:$B$507=B99),0)))</f>
        <v/>
      </c>
      <c r="E99" s="146" t="str" cm="1">
        <f t="array" ref="E99">IF(B99="","",INDEX('Lot Inputs'!$H$5:$H$507,MATCH(1,('Lot Inputs'!$A$5:$A$507=$B$3)*('Lot Inputs'!$B$5:$B$507=B99),0)))</f>
        <v/>
      </c>
      <c r="F99" s="108" t="str">
        <f>IF(E99="","",IF(R99="On Hold",0,E99)+IF(F98="",0,F98))</f>
        <v/>
      </c>
      <c r="G99" s="108" t="str">
        <f>IF(D99="","",SUMIFS($O$7:$O$500,$N$7:$N$500,"&gt;="&amp;IF(R99="On Hold",S99,Controls!$B$5),$N$7:$N$500,"&lt;="&amp;EDATE(D99,-$B$4)))</f>
        <v/>
      </c>
      <c r="H99" s="108" t="str">
        <f t="shared" si="12"/>
        <v/>
      </c>
      <c r="I99" s="147" t="str">
        <f t="shared" si="10"/>
        <v/>
      </c>
      <c r="J99" s="148" t="str">
        <f>IF(D99="","",(YEAR(EDATE(D99,-$B$4))-YEAR(Controls!$B$5))*12+MONTH(EDATE(D99,-$B$4))-MONTH(Controls!$B$5))</f>
        <v/>
      </c>
      <c r="K99" s="149" t="str">
        <f t="array" ref="K99">IF(F99="","",IFERROR(INDEX($N$7:$N$500,MATCH(TRUE(),$P$7:$P$500&gt;=F99,0)),"After Horizon"))</f>
        <v/>
      </c>
      <c r="L99" t="str">
        <f t="shared" si="13"/>
        <v/>
      </c>
      <c r="M99" s="17" t="str">
        <f t="shared" si="14"/>
        <v/>
      </c>
      <c r="N99" s="145">
        <v>48853</v>
      </c>
      <c r="O99" s="108">
        <f>SUMIFS('Planning Engine'!$F:$F,'Planning Engine'!$B:$B,$B$3,'Planning Engine'!$A:$A,N99)</f>
        <v>22731.77557634905</v>
      </c>
      <c r="P99" s="108">
        <f t="shared" si="15"/>
        <v>1200159.6957255702</v>
      </c>
      <c r="Q99" s="146">
        <f>IF(N99&lt;=EDATE(Controls!$B$5,$B$4-1),O99,0)</f>
        <v>0</v>
      </c>
      <c r="R99" t="str" cm="1">
        <f t="array" ref="R99">IF(B99="","",IFERROR(INDEX('Lot Inputs'!$L$5:$L$507,MATCH(1,('Lot Inputs'!$A$5:$A$507=$B$3)*('Lot Inputs'!$B$5:$B$507=B99),0)),""))</f>
        <v/>
      </c>
      <c r="S99" s="205" t="str" cm="1">
        <f t="array" ref="S99">IF(B99="","",IFERROR(INDEX('Lot Inputs'!$M$5:$M$507,MATCH(1,('Lot Inputs'!$A$5:$A$507=$B$3)*('Lot Inputs'!$B$5:$B$507=B99),0)),""))</f>
        <v/>
      </c>
      <c r="T99" s="459" t="str">
        <f ca="1">IF(S99="","",S99-TODAY())</f>
        <v/>
      </c>
    </row>
    <row r="100" spans="1:20" ht="14" customHeight="1" x14ac:dyDescent="0.35">
      <c r="A100" s="142">
        <v>94</v>
      </c>
      <c r="B100" s="143" t="str" cm="1">
        <f t="array" ref="B100">IFERROR(INDEX('Lot Inputs'!$B$5:$B$507,MATCH(_xlfn.AGGREGATE(15,6,('Lot Inputs'!$J$5:$J$507)/(('Lot Inputs'!$A$5:$A$507=$B$3)*('Lot Inputs'!$H$5:$H$507&gt;0)),ROW()-6),IF('Lot Inputs'!$A$5:$A$507=$B$3,'Lot Inputs'!$J$5:$J$507),0)),"")</f>
        <v/>
      </c>
      <c r="C100" s="144" t="str">
        <f t="shared" si="11"/>
        <v/>
      </c>
      <c r="D100" s="145" t="str" cm="1">
        <f t="array" ref="D100">IF(B100="","",INDEX('Lot Inputs'!$E$5:$E$507,MATCH(1,('Lot Inputs'!$A$5:$A$507=$B$3)*('Lot Inputs'!$B$5:$B$507=B100),0)))</f>
        <v/>
      </c>
      <c r="E100" s="146" t="str" cm="1">
        <f t="array" ref="E100">IF(B100="","",INDEX('Lot Inputs'!$H$5:$H$507,MATCH(1,('Lot Inputs'!$A$5:$A$507=$B$3)*('Lot Inputs'!$B$5:$B$507=B100),0)))</f>
        <v/>
      </c>
      <c r="F100" s="108" t="str">
        <f>IF(E100="","",IF(R100="On Hold",0,E100)+IF(F99="",0,F99))</f>
        <v/>
      </c>
      <c r="G100" s="108" t="str">
        <f>IF(D100="","",SUMIFS($O$7:$O$500,$N$7:$N$500,"&gt;="&amp;IF(R100="On Hold",S100,Controls!$B$5),$N$7:$N$500,"&lt;="&amp;EDATE(D100,-$B$4)))</f>
        <v/>
      </c>
      <c r="H100" s="108" t="str">
        <f t="shared" si="12"/>
        <v/>
      </c>
      <c r="I100" s="147" t="str">
        <f t="shared" si="10"/>
        <v/>
      </c>
      <c r="J100" s="148" t="str">
        <f>IF(D100="","",(YEAR(EDATE(D100,-$B$4))-YEAR(Controls!$B$5))*12+MONTH(EDATE(D100,-$B$4))-MONTH(Controls!$B$5))</f>
        <v/>
      </c>
      <c r="K100" s="149" t="str">
        <f t="array" ref="K100">IF(F100="","",IFERROR(INDEX($N$7:$N$500,MATCH(TRUE(),$P$7:$P$500&gt;=F100,0)),"After Horizon"))</f>
        <v/>
      </c>
      <c r="L100" t="str">
        <f t="shared" si="13"/>
        <v/>
      </c>
      <c r="M100" s="17" t="str">
        <f t="shared" si="14"/>
        <v/>
      </c>
      <c r="N100" s="145">
        <v>48884</v>
      </c>
      <c r="O100" s="108">
        <f>SUMIFS('Planning Engine'!$F:$F,'Planning Engine'!$B:$B,$B$3,'Planning Engine'!$A:$A,N100)</f>
        <v>22074.022487854672</v>
      </c>
      <c r="P100" s="108">
        <f t="shared" si="15"/>
        <v>1222233.7182134248</v>
      </c>
      <c r="Q100" s="146">
        <f>IF(N100&lt;=EDATE(Controls!$B$5,$B$4-1),O100,0)</f>
        <v>0</v>
      </c>
      <c r="R100" t="str" cm="1">
        <f t="array" ref="R100">IF(B100="","",IFERROR(INDEX('Lot Inputs'!$L$5:$L$507,MATCH(1,('Lot Inputs'!$A$5:$A$507=$B$3)*('Lot Inputs'!$B$5:$B$507=B100),0)),""))</f>
        <v/>
      </c>
      <c r="S100" s="205" t="str" cm="1">
        <f t="array" ref="S100">IF(B100="","",IFERROR(INDEX('Lot Inputs'!$M$5:$M$507,MATCH(1,('Lot Inputs'!$A$5:$A$507=$B$3)*('Lot Inputs'!$B$5:$B$507=B100),0)),""))</f>
        <v/>
      </c>
      <c r="T100" s="459" t="str">
        <f ca="1">IF(S100="","",S100-TODAY())</f>
        <v/>
      </c>
    </row>
    <row r="101" spans="1:20" ht="14" customHeight="1" x14ac:dyDescent="0.35">
      <c r="A101" s="142">
        <v>95</v>
      </c>
      <c r="B101" s="143" t="str" cm="1">
        <f t="array" ref="B101">IFERROR(INDEX('Lot Inputs'!$B$5:$B$507,MATCH(_xlfn.AGGREGATE(15,6,('Lot Inputs'!$J$5:$J$507)/(('Lot Inputs'!$A$5:$A$507=$B$3)*('Lot Inputs'!$H$5:$H$507&gt;0)),ROW()-6),IF('Lot Inputs'!$A$5:$A$507=$B$3,'Lot Inputs'!$J$5:$J$507),0)),"")</f>
        <v/>
      </c>
      <c r="C101" s="144" t="str">
        <f t="shared" si="11"/>
        <v/>
      </c>
      <c r="D101" s="145" t="str" cm="1">
        <f t="array" ref="D101">IF(B101="","",INDEX('Lot Inputs'!$E$5:$E$507,MATCH(1,('Lot Inputs'!$A$5:$A$507=$B$3)*('Lot Inputs'!$B$5:$B$507=B101),0)))</f>
        <v/>
      </c>
      <c r="E101" s="146" t="str" cm="1">
        <f t="array" ref="E101">IF(B101="","",INDEX('Lot Inputs'!$H$5:$H$507,MATCH(1,('Lot Inputs'!$A$5:$A$507=$B$3)*('Lot Inputs'!$B$5:$B$507=B101),0)))</f>
        <v/>
      </c>
      <c r="F101" s="108" t="str">
        <f>IF(E101="","",IF(R101="On Hold",0,E101)+IF(F100="",0,F100))</f>
        <v/>
      </c>
      <c r="G101" s="108" t="str">
        <f>IF(D101="","",SUMIFS($O$7:$O$500,$N$7:$N$500,"&gt;="&amp;IF(R101="On Hold",S101,Controls!$B$5),$N$7:$N$500,"&lt;="&amp;EDATE(D101,-$B$4)))</f>
        <v/>
      </c>
      <c r="H101" s="108" t="str">
        <f t="shared" si="12"/>
        <v/>
      </c>
      <c r="I101" s="147" t="str">
        <f t="shared" si="10"/>
        <v/>
      </c>
      <c r="J101" s="148" t="str">
        <f>IF(D101="","",(YEAR(EDATE(D101,-$B$4))-YEAR(Controls!$B$5))*12+MONTH(EDATE(D101,-$B$4))-MONTH(Controls!$B$5))</f>
        <v/>
      </c>
      <c r="K101" s="149" t="str">
        <f t="array" ref="K101">IF(F101="","",IFERROR(INDEX($N$7:$N$500,MATCH(TRUE(),$P$7:$P$500&gt;=F101,0)),"After Horizon"))</f>
        <v/>
      </c>
      <c r="L101" t="str">
        <f t="shared" si="13"/>
        <v/>
      </c>
      <c r="M101" s="17" t="str">
        <f t="shared" si="14"/>
        <v/>
      </c>
      <c r="N101" s="145">
        <v>48914</v>
      </c>
      <c r="O101" s="108">
        <f>SUMIFS('Planning Engine'!$F:$F,'Planning Engine'!$B:$B,$B$3,'Planning Engine'!$A:$A,N101)</f>
        <v>22666.606608457892</v>
      </c>
      <c r="P101" s="108">
        <f t="shared" si="15"/>
        <v>1244900.3248218826</v>
      </c>
      <c r="Q101" s="146">
        <f>IF(N101&lt;=EDATE(Controls!$B$5,$B$4-1),O101,0)</f>
        <v>0</v>
      </c>
      <c r="R101" t="str" cm="1">
        <f t="array" ref="R101">IF(B101="","",IFERROR(INDEX('Lot Inputs'!$L$5:$L$507,MATCH(1,('Lot Inputs'!$A$5:$A$507=$B$3)*('Lot Inputs'!$B$5:$B$507=B101),0)),""))</f>
        <v/>
      </c>
      <c r="S101" s="205" t="str" cm="1">
        <f t="array" ref="S101">IF(B101="","",IFERROR(INDEX('Lot Inputs'!$M$5:$M$507,MATCH(1,('Lot Inputs'!$A$5:$A$507=$B$3)*('Lot Inputs'!$B$5:$B$507=B101),0)),""))</f>
        <v/>
      </c>
      <c r="T101" s="459" t="str">
        <f ca="1">IF(S101="","",S101-TODAY())</f>
        <v/>
      </c>
    </row>
    <row r="102" spans="1:20" ht="14" customHeight="1" x14ac:dyDescent="0.35">
      <c r="A102" s="142">
        <v>96</v>
      </c>
      <c r="B102" s="143" t="str" cm="1">
        <f t="array" ref="B102">IFERROR(INDEX('Lot Inputs'!$B$5:$B$507,MATCH(_xlfn.AGGREGATE(15,6,('Lot Inputs'!$J$5:$J$507)/(('Lot Inputs'!$A$5:$A$507=$B$3)*('Lot Inputs'!$H$5:$H$507&gt;0)),ROW()-6),IF('Lot Inputs'!$A$5:$A$507=$B$3,'Lot Inputs'!$J$5:$J$507),0)),"")</f>
        <v/>
      </c>
      <c r="C102" s="144" t="str">
        <f t="shared" si="11"/>
        <v/>
      </c>
      <c r="D102" s="145" t="str" cm="1">
        <f t="array" ref="D102">IF(B102="","",INDEX('Lot Inputs'!$E$5:$E$507,MATCH(1,('Lot Inputs'!$A$5:$A$507=$B$3)*('Lot Inputs'!$B$5:$B$507=B102),0)))</f>
        <v/>
      </c>
      <c r="E102" s="146" t="str" cm="1">
        <f t="array" ref="E102">IF(B102="","",INDEX('Lot Inputs'!$H$5:$H$507,MATCH(1,('Lot Inputs'!$A$5:$A$507=$B$3)*('Lot Inputs'!$B$5:$B$507=B102),0)))</f>
        <v/>
      </c>
      <c r="F102" s="108" t="str">
        <f>IF(E102="","",IF(R102="On Hold",0,E102)+IF(F101="",0,F101))</f>
        <v/>
      </c>
      <c r="G102" s="108" t="str">
        <f>IF(D102="","",SUMIFS($O$7:$O$500,$N$7:$N$500,"&gt;="&amp;IF(R102="On Hold",S102,Controls!$B$5),$N$7:$N$500,"&lt;="&amp;EDATE(D102,-$B$4)))</f>
        <v/>
      </c>
      <c r="H102" s="108" t="str">
        <f t="shared" si="12"/>
        <v/>
      </c>
      <c r="I102" s="147" t="str">
        <f t="shared" si="10"/>
        <v/>
      </c>
      <c r="J102" s="148" t="str">
        <f>IF(D102="","",(YEAR(EDATE(D102,-$B$4))-YEAR(Controls!$B$5))*12+MONTH(EDATE(D102,-$B$4))-MONTH(Controls!$B$5))</f>
        <v/>
      </c>
      <c r="K102" s="149" t="str">
        <f t="array" ref="K102">IF(F102="","",IFERROR(INDEX($N$7:$N$500,MATCH(TRUE(),$P$7:$P$500&gt;=F102,0)),"After Horizon"))</f>
        <v/>
      </c>
      <c r="L102" t="str">
        <f t="shared" si="13"/>
        <v/>
      </c>
      <c r="M102" s="17" t="str">
        <f t="shared" si="14"/>
        <v/>
      </c>
      <c r="N102" s="145">
        <v>48945</v>
      </c>
      <c r="O102" s="108">
        <f>SUMIFS('Planning Engine'!$F:$F,'Planning Engine'!$B:$B,$B$3,'Planning Engine'!$A:$A,N102)</f>
        <v>24625.663994139453</v>
      </c>
      <c r="P102" s="108">
        <f t="shared" si="15"/>
        <v>1269525.9888160222</v>
      </c>
      <c r="Q102" s="146">
        <f>IF(N102&lt;=EDATE(Controls!$B$5,$B$4-1),O102,0)</f>
        <v>0</v>
      </c>
      <c r="R102" t="str" cm="1">
        <f t="array" ref="R102">IF(B102="","",IFERROR(INDEX('Lot Inputs'!$L$5:$L$507,MATCH(1,('Lot Inputs'!$A$5:$A$507=$B$3)*('Lot Inputs'!$B$5:$B$507=B102),0)),""))</f>
        <v/>
      </c>
      <c r="S102" s="205" t="str" cm="1">
        <f t="array" ref="S102">IF(B102="","",IFERROR(INDEX('Lot Inputs'!$M$5:$M$507,MATCH(1,('Lot Inputs'!$A$5:$A$507=$B$3)*('Lot Inputs'!$B$5:$B$507=B102),0)),""))</f>
        <v/>
      </c>
      <c r="T102" s="459" t="str">
        <f ca="1">IF(S102="","",S102-TODAY())</f>
        <v/>
      </c>
    </row>
    <row r="103" spans="1:20" ht="14" customHeight="1" x14ac:dyDescent="0.35">
      <c r="A103" s="142">
        <v>97</v>
      </c>
      <c r="B103" s="143" t="str" cm="1">
        <f t="array" ref="B103">IFERROR(INDEX('Lot Inputs'!$B$5:$B$507,MATCH(_xlfn.AGGREGATE(15,6,('Lot Inputs'!$J$5:$J$507)/(('Lot Inputs'!$A$5:$A$507=$B$3)*('Lot Inputs'!$H$5:$H$507&gt;0)),ROW()-6),IF('Lot Inputs'!$A$5:$A$507=$B$3,'Lot Inputs'!$J$5:$J$507),0)),"")</f>
        <v/>
      </c>
      <c r="C103" s="144" t="str">
        <f t="shared" si="11"/>
        <v/>
      </c>
      <c r="D103" s="145" t="str" cm="1">
        <f t="array" ref="D103">IF(B103="","",INDEX('Lot Inputs'!$E$5:$E$507,MATCH(1,('Lot Inputs'!$A$5:$A$507=$B$3)*('Lot Inputs'!$B$5:$B$507=B103),0)))</f>
        <v/>
      </c>
      <c r="E103" s="146" t="str" cm="1">
        <f t="array" ref="E103">IF(B103="","",INDEX('Lot Inputs'!$H$5:$H$507,MATCH(1,('Lot Inputs'!$A$5:$A$507=$B$3)*('Lot Inputs'!$B$5:$B$507=B103),0)))</f>
        <v/>
      </c>
      <c r="F103" s="108" t="str">
        <f>IF(E103="","",IF(R103="On Hold",0,E103)+IF(F102="",0,F102))</f>
        <v/>
      </c>
      <c r="G103" s="108" t="str">
        <f>IF(D103="","",SUMIFS($O$7:$O$500,$N$7:$N$500,"&gt;="&amp;IF(R103="On Hold",S103,Controls!$B$5),$N$7:$N$500,"&lt;="&amp;EDATE(D103,-$B$4)))</f>
        <v/>
      </c>
      <c r="H103" s="108" t="str">
        <f t="shared" si="12"/>
        <v/>
      </c>
      <c r="I103" s="147" t="str">
        <f t="shared" ref="I103:I134" si="16">IF(E103="","",MAX(0,E103-H103))</f>
        <v/>
      </c>
      <c r="J103" s="148" t="str">
        <f>IF(D103="","",(YEAR(EDATE(D103,-$B$4))-YEAR(Controls!$B$5))*12+MONTH(EDATE(D103,-$B$4))-MONTH(Controls!$B$5))</f>
        <v/>
      </c>
      <c r="K103" s="149" t="str">
        <f t="array" ref="K103">IF(F103="","",IFERROR(INDEX($N$7:$N$500,MATCH(TRUE(),$P$7:$P$500&gt;=F103,0)),"After Horizon"))</f>
        <v/>
      </c>
      <c r="L103" t="str">
        <f t="shared" si="13"/>
        <v/>
      </c>
      <c r="M103" s="17" t="str">
        <f t="shared" si="14"/>
        <v/>
      </c>
      <c r="N103" s="145">
        <v>48976</v>
      </c>
      <c r="O103" s="108">
        <f>SUMIFS('Planning Engine'!$F:$F,'Planning Engine'!$B:$B,$B$3,'Planning Engine'!$A:$A,N103)</f>
        <v>21911.551880977477</v>
      </c>
      <c r="P103" s="108">
        <f t="shared" si="15"/>
        <v>1291437.5406969998</v>
      </c>
      <c r="Q103" s="146">
        <f>IF(N103&lt;=EDATE(Controls!$B$5,$B$4-1),O103,0)</f>
        <v>0</v>
      </c>
      <c r="R103" t="str" cm="1">
        <f t="array" ref="R103">IF(B103="","",IFERROR(INDEX('Lot Inputs'!$L$5:$L$507,MATCH(1,('Lot Inputs'!$A$5:$A$507=$B$3)*('Lot Inputs'!$B$5:$B$507=B103),0)),""))</f>
        <v/>
      </c>
      <c r="S103" s="205" t="str" cm="1">
        <f t="array" ref="S103">IF(B103="","",IFERROR(INDEX('Lot Inputs'!$M$5:$M$507,MATCH(1,('Lot Inputs'!$A$5:$A$507=$B$3)*('Lot Inputs'!$B$5:$B$507=B103),0)),""))</f>
        <v/>
      </c>
      <c r="T103" s="459" t="str">
        <f ca="1">IF(S103="","",S103-TODAY())</f>
        <v/>
      </c>
    </row>
    <row r="104" spans="1:20" ht="14" customHeight="1" x14ac:dyDescent="0.35">
      <c r="A104" s="142">
        <v>98</v>
      </c>
      <c r="B104" s="143" t="str" cm="1">
        <f t="array" ref="B104">IFERROR(INDEX('Lot Inputs'!$B$5:$B$507,MATCH(_xlfn.AGGREGATE(15,6,('Lot Inputs'!$J$5:$J$507)/(('Lot Inputs'!$A$5:$A$507=$B$3)*('Lot Inputs'!$H$5:$H$507&gt;0)),ROW()-6),IF('Lot Inputs'!$A$5:$A$507=$B$3,'Lot Inputs'!$J$5:$J$507),0)),"")</f>
        <v/>
      </c>
      <c r="C104" s="144" t="str">
        <f t="shared" si="11"/>
        <v/>
      </c>
      <c r="D104" s="145" t="str" cm="1">
        <f t="array" ref="D104">IF(B104="","",INDEX('Lot Inputs'!$E$5:$E$507,MATCH(1,('Lot Inputs'!$A$5:$A$507=$B$3)*('Lot Inputs'!$B$5:$B$507=B104),0)))</f>
        <v/>
      </c>
      <c r="E104" s="146" t="str" cm="1">
        <f t="array" ref="E104">IF(B104="","",INDEX('Lot Inputs'!$H$5:$H$507,MATCH(1,('Lot Inputs'!$A$5:$A$507=$B$3)*('Lot Inputs'!$B$5:$B$507=B104),0)))</f>
        <v/>
      </c>
      <c r="F104" s="108" t="str">
        <f>IF(E104="","",IF(R104="On Hold",0,E104)+IF(F103="",0,F103))</f>
        <v/>
      </c>
      <c r="G104" s="108" t="str">
        <f>IF(D104="","",SUMIFS($O$7:$O$500,$N$7:$N$500,"&gt;="&amp;IF(R104="On Hold",S104,Controls!$B$5),$N$7:$N$500,"&lt;="&amp;EDATE(D104,-$B$4)))</f>
        <v/>
      </c>
      <c r="H104" s="108" t="str">
        <f t="shared" ref="H104:H135" si="17">IF(E104="","",MIN(E104,MAX(0,G104-IF(ROW()=7,0,F103))))</f>
        <v/>
      </c>
      <c r="I104" s="147" t="str">
        <f t="shared" si="16"/>
        <v/>
      </c>
      <c r="J104" s="148" t="str">
        <f>IF(D104="","",(YEAR(EDATE(D104,-$B$4))-YEAR(Controls!$B$5))*12+MONTH(EDATE(D104,-$B$4))-MONTH(Controls!$B$5))</f>
        <v/>
      </c>
      <c r="K104" s="149" t="str">
        <f t="array" ref="K104">IF(F104="","",IFERROR(INDEX($N$7:$N$500,MATCH(TRUE(),$P$7:$P$500&gt;=F104,0)),"After Horizon"))</f>
        <v/>
      </c>
      <c r="L104" t="str">
        <f t="shared" si="13"/>
        <v/>
      </c>
      <c r="M104" s="17" t="str">
        <f t="shared" si="14"/>
        <v/>
      </c>
      <c r="N104" s="145">
        <v>49004</v>
      </c>
      <c r="O104" s="108">
        <f>SUMIFS('Planning Engine'!$F:$F,'Planning Engine'!$B:$B,$B$3,'Planning Engine'!$A:$A,N104)</f>
        <v>20478.495809013191</v>
      </c>
      <c r="P104" s="108">
        <f t="shared" ref="P104:P135" si="18">P103+O104</f>
        <v>1311916.036506013</v>
      </c>
      <c r="Q104" s="146">
        <f>IF(N104&lt;=EDATE(Controls!$B$5,$B$4-1),O104,0)</f>
        <v>0</v>
      </c>
      <c r="R104" t="str" cm="1">
        <f t="array" ref="R104">IF(B104="","",IFERROR(INDEX('Lot Inputs'!$L$5:$L$507,MATCH(1,('Lot Inputs'!$A$5:$A$507=$B$3)*('Lot Inputs'!$B$5:$B$507=B104),0)),""))</f>
        <v/>
      </c>
      <c r="S104" s="205" t="str" cm="1">
        <f t="array" ref="S104">IF(B104="","",IFERROR(INDEX('Lot Inputs'!$M$5:$M$507,MATCH(1,('Lot Inputs'!$A$5:$A$507=$B$3)*('Lot Inputs'!$B$5:$B$507=B104),0)),""))</f>
        <v/>
      </c>
      <c r="T104" s="459" t="str">
        <f ca="1">IF(S104="","",S104-TODAY())</f>
        <v/>
      </c>
    </row>
    <row r="105" spans="1:20" ht="14" customHeight="1" x14ac:dyDescent="0.35">
      <c r="A105" s="142">
        <v>99</v>
      </c>
      <c r="B105" s="143" t="str" cm="1">
        <f t="array" ref="B105">IFERROR(INDEX('Lot Inputs'!$B$5:$B$507,MATCH(_xlfn.AGGREGATE(15,6,('Lot Inputs'!$J$5:$J$507)/(('Lot Inputs'!$A$5:$A$507=$B$3)*('Lot Inputs'!$H$5:$H$507&gt;0)),ROW()-6),IF('Lot Inputs'!$A$5:$A$507=$B$3,'Lot Inputs'!$J$5:$J$507),0)),"")</f>
        <v/>
      </c>
      <c r="C105" s="144" t="str">
        <f t="shared" si="11"/>
        <v/>
      </c>
      <c r="D105" s="145" t="str" cm="1">
        <f t="array" ref="D105">IF(B105="","",INDEX('Lot Inputs'!$E$5:$E$507,MATCH(1,('Lot Inputs'!$A$5:$A$507=$B$3)*('Lot Inputs'!$B$5:$B$507=B105),0)))</f>
        <v/>
      </c>
      <c r="E105" s="146" t="str" cm="1">
        <f t="array" ref="E105">IF(B105="","",INDEX('Lot Inputs'!$H$5:$H$507,MATCH(1,('Lot Inputs'!$A$5:$A$507=$B$3)*('Lot Inputs'!$B$5:$B$507=B105),0)))</f>
        <v/>
      </c>
      <c r="F105" s="108" t="str">
        <f>IF(E105="","",IF(R105="On Hold",0,E105)+IF(F104="",0,F104))</f>
        <v/>
      </c>
      <c r="G105" s="108" t="str">
        <f>IF(D105="","",SUMIFS($O$7:$O$500,$N$7:$N$500,"&gt;="&amp;IF(R105="On Hold",S105,Controls!$B$5),$N$7:$N$500,"&lt;="&amp;EDATE(D105,-$B$4)))</f>
        <v/>
      </c>
      <c r="H105" s="108" t="str">
        <f t="shared" si="17"/>
        <v/>
      </c>
      <c r="I105" s="147" t="str">
        <f t="shared" si="16"/>
        <v/>
      </c>
      <c r="J105" s="148" t="str">
        <f>IF(D105="","",(YEAR(EDATE(D105,-$B$4))-YEAR(Controls!$B$5))*12+MONTH(EDATE(D105,-$B$4))-MONTH(Controls!$B$5))</f>
        <v/>
      </c>
      <c r="K105" s="149" t="str">
        <f t="array" ref="K105">IF(F105="","",IFERROR(INDEX($N$7:$N$500,MATCH(TRUE(),$P$7:$P$500&gt;=F105,0)),"After Horizon"))</f>
        <v/>
      </c>
      <c r="L105" t="str">
        <f t="shared" si="13"/>
        <v/>
      </c>
      <c r="M105" s="17" t="str">
        <f t="shared" si="14"/>
        <v/>
      </c>
      <c r="N105" s="145">
        <v>49035</v>
      </c>
      <c r="O105" s="108">
        <f>SUMIFS('Planning Engine'!$F:$F,'Planning Engine'!$B:$B,$B$3,'Planning Engine'!$A:$A,N105)</f>
        <v>29139.542451731584</v>
      </c>
      <c r="P105" s="108">
        <f t="shared" si="18"/>
        <v>1341055.5789577446</v>
      </c>
      <c r="Q105" s="146">
        <f>IF(N105&lt;=EDATE(Controls!$B$5,$B$4-1),O105,0)</f>
        <v>0</v>
      </c>
      <c r="R105" t="str" cm="1">
        <f t="array" ref="R105">IF(B105="","",IFERROR(INDEX('Lot Inputs'!$L$5:$L$507,MATCH(1,('Lot Inputs'!$A$5:$A$507=$B$3)*('Lot Inputs'!$B$5:$B$507=B105),0)),""))</f>
        <v/>
      </c>
      <c r="S105" s="205" t="str" cm="1">
        <f t="array" ref="S105">IF(B105="","",IFERROR(INDEX('Lot Inputs'!$M$5:$M$507,MATCH(1,('Lot Inputs'!$A$5:$A$507=$B$3)*('Lot Inputs'!$B$5:$B$507=B105),0)),""))</f>
        <v/>
      </c>
      <c r="T105" s="459" t="str">
        <f ca="1">IF(S105="","",S105-TODAY())</f>
        <v/>
      </c>
    </row>
    <row r="106" spans="1:20" ht="14" customHeight="1" x14ac:dyDescent="0.35">
      <c r="A106" s="142">
        <v>100</v>
      </c>
      <c r="B106" s="143" t="str" cm="1">
        <f t="array" ref="B106">IFERROR(INDEX('Lot Inputs'!$B$5:$B$507,MATCH(_xlfn.AGGREGATE(15,6,('Lot Inputs'!$J$5:$J$507)/(('Lot Inputs'!$A$5:$A$507=$B$3)*('Lot Inputs'!$H$5:$H$507&gt;0)),ROW()-6),IF('Lot Inputs'!$A$5:$A$507=$B$3,'Lot Inputs'!$J$5:$J$507),0)),"")</f>
        <v/>
      </c>
      <c r="C106" s="144" t="str">
        <f t="shared" si="11"/>
        <v/>
      </c>
      <c r="D106" s="145" t="str" cm="1">
        <f t="array" ref="D106">IF(B106="","",INDEX('Lot Inputs'!$E$5:$E$507,MATCH(1,('Lot Inputs'!$A$5:$A$507=$B$3)*('Lot Inputs'!$B$5:$B$507=B106),0)))</f>
        <v/>
      </c>
      <c r="E106" s="146" t="str" cm="1">
        <f t="array" ref="E106">IF(B106="","",INDEX('Lot Inputs'!$H$5:$H$507,MATCH(1,('Lot Inputs'!$A$5:$A$507=$B$3)*('Lot Inputs'!$B$5:$B$507=B106),0)))</f>
        <v/>
      </c>
      <c r="F106" s="108" t="str">
        <f>IF(E106="","",IF(R106="On Hold",0,E106)+IF(F105="",0,F105))</f>
        <v/>
      </c>
      <c r="G106" s="108" t="str">
        <f>IF(D106="","",SUMIFS($O$7:$O$500,$N$7:$N$500,"&gt;="&amp;IF(R106="On Hold",S106,Controls!$B$5),$N$7:$N$500,"&lt;="&amp;EDATE(D106,-$B$4)))</f>
        <v/>
      </c>
      <c r="H106" s="108" t="str">
        <f t="shared" si="17"/>
        <v/>
      </c>
      <c r="I106" s="147" t="str">
        <f t="shared" si="16"/>
        <v/>
      </c>
      <c r="J106" s="148" t="str">
        <f>IF(D106="","",(YEAR(EDATE(D106,-$B$4))-YEAR(Controls!$B$5))*12+MONTH(EDATE(D106,-$B$4))-MONTH(Controls!$B$5))</f>
        <v/>
      </c>
      <c r="K106" s="149" t="str">
        <f t="array" ref="K106">IF(F106="","",IFERROR(INDEX($N$7:$N$500,MATCH(TRUE(),$P$7:$P$500&gt;=F106,0)),"After Horizon"))</f>
        <v/>
      </c>
      <c r="L106" t="str">
        <f t="shared" si="13"/>
        <v/>
      </c>
      <c r="M106" s="17" t="str">
        <f t="shared" si="14"/>
        <v/>
      </c>
      <c r="N106" s="145">
        <v>49065</v>
      </c>
      <c r="O106" s="108">
        <f>SUMIFS('Planning Engine'!$F:$F,'Planning Engine'!$B:$B,$B$3,'Planning Engine'!$A:$A,N106)</f>
        <v>20515.292959393824</v>
      </c>
      <c r="P106" s="108">
        <f t="shared" si="18"/>
        <v>1361570.8719171386</v>
      </c>
      <c r="Q106" s="146">
        <f>IF(N106&lt;=EDATE(Controls!$B$5,$B$4-1),O106,0)</f>
        <v>0</v>
      </c>
      <c r="R106" t="str" cm="1">
        <f t="array" ref="R106">IF(B106="","",IFERROR(INDEX('Lot Inputs'!$L$5:$L$507,MATCH(1,('Lot Inputs'!$A$5:$A$507=$B$3)*('Lot Inputs'!$B$5:$B$507=B106),0)),""))</f>
        <v/>
      </c>
      <c r="S106" s="205" t="str" cm="1">
        <f t="array" ref="S106">IF(B106="","",IFERROR(INDEX('Lot Inputs'!$M$5:$M$507,MATCH(1,('Lot Inputs'!$A$5:$A$507=$B$3)*('Lot Inputs'!$B$5:$B$507=B106),0)),""))</f>
        <v/>
      </c>
      <c r="T106" s="459" t="str">
        <f ca="1">IF(S106="","",S106-TODAY())</f>
        <v/>
      </c>
    </row>
    <row r="107" spans="1:20" ht="14" customHeight="1" x14ac:dyDescent="0.35">
      <c r="A107" s="142">
        <v>101</v>
      </c>
      <c r="B107" s="143" t="str" cm="1">
        <f t="array" ref="B107">IFERROR(INDEX('Lot Inputs'!$B$5:$B$507,MATCH(_xlfn.AGGREGATE(15,6,('Lot Inputs'!$J$5:$J$507)/(('Lot Inputs'!$A$5:$A$507=$B$3)*('Lot Inputs'!$H$5:$H$507&gt;0)),ROW()-6),IF('Lot Inputs'!$A$5:$A$507=$B$3,'Lot Inputs'!$J$5:$J$507),0)),"")</f>
        <v/>
      </c>
      <c r="C107" s="144" t="str">
        <f t="shared" si="11"/>
        <v/>
      </c>
      <c r="D107" s="145" t="str" cm="1">
        <f t="array" ref="D107">IF(B107="","",INDEX('Lot Inputs'!$E$5:$E$507,MATCH(1,('Lot Inputs'!$A$5:$A$507=$B$3)*('Lot Inputs'!$B$5:$B$507=B107),0)))</f>
        <v/>
      </c>
      <c r="E107" s="146" t="str" cm="1">
        <f t="array" ref="E107">IF(B107="","",INDEX('Lot Inputs'!$H$5:$H$507,MATCH(1,('Lot Inputs'!$A$5:$A$507=$B$3)*('Lot Inputs'!$B$5:$B$507=B107),0)))</f>
        <v/>
      </c>
      <c r="F107" s="108" t="str">
        <f>IF(E107="","",IF(R107="On Hold",0,E107)+IF(F106="",0,F106))</f>
        <v/>
      </c>
      <c r="G107" s="108" t="str">
        <f>IF(D107="","",SUMIFS($O$7:$O$500,$N$7:$N$500,"&gt;="&amp;IF(R107="On Hold",S107,Controls!$B$5),$N$7:$N$500,"&lt;="&amp;EDATE(D107,-$B$4)))</f>
        <v/>
      </c>
      <c r="H107" s="108" t="str">
        <f t="shared" si="17"/>
        <v/>
      </c>
      <c r="I107" s="147" t="str">
        <f t="shared" si="16"/>
        <v/>
      </c>
      <c r="J107" s="148" t="str">
        <f>IF(D107="","",(YEAR(EDATE(D107,-$B$4))-YEAR(Controls!$B$5))*12+MONTH(EDATE(D107,-$B$4))-MONTH(Controls!$B$5))</f>
        <v/>
      </c>
      <c r="K107" s="149" t="str">
        <f t="array" ref="K107">IF(F107="","",IFERROR(INDEX($N$7:$N$500,MATCH(TRUE(),$P$7:$P$500&gt;=F107,0)),"After Horizon"))</f>
        <v/>
      </c>
      <c r="L107" t="str">
        <f t="shared" si="13"/>
        <v/>
      </c>
      <c r="M107" s="17" t="str">
        <f t="shared" si="14"/>
        <v/>
      </c>
      <c r="N107" s="145">
        <v>49096</v>
      </c>
      <c r="O107" s="108">
        <f>SUMIFS('Planning Engine'!$F:$F,'Planning Engine'!$B:$B,$B$3,'Planning Engine'!$A:$A,N107)</f>
        <v>26616.718819445807</v>
      </c>
      <c r="P107" s="108">
        <f t="shared" si="18"/>
        <v>1388187.5907365843</v>
      </c>
      <c r="Q107" s="146">
        <f>IF(N107&lt;=EDATE(Controls!$B$5,$B$4-1),O107,0)</f>
        <v>0</v>
      </c>
      <c r="R107" t="str" cm="1">
        <f t="array" ref="R107">IF(B107="","",IFERROR(INDEX('Lot Inputs'!$L$5:$L$507,MATCH(1,('Lot Inputs'!$A$5:$A$507=$B$3)*('Lot Inputs'!$B$5:$B$507=B107),0)),""))</f>
        <v/>
      </c>
      <c r="S107" s="205" t="str" cm="1">
        <f t="array" ref="S107">IF(B107="","",IFERROR(INDEX('Lot Inputs'!$M$5:$M$507,MATCH(1,('Lot Inputs'!$A$5:$A$507=$B$3)*('Lot Inputs'!$B$5:$B$507=B107),0)),""))</f>
        <v/>
      </c>
      <c r="T107" s="459" t="str">
        <f ca="1">IF(S107="","",S107-TODAY())</f>
        <v/>
      </c>
    </row>
    <row r="108" spans="1:20" ht="14" customHeight="1" x14ac:dyDescent="0.35">
      <c r="A108" s="142">
        <v>102</v>
      </c>
      <c r="B108" s="143" t="str" cm="1">
        <f t="array" ref="B108">IFERROR(INDEX('Lot Inputs'!$B$5:$B$507,MATCH(_xlfn.AGGREGATE(15,6,('Lot Inputs'!$J$5:$J$507)/(('Lot Inputs'!$A$5:$A$507=$B$3)*('Lot Inputs'!$H$5:$H$507&gt;0)),ROW()-6),IF('Lot Inputs'!$A$5:$A$507=$B$3,'Lot Inputs'!$J$5:$J$507),0)),"")</f>
        <v/>
      </c>
      <c r="C108" s="144" t="str">
        <f t="shared" si="11"/>
        <v/>
      </c>
      <c r="D108" s="145" t="str" cm="1">
        <f t="array" ref="D108">IF(B108="","",INDEX('Lot Inputs'!$E$5:$E$507,MATCH(1,('Lot Inputs'!$A$5:$A$507=$B$3)*('Lot Inputs'!$B$5:$B$507=B108),0)))</f>
        <v/>
      </c>
      <c r="E108" s="146" t="str" cm="1">
        <f t="array" ref="E108">IF(B108="","",INDEX('Lot Inputs'!$H$5:$H$507,MATCH(1,('Lot Inputs'!$A$5:$A$507=$B$3)*('Lot Inputs'!$B$5:$B$507=B108),0)))</f>
        <v/>
      </c>
      <c r="F108" s="108" t="str">
        <f>IF(E108="","",IF(R108="On Hold",0,E108)+IF(F107="",0,F107))</f>
        <v/>
      </c>
      <c r="G108" s="108" t="str">
        <f>IF(D108="","",SUMIFS($O$7:$O$500,$N$7:$N$500,"&gt;="&amp;IF(R108="On Hold",S108,Controls!$B$5),$N$7:$N$500,"&lt;="&amp;EDATE(D108,-$B$4)))</f>
        <v/>
      </c>
      <c r="H108" s="108" t="str">
        <f t="shared" si="17"/>
        <v/>
      </c>
      <c r="I108" s="147" t="str">
        <f t="shared" si="16"/>
        <v/>
      </c>
      <c r="J108" s="148" t="str">
        <f>IF(D108="","",(YEAR(EDATE(D108,-$B$4))-YEAR(Controls!$B$5))*12+MONTH(EDATE(D108,-$B$4))-MONTH(Controls!$B$5))</f>
        <v/>
      </c>
      <c r="K108" s="149" t="str">
        <f t="array" ref="K108">IF(F108="","",IFERROR(INDEX($N$7:$N$500,MATCH(TRUE(),$P$7:$P$500&gt;=F108,0)),"After Horizon"))</f>
        <v/>
      </c>
      <c r="L108" t="str">
        <f t="shared" si="13"/>
        <v/>
      </c>
      <c r="M108" s="17" t="str">
        <f t="shared" si="14"/>
        <v/>
      </c>
      <c r="N108" s="145">
        <v>49126</v>
      </c>
      <c r="O108" s="108">
        <f>SUMIFS('Planning Engine'!$F:$F,'Planning Engine'!$B:$B,$B$3,'Planning Engine'!$A:$A,N108)</f>
        <v>23339.873443094217</v>
      </c>
      <c r="P108" s="108">
        <f t="shared" si="18"/>
        <v>1411527.4641796786</v>
      </c>
      <c r="Q108" s="146">
        <f>IF(N108&lt;=EDATE(Controls!$B$5,$B$4-1),O108,0)</f>
        <v>0</v>
      </c>
      <c r="R108" t="str" cm="1">
        <f t="array" ref="R108">IF(B108="","",IFERROR(INDEX('Lot Inputs'!$L$5:$L$507,MATCH(1,('Lot Inputs'!$A$5:$A$507=$B$3)*('Lot Inputs'!$B$5:$B$507=B108),0)),""))</f>
        <v/>
      </c>
      <c r="S108" s="205" t="str" cm="1">
        <f t="array" ref="S108">IF(B108="","",IFERROR(INDEX('Lot Inputs'!$M$5:$M$507,MATCH(1,('Lot Inputs'!$A$5:$A$507=$B$3)*('Lot Inputs'!$B$5:$B$507=B108),0)),""))</f>
        <v/>
      </c>
      <c r="T108" s="459" t="str">
        <f ca="1">IF(S108="","",S108-TODAY())</f>
        <v/>
      </c>
    </row>
    <row r="109" spans="1:20" ht="14" customHeight="1" x14ac:dyDescent="0.35">
      <c r="A109" s="142">
        <v>103</v>
      </c>
      <c r="B109" s="143" t="str" cm="1">
        <f t="array" ref="B109">IFERROR(INDEX('Lot Inputs'!$B$5:$B$507,MATCH(_xlfn.AGGREGATE(15,6,('Lot Inputs'!$J$5:$J$507)/(('Lot Inputs'!$A$5:$A$507=$B$3)*('Lot Inputs'!$H$5:$H$507&gt;0)),ROW()-6),IF('Lot Inputs'!$A$5:$A$507=$B$3,'Lot Inputs'!$J$5:$J$507),0)),"")</f>
        <v/>
      </c>
      <c r="C109" s="144" t="str">
        <f t="shared" si="11"/>
        <v/>
      </c>
      <c r="D109" s="145" t="str" cm="1">
        <f t="array" ref="D109">IF(B109="","",INDEX('Lot Inputs'!$E$5:$E$507,MATCH(1,('Lot Inputs'!$A$5:$A$507=$B$3)*('Lot Inputs'!$B$5:$B$507=B109),0)))</f>
        <v/>
      </c>
      <c r="E109" s="146" t="str" cm="1">
        <f t="array" ref="E109">IF(B109="","",INDEX('Lot Inputs'!$H$5:$H$507,MATCH(1,('Lot Inputs'!$A$5:$A$507=$B$3)*('Lot Inputs'!$B$5:$B$507=B109),0)))</f>
        <v/>
      </c>
      <c r="F109" s="108" t="str">
        <f>IF(E109="","",IF(R109="On Hold",0,E109)+IF(F108="",0,F108))</f>
        <v/>
      </c>
      <c r="G109" s="108" t="str">
        <f>IF(D109="","",SUMIFS($O$7:$O$500,$N$7:$N$500,"&gt;="&amp;IF(R109="On Hold",S109,Controls!$B$5),$N$7:$N$500,"&lt;="&amp;EDATE(D109,-$B$4)))</f>
        <v/>
      </c>
      <c r="H109" s="108" t="str">
        <f t="shared" si="17"/>
        <v/>
      </c>
      <c r="I109" s="147" t="str">
        <f t="shared" si="16"/>
        <v/>
      </c>
      <c r="J109" s="148" t="str">
        <f>IF(D109="","",(YEAR(EDATE(D109,-$B$4))-YEAR(Controls!$B$5))*12+MONTH(EDATE(D109,-$B$4))-MONTH(Controls!$B$5))</f>
        <v/>
      </c>
      <c r="K109" s="149" t="str">
        <f t="array" ref="K109">IF(F109="","",IFERROR(INDEX($N$7:$N$500,MATCH(TRUE(),$P$7:$P$500&gt;=F109,0)),"After Horizon"))</f>
        <v/>
      </c>
      <c r="L109" t="str">
        <f t="shared" si="13"/>
        <v/>
      </c>
      <c r="M109" s="17" t="str">
        <f t="shared" si="14"/>
        <v/>
      </c>
      <c r="N109" s="145">
        <v>49157</v>
      </c>
      <c r="O109" s="108">
        <f>SUMIFS('Planning Engine'!$F:$F,'Planning Engine'!$B:$B,$B$3,'Planning Engine'!$A:$A,N109)</f>
        <v>21998.918490728127</v>
      </c>
      <c r="P109" s="108">
        <f t="shared" si="18"/>
        <v>1433526.3826704067</v>
      </c>
      <c r="Q109" s="146">
        <f>IF(N109&lt;=EDATE(Controls!$B$5,$B$4-1),O109,0)</f>
        <v>0</v>
      </c>
      <c r="R109" t="str" cm="1">
        <f t="array" ref="R109">IF(B109="","",IFERROR(INDEX('Lot Inputs'!$L$5:$L$507,MATCH(1,('Lot Inputs'!$A$5:$A$507=$B$3)*('Lot Inputs'!$B$5:$B$507=B109),0)),""))</f>
        <v/>
      </c>
      <c r="S109" s="205" t="str" cm="1">
        <f t="array" ref="S109">IF(B109="","",IFERROR(INDEX('Lot Inputs'!$M$5:$M$507,MATCH(1,('Lot Inputs'!$A$5:$A$507=$B$3)*('Lot Inputs'!$B$5:$B$507=B109),0)),""))</f>
        <v/>
      </c>
      <c r="T109" s="459" t="str">
        <f ca="1">IF(S109="","",S109-TODAY())</f>
        <v/>
      </c>
    </row>
    <row r="110" spans="1:20" ht="14" customHeight="1" x14ac:dyDescent="0.35">
      <c r="A110" s="142">
        <v>104</v>
      </c>
      <c r="B110" s="143" t="str" cm="1">
        <f t="array" ref="B110">IFERROR(INDEX('Lot Inputs'!$B$5:$B$507,MATCH(_xlfn.AGGREGATE(15,6,('Lot Inputs'!$J$5:$J$507)/(('Lot Inputs'!$A$5:$A$507=$B$3)*('Lot Inputs'!$H$5:$H$507&gt;0)),ROW()-6),IF('Lot Inputs'!$A$5:$A$507=$B$3,'Lot Inputs'!$J$5:$J$507),0)),"")</f>
        <v/>
      </c>
      <c r="C110" s="144" t="str">
        <f t="shared" si="11"/>
        <v/>
      </c>
      <c r="D110" s="145" t="str" cm="1">
        <f t="array" ref="D110">IF(B110="","",INDEX('Lot Inputs'!$E$5:$E$507,MATCH(1,('Lot Inputs'!$A$5:$A$507=$B$3)*('Lot Inputs'!$B$5:$B$507=B110),0)))</f>
        <v/>
      </c>
      <c r="E110" s="146" t="str" cm="1">
        <f t="array" ref="E110">IF(B110="","",INDEX('Lot Inputs'!$H$5:$H$507,MATCH(1,('Lot Inputs'!$A$5:$A$507=$B$3)*('Lot Inputs'!$B$5:$B$507=B110),0)))</f>
        <v/>
      </c>
      <c r="F110" s="108" t="str">
        <f>IF(E110="","",IF(R110="On Hold",0,E110)+IF(F109="",0,F109))</f>
        <v/>
      </c>
      <c r="G110" s="108" t="str">
        <f>IF(D110="","",SUMIFS($O$7:$O$500,$N$7:$N$500,"&gt;="&amp;IF(R110="On Hold",S110,Controls!$B$5),$N$7:$N$500,"&lt;="&amp;EDATE(D110,-$B$4)))</f>
        <v/>
      </c>
      <c r="H110" s="108" t="str">
        <f t="shared" si="17"/>
        <v/>
      </c>
      <c r="I110" s="147" t="str">
        <f t="shared" si="16"/>
        <v/>
      </c>
      <c r="J110" s="148" t="str">
        <f>IF(D110="","",(YEAR(EDATE(D110,-$B$4))-YEAR(Controls!$B$5))*12+MONTH(EDATE(D110,-$B$4))-MONTH(Controls!$B$5))</f>
        <v/>
      </c>
      <c r="K110" s="149" t="str">
        <f t="array" ref="K110">IF(F110="","",IFERROR(INDEX($N$7:$N$500,MATCH(TRUE(),$P$7:$P$500&gt;=F110,0)),"After Horizon"))</f>
        <v/>
      </c>
      <c r="L110" t="str">
        <f t="shared" si="13"/>
        <v/>
      </c>
      <c r="M110" s="17" t="str">
        <f t="shared" si="14"/>
        <v/>
      </c>
      <c r="N110" s="145">
        <v>49188</v>
      </c>
      <c r="O110" s="108">
        <f>SUMIFS('Planning Engine'!$F:$F,'Planning Engine'!$B:$B,$B$3,'Planning Engine'!$A:$A,N110)</f>
        <v>28851.325819146532</v>
      </c>
      <c r="P110" s="108">
        <f t="shared" si="18"/>
        <v>1462377.7084895533</v>
      </c>
      <c r="Q110" s="146">
        <f>IF(N110&lt;=EDATE(Controls!$B$5,$B$4-1),O110,0)</f>
        <v>0</v>
      </c>
      <c r="R110" t="str" cm="1">
        <f t="array" ref="R110">IF(B110="","",IFERROR(INDEX('Lot Inputs'!$L$5:$L$507,MATCH(1,('Lot Inputs'!$A$5:$A$507=$B$3)*('Lot Inputs'!$B$5:$B$507=B110),0)),""))</f>
        <v/>
      </c>
      <c r="S110" s="205" t="str" cm="1">
        <f t="array" ref="S110">IF(B110="","",IFERROR(INDEX('Lot Inputs'!$M$5:$M$507,MATCH(1,('Lot Inputs'!$A$5:$A$507=$B$3)*('Lot Inputs'!$B$5:$B$507=B110),0)),""))</f>
        <v/>
      </c>
      <c r="T110" s="459" t="str">
        <f ca="1">IF(S110="","",S110-TODAY())</f>
        <v/>
      </c>
    </row>
    <row r="111" spans="1:20" ht="14" customHeight="1" x14ac:dyDescent="0.35">
      <c r="A111" s="142">
        <v>105</v>
      </c>
      <c r="B111" s="143" t="str" cm="1">
        <f t="array" ref="B111">IFERROR(INDEX('Lot Inputs'!$B$5:$B$507,MATCH(_xlfn.AGGREGATE(15,6,('Lot Inputs'!$J$5:$J$507)/(('Lot Inputs'!$A$5:$A$507=$B$3)*('Lot Inputs'!$H$5:$H$507&gt;0)),ROW()-6),IF('Lot Inputs'!$A$5:$A$507=$B$3,'Lot Inputs'!$J$5:$J$507),0)),"")</f>
        <v/>
      </c>
      <c r="C111" s="144" t="str">
        <f t="shared" si="11"/>
        <v/>
      </c>
      <c r="D111" s="145" t="str" cm="1">
        <f t="array" ref="D111">IF(B111="","",INDEX('Lot Inputs'!$E$5:$E$507,MATCH(1,('Lot Inputs'!$A$5:$A$507=$B$3)*('Lot Inputs'!$B$5:$B$507=B111),0)))</f>
        <v/>
      </c>
      <c r="E111" s="146" t="str" cm="1">
        <f t="array" ref="E111">IF(B111="","",INDEX('Lot Inputs'!$H$5:$H$507,MATCH(1,('Lot Inputs'!$A$5:$A$507=$B$3)*('Lot Inputs'!$B$5:$B$507=B111),0)))</f>
        <v/>
      </c>
      <c r="F111" s="108" t="str">
        <f>IF(E111="","",IF(R111="On Hold",0,E111)+IF(F110="",0,F110))</f>
        <v/>
      </c>
      <c r="G111" s="108" t="str">
        <f>IF(D111="","",SUMIFS($O$7:$O$500,$N$7:$N$500,"&gt;="&amp;IF(R111="On Hold",S111,Controls!$B$5),$N$7:$N$500,"&lt;="&amp;EDATE(D111,-$B$4)))</f>
        <v/>
      </c>
      <c r="H111" s="108" t="str">
        <f t="shared" si="17"/>
        <v/>
      </c>
      <c r="I111" s="147" t="str">
        <f t="shared" si="16"/>
        <v/>
      </c>
      <c r="J111" s="148" t="str">
        <f>IF(D111="","",(YEAR(EDATE(D111,-$B$4))-YEAR(Controls!$B$5))*12+MONTH(EDATE(D111,-$B$4))-MONTH(Controls!$B$5))</f>
        <v/>
      </c>
      <c r="K111" s="149" t="str">
        <f t="array" ref="K111">IF(F111="","",IFERROR(INDEX($N$7:$N$500,MATCH(TRUE(),$P$7:$P$500&gt;=F111,0)),"After Horizon"))</f>
        <v/>
      </c>
      <c r="L111" t="str">
        <f t="shared" si="13"/>
        <v/>
      </c>
      <c r="M111" s="17" t="str">
        <f t="shared" si="14"/>
        <v/>
      </c>
      <c r="N111" s="145">
        <v>49218</v>
      </c>
      <c r="O111" s="108">
        <f>SUMIFS('Planning Engine'!$F:$F,'Planning Engine'!$B:$B,$B$3,'Planning Engine'!$A:$A,N111)</f>
        <v>20792.650017376982</v>
      </c>
      <c r="P111" s="108">
        <f t="shared" si="18"/>
        <v>1483170.3585069303</v>
      </c>
      <c r="Q111" s="146">
        <f>IF(N111&lt;=EDATE(Controls!$B$5,$B$4-1),O111,0)</f>
        <v>0</v>
      </c>
      <c r="R111" t="str" cm="1">
        <f t="array" ref="R111">IF(B111="","",IFERROR(INDEX('Lot Inputs'!$L$5:$L$507,MATCH(1,('Lot Inputs'!$A$5:$A$507=$B$3)*('Lot Inputs'!$B$5:$B$507=B111),0)),""))</f>
        <v/>
      </c>
      <c r="S111" s="205" t="str" cm="1">
        <f t="array" ref="S111">IF(B111="","",IFERROR(INDEX('Lot Inputs'!$M$5:$M$507,MATCH(1,('Lot Inputs'!$A$5:$A$507=$B$3)*('Lot Inputs'!$B$5:$B$507=B111),0)),""))</f>
        <v/>
      </c>
      <c r="T111" s="459" t="str">
        <f ca="1">IF(S111="","",S111-TODAY())</f>
        <v/>
      </c>
    </row>
    <row r="112" spans="1:20" ht="14" customHeight="1" x14ac:dyDescent="0.35">
      <c r="A112" s="142">
        <v>106</v>
      </c>
      <c r="B112" s="143" t="str" cm="1">
        <f t="array" ref="B112">IFERROR(INDEX('Lot Inputs'!$B$5:$B$507,MATCH(_xlfn.AGGREGATE(15,6,('Lot Inputs'!$J$5:$J$507)/(('Lot Inputs'!$A$5:$A$507=$B$3)*('Lot Inputs'!$H$5:$H$507&gt;0)),ROW()-6),IF('Lot Inputs'!$A$5:$A$507=$B$3,'Lot Inputs'!$J$5:$J$507),0)),"")</f>
        <v/>
      </c>
      <c r="C112" s="144" t="str">
        <f t="shared" si="11"/>
        <v/>
      </c>
      <c r="D112" s="145" t="str" cm="1">
        <f t="array" ref="D112">IF(B112="","",INDEX('Lot Inputs'!$E$5:$E$507,MATCH(1,('Lot Inputs'!$A$5:$A$507=$B$3)*('Lot Inputs'!$B$5:$B$507=B112),0)))</f>
        <v/>
      </c>
      <c r="E112" s="146" t="str" cm="1">
        <f t="array" ref="E112">IF(B112="","",INDEX('Lot Inputs'!$H$5:$H$507,MATCH(1,('Lot Inputs'!$A$5:$A$507=$B$3)*('Lot Inputs'!$B$5:$B$507=B112),0)))</f>
        <v/>
      </c>
      <c r="F112" s="108" t="str">
        <f>IF(E112="","",IF(R112="On Hold",0,E112)+IF(F111="",0,F111))</f>
        <v/>
      </c>
      <c r="G112" s="108" t="str">
        <f>IF(D112="","",SUMIFS($O$7:$O$500,$N$7:$N$500,"&gt;="&amp;IF(R112="On Hold",S112,Controls!$B$5),$N$7:$N$500,"&lt;="&amp;EDATE(D112,-$B$4)))</f>
        <v/>
      </c>
      <c r="H112" s="108" t="str">
        <f t="shared" si="17"/>
        <v/>
      </c>
      <c r="I112" s="147" t="str">
        <f t="shared" si="16"/>
        <v/>
      </c>
      <c r="J112" s="148" t="str">
        <f>IF(D112="","",(YEAR(EDATE(D112,-$B$4))-YEAR(Controls!$B$5))*12+MONTH(EDATE(D112,-$B$4))-MONTH(Controls!$B$5))</f>
        <v/>
      </c>
      <c r="K112" s="149" t="str">
        <f t="array" ref="K112">IF(F112="","",IFERROR(INDEX($N$7:$N$500,MATCH(TRUE(),$P$7:$P$500&gt;=F112,0)),"After Horizon"))</f>
        <v/>
      </c>
      <c r="L112" t="str">
        <f t="shared" si="13"/>
        <v/>
      </c>
      <c r="M112" s="17" t="str">
        <f t="shared" si="14"/>
        <v/>
      </c>
      <c r="N112" s="145">
        <v>49249</v>
      </c>
      <c r="O112" s="108">
        <f>SUMIFS('Planning Engine'!$F:$F,'Planning Engine'!$B:$B,$B$3,'Planning Engine'!$A:$A,N112)</f>
        <v>24867.081232876804</v>
      </c>
      <c r="P112" s="108">
        <f t="shared" si="18"/>
        <v>1508037.439739807</v>
      </c>
      <c r="Q112" s="146">
        <f>IF(N112&lt;=EDATE(Controls!$B$5,$B$4-1),O112,0)</f>
        <v>0</v>
      </c>
      <c r="R112" t="str" cm="1">
        <f t="array" ref="R112">IF(B112="","",IFERROR(INDEX('Lot Inputs'!$L$5:$L$507,MATCH(1,('Lot Inputs'!$A$5:$A$507=$B$3)*('Lot Inputs'!$B$5:$B$507=B112),0)),""))</f>
        <v/>
      </c>
      <c r="S112" s="205" t="str" cm="1">
        <f t="array" ref="S112">IF(B112="","",IFERROR(INDEX('Lot Inputs'!$M$5:$M$507,MATCH(1,('Lot Inputs'!$A$5:$A$507=$B$3)*('Lot Inputs'!$B$5:$B$507=B112),0)),""))</f>
        <v/>
      </c>
      <c r="T112" s="459" t="str">
        <f ca="1">IF(S112="","",S112-TODAY())</f>
        <v/>
      </c>
    </row>
    <row r="113" spans="1:20" ht="14" customHeight="1" x14ac:dyDescent="0.35">
      <c r="A113" s="142">
        <v>107</v>
      </c>
      <c r="B113" s="143" t="str" cm="1">
        <f t="array" ref="B113">IFERROR(INDEX('Lot Inputs'!$B$5:$B$507,MATCH(_xlfn.AGGREGATE(15,6,('Lot Inputs'!$J$5:$J$507)/(('Lot Inputs'!$A$5:$A$507=$B$3)*('Lot Inputs'!$H$5:$H$507&gt;0)),ROW()-6),IF('Lot Inputs'!$A$5:$A$507=$B$3,'Lot Inputs'!$J$5:$J$507),0)),"")</f>
        <v/>
      </c>
      <c r="C113" s="144" t="str">
        <f t="shared" si="11"/>
        <v/>
      </c>
      <c r="D113" s="145" t="str" cm="1">
        <f t="array" ref="D113">IF(B113="","",INDEX('Lot Inputs'!$E$5:$E$507,MATCH(1,('Lot Inputs'!$A$5:$A$507=$B$3)*('Lot Inputs'!$B$5:$B$507=B113),0)))</f>
        <v/>
      </c>
      <c r="E113" s="146" t="str" cm="1">
        <f t="array" ref="E113">IF(B113="","",INDEX('Lot Inputs'!$H$5:$H$507,MATCH(1,('Lot Inputs'!$A$5:$A$507=$B$3)*('Lot Inputs'!$B$5:$B$507=B113),0)))</f>
        <v/>
      </c>
      <c r="F113" s="108" t="str">
        <f>IF(E113="","",IF(R113="On Hold",0,E113)+IF(F112="",0,F112))</f>
        <v/>
      </c>
      <c r="G113" s="108" t="str">
        <f>IF(D113="","",SUMIFS($O$7:$O$500,$N$7:$N$500,"&gt;="&amp;IF(R113="On Hold",S113,Controls!$B$5),$N$7:$N$500,"&lt;="&amp;EDATE(D113,-$B$4)))</f>
        <v/>
      </c>
      <c r="H113" s="108" t="str">
        <f t="shared" si="17"/>
        <v/>
      </c>
      <c r="I113" s="147" t="str">
        <f t="shared" si="16"/>
        <v/>
      </c>
      <c r="J113" s="148" t="str">
        <f>IF(D113="","",(YEAR(EDATE(D113,-$B$4))-YEAR(Controls!$B$5))*12+MONTH(EDATE(D113,-$B$4))-MONTH(Controls!$B$5))</f>
        <v/>
      </c>
      <c r="K113" s="149" t="str">
        <f t="array" ref="K113">IF(F113="","",IFERROR(INDEX($N$7:$N$500,MATCH(TRUE(),$P$7:$P$500&gt;=F113,0)),"After Horizon"))</f>
        <v/>
      </c>
      <c r="L113" t="str">
        <f t="shared" si="13"/>
        <v/>
      </c>
      <c r="M113" s="17" t="str">
        <f t="shared" si="14"/>
        <v/>
      </c>
      <c r="N113" s="145">
        <v>49279</v>
      </c>
      <c r="O113" s="108">
        <f>SUMIFS('Planning Engine'!$F:$F,'Planning Engine'!$B:$B,$B$3,'Planning Engine'!$A:$A,N113)</f>
        <v>22125.328846607801</v>
      </c>
      <c r="P113" s="108">
        <f t="shared" si="18"/>
        <v>1530162.7685864149</v>
      </c>
      <c r="Q113" s="146">
        <f>IF(N113&lt;=EDATE(Controls!$B$5,$B$4-1),O113,0)</f>
        <v>0</v>
      </c>
      <c r="R113" t="str" cm="1">
        <f t="array" ref="R113">IF(B113="","",IFERROR(INDEX('Lot Inputs'!$L$5:$L$507,MATCH(1,('Lot Inputs'!$A$5:$A$507=$B$3)*('Lot Inputs'!$B$5:$B$507=B113),0)),""))</f>
        <v/>
      </c>
      <c r="S113" s="205" t="str" cm="1">
        <f t="array" ref="S113">IF(B113="","",IFERROR(INDEX('Lot Inputs'!$M$5:$M$507,MATCH(1,('Lot Inputs'!$A$5:$A$507=$B$3)*('Lot Inputs'!$B$5:$B$507=B113),0)),""))</f>
        <v/>
      </c>
      <c r="T113" s="459" t="str">
        <f ca="1">IF(S113="","",S113-TODAY())</f>
        <v/>
      </c>
    </row>
    <row r="114" spans="1:20" ht="14" customHeight="1" x14ac:dyDescent="0.35">
      <c r="A114" s="142">
        <v>108</v>
      </c>
      <c r="B114" s="143" t="str" cm="1">
        <f t="array" ref="B114">IFERROR(INDEX('Lot Inputs'!$B$5:$B$507,MATCH(_xlfn.AGGREGATE(15,6,('Lot Inputs'!$J$5:$J$507)/(('Lot Inputs'!$A$5:$A$507=$B$3)*('Lot Inputs'!$H$5:$H$507&gt;0)),ROW()-6),IF('Lot Inputs'!$A$5:$A$507=$B$3,'Lot Inputs'!$J$5:$J$507),0)),"")</f>
        <v/>
      </c>
      <c r="C114" s="144" t="str">
        <f t="shared" si="11"/>
        <v/>
      </c>
      <c r="D114" s="145" t="str" cm="1">
        <f t="array" ref="D114">IF(B114="","",INDEX('Lot Inputs'!$E$5:$E$507,MATCH(1,('Lot Inputs'!$A$5:$A$507=$B$3)*('Lot Inputs'!$B$5:$B$507=B114),0)))</f>
        <v/>
      </c>
      <c r="E114" s="146" t="str" cm="1">
        <f t="array" ref="E114">IF(B114="","",INDEX('Lot Inputs'!$H$5:$H$507,MATCH(1,('Lot Inputs'!$A$5:$A$507=$B$3)*('Lot Inputs'!$B$5:$B$507=B114),0)))</f>
        <v/>
      </c>
      <c r="F114" s="108" t="str">
        <f>IF(E114="","",IF(R114="On Hold",0,E114)+IF(F113="",0,F113))</f>
        <v/>
      </c>
      <c r="G114" s="108" t="str">
        <f>IF(D114="","",SUMIFS($O$7:$O$500,$N$7:$N$500,"&gt;="&amp;IF(R114="On Hold",S114,Controls!$B$5),$N$7:$N$500,"&lt;="&amp;EDATE(D114,-$B$4)))</f>
        <v/>
      </c>
      <c r="H114" s="108" t="str">
        <f t="shared" si="17"/>
        <v/>
      </c>
      <c r="I114" s="147" t="str">
        <f t="shared" si="16"/>
        <v/>
      </c>
      <c r="J114" s="148" t="str">
        <f>IF(D114="","",(YEAR(EDATE(D114,-$B$4))-YEAR(Controls!$B$5))*12+MONTH(EDATE(D114,-$B$4))-MONTH(Controls!$B$5))</f>
        <v/>
      </c>
      <c r="K114" s="149" t="str">
        <f t="array" ref="K114">IF(F114="","",IFERROR(INDEX($N$7:$N$500,MATCH(TRUE(),$P$7:$P$500&gt;=F114,0)),"After Horizon"))</f>
        <v/>
      </c>
      <c r="L114" t="str">
        <f t="shared" si="13"/>
        <v/>
      </c>
      <c r="M114" s="17" t="str">
        <f t="shared" si="14"/>
        <v/>
      </c>
      <c r="N114" s="145">
        <v>49310</v>
      </c>
      <c r="O114" s="108">
        <f>SUMIFS('Planning Engine'!$F:$F,'Planning Engine'!$B:$B,$B$3,'Planning Engine'!$A:$A,N114)</f>
        <v>22723.353871987561</v>
      </c>
      <c r="P114" s="108">
        <f t="shared" si="18"/>
        <v>1552886.1224584025</v>
      </c>
      <c r="Q114" s="146">
        <f>IF(N114&lt;=EDATE(Controls!$B$5,$B$4-1),O114,0)</f>
        <v>0</v>
      </c>
      <c r="R114" t="str" cm="1">
        <f t="array" ref="R114">IF(B114="","",IFERROR(INDEX('Lot Inputs'!$L$5:$L$507,MATCH(1,('Lot Inputs'!$A$5:$A$507=$B$3)*('Lot Inputs'!$B$5:$B$507=B114),0)),""))</f>
        <v/>
      </c>
      <c r="S114" s="205" t="str" cm="1">
        <f t="array" ref="S114">IF(B114="","",IFERROR(INDEX('Lot Inputs'!$M$5:$M$507,MATCH(1,('Lot Inputs'!$A$5:$A$507=$B$3)*('Lot Inputs'!$B$5:$B$507=B114),0)),""))</f>
        <v/>
      </c>
      <c r="T114" s="459" t="str">
        <f ca="1">IF(S114="","",S114-TODAY())</f>
        <v/>
      </c>
    </row>
    <row r="115" spans="1:20" ht="14" customHeight="1" x14ac:dyDescent="0.35">
      <c r="A115" s="142">
        <v>109</v>
      </c>
      <c r="B115" s="143" t="str" cm="1">
        <f t="array" ref="B115">IFERROR(INDEX('Lot Inputs'!$B$5:$B$507,MATCH(_xlfn.AGGREGATE(15,6,('Lot Inputs'!$J$5:$J$507)/(('Lot Inputs'!$A$5:$A$507=$B$3)*('Lot Inputs'!$H$5:$H$507&gt;0)),ROW()-6),IF('Lot Inputs'!$A$5:$A$507=$B$3,'Lot Inputs'!$J$5:$J$507),0)),"")</f>
        <v/>
      </c>
      <c r="C115" s="144" t="str">
        <f t="shared" si="11"/>
        <v/>
      </c>
      <c r="D115" s="145" t="str" cm="1">
        <f t="array" ref="D115">IF(B115="","",INDEX('Lot Inputs'!$E$5:$E$507,MATCH(1,('Lot Inputs'!$A$5:$A$507=$B$3)*('Lot Inputs'!$B$5:$B$507=B115),0)))</f>
        <v/>
      </c>
      <c r="E115" s="146" t="str" cm="1">
        <f t="array" ref="E115">IF(B115="","",INDEX('Lot Inputs'!$H$5:$H$507,MATCH(1,('Lot Inputs'!$A$5:$A$507=$B$3)*('Lot Inputs'!$B$5:$B$507=B115),0)))</f>
        <v/>
      </c>
      <c r="F115" s="108" t="str">
        <f>IF(E115="","",IF(R115="On Hold",0,E115)+IF(F114="",0,F114))</f>
        <v/>
      </c>
      <c r="G115" s="108" t="str">
        <f>IF(D115="","",SUMIFS($O$7:$O$500,$N$7:$N$500,"&gt;="&amp;IF(R115="On Hold",S115,Controls!$B$5),$N$7:$N$500,"&lt;="&amp;EDATE(D115,-$B$4)))</f>
        <v/>
      </c>
      <c r="H115" s="108" t="str">
        <f t="shared" si="17"/>
        <v/>
      </c>
      <c r="I115" s="147" t="str">
        <f t="shared" si="16"/>
        <v/>
      </c>
      <c r="J115" s="148" t="str">
        <f>IF(D115="","",(YEAR(EDATE(D115,-$B$4))-YEAR(Controls!$B$5))*12+MONTH(EDATE(D115,-$B$4))-MONTH(Controls!$B$5))</f>
        <v/>
      </c>
      <c r="K115" s="149" t="str">
        <f t="array" ref="K115">IF(F115="","",IFERROR(INDEX($N$7:$N$500,MATCH(TRUE(),$P$7:$P$500&gt;=F115,0)),"After Horizon"))</f>
        <v/>
      </c>
      <c r="L115" t="str">
        <f t="shared" si="13"/>
        <v/>
      </c>
      <c r="M115" s="17" t="str">
        <f t="shared" si="14"/>
        <v/>
      </c>
      <c r="N115" s="145">
        <v>49341</v>
      </c>
      <c r="O115" s="108">
        <f>SUMIFS('Planning Engine'!$F:$F,'Planning Engine'!$B:$B,$B$3,'Planning Engine'!$A:$A,N115)</f>
        <v>24696.613027369112</v>
      </c>
      <c r="P115" s="108">
        <f t="shared" si="18"/>
        <v>1577582.7354857717</v>
      </c>
      <c r="Q115" s="146">
        <f>IF(N115&lt;=EDATE(Controls!$B$5,$B$4-1),O115,0)</f>
        <v>0</v>
      </c>
      <c r="R115" t="str" cm="1">
        <f t="array" ref="R115">IF(B115="","",IFERROR(INDEX('Lot Inputs'!$L$5:$L$507,MATCH(1,('Lot Inputs'!$A$5:$A$507=$B$3)*('Lot Inputs'!$B$5:$B$507=B115),0)),""))</f>
        <v/>
      </c>
      <c r="S115" s="205" t="str" cm="1">
        <f t="array" ref="S115">IF(B115="","",IFERROR(INDEX('Lot Inputs'!$M$5:$M$507,MATCH(1,('Lot Inputs'!$A$5:$A$507=$B$3)*('Lot Inputs'!$B$5:$B$507=B115),0)),""))</f>
        <v/>
      </c>
      <c r="T115" s="459" t="str">
        <f ca="1">IF(S115="","",S115-TODAY())</f>
        <v/>
      </c>
    </row>
    <row r="116" spans="1:20" ht="14" customHeight="1" x14ac:dyDescent="0.35">
      <c r="A116" s="142">
        <v>110</v>
      </c>
      <c r="B116" s="143" t="str" cm="1">
        <f t="array" ref="B116">IFERROR(INDEX('Lot Inputs'!$B$5:$B$507,MATCH(_xlfn.AGGREGATE(15,6,('Lot Inputs'!$J$5:$J$507)/(('Lot Inputs'!$A$5:$A$507=$B$3)*('Lot Inputs'!$H$5:$H$507&gt;0)),ROW()-6),IF('Lot Inputs'!$A$5:$A$507=$B$3,'Lot Inputs'!$J$5:$J$507),0)),"")</f>
        <v/>
      </c>
      <c r="C116" s="144" t="str">
        <f t="shared" si="11"/>
        <v/>
      </c>
      <c r="D116" s="145" t="str" cm="1">
        <f t="array" ref="D116">IF(B116="","",INDEX('Lot Inputs'!$E$5:$E$507,MATCH(1,('Lot Inputs'!$A$5:$A$507=$B$3)*('Lot Inputs'!$B$5:$B$507=B116),0)))</f>
        <v/>
      </c>
      <c r="E116" s="146" t="str" cm="1">
        <f t="array" ref="E116">IF(B116="","",INDEX('Lot Inputs'!$H$5:$H$507,MATCH(1,('Lot Inputs'!$A$5:$A$507=$B$3)*('Lot Inputs'!$B$5:$B$507=B116),0)))</f>
        <v/>
      </c>
      <c r="F116" s="108" t="str">
        <f>IF(E116="","",IF(R116="On Hold",0,E116)+IF(F115="",0,F115))</f>
        <v/>
      </c>
      <c r="G116" s="108" t="str">
        <f>IF(D116="","",SUMIFS($O$7:$O$500,$N$7:$N$500,"&gt;="&amp;IF(R116="On Hold",S116,Controls!$B$5),$N$7:$N$500,"&lt;="&amp;EDATE(D116,-$B$4)))</f>
        <v/>
      </c>
      <c r="H116" s="108" t="str">
        <f t="shared" si="17"/>
        <v/>
      </c>
      <c r="I116" s="147" t="str">
        <f t="shared" si="16"/>
        <v/>
      </c>
      <c r="J116" s="148" t="str">
        <f>IF(D116="","",(YEAR(EDATE(D116,-$B$4))-YEAR(Controls!$B$5))*12+MONTH(EDATE(D116,-$B$4))-MONTH(Controls!$B$5))</f>
        <v/>
      </c>
      <c r="K116" s="149" t="str">
        <f t="array" ref="K116">IF(F116="","",IFERROR(INDEX($N$7:$N$500,MATCH(TRUE(),$P$7:$P$500&gt;=F116,0)),"After Horizon"))</f>
        <v/>
      </c>
      <c r="L116" t="str">
        <f t="shared" si="13"/>
        <v/>
      </c>
      <c r="M116" s="17" t="str">
        <f t="shared" si="14"/>
        <v/>
      </c>
      <c r="N116" s="145">
        <v>49369</v>
      </c>
      <c r="O116" s="108">
        <f>SUMIFS('Planning Engine'!$F:$F,'Planning Engine'!$B:$B,$B$3,'Planning Engine'!$A:$A,N116)</f>
        <v>19939.100652745656</v>
      </c>
      <c r="P116" s="108">
        <f t="shared" si="18"/>
        <v>1597521.8361385174</v>
      </c>
      <c r="Q116" s="146">
        <f>IF(N116&lt;=EDATE(Controls!$B$5,$B$4-1),O116,0)</f>
        <v>0</v>
      </c>
      <c r="R116" t="str" cm="1">
        <f t="array" ref="R116">IF(B116="","",IFERROR(INDEX('Lot Inputs'!$L$5:$L$507,MATCH(1,('Lot Inputs'!$A$5:$A$507=$B$3)*('Lot Inputs'!$B$5:$B$507=B116),0)),""))</f>
        <v/>
      </c>
      <c r="S116" s="205" t="str" cm="1">
        <f t="array" ref="S116">IF(B116="","",IFERROR(INDEX('Lot Inputs'!$M$5:$M$507,MATCH(1,('Lot Inputs'!$A$5:$A$507=$B$3)*('Lot Inputs'!$B$5:$B$507=B116),0)),""))</f>
        <v/>
      </c>
      <c r="T116" s="459" t="str">
        <f ca="1">IF(S116="","",S116-TODAY())</f>
        <v/>
      </c>
    </row>
    <row r="117" spans="1:20" ht="14" customHeight="1" x14ac:dyDescent="0.35">
      <c r="A117" s="142">
        <v>111</v>
      </c>
      <c r="B117" s="143" t="str" cm="1">
        <f t="array" ref="B117">IFERROR(INDEX('Lot Inputs'!$B$5:$B$507,MATCH(_xlfn.AGGREGATE(15,6,('Lot Inputs'!$J$5:$J$507)/(('Lot Inputs'!$A$5:$A$507=$B$3)*('Lot Inputs'!$H$5:$H$507&gt;0)),ROW()-6),IF('Lot Inputs'!$A$5:$A$507=$B$3,'Lot Inputs'!$J$5:$J$507),0)),"")</f>
        <v/>
      </c>
      <c r="C117" s="144" t="str">
        <f t="shared" si="11"/>
        <v/>
      </c>
      <c r="D117" s="145" t="str" cm="1">
        <f t="array" ref="D117">IF(B117="","",INDEX('Lot Inputs'!$E$5:$E$507,MATCH(1,('Lot Inputs'!$A$5:$A$507=$B$3)*('Lot Inputs'!$B$5:$B$507=B117),0)))</f>
        <v/>
      </c>
      <c r="E117" s="146" t="str" cm="1">
        <f t="array" ref="E117">IF(B117="","",INDEX('Lot Inputs'!$H$5:$H$507,MATCH(1,('Lot Inputs'!$A$5:$A$507=$B$3)*('Lot Inputs'!$B$5:$B$507=B117),0)))</f>
        <v/>
      </c>
      <c r="F117" s="108" t="str">
        <f>IF(E117="","",IF(R117="On Hold",0,E117)+IF(F116="",0,F116))</f>
        <v/>
      </c>
      <c r="G117" s="108" t="str">
        <f>IF(D117="","",SUMIFS($O$7:$O$500,$N$7:$N$500,"&gt;="&amp;IF(R117="On Hold",S117,Controls!$B$5),$N$7:$N$500,"&lt;="&amp;EDATE(D117,-$B$4)))</f>
        <v/>
      </c>
      <c r="H117" s="108" t="str">
        <f t="shared" si="17"/>
        <v/>
      </c>
      <c r="I117" s="147" t="str">
        <f t="shared" si="16"/>
        <v/>
      </c>
      <c r="J117" s="148" t="str">
        <f>IF(D117="","",(YEAR(EDATE(D117,-$B$4))-YEAR(Controls!$B$5))*12+MONTH(EDATE(D117,-$B$4))-MONTH(Controls!$B$5))</f>
        <v/>
      </c>
      <c r="K117" s="149" t="str">
        <f t="array" ref="K117">IF(F117="","",IFERROR(INDEX($N$7:$N$500,MATCH(TRUE(),$P$7:$P$500&gt;=F117,0)),"After Horizon"))</f>
        <v/>
      </c>
      <c r="L117" t="str">
        <f t="shared" si="13"/>
        <v/>
      </c>
      <c r="M117" s="17" t="str">
        <f t="shared" si="14"/>
        <v/>
      </c>
      <c r="N117" s="145">
        <v>49400</v>
      </c>
      <c r="O117" s="108">
        <f>SUMIFS('Planning Engine'!$F:$F,'Planning Engine'!$B:$B,$B$3,'Planning Engine'!$A:$A,N117)</f>
        <v>27258.45778069026</v>
      </c>
      <c r="P117" s="108">
        <f t="shared" si="18"/>
        <v>1624780.2939192075</v>
      </c>
      <c r="Q117" s="146">
        <f>IF(N117&lt;=EDATE(Controls!$B$5,$B$4-1),O117,0)</f>
        <v>0</v>
      </c>
      <c r="R117" t="str" cm="1">
        <f t="array" ref="R117">IF(B117="","",IFERROR(INDEX('Lot Inputs'!$L$5:$L$507,MATCH(1,('Lot Inputs'!$A$5:$A$507=$B$3)*('Lot Inputs'!$B$5:$B$507=B117),0)),""))</f>
        <v/>
      </c>
      <c r="S117" s="205" t="str" cm="1">
        <f t="array" ref="S117">IF(B117="","",IFERROR(INDEX('Lot Inputs'!$M$5:$M$507,MATCH(1,('Lot Inputs'!$A$5:$A$507=$B$3)*('Lot Inputs'!$B$5:$B$507=B117),0)),""))</f>
        <v/>
      </c>
      <c r="T117" s="459" t="str">
        <f ca="1">IF(S117="","",S117-TODAY())</f>
        <v/>
      </c>
    </row>
    <row r="118" spans="1:20" ht="14" customHeight="1" x14ac:dyDescent="0.35">
      <c r="A118" s="142">
        <v>112</v>
      </c>
      <c r="B118" s="143" t="str" cm="1">
        <f t="array" ref="B118">IFERROR(INDEX('Lot Inputs'!$B$5:$B$507,MATCH(_xlfn.AGGREGATE(15,6,('Lot Inputs'!$J$5:$J$507)/(('Lot Inputs'!$A$5:$A$507=$B$3)*('Lot Inputs'!$H$5:$H$507&gt;0)),ROW()-6),IF('Lot Inputs'!$A$5:$A$507=$B$3,'Lot Inputs'!$J$5:$J$507),0)),"")</f>
        <v/>
      </c>
      <c r="C118" s="144" t="str">
        <f t="shared" si="11"/>
        <v/>
      </c>
      <c r="D118" s="145" t="str" cm="1">
        <f t="array" ref="D118">IF(B118="","",INDEX('Lot Inputs'!$E$5:$E$507,MATCH(1,('Lot Inputs'!$A$5:$A$507=$B$3)*('Lot Inputs'!$B$5:$B$507=B118),0)))</f>
        <v/>
      </c>
      <c r="E118" s="146" t="str" cm="1">
        <f t="array" ref="E118">IF(B118="","",INDEX('Lot Inputs'!$H$5:$H$507,MATCH(1,('Lot Inputs'!$A$5:$A$507=$B$3)*('Lot Inputs'!$B$5:$B$507=B118),0)))</f>
        <v/>
      </c>
      <c r="F118" s="108" t="str">
        <f>IF(E118="","",IF(R118="On Hold",0,E118)+IF(F117="",0,F117))</f>
        <v/>
      </c>
      <c r="G118" s="108" t="str">
        <f>IF(D118="","",SUMIFS($O$7:$O$500,$N$7:$N$500,"&gt;="&amp;IF(R118="On Hold",S118,Controls!$B$5),$N$7:$N$500,"&lt;="&amp;EDATE(D118,-$B$4)))</f>
        <v/>
      </c>
      <c r="H118" s="108" t="str">
        <f t="shared" si="17"/>
        <v/>
      </c>
      <c r="I118" s="147" t="str">
        <f t="shared" si="16"/>
        <v/>
      </c>
      <c r="J118" s="148" t="str">
        <f>IF(D118="","",(YEAR(EDATE(D118,-$B$4))-YEAR(Controls!$B$5))*12+MONTH(EDATE(D118,-$B$4))-MONTH(Controls!$B$5))</f>
        <v/>
      </c>
      <c r="K118" s="149" t="str">
        <f t="array" ref="K118">IF(F118="","",IFERROR(INDEX($N$7:$N$500,MATCH(TRUE(),$P$7:$P$500&gt;=F118,0)),"After Horizon"))</f>
        <v/>
      </c>
      <c r="L118" t="str">
        <f t="shared" si="13"/>
        <v/>
      </c>
      <c r="M118" s="17" t="str">
        <f t="shared" si="14"/>
        <v/>
      </c>
      <c r="N118" s="145">
        <v>49430</v>
      </c>
      <c r="O118" s="108">
        <f>SUMIFS('Planning Engine'!$F:$F,'Planning Engine'!$B:$B,$B$3,'Planning Engine'!$A:$A,N118)</f>
        <v>23313.619357976706</v>
      </c>
      <c r="P118" s="108">
        <f t="shared" si="18"/>
        <v>1648093.9132771841</v>
      </c>
      <c r="Q118" s="146">
        <f>IF(N118&lt;=EDATE(Controls!$B$5,$B$4-1),O118,0)</f>
        <v>0</v>
      </c>
      <c r="R118" t="str" cm="1">
        <f t="array" ref="R118">IF(B118="","",IFERROR(INDEX('Lot Inputs'!$L$5:$L$507,MATCH(1,('Lot Inputs'!$A$5:$A$507=$B$3)*('Lot Inputs'!$B$5:$B$507=B118),0)),""))</f>
        <v/>
      </c>
      <c r="S118" s="205" t="str" cm="1">
        <f t="array" ref="S118">IF(B118="","",IFERROR(INDEX('Lot Inputs'!$M$5:$M$507,MATCH(1,('Lot Inputs'!$A$5:$A$507=$B$3)*('Lot Inputs'!$B$5:$B$507=B118),0)),""))</f>
        <v/>
      </c>
      <c r="T118" s="459" t="str">
        <f ca="1">IF(S118="","",S118-TODAY())</f>
        <v/>
      </c>
    </row>
    <row r="119" spans="1:20" ht="14" customHeight="1" x14ac:dyDescent="0.35">
      <c r="A119" s="142">
        <v>113</v>
      </c>
      <c r="B119" s="143" t="str" cm="1">
        <f t="array" ref="B119">IFERROR(INDEX('Lot Inputs'!$B$5:$B$507,MATCH(_xlfn.AGGREGATE(15,6,('Lot Inputs'!$J$5:$J$507)/(('Lot Inputs'!$A$5:$A$507=$B$3)*('Lot Inputs'!$H$5:$H$507&gt;0)),ROW()-6),IF('Lot Inputs'!$A$5:$A$507=$B$3,'Lot Inputs'!$J$5:$J$507),0)),"")</f>
        <v/>
      </c>
      <c r="C119" s="144" t="str">
        <f t="shared" si="11"/>
        <v/>
      </c>
      <c r="D119" s="145" t="str" cm="1">
        <f t="array" ref="D119">IF(B119="","",INDEX('Lot Inputs'!$E$5:$E$507,MATCH(1,('Lot Inputs'!$A$5:$A$507=$B$3)*('Lot Inputs'!$B$5:$B$507=B119),0)))</f>
        <v/>
      </c>
      <c r="E119" s="146" t="str" cm="1">
        <f t="array" ref="E119">IF(B119="","",INDEX('Lot Inputs'!$H$5:$H$507,MATCH(1,('Lot Inputs'!$A$5:$A$507=$B$3)*('Lot Inputs'!$B$5:$B$507=B119),0)))</f>
        <v/>
      </c>
      <c r="F119" s="108" t="str">
        <f>IF(E119="","",IF(R119="On Hold",0,E119)+IF(F118="",0,F118))</f>
        <v/>
      </c>
      <c r="G119" s="108" t="str">
        <f>IF(D119="","",SUMIFS($O$7:$O$500,$N$7:$N$500,"&gt;="&amp;IF(R119="On Hold",S119,Controls!$B$5),$N$7:$N$500,"&lt;="&amp;EDATE(D119,-$B$4)))</f>
        <v/>
      </c>
      <c r="H119" s="108" t="str">
        <f t="shared" si="17"/>
        <v/>
      </c>
      <c r="I119" s="147" t="str">
        <f t="shared" si="16"/>
        <v/>
      </c>
      <c r="J119" s="148" t="str">
        <f>IF(D119="","",(YEAR(EDATE(D119,-$B$4))-YEAR(Controls!$B$5))*12+MONTH(EDATE(D119,-$B$4))-MONTH(Controls!$B$5))</f>
        <v/>
      </c>
      <c r="K119" s="149" t="str">
        <f t="array" ref="K119">IF(F119="","",IFERROR(INDEX($N$7:$N$500,MATCH(TRUE(),$P$7:$P$500&gt;=F119,0)),"After Horizon"))</f>
        <v/>
      </c>
      <c r="L119" t="str">
        <f t="shared" si="13"/>
        <v/>
      </c>
      <c r="M119" s="17" t="str">
        <f t="shared" si="14"/>
        <v/>
      </c>
      <c r="N119" s="145">
        <v>49461</v>
      </c>
      <c r="O119" s="108">
        <f>SUMIFS('Planning Engine'!$F:$F,'Planning Engine'!$B:$B,$B$3,'Planning Engine'!$A:$A,N119)</f>
        <v>26137.511185381281</v>
      </c>
      <c r="P119" s="108">
        <f t="shared" si="18"/>
        <v>1674231.4244625655</v>
      </c>
      <c r="Q119" s="146">
        <f>IF(N119&lt;=EDATE(Controls!$B$5,$B$4-1),O119,0)</f>
        <v>0</v>
      </c>
      <c r="R119" t="str" cm="1">
        <f t="array" ref="R119">IF(B119="","",IFERROR(INDEX('Lot Inputs'!$L$5:$L$507,MATCH(1,('Lot Inputs'!$A$5:$A$507=$B$3)*('Lot Inputs'!$B$5:$B$507=B119),0)),""))</f>
        <v/>
      </c>
      <c r="S119" s="205" t="str" cm="1">
        <f t="array" ref="S119">IF(B119="","",IFERROR(INDEX('Lot Inputs'!$M$5:$M$507,MATCH(1,('Lot Inputs'!$A$5:$A$507=$B$3)*('Lot Inputs'!$B$5:$B$507=B119),0)),""))</f>
        <v/>
      </c>
      <c r="T119" s="459" t="str">
        <f ca="1">IF(S119="","",S119-TODAY())</f>
        <v/>
      </c>
    </row>
    <row r="120" spans="1:20" ht="14" customHeight="1" x14ac:dyDescent="0.35">
      <c r="A120" s="142">
        <v>114</v>
      </c>
      <c r="B120" s="143" t="str" cm="1">
        <f t="array" ref="B120">IFERROR(INDEX('Lot Inputs'!$B$5:$B$507,MATCH(_xlfn.AGGREGATE(15,6,('Lot Inputs'!$J$5:$J$507)/(('Lot Inputs'!$A$5:$A$507=$B$3)*('Lot Inputs'!$H$5:$H$507&gt;0)),ROW()-6),IF('Lot Inputs'!$A$5:$A$507=$B$3,'Lot Inputs'!$J$5:$J$507),0)),"")</f>
        <v/>
      </c>
      <c r="C120" s="144" t="str">
        <f t="shared" si="11"/>
        <v/>
      </c>
      <c r="D120" s="145" t="str" cm="1">
        <f t="array" ref="D120">IF(B120="","",INDEX('Lot Inputs'!$E$5:$E$507,MATCH(1,('Lot Inputs'!$A$5:$A$507=$B$3)*('Lot Inputs'!$B$5:$B$507=B120),0)))</f>
        <v/>
      </c>
      <c r="E120" s="146" t="str" cm="1">
        <f t="array" ref="E120">IF(B120="","",INDEX('Lot Inputs'!$H$5:$H$507,MATCH(1,('Lot Inputs'!$A$5:$A$507=$B$3)*('Lot Inputs'!$B$5:$B$507=B120),0)))</f>
        <v/>
      </c>
      <c r="F120" s="108" t="str">
        <f>IF(E120="","",IF(R120="On Hold",0,E120)+IF(F119="",0,F119))</f>
        <v/>
      </c>
      <c r="G120" s="108" t="str">
        <f>IF(D120="","",SUMIFS($O$7:$O$500,$N$7:$N$500,"&gt;="&amp;IF(R120="On Hold",S120,Controls!$B$5),$N$7:$N$500,"&lt;="&amp;EDATE(D120,-$B$4)))</f>
        <v/>
      </c>
      <c r="H120" s="108" t="str">
        <f t="shared" si="17"/>
        <v/>
      </c>
      <c r="I120" s="147" t="str">
        <f t="shared" si="16"/>
        <v/>
      </c>
      <c r="J120" s="148" t="str">
        <f>IF(D120="","",(YEAR(EDATE(D120,-$B$4))-YEAR(Controls!$B$5))*12+MONTH(EDATE(D120,-$B$4))-MONTH(Controls!$B$5))</f>
        <v/>
      </c>
      <c r="K120" s="149" t="str">
        <f t="array" ref="K120">IF(F120="","",IFERROR(INDEX($N$7:$N$500,MATCH(TRUE(),$P$7:$P$500&gt;=F120,0)),"After Horizon"))</f>
        <v/>
      </c>
      <c r="L120" t="str">
        <f t="shared" si="13"/>
        <v/>
      </c>
      <c r="M120" s="17" t="str">
        <f t="shared" si="14"/>
        <v/>
      </c>
      <c r="N120" s="145">
        <v>49491</v>
      </c>
      <c r="O120" s="108">
        <f>SUMIFS('Planning Engine'!$F:$F,'Planning Engine'!$B:$B,$B$3,'Planning Engine'!$A:$A,N120)</f>
        <v>21448.289430601479</v>
      </c>
      <c r="P120" s="108">
        <f t="shared" si="18"/>
        <v>1695679.713893167</v>
      </c>
      <c r="Q120" s="146">
        <f>IF(N120&lt;=EDATE(Controls!$B$5,$B$4-1),O120,0)</f>
        <v>0</v>
      </c>
      <c r="R120" t="str" cm="1">
        <f t="array" ref="R120">IF(B120="","",IFERROR(INDEX('Lot Inputs'!$L$5:$L$507,MATCH(1,('Lot Inputs'!$A$5:$A$507=$B$3)*('Lot Inputs'!$B$5:$B$507=B120),0)),""))</f>
        <v/>
      </c>
      <c r="S120" s="205" t="str" cm="1">
        <f t="array" ref="S120">IF(B120="","",IFERROR(INDEX('Lot Inputs'!$M$5:$M$507,MATCH(1,('Lot Inputs'!$A$5:$A$507=$B$3)*('Lot Inputs'!$B$5:$B$507=B120),0)),""))</f>
        <v/>
      </c>
      <c r="T120" s="459" t="str">
        <f ca="1">IF(S120="","",S120-TODAY())</f>
        <v/>
      </c>
    </row>
    <row r="121" spans="1:20" ht="14" customHeight="1" x14ac:dyDescent="0.35">
      <c r="A121" s="142">
        <v>115</v>
      </c>
      <c r="B121" s="143" t="str" cm="1">
        <f t="array" ref="B121">IFERROR(INDEX('Lot Inputs'!$B$5:$B$507,MATCH(_xlfn.AGGREGATE(15,6,('Lot Inputs'!$J$5:$J$507)/(('Lot Inputs'!$A$5:$A$507=$B$3)*('Lot Inputs'!$H$5:$H$507&gt;0)),ROW()-6),IF('Lot Inputs'!$A$5:$A$507=$B$3,'Lot Inputs'!$J$5:$J$507),0)),"")</f>
        <v/>
      </c>
      <c r="C121" s="144" t="str">
        <f t="shared" si="11"/>
        <v/>
      </c>
      <c r="D121" s="145" t="str" cm="1">
        <f t="array" ref="D121">IF(B121="","",INDEX('Lot Inputs'!$E$5:$E$507,MATCH(1,('Lot Inputs'!$A$5:$A$507=$B$3)*('Lot Inputs'!$B$5:$B$507=B121),0)))</f>
        <v/>
      </c>
      <c r="E121" s="146" t="str" cm="1">
        <f t="array" ref="E121">IF(B121="","",INDEX('Lot Inputs'!$H$5:$H$507,MATCH(1,('Lot Inputs'!$A$5:$A$507=$B$3)*('Lot Inputs'!$B$5:$B$507=B121),0)))</f>
        <v/>
      </c>
      <c r="F121" s="108" t="str">
        <f>IF(E121="","",IF(R121="On Hold",0,E121)+IF(F120="",0,F120))</f>
        <v/>
      </c>
      <c r="G121" s="108" t="str">
        <f>IF(D121="","",SUMIFS($O$7:$O$500,$N$7:$N$500,"&gt;="&amp;IF(R121="On Hold",S121,Controls!$B$5),$N$7:$N$500,"&lt;="&amp;EDATE(D121,-$B$4)))</f>
        <v/>
      </c>
      <c r="H121" s="108" t="str">
        <f t="shared" si="17"/>
        <v/>
      </c>
      <c r="I121" s="147" t="str">
        <f t="shared" si="16"/>
        <v/>
      </c>
      <c r="J121" s="148" t="str">
        <f>IF(D121="","",(YEAR(EDATE(D121,-$B$4))-YEAR(Controls!$B$5))*12+MONTH(EDATE(D121,-$B$4))-MONTH(Controls!$B$5))</f>
        <v/>
      </c>
      <c r="K121" s="149" t="str">
        <f t="array" ref="K121">IF(F121="","",IFERROR(INDEX($N$7:$N$500,MATCH(TRUE(),$P$7:$P$500&gt;=F121,0)),"After Horizon"))</f>
        <v/>
      </c>
      <c r="L121" t="str">
        <f t="shared" si="13"/>
        <v/>
      </c>
      <c r="M121" s="17" t="str">
        <f t="shared" si="14"/>
        <v/>
      </c>
      <c r="N121" s="145">
        <v>49522</v>
      </c>
      <c r="O121" s="108">
        <f>SUMIFS('Planning Engine'!$F:$F,'Planning Engine'!$B:$B,$B$3,'Planning Engine'!$A:$A,N121)</f>
        <v>24823.576438107171</v>
      </c>
      <c r="P121" s="108">
        <f t="shared" si="18"/>
        <v>1720503.290331274</v>
      </c>
      <c r="Q121" s="146">
        <f>IF(N121&lt;=EDATE(Controls!$B$5,$B$4-1),O121,0)</f>
        <v>0</v>
      </c>
      <c r="R121" t="str" cm="1">
        <f t="array" ref="R121">IF(B121="","",IFERROR(INDEX('Lot Inputs'!$L$5:$L$507,MATCH(1,('Lot Inputs'!$A$5:$A$507=$B$3)*('Lot Inputs'!$B$5:$B$507=B121),0)),""))</f>
        <v/>
      </c>
      <c r="S121" s="205" t="str" cm="1">
        <f t="array" ref="S121">IF(B121="","",IFERROR(INDEX('Lot Inputs'!$M$5:$M$507,MATCH(1,('Lot Inputs'!$A$5:$A$507=$B$3)*('Lot Inputs'!$B$5:$B$507=B121),0)),""))</f>
        <v/>
      </c>
      <c r="T121" s="459" t="str">
        <f ca="1">IF(S121="","",S121-TODAY())</f>
        <v/>
      </c>
    </row>
    <row r="122" spans="1:20" ht="14" customHeight="1" x14ac:dyDescent="0.35">
      <c r="A122" s="142">
        <v>116</v>
      </c>
      <c r="B122" s="143" t="str" cm="1">
        <f t="array" ref="B122">IFERROR(INDEX('Lot Inputs'!$B$5:$B$507,MATCH(_xlfn.AGGREGATE(15,6,('Lot Inputs'!$J$5:$J$507)/(('Lot Inputs'!$A$5:$A$507=$B$3)*('Lot Inputs'!$H$5:$H$507&gt;0)),ROW()-6),IF('Lot Inputs'!$A$5:$A$507=$B$3,'Lot Inputs'!$J$5:$J$507),0)),"")</f>
        <v/>
      </c>
      <c r="C122" s="144" t="str">
        <f t="shared" si="11"/>
        <v/>
      </c>
      <c r="D122" s="145" t="str" cm="1">
        <f t="array" ref="D122">IF(B122="","",INDEX('Lot Inputs'!$E$5:$E$507,MATCH(1,('Lot Inputs'!$A$5:$A$507=$B$3)*('Lot Inputs'!$B$5:$B$507=B122),0)))</f>
        <v/>
      </c>
      <c r="E122" s="146" t="str" cm="1">
        <f t="array" ref="E122">IF(B122="","",INDEX('Lot Inputs'!$H$5:$H$507,MATCH(1,('Lot Inputs'!$A$5:$A$507=$B$3)*('Lot Inputs'!$B$5:$B$507=B122),0)))</f>
        <v/>
      </c>
      <c r="F122" s="108" t="str">
        <f>IF(E122="","",IF(R122="On Hold",0,E122)+IF(F121="",0,F121))</f>
        <v/>
      </c>
      <c r="G122" s="108" t="str">
        <f>IF(D122="","",SUMIFS($O$7:$O$500,$N$7:$N$500,"&gt;="&amp;IF(R122="On Hold",S122,Controls!$B$5),$N$7:$N$500,"&lt;="&amp;EDATE(D122,-$B$4)))</f>
        <v/>
      </c>
      <c r="H122" s="108" t="str">
        <f t="shared" si="17"/>
        <v/>
      </c>
      <c r="I122" s="147" t="str">
        <f t="shared" si="16"/>
        <v/>
      </c>
      <c r="J122" s="148" t="str">
        <f>IF(D122="","",(YEAR(EDATE(D122,-$B$4))-YEAR(Controls!$B$5))*12+MONTH(EDATE(D122,-$B$4))-MONTH(Controls!$B$5))</f>
        <v/>
      </c>
      <c r="K122" s="149" t="str">
        <f t="array" ref="K122">IF(F122="","",IFERROR(INDEX($N$7:$N$500,MATCH(TRUE(),$P$7:$P$500&gt;=F122,0)),"After Horizon"))</f>
        <v/>
      </c>
      <c r="L122" t="str">
        <f t="shared" si="13"/>
        <v/>
      </c>
      <c r="M122" s="17" t="str">
        <f t="shared" si="14"/>
        <v/>
      </c>
      <c r="N122" s="145">
        <v>49553</v>
      </c>
      <c r="O122" s="108">
        <f>SUMIFS('Planning Engine'!$F:$F,'Planning Engine'!$B:$B,$B$3,'Planning Engine'!$A:$A,N122)</f>
        <v>28402.449968055222</v>
      </c>
      <c r="P122" s="108">
        <f t="shared" si="18"/>
        <v>1748905.7402993292</v>
      </c>
      <c r="Q122" s="146">
        <f>IF(N122&lt;=EDATE(Controls!$B$5,$B$4-1),O122,0)</f>
        <v>0</v>
      </c>
      <c r="R122" t="str" cm="1">
        <f t="array" ref="R122">IF(B122="","",IFERROR(INDEX('Lot Inputs'!$L$5:$L$507,MATCH(1,('Lot Inputs'!$A$5:$A$507=$B$3)*('Lot Inputs'!$B$5:$B$507=B122),0)),""))</f>
        <v/>
      </c>
      <c r="S122" s="205" t="str" cm="1">
        <f t="array" ref="S122">IF(B122="","",IFERROR(INDEX('Lot Inputs'!$M$5:$M$507,MATCH(1,('Lot Inputs'!$A$5:$A$507=$B$3)*('Lot Inputs'!$B$5:$B$507=B122),0)),""))</f>
        <v/>
      </c>
      <c r="T122" s="459" t="str">
        <f ca="1">IF(S122="","",S122-TODAY())</f>
        <v/>
      </c>
    </row>
    <row r="123" spans="1:20" ht="14" customHeight="1" x14ac:dyDescent="0.35">
      <c r="A123" s="142">
        <v>117</v>
      </c>
      <c r="B123" s="143" t="str" cm="1">
        <f t="array" ref="B123">IFERROR(INDEX('Lot Inputs'!$B$5:$B$507,MATCH(_xlfn.AGGREGATE(15,6,('Lot Inputs'!$J$5:$J$507)/(('Lot Inputs'!$A$5:$A$507=$B$3)*('Lot Inputs'!$H$5:$H$507&gt;0)),ROW()-6),IF('Lot Inputs'!$A$5:$A$507=$B$3,'Lot Inputs'!$J$5:$J$507),0)),"")</f>
        <v/>
      </c>
      <c r="C123" s="144" t="str">
        <f t="shared" si="11"/>
        <v/>
      </c>
      <c r="D123" s="145" t="str" cm="1">
        <f t="array" ref="D123">IF(B123="","",INDEX('Lot Inputs'!$E$5:$E$507,MATCH(1,('Lot Inputs'!$A$5:$A$507=$B$3)*('Lot Inputs'!$B$5:$B$507=B123),0)))</f>
        <v/>
      </c>
      <c r="E123" s="146" t="str" cm="1">
        <f t="array" ref="E123">IF(B123="","",INDEX('Lot Inputs'!$H$5:$H$507,MATCH(1,('Lot Inputs'!$A$5:$A$507=$B$3)*('Lot Inputs'!$B$5:$B$507=B123),0)))</f>
        <v/>
      </c>
      <c r="F123" s="108" t="str">
        <f>IF(E123="","",IF(R123="On Hold",0,E123)+IF(F122="",0,F122))</f>
        <v/>
      </c>
      <c r="G123" s="108" t="str">
        <f>IF(D123="","",SUMIFS($O$7:$O$500,$N$7:$N$500,"&gt;="&amp;IF(R123="On Hold",S123,Controls!$B$5),$N$7:$N$500,"&lt;="&amp;EDATE(D123,-$B$4)))</f>
        <v/>
      </c>
      <c r="H123" s="108" t="str">
        <f t="shared" si="17"/>
        <v/>
      </c>
      <c r="I123" s="147" t="str">
        <f t="shared" si="16"/>
        <v/>
      </c>
      <c r="J123" s="148" t="str">
        <f>IF(D123="","",(YEAR(EDATE(D123,-$B$4))-YEAR(Controls!$B$5))*12+MONTH(EDATE(D123,-$B$4))-MONTH(Controls!$B$5))</f>
        <v/>
      </c>
      <c r="K123" s="149" t="str">
        <f t="array" ref="K123">IF(F123="","",IFERROR(INDEX($N$7:$N$500,MATCH(TRUE(),$P$7:$P$500&gt;=F123,0)),"After Horizon"))</f>
        <v/>
      </c>
      <c r="L123" t="str">
        <f t="shared" si="13"/>
        <v/>
      </c>
      <c r="M123" s="17" t="str">
        <f t="shared" si="14"/>
        <v/>
      </c>
      <c r="N123" s="145">
        <v>49583</v>
      </c>
      <c r="O123" s="108">
        <f>SUMIFS('Planning Engine'!$F:$F,'Planning Engine'!$B:$B,$B$3,'Planning Engine'!$A:$A,N123)</f>
        <v>18895.296065638715</v>
      </c>
      <c r="P123" s="108">
        <f t="shared" si="18"/>
        <v>1767801.0363649679</v>
      </c>
      <c r="Q123" s="146">
        <f>IF(N123&lt;=EDATE(Controls!$B$5,$B$4-1),O123,0)</f>
        <v>0</v>
      </c>
      <c r="R123" t="str" cm="1">
        <f t="array" ref="R123">IF(B123="","",IFERROR(INDEX('Lot Inputs'!$L$5:$L$507,MATCH(1,('Lot Inputs'!$A$5:$A$507=$B$3)*('Lot Inputs'!$B$5:$B$507=B123),0)),""))</f>
        <v/>
      </c>
      <c r="S123" s="205" t="str" cm="1">
        <f t="array" ref="S123">IF(B123="","",IFERROR(INDEX('Lot Inputs'!$M$5:$M$507,MATCH(1,('Lot Inputs'!$A$5:$A$507=$B$3)*('Lot Inputs'!$B$5:$B$507=B123),0)),""))</f>
        <v/>
      </c>
      <c r="T123" s="459" t="str">
        <f ca="1">IF(S123="","",S123-TODAY())</f>
        <v/>
      </c>
    </row>
    <row r="124" spans="1:20" ht="14" customHeight="1" x14ac:dyDescent="0.35">
      <c r="A124" s="142">
        <v>118</v>
      </c>
      <c r="B124" s="143" t="str" cm="1">
        <f t="array" ref="B124">IFERROR(INDEX('Lot Inputs'!$B$5:$B$507,MATCH(_xlfn.AGGREGATE(15,6,('Lot Inputs'!$J$5:$J$507)/(('Lot Inputs'!$A$5:$A$507=$B$3)*('Lot Inputs'!$H$5:$H$507&gt;0)),ROW()-6),IF('Lot Inputs'!$A$5:$A$507=$B$3,'Lot Inputs'!$J$5:$J$507),0)),"")</f>
        <v/>
      </c>
      <c r="C124" s="144" t="str">
        <f t="shared" si="11"/>
        <v/>
      </c>
      <c r="D124" s="145" t="str" cm="1">
        <f t="array" ref="D124">IF(B124="","",INDEX('Lot Inputs'!$E$5:$E$507,MATCH(1,('Lot Inputs'!$A$5:$A$507=$B$3)*('Lot Inputs'!$B$5:$B$507=B124),0)))</f>
        <v/>
      </c>
      <c r="E124" s="146" t="str" cm="1">
        <f t="array" ref="E124">IF(B124="","",INDEX('Lot Inputs'!$H$5:$H$507,MATCH(1,('Lot Inputs'!$A$5:$A$507=$B$3)*('Lot Inputs'!$B$5:$B$507=B124),0)))</f>
        <v/>
      </c>
      <c r="F124" s="108" t="str">
        <f>IF(E124="","",IF(R124="On Hold",0,E124)+IF(F123="",0,F123))</f>
        <v/>
      </c>
      <c r="G124" s="108" t="str">
        <f>IF(D124="","",SUMIFS($O$7:$O$500,$N$7:$N$500,"&gt;="&amp;IF(R124="On Hold",S124,Controls!$B$5),$N$7:$N$500,"&lt;="&amp;EDATE(D124,-$B$4)))</f>
        <v/>
      </c>
      <c r="H124" s="108" t="str">
        <f t="shared" si="17"/>
        <v/>
      </c>
      <c r="I124" s="147" t="str">
        <f t="shared" si="16"/>
        <v/>
      </c>
      <c r="J124" s="148" t="str">
        <f>IF(D124="","",(YEAR(EDATE(D124,-$B$4))-YEAR(Controls!$B$5))*12+MONTH(EDATE(D124,-$B$4))-MONTH(Controls!$B$5))</f>
        <v/>
      </c>
      <c r="K124" s="149" t="str">
        <f t="array" ref="K124">IF(F124="","",IFERROR(INDEX($N$7:$N$500,MATCH(TRUE(),$P$7:$P$500&gt;=F124,0)),"After Horizon"))</f>
        <v/>
      </c>
      <c r="L124" t="str">
        <f t="shared" si="13"/>
        <v/>
      </c>
      <c r="M124" s="17" t="str">
        <f t="shared" si="14"/>
        <v/>
      </c>
      <c r="N124" s="145">
        <v>49614</v>
      </c>
      <c r="O124" s="108">
        <f>SUMIFS('Planning Engine'!$F:$F,'Planning Engine'!$B:$B,$B$3,'Planning Engine'!$A:$A,N124)</f>
        <v>27745.59375523364</v>
      </c>
      <c r="P124" s="108">
        <f t="shared" si="18"/>
        <v>1795546.6301202015</v>
      </c>
      <c r="Q124" s="146">
        <f>IF(N124&lt;=EDATE(Controls!$B$5,$B$4-1),O124,0)</f>
        <v>0</v>
      </c>
      <c r="R124" t="str" cm="1">
        <f t="array" ref="R124">IF(B124="","",IFERROR(INDEX('Lot Inputs'!$L$5:$L$507,MATCH(1,('Lot Inputs'!$A$5:$A$507=$B$3)*('Lot Inputs'!$B$5:$B$507=B124),0)),""))</f>
        <v/>
      </c>
      <c r="S124" s="205" t="str" cm="1">
        <f t="array" ref="S124">IF(B124="","",IFERROR(INDEX('Lot Inputs'!$M$5:$M$507,MATCH(1,('Lot Inputs'!$A$5:$A$507=$B$3)*('Lot Inputs'!$B$5:$B$507=B124),0)),""))</f>
        <v/>
      </c>
      <c r="T124" s="459" t="str">
        <f ca="1">IF(S124="","",S124-TODAY())</f>
        <v/>
      </c>
    </row>
    <row r="125" spans="1:20" ht="14" customHeight="1" x14ac:dyDescent="0.35">
      <c r="A125" s="142">
        <v>119</v>
      </c>
      <c r="B125" s="143" t="str" cm="1">
        <f t="array" ref="B125">IFERROR(INDEX('Lot Inputs'!$B$5:$B$507,MATCH(_xlfn.AGGREGATE(15,6,('Lot Inputs'!$J$5:$J$507)/(('Lot Inputs'!$A$5:$A$507=$B$3)*('Lot Inputs'!$H$5:$H$507&gt;0)),ROW()-6),IF('Lot Inputs'!$A$5:$A$507=$B$3,'Lot Inputs'!$J$5:$J$507),0)),"")</f>
        <v/>
      </c>
      <c r="C125" s="144" t="str">
        <f t="shared" si="11"/>
        <v/>
      </c>
      <c r="D125" s="145" t="str" cm="1">
        <f t="array" ref="D125">IF(B125="","",INDEX('Lot Inputs'!$E$5:$E$507,MATCH(1,('Lot Inputs'!$A$5:$A$507=$B$3)*('Lot Inputs'!$B$5:$B$507=B125),0)))</f>
        <v/>
      </c>
      <c r="E125" s="146" t="str" cm="1">
        <f t="array" ref="E125">IF(B125="","",INDEX('Lot Inputs'!$H$5:$H$507,MATCH(1,('Lot Inputs'!$A$5:$A$507=$B$3)*('Lot Inputs'!$B$5:$B$507=B125),0)))</f>
        <v/>
      </c>
      <c r="F125" s="108" t="str">
        <f>IF(E125="","",IF(R125="On Hold",0,E125)+IF(F124="",0,F124))</f>
        <v/>
      </c>
      <c r="G125" s="108" t="str">
        <f>IF(D125="","",SUMIFS($O$7:$O$500,$N$7:$N$500,"&gt;="&amp;IF(R125="On Hold",S125,Controls!$B$5),$N$7:$N$500,"&lt;="&amp;EDATE(D125,-$B$4)))</f>
        <v/>
      </c>
      <c r="H125" s="108" t="str">
        <f t="shared" si="17"/>
        <v/>
      </c>
      <c r="I125" s="147" t="str">
        <f t="shared" si="16"/>
        <v/>
      </c>
      <c r="J125" s="148" t="str">
        <f>IF(D125="","",(YEAR(EDATE(D125,-$B$4))-YEAR(Controls!$B$5))*12+MONTH(EDATE(D125,-$B$4))-MONTH(Controls!$B$5))</f>
        <v/>
      </c>
      <c r="K125" s="149" t="str">
        <f t="array" ref="K125">IF(F125="","",IFERROR(INDEX($N$7:$N$500,MATCH(TRUE(),$P$7:$P$500&gt;=F125,0)),"After Horizon"))</f>
        <v/>
      </c>
      <c r="L125" t="str">
        <f t="shared" si="13"/>
        <v/>
      </c>
      <c r="M125" s="17" t="str">
        <f t="shared" si="14"/>
        <v/>
      </c>
      <c r="N125" s="145">
        <v>49644</v>
      </c>
      <c r="O125" s="108">
        <f>SUMIFS('Planning Engine'!$F:$F,'Planning Engine'!$B:$B,$B$3,'Planning Engine'!$A:$A,N125)</f>
        <v>21622.080914936072</v>
      </c>
      <c r="P125" s="108">
        <f t="shared" si="18"/>
        <v>1817168.7110351375</v>
      </c>
      <c r="Q125" s="146">
        <f>IF(N125&lt;=EDATE(Controls!$B$5,$B$4-1),O125,0)</f>
        <v>0</v>
      </c>
      <c r="R125" t="str" cm="1">
        <f t="array" ref="R125">IF(B125="","",IFERROR(INDEX('Lot Inputs'!$L$5:$L$507,MATCH(1,('Lot Inputs'!$A$5:$A$507=$B$3)*('Lot Inputs'!$B$5:$B$507=B125),0)),""))</f>
        <v/>
      </c>
      <c r="S125" s="205" t="str" cm="1">
        <f t="array" ref="S125">IF(B125="","",IFERROR(INDEX('Lot Inputs'!$M$5:$M$507,MATCH(1,('Lot Inputs'!$A$5:$A$507=$B$3)*('Lot Inputs'!$B$5:$B$507=B125),0)),""))</f>
        <v/>
      </c>
      <c r="T125" s="459" t="str">
        <f ca="1">IF(S125="","",S125-TODAY())</f>
        <v/>
      </c>
    </row>
    <row r="126" spans="1:20" ht="14" customHeight="1" x14ac:dyDescent="0.35">
      <c r="A126" s="142">
        <v>120</v>
      </c>
      <c r="B126" s="143" t="str" cm="1">
        <f t="array" ref="B126">IFERROR(INDEX('Lot Inputs'!$B$5:$B$507,MATCH(_xlfn.AGGREGATE(15,6,('Lot Inputs'!$J$5:$J$507)/(('Lot Inputs'!$A$5:$A$507=$B$3)*('Lot Inputs'!$H$5:$H$507&gt;0)),ROW()-6),IF('Lot Inputs'!$A$5:$A$507=$B$3,'Lot Inputs'!$J$5:$J$507),0)),"")</f>
        <v/>
      </c>
      <c r="C126" s="144" t="str">
        <f t="shared" si="11"/>
        <v/>
      </c>
      <c r="D126" s="145" t="str" cm="1">
        <f t="array" ref="D126">IF(B126="","",INDEX('Lot Inputs'!$E$5:$E$507,MATCH(1,('Lot Inputs'!$A$5:$A$507=$B$3)*('Lot Inputs'!$B$5:$B$507=B126),0)))</f>
        <v/>
      </c>
      <c r="E126" s="146" t="str" cm="1">
        <f t="array" ref="E126">IF(B126="","",INDEX('Lot Inputs'!$H$5:$H$507,MATCH(1,('Lot Inputs'!$A$5:$A$507=$B$3)*('Lot Inputs'!$B$5:$B$507=B126),0)))</f>
        <v/>
      </c>
      <c r="F126" s="108" t="str">
        <f>IF(E126="","",IF(R126="On Hold",0,E126)+IF(F125="",0,F125))</f>
        <v/>
      </c>
      <c r="G126" s="108" t="str">
        <f>IF(D126="","",SUMIFS($O$7:$O$500,$N$7:$N$500,"&gt;="&amp;IF(R126="On Hold",S126,Controls!$B$5),$N$7:$N$500,"&lt;="&amp;EDATE(D126,-$B$4)))</f>
        <v/>
      </c>
      <c r="H126" s="108" t="str">
        <f t="shared" si="17"/>
        <v/>
      </c>
      <c r="I126" s="147" t="str">
        <f t="shared" si="16"/>
        <v/>
      </c>
      <c r="J126" s="148" t="str">
        <f>IF(D126="","",(YEAR(EDATE(D126,-$B$4))-YEAR(Controls!$B$5))*12+MONTH(EDATE(D126,-$B$4))-MONTH(Controls!$B$5))</f>
        <v/>
      </c>
      <c r="K126" s="149" t="str">
        <f t="array" ref="K126">IF(F126="","",IFERROR(INDEX($N$7:$N$500,MATCH(TRUE(),$P$7:$P$500&gt;=F126,0)),"After Horizon"))</f>
        <v/>
      </c>
      <c r="L126" t="str">
        <f t="shared" si="13"/>
        <v/>
      </c>
      <c r="M126" s="17" t="str">
        <f t="shared" si="14"/>
        <v/>
      </c>
      <c r="N126" s="145">
        <v>49675</v>
      </c>
      <c r="O126" s="108">
        <f>SUMIFS('Planning Engine'!$F:$F,'Planning Engine'!$B:$B,$B$3,'Planning Engine'!$A:$A,N126)</f>
        <v>22927.921398560407</v>
      </c>
      <c r="P126" s="108">
        <f t="shared" si="18"/>
        <v>1840096.632433698</v>
      </c>
      <c r="Q126" s="146">
        <f>IF(N126&lt;=EDATE(Controls!$B$5,$B$4-1),O126,0)</f>
        <v>0</v>
      </c>
      <c r="R126" t="str" cm="1">
        <f t="array" ref="R126">IF(B126="","",IFERROR(INDEX('Lot Inputs'!$L$5:$L$507,MATCH(1,('Lot Inputs'!$A$5:$A$507=$B$3)*('Lot Inputs'!$B$5:$B$507=B126),0)),""))</f>
        <v/>
      </c>
      <c r="S126" s="205" t="str" cm="1">
        <f t="array" ref="S126">IF(B126="","",IFERROR(INDEX('Lot Inputs'!$M$5:$M$507,MATCH(1,('Lot Inputs'!$A$5:$A$507=$B$3)*('Lot Inputs'!$B$5:$B$507=B126),0)),""))</f>
        <v/>
      </c>
      <c r="T126" s="459" t="str">
        <f ca="1">IF(S126="","",S126-TODAY())</f>
        <v/>
      </c>
    </row>
    <row r="127" spans="1:20" ht="14" customHeight="1" x14ac:dyDescent="0.35">
      <c r="A127" s="142">
        <v>121</v>
      </c>
      <c r="B127" s="143" t="str" cm="1">
        <f t="array" ref="B127">IFERROR(INDEX('Lot Inputs'!$B$5:$B$507,MATCH(_xlfn.AGGREGATE(15,6,('Lot Inputs'!$J$5:$J$507)/(('Lot Inputs'!$A$5:$A$507=$B$3)*('Lot Inputs'!$H$5:$H$507&gt;0)),ROW()-6),IF('Lot Inputs'!$A$5:$A$507=$B$3,'Lot Inputs'!$J$5:$J$507),0)),"")</f>
        <v/>
      </c>
      <c r="C127" s="144" t="str">
        <f t="shared" si="11"/>
        <v/>
      </c>
      <c r="D127" s="145" t="str" cm="1">
        <f t="array" ref="D127">IF(B127="","",INDEX('Lot Inputs'!$E$5:$E$507,MATCH(1,('Lot Inputs'!$A$5:$A$507=$B$3)*('Lot Inputs'!$B$5:$B$507=B127),0)))</f>
        <v/>
      </c>
      <c r="E127" s="146" t="str" cm="1">
        <f t="array" ref="E127">IF(B127="","",INDEX('Lot Inputs'!$H$5:$H$507,MATCH(1,('Lot Inputs'!$A$5:$A$507=$B$3)*('Lot Inputs'!$B$5:$B$507=B127),0)))</f>
        <v/>
      </c>
      <c r="F127" s="108" t="str">
        <f>IF(E127="","",IF(R127="On Hold",0,E127)+IF(F126="",0,F126))</f>
        <v/>
      </c>
      <c r="G127" s="108" t="str">
        <f>IF(D127="","",SUMIFS($O$7:$O$500,$N$7:$N$500,"&gt;="&amp;IF(R127="On Hold",S127,Controls!$B$5),$N$7:$N$500,"&lt;="&amp;EDATE(D127,-$B$4)))</f>
        <v/>
      </c>
      <c r="H127" s="108" t="str">
        <f t="shared" si="17"/>
        <v/>
      </c>
      <c r="I127" s="147" t="str">
        <f t="shared" si="16"/>
        <v/>
      </c>
      <c r="J127" s="148" t="str">
        <f>IF(D127="","",(YEAR(EDATE(D127,-$B$4))-YEAR(Controls!$B$5))*12+MONTH(EDATE(D127,-$B$4))-MONTH(Controls!$B$5))</f>
        <v/>
      </c>
      <c r="K127" s="149" t="str">
        <f t="array" ref="K127">IF(F127="","",IFERROR(INDEX($N$7:$N$500,MATCH(TRUE(),$P$7:$P$500&gt;=F127,0)),"After Horizon"))</f>
        <v/>
      </c>
      <c r="L127" t="str">
        <f t="shared" si="13"/>
        <v/>
      </c>
      <c r="M127" s="17" t="str">
        <f t="shared" si="14"/>
        <v/>
      </c>
      <c r="N127" s="145">
        <v>49706</v>
      </c>
      <c r="O127" s="108">
        <f>SUMIFS('Planning Engine'!$F:$F,'Planning Engine'!$B:$B,$B$3,'Planning Engine'!$A:$A,N127)</f>
        <v>24919.5491188573</v>
      </c>
      <c r="P127" s="108">
        <f t="shared" si="18"/>
        <v>1865016.1815525554</v>
      </c>
      <c r="Q127" s="146">
        <f>IF(N127&lt;=EDATE(Controls!$B$5,$B$4-1),O127,0)</f>
        <v>0</v>
      </c>
      <c r="R127" t="str" cm="1">
        <f t="array" ref="R127">IF(B127="","",IFERROR(INDEX('Lot Inputs'!$L$5:$L$507,MATCH(1,('Lot Inputs'!$A$5:$A$507=$B$3)*('Lot Inputs'!$B$5:$B$507=B127),0)),""))</f>
        <v/>
      </c>
      <c r="S127" s="205" t="str" cm="1">
        <f t="array" ref="S127">IF(B127="","",IFERROR(INDEX('Lot Inputs'!$M$5:$M$507,MATCH(1,('Lot Inputs'!$A$5:$A$507=$B$3)*('Lot Inputs'!$B$5:$B$507=B127),0)),""))</f>
        <v/>
      </c>
      <c r="T127" s="459" t="str">
        <f ca="1">IF(S127="","",S127-TODAY())</f>
        <v/>
      </c>
    </row>
    <row r="128" spans="1:20" ht="14" customHeight="1" x14ac:dyDescent="0.35">
      <c r="A128" s="142">
        <v>122</v>
      </c>
      <c r="B128" s="143" t="str" cm="1">
        <f t="array" ref="B128">IFERROR(INDEX('Lot Inputs'!$B$5:$B$507,MATCH(_xlfn.AGGREGATE(15,6,('Lot Inputs'!$J$5:$J$507)/(('Lot Inputs'!$A$5:$A$507=$B$3)*('Lot Inputs'!$H$5:$H$507&gt;0)),ROW()-6),IF('Lot Inputs'!$A$5:$A$507=$B$3,'Lot Inputs'!$J$5:$J$507),0)),"")</f>
        <v/>
      </c>
      <c r="C128" s="144" t="str">
        <f t="shared" si="11"/>
        <v/>
      </c>
      <c r="D128" s="145" t="str" cm="1">
        <f t="array" ref="D128">IF(B128="","",INDEX('Lot Inputs'!$E$5:$E$507,MATCH(1,('Lot Inputs'!$A$5:$A$507=$B$3)*('Lot Inputs'!$B$5:$B$507=B128),0)))</f>
        <v/>
      </c>
      <c r="E128" s="146" t="str" cm="1">
        <f t="array" ref="E128">IF(B128="","",INDEX('Lot Inputs'!$H$5:$H$507,MATCH(1,('Lot Inputs'!$A$5:$A$507=$B$3)*('Lot Inputs'!$B$5:$B$507=B128),0)))</f>
        <v/>
      </c>
      <c r="F128" s="108" t="str">
        <f>IF(E128="","",IF(R128="On Hold",0,E128)+IF(F127="",0,F127))</f>
        <v/>
      </c>
      <c r="G128" s="108" t="str">
        <f>IF(D128="","",SUMIFS($O$7:$O$500,$N$7:$N$500,"&gt;="&amp;IF(R128="On Hold",S128,Controls!$B$5),$N$7:$N$500,"&lt;="&amp;EDATE(D128,-$B$4)))</f>
        <v/>
      </c>
      <c r="H128" s="108" t="str">
        <f t="shared" si="17"/>
        <v/>
      </c>
      <c r="I128" s="147" t="str">
        <f t="shared" si="16"/>
        <v/>
      </c>
      <c r="J128" s="148" t="str">
        <f>IF(D128="","",(YEAR(EDATE(D128,-$B$4))-YEAR(Controls!$B$5))*12+MONTH(EDATE(D128,-$B$4))-MONTH(Controls!$B$5))</f>
        <v/>
      </c>
      <c r="K128" s="149" t="str">
        <f t="array" ref="K128">IF(F128="","",IFERROR(INDEX($N$7:$N$500,MATCH(TRUE(),$P$7:$P$500&gt;=F128,0)),"After Horizon"))</f>
        <v/>
      </c>
      <c r="L128" t="str">
        <f t="shared" si="13"/>
        <v/>
      </c>
      <c r="M128" s="17" t="str">
        <f t="shared" si="14"/>
        <v/>
      </c>
      <c r="N128" s="145">
        <v>49735</v>
      </c>
      <c r="O128" s="108">
        <f>SUMIFS('Planning Engine'!$F:$F,'Planning Engine'!$B:$B,$B$3,'Planning Engine'!$A:$A,N128)</f>
        <v>22181.203155819028</v>
      </c>
      <c r="P128" s="108">
        <f t="shared" si="18"/>
        <v>1887197.3847083745</v>
      </c>
      <c r="Q128" s="146">
        <f>IF(N128&lt;=EDATE(Controls!$B$5,$B$4-1),O128,0)</f>
        <v>0</v>
      </c>
      <c r="R128" t="str" cm="1">
        <f t="array" ref="R128">IF(B128="","",IFERROR(INDEX('Lot Inputs'!$L$5:$L$507,MATCH(1,('Lot Inputs'!$A$5:$A$507=$B$3)*('Lot Inputs'!$B$5:$B$507=B128),0)),""))</f>
        <v/>
      </c>
      <c r="S128" s="205" t="str" cm="1">
        <f t="array" ref="S128">IF(B128="","",IFERROR(INDEX('Lot Inputs'!$M$5:$M$507,MATCH(1,('Lot Inputs'!$A$5:$A$507=$B$3)*('Lot Inputs'!$B$5:$B$507=B128),0)),""))</f>
        <v/>
      </c>
      <c r="T128" s="459" t="str">
        <f ca="1">IF(S128="","",S128-TODAY())</f>
        <v/>
      </c>
    </row>
    <row r="129" spans="1:20" ht="14" customHeight="1" x14ac:dyDescent="0.35">
      <c r="A129" s="142">
        <v>123</v>
      </c>
      <c r="B129" s="143" t="str" cm="1">
        <f t="array" ref="B129">IFERROR(INDEX('Lot Inputs'!$B$5:$B$507,MATCH(_xlfn.AGGREGATE(15,6,('Lot Inputs'!$J$5:$J$507)/(('Lot Inputs'!$A$5:$A$507=$B$3)*('Lot Inputs'!$H$5:$H$507&gt;0)),ROW()-6),IF('Lot Inputs'!$A$5:$A$507=$B$3,'Lot Inputs'!$J$5:$J$507),0)),"")</f>
        <v/>
      </c>
      <c r="C129" s="144" t="str">
        <f t="shared" si="11"/>
        <v/>
      </c>
      <c r="D129" s="145" t="str" cm="1">
        <f t="array" ref="D129">IF(B129="","",INDEX('Lot Inputs'!$E$5:$E$507,MATCH(1,('Lot Inputs'!$A$5:$A$507=$B$3)*('Lot Inputs'!$B$5:$B$507=B129),0)))</f>
        <v/>
      </c>
      <c r="E129" s="146" t="str" cm="1">
        <f t="array" ref="E129">IF(B129="","",INDEX('Lot Inputs'!$H$5:$H$507,MATCH(1,('Lot Inputs'!$A$5:$A$507=$B$3)*('Lot Inputs'!$B$5:$B$507=B129),0)))</f>
        <v/>
      </c>
      <c r="F129" s="108" t="str">
        <f>IF(E129="","",IF(R129="On Hold",0,E129)+IF(F128="",0,F128))</f>
        <v/>
      </c>
      <c r="G129" s="108" t="str">
        <f>IF(D129="","",SUMIFS($O$7:$O$500,$N$7:$N$500,"&gt;="&amp;IF(R129="On Hold",S129,Controls!$B$5),$N$7:$N$500,"&lt;="&amp;EDATE(D129,-$B$4)))</f>
        <v/>
      </c>
      <c r="H129" s="108" t="str">
        <f t="shared" si="17"/>
        <v/>
      </c>
      <c r="I129" s="147" t="str">
        <f t="shared" si="16"/>
        <v/>
      </c>
      <c r="J129" s="148" t="str">
        <f>IF(D129="","",(YEAR(EDATE(D129,-$B$4))-YEAR(Controls!$B$5))*12+MONTH(EDATE(D129,-$B$4))-MONTH(Controls!$B$5))</f>
        <v/>
      </c>
      <c r="K129" s="149" t="str">
        <f t="array" ref="K129">IF(F129="","",IFERROR(INDEX($N$7:$N$500,MATCH(TRUE(),$P$7:$P$500&gt;=F129,0)),"After Horizon"))</f>
        <v/>
      </c>
      <c r="L129" t="str">
        <f t="shared" si="13"/>
        <v/>
      </c>
      <c r="M129" s="17" t="str">
        <f t="shared" si="14"/>
        <v/>
      </c>
      <c r="N129" s="145">
        <v>49766</v>
      </c>
      <c r="O129" s="108">
        <f>SUMIFS('Planning Engine'!$F:$F,'Planning Engine'!$B:$B,$B$3,'Planning Engine'!$A:$A,N129)</f>
        <v>24865.748411227418</v>
      </c>
      <c r="P129" s="108">
        <f t="shared" si="18"/>
        <v>1912063.133119602</v>
      </c>
      <c r="Q129" s="146">
        <f>IF(N129&lt;=EDATE(Controls!$B$5,$B$4-1),O129,0)</f>
        <v>0</v>
      </c>
      <c r="R129" t="str" cm="1">
        <f t="array" ref="R129">IF(B129="","",IFERROR(INDEX('Lot Inputs'!$L$5:$L$507,MATCH(1,('Lot Inputs'!$A$5:$A$507=$B$3)*('Lot Inputs'!$B$5:$B$507=B129),0)),""))</f>
        <v/>
      </c>
      <c r="S129" s="205" t="str" cm="1">
        <f t="array" ref="S129">IF(B129="","",IFERROR(INDEX('Lot Inputs'!$M$5:$M$507,MATCH(1,('Lot Inputs'!$A$5:$A$507=$B$3)*('Lot Inputs'!$B$5:$B$507=B129),0)),""))</f>
        <v/>
      </c>
      <c r="T129" s="459" t="str">
        <f ca="1">IF(S129="","",S129-TODAY())</f>
        <v/>
      </c>
    </row>
    <row r="130" spans="1:20" ht="14" customHeight="1" x14ac:dyDescent="0.35">
      <c r="A130" s="142">
        <v>124</v>
      </c>
      <c r="B130" s="143" t="str" cm="1">
        <f t="array" ref="B130">IFERROR(INDEX('Lot Inputs'!$B$5:$B$507,MATCH(_xlfn.AGGREGATE(15,6,('Lot Inputs'!$J$5:$J$507)/(('Lot Inputs'!$A$5:$A$507=$B$3)*('Lot Inputs'!$H$5:$H$507&gt;0)),ROW()-6),IF('Lot Inputs'!$A$5:$A$507=$B$3,'Lot Inputs'!$J$5:$J$507),0)),"")</f>
        <v/>
      </c>
      <c r="C130" s="144" t="str">
        <f t="shared" si="11"/>
        <v/>
      </c>
      <c r="D130" s="145" t="str" cm="1">
        <f t="array" ref="D130">IF(B130="","",INDEX('Lot Inputs'!$E$5:$E$507,MATCH(1,('Lot Inputs'!$A$5:$A$507=$B$3)*('Lot Inputs'!$B$5:$B$507=B130),0)))</f>
        <v/>
      </c>
      <c r="E130" s="146" t="str" cm="1">
        <f t="array" ref="E130">IF(B130="","",INDEX('Lot Inputs'!$H$5:$H$507,MATCH(1,('Lot Inputs'!$A$5:$A$507=$B$3)*('Lot Inputs'!$B$5:$B$507=B130),0)))</f>
        <v/>
      </c>
      <c r="F130" s="108" t="str">
        <f>IF(E130="","",IF(R130="On Hold",0,E130)+IF(F129="",0,F129))</f>
        <v/>
      </c>
      <c r="G130" s="108" t="str">
        <f>IF(D130="","",SUMIFS($O$7:$O$500,$N$7:$N$500,"&gt;="&amp;IF(R130="On Hold",S130,Controls!$B$5),$N$7:$N$500,"&lt;="&amp;EDATE(D130,-$B$4)))</f>
        <v/>
      </c>
      <c r="H130" s="108" t="str">
        <f t="shared" si="17"/>
        <v/>
      </c>
      <c r="I130" s="147" t="str">
        <f t="shared" si="16"/>
        <v/>
      </c>
      <c r="J130" s="148" t="str">
        <f>IF(D130="","",(YEAR(EDATE(D130,-$B$4))-YEAR(Controls!$B$5))*12+MONTH(EDATE(D130,-$B$4))-MONTH(Controls!$B$5))</f>
        <v/>
      </c>
      <c r="K130" s="149" t="str">
        <f t="array" ref="K130">IF(F130="","",IFERROR(INDEX($N$7:$N$500,MATCH(TRUE(),$P$7:$P$500&gt;=F130,0)),"After Horizon"))</f>
        <v/>
      </c>
      <c r="L130" t="str">
        <f t="shared" si="13"/>
        <v/>
      </c>
      <c r="M130" s="17" t="str">
        <f t="shared" si="14"/>
        <v/>
      </c>
      <c r="N130" s="145">
        <v>49796</v>
      </c>
      <c r="O130" s="108">
        <f>SUMIFS('Planning Engine'!$F:$F,'Planning Engine'!$B:$B,$B$3,'Planning Engine'!$A:$A,N130)</f>
        <v>26322.433355890313</v>
      </c>
      <c r="P130" s="108">
        <f t="shared" si="18"/>
        <v>1938385.5664754922</v>
      </c>
      <c r="Q130" s="146">
        <f>IF(N130&lt;=EDATE(Controls!$B$5,$B$4-1),O130,0)</f>
        <v>0</v>
      </c>
      <c r="R130" t="str" cm="1">
        <f t="array" ref="R130">IF(B130="","",IFERROR(INDEX('Lot Inputs'!$L$5:$L$507,MATCH(1,('Lot Inputs'!$A$5:$A$507=$B$3)*('Lot Inputs'!$B$5:$B$507=B130),0)),""))</f>
        <v/>
      </c>
      <c r="S130" s="205" t="str" cm="1">
        <f t="array" ref="S130">IF(B130="","",IFERROR(INDEX('Lot Inputs'!$M$5:$M$507,MATCH(1,('Lot Inputs'!$A$5:$A$507=$B$3)*('Lot Inputs'!$B$5:$B$507=B130),0)),""))</f>
        <v/>
      </c>
      <c r="T130" s="459" t="str">
        <f ca="1">IF(S130="","",S130-TODAY())</f>
        <v/>
      </c>
    </row>
    <row r="131" spans="1:20" ht="14" customHeight="1" x14ac:dyDescent="0.35">
      <c r="A131" s="142">
        <v>125</v>
      </c>
      <c r="B131" s="143" t="str" cm="1">
        <f t="array" ref="B131">IFERROR(INDEX('Lot Inputs'!$B$5:$B$507,MATCH(_xlfn.AGGREGATE(15,6,('Lot Inputs'!$J$5:$J$507)/(('Lot Inputs'!$A$5:$A$507=$B$3)*('Lot Inputs'!$H$5:$H$507&gt;0)),ROW()-6),IF('Lot Inputs'!$A$5:$A$507=$B$3,'Lot Inputs'!$J$5:$J$507),0)),"")</f>
        <v/>
      </c>
      <c r="C131" s="144" t="str">
        <f t="shared" si="11"/>
        <v/>
      </c>
      <c r="D131" s="145" t="str" cm="1">
        <f t="array" ref="D131">IF(B131="","",INDEX('Lot Inputs'!$E$5:$E$507,MATCH(1,('Lot Inputs'!$A$5:$A$507=$B$3)*('Lot Inputs'!$B$5:$B$507=B131),0)))</f>
        <v/>
      </c>
      <c r="E131" s="146" t="str" cm="1">
        <f t="array" ref="E131">IF(B131="","",INDEX('Lot Inputs'!$H$5:$H$507,MATCH(1,('Lot Inputs'!$A$5:$A$507=$B$3)*('Lot Inputs'!$B$5:$B$507=B131),0)))</f>
        <v/>
      </c>
      <c r="F131" s="108" t="str">
        <f>IF(E131="","",IF(R131="On Hold",0,E131)+IF(F130="",0,F130))</f>
        <v/>
      </c>
      <c r="G131" s="108" t="str">
        <f>IF(D131="","",SUMIFS($O$7:$O$500,$N$7:$N$500,"&gt;="&amp;IF(R131="On Hold",S131,Controls!$B$5),$N$7:$N$500,"&lt;="&amp;EDATE(D131,-$B$4)))</f>
        <v/>
      </c>
      <c r="H131" s="108" t="str">
        <f t="shared" si="17"/>
        <v/>
      </c>
      <c r="I131" s="147" t="str">
        <f t="shared" si="16"/>
        <v/>
      </c>
      <c r="J131" s="148" t="str">
        <f>IF(D131="","",(YEAR(EDATE(D131,-$B$4))-YEAR(Controls!$B$5))*12+MONTH(EDATE(D131,-$B$4))-MONTH(Controls!$B$5))</f>
        <v/>
      </c>
      <c r="K131" s="149" t="str">
        <f t="array" ref="K131">IF(F131="","",IFERROR(INDEX($N$7:$N$500,MATCH(TRUE(),$P$7:$P$500&gt;=F131,0)),"After Horizon"))</f>
        <v/>
      </c>
      <c r="L131" t="str">
        <f t="shared" si="13"/>
        <v/>
      </c>
      <c r="M131" s="17" t="str">
        <f t="shared" si="14"/>
        <v/>
      </c>
      <c r="N131" s="145">
        <v>49827</v>
      </c>
      <c r="O131" s="108">
        <f>SUMIFS('Planning Engine'!$F:$F,'Planning Engine'!$B:$B,$B$3,'Planning Engine'!$A:$A,N131)</f>
        <v>23694.930394993389</v>
      </c>
      <c r="P131" s="108">
        <f t="shared" si="18"/>
        <v>1962080.4968704856</v>
      </c>
      <c r="Q131" s="146">
        <f>IF(N131&lt;=EDATE(Controls!$B$5,$B$4-1),O131,0)</f>
        <v>0</v>
      </c>
      <c r="R131" t="str" cm="1">
        <f t="array" ref="R131">IF(B131="","",IFERROR(INDEX('Lot Inputs'!$L$5:$L$507,MATCH(1,('Lot Inputs'!$A$5:$A$507=$B$3)*('Lot Inputs'!$B$5:$B$507=B131),0)),""))</f>
        <v/>
      </c>
      <c r="S131" s="205" t="str" cm="1">
        <f t="array" ref="S131">IF(B131="","",IFERROR(INDEX('Lot Inputs'!$M$5:$M$507,MATCH(1,('Lot Inputs'!$A$5:$A$507=$B$3)*('Lot Inputs'!$B$5:$B$507=B131),0)),""))</f>
        <v/>
      </c>
      <c r="T131" s="459" t="str">
        <f ca="1">IF(S131="","",S131-TODAY())</f>
        <v/>
      </c>
    </row>
    <row r="132" spans="1:20" ht="14" customHeight="1" x14ac:dyDescent="0.35">
      <c r="A132" s="142">
        <v>126</v>
      </c>
      <c r="B132" s="143" t="str" cm="1">
        <f t="array" ref="B132">IFERROR(INDEX('Lot Inputs'!$B$5:$B$507,MATCH(_xlfn.AGGREGATE(15,6,('Lot Inputs'!$J$5:$J$507)/(('Lot Inputs'!$A$5:$A$507=$B$3)*('Lot Inputs'!$H$5:$H$507&gt;0)),ROW()-6),IF('Lot Inputs'!$A$5:$A$507=$B$3,'Lot Inputs'!$J$5:$J$507),0)),"")</f>
        <v/>
      </c>
      <c r="C132" s="144" t="str">
        <f t="shared" si="11"/>
        <v/>
      </c>
      <c r="D132" s="145" t="str" cm="1">
        <f t="array" ref="D132">IF(B132="","",INDEX('Lot Inputs'!$E$5:$E$507,MATCH(1,('Lot Inputs'!$A$5:$A$507=$B$3)*('Lot Inputs'!$B$5:$B$507=B132),0)))</f>
        <v/>
      </c>
      <c r="E132" s="146" t="str" cm="1">
        <f t="array" ref="E132">IF(B132="","",INDEX('Lot Inputs'!$H$5:$H$507,MATCH(1,('Lot Inputs'!$A$5:$A$507=$B$3)*('Lot Inputs'!$B$5:$B$507=B132),0)))</f>
        <v/>
      </c>
      <c r="F132" s="108" t="str">
        <f>IF(E132="","",IF(R132="On Hold",0,E132)+IF(F131="",0,F131))</f>
        <v/>
      </c>
      <c r="G132" s="108" t="str">
        <f>IF(D132="","",SUMIFS($O$7:$O$500,$N$7:$N$500,"&gt;="&amp;IF(R132="On Hold",S132,Controls!$B$5),$N$7:$N$500,"&lt;="&amp;EDATE(D132,-$B$4)))</f>
        <v/>
      </c>
      <c r="H132" s="108" t="str">
        <f t="shared" si="17"/>
        <v/>
      </c>
      <c r="I132" s="147" t="str">
        <f t="shared" si="16"/>
        <v/>
      </c>
      <c r="J132" s="148" t="str">
        <f>IF(D132="","",(YEAR(EDATE(D132,-$B$4))-YEAR(Controls!$B$5))*12+MONTH(EDATE(D132,-$B$4))-MONTH(Controls!$B$5))</f>
        <v/>
      </c>
      <c r="K132" s="149" t="str">
        <f t="array" ref="K132">IF(F132="","",IFERROR(INDEX($N$7:$N$500,MATCH(TRUE(),$P$7:$P$500&gt;=F132,0)),"After Horizon"))</f>
        <v/>
      </c>
      <c r="L132" t="str">
        <f t="shared" si="13"/>
        <v/>
      </c>
      <c r="M132" s="17" t="str">
        <f t="shared" si="14"/>
        <v/>
      </c>
      <c r="N132" s="145">
        <v>49857</v>
      </c>
      <c r="O132" s="108">
        <f>SUMIFS('Planning Engine'!$F:$F,'Planning Engine'!$B:$B,$B$3,'Planning Engine'!$A:$A,N132)</f>
        <v>22336.31813442173</v>
      </c>
      <c r="P132" s="108">
        <f t="shared" si="18"/>
        <v>1984416.8150049073</v>
      </c>
      <c r="Q132" s="146">
        <f>IF(N132&lt;=EDATE(Controls!$B$5,$B$4-1),O132,0)</f>
        <v>0</v>
      </c>
      <c r="R132" t="str" cm="1">
        <f t="array" ref="R132">IF(B132="","",IFERROR(INDEX('Lot Inputs'!$L$5:$L$507,MATCH(1,('Lot Inputs'!$A$5:$A$507=$B$3)*('Lot Inputs'!$B$5:$B$507=B132),0)),""))</f>
        <v/>
      </c>
      <c r="S132" s="205" t="str" cm="1">
        <f t="array" ref="S132">IF(B132="","",IFERROR(INDEX('Lot Inputs'!$M$5:$M$507,MATCH(1,('Lot Inputs'!$A$5:$A$507=$B$3)*('Lot Inputs'!$B$5:$B$507=B132),0)),""))</f>
        <v/>
      </c>
      <c r="T132" s="459" t="str">
        <f ca="1">IF(S132="","",S132-TODAY())</f>
        <v/>
      </c>
    </row>
    <row r="133" spans="1:20" ht="14" customHeight="1" x14ac:dyDescent="0.35">
      <c r="A133" s="142">
        <v>127</v>
      </c>
      <c r="B133" s="143" t="str" cm="1">
        <f t="array" ref="B133">IFERROR(INDEX('Lot Inputs'!$B$5:$B$507,MATCH(_xlfn.AGGREGATE(15,6,('Lot Inputs'!$J$5:$J$507)/(('Lot Inputs'!$A$5:$A$507=$B$3)*('Lot Inputs'!$H$5:$H$507&gt;0)),ROW()-6),IF('Lot Inputs'!$A$5:$A$507=$B$3,'Lot Inputs'!$J$5:$J$507),0)),"")</f>
        <v/>
      </c>
      <c r="C133" s="144" t="str">
        <f t="shared" si="11"/>
        <v/>
      </c>
      <c r="D133" s="145" t="str" cm="1">
        <f t="array" ref="D133">IF(B133="","",INDEX('Lot Inputs'!$E$5:$E$507,MATCH(1,('Lot Inputs'!$A$5:$A$507=$B$3)*('Lot Inputs'!$B$5:$B$507=B133),0)))</f>
        <v/>
      </c>
      <c r="E133" s="146" t="str" cm="1">
        <f t="array" ref="E133">IF(B133="","",INDEX('Lot Inputs'!$H$5:$H$507,MATCH(1,('Lot Inputs'!$A$5:$A$507=$B$3)*('Lot Inputs'!$B$5:$B$507=B133),0)))</f>
        <v/>
      </c>
      <c r="F133" s="108" t="str">
        <f>IF(E133="","",IF(R133="On Hold",0,E133)+IF(F132="",0,F132))</f>
        <v/>
      </c>
      <c r="G133" s="108" t="str">
        <f>IF(D133="","",SUMIFS($O$7:$O$500,$N$7:$N$500,"&gt;="&amp;IF(R133="On Hold",S133,Controls!$B$5),$N$7:$N$500,"&lt;="&amp;EDATE(D133,-$B$4)))</f>
        <v/>
      </c>
      <c r="H133" s="108" t="str">
        <f t="shared" si="17"/>
        <v/>
      </c>
      <c r="I133" s="147" t="str">
        <f t="shared" si="16"/>
        <v/>
      </c>
      <c r="J133" s="148" t="str">
        <f>IF(D133="","",(YEAR(EDATE(D133,-$B$4))-YEAR(Controls!$B$5))*12+MONTH(EDATE(D133,-$B$4))-MONTH(Controls!$B$5))</f>
        <v/>
      </c>
      <c r="K133" s="149" t="str">
        <f t="array" ref="K133">IF(F133="","",IFERROR(INDEX($N$7:$N$500,MATCH(TRUE(),$P$7:$P$500&gt;=F133,0)),"After Horizon"))</f>
        <v/>
      </c>
      <c r="L133" t="str">
        <f t="shared" si="13"/>
        <v/>
      </c>
      <c r="M133" s="17" t="str">
        <f t="shared" si="14"/>
        <v/>
      </c>
      <c r="N133" s="145">
        <v>49888</v>
      </c>
      <c r="O133" s="108">
        <f>SUMIFS('Planning Engine'!$F:$F,'Planning Engine'!$B:$B,$B$3,'Planning Engine'!$A:$A,N133)</f>
        <v>27150.974211810637</v>
      </c>
      <c r="P133" s="108">
        <f t="shared" si="18"/>
        <v>2011567.7892167179</v>
      </c>
      <c r="Q133" s="146">
        <f>IF(N133&lt;=EDATE(Controls!$B$5,$B$4-1),O133,0)</f>
        <v>0</v>
      </c>
      <c r="R133" t="str" cm="1">
        <f t="array" ref="R133">IF(B133="","",IFERROR(INDEX('Lot Inputs'!$L$5:$L$507,MATCH(1,('Lot Inputs'!$A$5:$A$507=$B$3)*('Lot Inputs'!$B$5:$B$507=B133),0)),""))</f>
        <v/>
      </c>
      <c r="S133" s="205" t="str" cm="1">
        <f t="array" ref="S133">IF(B133="","",IFERROR(INDEX('Lot Inputs'!$M$5:$M$507,MATCH(1,('Lot Inputs'!$A$5:$A$507=$B$3)*('Lot Inputs'!$B$5:$B$507=B133),0)),""))</f>
        <v/>
      </c>
      <c r="T133" s="459" t="str">
        <f ca="1">IF(S133="","",S133-TODAY())</f>
        <v/>
      </c>
    </row>
    <row r="134" spans="1:20" ht="14" customHeight="1" x14ac:dyDescent="0.35">
      <c r="A134" s="142">
        <v>128</v>
      </c>
      <c r="B134" s="143" t="str" cm="1">
        <f t="array" ref="B134">IFERROR(INDEX('Lot Inputs'!$B$5:$B$507,MATCH(_xlfn.AGGREGATE(15,6,('Lot Inputs'!$J$5:$J$507)/(('Lot Inputs'!$A$5:$A$507=$B$3)*('Lot Inputs'!$H$5:$H$507&gt;0)),ROW()-6),IF('Lot Inputs'!$A$5:$A$507=$B$3,'Lot Inputs'!$J$5:$J$507),0)),"")</f>
        <v/>
      </c>
      <c r="C134" s="144" t="str">
        <f t="shared" si="11"/>
        <v/>
      </c>
      <c r="D134" s="145" t="str" cm="1">
        <f t="array" ref="D134">IF(B134="","",INDEX('Lot Inputs'!$E$5:$E$507,MATCH(1,('Lot Inputs'!$A$5:$A$507=$B$3)*('Lot Inputs'!$B$5:$B$507=B134),0)))</f>
        <v/>
      </c>
      <c r="E134" s="146" t="str" cm="1">
        <f t="array" ref="E134">IF(B134="","",INDEX('Lot Inputs'!$H$5:$H$507,MATCH(1,('Lot Inputs'!$A$5:$A$507=$B$3)*('Lot Inputs'!$B$5:$B$507=B134),0)))</f>
        <v/>
      </c>
      <c r="F134" s="108" t="str">
        <f>IF(E134="","",IF(R134="On Hold",0,E134)+IF(F133="",0,F133))</f>
        <v/>
      </c>
      <c r="G134" s="108" t="str">
        <f>IF(D134="","",SUMIFS($O$7:$O$500,$N$7:$N$500,"&gt;="&amp;IF(R134="On Hold",S134,Controls!$B$5),$N$7:$N$500,"&lt;="&amp;EDATE(D134,-$B$4)))</f>
        <v/>
      </c>
      <c r="H134" s="108" t="str">
        <f t="shared" si="17"/>
        <v/>
      </c>
      <c r="I134" s="147" t="str">
        <f t="shared" si="16"/>
        <v/>
      </c>
      <c r="J134" s="148" t="str">
        <f>IF(D134="","",(YEAR(EDATE(D134,-$B$4))-YEAR(Controls!$B$5))*12+MONTH(EDATE(D134,-$B$4))-MONTH(Controls!$B$5))</f>
        <v/>
      </c>
      <c r="K134" s="149" t="str">
        <f t="array" ref="K134">IF(F134="","",IFERROR(INDEX($N$7:$N$500,MATCH(TRUE(),$P$7:$P$500&gt;=F134,0)),"After Horizon"))</f>
        <v/>
      </c>
      <c r="L134" t="str">
        <f t="shared" si="13"/>
        <v/>
      </c>
      <c r="M134" s="17" t="str">
        <f t="shared" si="14"/>
        <v/>
      </c>
      <c r="N134" s="145">
        <v>49919</v>
      </c>
      <c r="O134" s="108">
        <f>SUMIFS('Planning Engine'!$F:$F,'Planning Engine'!$B:$B,$B$3,'Planning Engine'!$A:$A,N134)</f>
        <v>23810.796458901594</v>
      </c>
      <c r="P134" s="108">
        <f t="shared" si="18"/>
        <v>2035378.5856756195</v>
      </c>
      <c r="Q134" s="146">
        <f>IF(N134&lt;=EDATE(Controls!$B$5,$B$4-1),O134,0)</f>
        <v>0</v>
      </c>
      <c r="R134" t="str" cm="1">
        <f t="array" ref="R134">IF(B134="","",IFERROR(INDEX('Lot Inputs'!$L$5:$L$507,MATCH(1,('Lot Inputs'!$A$5:$A$507=$B$3)*('Lot Inputs'!$B$5:$B$507=B134),0)),""))</f>
        <v/>
      </c>
      <c r="S134" s="205" t="str" cm="1">
        <f t="array" ref="S134">IF(B134="","",IFERROR(INDEX('Lot Inputs'!$M$5:$M$507,MATCH(1,('Lot Inputs'!$A$5:$A$507=$B$3)*('Lot Inputs'!$B$5:$B$507=B134),0)),""))</f>
        <v/>
      </c>
      <c r="T134" s="459" t="str">
        <f ca="1">IF(S134="","",S134-TODAY())</f>
        <v/>
      </c>
    </row>
    <row r="135" spans="1:20" ht="14" customHeight="1" x14ac:dyDescent="0.35">
      <c r="A135" s="142">
        <v>129</v>
      </c>
      <c r="B135" s="143" t="str" cm="1">
        <f t="array" ref="B135">IFERROR(INDEX('Lot Inputs'!$B$5:$B$507,MATCH(_xlfn.AGGREGATE(15,6,('Lot Inputs'!$J$5:$J$507)/(('Lot Inputs'!$A$5:$A$507=$B$3)*('Lot Inputs'!$H$5:$H$507&gt;0)),ROW()-6),IF('Lot Inputs'!$A$5:$A$507=$B$3,'Lot Inputs'!$J$5:$J$507),0)),"")</f>
        <v/>
      </c>
      <c r="C135" s="144" t="str">
        <f t="shared" si="11"/>
        <v/>
      </c>
      <c r="D135" s="145" t="str" cm="1">
        <f t="array" ref="D135">IF(B135="","",INDEX('Lot Inputs'!$E$5:$E$507,MATCH(1,('Lot Inputs'!$A$5:$A$507=$B$3)*('Lot Inputs'!$B$5:$B$507=B135),0)))</f>
        <v/>
      </c>
      <c r="E135" s="146" t="str" cm="1">
        <f t="array" ref="E135">IF(B135="","",INDEX('Lot Inputs'!$H$5:$H$507,MATCH(1,('Lot Inputs'!$A$5:$A$507=$B$3)*('Lot Inputs'!$B$5:$B$507=B135),0)))</f>
        <v/>
      </c>
      <c r="F135" s="108" t="str">
        <f>IF(E135="","",IF(R135="On Hold",0,E135)+IF(F134="",0,F134))</f>
        <v/>
      </c>
      <c r="G135" s="108" t="str">
        <f>IF(D135="","",SUMIFS($O$7:$O$500,$N$7:$N$500,"&gt;="&amp;IF(R135="On Hold",S135,Controls!$B$5),$N$7:$N$500,"&lt;="&amp;EDATE(D135,-$B$4)))</f>
        <v/>
      </c>
      <c r="H135" s="108" t="str">
        <f t="shared" si="17"/>
        <v/>
      </c>
      <c r="I135" s="147" t="str">
        <f t="shared" ref="I135:I166" si="19">IF(E135="","",MAX(0,E135-H135))</f>
        <v/>
      </c>
      <c r="J135" s="148" t="str">
        <f>IF(D135="","",(YEAR(EDATE(D135,-$B$4))-YEAR(Controls!$B$5))*12+MONTH(EDATE(D135,-$B$4))-MONTH(Controls!$B$5))</f>
        <v/>
      </c>
      <c r="K135" s="149" t="str">
        <f t="array" ref="K135">IF(F135="","",IFERROR(INDEX($N$7:$N$500,MATCH(TRUE(),$P$7:$P$500&gt;=F135,0)),"After Horizon"))</f>
        <v/>
      </c>
      <c r="L135" t="str">
        <f t="shared" si="13"/>
        <v/>
      </c>
      <c r="M135" s="17" t="str">
        <f t="shared" si="14"/>
        <v/>
      </c>
      <c r="N135" s="145">
        <v>49949</v>
      </c>
      <c r="O135" s="108">
        <f>SUMIFS('Planning Engine'!$F:$F,'Planning Engine'!$B:$B,$B$3,'Planning Engine'!$A:$A,N135)</f>
        <v>24550.180252652164</v>
      </c>
      <c r="P135" s="108">
        <f t="shared" si="18"/>
        <v>2059928.7659282717</v>
      </c>
      <c r="Q135" s="146">
        <f>IF(N135&lt;=EDATE(Controls!$B$5,$B$4-1),O135,0)</f>
        <v>0</v>
      </c>
      <c r="R135" t="str" cm="1">
        <f t="array" ref="R135">IF(B135="","",IFERROR(INDEX('Lot Inputs'!$L$5:$L$507,MATCH(1,('Lot Inputs'!$A$5:$A$507=$B$3)*('Lot Inputs'!$B$5:$B$507=B135),0)),""))</f>
        <v/>
      </c>
      <c r="S135" s="205" t="str" cm="1">
        <f t="array" ref="S135">IF(B135="","",IFERROR(INDEX('Lot Inputs'!$M$5:$M$507,MATCH(1,('Lot Inputs'!$A$5:$A$507=$B$3)*('Lot Inputs'!$B$5:$B$507=B135),0)),""))</f>
        <v/>
      </c>
      <c r="T135" s="459" t="str">
        <f ca="1">IF(S135="","",S135-TODAY())</f>
        <v/>
      </c>
    </row>
    <row r="136" spans="1:20" ht="14" customHeight="1" x14ac:dyDescent="0.35">
      <c r="A136" s="142">
        <v>130</v>
      </c>
      <c r="B136" s="143" t="str" cm="1">
        <f t="array" ref="B136">IFERROR(INDEX('Lot Inputs'!$B$5:$B$507,MATCH(_xlfn.AGGREGATE(15,6,('Lot Inputs'!$J$5:$J$507)/(('Lot Inputs'!$A$5:$A$507=$B$3)*('Lot Inputs'!$H$5:$H$507&gt;0)),ROW()-6),IF('Lot Inputs'!$A$5:$A$507=$B$3,'Lot Inputs'!$J$5:$J$507),0)),"")</f>
        <v/>
      </c>
      <c r="C136" s="144" t="str">
        <f t="shared" ref="C136:C199" si="20">IF(B136="","",$B$3)</f>
        <v/>
      </c>
      <c r="D136" s="145" t="str" cm="1">
        <f t="array" ref="D136">IF(B136="","",INDEX('Lot Inputs'!$E$5:$E$507,MATCH(1,('Lot Inputs'!$A$5:$A$507=$B$3)*('Lot Inputs'!$B$5:$B$507=B136),0)))</f>
        <v/>
      </c>
      <c r="E136" s="146" t="str" cm="1">
        <f t="array" ref="E136">IF(B136="","",INDEX('Lot Inputs'!$H$5:$H$507,MATCH(1,('Lot Inputs'!$A$5:$A$507=$B$3)*('Lot Inputs'!$B$5:$B$507=B136),0)))</f>
        <v/>
      </c>
      <c r="F136" s="108" t="str">
        <f>IF(E136="","",IF(R136="On Hold",0,E136)+IF(F135="",0,F135))</f>
        <v/>
      </c>
      <c r="G136" s="108" t="str">
        <f>IF(D136="","",SUMIFS($O$7:$O$500,$N$7:$N$500,"&gt;="&amp;IF(R136="On Hold",S136,Controls!$B$5),$N$7:$N$500,"&lt;="&amp;EDATE(D136,-$B$4)))</f>
        <v/>
      </c>
      <c r="H136" s="108" t="str">
        <f t="shared" ref="H136:H167" si="21">IF(E136="","",MIN(E136,MAX(0,G136-IF(ROW()=7,0,F135))))</f>
        <v/>
      </c>
      <c r="I136" s="147" t="str">
        <f t="shared" si="19"/>
        <v/>
      </c>
      <c r="J136" s="148" t="str">
        <f>IF(D136="","",(YEAR(EDATE(D136,-$B$4))-YEAR(Controls!$B$5))*12+MONTH(EDATE(D136,-$B$4))-MONTH(Controls!$B$5))</f>
        <v/>
      </c>
      <c r="K136" s="149" t="str">
        <f t="array" ref="K136">IF(F136="","",IFERROR(INDEX($N$7:$N$500,MATCH(TRUE(),$P$7:$P$500&gt;=F136,0)),"After Horizon"))</f>
        <v/>
      </c>
      <c r="L136" t="str">
        <f t="shared" ref="L136:L199" si="22">IF(E136="","",IF(R136="On Hold",IF(I136&gt;0,"On Hold - At Risk","On Hold"),IF(I136&gt;0,"At Risk",IF(K136&gt;D136,"FEFO Breach","OK"))))</f>
        <v/>
      </c>
      <c r="M136" s="17" t="str">
        <f t="shared" ref="M136:M199" si="23">IF(B136="","",IF(R136="On Hold",IF(S136="","Release ASAP","Release by "&amp;TEXT(S136,"mmm-yy")),IF(L136="At Risk","Use before "&amp;TEXT(D136,"mmm-yy"),IF(L136="FEFO Breach","Accelerate consumption / reduce inventory","Standard FEFO"))))</f>
        <v/>
      </c>
      <c r="N136" s="145">
        <v>49980</v>
      </c>
      <c r="O136" s="108">
        <f>SUMIFS('Planning Engine'!$F:$F,'Planning Engine'!$B:$B,$B$3,'Planning Engine'!$A:$A,N136)</f>
        <v>26721.009294803473</v>
      </c>
      <c r="P136" s="108">
        <f t="shared" ref="P136:P167" si="24">P135+O136</f>
        <v>2086649.7752230752</v>
      </c>
      <c r="Q136" s="146">
        <f>IF(N136&lt;=EDATE(Controls!$B$5,$B$4-1),O136,0)</f>
        <v>0</v>
      </c>
      <c r="R136" t="str" cm="1">
        <f t="array" ref="R136">IF(B136="","",IFERROR(INDEX('Lot Inputs'!$L$5:$L$507,MATCH(1,('Lot Inputs'!$A$5:$A$507=$B$3)*('Lot Inputs'!$B$5:$B$507=B136),0)),""))</f>
        <v/>
      </c>
      <c r="S136" s="205" t="str" cm="1">
        <f t="array" ref="S136">IF(B136="","",IFERROR(INDEX('Lot Inputs'!$M$5:$M$507,MATCH(1,('Lot Inputs'!$A$5:$A$507=$B$3)*('Lot Inputs'!$B$5:$B$507=B136),0)),""))</f>
        <v/>
      </c>
      <c r="T136" s="459" t="str">
        <f ca="1">IF(S136="","",S136-TODAY())</f>
        <v/>
      </c>
    </row>
    <row r="137" spans="1:20" ht="14" customHeight="1" x14ac:dyDescent="0.35">
      <c r="A137" s="142">
        <v>131</v>
      </c>
      <c r="B137" s="143" t="str" cm="1">
        <f t="array" ref="B137">IFERROR(INDEX('Lot Inputs'!$B$5:$B$507,MATCH(_xlfn.AGGREGATE(15,6,('Lot Inputs'!$J$5:$J$507)/(('Lot Inputs'!$A$5:$A$507=$B$3)*('Lot Inputs'!$H$5:$H$507&gt;0)),ROW()-6),IF('Lot Inputs'!$A$5:$A$507=$B$3,'Lot Inputs'!$J$5:$J$507),0)),"")</f>
        <v/>
      </c>
      <c r="C137" s="144" t="str">
        <f t="shared" si="20"/>
        <v/>
      </c>
      <c r="D137" s="145" t="str" cm="1">
        <f t="array" ref="D137">IF(B137="","",INDEX('Lot Inputs'!$E$5:$E$507,MATCH(1,('Lot Inputs'!$A$5:$A$507=$B$3)*('Lot Inputs'!$B$5:$B$507=B137),0)))</f>
        <v/>
      </c>
      <c r="E137" s="146" t="str" cm="1">
        <f t="array" ref="E137">IF(B137="","",INDEX('Lot Inputs'!$H$5:$H$507,MATCH(1,('Lot Inputs'!$A$5:$A$507=$B$3)*('Lot Inputs'!$B$5:$B$507=B137),0)))</f>
        <v/>
      </c>
      <c r="F137" s="108" t="str">
        <f>IF(E137="","",IF(R137="On Hold",0,E137)+IF(F136="",0,F136))</f>
        <v/>
      </c>
      <c r="G137" s="108" t="str">
        <f>IF(D137="","",SUMIFS($O$7:$O$500,$N$7:$N$500,"&gt;="&amp;IF(R137="On Hold",S137,Controls!$B$5),$N$7:$N$500,"&lt;="&amp;EDATE(D137,-$B$4)))</f>
        <v/>
      </c>
      <c r="H137" s="108" t="str">
        <f t="shared" si="21"/>
        <v/>
      </c>
      <c r="I137" s="147" t="str">
        <f t="shared" si="19"/>
        <v/>
      </c>
      <c r="J137" s="148" t="str">
        <f>IF(D137="","",(YEAR(EDATE(D137,-$B$4))-YEAR(Controls!$B$5))*12+MONTH(EDATE(D137,-$B$4))-MONTH(Controls!$B$5))</f>
        <v/>
      </c>
      <c r="K137" s="149" t="str">
        <f t="array" ref="K137">IF(F137="","",IFERROR(INDEX($N$7:$N$500,MATCH(TRUE(),$P$7:$P$500&gt;=F137,0)),"After Horizon"))</f>
        <v/>
      </c>
      <c r="L137" t="str">
        <f t="shared" si="22"/>
        <v/>
      </c>
      <c r="M137" s="17" t="str">
        <f t="shared" si="23"/>
        <v/>
      </c>
      <c r="N137" s="145">
        <v>50010</v>
      </c>
      <c r="O137" s="108">
        <f>SUMIFS('Planning Engine'!$F:$F,'Planning Engine'!$B:$B,$B$3,'Planning Engine'!$A:$A,N137)</f>
        <v>17738.584162178347</v>
      </c>
      <c r="P137" s="108">
        <f t="shared" si="24"/>
        <v>2104388.3593852534</v>
      </c>
      <c r="Q137" s="146">
        <f>IF(N137&lt;=EDATE(Controls!$B$5,$B$4-1),O137,0)</f>
        <v>0</v>
      </c>
      <c r="R137" t="str" cm="1">
        <f t="array" ref="R137">IF(B137="","",IFERROR(INDEX('Lot Inputs'!$L$5:$L$507,MATCH(1,('Lot Inputs'!$A$5:$A$507=$B$3)*('Lot Inputs'!$B$5:$B$507=B137),0)),""))</f>
        <v/>
      </c>
      <c r="S137" s="205" t="str" cm="1">
        <f t="array" ref="S137">IF(B137="","",IFERROR(INDEX('Lot Inputs'!$M$5:$M$507,MATCH(1,('Lot Inputs'!$A$5:$A$507=$B$3)*('Lot Inputs'!$B$5:$B$507=B137),0)),""))</f>
        <v/>
      </c>
      <c r="T137" s="459" t="str">
        <f ca="1">IF(S137="","",S137-TODAY())</f>
        <v/>
      </c>
    </row>
    <row r="138" spans="1:20" ht="14" customHeight="1" x14ac:dyDescent="0.35">
      <c r="A138" s="142">
        <v>132</v>
      </c>
      <c r="B138" s="143" t="str" cm="1">
        <f t="array" ref="B138">IFERROR(INDEX('Lot Inputs'!$B$5:$B$507,MATCH(_xlfn.AGGREGATE(15,6,('Lot Inputs'!$J$5:$J$507)/(('Lot Inputs'!$A$5:$A$507=$B$3)*('Lot Inputs'!$H$5:$H$507&gt;0)),ROW()-6),IF('Lot Inputs'!$A$5:$A$507=$B$3,'Lot Inputs'!$J$5:$J$507),0)),"")</f>
        <v/>
      </c>
      <c r="C138" s="144" t="str">
        <f t="shared" si="20"/>
        <v/>
      </c>
      <c r="D138" s="145" t="str" cm="1">
        <f t="array" ref="D138">IF(B138="","",INDEX('Lot Inputs'!$E$5:$E$507,MATCH(1,('Lot Inputs'!$A$5:$A$507=$B$3)*('Lot Inputs'!$B$5:$B$507=B138),0)))</f>
        <v/>
      </c>
      <c r="E138" s="146" t="str" cm="1">
        <f t="array" ref="E138">IF(B138="","",INDEX('Lot Inputs'!$H$5:$H$507,MATCH(1,('Lot Inputs'!$A$5:$A$507=$B$3)*('Lot Inputs'!$B$5:$B$507=B138),0)))</f>
        <v/>
      </c>
      <c r="F138" s="108" t="str">
        <f>IF(E138="","",IF(R138="On Hold",0,E138)+IF(F137="",0,F137))</f>
        <v/>
      </c>
      <c r="G138" s="108" t="str">
        <f>IF(D138="","",SUMIFS($O$7:$O$500,$N$7:$N$500,"&gt;="&amp;IF(R138="On Hold",S138,Controls!$B$5),$N$7:$N$500,"&lt;="&amp;EDATE(D138,-$B$4)))</f>
        <v/>
      </c>
      <c r="H138" s="108" t="str">
        <f t="shared" si="21"/>
        <v/>
      </c>
      <c r="I138" s="147" t="str">
        <f t="shared" si="19"/>
        <v/>
      </c>
      <c r="J138" s="148" t="str">
        <f>IF(D138="","",(YEAR(EDATE(D138,-$B$4))-YEAR(Controls!$B$5))*12+MONTH(EDATE(D138,-$B$4))-MONTH(Controls!$B$5))</f>
        <v/>
      </c>
      <c r="K138" s="149" t="str">
        <f t="array" ref="K138">IF(F138="","",IFERROR(INDEX($N$7:$N$500,MATCH(TRUE(),$P$7:$P$500&gt;=F138,0)),"After Horizon"))</f>
        <v/>
      </c>
      <c r="L138" t="str">
        <f t="shared" si="22"/>
        <v/>
      </c>
      <c r="M138" s="17" t="str">
        <f t="shared" si="23"/>
        <v/>
      </c>
      <c r="N138" s="145">
        <v>50041</v>
      </c>
      <c r="O138" s="108">
        <f>SUMIFS('Planning Engine'!$F:$F,'Planning Engine'!$B:$B,$B$3,'Planning Engine'!$A:$A,N138)</f>
        <v>28581.190662175093</v>
      </c>
      <c r="P138" s="108">
        <f t="shared" si="24"/>
        <v>2132969.5500474283</v>
      </c>
      <c r="Q138" s="146">
        <f>IF(N138&lt;=EDATE(Controls!$B$5,$B$4-1),O138,0)</f>
        <v>0</v>
      </c>
      <c r="R138" t="str" cm="1">
        <f t="array" ref="R138">IF(B138="","",IFERROR(INDEX('Lot Inputs'!$L$5:$L$507,MATCH(1,('Lot Inputs'!$A$5:$A$507=$B$3)*('Lot Inputs'!$B$5:$B$507=B138),0)),""))</f>
        <v/>
      </c>
      <c r="S138" s="205" t="str" cm="1">
        <f t="array" ref="S138">IF(B138="","",IFERROR(INDEX('Lot Inputs'!$M$5:$M$507,MATCH(1,('Lot Inputs'!$A$5:$A$507=$B$3)*('Lot Inputs'!$B$5:$B$507=B138),0)),""))</f>
        <v/>
      </c>
      <c r="T138" s="459" t="str">
        <f ca="1">IF(S138="","",S138-TODAY())</f>
        <v/>
      </c>
    </row>
    <row r="139" spans="1:20" ht="14" customHeight="1" x14ac:dyDescent="0.35">
      <c r="A139" s="142">
        <v>133</v>
      </c>
      <c r="B139" s="143" t="str" cm="1">
        <f t="array" ref="B139">IFERROR(INDEX('Lot Inputs'!$B$5:$B$507,MATCH(_xlfn.AGGREGATE(15,6,('Lot Inputs'!$J$5:$J$507)/(('Lot Inputs'!$A$5:$A$507=$B$3)*('Lot Inputs'!$H$5:$H$507&gt;0)),ROW()-6),IF('Lot Inputs'!$A$5:$A$507=$B$3,'Lot Inputs'!$J$5:$J$507),0)),"")</f>
        <v/>
      </c>
      <c r="C139" s="144" t="str">
        <f t="shared" si="20"/>
        <v/>
      </c>
      <c r="D139" s="145" t="str" cm="1">
        <f t="array" ref="D139">IF(B139="","",INDEX('Lot Inputs'!$E$5:$E$507,MATCH(1,('Lot Inputs'!$A$5:$A$507=$B$3)*('Lot Inputs'!$B$5:$B$507=B139),0)))</f>
        <v/>
      </c>
      <c r="E139" s="146" t="str" cm="1">
        <f t="array" ref="E139">IF(B139="","",INDEX('Lot Inputs'!$H$5:$H$507,MATCH(1,('Lot Inputs'!$A$5:$A$507=$B$3)*('Lot Inputs'!$B$5:$B$507=B139),0)))</f>
        <v/>
      </c>
      <c r="F139" s="108" t="str">
        <f>IF(E139="","",IF(R139="On Hold",0,E139)+IF(F138="",0,F138))</f>
        <v/>
      </c>
      <c r="G139" s="108" t="str">
        <f>IF(D139="","",SUMIFS($O$7:$O$500,$N$7:$N$500,"&gt;="&amp;IF(R139="On Hold",S139,Controls!$B$5),$N$7:$N$500,"&lt;="&amp;EDATE(D139,-$B$4)))</f>
        <v/>
      </c>
      <c r="H139" s="108" t="str">
        <f t="shared" si="21"/>
        <v/>
      </c>
      <c r="I139" s="147" t="str">
        <f t="shared" si="19"/>
        <v/>
      </c>
      <c r="J139" s="148" t="str">
        <f>IF(D139="","",(YEAR(EDATE(D139,-$B$4))-YEAR(Controls!$B$5))*12+MONTH(EDATE(D139,-$B$4))-MONTH(Controls!$B$5))</f>
        <v/>
      </c>
      <c r="K139" s="149" t="str">
        <f t="array" ref="K139">IF(F139="","",IFERROR(INDEX($N$7:$N$500,MATCH(TRUE(),$P$7:$P$500&gt;=F139,0)),"After Horizon"))</f>
        <v/>
      </c>
      <c r="L139" t="str">
        <f t="shared" si="22"/>
        <v/>
      </c>
      <c r="M139" s="17" t="str">
        <f t="shared" si="23"/>
        <v/>
      </c>
      <c r="N139" s="145">
        <v>50072</v>
      </c>
      <c r="O139" s="108">
        <f>SUMIFS('Planning Engine'!$F:$F,'Planning Engine'!$B:$B,$B$3,'Planning Engine'!$A:$A,N139)</f>
        <v>21731.993442591658</v>
      </c>
      <c r="P139" s="108">
        <f t="shared" si="24"/>
        <v>2154701.5434900201</v>
      </c>
      <c r="Q139" s="146">
        <f>IF(N139&lt;=EDATE(Controls!$B$5,$B$4-1),O139,0)</f>
        <v>0</v>
      </c>
      <c r="R139" t="str" cm="1">
        <f t="array" ref="R139">IF(B139="","",IFERROR(INDEX('Lot Inputs'!$L$5:$L$507,MATCH(1,('Lot Inputs'!$A$5:$A$507=$B$3)*('Lot Inputs'!$B$5:$B$507=B139),0)),""))</f>
        <v/>
      </c>
      <c r="S139" s="205" t="str" cm="1">
        <f t="array" ref="S139">IF(B139="","",IFERROR(INDEX('Lot Inputs'!$M$5:$M$507,MATCH(1,('Lot Inputs'!$A$5:$A$507=$B$3)*('Lot Inputs'!$B$5:$B$507=B139),0)),""))</f>
        <v/>
      </c>
      <c r="T139" s="459" t="str">
        <f ca="1">IF(S139="","",S139-TODAY())</f>
        <v/>
      </c>
    </row>
    <row r="140" spans="1:20" ht="14" customHeight="1" x14ac:dyDescent="0.35">
      <c r="A140" s="142">
        <v>134</v>
      </c>
      <c r="B140" s="143" t="str" cm="1">
        <f t="array" ref="B140">IFERROR(INDEX('Lot Inputs'!$B$5:$B$507,MATCH(_xlfn.AGGREGATE(15,6,('Lot Inputs'!$J$5:$J$507)/(('Lot Inputs'!$A$5:$A$507=$B$3)*('Lot Inputs'!$H$5:$H$507&gt;0)),ROW()-6),IF('Lot Inputs'!$A$5:$A$507=$B$3,'Lot Inputs'!$J$5:$J$507),0)),"")</f>
        <v/>
      </c>
      <c r="C140" s="144" t="str">
        <f t="shared" si="20"/>
        <v/>
      </c>
      <c r="D140" s="145" t="str" cm="1">
        <f t="array" ref="D140">IF(B140="","",INDEX('Lot Inputs'!$E$5:$E$507,MATCH(1,('Lot Inputs'!$A$5:$A$507=$B$3)*('Lot Inputs'!$B$5:$B$507=B140),0)))</f>
        <v/>
      </c>
      <c r="E140" s="146" t="str" cm="1">
        <f t="array" ref="E140">IF(B140="","",INDEX('Lot Inputs'!$H$5:$H$507,MATCH(1,('Lot Inputs'!$A$5:$A$507=$B$3)*('Lot Inputs'!$B$5:$B$507=B140),0)))</f>
        <v/>
      </c>
      <c r="F140" s="108" t="str">
        <f>IF(E140="","",IF(R140="On Hold",0,E140)+IF(F139="",0,F139))</f>
        <v/>
      </c>
      <c r="G140" s="108" t="str">
        <f>IF(D140="","",SUMIFS($O$7:$O$500,$N$7:$N$500,"&gt;="&amp;IF(R140="On Hold",S140,Controls!$B$5),$N$7:$N$500,"&lt;="&amp;EDATE(D140,-$B$4)))</f>
        <v/>
      </c>
      <c r="H140" s="108" t="str">
        <f t="shared" si="21"/>
        <v/>
      </c>
      <c r="I140" s="147" t="str">
        <f t="shared" si="19"/>
        <v/>
      </c>
      <c r="J140" s="148" t="str">
        <f>IF(D140="","",(YEAR(EDATE(D140,-$B$4))-YEAR(Controls!$B$5))*12+MONTH(EDATE(D140,-$B$4))-MONTH(Controls!$B$5))</f>
        <v/>
      </c>
      <c r="K140" s="149" t="str">
        <f t="array" ref="K140">IF(F140="","",IFERROR(INDEX($N$7:$N$500,MATCH(TRUE(),$P$7:$P$500&gt;=F140,0)),"After Horizon"))</f>
        <v/>
      </c>
      <c r="L140" t="str">
        <f t="shared" si="22"/>
        <v/>
      </c>
      <c r="M140" s="17" t="str">
        <f t="shared" si="23"/>
        <v/>
      </c>
      <c r="N140" s="145">
        <v>50100</v>
      </c>
      <c r="O140" s="108">
        <f>SUMIFS('Planning Engine'!$F:$F,'Planning Engine'!$B:$B,$B$3,'Planning Engine'!$A:$A,N140)</f>
        <v>20969.159246095158</v>
      </c>
      <c r="P140" s="108">
        <f t="shared" si="24"/>
        <v>2175670.7027361151</v>
      </c>
      <c r="Q140" s="146">
        <f>IF(N140&lt;=EDATE(Controls!$B$5,$B$4-1),O140,0)</f>
        <v>0</v>
      </c>
      <c r="R140" t="str" cm="1">
        <f t="array" ref="R140">IF(B140="","",IFERROR(INDEX('Lot Inputs'!$L$5:$L$507,MATCH(1,('Lot Inputs'!$A$5:$A$507=$B$3)*('Lot Inputs'!$B$5:$B$507=B140),0)),""))</f>
        <v/>
      </c>
      <c r="S140" s="205" t="str" cm="1">
        <f t="array" ref="S140">IF(B140="","",IFERROR(INDEX('Lot Inputs'!$M$5:$M$507,MATCH(1,('Lot Inputs'!$A$5:$A$507=$B$3)*('Lot Inputs'!$B$5:$B$507=B140),0)),""))</f>
        <v/>
      </c>
      <c r="T140" s="459" t="str">
        <f ca="1">IF(S140="","",S140-TODAY())</f>
        <v/>
      </c>
    </row>
    <row r="141" spans="1:20" ht="14" customHeight="1" x14ac:dyDescent="0.35">
      <c r="A141" s="142">
        <v>135</v>
      </c>
      <c r="B141" s="143" t="str" cm="1">
        <f t="array" ref="B141">IFERROR(INDEX('Lot Inputs'!$B$5:$B$507,MATCH(_xlfn.AGGREGATE(15,6,('Lot Inputs'!$J$5:$J$507)/(('Lot Inputs'!$A$5:$A$507=$B$3)*('Lot Inputs'!$H$5:$H$507&gt;0)),ROW()-6),IF('Lot Inputs'!$A$5:$A$507=$B$3,'Lot Inputs'!$J$5:$J$507),0)),"")</f>
        <v/>
      </c>
      <c r="C141" s="144" t="str">
        <f t="shared" si="20"/>
        <v/>
      </c>
      <c r="D141" s="145" t="str" cm="1">
        <f t="array" ref="D141">IF(B141="","",INDEX('Lot Inputs'!$E$5:$E$507,MATCH(1,('Lot Inputs'!$A$5:$A$507=$B$3)*('Lot Inputs'!$B$5:$B$507=B141),0)))</f>
        <v/>
      </c>
      <c r="E141" s="146" t="str" cm="1">
        <f t="array" ref="E141">IF(B141="","",INDEX('Lot Inputs'!$H$5:$H$507,MATCH(1,('Lot Inputs'!$A$5:$A$507=$B$3)*('Lot Inputs'!$B$5:$B$507=B141),0)))</f>
        <v/>
      </c>
      <c r="F141" s="108" t="str">
        <f>IF(E141="","",IF(R141="On Hold",0,E141)+IF(F140="",0,F140))</f>
        <v/>
      </c>
      <c r="G141" s="108" t="str">
        <f>IF(D141="","",SUMIFS($O$7:$O$500,$N$7:$N$500,"&gt;="&amp;IF(R141="On Hold",S141,Controls!$B$5),$N$7:$N$500,"&lt;="&amp;EDATE(D141,-$B$4)))</f>
        <v/>
      </c>
      <c r="H141" s="108" t="str">
        <f t="shared" si="21"/>
        <v/>
      </c>
      <c r="I141" s="147" t="str">
        <f t="shared" si="19"/>
        <v/>
      </c>
      <c r="J141" s="148" t="str">
        <f>IF(D141="","",(YEAR(EDATE(D141,-$B$4))-YEAR(Controls!$B$5))*12+MONTH(EDATE(D141,-$B$4))-MONTH(Controls!$B$5))</f>
        <v/>
      </c>
      <c r="K141" s="149" t="str">
        <f t="array" ref="K141">IF(F141="","",IFERROR(INDEX($N$7:$N$500,MATCH(TRUE(),$P$7:$P$500&gt;=F141,0)),"After Horizon"))</f>
        <v/>
      </c>
      <c r="L141" t="str">
        <f t="shared" si="22"/>
        <v/>
      </c>
      <c r="M141" s="17" t="str">
        <f t="shared" si="23"/>
        <v/>
      </c>
      <c r="N141" s="145">
        <v>50131</v>
      </c>
      <c r="O141" s="108">
        <f>SUMIFS('Planning Engine'!$F:$F,'Planning Engine'!$B:$B,$B$3,'Planning Engine'!$A:$A,N141)</f>
        <v>27702.328031178353</v>
      </c>
      <c r="P141" s="108">
        <f t="shared" si="24"/>
        <v>2203373.0307672936</v>
      </c>
      <c r="Q141" s="146">
        <f>IF(N141&lt;=EDATE(Controls!$B$5,$B$4-1),O141,0)</f>
        <v>0</v>
      </c>
      <c r="R141" t="str" cm="1">
        <f t="array" ref="R141">IF(B141="","",IFERROR(INDEX('Lot Inputs'!$L$5:$L$507,MATCH(1,('Lot Inputs'!$A$5:$A$507=$B$3)*('Lot Inputs'!$B$5:$B$507=B141),0)),""))</f>
        <v/>
      </c>
      <c r="S141" s="205" t="str" cm="1">
        <f t="array" ref="S141">IF(B141="","",IFERROR(INDEX('Lot Inputs'!$M$5:$M$507,MATCH(1,('Lot Inputs'!$A$5:$A$507=$B$3)*('Lot Inputs'!$B$5:$B$507=B141),0)),""))</f>
        <v/>
      </c>
      <c r="T141" s="459" t="str">
        <f ca="1">IF(S141="","",S141-TODAY())</f>
        <v/>
      </c>
    </row>
    <row r="142" spans="1:20" ht="14" customHeight="1" x14ac:dyDescent="0.35">
      <c r="A142" s="142">
        <v>136</v>
      </c>
      <c r="B142" s="143" t="str" cm="1">
        <f t="array" ref="B142">IFERROR(INDEX('Lot Inputs'!$B$5:$B$507,MATCH(_xlfn.AGGREGATE(15,6,('Lot Inputs'!$J$5:$J$507)/(('Lot Inputs'!$A$5:$A$507=$B$3)*('Lot Inputs'!$H$5:$H$507&gt;0)),ROW()-6),IF('Lot Inputs'!$A$5:$A$507=$B$3,'Lot Inputs'!$J$5:$J$507),0)),"")</f>
        <v/>
      </c>
      <c r="C142" s="144" t="str">
        <f t="shared" si="20"/>
        <v/>
      </c>
      <c r="D142" s="145" t="str" cm="1">
        <f t="array" ref="D142">IF(B142="","",INDEX('Lot Inputs'!$E$5:$E$507,MATCH(1,('Lot Inputs'!$A$5:$A$507=$B$3)*('Lot Inputs'!$B$5:$B$507=B142),0)))</f>
        <v/>
      </c>
      <c r="E142" s="146" t="str" cm="1">
        <f t="array" ref="E142">IF(B142="","",INDEX('Lot Inputs'!$H$5:$H$507,MATCH(1,('Lot Inputs'!$A$5:$A$507=$B$3)*('Lot Inputs'!$B$5:$B$507=B142),0)))</f>
        <v/>
      </c>
      <c r="F142" s="108" t="str">
        <f>IF(E142="","",IF(R142="On Hold",0,E142)+IF(F141="",0,F141))</f>
        <v/>
      </c>
      <c r="G142" s="108" t="str">
        <f>IF(D142="","",SUMIFS($O$7:$O$500,$N$7:$N$500,"&gt;="&amp;IF(R142="On Hold",S142,Controls!$B$5),$N$7:$N$500,"&lt;="&amp;EDATE(D142,-$B$4)))</f>
        <v/>
      </c>
      <c r="H142" s="108" t="str">
        <f t="shared" si="21"/>
        <v/>
      </c>
      <c r="I142" s="147" t="str">
        <f t="shared" si="19"/>
        <v/>
      </c>
      <c r="J142" s="148" t="str">
        <f>IF(D142="","",(YEAR(EDATE(D142,-$B$4))-YEAR(Controls!$B$5))*12+MONTH(EDATE(D142,-$B$4))-MONTH(Controls!$B$5))</f>
        <v/>
      </c>
      <c r="K142" s="149" t="str">
        <f t="array" ref="K142">IF(F142="","",IFERROR(INDEX($N$7:$N$500,MATCH(TRUE(),$P$7:$P$500&gt;=F142,0)),"After Horizon"))</f>
        <v/>
      </c>
      <c r="L142" t="str">
        <f t="shared" si="22"/>
        <v/>
      </c>
      <c r="M142" s="17" t="str">
        <f t="shared" si="23"/>
        <v/>
      </c>
      <c r="N142" s="145">
        <v>50161</v>
      </c>
      <c r="O142" s="108">
        <f>SUMIFS('Planning Engine'!$F:$F,'Planning Engine'!$B:$B,$B$3,'Planning Engine'!$A:$A,N142)</f>
        <v>25810.632578366407</v>
      </c>
      <c r="P142" s="108">
        <f t="shared" si="24"/>
        <v>2229183.6633456601</v>
      </c>
      <c r="Q142" s="146">
        <f>IF(N142&lt;=EDATE(Controls!$B$5,$B$4-1),O142,0)</f>
        <v>0</v>
      </c>
      <c r="R142" t="str" cm="1">
        <f t="array" ref="R142">IF(B142="","",IFERROR(INDEX('Lot Inputs'!$L$5:$L$507,MATCH(1,('Lot Inputs'!$A$5:$A$507=$B$3)*('Lot Inputs'!$B$5:$B$507=B142),0)),""))</f>
        <v/>
      </c>
      <c r="S142" s="205" t="str" cm="1">
        <f t="array" ref="S142">IF(B142="","",IFERROR(INDEX('Lot Inputs'!$M$5:$M$507,MATCH(1,('Lot Inputs'!$A$5:$A$507=$B$3)*('Lot Inputs'!$B$5:$B$507=B142),0)),""))</f>
        <v/>
      </c>
      <c r="T142" s="459" t="str">
        <f ca="1">IF(S142="","",S142-TODAY())</f>
        <v/>
      </c>
    </row>
    <row r="143" spans="1:20" ht="14" customHeight="1" x14ac:dyDescent="0.35">
      <c r="A143" s="142">
        <v>137</v>
      </c>
      <c r="B143" s="143" t="str" cm="1">
        <f t="array" ref="B143">IFERROR(INDEX('Lot Inputs'!$B$5:$B$507,MATCH(_xlfn.AGGREGATE(15,6,('Lot Inputs'!$J$5:$J$507)/(('Lot Inputs'!$A$5:$A$507=$B$3)*('Lot Inputs'!$H$5:$H$507&gt;0)),ROW()-6),IF('Lot Inputs'!$A$5:$A$507=$B$3,'Lot Inputs'!$J$5:$J$507),0)),"")</f>
        <v/>
      </c>
      <c r="C143" s="144" t="str">
        <f t="shared" si="20"/>
        <v/>
      </c>
      <c r="D143" s="145" t="str" cm="1">
        <f t="array" ref="D143">IF(B143="","",INDEX('Lot Inputs'!$E$5:$E$507,MATCH(1,('Lot Inputs'!$A$5:$A$507=$B$3)*('Lot Inputs'!$B$5:$B$507=B143),0)))</f>
        <v/>
      </c>
      <c r="E143" s="146" t="str" cm="1">
        <f t="array" ref="E143">IF(B143="","",INDEX('Lot Inputs'!$H$5:$H$507,MATCH(1,('Lot Inputs'!$A$5:$A$507=$B$3)*('Lot Inputs'!$B$5:$B$507=B143),0)))</f>
        <v/>
      </c>
      <c r="F143" s="108" t="str">
        <f>IF(E143="","",IF(R143="On Hold",0,E143)+IF(F142="",0,F142))</f>
        <v/>
      </c>
      <c r="G143" s="108" t="str">
        <f>IF(D143="","",SUMIFS($O$7:$O$500,$N$7:$N$500,"&gt;="&amp;IF(R143="On Hold",S143,Controls!$B$5),$N$7:$N$500,"&lt;="&amp;EDATE(D143,-$B$4)))</f>
        <v/>
      </c>
      <c r="H143" s="108" t="str">
        <f t="shared" si="21"/>
        <v/>
      </c>
      <c r="I143" s="147" t="str">
        <f t="shared" si="19"/>
        <v/>
      </c>
      <c r="J143" s="148" t="str">
        <f>IF(D143="","",(YEAR(EDATE(D143,-$B$4))-YEAR(Controls!$B$5))*12+MONTH(EDATE(D143,-$B$4))-MONTH(Controls!$B$5))</f>
        <v/>
      </c>
      <c r="K143" s="149" t="str">
        <f t="array" ref="K143">IF(F143="","",IFERROR(INDEX($N$7:$N$500,MATCH(TRUE(),$P$7:$P$500&gt;=F143,0)),"After Horizon"))</f>
        <v/>
      </c>
      <c r="L143" t="str">
        <f t="shared" si="22"/>
        <v/>
      </c>
      <c r="M143" s="17" t="str">
        <f t="shared" si="23"/>
        <v/>
      </c>
      <c r="N143" s="145">
        <v>50192</v>
      </c>
      <c r="O143" s="108">
        <f>SUMIFS('Planning Engine'!$F:$F,'Planning Engine'!$B:$B,$B$3,'Planning Engine'!$A:$A,N143)</f>
        <v>21751.643648821675</v>
      </c>
      <c r="P143" s="108">
        <f t="shared" si="24"/>
        <v>2250935.3069944819</v>
      </c>
      <c r="Q143" s="146">
        <f>IF(N143&lt;=EDATE(Controls!$B$5,$B$4-1),O143,0)</f>
        <v>0</v>
      </c>
      <c r="R143" t="str" cm="1">
        <f t="array" ref="R143">IF(B143="","",IFERROR(INDEX('Lot Inputs'!$L$5:$L$507,MATCH(1,('Lot Inputs'!$A$5:$A$507=$B$3)*('Lot Inputs'!$B$5:$B$507=B143),0)),""))</f>
        <v/>
      </c>
      <c r="S143" s="205" t="str" cm="1">
        <f t="array" ref="S143">IF(B143="","",IFERROR(INDEX('Lot Inputs'!$M$5:$M$507,MATCH(1,('Lot Inputs'!$A$5:$A$507=$B$3)*('Lot Inputs'!$B$5:$B$507=B143),0)),""))</f>
        <v/>
      </c>
      <c r="T143" s="459" t="str">
        <f ca="1">IF(S143="","",S143-TODAY())</f>
        <v/>
      </c>
    </row>
    <row r="144" spans="1:20" ht="14" customHeight="1" x14ac:dyDescent="0.35">
      <c r="A144" s="142">
        <v>138</v>
      </c>
      <c r="B144" s="143" t="str" cm="1">
        <f t="array" ref="B144">IFERROR(INDEX('Lot Inputs'!$B$5:$B$507,MATCH(_xlfn.AGGREGATE(15,6,('Lot Inputs'!$J$5:$J$507)/(('Lot Inputs'!$A$5:$A$507=$B$3)*('Lot Inputs'!$H$5:$H$507&gt;0)),ROW()-6),IF('Lot Inputs'!$A$5:$A$507=$B$3,'Lot Inputs'!$J$5:$J$507),0)),"")</f>
        <v/>
      </c>
      <c r="C144" s="144" t="str">
        <f t="shared" si="20"/>
        <v/>
      </c>
      <c r="D144" s="145" t="str" cm="1">
        <f t="array" ref="D144">IF(B144="","",INDEX('Lot Inputs'!$E$5:$E$507,MATCH(1,('Lot Inputs'!$A$5:$A$507=$B$3)*('Lot Inputs'!$B$5:$B$507=B144),0)))</f>
        <v/>
      </c>
      <c r="E144" s="146" t="str" cm="1">
        <f t="array" ref="E144">IF(B144="","",INDEX('Lot Inputs'!$H$5:$H$507,MATCH(1,('Lot Inputs'!$A$5:$A$507=$B$3)*('Lot Inputs'!$B$5:$B$507=B144),0)))</f>
        <v/>
      </c>
      <c r="F144" s="108" t="str">
        <f>IF(E144="","",IF(R144="On Hold",0,E144)+IF(F143="",0,F143))</f>
        <v/>
      </c>
      <c r="G144" s="108" t="str">
        <f>IF(D144="","",SUMIFS($O$7:$O$500,$N$7:$N$500,"&gt;="&amp;IF(R144="On Hold",S144,Controls!$B$5),$N$7:$N$500,"&lt;="&amp;EDATE(D144,-$B$4)))</f>
        <v/>
      </c>
      <c r="H144" s="108" t="str">
        <f t="shared" si="21"/>
        <v/>
      </c>
      <c r="I144" s="147" t="str">
        <f t="shared" si="19"/>
        <v/>
      </c>
      <c r="J144" s="148" t="str">
        <f>IF(D144="","",(YEAR(EDATE(D144,-$B$4))-YEAR(Controls!$B$5))*12+MONTH(EDATE(D144,-$B$4))-MONTH(Controls!$B$5))</f>
        <v/>
      </c>
      <c r="K144" s="149" t="str">
        <f t="array" ref="K144">IF(F144="","",IFERROR(INDEX($N$7:$N$500,MATCH(TRUE(),$P$7:$P$500&gt;=F144,0)),"After Horizon"))</f>
        <v/>
      </c>
      <c r="L144" t="str">
        <f t="shared" si="22"/>
        <v/>
      </c>
      <c r="M144" s="17" t="str">
        <f t="shared" si="23"/>
        <v/>
      </c>
      <c r="N144" s="145">
        <v>50222</v>
      </c>
      <c r="O144" s="108">
        <f>SUMIFS('Planning Engine'!$F:$F,'Planning Engine'!$B:$B,$B$3,'Planning Engine'!$A:$A,N144)</f>
        <v>25170.094885486575</v>
      </c>
      <c r="P144" s="108">
        <f t="shared" si="24"/>
        <v>2276105.4018799686</v>
      </c>
      <c r="Q144" s="146">
        <f>IF(N144&lt;=EDATE(Controls!$B$5,$B$4-1),O144,0)</f>
        <v>0</v>
      </c>
      <c r="R144" t="str" cm="1">
        <f t="array" ref="R144">IF(B144="","",IFERROR(INDEX('Lot Inputs'!$L$5:$L$507,MATCH(1,('Lot Inputs'!$A$5:$A$507=$B$3)*('Lot Inputs'!$B$5:$B$507=B144),0)),""))</f>
        <v/>
      </c>
      <c r="S144" s="205" t="str" cm="1">
        <f t="array" ref="S144">IF(B144="","",IFERROR(INDEX('Lot Inputs'!$M$5:$M$507,MATCH(1,('Lot Inputs'!$A$5:$A$507=$B$3)*('Lot Inputs'!$B$5:$B$507=B144),0)),""))</f>
        <v/>
      </c>
      <c r="T144" s="459" t="str">
        <f ca="1">IF(S144="","",S144-TODAY())</f>
        <v/>
      </c>
    </row>
    <row r="145" spans="1:20" ht="14" customHeight="1" x14ac:dyDescent="0.35">
      <c r="A145" s="142">
        <v>139</v>
      </c>
      <c r="B145" s="143" t="str" cm="1">
        <f t="array" ref="B145">IFERROR(INDEX('Lot Inputs'!$B$5:$B$507,MATCH(_xlfn.AGGREGATE(15,6,('Lot Inputs'!$J$5:$J$507)/(('Lot Inputs'!$A$5:$A$507=$B$3)*('Lot Inputs'!$H$5:$H$507&gt;0)),ROW()-6),IF('Lot Inputs'!$A$5:$A$507=$B$3,'Lot Inputs'!$J$5:$J$507),0)),"")</f>
        <v/>
      </c>
      <c r="C145" s="144" t="str">
        <f t="shared" si="20"/>
        <v/>
      </c>
      <c r="D145" s="145" t="str" cm="1">
        <f t="array" ref="D145">IF(B145="","",INDEX('Lot Inputs'!$E$5:$E$507,MATCH(1,('Lot Inputs'!$A$5:$A$507=$B$3)*('Lot Inputs'!$B$5:$B$507=B145),0)))</f>
        <v/>
      </c>
      <c r="E145" s="146" t="str" cm="1">
        <f t="array" ref="E145">IF(B145="","",INDEX('Lot Inputs'!$H$5:$H$507,MATCH(1,('Lot Inputs'!$A$5:$A$507=$B$3)*('Lot Inputs'!$B$5:$B$507=B145),0)))</f>
        <v/>
      </c>
      <c r="F145" s="108" t="str">
        <f>IF(E145="","",IF(R145="On Hold",0,E145)+IF(F144="",0,F144))</f>
        <v/>
      </c>
      <c r="G145" s="108" t="str">
        <f>IF(D145="","",SUMIFS($O$7:$O$500,$N$7:$N$500,"&gt;="&amp;IF(R145="On Hold",S145,Controls!$B$5),$N$7:$N$500,"&lt;="&amp;EDATE(D145,-$B$4)))</f>
        <v/>
      </c>
      <c r="H145" s="108" t="str">
        <f t="shared" si="21"/>
        <v/>
      </c>
      <c r="I145" s="147" t="str">
        <f t="shared" si="19"/>
        <v/>
      </c>
      <c r="J145" s="148" t="str">
        <f>IF(D145="","",(YEAR(EDATE(D145,-$B$4))-YEAR(Controls!$B$5))*12+MONTH(EDATE(D145,-$B$4))-MONTH(Controls!$B$5))</f>
        <v/>
      </c>
      <c r="K145" s="149" t="str">
        <f t="array" ref="K145">IF(F145="","",IFERROR(INDEX($N$7:$N$500,MATCH(TRUE(),$P$7:$P$500&gt;=F145,0)),"After Horizon"))</f>
        <v/>
      </c>
      <c r="L145" t="str">
        <f t="shared" si="22"/>
        <v/>
      </c>
      <c r="M145" s="17" t="str">
        <f t="shared" si="23"/>
        <v/>
      </c>
      <c r="N145" s="145">
        <v>50253</v>
      </c>
      <c r="O145" s="108">
        <f>SUMIFS('Planning Engine'!$F:$F,'Planning Engine'!$B:$B,$B$3,'Planning Engine'!$A:$A,N145)</f>
        <v>26637.540807431713</v>
      </c>
      <c r="P145" s="108">
        <f t="shared" si="24"/>
        <v>2302742.9426874002</v>
      </c>
      <c r="Q145" s="146">
        <f>IF(N145&lt;=EDATE(Controls!$B$5,$B$4-1),O145,0)</f>
        <v>0</v>
      </c>
      <c r="R145" t="str" cm="1">
        <f t="array" ref="R145">IF(B145="","",IFERROR(INDEX('Lot Inputs'!$L$5:$L$507,MATCH(1,('Lot Inputs'!$A$5:$A$507=$B$3)*('Lot Inputs'!$B$5:$B$507=B145),0)),""))</f>
        <v/>
      </c>
      <c r="S145" s="205" t="str" cm="1">
        <f t="array" ref="S145">IF(B145="","",IFERROR(INDEX('Lot Inputs'!$M$5:$M$507,MATCH(1,('Lot Inputs'!$A$5:$A$507=$B$3)*('Lot Inputs'!$B$5:$B$507=B145),0)),""))</f>
        <v/>
      </c>
      <c r="T145" s="459" t="str">
        <f ca="1">IF(S145="","",S145-TODAY())</f>
        <v/>
      </c>
    </row>
    <row r="146" spans="1:20" ht="14" customHeight="1" x14ac:dyDescent="0.35">
      <c r="A146" s="142">
        <v>140</v>
      </c>
      <c r="B146" s="143" t="str" cm="1">
        <f t="array" ref="B146">IFERROR(INDEX('Lot Inputs'!$B$5:$B$507,MATCH(_xlfn.AGGREGATE(15,6,('Lot Inputs'!$J$5:$J$507)/(('Lot Inputs'!$A$5:$A$507=$B$3)*('Lot Inputs'!$H$5:$H$507&gt;0)),ROW()-6),IF('Lot Inputs'!$A$5:$A$507=$B$3,'Lot Inputs'!$J$5:$J$507),0)),"")</f>
        <v/>
      </c>
      <c r="C146" s="144" t="str">
        <f t="shared" si="20"/>
        <v/>
      </c>
      <c r="D146" s="145" t="str" cm="1">
        <f t="array" ref="D146">IF(B146="","",INDEX('Lot Inputs'!$E$5:$E$507,MATCH(1,('Lot Inputs'!$A$5:$A$507=$B$3)*('Lot Inputs'!$B$5:$B$507=B146),0)))</f>
        <v/>
      </c>
      <c r="E146" s="146" t="str" cm="1">
        <f t="array" ref="E146">IF(B146="","",INDEX('Lot Inputs'!$H$5:$H$507,MATCH(1,('Lot Inputs'!$A$5:$A$507=$B$3)*('Lot Inputs'!$B$5:$B$507=B146),0)))</f>
        <v/>
      </c>
      <c r="F146" s="108" t="str">
        <f>IF(E146="","",IF(R146="On Hold",0,E146)+IF(F145="",0,F145))</f>
        <v/>
      </c>
      <c r="G146" s="108" t="str">
        <f>IF(D146="","",SUMIFS($O$7:$O$500,$N$7:$N$500,"&gt;="&amp;IF(R146="On Hold",S146,Controls!$B$5),$N$7:$N$500,"&lt;="&amp;EDATE(D146,-$B$4)))</f>
        <v/>
      </c>
      <c r="H146" s="108" t="str">
        <f t="shared" si="21"/>
        <v/>
      </c>
      <c r="I146" s="147" t="str">
        <f t="shared" si="19"/>
        <v/>
      </c>
      <c r="J146" s="148" t="str">
        <f>IF(D146="","",(YEAR(EDATE(D146,-$B$4))-YEAR(Controls!$B$5))*12+MONTH(EDATE(D146,-$B$4))-MONTH(Controls!$B$5))</f>
        <v/>
      </c>
      <c r="K146" s="149" t="str">
        <f t="array" ref="K146">IF(F146="","",IFERROR(INDEX($N$7:$N$500,MATCH(TRUE(),$P$7:$P$500&gt;=F146,0)),"After Horizon"))</f>
        <v/>
      </c>
      <c r="L146" t="str">
        <f t="shared" si="22"/>
        <v/>
      </c>
      <c r="M146" s="17" t="str">
        <f t="shared" si="23"/>
        <v/>
      </c>
      <c r="N146" s="145">
        <v>50284</v>
      </c>
      <c r="O146" s="108">
        <f>SUMIFS('Planning Engine'!$F:$F,'Planning Engine'!$B:$B,$B$3,'Planning Engine'!$A:$A,N146)</f>
        <v>20425.839432955188</v>
      </c>
      <c r="P146" s="108">
        <f t="shared" si="24"/>
        <v>2323168.7821203554</v>
      </c>
      <c r="Q146" s="146">
        <f>IF(N146&lt;=EDATE(Controls!$B$5,$B$4-1),O146,0)</f>
        <v>0</v>
      </c>
      <c r="R146" t="str" cm="1">
        <f t="array" ref="R146">IF(B146="","",IFERROR(INDEX('Lot Inputs'!$L$5:$L$507,MATCH(1,('Lot Inputs'!$A$5:$A$507=$B$3)*('Lot Inputs'!$B$5:$B$507=B146),0)),""))</f>
        <v/>
      </c>
      <c r="S146" s="205" t="str" cm="1">
        <f t="array" ref="S146">IF(B146="","",IFERROR(INDEX('Lot Inputs'!$M$5:$M$507,MATCH(1,('Lot Inputs'!$A$5:$A$507=$B$3)*('Lot Inputs'!$B$5:$B$507=B146),0)),""))</f>
        <v/>
      </c>
      <c r="T146" s="459" t="str">
        <f ca="1">IF(S146="","",S146-TODAY())</f>
        <v/>
      </c>
    </row>
    <row r="147" spans="1:20" ht="14" customHeight="1" x14ac:dyDescent="0.35">
      <c r="A147" s="142">
        <v>141</v>
      </c>
      <c r="B147" s="143" t="str" cm="1">
        <f t="array" ref="B147">IFERROR(INDEX('Lot Inputs'!$B$5:$B$507,MATCH(_xlfn.AGGREGATE(15,6,('Lot Inputs'!$J$5:$J$507)/(('Lot Inputs'!$A$5:$A$507=$B$3)*('Lot Inputs'!$H$5:$H$507&gt;0)),ROW()-6),IF('Lot Inputs'!$A$5:$A$507=$B$3,'Lot Inputs'!$J$5:$J$507),0)),"")</f>
        <v/>
      </c>
      <c r="C147" s="144" t="str">
        <f t="shared" si="20"/>
        <v/>
      </c>
      <c r="D147" s="145" t="str" cm="1">
        <f t="array" ref="D147">IF(B147="","",INDEX('Lot Inputs'!$E$5:$E$507,MATCH(1,('Lot Inputs'!$A$5:$A$507=$B$3)*('Lot Inputs'!$B$5:$B$507=B147),0)))</f>
        <v/>
      </c>
      <c r="E147" s="146" t="str" cm="1">
        <f t="array" ref="E147">IF(B147="","",INDEX('Lot Inputs'!$H$5:$H$507,MATCH(1,('Lot Inputs'!$A$5:$A$507=$B$3)*('Lot Inputs'!$B$5:$B$507=B147),0)))</f>
        <v/>
      </c>
      <c r="F147" s="108" t="str">
        <f>IF(E147="","",IF(R147="On Hold",0,E147)+IF(F146="",0,F146))</f>
        <v/>
      </c>
      <c r="G147" s="108" t="str">
        <f>IF(D147="","",SUMIFS($O$7:$O$500,$N$7:$N$500,"&gt;="&amp;IF(R147="On Hold",S147,Controls!$B$5),$N$7:$N$500,"&lt;="&amp;EDATE(D147,-$B$4)))</f>
        <v/>
      </c>
      <c r="H147" s="108" t="str">
        <f t="shared" si="21"/>
        <v/>
      </c>
      <c r="I147" s="147" t="str">
        <f t="shared" si="19"/>
        <v/>
      </c>
      <c r="J147" s="148" t="str">
        <f>IF(D147="","",(YEAR(EDATE(D147,-$B$4))-YEAR(Controls!$B$5))*12+MONTH(EDATE(D147,-$B$4))-MONTH(Controls!$B$5))</f>
        <v/>
      </c>
      <c r="K147" s="149" t="str">
        <f t="array" ref="K147">IF(F147="","",IFERROR(INDEX($N$7:$N$500,MATCH(TRUE(),$P$7:$P$500&gt;=F147,0)),"After Horizon"))</f>
        <v/>
      </c>
      <c r="L147" t="str">
        <f t="shared" si="22"/>
        <v/>
      </c>
      <c r="M147" s="17" t="str">
        <f t="shared" si="23"/>
        <v/>
      </c>
      <c r="N147" s="145">
        <v>50314</v>
      </c>
      <c r="O147" s="108">
        <f>SUMIFS('Planning Engine'!$F:$F,'Planning Engine'!$B:$B,$B$3,'Planning Engine'!$A:$A,N147)</f>
        <v>19445.654103872188</v>
      </c>
      <c r="P147" s="108">
        <f t="shared" si="24"/>
        <v>2342614.4362242278</v>
      </c>
      <c r="Q147" s="146">
        <f>IF(N147&lt;=EDATE(Controls!$B$5,$B$4-1),O147,0)</f>
        <v>0</v>
      </c>
      <c r="R147" t="str" cm="1">
        <f t="array" ref="R147">IF(B147="","",IFERROR(INDEX('Lot Inputs'!$L$5:$L$507,MATCH(1,('Lot Inputs'!$A$5:$A$507=$B$3)*('Lot Inputs'!$B$5:$B$507=B147),0)),""))</f>
        <v/>
      </c>
      <c r="S147" s="205" t="str" cm="1">
        <f t="array" ref="S147">IF(B147="","",IFERROR(INDEX('Lot Inputs'!$M$5:$M$507,MATCH(1,('Lot Inputs'!$A$5:$A$507=$B$3)*('Lot Inputs'!$B$5:$B$507=B147),0)),""))</f>
        <v/>
      </c>
      <c r="T147" s="459" t="str">
        <f ca="1">IF(S147="","",S147-TODAY())</f>
        <v/>
      </c>
    </row>
    <row r="148" spans="1:20" ht="14" customHeight="1" x14ac:dyDescent="0.35">
      <c r="A148" s="142">
        <v>142</v>
      </c>
      <c r="B148" s="143" t="str" cm="1">
        <f t="array" ref="B148">IFERROR(INDEX('Lot Inputs'!$B$5:$B$507,MATCH(_xlfn.AGGREGATE(15,6,('Lot Inputs'!$J$5:$J$507)/(('Lot Inputs'!$A$5:$A$507=$B$3)*('Lot Inputs'!$H$5:$H$507&gt;0)),ROW()-6),IF('Lot Inputs'!$A$5:$A$507=$B$3,'Lot Inputs'!$J$5:$J$507),0)),"")</f>
        <v/>
      </c>
      <c r="C148" s="144" t="str">
        <f t="shared" si="20"/>
        <v/>
      </c>
      <c r="D148" s="145" t="str" cm="1">
        <f t="array" ref="D148">IF(B148="","",INDEX('Lot Inputs'!$E$5:$E$507,MATCH(1,('Lot Inputs'!$A$5:$A$507=$B$3)*('Lot Inputs'!$B$5:$B$507=B148),0)))</f>
        <v/>
      </c>
      <c r="E148" s="146" t="str" cm="1">
        <f t="array" ref="E148">IF(B148="","",INDEX('Lot Inputs'!$H$5:$H$507,MATCH(1,('Lot Inputs'!$A$5:$A$507=$B$3)*('Lot Inputs'!$B$5:$B$507=B148),0)))</f>
        <v/>
      </c>
      <c r="F148" s="108" t="str">
        <f>IF(E148="","",IF(R148="On Hold",0,E148)+IF(F147="",0,F147))</f>
        <v/>
      </c>
      <c r="G148" s="108" t="str">
        <f>IF(D148="","",SUMIFS($O$7:$O$500,$N$7:$N$500,"&gt;="&amp;IF(R148="On Hold",S148,Controls!$B$5),$N$7:$N$500,"&lt;="&amp;EDATE(D148,-$B$4)))</f>
        <v/>
      </c>
      <c r="H148" s="108" t="str">
        <f t="shared" si="21"/>
        <v/>
      </c>
      <c r="I148" s="147" t="str">
        <f t="shared" si="19"/>
        <v/>
      </c>
      <c r="J148" s="148" t="str">
        <f>IF(D148="","",(YEAR(EDATE(D148,-$B$4))-YEAR(Controls!$B$5))*12+MONTH(EDATE(D148,-$B$4))-MONTH(Controls!$B$5))</f>
        <v/>
      </c>
      <c r="K148" s="149" t="str">
        <f t="array" ref="K148">IF(F148="","",IFERROR(INDEX($N$7:$N$500,MATCH(TRUE(),$P$7:$P$500&gt;=F148,0)),"After Horizon"))</f>
        <v/>
      </c>
      <c r="L148" t="str">
        <f t="shared" si="22"/>
        <v/>
      </c>
      <c r="M148" s="17" t="str">
        <f t="shared" si="23"/>
        <v/>
      </c>
      <c r="N148" s="145">
        <v>50345</v>
      </c>
      <c r="O148" s="108">
        <f>SUMIFS('Planning Engine'!$F:$F,'Planning Engine'!$B:$B,$B$3,'Planning Engine'!$A:$A,N148)</f>
        <v>17788.284272466728</v>
      </c>
      <c r="P148" s="108">
        <f t="shared" si="24"/>
        <v>2360402.7204966946</v>
      </c>
      <c r="Q148" s="146">
        <f>IF(N148&lt;=EDATE(Controls!$B$5,$B$4-1),O148,0)</f>
        <v>0</v>
      </c>
      <c r="R148" t="str" cm="1">
        <f t="array" ref="R148">IF(B148="","",IFERROR(INDEX('Lot Inputs'!$L$5:$L$507,MATCH(1,('Lot Inputs'!$A$5:$A$507=$B$3)*('Lot Inputs'!$B$5:$B$507=B148),0)),""))</f>
        <v/>
      </c>
      <c r="S148" s="205" t="str" cm="1">
        <f t="array" ref="S148">IF(B148="","",IFERROR(INDEX('Lot Inputs'!$M$5:$M$507,MATCH(1,('Lot Inputs'!$A$5:$A$507=$B$3)*('Lot Inputs'!$B$5:$B$507=B148),0)),""))</f>
        <v/>
      </c>
      <c r="T148" s="459" t="str">
        <f ca="1">IF(S148="","",S148-TODAY())</f>
        <v/>
      </c>
    </row>
    <row r="149" spans="1:20" ht="14" customHeight="1" x14ac:dyDescent="0.35">
      <c r="A149" s="142">
        <v>143</v>
      </c>
      <c r="B149" s="143" t="str" cm="1">
        <f t="array" ref="B149">IFERROR(INDEX('Lot Inputs'!$B$5:$B$507,MATCH(_xlfn.AGGREGATE(15,6,('Lot Inputs'!$J$5:$J$507)/(('Lot Inputs'!$A$5:$A$507=$B$3)*('Lot Inputs'!$H$5:$H$507&gt;0)),ROW()-6),IF('Lot Inputs'!$A$5:$A$507=$B$3,'Lot Inputs'!$J$5:$J$507),0)),"")</f>
        <v/>
      </c>
      <c r="C149" s="144" t="str">
        <f t="shared" si="20"/>
        <v/>
      </c>
      <c r="D149" s="145" t="str" cm="1">
        <f t="array" ref="D149">IF(B149="","",INDEX('Lot Inputs'!$E$5:$E$507,MATCH(1,('Lot Inputs'!$A$5:$A$507=$B$3)*('Lot Inputs'!$B$5:$B$507=B149),0)))</f>
        <v/>
      </c>
      <c r="E149" s="146" t="str" cm="1">
        <f t="array" ref="E149">IF(B149="","",INDEX('Lot Inputs'!$H$5:$H$507,MATCH(1,('Lot Inputs'!$A$5:$A$507=$B$3)*('Lot Inputs'!$B$5:$B$507=B149),0)))</f>
        <v/>
      </c>
      <c r="F149" s="108" t="str">
        <f>IF(E149="","",IF(R149="On Hold",0,E149)+IF(F148="",0,F148))</f>
        <v/>
      </c>
      <c r="G149" s="108" t="str">
        <f>IF(D149="","",SUMIFS($O$7:$O$500,$N$7:$N$500,"&gt;="&amp;IF(R149="On Hold",S149,Controls!$B$5),$N$7:$N$500,"&lt;="&amp;EDATE(D149,-$B$4)))</f>
        <v/>
      </c>
      <c r="H149" s="108" t="str">
        <f t="shared" si="21"/>
        <v/>
      </c>
      <c r="I149" s="147" t="str">
        <f t="shared" si="19"/>
        <v/>
      </c>
      <c r="J149" s="148" t="str">
        <f>IF(D149="","",(YEAR(EDATE(D149,-$B$4))-YEAR(Controls!$B$5))*12+MONTH(EDATE(D149,-$B$4))-MONTH(Controls!$B$5))</f>
        <v/>
      </c>
      <c r="K149" s="149" t="str">
        <f t="array" ref="K149">IF(F149="","",IFERROR(INDEX($N$7:$N$500,MATCH(TRUE(),$P$7:$P$500&gt;=F149,0)),"After Horizon"))</f>
        <v/>
      </c>
      <c r="L149" t="str">
        <f t="shared" si="22"/>
        <v/>
      </c>
      <c r="M149" s="17" t="str">
        <f t="shared" si="23"/>
        <v/>
      </c>
      <c r="N149" s="145">
        <v>50375</v>
      </c>
      <c r="O149" s="108">
        <f>SUMIFS('Planning Engine'!$F:$F,'Planning Engine'!$B:$B,$B$3,'Planning Engine'!$A:$A,N149)</f>
        <v>13310.594300415654</v>
      </c>
      <c r="P149" s="108">
        <f t="shared" si="24"/>
        <v>2373713.3147971104</v>
      </c>
      <c r="Q149" s="146">
        <f>IF(N149&lt;=EDATE(Controls!$B$5,$B$4-1),O149,0)</f>
        <v>0</v>
      </c>
      <c r="R149" t="str" cm="1">
        <f t="array" ref="R149">IF(B149="","",IFERROR(INDEX('Lot Inputs'!$L$5:$L$507,MATCH(1,('Lot Inputs'!$A$5:$A$507=$B$3)*('Lot Inputs'!$B$5:$B$507=B149),0)),""))</f>
        <v/>
      </c>
      <c r="S149" s="205" t="str" cm="1">
        <f t="array" ref="S149">IF(B149="","",IFERROR(INDEX('Lot Inputs'!$M$5:$M$507,MATCH(1,('Lot Inputs'!$A$5:$A$507=$B$3)*('Lot Inputs'!$B$5:$B$507=B149),0)),""))</f>
        <v/>
      </c>
      <c r="T149" s="459" t="str">
        <f ca="1">IF(S149="","",S149-TODAY())</f>
        <v/>
      </c>
    </row>
    <row r="150" spans="1:20" ht="14" customHeight="1" x14ac:dyDescent="0.35">
      <c r="A150" s="142">
        <v>144</v>
      </c>
      <c r="B150" s="143" t="str" cm="1">
        <f t="array" ref="B150">IFERROR(INDEX('Lot Inputs'!$B$5:$B$507,MATCH(_xlfn.AGGREGATE(15,6,('Lot Inputs'!$J$5:$J$507)/(('Lot Inputs'!$A$5:$A$507=$B$3)*('Lot Inputs'!$H$5:$H$507&gt;0)),ROW()-6),IF('Lot Inputs'!$A$5:$A$507=$B$3,'Lot Inputs'!$J$5:$J$507),0)),"")</f>
        <v/>
      </c>
      <c r="C150" s="144" t="str">
        <f t="shared" si="20"/>
        <v/>
      </c>
      <c r="D150" s="145" t="str" cm="1">
        <f t="array" ref="D150">IF(B150="","",INDEX('Lot Inputs'!$E$5:$E$507,MATCH(1,('Lot Inputs'!$A$5:$A$507=$B$3)*('Lot Inputs'!$B$5:$B$507=B150),0)))</f>
        <v/>
      </c>
      <c r="E150" s="146" t="str" cm="1">
        <f t="array" ref="E150">IF(B150="","",INDEX('Lot Inputs'!$H$5:$H$507,MATCH(1,('Lot Inputs'!$A$5:$A$507=$B$3)*('Lot Inputs'!$B$5:$B$507=B150),0)))</f>
        <v/>
      </c>
      <c r="F150" s="108" t="str">
        <f>IF(E150="","",IF(R150="On Hold",0,E150)+IF(F149="",0,F149))</f>
        <v/>
      </c>
      <c r="G150" s="108" t="str">
        <f>IF(D150="","",SUMIFS($O$7:$O$500,$N$7:$N$500,"&gt;="&amp;IF(R150="On Hold",S150,Controls!$B$5),$N$7:$N$500,"&lt;="&amp;EDATE(D150,-$B$4)))</f>
        <v/>
      </c>
      <c r="H150" s="108" t="str">
        <f t="shared" si="21"/>
        <v/>
      </c>
      <c r="I150" s="147" t="str">
        <f t="shared" si="19"/>
        <v/>
      </c>
      <c r="J150" s="148" t="str">
        <f>IF(D150="","",(YEAR(EDATE(D150,-$B$4))-YEAR(Controls!$B$5))*12+MONTH(EDATE(D150,-$B$4))-MONTH(Controls!$B$5))</f>
        <v/>
      </c>
      <c r="K150" s="149" t="str">
        <f t="array" ref="K150">IF(F150="","",IFERROR(INDEX($N$7:$N$500,MATCH(TRUE(),$P$7:$P$500&gt;=F150,0)),"After Horizon"))</f>
        <v/>
      </c>
      <c r="L150" t="str">
        <f t="shared" si="22"/>
        <v/>
      </c>
      <c r="M150" s="17" t="str">
        <f t="shared" si="23"/>
        <v/>
      </c>
      <c r="N150" s="145">
        <v>50406</v>
      </c>
      <c r="O150" s="108">
        <f>SUMIFS('Planning Engine'!$F:$F,'Planning Engine'!$B:$B,$B$3,'Planning Engine'!$A:$A,N150)</f>
        <v>16993.960059672936</v>
      </c>
      <c r="P150" s="108">
        <f t="shared" si="24"/>
        <v>2390707.2748567834</v>
      </c>
      <c r="Q150" s="146">
        <f>IF(N150&lt;=EDATE(Controls!$B$5,$B$4-1),O150,0)</f>
        <v>0</v>
      </c>
      <c r="R150" t="str" cm="1">
        <f t="array" ref="R150">IF(B150="","",IFERROR(INDEX('Lot Inputs'!$L$5:$L$507,MATCH(1,('Lot Inputs'!$A$5:$A$507=$B$3)*('Lot Inputs'!$B$5:$B$507=B150),0)),""))</f>
        <v/>
      </c>
      <c r="S150" s="205" t="str" cm="1">
        <f t="array" ref="S150">IF(B150="","",IFERROR(INDEX('Lot Inputs'!$M$5:$M$507,MATCH(1,('Lot Inputs'!$A$5:$A$507=$B$3)*('Lot Inputs'!$B$5:$B$507=B150),0)),""))</f>
        <v/>
      </c>
      <c r="T150" s="459" t="str">
        <f ca="1">IF(S150="","",S150-TODAY())</f>
        <v/>
      </c>
    </row>
    <row r="151" spans="1:20" ht="14" customHeight="1" x14ac:dyDescent="0.35">
      <c r="A151" s="142">
        <v>145</v>
      </c>
      <c r="B151" s="143" t="str" cm="1">
        <f t="array" ref="B151">IFERROR(INDEX('Lot Inputs'!$B$5:$B$507,MATCH(_xlfn.AGGREGATE(15,6,('Lot Inputs'!$J$5:$J$507)/(('Lot Inputs'!$A$5:$A$507=$B$3)*('Lot Inputs'!$H$5:$H$507&gt;0)),ROW()-6),IF('Lot Inputs'!$A$5:$A$507=$B$3,'Lot Inputs'!$J$5:$J$507),0)),"")</f>
        <v/>
      </c>
      <c r="C151" s="144" t="str">
        <f t="shared" si="20"/>
        <v/>
      </c>
      <c r="D151" s="145" t="str" cm="1">
        <f t="array" ref="D151">IF(B151="","",INDEX('Lot Inputs'!$E$5:$E$507,MATCH(1,('Lot Inputs'!$A$5:$A$507=$B$3)*('Lot Inputs'!$B$5:$B$507=B151),0)))</f>
        <v/>
      </c>
      <c r="E151" s="146" t="str" cm="1">
        <f t="array" ref="E151">IF(B151="","",INDEX('Lot Inputs'!$H$5:$H$507,MATCH(1,('Lot Inputs'!$A$5:$A$507=$B$3)*('Lot Inputs'!$B$5:$B$507=B151),0)))</f>
        <v/>
      </c>
      <c r="F151" s="108" t="str">
        <f>IF(E151="","",IF(R151="On Hold",0,E151)+IF(F150="",0,F150))</f>
        <v/>
      </c>
      <c r="G151" s="108" t="str">
        <f>IF(D151="","",SUMIFS($O$7:$O$500,$N$7:$N$500,"&gt;="&amp;IF(R151="On Hold",S151,Controls!$B$5),$N$7:$N$500,"&lt;="&amp;EDATE(D151,-$B$4)))</f>
        <v/>
      </c>
      <c r="H151" s="108" t="str">
        <f t="shared" si="21"/>
        <v/>
      </c>
      <c r="I151" s="147" t="str">
        <f t="shared" si="19"/>
        <v/>
      </c>
      <c r="J151" s="148" t="str">
        <f>IF(D151="","",(YEAR(EDATE(D151,-$B$4))-YEAR(Controls!$B$5))*12+MONTH(EDATE(D151,-$B$4))-MONTH(Controls!$B$5))</f>
        <v/>
      </c>
      <c r="K151" s="149" t="str">
        <f t="array" ref="K151">IF(F151="","",IFERROR(INDEX($N$7:$N$500,MATCH(TRUE(),$P$7:$P$500&gt;=F151,0)),"After Horizon"))</f>
        <v/>
      </c>
      <c r="L151" t="str">
        <f t="shared" si="22"/>
        <v/>
      </c>
      <c r="M151" s="17" t="str">
        <f t="shared" si="23"/>
        <v/>
      </c>
      <c r="N151" s="145">
        <v>50437</v>
      </c>
      <c r="O151" s="108">
        <f>SUMIFS('Planning Engine'!$F:$F,'Planning Engine'!$B:$B,$B$3,'Planning Engine'!$A:$A,N151)</f>
        <v>10552.622516743824</v>
      </c>
      <c r="P151" s="108">
        <f t="shared" si="24"/>
        <v>2401259.8973735273</v>
      </c>
      <c r="Q151" s="146">
        <f>IF(N151&lt;=EDATE(Controls!$B$5,$B$4-1),O151,0)</f>
        <v>0</v>
      </c>
      <c r="R151" t="str" cm="1">
        <f t="array" ref="R151">IF(B151="","",IFERROR(INDEX('Lot Inputs'!$L$5:$L$507,MATCH(1,('Lot Inputs'!$A$5:$A$507=$B$3)*('Lot Inputs'!$B$5:$B$507=B151),0)),""))</f>
        <v/>
      </c>
      <c r="S151" s="205" t="str" cm="1">
        <f t="array" ref="S151">IF(B151="","",IFERROR(INDEX('Lot Inputs'!$M$5:$M$507,MATCH(1,('Lot Inputs'!$A$5:$A$507=$B$3)*('Lot Inputs'!$B$5:$B$507=B151),0)),""))</f>
        <v/>
      </c>
      <c r="T151" s="459" t="str">
        <f ca="1">IF(S151="","",S151-TODAY())</f>
        <v/>
      </c>
    </row>
    <row r="152" spans="1:20" ht="14" customHeight="1" x14ac:dyDescent="0.35">
      <c r="A152" s="142">
        <v>146</v>
      </c>
      <c r="B152" s="143" t="str" cm="1">
        <f t="array" ref="B152">IFERROR(INDEX('Lot Inputs'!$B$5:$B$507,MATCH(_xlfn.AGGREGATE(15,6,('Lot Inputs'!$J$5:$J$507)/(('Lot Inputs'!$A$5:$A$507=$B$3)*('Lot Inputs'!$H$5:$H$507&gt;0)),ROW()-6),IF('Lot Inputs'!$A$5:$A$507=$B$3,'Lot Inputs'!$J$5:$J$507),0)),"")</f>
        <v/>
      </c>
      <c r="C152" s="144" t="str">
        <f t="shared" si="20"/>
        <v/>
      </c>
      <c r="D152" s="145" t="str" cm="1">
        <f t="array" ref="D152">IF(B152="","",INDEX('Lot Inputs'!$E$5:$E$507,MATCH(1,('Lot Inputs'!$A$5:$A$507=$B$3)*('Lot Inputs'!$B$5:$B$507=B152),0)))</f>
        <v/>
      </c>
      <c r="E152" s="146" t="str" cm="1">
        <f t="array" ref="E152">IF(B152="","",INDEX('Lot Inputs'!$H$5:$H$507,MATCH(1,('Lot Inputs'!$A$5:$A$507=$B$3)*('Lot Inputs'!$B$5:$B$507=B152),0)))</f>
        <v/>
      </c>
      <c r="F152" s="108" t="str">
        <f>IF(E152="","",IF(R152="On Hold",0,E152)+IF(F151="",0,F151))</f>
        <v/>
      </c>
      <c r="G152" s="108" t="str">
        <f>IF(D152="","",SUMIFS($O$7:$O$500,$N$7:$N$500,"&gt;="&amp;IF(R152="On Hold",S152,Controls!$B$5),$N$7:$N$500,"&lt;="&amp;EDATE(D152,-$B$4)))</f>
        <v/>
      </c>
      <c r="H152" s="108" t="str">
        <f t="shared" si="21"/>
        <v/>
      </c>
      <c r="I152" s="147" t="str">
        <f t="shared" si="19"/>
        <v/>
      </c>
      <c r="J152" s="148" t="str">
        <f>IF(D152="","",(YEAR(EDATE(D152,-$B$4))-YEAR(Controls!$B$5))*12+MONTH(EDATE(D152,-$B$4))-MONTH(Controls!$B$5))</f>
        <v/>
      </c>
      <c r="K152" s="149" t="str">
        <f t="array" ref="K152">IF(F152="","",IFERROR(INDEX($N$7:$N$500,MATCH(TRUE(),$P$7:$P$500&gt;=F152,0)),"After Horizon"))</f>
        <v/>
      </c>
      <c r="L152" t="str">
        <f t="shared" si="22"/>
        <v/>
      </c>
      <c r="M152" s="17" t="str">
        <f t="shared" si="23"/>
        <v/>
      </c>
      <c r="N152" s="145">
        <v>50465</v>
      </c>
      <c r="O152" s="108">
        <f>SUMIFS('Planning Engine'!$F:$F,'Planning Engine'!$B:$B,$B$3,'Planning Engine'!$A:$A,N152)</f>
        <v>10705.38679426521</v>
      </c>
      <c r="P152" s="108">
        <f t="shared" si="24"/>
        <v>2411965.2841677926</v>
      </c>
      <c r="Q152" s="146">
        <f>IF(N152&lt;=EDATE(Controls!$B$5,$B$4-1),O152,0)</f>
        <v>0</v>
      </c>
      <c r="R152" t="str" cm="1">
        <f t="array" ref="R152">IF(B152="","",IFERROR(INDEX('Lot Inputs'!$L$5:$L$507,MATCH(1,('Lot Inputs'!$A$5:$A$507=$B$3)*('Lot Inputs'!$B$5:$B$507=B152),0)),""))</f>
        <v/>
      </c>
      <c r="S152" s="205" t="str" cm="1">
        <f t="array" ref="S152">IF(B152="","",IFERROR(INDEX('Lot Inputs'!$M$5:$M$507,MATCH(1,('Lot Inputs'!$A$5:$A$507=$B$3)*('Lot Inputs'!$B$5:$B$507=B152),0)),""))</f>
        <v/>
      </c>
      <c r="T152" s="459" t="str">
        <f ca="1">IF(S152="","",S152-TODAY())</f>
        <v/>
      </c>
    </row>
    <row r="153" spans="1:20" ht="14" customHeight="1" x14ac:dyDescent="0.35">
      <c r="A153" s="142">
        <v>147</v>
      </c>
      <c r="B153" s="143" t="str" cm="1">
        <f t="array" ref="B153">IFERROR(INDEX('Lot Inputs'!$B$5:$B$507,MATCH(_xlfn.AGGREGATE(15,6,('Lot Inputs'!$J$5:$J$507)/(('Lot Inputs'!$A$5:$A$507=$B$3)*('Lot Inputs'!$H$5:$H$507&gt;0)),ROW()-6),IF('Lot Inputs'!$A$5:$A$507=$B$3,'Lot Inputs'!$J$5:$J$507),0)),"")</f>
        <v/>
      </c>
      <c r="C153" s="144" t="str">
        <f t="shared" si="20"/>
        <v/>
      </c>
      <c r="D153" s="145" t="str" cm="1">
        <f t="array" ref="D153">IF(B153="","",INDEX('Lot Inputs'!$E$5:$E$507,MATCH(1,('Lot Inputs'!$A$5:$A$507=$B$3)*('Lot Inputs'!$B$5:$B$507=B153),0)))</f>
        <v/>
      </c>
      <c r="E153" s="146" t="str" cm="1">
        <f t="array" ref="E153">IF(B153="","",INDEX('Lot Inputs'!$H$5:$H$507,MATCH(1,('Lot Inputs'!$A$5:$A$507=$B$3)*('Lot Inputs'!$B$5:$B$507=B153),0)))</f>
        <v/>
      </c>
      <c r="F153" s="108" t="str">
        <f>IF(E153="","",IF(R153="On Hold",0,E153)+IF(F152="",0,F152))</f>
        <v/>
      </c>
      <c r="G153" s="108" t="str">
        <f>IF(D153="","",SUMIFS($O$7:$O$500,$N$7:$N$500,"&gt;="&amp;IF(R153="On Hold",S153,Controls!$B$5),$N$7:$N$500,"&lt;="&amp;EDATE(D153,-$B$4)))</f>
        <v/>
      </c>
      <c r="H153" s="108" t="str">
        <f t="shared" si="21"/>
        <v/>
      </c>
      <c r="I153" s="147" t="str">
        <f t="shared" si="19"/>
        <v/>
      </c>
      <c r="J153" s="148" t="str">
        <f>IF(D153="","",(YEAR(EDATE(D153,-$B$4))-YEAR(Controls!$B$5))*12+MONTH(EDATE(D153,-$B$4))-MONTH(Controls!$B$5))</f>
        <v/>
      </c>
      <c r="K153" s="149" t="str">
        <f t="array" ref="K153">IF(F153="","",IFERROR(INDEX($N$7:$N$500,MATCH(TRUE(),$P$7:$P$500&gt;=F153,0)),"After Horizon"))</f>
        <v/>
      </c>
      <c r="L153" t="str">
        <f t="shared" si="22"/>
        <v/>
      </c>
      <c r="M153" s="17" t="str">
        <f t="shared" si="23"/>
        <v/>
      </c>
      <c r="N153" s="145">
        <v>50496</v>
      </c>
      <c r="O153" s="108">
        <f>SUMIFS('Planning Engine'!$F:$F,'Planning Engine'!$B:$B,$B$3,'Planning Engine'!$A:$A,N153)</f>
        <v>13610.850914488468</v>
      </c>
      <c r="P153" s="108">
        <f t="shared" si="24"/>
        <v>2425576.1350822812</v>
      </c>
      <c r="Q153" s="146">
        <f>IF(N153&lt;=EDATE(Controls!$B$5,$B$4-1),O153,0)</f>
        <v>0</v>
      </c>
      <c r="R153" t="str" cm="1">
        <f t="array" ref="R153">IF(B153="","",IFERROR(INDEX('Lot Inputs'!$L$5:$L$507,MATCH(1,('Lot Inputs'!$A$5:$A$507=$B$3)*('Lot Inputs'!$B$5:$B$507=B153),0)),""))</f>
        <v/>
      </c>
      <c r="S153" s="205" t="str" cm="1">
        <f t="array" ref="S153">IF(B153="","",IFERROR(INDEX('Lot Inputs'!$M$5:$M$507,MATCH(1,('Lot Inputs'!$A$5:$A$507=$B$3)*('Lot Inputs'!$B$5:$B$507=B153),0)),""))</f>
        <v/>
      </c>
      <c r="T153" s="459" t="str">
        <f ca="1">IF(S153="","",S153-TODAY())</f>
        <v/>
      </c>
    </row>
    <row r="154" spans="1:20" ht="14" customHeight="1" x14ac:dyDescent="0.35">
      <c r="A154" s="142">
        <v>148</v>
      </c>
      <c r="B154" s="143" t="str" cm="1">
        <f t="array" ref="B154">IFERROR(INDEX('Lot Inputs'!$B$5:$B$507,MATCH(_xlfn.AGGREGATE(15,6,('Lot Inputs'!$J$5:$J$507)/(('Lot Inputs'!$A$5:$A$507=$B$3)*('Lot Inputs'!$H$5:$H$507&gt;0)),ROW()-6),IF('Lot Inputs'!$A$5:$A$507=$B$3,'Lot Inputs'!$J$5:$J$507),0)),"")</f>
        <v/>
      </c>
      <c r="C154" s="144" t="str">
        <f t="shared" si="20"/>
        <v/>
      </c>
      <c r="D154" s="145" t="str" cm="1">
        <f t="array" ref="D154">IF(B154="","",INDEX('Lot Inputs'!$E$5:$E$507,MATCH(1,('Lot Inputs'!$A$5:$A$507=$B$3)*('Lot Inputs'!$B$5:$B$507=B154),0)))</f>
        <v/>
      </c>
      <c r="E154" s="146" t="str" cm="1">
        <f t="array" ref="E154">IF(B154="","",INDEX('Lot Inputs'!$H$5:$H$507,MATCH(1,('Lot Inputs'!$A$5:$A$507=$B$3)*('Lot Inputs'!$B$5:$B$507=B154),0)))</f>
        <v/>
      </c>
      <c r="F154" s="108" t="str">
        <f>IF(E154="","",IF(R154="On Hold",0,E154)+IF(F153="",0,F153))</f>
        <v/>
      </c>
      <c r="G154" s="108" t="str">
        <f>IF(D154="","",SUMIFS($O$7:$O$500,$N$7:$N$500,"&gt;="&amp;IF(R154="On Hold",S154,Controls!$B$5),$N$7:$N$500,"&lt;="&amp;EDATE(D154,-$B$4)))</f>
        <v/>
      </c>
      <c r="H154" s="108" t="str">
        <f t="shared" si="21"/>
        <v/>
      </c>
      <c r="I154" s="147" t="str">
        <f t="shared" si="19"/>
        <v/>
      </c>
      <c r="J154" s="148" t="str">
        <f>IF(D154="","",(YEAR(EDATE(D154,-$B$4))-YEAR(Controls!$B$5))*12+MONTH(EDATE(D154,-$B$4))-MONTH(Controls!$B$5))</f>
        <v/>
      </c>
      <c r="K154" s="149" t="str">
        <f t="array" ref="K154">IF(F154="","",IFERROR(INDEX($N$7:$N$500,MATCH(TRUE(),$P$7:$P$500&gt;=F154,0)),"After Horizon"))</f>
        <v/>
      </c>
      <c r="L154" t="str">
        <f t="shared" si="22"/>
        <v/>
      </c>
      <c r="M154" s="17" t="str">
        <f t="shared" si="23"/>
        <v/>
      </c>
      <c r="N154" s="145">
        <v>50526</v>
      </c>
      <c r="O154" s="108">
        <f>SUMIFS('Planning Engine'!$F:$F,'Planning Engine'!$B:$B,$B$3,'Planning Engine'!$A:$A,N154)</f>
        <v>10207.216231924356</v>
      </c>
      <c r="P154" s="108">
        <f t="shared" si="24"/>
        <v>2435783.3513142057</v>
      </c>
      <c r="Q154" s="146">
        <f>IF(N154&lt;=EDATE(Controls!$B$5,$B$4-1),O154,0)</f>
        <v>0</v>
      </c>
      <c r="R154" t="str" cm="1">
        <f t="array" ref="R154">IF(B154="","",IFERROR(INDEX('Lot Inputs'!$L$5:$L$507,MATCH(1,('Lot Inputs'!$A$5:$A$507=$B$3)*('Lot Inputs'!$B$5:$B$507=B154),0)),""))</f>
        <v/>
      </c>
      <c r="S154" s="205" t="str" cm="1">
        <f t="array" ref="S154">IF(B154="","",IFERROR(INDEX('Lot Inputs'!$M$5:$M$507,MATCH(1,('Lot Inputs'!$A$5:$A$507=$B$3)*('Lot Inputs'!$B$5:$B$507=B154),0)),""))</f>
        <v/>
      </c>
      <c r="T154" s="459" t="str">
        <f ca="1">IF(S154="","",S154-TODAY())</f>
        <v/>
      </c>
    </row>
    <row r="155" spans="1:20" ht="14" customHeight="1" x14ac:dyDescent="0.35">
      <c r="A155" s="142">
        <v>149</v>
      </c>
      <c r="B155" s="143" t="str" cm="1">
        <f t="array" ref="B155">IFERROR(INDEX('Lot Inputs'!$B$5:$B$507,MATCH(_xlfn.AGGREGATE(15,6,('Lot Inputs'!$J$5:$J$507)/(('Lot Inputs'!$A$5:$A$507=$B$3)*('Lot Inputs'!$H$5:$H$507&gt;0)),ROW()-6),IF('Lot Inputs'!$A$5:$A$507=$B$3,'Lot Inputs'!$J$5:$J$507),0)),"")</f>
        <v/>
      </c>
      <c r="C155" s="144" t="str">
        <f t="shared" si="20"/>
        <v/>
      </c>
      <c r="D155" s="145" t="str" cm="1">
        <f t="array" ref="D155">IF(B155="","",INDEX('Lot Inputs'!$E$5:$E$507,MATCH(1,('Lot Inputs'!$A$5:$A$507=$B$3)*('Lot Inputs'!$B$5:$B$507=B155),0)))</f>
        <v/>
      </c>
      <c r="E155" s="146" t="str" cm="1">
        <f t="array" ref="E155">IF(B155="","",INDEX('Lot Inputs'!$H$5:$H$507,MATCH(1,('Lot Inputs'!$A$5:$A$507=$B$3)*('Lot Inputs'!$B$5:$B$507=B155),0)))</f>
        <v/>
      </c>
      <c r="F155" s="108" t="str">
        <f>IF(E155="","",IF(R155="On Hold",0,E155)+IF(F154="",0,F154))</f>
        <v/>
      </c>
      <c r="G155" s="108" t="str">
        <f>IF(D155="","",SUMIFS($O$7:$O$500,$N$7:$N$500,"&gt;="&amp;IF(R155="On Hold",S155,Controls!$B$5),$N$7:$N$500,"&lt;="&amp;EDATE(D155,-$B$4)))</f>
        <v/>
      </c>
      <c r="H155" s="108" t="str">
        <f t="shared" si="21"/>
        <v/>
      </c>
      <c r="I155" s="147" t="str">
        <f t="shared" si="19"/>
        <v/>
      </c>
      <c r="J155" s="148" t="str">
        <f>IF(D155="","",(YEAR(EDATE(D155,-$B$4))-YEAR(Controls!$B$5))*12+MONTH(EDATE(D155,-$B$4))-MONTH(Controls!$B$5))</f>
        <v/>
      </c>
      <c r="K155" s="149" t="str">
        <f t="array" ref="K155">IF(F155="","",IFERROR(INDEX($N$7:$N$500,MATCH(TRUE(),$P$7:$P$500&gt;=F155,0)),"After Horizon"))</f>
        <v/>
      </c>
      <c r="L155" t="str">
        <f t="shared" si="22"/>
        <v/>
      </c>
      <c r="M155" s="17" t="str">
        <f t="shared" si="23"/>
        <v/>
      </c>
      <c r="N155" s="145">
        <v>50557</v>
      </c>
      <c r="O155" s="108">
        <f>SUMIFS('Planning Engine'!$F:$F,'Planning Engine'!$B:$B,$B$3,'Planning Engine'!$A:$A,N155)</f>
        <v>7918.2211085125127</v>
      </c>
      <c r="P155" s="108">
        <f t="shared" si="24"/>
        <v>2443701.5724227182</v>
      </c>
      <c r="Q155" s="146">
        <f>IF(N155&lt;=EDATE(Controls!$B$5,$B$4-1),O155,0)</f>
        <v>0</v>
      </c>
      <c r="R155" t="str" cm="1">
        <f t="array" ref="R155">IF(B155="","",IFERROR(INDEX('Lot Inputs'!$L$5:$L$507,MATCH(1,('Lot Inputs'!$A$5:$A$507=$B$3)*('Lot Inputs'!$B$5:$B$507=B155),0)),""))</f>
        <v/>
      </c>
      <c r="S155" s="205" t="str" cm="1">
        <f t="array" ref="S155">IF(B155="","",IFERROR(INDEX('Lot Inputs'!$M$5:$M$507,MATCH(1,('Lot Inputs'!$A$5:$A$507=$B$3)*('Lot Inputs'!$B$5:$B$507=B155),0)),""))</f>
        <v/>
      </c>
      <c r="T155" s="459" t="str">
        <f ca="1">IF(S155="","",S155-TODAY())</f>
        <v/>
      </c>
    </row>
    <row r="156" spans="1:20" ht="14" customHeight="1" x14ac:dyDescent="0.35">
      <c r="A156" s="142">
        <v>150</v>
      </c>
      <c r="B156" s="143" t="str" cm="1">
        <f t="array" ref="B156">IFERROR(INDEX('Lot Inputs'!$B$5:$B$507,MATCH(_xlfn.AGGREGATE(15,6,('Lot Inputs'!$J$5:$J$507)/(('Lot Inputs'!$A$5:$A$507=$B$3)*('Lot Inputs'!$H$5:$H$507&gt;0)),ROW()-6),IF('Lot Inputs'!$A$5:$A$507=$B$3,'Lot Inputs'!$J$5:$J$507),0)),"")</f>
        <v/>
      </c>
      <c r="C156" s="144" t="str">
        <f t="shared" si="20"/>
        <v/>
      </c>
      <c r="D156" s="145" t="str" cm="1">
        <f t="array" ref="D156">IF(B156="","",INDEX('Lot Inputs'!$E$5:$E$507,MATCH(1,('Lot Inputs'!$A$5:$A$507=$B$3)*('Lot Inputs'!$B$5:$B$507=B156),0)))</f>
        <v/>
      </c>
      <c r="E156" s="146" t="str" cm="1">
        <f t="array" ref="E156">IF(B156="","",INDEX('Lot Inputs'!$H$5:$H$507,MATCH(1,('Lot Inputs'!$A$5:$A$507=$B$3)*('Lot Inputs'!$B$5:$B$507=B156),0)))</f>
        <v/>
      </c>
      <c r="F156" s="108" t="str">
        <f>IF(E156="","",IF(R156="On Hold",0,E156)+IF(F155="",0,F155))</f>
        <v/>
      </c>
      <c r="G156" s="108" t="str">
        <f>IF(D156="","",SUMIFS($O$7:$O$500,$N$7:$N$500,"&gt;="&amp;IF(R156="On Hold",S156,Controls!$B$5),$N$7:$N$500,"&lt;="&amp;EDATE(D156,-$B$4)))</f>
        <v/>
      </c>
      <c r="H156" s="108" t="str">
        <f t="shared" si="21"/>
        <v/>
      </c>
      <c r="I156" s="147" t="str">
        <f t="shared" si="19"/>
        <v/>
      </c>
      <c r="J156" s="148" t="str">
        <f>IF(D156="","",(YEAR(EDATE(D156,-$B$4))-YEAR(Controls!$B$5))*12+MONTH(EDATE(D156,-$B$4))-MONTH(Controls!$B$5))</f>
        <v/>
      </c>
      <c r="K156" s="149" t="str">
        <f t="array" ref="K156">IF(F156="","",IFERROR(INDEX($N$7:$N$500,MATCH(TRUE(),$P$7:$P$500&gt;=F156,0)),"After Horizon"))</f>
        <v/>
      </c>
      <c r="L156" t="str">
        <f t="shared" si="22"/>
        <v/>
      </c>
      <c r="M156" s="17" t="str">
        <f t="shared" si="23"/>
        <v/>
      </c>
      <c r="N156" s="145">
        <v>50587</v>
      </c>
      <c r="O156" s="108">
        <f>SUMIFS('Planning Engine'!$F:$F,'Planning Engine'!$B:$B,$B$3,'Planning Engine'!$A:$A,N156)</f>
        <v>8395.9979704862744</v>
      </c>
      <c r="P156" s="108">
        <f t="shared" si="24"/>
        <v>2452097.5703932042</v>
      </c>
      <c r="Q156" s="146">
        <f>IF(N156&lt;=EDATE(Controls!$B$5,$B$4-1),O156,0)</f>
        <v>0</v>
      </c>
      <c r="R156" t="str" cm="1">
        <f t="array" ref="R156">IF(B156="","",IFERROR(INDEX('Lot Inputs'!$L$5:$L$507,MATCH(1,('Lot Inputs'!$A$5:$A$507=$B$3)*('Lot Inputs'!$B$5:$B$507=B156),0)),""))</f>
        <v/>
      </c>
      <c r="S156" s="205" t="str" cm="1">
        <f t="array" ref="S156">IF(B156="","",IFERROR(INDEX('Lot Inputs'!$M$5:$M$507,MATCH(1,('Lot Inputs'!$A$5:$A$507=$B$3)*('Lot Inputs'!$B$5:$B$507=B156),0)),""))</f>
        <v/>
      </c>
      <c r="T156" s="459" t="str">
        <f ca="1">IF(S156="","",S156-TODAY())</f>
        <v/>
      </c>
    </row>
    <row r="157" spans="1:20" ht="14" customHeight="1" x14ac:dyDescent="0.35">
      <c r="A157" s="142">
        <v>151</v>
      </c>
      <c r="B157" s="143" t="str" cm="1">
        <f t="array" ref="B157">IFERROR(INDEX('Lot Inputs'!$B$5:$B$507,MATCH(_xlfn.AGGREGATE(15,6,('Lot Inputs'!$J$5:$J$507)/(('Lot Inputs'!$A$5:$A$507=$B$3)*('Lot Inputs'!$H$5:$H$507&gt;0)),ROW()-6),IF('Lot Inputs'!$A$5:$A$507=$B$3,'Lot Inputs'!$J$5:$J$507),0)),"")</f>
        <v/>
      </c>
      <c r="C157" s="144" t="str">
        <f t="shared" si="20"/>
        <v/>
      </c>
      <c r="D157" s="145" t="str" cm="1">
        <f t="array" ref="D157">IF(B157="","",INDEX('Lot Inputs'!$E$5:$E$507,MATCH(1,('Lot Inputs'!$A$5:$A$507=$B$3)*('Lot Inputs'!$B$5:$B$507=B157),0)))</f>
        <v/>
      </c>
      <c r="E157" s="146" t="str" cm="1">
        <f t="array" ref="E157">IF(B157="","",INDEX('Lot Inputs'!$H$5:$H$507,MATCH(1,('Lot Inputs'!$A$5:$A$507=$B$3)*('Lot Inputs'!$B$5:$B$507=B157),0)))</f>
        <v/>
      </c>
      <c r="F157" s="108" t="str">
        <f>IF(E157="","",IF(R157="On Hold",0,E157)+IF(F156="",0,F156))</f>
        <v/>
      </c>
      <c r="G157" s="108" t="str">
        <f>IF(D157="","",SUMIFS($O$7:$O$500,$N$7:$N$500,"&gt;="&amp;IF(R157="On Hold",S157,Controls!$B$5),$N$7:$N$500,"&lt;="&amp;EDATE(D157,-$B$4)))</f>
        <v/>
      </c>
      <c r="H157" s="108" t="str">
        <f t="shared" si="21"/>
        <v/>
      </c>
      <c r="I157" s="147" t="str">
        <f t="shared" si="19"/>
        <v/>
      </c>
      <c r="J157" s="148" t="str">
        <f>IF(D157="","",(YEAR(EDATE(D157,-$B$4))-YEAR(Controls!$B$5))*12+MONTH(EDATE(D157,-$B$4))-MONTH(Controls!$B$5))</f>
        <v/>
      </c>
      <c r="K157" s="149" t="str">
        <f t="array" ref="K157">IF(F157="","",IFERROR(INDEX($N$7:$N$500,MATCH(TRUE(),$P$7:$P$500&gt;=F157,0)),"After Horizon"))</f>
        <v/>
      </c>
      <c r="L157" t="str">
        <f t="shared" si="22"/>
        <v/>
      </c>
      <c r="M157" s="17" t="str">
        <f t="shared" si="23"/>
        <v/>
      </c>
      <c r="N157" s="145">
        <v>50618</v>
      </c>
      <c r="O157" s="108">
        <f>SUMIFS('Planning Engine'!$F:$F,'Planning Engine'!$B:$B,$B$3,'Planning Engine'!$A:$A,N157)</f>
        <v>7301.5752853739978</v>
      </c>
      <c r="P157" s="108">
        <f t="shared" si="24"/>
        <v>2459399.1456785784</v>
      </c>
      <c r="Q157" s="146">
        <f>IF(N157&lt;=EDATE(Controls!$B$5,$B$4-1),O157,0)</f>
        <v>0</v>
      </c>
      <c r="R157" t="str" cm="1">
        <f t="array" ref="R157">IF(B157="","",IFERROR(INDEX('Lot Inputs'!$L$5:$L$507,MATCH(1,('Lot Inputs'!$A$5:$A$507=$B$3)*('Lot Inputs'!$B$5:$B$507=B157),0)),""))</f>
        <v/>
      </c>
      <c r="S157" s="205" t="str" cm="1">
        <f t="array" ref="S157">IF(B157="","",IFERROR(INDEX('Lot Inputs'!$M$5:$M$507,MATCH(1,('Lot Inputs'!$A$5:$A$507=$B$3)*('Lot Inputs'!$B$5:$B$507=B157),0)),""))</f>
        <v/>
      </c>
      <c r="T157" s="459" t="str">
        <f ca="1">IF(S157="","",S157-TODAY())</f>
        <v/>
      </c>
    </row>
    <row r="158" spans="1:20" ht="14" customHeight="1" x14ac:dyDescent="0.35">
      <c r="A158" s="142">
        <v>152</v>
      </c>
      <c r="B158" s="143" t="str" cm="1">
        <f t="array" ref="B158">IFERROR(INDEX('Lot Inputs'!$B$5:$B$507,MATCH(_xlfn.AGGREGATE(15,6,('Lot Inputs'!$J$5:$J$507)/(('Lot Inputs'!$A$5:$A$507=$B$3)*('Lot Inputs'!$H$5:$H$507&gt;0)),ROW()-6),IF('Lot Inputs'!$A$5:$A$507=$B$3,'Lot Inputs'!$J$5:$J$507),0)),"")</f>
        <v/>
      </c>
      <c r="C158" s="144" t="str">
        <f t="shared" si="20"/>
        <v/>
      </c>
      <c r="D158" s="145" t="str" cm="1">
        <f t="array" ref="D158">IF(B158="","",INDEX('Lot Inputs'!$E$5:$E$507,MATCH(1,('Lot Inputs'!$A$5:$A$507=$B$3)*('Lot Inputs'!$B$5:$B$507=B158),0)))</f>
        <v/>
      </c>
      <c r="E158" s="146" t="str" cm="1">
        <f t="array" ref="E158">IF(B158="","",INDEX('Lot Inputs'!$H$5:$H$507,MATCH(1,('Lot Inputs'!$A$5:$A$507=$B$3)*('Lot Inputs'!$B$5:$B$507=B158),0)))</f>
        <v/>
      </c>
      <c r="F158" s="108" t="str">
        <f>IF(E158="","",IF(R158="On Hold",0,E158)+IF(F157="",0,F157))</f>
        <v/>
      </c>
      <c r="G158" s="108" t="str">
        <f>IF(D158="","",SUMIFS($O$7:$O$500,$N$7:$N$500,"&gt;="&amp;IF(R158="On Hold",S158,Controls!$B$5),$N$7:$N$500,"&lt;="&amp;EDATE(D158,-$B$4)))</f>
        <v/>
      </c>
      <c r="H158" s="108" t="str">
        <f t="shared" si="21"/>
        <v/>
      </c>
      <c r="I158" s="147" t="str">
        <f t="shared" si="19"/>
        <v/>
      </c>
      <c r="J158" s="148" t="str">
        <f>IF(D158="","",(YEAR(EDATE(D158,-$B$4))-YEAR(Controls!$B$5))*12+MONTH(EDATE(D158,-$B$4))-MONTH(Controls!$B$5))</f>
        <v/>
      </c>
      <c r="K158" s="149" t="str">
        <f t="array" ref="K158">IF(F158="","",IFERROR(INDEX($N$7:$N$500,MATCH(TRUE(),$P$7:$P$500&gt;=F158,0)),"After Horizon"))</f>
        <v/>
      </c>
      <c r="L158" t="str">
        <f t="shared" si="22"/>
        <v/>
      </c>
      <c r="M158" s="17" t="str">
        <f t="shared" si="23"/>
        <v/>
      </c>
      <c r="N158" s="145">
        <v>50649</v>
      </c>
      <c r="O158" s="108">
        <f>SUMIFS('Planning Engine'!$F:$F,'Planning Engine'!$B:$B,$B$3,'Planning Engine'!$A:$A,N158)</f>
        <v>7153.0325754834703</v>
      </c>
      <c r="P158" s="108">
        <f t="shared" si="24"/>
        <v>2466552.1782540618</v>
      </c>
      <c r="Q158" s="146">
        <f>IF(N158&lt;=EDATE(Controls!$B$5,$B$4-1),O158,0)</f>
        <v>0</v>
      </c>
      <c r="R158" t="str" cm="1">
        <f t="array" ref="R158">IF(B158="","",IFERROR(INDEX('Lot Inputs'!$L$5:$L$507,MATCH(1,('Lot Inputs'!$A$5:$A$507=$B$3)*('Lot Inputs'!$B$5:$B$507=B158),0)),""))</f>
        <v/>
      </c>
      <c r="S158" s="205" t="str" cm="1">
        <f t="array" ref="S158">IF(B158="","",IFERROR(INDEX('Lot Inputs'!$M$5:$M$507,MATCH(1,('Lot Inputs'!$A$5:$A$507=$B$3)*('Lot Inputs'!$B$5:$B$507=B158),0)),""))</f>
        <v/>
      </c>
      <c r="T158" s="459" t="str">
        <f ca="1">IF(S158="","",S158-TODAY())</f>
        <v/>
      </c>
    </row>
    <row r="159" spans="1:20" ht="14" customHeight="1" x14ac:dyDescent="0.35">
      <c r="A159" s="142">
        <v>153</v>
      </c>
      <c r="B159" s="143" t="str" cm="1">
        <f t="array" ref="B159">IFERROR(INDEX('Lot Inputs'!$B$5:$B$507,MATCH(_xlfn.AGGREGATE(15,6,('Lot Inputs'!$J$5:$J$507)/(('Lot Inputs'!$A$5:$A$507=$B$3)*('Lot Inputs'!$H$5:$H$507&gt;0)),ROW()-6),IF('Lot Inputs'!$A$5:$A$507=$B$3,'Lot Inputs'!$J$5:$J$507),0)),"")</f>
        <v/>
      </c>
      <c r="C159" s="144" t="str">
        <f t="shared" si="20"/>
        <v/>
      </c>
      <c r="D159" s="145" t="str" cm="1">
        <f t="array" ref="D159">IF(B159="","",INDEX('Lot Inputs'!$E$5:$E$507,MATCH(1,('Lot Inputs'!$A$5:$A$507=$B$3)*('Lot Inputs'!$B$5:$B$507=B159),0)))</f>
        <v/>
      </c>
      <c r="E159" s="146" t="str" cm="1">
        <f t="array" ref="E159">IF(B159="","",INDEX('Lot Inputs'!$H$5:$H$507,MATCH(1,('Lot Inputs'!$A$5:$A$507=$B$3)*('Lot Inputs'!$B$5:$B$507=B159),0)))</f>
        <v/>
      </c>
      <c r="F159" s="108" t="str">
        <f>IF(E159="","",IF(R159="On Hold",0,E159)+IF(F158="",0,F158))</f>
        <v/>
      </c>
      <c r="G159" s="108" t="str">
        <f>IF(D159="","",SUMIFS($O$7:$O$500,$N$7:$N$500,"&gt;="&amp;IF(R159="On Hold",S159,Controls!$B$5),$N$7:$N$500,"&lt;="&amp;EDATE(D159,-$B$4)))</f>
        <v/>
      </c>
      <c r="H159" s="108" t="str">
        <f t="shared" si="21"/>
        <v/>
      </c>
      <c r="I159" s="147" t="str">
        <f t="shared" si="19"/>
        <v/>
      </c>
      <c r="J159" s="148" t="str">
        <f>IF(D159="","",(YEAR(EDATE(D159,-$B$4))-YEAR(Controls!$B$5))*12+MONTH(EDATE(D159,-$B$4))-MONTH(Controls!$B$5))</f>
        <v/>
      </c>
      <c r="K159" s="149" t="str">
        <f t="array" ref="K159">IF(F159="","",IFERROR(INDEX($N$7:$N$500,MATCH(TRUE(),$P$7:$P$500&gt;=F159,0)),"After Horizon"))</f>
        <v/>
      </c>
      <c r="L159" t="str">
        <f t="shared" si="22"/>
        <v/>
      </c>
      <c r="M159" s="17" t="str">
        <f t="shared" si="23"/>
        <v/>
      </c>
      <c r="N159" s="145">
        <v>50679</v>
      </c>
      <c r="O159" s="108">
        <f>SUMIFS('Planning Engine'!$F:$F,'Planning Engine'!$B:$B,$B$3,'Planning Engine'!$A:$A,N159)</f>
        <v>5667.5465319748319</v>
      </c>
      <c r="P159" s="108">
        <f t="shared" si="24"/>
        <v>2472219.7247860366</v>
      </c>
      <c r="Q159" s="146">
        <f>IF(N159&lt;=EDATE(Controls!$B$5,$B$4-1),O159,0)</f>
        <v>0</v>
      </c>
      <c r="R159" t="str" cm="1">
        <f t="array" ref="R159">IF(B159="","",IFERROR(INDEX('Lot Inputs'!$L$5:$L$507,MATCH(1,('Lot Inputs'!$A$5:$A$507=$B$3)*('Lot Inputs'!$B$5:$B$507=B159),0)),""))</f>
        <v/>
      </c>
      <c r="S159" s="205" t="str" cm="1">
        <f t="array" ref="S159">IF(B159="","",IFERROR(INDEX('Lot Inputs'!$M$5:$M$507,MATCH(1,('Lot Inputs'!$A$5:$A$507=$B$3)*('Lot Inputs'!$B$5:$B$507=B159),0)),""))</f>
        <v/>
      </c>
      <c r="T159" s="459" t="str">
        <f ca="1">IF(S159="","",S159-TODAY())</f>
        <v/>
      </c>
    </row>
    <row r="160" spans="1:20" ht="14" customHeight="1" x14ac:dyDescent="0.35">
      <c r="A160" s="142">
        <v>154</v>
      </c>
      <c r="B160" s="143" t="str" cm="1">
        <f t="array" ref="B160">IFERROR(INDEX('Lot Inputs'!$B$5:$B$507,MATCH(_xlfn.AGGREGATE(15,6,('Lot Inputs'!$J$5:$J$507)/(('Lot Inputs'!$A$5:$A$507=$B$3)*('Lot Inputs'!$H$5:$H$507&gt;0)),ROW()-6),IF('Lot Inputs'!$A$5:$A$507=$B$3,'Lot Inputs'!$J$5:$J$507),0)),"")</f>
        <v/>
      </c>
      <c r="C160" s="144" t="str">
        <f t="shared" si="20"/>
        <v/>
      </c>
      <c r="D160" s="145" t="str" cm="1">
        <f t="array" ref="D160">IF(B160="","",INDEX('Lot Inputs'!$E$5:$E$507,MATCH(1,('Lot Inputs'!$A$5:$A$507=$B$3)*('Lot Inputs'!$B$5:$B$507=B160),0)))</f>
        <v/>
      </c>
      <c r="E160" s="146" t="str" cm="1">
        <f t="array" ref="E160">IF(B160="","",INDEX('Lot Inputs'!$H$5:$H$507,MATCH(1,('Lot Inputs'!$A$5:$A$507=$B$3)*('Lot Inputs'!$B$5:$B$507=B160),0)))</f>
        <v/>
      </c>
      <c r="F160" s="108" t="str">
        <f>IF(E160="","",IF(R160="On Hold",0,E160)+IF(F159="",0,F159))</f>
        <v/>
      </c>
      <c r="G160" s="108" t="str">
        <f>IF(D160="","",SUMIFS($O$7:$O$500,$N$7:$N$500,"&gt;="&amp;IF(R160="On Hold",S160,Controls!$B$5),$N$7:$N$500,"&lt;="&amp;EDATE(D160,-$B$4)))</f>
        <v/>
      </c>
      <c r="H160" s="108" t="str">
        <f t="shared" si="21"/>
        <v/>
      </c>
      <c r="I160" s="147" t="str">
        <f t="shared" si="19"/>
        <v/>
      </c>
      <c r="J160" s="148" t="str">
        <f>IF(D160="","",(YEAR(EDATE(D160,-$B$4))-YEAR(Controls!$B$5))*12+MONTH(EDATE(D160,-$B$4))-MONTH(Controls!$B$5))</f>
        <v/>
      </c>
      <c r="K160" s="149" t="str">
        <f t="array" ref="K160">IF(F160="","",IFERROR(INDEX($N$7:$N$500,MATCH(TRUE(),$P$7:$P$500&gt;=F160,0)),"After Horizon"))</f>
        <v/>
      </c>
      <c r="L160" t="str">
        <f t="shared" si="22"/>
        <v/>
      </c>
      <c r="M160" s="17" t="str">
        <f t="shared" si="23"/>
        <v/>
      </c>
      <c r="N160" s="145">
        <v>50710</v>
      </c>
      <c r="O160" s="108">
        <f>SUMIFS('Planning Engine'!$F:$F,'Planning Engine'!$B:$B,$B$3,'Planning Engine'!$A:$A,N160)</f>
        <v>4730.1410937415039</v>
      </c>
      <c r="P160" s="108">
        <f t="shared" si="24"/>
        <v>2476949.8658797783</v>
      </c>
      <c r="Q160" s="146">
        <f>IF(N160&lt;=EDATE(Controls!$B$5,$B$4-1),O160,0)</f>
        <v>0</v>
      </c>
      <c r="R160" t="str" cm="1">
        <f t="array" ref="R160">IF(B160="","",IFERROR(INDEX('Lot Inputs'!$L$5:$L$507,MATCH(1,('Lot Inputs'!$A$5:$A$507=$B$3)*('Lot Inputs'!$B$5:$B$507=B160),0)),""))</f>
        <v/>
      </c>
      <c r="S160" s="205" t="str" cm="1">
        <f t="array" ref="S160">IF(B160="","",IFERROR(INDEX('Lot Inputs'!$M$5:$M$507,MATCH(1,('Lot Inputs'!$A$5:$A$507=$B$3)*('Lot Inputs'!$B$5:$B$507=B160),0)),""))</f>
        <v/>
      </c>
      <c r="T160" s="459" t="str">
        <f ca="1">IF(S160="","",S160-TODAY())</f>
        <v/>
      </c>
    </row>
    <row r="161" spans="1:20" ht="14" customHeight="1" x14ac:dyDescent="0.35">
      <c r="A161" s="142">
        <v>155</v>
      </c>
      <c r="B161" s="143" t="str" cm="1">
        <f t="array" ref="B161">IFERROR(INDEX('Lot Inputs'!$B$5:$B$507,MATCH(_xlfn.AGGREGATE(15,6,('Lot Inputs'!$J$5:$J$507)/(('Lot Inputs'!$A$5:$A$507=$B$3)*('Lot Inputs'!$H$5:$H$507&gt;0)),ROW()-6),IF('Lot Inputs'!$A$5:$A$507=$B$3,'Lot Inputs'!$J$5:$J$507),0)),"")</f>
        <v/>
      </c>
      <c r="C161" s="144" t="str">
        <f t="shared" si="20"/>
        <v/>
      </c>
      <c r="D161" s="145" t="str" cm="1">
        <f t="array" ref="D161">IF(B161="","",INDEX('Lot Inputs'!$E$5:$E$507,MATCH(1,('Lot Inputs'!$A$5:$A$507=$B$3)*('Lot Inputs'!$B$5:$B$507=B161),0)))</f>
        <v/>
      </c>
      <c r="E161" s="146" t="str" cm="1">
        <f t="array" ref="E161">IF(B161="","",INDEX('Lot Inputs'!$H$5:$H$507,MATCH(1,('Lot Inputs'!$A$5:$A$507=$B$3)*('Lot Inputs'!$B$5:$B$507=B161),0)))</f>
        <v/>
      </c>
      <c r="F161" s="108" t="str">
        <f>IF(E161="","",IF(R161="On Hold",0,E161)+IF(F160="",0,F160))</f>
        <v/>
      </c>
      <c r="G161" s="108" t="str">
        <f>IF(D161="","",SUMIFS($O$7:$O$500,$N$7:$N$500,"&gt;="&amp;IF(R161="On Hold",S161,Controls!$B$5),$N$7:$N$500,"&lt;="&amp;EDATE(D161,-$B$4)))</f>
        <v/>
      </c>
      <c r="H161" s="108" t="str">
        <f t="shared" si="21"/>
        <v/>
      </c>
      <c r="I161" s="147" t="str">
        <f t="shared" si="19"/>
        <v/>
      </c>
      <c r="J161" s="148" t="str">
        <f>IF(D161="","",(YEAR(EDATE(D161,-$B$4))-YEAR(Controls!$B$5))*12+MONTH(EDATE(D161,-$B$4))-MONTH(Controls!$B$5))</f>
        <v/>
      </c>
      <c r="K161" s="149" t="str">
        <f t="array" ref="K161">IF(F161="","",IFERROR(INDEX($N$7:$N$500,MATCH(TRUE(),$P$7:$P$500&gt;=F161,0)),"After Horizon"))</f>
        <v/>
      </c>
      <c r="L161" t="str">
        <f t="shared" si="22"/>
        <v/>
      </c>
      <c r="M161" s="17" t="str">
        <f t="shared" si="23"/>
        <v/>
      </c>
      <c r="N161" s="145">
        <v>50740</v>
      </c>
      <c r="O161" s="108">
        <f>SUMIFS('Planning Engine'!$F:$F,'Planning Engine'!$B:$B,$B$3,'Planning Engine'!$A:$A,N161)</f>
        <v>4313.2946070097005</v>
      </c>
      <c r="P161" s="108">
        <f t="shared" si="24"/>
        <v>2481263.160486788</v>
      </c>
      <c r="Q161" s="146">
        <f>IF(N161&lt;=EDATE(Controls!$B$5,$B$4-1),O161,0)</f>
        <v>0</v>
      </c>
      <c r="R161" t="str" cm="1">
        <f t="array" ref="R161">IF(B161="","",IFERROR(INDEX('Lot Inputs'!$L$5:$L$507,MATCH(1,('Lot Inputs'!$A$5:$A$507=$B$3)*('Lot Inputs'!$B$5:$B$507=B161),0)),""))</f>
        <v/>
      </c>
      <c r="S161" s="205" t="str" cm="1">
        <f t="array" ref="S161">IF(B161="","",IFERROR(INDEX('Lot Inputs'!$M$5:$M$507,MATCH(1,('Lot Inputs'!$A$5:$A$507=$B$3)*('Lot Inputs'!$B$5:$B$507=B161),0)),""))</f>
        <v/>
      </c>
      <c r="T161" s="459" t="str">
        <f ca="1">IF(S161="","",S161-TODAY())</f>
        <v/>
      </c>
    </row>
    <row r="162" spans="1:20" ht="14" customHeight="1" x14ac:dyDescent="0.35">
      <c r="A162" s="142">
        <v>156</v>
      </c>
      <c r="B162" s="143" t="str" cm="1">
        <f t="array" ref="B162">IFERROR(INDEX('Lot Inputs'!$B$5:$B$507,MATCH(_xlfn.AGGREGATE(15,6,('Lot Inputs'!$J$5:$J$507)/(('Lot Inputs'!$A$5:$A$507=$B$3)*('Lot Inputs'!$H$5:$H$507&gt;0)),ROW()-6),IF('Lot Inputs'!$A$5:$A$507=$B$3,'Lot Inputs'!$J$5:$J$507),0)),"")</f>
        <v/>
      </c>
      <c r="C162" s="144" t="str">
        <f t="shared" si="20"/>
        <v/>
      </c>
      <c r="D162" s="145" t="str" cm="1">
        <f t="array" ref="D162">IF(B162="","",INDEX('Lot Inputs'!$E$5:$E$507,MATCH(1,('Lot Inputs'!$A$5:$A$507=$B$3)*('Lot Inputs'!$B$5:$B$507=B162),0)))</f>
        <v/>
      </c>
      <c r="E162" s="146" t="str" cm="1">
        <f t="array" ref="E162">IF(B162="","",INDEX('Lot Inputs'!$H$5:$H$507,MATCH(1,('Lot Inputs'!$A$5:$A$507=$B$3)*('Lot Inputs'!$B$5:$B$507=B162),0)))</f>
        <v/>
      </c>
      <c r="F162" s="108" t="str">
        <f>IF(E162="","",IF(R162="On Hold",0,E162)+IF(F161="",0,F161))</f>
        <v/>
      </c>
      <c r="G162" s="108" t="str">
        <f>IF(D162="","",SUMIFS($O$7:$O$500,$N$7:$N$500,"&gt;="&amp;IF(R162="On Hold",S162,Controls!$B$5),$N$7:$N$500,"&lt;="&amp;EDATE(D162,-$B$4)))</f>
        <v/>
      </c>
      <c r="H162" s="108" t="str">
        <f t="shared" si="21"/>
        <v/>
      </c>
      <c r="I162" s="147" t="str">
        <f t="shared" si="19"/>
        <v/>
      </c>
      <c r="J162" s="148" t="str">
        <f>IF(D162="","",(YEAR(EDATE(D162,-$B$4))-YEAR(Controls!$B$5))*12+MONTH(EDATE(D162,-$B$4))-MONTH(Controls!$B$5))</f>
        <v/>
      </c>
      <c r="K162" s="149" t="str">
        <f t="array" ref="K162">IF(F162="","",IFERROR(INDEX($N$7:$N$500,MATCH(TRUE(),$P$7:$P$500&gt;=F162,0)),"After Horizon"))</f>
        <v/>
      </c>
      <c r="L162" t="str">
        <f t="shared" si="22"/>
        <v/>
      </c>
      <c r="M162" s="17" t="str">
        <f t="shared" si="23"/>
        <v/>
      </c>
      <c r="N162" s="145">
        <v>50771</v>
      </c>
      <c r="O162" s="108">
        <f>SUMIFS('Planning Engine'!$F:$F,'Planning Engine'!$B:$B,$B$3,'Planning Engine'!$A:$A,N162)</f>
        <v>4514.7263857468588</v>
      </c>
      <c r="P162" s="108">
        <f t="shared" si="24"/>
        <v>2485777.8868725351</v>
      </c>
      <c r="Q162" s="146">
        <f>IF(N162&lt;=EDATE(Controls!$B$5,$B$4-1),O162,0)</f>
        <v>0</v>
      </c>
      <c r="R162" t="str" cm="1">
        <f t="array" ref="R162">IF(B162="","",IFERROR(INDEX('Lot Inputs'!$L$5:$L$507,MATCH(1,('Lot Inputs'!$A$5:$A$507=$B$3)*('Lot Inputs'!$B$5:$B$507=B162),0)),""))</f>
        <v/>
      </c>
      <c r="S162" s="205" t="str" cm="1">
        <f t="array" ref="S162">IF(B162="","",IFERROR(INDEX('Lot Inputs'!$M$5:$M$507,MATCH(1,('Lot Inputs'!$A$5:$A$507=$B$3)*('Lot Inputs'!$B$5:$B$507=B162),0)),""))</f>
        <v/>
      </c>
      <c r="T162" s="459" t="str">
        <f ca="1">IF(S162="","",S162-TODAY())</f>
        <v/>
      </c>
    </row>
    <row r="163" spans="1:20" ht="14" customHeight="1" x14ac:dyDescent="0.35">
      <c r="A163" s="142">
        <v>157</v>
      </c>
      <c r="B163" s="143" t="str" cm="1">
        <f t="array" ref="B163">IFERROR(INDEX('Lot Inputs'!$B$5:$B$507,MATCH(_xlfn.AGGREGATE(15,6,('Lot Inputs'!$J$5:$J$507)/(('Lot Inputs'!$A$5:$A$507=$B$3)*('Lot Inputs'!$H$5:$H$507&gt;0)),ROW()-6),IF('Lot Inputs'!$A$5:$A$507=$B$3,'Lot Inputs'!$J$5:$J$507),0)),"")</f>
        <v/>
      </c>
      <c r="C163" s="144" t="str">
        <f t="shared" si="20"/>
        <v/>
      </c>
      <c r="D163" s="145" t="str" cm="1">
        <f t="array" ref="D163">IF(B163="","",INDEX('Lot Inputs'!$E$5:$E$507,MATCH(1,('Lot Inputs'!$A$5:$A$507=$B$3)*('Lot Inputs'!$B$5:$B$507=B163),0)))</f>
        <v/>
      </c>
      <c r="E163" s="146" t="str" cm="1">
        <f t="array" ref="E163">IF(B163="","",INDEX('Lot Inputs'!$H$5:$H$507,MATCH(1,('Lot Inputs'!$A$5:$A$507=$B$3)*('Lot Inputs'!$B$5:$B$507=B163),0)))</f>
        <v/>
      </c>
      <c r="F163" s="108" t="str">
        <f>IF(E163="","",IF(R163="On Hold",0,E163)+IF(F162="",0,F162))</f>
        <v/>
      </c>
      <c r="G163" s="108" t="str">
        <f>IF(D163="","",SUMIFS($O$7:$O$500,$N$7:$N$500,"&gt;="&amp;IF(R163="On Hold",S163,Controls!$B$5),$N$7:$N$500,"&lt;="&amp;EDATE(D163,-$B$4)))</f>
        <v/>
      </c>
      <c r="H163" s="108" t="str">
        <f t="shared" si="21"/>
        <v/>
      </c>
      <c r="I163" s="147" t="str">
        <f t="shared" si="19"/>
        <v/>
      </c>
      <c r="J163" s="148" t="str">
        <f>IF(D163="","",(YEAR(EDATE(D163,-$B$4))-YEAR(Controls!$B$5))*12+MONTH(EDATE(D163,-$B$4))-MONTH(Controls!$B$5))</f>
        <v/>
      </c>
      <c r="K163" s="149" t="str">
        <f t="array" ref="K163">IF(F163="","",IFERROR(INDEX($N$7:$N$500,MATCH(TRUE(),$P$7:$P$500&gt;=F163,0)),"After Horizon"))</f>
        <v/>
      </c>
      <c r="L163" t="str">
        <f t="shared" si="22"/>
        <v/>
      </c>
      <c r="M163" s="17" t="str">
        <f t="shared" si="23"/>
        <v/>
      </c>
      <c r="N163" s="145">
        <v>50802</v>
      </c>
      <c r="O163" s="108">
        <f>SUMIFS('Planning Engine'!$F:$F,'Planning Engine'!$B:$B,$B$3,'Planning Engine'!$A:$A,N163)</f>
        <v>2719.1856722663092</v>
      </c>
      <c r="P163" s="108">
        <f t="shared" si="24"/>
        <v>2488497.0725448015</v>
      </c>
      <c r="Q163" s="146">
        <f>IF(N163&lt;=EDATE(Controls!$B$5,$B$4-1),O163,0)</f>
        <v>0</v>
      </c>
      <c r="R163" t="str" cm="1">
        <f t="array" ref="R163">IF(B163="","",IFERROR(INDEX('Lot Inputs'!$L$5:$L$507,MATCH(1,('Lot Inputs'!$A$5:$A$507=$B$3)*('Lot Inputs'!$B$5:$B$507=B163),0)),""))</f>
        <v/>
      </c>
      <c r="S163" s="205" t="str" cm="1">
        <f t="array" ref="S163">IF(B163="","",IFERROR(INDEX('Lot Inputs'!$M$5:$M$507,MATCH(1,('Lot Inputs'!$A$5:$A$507=$B$3)*('Lot Inputs'!$B$5:$B$507=B163),0)),""))</f>
        <v/>
      </c>
      <c r="T163" s="459" t="str">
        <f ca="1">IF(S163="","",S163-TODAY())</f>
        <v/>
      </c>
    </row>
    <row r="164" spans="1:20" ht="14" customHeight="1" x14ac:dyDescent="0.35">
      <c r="A164" s="142">
        <v>158</v>
      </c>
      <c r="B164" s="143" t="str" cm="1">
        <f t="array" ref="B164">IFERROR(INDEX('Lot Inputs'!$B$5:$B$507,MATCH(_xlfn.AGGREGATE(15,6,('Lot Inputs'!$J$5:$J$507)/(('Lot Inputs'!$A$5:$A$507=$B$3)*('Lot Inputs'!$H$5:$H$507&gt;0)),ROW()-6),IF('Lot Inputs'!$A$5:$A$507=$B$3,'Lot Inputs'!$J$5:$J$507),0)),"")</f>
        <v/>
      </c>
      <c r="C164" s="144" t="str">
        <f t="shared" si="20"/>
        <v/>
      </c>
      <c r="D164" s="145" t="str" cm="1">
        <f t="array" ref="D164">IF(B164="","",INDEX('Lot Inputs'!$E$5:$E$507,MATCH(1,('Lot Inputs'!$A$5:$A$507=$B$3)*('Lot Inputs'!$B$5:$B$507=B164),0)))</f>
        <v/>
      </c>
      <c r="E164" s="146" t="str" cm="1">
        <f t="array" ref="E164">IF(B164="","",INDEX('Lot Inputs'!$H$5:$H$507,MATCH(1,('Lot Inputs'!$A$5:$A$507=$B$3)*('Lot Inputs'!$B$5:$B$507=B164),0)))</f>
        <v/>
      </c>
      <c r="F164" s="108" t="str">
        <f>IF(E164="","",IF(R164="On Hold",0,E164)+IF(F163="",0,F163))</f>
        <v/>
      </c>
      <c r="G164" s="108" t="str">
        <f>IF(D164="","",SUMIFS($O$7:$O$500,$N$7:$N$500,"&gt;="&amp;IF(R164="On Hold",S164,Controls!$B$5),$N$7:$N$500,"&lt;="&amp;EDATE(D164,-$B$4)))</f>
        <v/>
      </c>
      <c r="H164" s="108" t="str">
        <f t="shared" si="21"/>
        <v/>
      </c>
      <c r="I164" s="147" t="str">
        <f t="shared" si="19"/>
        <v/>
      </c>
      <c r="J164" s="148" t="str">
        <f>IF(D164="","",(YEAR(EDATE(D164,-$B$4))-YEAR(Controls!$B$5))*12+MONTH(EDATE(D164,-$B$4))-MONTH(Controls!$B$5))</f>
        <v/>
      </c>
      <c r="K164" s="149" t="str">
        <f t="array" ref="K164">IF(F164="","",IFERROR(INDEX($N$7:$N$500,MATCH(TRUE(),$P$7:$P$500&gt;=F164,0)),"After Horizon"))</f>
        <v/>
      </c>
      <c r="L164" t="str">
        <f t="shared" si="22"/>
        <v/>
      </c>
      <c r="M164" s="17" t="str">
        <f t="shared" si="23"/>
        <v/>
      </c>
      <c r="N164" s="145">
        <v>50830</v>
      </c>
      <c r="O164" s="108">
        <f>SUMIFS('Planning Engine'!$F:$F,'Planning Engine'!$B:$B,$B$3,'Planning Engine'!$A:$A,N164)</f>
        <v>2639.2963760676057</v>
      </c>
      <c r="P164" s="108">
        <f t="shared" si="24"/>
        <v>2491136.3689208692</v>
      </c>
      <c r="Q164" s="146">
        <f>IF(N164&lt;=EDATE(Controls!$B$5,$B$4-1),O164,0)</f>
        <v>0</v>
      </c>
      <c r="R164" t="str" cm="1">
        <f t="array" ref="R164">IF(B164="","",IFERROR(INDEX('Lot Inputs'!$L$5:$L$507,MATCH(1,('Lot Inputs'!$A$5:$A$507=$B$3)*('Lot Inputs'!$B$5:$B$507=B164),0)),""))</f>
        <v/>
      </c>
      <c r="S164" s="205" t="str" cm="1">
        <f t="array" ref="S164">IF(B164="","",IFERROR(INDEX('Lot Inputs'!$M$5:$M$507,MATCH(1,('Lot Inputs'!$A$5:$A$507=$B$3)*('Lot Inputs'!$B$5:$B$507=B164),0)),""))</f>
        <v/>
      </c>
      <c r="T164" s="459" t="str">
        <f ca="1">IF(S164="","",S164-TODAY())</f>
        <v/>
      </c>
    </row>
    <row r="165" spans="1:20" ht="14" customHeight="1" x14ac:dyDescent="0.35">
      <c r="A165" s="142">
        <v>159</v>
      </c>
      <c r="B165" s="143" t="str" cm="1">
        <f t="array" ref="B165">IFERROR(INDEX('Lot Inputs'!$B$5:$B$507,MATCH(_xlfn.AGGREGATE(15,6,('Lot Inputs'!$J$5:$J$507)/(('Lot Inputs'!$A$5:$A$507=$B$3)*('Lot Inputs'!$H$5:$H$507&gt;0)),ROW()-6),IF('Lot Inputs'!$A$5:$A$507=$B$3,'Lot Inputs'!$J$5:$J$507),0)),"")</f>
        <v/>
      </c>
      <c r="C165" s="144" t="str">
        <f t="shared" si="20"/>
        <v/>
      </c>
      <c r="D165" s="145" t="str" cm="1">
        <f t="array" ref="D165">IF(B165="","",INDEX('Lot Inputs'!$E$5:$E$507,MATCH(1,('Lot Inputs'!$A$5:$A$507=$B$3)*('Lot Inputs'!$B$5:$B$507=B165),0)))</f>
        <v/>
      </c>
      <c r="E165" s="146" t="str" cm="1">
        <f t="array" ref="E165">IF(B165="","",INDEX('Lot Inputs'!$H$5:$H$507,MATCH(1,('Lot Inputs'!$A$5:$A$507=$B$3)*('Lot Inputs'!$B$5:$B$507=B165),0)))</f>
        <v/>
      </c>
      <c r="F165" s="108" t="str">
        <f>IF(E165="","",IF(R165="On Hold",0,E165)+IF(F164="",0,F164))</f>
        <v/>
      </c>
      <c r="G165" s="108" t="str">
        <f>IF(D165="","",SUMIFS($O$7:$O$500,$N$7:$N$500,"&gt;="&amp;IF(R165="On Hold",S165,Controls!$B$5),$N$7:$N$500,"&lt;="&amp;EDATE(D165,-$B$4)))</f>
        <v/>
      </c>
      <c r="H165" s="108" t="str">
        <f t="shared" si="21"/>
        <v/>
      </c>
      <c r="I165" s="147" t="str">
        <f t="shared" si="19"/>
        <v/>
      </c>
      <c r="J165" s="148" t="str">
        <f>IF(D165="","",(YEAR(EDATE(D165,-$B$4))-YEAR(Controls!$B$5))*12+MONTH(EDATE(D165,-$B$4))-MONTH(Controls!$B$5))</f>
        <v/>
      </c>
      <c r="K165" s="149" t="str">
        <f t="array" ref="K165">IF(F165="","",IFERROR(INDEX($N$7:$N$500,MATCH(TRUE(),$P$7:$P$500&gt;=F165,0)),"After Horizon"))</f>
        <v/>
      </c>
      <c r="L165" t="str">
        <f t="shared" si="22"/>
        <v/>
      </c>
      <c r="M165" s="17" t="str">
        <f t="shared" si="23"/>
        <v/>
      </c>
      <c r="N165" s="145">
        <v>50861</v>
      </c>
      <c r="O165" s="108">
        <f>SUMIFS('Planning Engine'!$F:$F,'Planning Engine'!$B:$B,$B$3,'Planning Engine'!$A:$A,N165)</f>
        <v>3187.5286933461284</v>
      </c>
      <c r="P165" s="108">
        <f t="shared" si="24"/>
        <v>2494323.8976142155</v>
      </c>
      <c r="Q165" s="146">
        <f>IF(N165&lt;=EDATE(Controls!$B$5,$B$4-1),O165,0)</f>
        <v>0</v>
      </c>
      <c r="R165" t="str" cm="1">
        <f t="array" ref="R165">IF(B165="","",IFERROR(INDEX('Lot Inputs'!$L$5:$L$507,MATCH(1,('Lot Inputs'!$A$5:$A$507=$B$3)*('Lot Inputs'!$B$5:$B$507=B165),0)),""))</f>
        <v/>
      </c>
      <c r="S165" s="205" t="str" cm="1">
        <f t="array" ref="S165">IF(B165="","",IFERROR(INDEX('Lot Inputs'!$M$5:$M$507,MATCH(1,('Lot Inputs'!$A$5:$A$507=$B$3)*('Lot Inputs'!$B$5:$B$507=B165),0)),""))</f>
        <v/>
      </c>
      <c r="T165" s="459" t="str">
        <f ca="1">IF(S165="","",S165-TODAY())</f>
        <v/>
      </c>
    </row>
    <row r="166" spans="1:20" ht="14" customHeight="1" x14ac:dyDescent="0.35">
      <c r="A166" s="142">
        <v>160</v>
      </c>
      <c r="B166" s="143" t="str" cm="1">
        <f t="array" ref="B166">IFERROR(INDEX('Lot Inputs'!$B$5:$B$507,MATCH(_xlfn.AGGREGATE(15,6,('Lot Inputs'!$J$5:$J$507)/(('Lot Inputs'!$A$5:$A$507=$B$3)*('Lot Inputs'!$H$5:$H$507&gt;0)),ROW()-6),IF('Lot Inputs'!$A$5:$A$507=$B$3,'Lot Inputs'!$J$5:$J$507),0)),"")</f>
        <v/>
      </c>
      <c r="C166" s="144" t="str">
        <f t="shared" si="20"/>
        <v/>
      </c>
      <c r="D166" s="145" t="str" cm="1">
        <f t="array" ref="D166">IF(B166="","",INDEX('Lot Inputs'!$E$5:$E$507,MATCH(1,('Lot Inputs'!$A$5:$A$507=$B$3)*('Lot Inputs'!$B$5:$B$507=B166),0)))</f>
        <v/>
      </c>
      <c r="E166" s="146" t="str" cm="1">
        <f t="array" ref="E166">IF(B166="","",INDEX('Lot Inputs'!$H$5:$H$507,MATCH(1,('Lot Inputs'!$A$5:$A$507=$B$3)*('Lot Inputs'!$B$5:$B$507=B166),0)))</f>
        <v/>
      </c>
      <c r="F166" s="108" t="str">
        <f>IF(E166="","",IF(R166="On Hold",0,E166)+IF(F165="",0,F165))</f>
        <v/>
      </c>
      <c r="G166" s="108" t="str">
        <f>IF(D166="","",SUMIFS($O$7:$O$500,$N$7:$N$500,"&gt;="&amp;IF(R166="On Hold",S166,Controls!$B$5),$N$7:$N$500,"&lt;="&amp;EDATE(D166,-$B$4)))</f>
        <v/>
      </c>
      <c r="H166" s="108" t="str">
        <f t="shared" si="21"/>
        <v/>
      </c>
      <c r="I166" s="147" t="str">
        <f t="shared" si="19"/>
        <v/>
      </c>
      <c r="J166" s="148" t="str">
        <f>IF(D166="","",(YEAR(EDATE(D166,-$B$4))-YEAR(Controls!$B$5))*12+MONTH(EDATE(D166,-$B$4))-MONTH(Controls!$B$5))</f>
        <v/>
      </c>
      <c r="K166" s="149" t="str">
        <f t="array" ref="K166">IF(F166="","",IFERROR(INDEX($N$7:$N$500,MATCH(TRUE(),$P$7:$P$500&gt;=F166,0)),"After Horizon"))</f>
        <v/>
      </c>
      <c r="L166" t="str">
        <f t="shared" si="22"/>
        <v/>
      </c>
      <c r="M166" s="17" t="str">
        <f t="shared" si="23"/>
        <v/>
      </c>
      <c r="N166" s="145">
        <v>50891</v>
      </c>
      <c r="O166" s="108">
        <f>SUMIFS('Planning Engine'!$F:$F,'Planning Engine'!$B:$B,$B$3,'Planning Engine'!$A:$A,N166)</f>
        <v>1971.1197346902472</v>
      </c>
      <c r="P166" s="108">
        <f t="shared" si="24"/>
        <v>2496295.0173489056</v>
      </c>
      <c r="Q166" s="146">
        <f>IF(N166&lt;=EDATE(Controls!$B$5,$B$4-1),O166,0)</f>
        <v>0</v>
      </c>
      <c r="R166" t="str" cm="1">
        <f t="array" ref="R166">IF(B166="","",IFERROR(INDEX('Lot Inputs'!$L$5:$L$507,MATCH(1,('Lot Inputs'!$A$5:$A$507=$B$3)*('Lot Inputs'!$B$5:$B$507=B166),0)),""))</f>
        <v/>
      </c>
      <c r="S166" s="205" t="str" cm="1">
        <f t="array" ref="S166">IF(B166="","",IFERROR(INDEX('Lot Inputs'!$M$5:$M$507,MATCH(1,('Lot Inputs'!$A$5:$A$507=$B$3)*('Lot Inputs'!$B$5:$B$507=B166),0)),""))</f>
        <v/>
      </c>
      <c r="T166" s="459" t="str">
        <f ca="1">IF(S166="","",S166-TODAY())</f>
        <v/>
      </c>
    </row>
    <row r="167" spans="1:20" ht="14" customHeight="1" x14ac:dyDescent="0.35">
      <c r="A167" s="142">
        <v>161</v>
      </c>
      <c r="B167" s="143" t="str" cm="1">
        <f t="array" ref="B167">IFERROR(INDEX('Lot Inputs'!$B$5:$B$507,MATCH(_xlfn.AGGREGATE(15,6,('Lot Inputs'!$J$5:$J$507)/(('Lot Inputs'!$A$5:$A$507=$B$3)*('Lot Inputs'!$H$5:$H$507&gt;0)),ROW()-6),IF('Lot Inputs'!$A$5:$A$507=$B$3,'Lot Inputs'!$J$5:$J$507),0)),"")</f>
        <v/>
      </c>
      <c r="C167" s="144" t="str">
        <f t="shared" si="20"/>
        <v/>
      </c>
      <c r="D167" s="145" t="str" cm="1">
        <f t="array" ref="D167">IF(B167="","",INDEX('Lot Inputs'!$E$5:$E$507,MATCH(1,('Lot Inputs'!$A$5:$A$507=$B$3)*('Lot Inputs'!$B$5:$B$507=B167),0)))</f>
        <v/>
      </c>
      <c r="E167" s="146" t="str" cm="1">
        <f t="array" ref="E167">IF(B167="","",INDEX('Lot Inputs'!$H$5:$H$507,MATCH(1,('Lot Inputs'!$A$5:$A$507=$B$3)*('Lot Inputs'!$B$5:$B$507=B167),0)))</f>
        <v/>
      </c>
      <c r="F167" s="108" t="str">
        <f>IF(E167="","",IF(R167="On Hold",0,E167)+IF(F166="",0,F166))</f>
        <v/>
      </c>
      <c r="G167" s="108" t="str">
        <f>IF(D167="","",SUMIFS($O$7:$O$500,$N$7:$N$500,"&gt;="&amp;IF(R167="On Hold",S167,Controls!$B$5),$N$7:$N$500,"&lt;="&amp;EDATE(D167,-$B$4)))</f>
        <v/>
      </c>
      <c r="H167" s="108" t="str">
        <f t="shared" si="21"/>
        <v/>
      </c>
      <c r="I167" s="147" t="str">
        <f t="shared" ref="I167:I198" si="25">IF(E167="","",MAX(0,E167-H167))</f>
        <v/>
      </c>
      <c r="J167" s="148" t="str">
        <f>IF(D167="","",(YEAR(EDATE(D167,-$B$4))-YEAR(Controls!$B$5))*12+MONTH(EDATE(D167,-$B$4))-MONTH(Controls!$B$5))</f>
        <v/>
      </c>
      <c r="K167" s="149" t="str">
        <f t="array" ref="K167">IF(F167="","",IFERROR(INDEX($N$7:$N$500,MATCH(TRUE(),$P$7:$P$500&gt;=F167,0)),"After Horizon"))</f>
        <v/>
      </c>
      <c r="L167" t="str">
        <f t="shared" si="22"/>
        <v/>
      </c>
      <c r="M167" s="17" t="str">
        <f t="shared" si="23"/>
        <v/>
      </c>
      <c r="N167" s="145">
        <v>50922</v>
      </c>
      <c r="O167" s="108">
        <f>SUMIFS('Planning Engine'!$F:$F,'Planning Engine'!$B:$B,$B$3,'Planning Engine'!$A:$A,N167)</f>
        <v>1753.9326600935021</v>
      </c>
      <c r="P167" s="108">
        <f t="shared" si="24"/>
        <v>2498048.9500089991</v>
      </c>
      <c r="Q167" s="146">
        <f>IF(N167&lt;=EDATE(Controls!$B$5,$B$4-1),O167,0)</f>
        <v>0</v>
      </c>
      <c r="R167" t="str" cm="1">
        <f t="array" ref="R167">IF(B167="","",IFERROR(INDEX('Lot Inputs'!$L$5:$L$507,MATCH(1,('Lot Inputs'!$A$5:$A$507=$B$3)*('Lot Inputs'!$B$5:$B$507=B167),0)),""))</f>
        <v/>
      </c>
      <c r="S167" s="205" t="str" cm="1">
        <f t="array" ref="S167">IF(B167="","",IFERROR(INDEX('Lot Inputs'!$M$5:$M$507,MATCH(1,('Lot Inputs'!$A$5:$A$507=$B$3)*('Lot Inputs'!$B$5:$B$507=B167),0)),""))</f>
        <v/>
      </c>
      <c r="T167" s="459" t="str">
        <f ca="1">IF(S167="","",S167-TODAY())</f>
        <v/>
      </c>
    </row>
    <row r="168" spans="1:20" ht="14" customHeight="1" x14ac:dyDescent="0.35">
      <c r="A168" s="142">
        <v>162</v>
      </c>
      <c r="B168" s="143" t="str" cm="1">
        <f t="array" ref="B168">IFERROR(INDEX('Lot Inputs'!$B$5:$B$507,MATCH(_xlfn.AGGREGATE(15,6,('Lot Inputs'!$J$5:$J$507)/(('Lot Inputs'!$A$5:$A$507=$B$3)*('Lot Inputs'!$H$5:$H$507&gt;0)),ROW()-6),IF('Lot Inputs'!$A$5:$A$507=$B$3,'Lot Inputs'!$J$5:$J$507),0)),"")</f>
        <v/>
      </c>
      <c r="C168" s="144" t="str">
        <f t="shared" si="20"/>
        <v/>
      </c>
      <c r="D168" s="145" t="str" cm="1">
        <f t="array" ref="D168">IF(B168="","",INDEX('Lot Inputs'!$E$5:$E$507,MATCH(1,('Lot Inputs'!$A$5:$A$507=$B$3)*('Lot Inputs'!$B$5:$B$507=B168),0)))</f>
        <v/>
      </c>
      <c r="E168" s="146" t="str" cm="1">
        <f t="array" ref="E168">IF(B168="","",INDEX('Lot Inputs'!$H$5:$H$507,MATCH(1,('Lot Inputs'!$A$5:$A$507=$B$3)*('Lot Inputs'!$B$5:$B$507=B168),0)))</f>
        <v/>
      </c>
      <c r="F168" s="108" t="str">
        <f>IF(E168="","",IF(R168="On Hold",0,E168)+IF(F167="",0,F167))</f>
        <v/>
      </c>
      <c r="G168" s="108" t="str">
        <f>IF(D168="","",SUMIFS($O$7:$O$500,$N$7:$N$500,"&gt;="&amp;IF(R168="On Hold",S168,Controls!$B$5),$N$7:$N$500,"&lt;="&amp;EDATE(D168,-$B$4)))</f>
        <v/>
      </c>
      <c r="H168" s="108" t="str">
        <f t="shared" ref="H168:H199" si="26">IF(E168="","",MIN(E168,MAX(0,G168-IF(ROW()=7,0,F167))))</f>
        <v/>
      </c>
      <c r="I168" s="147" t="str">
        <f t="shared" si="25"/>
        <v/>
      </c>
      <c r="J168" s="148" t="str">
        <f>IF(D168="","",(YEAR(EDATE(D168,-$B$4))-YEAR(Controls!$B$5))*12+MONTH(EDATE(D168,-$B$4))-MONTH(Controls!$B$5))</f>
        <v/>
      </c>
      <c r="K168" s="149" t="str">
        <f t="array" ref="K168">IF(F168="","",IFERROR(INDEX($N$7:$N$500,MATCH(TRUE(),$P$7:$P$500&gt;=F168,0)),"After Horizon"))</f>
        <v/>
      </c>
      <c r="L168" t="str">
        <f t="shared" si="22"/>
        <v/>
      </c>
      <c r="M168" s="17" t="str">
        <f t="shared" si="23"/>
        <v/>
      </c>
      <c r="N168" s="145">
        <v>50952</v>
      </c>
      <c r="O168" s="108">
        <f>SUMIFS('Planning Engine'!$F:$F,'Planning Engine'!$B:$B,$B$3,'Planning Engine'!$A:$A,N168)</f>
        <v>1401.9377186763127</v>
      </c>
      <c r="P168" s="108">
        <f t="shared" ref="P168:P199" si="27">P167+O168</f>
        <v>2499450.8877276755</v>
      </c>
      <c r="Q168" s="146">
        <f>IF(N168&lt;=EDATE(Controls!$B$5,$B$4-1),O168,0)</f>
        <v>0</v>
      </c>
      <c r="R168" t="str" cm="1">
        <f t="array" ref="R168">IF(B168="","",IFERROR(INDEX('Lot Inputs'!$L$5:$L$507,MATCH(1,('Lot Inputs'!$A$5:$A$507=$B$3)*('Lot Inputs'!$B$5:$B$507=B168),0)),""))</f>
        <v/>
      </c>
      <c r="S168" s="205" t="str" cm="1">
        <f t="array" ref="S168">IF(B168="","",IFERROR(INDEX('Lot Inputs'!$M$5:$M$507,MATCH(1,('Lot Inputs'!$A$5:$A$507=$B$3)*('Lot Inputs'!$B$5:$B$507=B168),0)),""))</f>
        <v/>
      </c>
      <c r="T168" s="459" t="str">
        <f ca="1">IF(S168="","",S168-TODAY())</f>
        <v/>
      </c>
    </row>
    <row r="169" spans="1:20" ht="14" customHeight="1" x14ac:dyDescent="0.35">
      <c r="A169" s="142">
        <v>163</v>
      </c>
      <c r="B169" s="143" t="str" cm="1">
        <f t="array" ref="B169">IFERROR(INDEX('Lot Inputs'!$B$5:$B$507,MATCH(_xlfn.AGGREGATE(15,6,('Lot Inputs'!$J$5:$J$507)/(('Lot Inputs'!$A$5:$A$507=$B$3)*('Lot Inputs'!$H$5:$H$507&gt;0)),ROW()-6),IF('Lot Inputs'!$A$5:$A$507=$B$3,'Lot Inputs'!$J$5:$J$507),0)),"")</f>
        <v/>
      </c>
      <c r="C169" s="144" t="str">
        <f t="shared" si="20"/>
        <v/>
      </c>
      <c r="D169" s="145" t="str" cm="1">
        <f t="array" ref="D169">IF(B169="","",INDEX('Lot Inputs'!$E$5:$E$507,MATCH(1,('Lot Inputs'!$A$5:$A$507=$B$3)*('Lot Inputs'!$B$5:$B$507=B169),0)))</f>
        <v/>
      </c>
      <c r="E169" s="146" t="str" cm="1">
        <f t="array" ref="E169">IF(B169="","",INDEX('Lot Inputs'!$H$5:$H$507,MATCH(1,('Lot Inputs'!$A$5:$A$507=$B$3)*('Lot Inputs'!$B$5:$B$507=B169),0)))</f>
        <v/>
      </c>
      <c r="F169" s="108" t="str">
        <f>IF(E169="","",IF(R169="On Hold",0,E169)+IF(F168="",0,F168))</f>
        <v/>
      </c>
      <c r="G169" s="108" t="str">
        <f>IF(D169="","",SUMIFS($O$7:$O$500,$N$7:$N$500,"&gt;="&amp;IF(R169="On Hold",S169,Controls!$B$5),$N$7:$N$500,"&lt;="&amp;EDATE(D169,-$B$4)))</f>
        <v/>
      </c>
      <c r="H169" s="108" t="str">
        <f t="shared" si="26"/>
        <v/>
      </c>
      <c r="I169" s="147" t="str">
        <f t="shared" si="25"/>
        <v/>
      </c>
      <c r="J169" s="148" t="str">
        <f>IF(D169="","",(YEAR(EDATE(D169,-$B$4))-YEAR(Controls!$B$5))*12+MONTH(EDATE(D169,-$B$4))-MONTH(Controls!$B$5))</f>
        <v/>
      </c>
      <c r="K169" s="149" t="str">
        <f t="array" ref="K169">IF(F169="","",IFERROR(INDEX($N$7:$N$500,MATCH(TRUE(),$P$7:$P$500&gt;=F169,0)),"After Horizon"))</f>
        <v/>
      </c>
      <c r="L169" t="str">
        <f t="shared" si="22"/>
        <v/>
      </c>
      <c r="M169" s="17" t="str">
        <f t="shared" si="23"/>
        <v/>
      </c>
      <c r="N169" s="145">
        <v>50983</v>
      </c>
      <c r="O169" s="108">
        <f>SUMIFS('Planning Engine'!$F:$F,'Planning Engine'!$B:$B,$B$3,'Planning Engine'!$A:$A,N169)</f>
        <v>965.49079082246681</v>
      </c>
      <c r="P169" s="108">
        <f t="shared" si="27"/>
        <v>2500416.378518498</v>
      </c>
      <c r="Q169" s="146">
        <f>IF(N169&lt;=EDATE(Controls!$B$5,$B$4-1),O169,0)</f>
        <v>0</v>
      </c>
      <c r="R169" t="str" cm="1">
        <f t="array" ref="R169">IF(B169="","",IFERROR(INDEX('Lot Inputs'!$L$5:$L$507,MATCH(1,('Lot Inputs'!$A$5:$A$507=$B$3)*('Lot Inputs'!$B$5:$B$507=B169),0)),""))</f>
        <v/>
      </c>
      <c r="S169" s="205" t="str" cm="1">
        <f t="array" ref="S169">IF(B169="","",IFERROR(INDEX('Lot Inputs'!$M$5:$M$507,MATCH(1,('Lot Inputs'!$A$5:$A$507=$B$3)*('Lot Inputs'!$B$5:$B$507=B169),0)),""))</f>
        <v/>
      </c>
      <c r="T169" s="459" t="str">
        <f ca="1">IF(S169="","",S169-TODAY())</f>
        <v/>
      </c>
    </row>
    <row r="170" spans="1:20" ht="14" customHeight="1" x14ac:dyDescent="0.35">
      <c r="A170" s="142">
        <v>164</v>
      </c>
      <c r="B170" s="143" t="str" cm="1">
        <f t="array" ref="B170">IFERROR(INDEX('Lot Inputs'!$B$5:$B$507,MATCH(_xlfn.AGGREGATE(15,6,('Lot Inputs'!$J$5:$J$507)/(('Lot Inputs'!$A$5:$A$507=$B$3)*('Lot Inputs'!$H$5:$H$507&gt;0)),ROW()-6),IF('Lot Inputs'!$A$5:$A$507=$B$3,'Lot Inputs'!$J$5:$J$507),0)),"")</f>
        <v/>
      </c>
      <c r="C170" s="144" t="str">
        <f t="shared" si="20"/>
        <v/>
      </c>
      <c r="D170" s="145" t="str" cm="1">
        <f t="array" ref="D170">IF(B170="","",INDEX('Lot Inputs'!$E$5:$E$507,MATCH(1,('Lot Inputs'!$A$5:$A$507=$B$3)*('Lot Inputs'!$B$5:$B$507=B170),0)))</f>
        <v/>
      </c>
      <c r="E170" s="146" t="str" cm="1">
        <f t="array" ref="E170">IF(B170="","",INDEX('Lot Inputs'!$H$5:$H$507,MATCH(1,('Lot Inputs'!$A$5:$A$507=$B$3)*('Lot Inputs'!$B$5:$B$507=B170),0)))</f>
        <v/>
      </c>
      <c r="F170" s="108" t="str">
        <f>IF(E170="","",IF(R170="On Hold",0,E170)+IF(F169="",0,F169))</f>
        <v/>
      </c>
      <c r="G170" s="108" t="str">
        <f>IF(D170="","",SUMIFS($O$7:$O$500,$N$7:$N$500,"&gt;="&amp;IF(R170="On Hold",S170,Controls!$B$5),$N$7:$N$500,"&lt;="&amp;EDATE(D170,-$B$4)))</f>
        <v/>
      </c>
      <c r="H170" s="108" t="str">
        <f t="shared" si="26"/>
        <v/>
      </c>
      <c r="I170" s="147" t="str">
        <f t="shared" si="25"/>
        <v/>
      </c>
      <c r="J170" s="148" t="str">
        <f>IF(D170="","",(YEAR(EDATE(D170,-$B$4))-YEAR(Controls!$B$5))*12+MONTH(EDATE(D170,-$B$4))-MONTH(Controls!$B$5))</f>
        <v/>
      </c>
      <c r="K170" s="149" t="str">
        <f t="array" ref="K170">IF(F170="","",IFERROR(INDEX($N$7:$N$500,MATCH(TRUE(),$P$7:$P$500&gt;=F170,0)),"After Horizon"))</f>
        <v/>
      </c>
      <c r="L170" t="str">
        <f t="shared" si="22"/>
        <v/>
      </c>
      <c r="M170" s="17" t="str">
        <f t="shared" si="23"/>
        <v/>
      </c>
      <c r="N170" s="145">
        <v>51014</v>
      </c>
      <c r="O170" s="108">
        <f>SUMIFS('Planning Engine'!$F:$F,'Planning Engine'!$B:$B,$B$3,'Planning Engine'!$A:$A,N170)</f>
        <v>1468.1648860837349</v>
      </c>
      <c r="P170" s="108">
        <f t="shared" si="27"/>
        <v>2501884.543404582</v>
      </c>
      <c r="Q170" s="146">
        <f>IF(N170&lt;=EDATE(Controls!$B$5,$B$4-1),O170,0)</f>
        <v>0</v>
      </c>
      <c r="R170" t="str" cm="1">
        <f t="array" ref="R170">IF(B170="","",IFERROR(INDEX('Lot Inputs'!$L$5:$L$507,MATCH(1,('Lot Inputs'!$A$5:$A$507=$B$3)*('Lot Inputs'!$B$5:$B$507=B170),0)),""))</f>
        <v/>
      </c>
      <c r="S170" s="205" t="str" cm="1">
        <f t="array" ref="S170">IF(B170="","",IFERROR(INDEX('Lot Inputs'!$M$5:$M$507,MATCH(1,('Lot Inputs'!$A$5:$A$507=$B$3)*('Lot Inputs'!$B$5:$B$507=B170),0)),""))</f>
        <v/>
      </c>
      <c r="T170" s="459" t="str">
        <f ca="1">IF(S170="","",S170-TODAY())</f>
        <v/>
      </c>
    </row>
    <row r="171" spans="1:20" ht="14" customHeight="1" x14ac:dyDescent="0.35">
      <c r="A171" s="142">
        <v>165</v>
      </c>
      <c r="B171" s="143" t="str" cm="1">
        <f t="array" ref="B171">IFERROR(INDEX('Lot Inputs'!$B$5:$B$507,MATCH(_xlfn.AGGREGATE(15,6,('Lot Inputs'!$J$5:$J$507)/(('Lot Inputs'!$A$5:$A$507=$B$3)*('Lot Inputs'!$H$5:$H$507&gt;0)),ROW()-6),IF('Lot Inputs'!$A$5:$A$507=$B$3,'Lot Inputs'!$J$5:$J$507),0)),"")</f>
        <v/>
      </c>
      <c r="C171" s="144" t="str">
        <f t="shared" si="20"/>
        <v/>
      </c>
      <c r="D171" s="145" t="str" cm="1">
        <f t="array" ref="D171">IF(B171="","",INDEX('Lot Inputs'!$E$5:$E$507,MATCH(1,('Lot Inputs'!$A$5:$A$507=$B$3)*('Lot Inputs'!$B$5:$B$507=B171),0)))</f>
        <v/>
      </c>
      <c r="E171" s="146" t="str" cm="1">
        <f t="array" ref="E171">IF(B171="","",INDEX('Lot Inputs'!$H$5:$H$507,MATCH(1,('Lot Inputs'!$A$5:$A$507=$B$3)*('Lot Inputs'!$B$5:$B$507=B171),0)))</f>
        <v/>
      </c>
      <c r="F171" s="108" t="str">
        <f>IF(E171="","",IF(R171="On Hold",0,E171)+IF(F170="",0,F170))</f>
        <v/>
      </c>
      <c r="G171" s="108" t="str">
        <f>IF(D171="","",SUMIFS($O$7:$O$500,$N$7:$N$500,"&gt;="&amp;IF(R171="On Hold",S171,Controls!$B$5),$N$7:$N$500,"&lt;="&amp;EDATE(D171,-$B$4)))</f>
        <v/>
      </c>
      <c r="H171" s="108" t="str">
        <f t="shared" si="26"/>
        <v/>
      </c>
      <c r="I171" s="147" t="str">
        <f t="shared" si="25"/>
        <v/>
      </c>
      <c r="J171" s="148" t="str">
        <f>IF(D171="","",(YEAR(EDATE(D171,-$B$4))-YEAR(Controls!$B$5))*12+MONTH(EDATE(D171,-$B$4))-MONTH(Controls!$B$5))</f>
        <v/>
      </c>
      <c r="K171" s="149" t="str">
        <f t="array" ref="K171">IF(F171="","",IFERROR(INDEX($N$7:$N$500,MATCH(TRUE(),$P$7:$P$500&gt;=F171,0)),"After Horizon"))</f>
        <v/>
      </c>
      <c r="L171" t="str">
        <f t="shared" si="22"/>
        <v/>
      </c>
      <c r="M171" s="17" t="str">
        <f t="shared" si="23"/>
        <v/>
      </c>
      <c r="N171" s="145">
        <v>51044</v>
      </c>
      <c r="O171" s="108">
        <f>SUMIFS('Planning Engine'!$F:$F,'Planning Engine'!$B:$B,$B$3,'Planning Engine'!$A:$A,N171)</f>
        <v>1181.2824945204629</v>
      </c>
      <c r="P171" s="108">
        <f t="shared" si="27"/>
        <v>2503065.8258991023</v>
      </c>
      <c r="Q171" s="146">
        <f>IF(N171&lt;=EDATE(Controls!$B$5,$B$4-1),O171,0)</f>
        <v>0</v>
      </c>
      <c r="R171" t="str" cm="1">
        <f t="array" ref="R171">IF(B171="","",IFERROR(INDEX('Lot Inputs'!$L$5:$L$507,MATCH(1,('Lot Inputs'!$A$5:$A$507=$B$3)*('Lot Inputs'!$B$5:$B$507=B171),0)),""))</f>
        <v/>
      </c>
      <c r="S171" s="205" t="str" cm="1">
        <f t="array" ref="S171">IF(B171="","",IFERROR(INDEX('Lot Inputs'!$M$5:$M$507,MATCH(1,('Lot Inputs'!$A$5:$A$507=$B$3)*('Lot Inputs'!$B$5:$B$507=B171),0)),""))</f>
        <v/>
      </c>
      <c r="T171" s="459" t="str">
        <f ca="1">IF(S171="","",S171-TODAY())</f>
        <v/>
      </c>
    </row>
    <row r="172" spans="1:20" ht="14" customHeight="1" x14ac:dyDescent="0.35">
      <c r="A172" s="142">
        <v>166</v>
      </c>
      <c r="B172" s="143" t="str" cm="1">
        <f t="array" ref="B172">IFERROR(INDEX('Lot Inputs'!$B$5:$B$507,MATCH(_xlfn.AGGREGATE(15,6,('Lot Inputs'!$J$5:$J$507)/(('Lot Inputs'!$A$5:$A$507=$B$3)*('Lot Inputs'!$H$5:$H$507&gt;0)),ROW()-6),IF('Lot Inputs'!$A$5:$A$507=$B$3,'Lot Inputs'!$J$5:$J$507),0)),"")</f>
        <v/>
      </c>
      <c r="C172" s="144" t="str">
        <f t="shared" si="20"/>
        <v/>
      </c>
      <c r="D172" s="145" t="str" cm="1">
        <f t="array" ref="D172">IF(B172="","",INDEX('Lot Inputs'!$E$5:$E$507,MATCH(1,('Lot Inputs'!$A$5:$A$507=$B$3)*('Lot Inputs'!$B$5:$B$507=B172),0)))</f>
        <v/>
      </c>
      <c r="E172" s="146" t="str" cm="1">
        <f t="array" ref="E172">IF(B172="","",INDEX('Lot Inputs'!$H$5:$H$507,MATCH(1,('Lot Inputs'!$A$5:$A$507=$B$3)*('Lot Inputs'!$B$5:$B$507=B172),0)))</f>
        <v/>
      </c>
      <c r="F172" s="108" t="str">
        <f>IF(E172="","",IF(R172="On Hold",0,E172)+IF(F171="",0,F171))</f>
        <v/>
      </c>
      <c r="G172" s="108" t="str">
        <f>IF(D172="","",SUMIFS($O$7:$O$500,$N$7:$N$500,"&gt;="&amp;IF(R172="On Hold",S172,Controls!$B$5),$N$7:$N$500,"&lt;="&amp;EDATE(D172,-$B$4)))</f>
        <v/>
      </c>
      <c r="H172" s="108" t="str">
        <f t="shared" si="26"/>
        <v/>
      </c>
      <c r="I172" s="147" t="str">
        <f t="shared" si="25"/>
        <v/>
      </c>
      <c r="J172" s="148" t="str">
        <f>IF(D172="","",(YEAR(EDATE(D172,-$B$4))-YEAR(Controls!$B$5))*12+MONTH(EDATE(D172,-$B$4))-MONTH(Controls!$B$5))</f>
        <v/>
      </c>
      <c r="K172" s="149" t="str">
        <f t="array" ref="K172">IF(F172="","",IFERROR(INDEX($N$7:$N$500,MATCH(TRUE(),$P$7:$P$500&gt;=F172,0)),"After Horizon"))</f>
        <v/>
      </c>
      <c r="L172" t="str">
        <f t="shared" si="22"/>
        <v/>
      </c>
      <c r="M172" s="17" t="str">
        <f t="shared" si="23"/>
        <v/>
      </c>
      <c r="N172" s="145">
        <v>51075</v>
      </c>
      <c r="O172" s="108">
        <f>SUMIFS('Planning Engine'!$F:$F,'Planning Engine'!$B:$B,$B$3,'Planning Engine'!$A:$A,N172)</f>
        <v>1147.1320124520287</v>
      </c>
      <c r="P172" s="108">
        <f t="shared" si="27"/>
        <v>2504212.9579115543</v>
      </c>
      <c r="Q172" s="146">
        <f>IF(N172&lt;=EDATE(Controls!$B$5,$B$4-1),O172,0)</f>
        <v>0</v>
      </c>
      <c r="R172" t="str" cm="1">
        <f t="array" ref="R172">IF(B172="","",IFERROR(INDEX('Lot Inputs'!$L$5:$L$507,MATCH(1,('Lot Inputs'!$A$5:$A$507=$B$3)*('Lot Inputs'!$B$5:$B$507=B172),0)),""))</f>
        <v/>
      </c>
      <c r="S172" s="205" t="str" cm="1">
        <f t="array" ref="S172">IF(B172="","",IFERROR(INDEX('Lot Inputs'!$M$5:$M$507,MATCH(1,('Lot Inputs'!$A$5:$A$507=$B$3)*('Lot Inputs'!$B$5:$B$507=B172),0)),""))</f>
        <v/>
      </c>
      <c r="T172" s="459" t="str">
        <f ca="1">IF(S172="","",S172-TODAY())</f>
        <v/>
      </c>
    </row>
    <row r="173" spans="1:20" ht="14" customHeight="1" x14ac:dyDescent="0.35">
      <c r="A173" s="142">
        <v>167</v>
      </c>
      <c r="B173" s="143" t="str" cm="1">
        <f t="array" ref="B173">IFERROR(INDEX('Lot Inputs'!$B$5:$B$507,MATCH(_xlfn.AGGREGATE(15,6,('Lot Inputs'!$J$5:$J$507)/(('Lot Inputs'!$A$5:$A$507=$B$3)*('Lot Inputs'!$H$5:$H$507&gt;0)),ROW()-6),IF('Lot Inputs'!$A$5:$A$507=$B$3,'Lot Inputs'!$J$5:$J$507),0)),"")</f>
        <v/>
      </c>
      <c r="C173" s="144" t="str">
        <f t="shared" si="20"/>
        <v/>
      </c>
      <c r="D173" s="145" t="str" cm="1">
        <f t="array" ref="D173">IF(B173="","",INDEX('Lot Inputs'!$E$5:$E$507,MATCH(1,('Lot Inputs'!$A$5:$A$507=$B$3)*('Lot Inputs'!$B$5:$B$507=B173),0)))</f>
        <v/>
      </c>
      <c r="E173" s="146" t="str" cm="1">
        <f t="array" ref="E173">IF(B173="","",INDEX('Lot Inputs'!$H$5:$H$507,MATCH(1,('Lot Inputs'!$A$5:$A$507=$B$3)*('Lot Inputs'!$B$5:$B$507=B173),0)))</f>
        <v/>
      </c>
      <c r="F173" s="108" t="str">
        <f>IF(E173="","",IF(R173="On Hold",0,E173)+IF(F172="",0,F172))</f>
        <v/>
      </c>
      <c r="G173" s="108" t="str">
        <f>IF(D173="","",SUMIFS($O$7:$O$500,$N$7:$N$500,"&gt;="&amp;IF(R173="On Hold",S173,Controls!$B$5),$N$7:$N$500,"&lt;="&amp;EDATE(D173,-$B$4)))</f>
        <v/>
      </c>
      <c r="H173" s="108" t="str">
        <f t="shared" si="26"/>
        <v/>
      </c>
      <c r="I173" s="147" t="str">
        <f t="shared" si="25"/>
        <v/>
      </c>
      <c r="J173" s="148" t="str">
        <f>IF(D173="","",(YEAR(EDATE(D173,-$B$4))-YEAR(Controls!$B$5))*12+MONTH(EDATE(D173,-$B$4))-MONTH(Controls!$B$5))</f>
        <v/>
      </c>
      <c r="K173" s="149" t="str">
        <f t="array" ref="K173">IF(F173="","",IFERROR(INDEX($N$7:$N$500,MATCH(TRUE(),$P$7:$P$500&gt;=F173,0)),"After Horizon"))</f>
        <v/>
      </c>
      <c r="L173" t="str">
        <f t="shared" si="22"/>
        <v/>
      </c>
      <c r="M173" s="17" t="str">
        <f t="shared" si="23"/>
        <v/>
      </c>
      <c r="N173" s="145">
        <v>51105</v>
      </c>
      <c r="O173" s="108">
        <f>SUMIFS('Planning Engine'!$F:$F,'Planning Engine'!$B:$B,$B$3,'Planning Engine'!$A:$A,N173)</f>
        <v>1177.9135886665074</v>
      </c>
      <c r="P173" s="108">
        <f t="shared" si="27"/>
        <v>2505390.8715002206</v>
      </c>
      <c r="Q173" s="146">
        <f>IF(N173&lt;=EDATE(Controls!$B$5,$B$4-1),O173,0)</f>
        <v>0</v>
      </c>
      <c r="R173" t="str" cm="1">
        <f t="array" ref="R173">IF(B173="","",IFERROR(INDEX('Lot Inputs'!$L$5:$L$507,MATCH(1,('Lot Inputs'!$A$5:$A$507=$B$3)*('Lot Inputs'!$B$5:$B$507=B173),0)),""))</f>
        <v/>
      </c>
      <c r="S173" s="205" t="str" cm="1">
        <f t="array" ref="S173">IF(B173="","",IFERROR(INDEX('Lot Inputs'!$M$5:$M$507,MATCH(1,('Lot Inputs'!$A$5:$A$507=$B$3)*('Lot Inputs'!$B$5:$B$507=B173),0)),""))</f>
        <v/>
      </c>
      <c r="T173" s="459" t="str">
        <f ca="1">IF(S173="","",S173-TODAY())</f>
        <v/>
      </c>
    </row>
    <row r="174" spans="1:20" ht="14" customHeight="1" x14ac:dyDescent="0.35">
      <c r="A174" s="142">
        <v>168</v>
      </c>
      <c r="B174" s="143" t="str" cm="1">
        <f t="array" ref="B174">IFERROR(INDEX('Lot Inputs'!$B$5:$B$507,MATCH(_xlfn.AGGREGATE(15,6,('Lot Inputs'!$J$5:$J$507)/(('Lot Inputs'!$A$5:$A$507=$B$3)*('Lot Inputs'!$H$5:$H$507&gt;0)),ROW()-6),IF('Lot Inputs'!$A$5:$A$507=$B$3,'Lot Inputs'!$J$5:$J$507),0)),"")</f>
        <v/>
      </c>
      <c r="C174" s="144" t="str">
        <f t="shared" si="20"/>
        <v/>
      </c>
      <c r="D174" s="145" t="str" cm="1">
        <f t="array" ref="D174">IF(B174="","",INDEX('Lot Inputs'!$E$5:$E$507,MATCH(1,('Lot Inputs'!$A$5:$A$507=$B$3)*('Lot Inputs'!$B$5:$B$507=B174),0)))</f>
        <v/>
      </c>
      <c r="E174" s="146" t="str" cm="1">
        <f t="array" ref="E174">IF(B174="","",INDEX('Lot Inputs'!$H$5:$H$507,MATCH(1,('Lot Inputs'!$A$5:$A$507=$B$3)*('Lot Inputs'!$B$5:$B$507=B174),0)))</f>
        <v/>
      </c>
      <c r="F174" s="108" t="str">
        <f>IF(E174="","",IF(R174="On Hold",0,E174)+IF(F173="",0,F173))</f>
        <v/>
      </c>
      <c r="G174" s="108" t="str">
        <f>IF(D174="","",SUMIFS($O$7:$O$500,$N$7:$N$500,"&gt;="&amp;IF(R174="On Hold",S174,Controls!$B$5),$N$7:$N$500,"&lt;="&amp;EDATE(D174,-$B$4)))</f>
        <v/>
      </c>
      <c r="H174" s="108" t="str">
        <f t="shared" si="26"/>
        <v/>
      </c>
      <c r="I174" s="147" t="str">
        <f t="shared" si="25"/>
        <v/>
      </c>
      <c r="J174" s="148" t="str">
        <f>IF(D174="","",(YEAR(EDATE(D174,-$B$4))-YEAR(Controls!$B$5))*12+MONTH(EDATE(D174,-$B$4))-MONTH(Controls!$B$5))</f>
        <v/>
      </c>
      <c r="K174" s="149" t="str">
        <f t="array" ref="K174">IF(F174="","",IFERROR(INDEX($N$7:$N$500,MATCH(TRUE(),$P$7:$P$500&gt;=F174,0)),"After Horizon"))</f>
        <v/>
      </c>
      <c r="L174" t="str">
        <f t="shared" si="22"/>
        <v/>
      </c>
      <c r="M174" s="17" t="str">
        <f t="shared" si="23"/>
        <v/>
      </c>
      <c r="N174" s="145">
        <v>51136</v>
      </c>
      <c r="O174" s="108">
        <f>SUMIFS('Planning Engine'!$F:$F,'Planning Engine'!$B:$B,$B$3,'Planning Engine'!$A:$A,N174)</f>
        <v>1279.7322834546603</v>
      </c>
      <c r="P174" s="108">
        <f t="shared" si="27"/>
        <v>2506670.6037836755</v>
      </c>
      <c r="Q174" s="146">
        <f>IF(N174&lt;=EDATE(Controls!$B$5,$B$4-1),O174,0)</f>
        <v>0</v>
      </c>
      <c r="R174" t="str" cm="1">
        <f t="array" ref="R174">IF(B174="","",IFERROR(INDEX('Lot Inputs'!$L$5:$L$507,MATCH(1,('Lot Inputs'!$A$5:$A$507=$B$3)*('Lot Inputs'!$B$5:$B$507=B174),0)),""))</f>
        <v/>
      </c>
      <c r="S174" s="205" t="str" cm="1">
        <f t="array" ref="S174">IF(B174="","",IFERROR(INDEX('Lot Inputs'!$M$5:$M$507,MATCH(1,('Lot Inputs'!$A$5:$A$507=$B$3)*('Lot Inputs'!$B$5:$B$507=B174),0)),""))</f>
        <v/>
      </c>
      <c r="T174" s="459" t="str">
        <f ca="1">IF(S174="","",S174-TODAY())</f>
        <v/>
      </c>
    </row>
    <row r="175" spans="1:20" ht="14" customHeight="1" x14ac:dyDescent="0.35">
      <c r="A175" s="142">
        <v>169</v>
      </c>
      <c r="B175" s="143" t="str" cm="1">
        <f t="array" ref="B175">IFERROR(INDEX('Lot Inputs'!$B$5:$B$507,MATCH(_xlfn.AGGREGATE(15,6,('Lot Inputs'!$J$5:$J$507)/(('Lot Inputs'!$A$5:$A$507=$B$3)*('Lot Inputs'!$H$5:$H$507&gt;0)),ROW()-6),IF('Lot Inputs'!$A$5:$A$507=$B$3,'Lot Inputs'!$J$5:$J$507),0)),"")</f>
        <v/>
      </c>
      <c r="C175" s="144" t="str">
        <f t="shared" si="20"/>
        <v/>
      </c>
      <c r="D175" s="145" t="str" cm="1">
        <f t="array" ref="D175">IF(B175="","",INDEX('Lot Inputs'!$E$5:$E$507,MATCH(1,('Lot Inputs'!$A$5:$A$507=$B$3)*('Lot Inputs'!$B$5:$B$507=B175),0)))</f>
        <v/>
      </c>
      <c r="E175" s="146" t="str" cm="1">
        <f t="array" ref="E175">IF(B175="","",INDEX('Lot Inputs'!$H$5:$H$507,MATCH(1,('Lot Inputs'!$A$5:$A$507=$B$3)*('Lot Inputs'!$B$5:$B$507=B175),0)))</f>
        <v/>
      </c>
      <c r="F175" s="108" t="str">
        <f>IF(E175="","",IF(R175="On Hold",0,E175)+IF(F174="",0,F174))</f>
        <v/>
      </c>
      <c r="G175" s="108" t="str">
        <f>IF(D175="","",SUMIFS($O$7:$O$500,$N$7:$N$500,"&gt;="&amp;IF(R175="On Hold",S175,Controls!$B$5),$N$7:$N$500,"&lt;="&amp;EDATE(D175,-$B$4)))</f>
        <v/>
      </c>
      <c r="H175" s="108" t="str">
        <f t="shared" si="26"/>
        <v/>
      </c>
      <c r="I175" s="147" t="str">
        <f t="shared" si="25"/>
        <v/>
      </c>
      <c r="J175" s="148" t="str">
        <f>IF(D175="","",(YEAR(EDATE(D175,-$B$4))-YEAR(Controls!$B$5))*12+MONTH(EDATE(D175,-$B$4))-MONTH(Controls!$B$5))</f>
        <v/>
      </c>
      <c r="K175" s="149" t="str">
        <f t="array" ref="K175">IF(F175="","",IFERROR(INDEX($N$7:$N$500,MATCH(TRUE(),$P$7:$P$500&gt;=F175,0)),"After Horizon"))</f>
        <v/>
      </c>
      <c r="L175" t="str">
        <f t="shared" si="22"/>
        <v/>
      </c>
      <c r="M175" s="17" t="str">
        <f t="shared" si="23"/>
        <v/>
      </c>
      <c r="N175" s="145">
        <v>51167</v>
      </c>
      <c r="O175" s="108">
        <f>SUMIFS('Planning Engine'!$F:$F,'Planning Engine'!$B:$B,$B$3,'Planning Engine'!$A:$A,N175)</f>
        <v>1138.9576788600573</v>
      </c>
      <c r="P175" s="108">
        <f t="shared" si="27"/>
        <v>2507809.5614625355</v>
      </c>
      <c r="Q175" s="146">
        <f>IF(N175&lt;=EDATE(Controls!$B$5,$B$4-1),O175,0)</f>
        <v>0</v>
      </c>
      <c r="R175" t="str" cm="1">
        <f t="array" ref="R175">IF(B175="","",IFERROR(INDEX('Lot Inputs'!$L$5:$L$507,MATCH(1,('Lot Inputs'!$A$5:$A$507=$B$3)*('Lot Inputs'!$B$5:$B$507=B175),0)),""))</f>
        <v/>
      </c>
      <c r="S175" s="205" t="str" cm="1">
        <f t="array" ref="S175">IF(B175="","",IFERROR(INDEX('Lot Inputs'!$M$5:$M$507,MATCH(1,('Lot Inputs'!$A$5:$A$507=$B$3)*('Lot Inputs'!$B$5:$B$507=B175),0)),""))</f>
        <v/>
      </c>
      <c r="T175" s="459" t="str">
        <f ca="1">IF(S175="","",S175-TODAY())</f>
        <v/>
      </c>
    </row>
    <row r="176" spans="1:20" ht="14" customHeight="1" x14ac:dyDescent="0.35">
      <c r="A176" s="142">
        <v>170</v>
      </c>
      <c r="B176" s="143" t="str" cm="1">
        <f t="array" ref="B176">IFERROR(INDEX('Lot Inputs'!$B$5:$B$507,MATCH(_xlfn.AGGREGATE(15,6,('Lot Inputs'!$J$5:$J$507)/(('Lot Inputs'!$A$5:$A$507=$B$3)*('Lot Inputs'!$H$5:$H$507&gt;0)),ROW()-6),IF('Lot Inputs'!$A$5:$A$507=$B$3,'Lot Inputs'!$J$5:$J$507),0)),"")</f>
        <v/>
      </c>
      <c r="C176" s="144" t="str">
        <f t="shared" si="20"/>
        <v/>
      </c>
      <c r="D176" s="145" t="str" cm="1">
        <f t="array" ref="D176">IF(B176="","",INDEX('Lot Inputs'!$E$5:$E$507,MATCH(1,('Lot Inputs'!$A$5:$A$507=$B$3)*('Lot Inputs'!$B$5:$B$507=B176),0)))</f>
        <v/>
      </c>
      <c r="E176" s="146" t="str" cm="1">
        <f t="array" ref="E176">IF(B176="","",INDEX('Lot Inputs'!$H$5:$H$507,MATCH(1,('Lot Inputs'!$A$5:$A$507=$B$3)*('Lot Inputs'!$B$5:$B$507=B176),0)))</f>
        <v/>
      </c>
      <c r="F176" s="108" t="str">
        <f>IF(E176="","",IF(R176="On Hold",0,E176)+IF(F175="",0,F175))</f>
        <v/>
      </c>
      <c r="G176" s="108" t="str">
        <f>IF(D176="","",SUMIFS($O$7:$O$500,$N$7:$N$500,"&gt;="&amp;IF(R176="On Hold",S176,Controls!$B$5),$N$7:$N$500,"&lt;="&amp;EDATE(D176,-$B$4)))</f>
        <v/>
      </c>
      <c r="H176" s="108" t="str">
        <f t="shared" si="26"/>
        <v/>
      </c>
      <c r="I176" s="147" t="str">
        <f t="shared" si="25"/>
        <v/>
      </c>
      <c r="J176" s="148" t="str">
        <f>IF(D176="","",(YEAR(EDATE(D176,-$B$4))-YEAR(Controls!$B$5))*12+MONTH(EDATE(D176,-$B$4))-MONTH(Controls!$B$5))</f>
        <v/>
      </c>
      <c r="K176" s="149" t="str">
        <f t="array" ref="K176">IF(F176="","",IFERROR(INDEX($N$7:$N$500,MATCH(TRUE(),$P$7:$P$500&gt;=F176,0)),"After Horizon"))</f>
        <v/>
      </c>
      <c r="L176" t="str">
        <f t="shared" si="22"/>
        <v/>
      </c>
      <c r="M176" s="17" t="str">
        <f t="shared" si="23"/>
        <v/>
      </c>
      <c r="N176" s="145">
        <v>51196</v>
      </c>
      <c r="O176" s="108">
        <f>SUMIFS('Planning Engine'!$F:$F,'Planning Engine'!$B:$B,$B$3,'Planning Engine'!$A:$A,N176)</f>
        <v>1169.8961359225343</v>
      </c>
      <c r="P176" s="108">
        <f t="shared" si="27"/>
        <v>2508979.457598458</v>
      </c>
      <c r="Q176" s="146">
        <f>IF(N176&lt;=EDATE(Controls!$B$5,$B$4-1),O176,0)</f>
        <v>0</v>
      </c>
      <c r="R176" t="str" cm="1">
        <f t="array" ref="R176">IF(B176="","",IFERROR(INDEX('Lot Inputs'!$L$5:$L$507,MATCH(1,('Lot Inputs'!$A$5:$A$507=$B$3)*('Lot Inputs'!$B$5:$B$507=B176),0)),""))</f>
        <v/>
      </c>
      <c r="S176" s="205" t="str" cm="1">
        <f t="array" ref="S176">IF(B176="","",IFERROR(INDEX('Lot Inputs'!$M$5:$M$507,MATCH(1,('Lot Inputs'!$A$5:$A$507=$B$3)*('Lot Inputs'!$B$5:$B$507=B176),0)),""))</f>
        <v/>
      </c>
      <c r="T176" s="459" t="str">
        <f ca="1">IF(S176="","",S176-TODAY())</f>
        <v/>
      </c>
    </row>
    <row r="177" spans="1:20" ht="14" customHeight="1" x14ac:dyDescent="0.35">
      <c r="A177" s="142">
        <v>171</v>
      </c>
      <c r="B177" s="143" t="str" cm="1">
        <f t="array" ref="B177">IFERROR(INDEX('Lot Inputs'!$B$5:$B$507,MATCH(_xlfn.AGGREGATE(15,6,('Lot Inputs'!$J$5:$J$507)/(('Lot Inputs'!$A$5:$A$507=$B$3)*('Lot Inputs'!$H$5:$H$507&gt;0)),ROW()-6),IF('Lot Inputs'!$A$5:$A$507=$B$3,'Lot Inputs'!$J$5:$J$507),0)),"")</f>
        <v/>
      </c>
      <c r="C177" s="144" t="str">
        <f t="shared" si="20"/>
        <v/>
      </c>
      <c r="D177" s="145" t="str" cm="1">
        <f t="array" ref="D177">IF(B177="","",INDEX('Lot Inputs'!$E$5:$E$507,MATCH(1,('Lot Inputs'!$A$5:$A$507=$B$3)*('Lot Inputs'!$B$5:$B$507=B177),0)))</f>
        <v/>
      </c>
      <c r="E177" s="146" t="str" cm="1">
        <f t="array" ref="E177">IF(B177="","",INDEX('Lot Inputs'!$H$5:$H$507,MATCH(1,('Lot Inputs'!$A$5:$A$507=$B$3)*('Lot Inputs'!$B$5:$B$507=B177),0)))</f>
        <v/>
      </c>
      <c r="F177" s="108" t="str">
        <f>IF(E177="","",IF(R177="On Hold",0,E177)+IF(F176="",0,F176))</f>
        <v/>
      </c>
      <c r="G177" s="108" t="str">
        <f>IF(D177="","",SUMIFS($O$7:$O$500,$N$7:$N$500,"&gt;="&amp;IF(R177="On Hold",S177,Controls!$B$5),$N$7:$N$500,"&lt;="&amp;EDATE(D177,-$B$4)))</f>
        <v/>
      </c>
      <c r="H177" s="108" t="str">
        <f t="shared" si="26"/>
        <v/>
      </c>
      <c r="I177" s="147" t="str">
        <f t="shared" si="25"/>
        <v/>
      </c>
      <c r="J177" s="148" t="str">
        <f>IF(D177="","",(YEAR(EDATE(D177,-$B$4))-YEAR(Controls!$B$5))*12+MONTH(EDATE(D177,-$B$4))-MONTH(Controls!$B$5))</f>
        <v/>
      </c>
      <c r="K177" s="149" t="str">
        <f t="array" ref="K177">IF(F177="","",IFERROR(INDEX($N$7:$N$500,MATCH(TRUE(),$P$7:$P$500&gt;=F177,0)),"After Horizon"))</f>
        <v/>
      </c>
      <c r="L177" t="str">
        <f t="shared" si="22"/>
        <v/>
      </c>
      <c r="M177" s="17" t="str">
        <f t="shared" si="23"/>
        <v/>
      </c>
      <c r="N177" s="145">
        <v>51227</v>
      </c>
      <c r="O177" s="108">
        <f>SUMIFS('Planning Engine'!$F:$F,'Planning Engine'!$B:$B,$B$3,'Planning Engine'!$A:$A,N177)</f>
        <v>1378.828861818077</v>
      </c>
      <c r="P177" s="108">
        <f t="shared" si="27"/>
        <v>2510358.2864602762</v>
      </c>
      <c r="Q177" s="146">
        <f>IF(N177&lt;=EDATE(Controls!$B$5,$B$4-1),O177,0)</f>
        <v>0</v>
      </c>
      <c r="R177" t="str" cm="1">
        <f t="array" ref="R177">IF(B177="","",IFERROR(INDEX('Lot Inputs'!$L$5:$L$507,MATCH(1,('Lot Inputs'!$A$5:$A$507=$B$3)*('Lot Inputs'!$B$5:$B$507=B177),0)),""))</f>
        <v/>
      </c>
      <c r="S177" s="205" t="str" cm="1">
        <f t="array" ref="S177">IF(B177="","",IFERROR(INDEX('Lot Inputs'!$M$5:$M$507,MATCH(1,('Lot Inputs'!$A$5:$A$507=$B$3)*('Lot Inputs'!$B$5:$B$507=B177),0)),""))</f>
        <v/>
      </c>
      <c r="T177" s="459" t="str">
        <f ca="1">IF(S177="","",S177-TODAY())</f>
        <v/>
      </c>
    </row>
    <row r="178" spans="1:20" ht="14" customHeight="1" x14ac:dyDescent="0.35">
      <c r="A178" s="142">
        <v>172</v>
      </c>
      <c r="B178" s="143" t="str" cm="1">
        <f t="array" ref="B178">IFERROR(INDEX('Lot Inputs'!$B$5:$B$507,MATCH(_xlfn.AGGREGATE(15,6,('Lot Inputs'!$J$5:$J$507)/(('Lot Inputs'!$A$5:$A$507=$B$3)*('Lot Inputs'!$H$5:$H$507&gt;0)),ROW()-6),IF('Lot Inputs'!$A$5:$A$507=$B$3,'Lot Inputs'!$J$5:$J$507),0)),"")</f>
        <v/>
      </c>
      <c r="C178" s="144" t="str">
        <f t="shared" si="20"/>
        <v/>
      </c>
      <c r="D178" s="145" t="str" cm="1">
        <f t="array" ref="D178">IF(B178="","",INDEX('Lot Inputs'!$E$5:$E$507,MATCH(1,('Lot Inputs'!$A$5:$A$507=$B$3)*('Lot Inputs'!$B$5:$B$507=B178),0)))</f>
        <v/>
      </c>
      <c r="E178" s="146" t="str" cm="1">
        <f t="array" ref="E178">IF(B178="","",INDEX('Lot Inputs'!$H$5:$H$507,MATCH(1,('Lot Inputs'!$A$5:$A$507=$B$3)*('Lot Inputs'!$B$5:$B$507=B178),0)))</f>
        <v/>
      </c>
      <c r="F178" s="108" t="str">
        <f>IF(E178="","",IF(R178="On Hold",0,E178)+IF(F177="",0,F177))</f>
        <v/>
      </c>
      <c r="G178" s="108" t="str">
        <f>IF(D178="","",SUMIFS($O$7:$O$500,$N$7:$N$500,"&gt;="&amp;IF(R178="On Hold",S178,Controls!$B$5),$N$7:$N$500,"&lt;="&amp;EDATE(D178,-$B$4)))</f>
        <v/>
      </c>
      <c r="H178" s="108" t="str">
        <f t="shared" si="26"/>
        <v/>
      </c>
      <c r="I178" s="147" t="str">
        <f t="shared" si="25"/>
        <v/>
      </c>
      <c r="J178" s="148" t="str">
        <f>IF(D178="","",(YEAR(EDATE(D178,-$B$4))-YEAR(Controls!$B$5))*12+MONTH(EDATE(D178,-$B$4))-MONTH(Controls!$B$5))</f>
        <v/>
      </c>
      <c r="K178" s="149" t="str">
        <f t="array" ref="K178">IF(F178="","",IFERROR(INDEX($N$7:$N$500,MATCH(TRUE(),$P$7:$P$500&gt;=F178,0)),"After Horizon"))</f>
        <v/>
      </c>
      <c r="L178" t="str">
        <f t="shared" si="22"/>
        <v/>
      </c>
      <c r="M178" s="17" t="str">
        <f t="shared" si="23"/>
        <v/>
      </c>
      <c r="N178" s="145">
        <v>51257</v>
      </c>
      <c r="O178" s="108">
        <f>SUMIFS('Planning Engine'!$F:$F,'Planning Engine'!$B:$B,$B$3,'Planning Engine'!$A:$A,N178)</f>
        <v>1209.3112218968054</v>
      </c>
      <c r="P178" s="108">
        <f t="shared" si="27"/>
        <v>2511567.5976821729</v>
      </c>
      <c r="Q178" s="146">
        <f>IF(N178&lt;=EDATE(Controls!$B$5,$B$4-1),O178,0)</f>
        <v>0</v>
      </c>
      <c r="R178" t="str" cm="1">
        <f t="array" ref="R178">IF(B178="","",IFERROR(INDEX('Lot Inputs'!$L$5:$L$507,MATCH(1,('Lot Inputs'!$A$5:$A$507=$B$3)*('Lot Inputs'!$B$5:$B$507=B178),0)),""))</f>
        <v/>
      </c>
      <c r="S178" s="205" t="str" cm="1">
        <f t="array" ref="S178">IF(B178="","",IFERROR(INDEX('Lot Inputs'!$M$5:$M$507,MATCH(1,('Lot Inputs'!$A$5:$A$507=$B$3)*('Lot Inputs'!$B$5:$B$507=B178),0)),""))</f>
        <v/>
      </c>
      <c r="T178" s="459" t="str">
        <f ca="1">IF(S178="","",S178-TODAY())</f>
        <v/>
      </c>
    </row>
    <row r="179" spans="1:20" ht="14" customHeight="1" x14ac:dyDescent="0.35">
      <c r="A179" s="142">
        <v>173</v>
      </c>
      <c r="B179" s="143" t="str" cm="1">
        <f t="array" ref="B179">IFERROR(INDEX('Lot Inputs'!$B$5:$B$507,MATCH(_xlfn.AGGREGATE(15,6,('Lot Inputs'!$J$5:$J$507)/(('Lot Inputs'!$A$5:$A$507=$B$3)*('Lot Inputs'!$H$5:$H$507&gt;0)),ROW()-6),IF('Lot Inputs'!$A$5:$A$507=$B$3,'Lot Inputs'!$J$5:$J$507),0)),"")</f>
        <v/>
      </c>
      <c r="C179" s="144" t="str">
        <f t="shared" si="20"/>
        <v/>
      </c>
      <c r="D179" s="145" t="str" cm="1">
        <f t="array" ref="D179">IF(B179="","",INDEX('Lot Inputs'!$E$5:$E$507,MATCH(1,('Lot Inputs'!$A$5:$A$507=$B$3)*('Lot Inputs'!$B$5:$B$507=B179),0)))</f>
        <v/>
      </c>
      <c r="E179" s="146" t="str" cm="1">
        <f t="array" ref="E179">IF(B179="","",INDEX('Lot Inputs'!$H$5:$H$507,MATCH(1,('Lot Inputs'!$A$5:$A$507=$B$3)*('Lot Inputs'!$B$5:$B$507=B179),0)))</f>
        <v/>
      </c>
      <c r="F179" s="108" t="str">
        <f>IF(E179="","",IF(R179="On Hold",0,E179)+IF(F178="",0,F178))</f>
        <v/>
      </c>
      <c r="G179" s="108" t="str">
        <f>IF(D179="","",SUMIFS($O$7:$O$500,$N$7:$N$500,"&gt;="&amp;IF(R179="On Hold",S179,Controls!$B$5),$N$7:$N$500,"&lt;="&amp;EDATE(D179,-$B$4)))</f>
        <v/>
      </c>
      <c r="H179" s="108" t="str">
        <f t="shared" si="26"/>
        <v/>
      </c>
      <c r="I179" s="147" t="str">
        <f t="shared" si="25"/>
        <v/>
      </c>
      <c r="J179" s="148" t="str">
        <f>IF(D179="","",(YEAR(EDATE(D179,-$B$4))-YEAR(Controls!$B$5))*12+MONTH(EDATE(D179,-$B$4))-MONTH(Controls!$B$5))</f>
        <v/>
      </c>
      <c r="K179" s="149" t="str">
        <f t="array" ref="K179">IF(F179="","",IFERROR(INDEX($N$7:$N$500,MATCH(TRUE(),$P$7:$P$500&gt;=F179,0)),"After Horizon"))</f>
        <v/>
      </c>
      <c r="L179" t="str">
        <f t="shared" si="22"/>
        <v/>
      </c>
      <c r="M179" s="17" t="str">
        <f t="shared" si="23"/>
        <v/>
      </c>
      <c r="N179" s="145">
        <v>51288</v>
      </c>
      <c r="O179" s="108">
        <f>SUMIFS('Planning Engine'!$F:$F,'Planning Engine'!$B:$B,$B$3,'Planning Engine'!$A:$A,N179)</f>
        <v>1355.3443358836835</v>
      </c>
      <c r="P179" s="108">
        <f t="shared" si="27"/>
        <v>2512922.9420180568</v>
      </c>
      <c r="Q179" s="146">
        <f>IF(N179&lt;=EDATE(Controls!$B$5,$B$4-1),O179,0)</f>
        <v>0</v>
      </c>
      <c r="R179" t="str" cm="1">
        <f t="array" ref="R179">IF(B179="","",IFERROR(INDEX('Lot Inputs'!$L$5:$L$507,MATCH(1,('Lot Inputs'!$A$5:$A$507=$B$3)*('Lot Inputs'!$B$5:$B$507=B179),0)),""))</f>
        <v/>
      </c>
      <c r="S179" s="205" t="str" cm="1">
        <f t="array" ref="S179">IF(B179="","",IFERROR(INDEX('Lot Inputs'!$M$5:$M$507,MATCH(1,('Lot Inputs'!$A$5:$A$507=$B$3)*('Lot Inputs'!$B$5:$B$507=B179),0)),""))</f>
        <v/>
      </c>
      <c r="T179" s="459" t="str">
        <f ca="1">IF(S179="","",S179-TODAY())</f>
        <v/>
      </c>
    </row>
    <row r="180" spans="1:20" ht="14" customHeight="1" x14ac:dyDescent="0.35">
      <c r="A180" s="142">
        <v>174</v>
      </c>
      <c r="B180" s="143" t="str" cm="1">
        <f t="array" ref="B180">IFERROR(INDEX('Lot Inputs'!$B$5:$B$507,MATCH(_xlfn.AGGREGATE(15,6,('Lot Inputs'!$J$5:$J$507)/(('Lot Inputs'!$A$5:$A$507=$B$3)*('Lot Inputs'!$H$5:$H$507&gt;0)),ROW()-6),IF('Lot Inputs'!$A$5:$A$507=$B$3,'Lot Inputs'!$J$5:$J$507),0)),"")</f>
        <v/>
      </c>
      <c r="C180" s="144" t="str">
        <f t="shared" si="20"/>
        <v/>
      </c>
      <c r="D180" s="145" t="str" cm="1">
        <f t="array" ref="D180">IF(B180="","",INDEX('Lot Inputs'!$E$5:$E$507,MATCH(1,('Lot Inputs'!$A$5:$A$507=$B$3)*('Lot Inputs'!$B$5:$B$507=B180),0)))</f>
        <v/>
      </c>
      <c r="E180" s="146" t="str" cm="1">
        <f t="array" ref="E180">IF(B180="","",INDEX('Lot Inputs'!$H$5:$H$507,MATCH(1,('Lot Inputs'!$A$5:$A$507=$B$3)*('Lot Inputs'!$B$5:$B$507=B180),0)))</f>
        <v/>
      </c>
      <c r="F180" s="108" t="str">
        <f>IF(E180="","",IF(R180="On Hold",0,E180)+IF(F179="",0,F179))</f>
        <v/>
      </c>
      <c r="G180" s="108" t="str">
        <f>IF(D180="","",SUMIFS($O$7:$O$500,$N$7:$N$500,"&gt;="&amp;IF(R180="On Hold",S180,Controls!$B$5),$N$7:$N$500,"&lt;="&amp;EDATE(D180,-$B$4)))</f>
        <v/>
      </c>
      <c r="H180" s="108" t="str">
        <f t="shared" si="26"/>
        <v/>
      </c>
      <c r="I180" s="147" t="str">
        <f t="shared" si="25"/>
        <v/>
      </c>
      <c r="J180" s="148" t="str">
        <f>IF(D180="","",(YEAR(EDATE(D180,-$B$4))-YEAR(Controls!$B$5))*12+MONTH(EDATE(D180,-$B$4))-MONTH(Controls!$B$5))</f>
        <v/>
      </c>
      <c r="K180" s="149" t="str">
        <f t="array" ref="K180">IF(F180="","",IFERROR(INDEX($N$7:$N$500,MATCH(TRUE(),$P$7:$P$500&gt;=F180,0)),"After Horizon"))</f>
        <v/>
      </c>
      <c r="L180" t="str">
        <f t="shared" si="22"/>
        <v/>
      </c>
      <c r="M180" s="17" t="str">
        <f t="shared" si="23"/>
        <v/>
      </c>
      <c r="N180" s="145">
        <v>51318</v>
      </c>
      <c r="O180" s="108">
        <f>SUMIFS('Planning Engine'!$F:$F,'Planning Engine'!$B:$B,$B$3,'Planning Engine'!$A:$A,N180)</f>
        <v>1111.9279322943758</v>
      </c>
      <c r="P180" s="108">
        <f t="shared" si="27"/>
        <v>2514034.8699503513</v>
      </c>
      <c r="Q180" s="146">
        <f>IF(N180&lt;=EDATE(Controls!$B$5,$B$4-1),O180,0)</f>
        <v>0</v>
      </c>
      <c r="R180" t="str" cm="1">
        <f t="array" ref="R180">IF(B180="","",IFERROR(INDEX('Lot Inputs'!$L$5:$L$507,MATCH(1,('Lot Inputs'!$A$5:$A$507=$B$3)*('Lot Inputs'!$B$5:$B$507=B180),0)),""))</f>
        <v/>
      </c>
      <c r="S180" s="205" t="str" cm="1">
        <f t="array" ref="S180">IF(B180="","",IFERROR(INDEX('Lot Inputs'!$M$5:$M$507,MATCH(1,('Lot Inputs'!$A$5:$A$507=$B$3)*('Lot Inputs'!$B$5:$B$507=B180),0)),""))</f>
        <v/>
      </c>
      <c r="T180" s="459" t="str">
        <f ca="1">IF(S180="","",S180-TODAY())</f>
        <v/>
      </c>
    </row>
    <row r="181" spans="1:20" ht="14" customHeight="1" x14ac:dyDescent="0.35">
      <c r="A181" s="142">
        <v>175</v>
      </c>
      <c r="B181" s="143" t="str" cm="1">
        <f t="array" ref="B181">IFERROR(INDEX('Lot Inputs'!$B$5:$B$507,MATCH(_xlfn.AGGREGATE(15,6,('Lot Inputs'!$J$5:$J$507)/(('Lot Inputs'!$A$5:$A$507=$B$3)*('Lot Inputs'!$H$5:$H$507&gt;0)),ROW()-6),IF('Lot Inputs'!$A$5:$A$507=$B$3,'Lot Inputs'!$J$5:$J$507),0)),"")</f>
        <v/>
      </c>
      <c r="C181" s="144" t="str">
        <f t="shared" si="20"/>
        <v/>
      </c>
      <c r="D181" s="145" t="str" cm="1">
        <f t="array" ref="D181">IF(B181="","",INDEX('Lot Inputs'!$E$5:$E$507,MATCH(1,('Lot Inputs'!$A$5:$A$507=$B$3)*('Lot Inputs'!$B$5:$B$507=B181),0)))</f>
        <v/>
      </c>
      <c r="E181" s="146" t="str" cm="1">
        <f t="array" ref="E181">IF(B181="","",INDEX('Lot Inputs'!$H$5:$H$507,MATCH(1,('Lot Inputs'!$A$5:$A$507=$B$3)*('Lot Inputs'!$B$5:$B$507=B181),0)))</f>
        <v/>
      </c>
      <c r="F181" s="108" t="str">
        <f>IF(E181="","",IF(R181="On Hold",0,E181)+IF(F180="",0,F180))</f>
        <v/>
      </c>
      <c r="G181" s="108" t="str">
        <f>IF(D181="","",SUMIFS($O$7:$O$500,$N$7:$N$500,"&gt;="&amp;IF(R181="On Hold",S181,Controls!$B$5),$N$7:$N$500,"&lt;="&amp;EDATE(D181,-$B$4)))</f>
        <v/>
      </c>
      <c r="H181" s="108" t="str">
        <f t="shared" si="26"/>
        <v/>
      </c>
      <c r="I181" s="147" t="str">
        <f t="shared" si="25"/>
        <v/>
      </c>
      <c r="J181" s="148" t="str">
        <f>IF(D181="","",(YEAR(EDATE(D181,-$B$4))-YEAR(Controls!$B$5))*12+MONTH(EDATE(D181,-$B$4))-MONTH(Controls!$B$5))</f>
        <v/>
      </c>
      <c r="K181" s="149" t="str">
        <f t="array" ref="K181">IF(F181="","",IFERROR(INDEX($N$7:$N$500,MATCH(TRUE(),$P$7:$P$500&gt;=F181,0)),"After Horizon"))</f>
        <v/>
      </c>
      <c r="L181" t="str">
        <f t="shared" si="22"/>
        <v/>
      </c>
      <c r="M181" s="17" t="str">
        <f t="shared" si="23"/>
        <v/>
      </c>
      <c r="N181" s="145">
        <v>51349</v>
      </c>
      <c r="O181" s="108">
        <f>SUMIFS('Planning Engine'!$F:$F,'Planning Engine'!$B:$B,$B$3,'Planning Engine'!$A:$A,N181)</f>
        <v>1286.3992541880161</v>
      </c>
      <c r="P181" s="108">
        <f t="shared" si="27"/>
        <v>2515321.2692045392</v>
      </c>
      <c r="Q181" s="146">
        <f>IF(N181&lt;=EDATE(Controls!$B$5,$B$4-1),O181,0)</f>
        <v>0</v>
      </c>
      <c r="R181" t="str" cm="1">
        <f t="array" ref="R181">IF(B181="","",IFERROR(INDEX('Lot Inputs'!$L$5:$L$507,MATCH(1,('Lot Inputs'!$A$5:$A$507=$B$3)*('Lot Inputs'!$B$5:$B$507=B181),0)),""))</f>
        <v/>
      </c>
      <c r="S181" s="205" t="str" cm="1">
        <f t="array" ref="S181">IF(B181="","",IFERROR(INDEX('Lot Inputs'!$M$5:$M$507,MATCH(1,('Lot Inputs'!$A$5:$A$507=$B$3)*('Lot Inputs'!$B$5:$B$507=B181),0)),""))</f>
        <v/>
      </c>
      <c r="T181" s="459" t="str">
        <f ca="1">IF(S181="","",S181-TODAY())</f>
        <v/>
      </c>
    </row>
    <row r="182" spans="1:20" ht="14" customHeight="1" x14ac:dyDescent="0.35">
      <c r="A182" s="142">
        <v>176</v>
      </c>
      <c r="B182" s="143" t="str" cm="1">
        <f t="array" ref="B182">IFERROR(INDEX('Lot Inputs'!$B$5:$B$507,MATCH(_xlfn.AGGREGATE(15,6,('Lot Inputs'!$J$5:$J$507)/(('Lot Inputs'!$A$5:$A$507=$B$3)*('Lot Inputs'!$H$5:$H$507&gt;0)),ROW()-6),IF('Lot Inputs'!$A$5:$A$507=$B$3,'Lot Inputs'!$J$5:$J$507),0)),"")</f>
        <v/>
      </c>
      <c r="C182" s="144" t="str">
        <f t="shared" si="20"/>
        <v/>
      </c>
      <c r="D182" s="145" t="str" cm="1">
        <f t="array" ref="D182">IF(B182="","",INDEX('Lot Inputs'!$E$5:$E$507,MATCH(1,('Lot Inputs'!$A$5:$A$507=$B$3)*('Lot Inputs'!$B$5:$B$507=B182),0)))</f>
        <v/>
      </c>
      <c r="E182" s="146" t="str" cm="1">
        <f t="array" ref="E182">IF(B182="","",INDEX('Lot Inputs'!$H$5:$H$507,MATCH(1,('Lot Inputs'!$A$5:$A$507=$B$3)*('Lot Inputs'!$B$5:$B$507=B182),0)))</f>
        <v/>
      </c>
      <c r="F182" s="108" t="str">
        <f>IF(E182="","",IF(R182="On Hold",0,E182)+IF(F181="",0,F181))</f>
        <v/>
      </c>
      <c r="G182" s="108" t="str">
        <f>IF(D182="","",SUMIFS($O$7:$O$500,$N$7:$N$500,"&gt;="&amp;IF(R182="On Hold",S182,Controls!$B$5),$N$7:$N$500,"&lt;="&amp;EDATE(D182,-$B$4)))</f>
        <v/>
      </c>
      <c r="H182" s="108" t="str">
        <f t="shared" si="26"/>
        <v/>
      </c>
      <c r="I182" s="147" t="str">
        <f t="shared" si="25"/>
        <v/>
      </c>
      <c r="J182" s="148" t="str">
        <f>IF(D182="","",(YEAR(EDATE(D182,-$B$4))-YEAR(Controls!$B$5))*12+MONTH(EDATE(D182,-$B$4))-MONTH(Controls!$B$5))</f>
        <v/>
      </c>
      <c r="K182" s="149" t="str">
        <f t="array" ref="K182">IF(F182="","",IFERROR(INDEX($N$7:$N$500,MATCH(TRUE(),$P$7:$P$500&gt;=F182,0)),"After Horizon"))</f>
        <v/>
      </c>
      <c r="L182" t="str">
        <f t="shared" si="22"/>
        <v/>
      </c>
      <c r="M182" s="17" t="str">
        <f t="shared" si="23"/>
        <v/>
      </c>
      <c r="N182" s="145">
        <v>51380</v>
      </c>
      <c r="O182" s="108">
        <f>SUMIFS('Planning Engine'!$F:$F,'Planning Engine'!$B:$B,$B$3,'Planning Engine'!$A:$A,N182)</f>
        <v>1471.2862464459088</v>
      </c>
      <c r="P182" s="108">
        <f t="shared" si="27"/>
        <v>2516792.5554509852</v>
      </c>
      <c r="Q182" s="146">
        <f>IF(N182&lt;=EDATE(Controls!$B$5,$B$4-1),O182,0)</f>
        <v>0</v>
      </c>
      <c r="R182" t="str" cm="1">
        <f t="array" ref="R182">IF(B182="","",IFERROR(INDEX('Lot Inputs'!$L$5:$L$507,MATCH(1,('Lot Inputs'!$A$5:$A$507=$B$3)*('Lot Inputs'!$B$5:$B$507=B182),0)),""))</f>
        <v/>
      </c>
      <c r="S182" s="205" t="str" cm="1">
        <f t="array" ref="S182">IF(B182="","",IFERROR(INDEX('Lot Inputs'!$M$5:$M$507,MATCH(1,('Lot Inputs'!$A$5:$A$507=$B$3)*('Lot Inputs'!$B$5:$B$507=B182),0)),""))</f>
        <v/>
      </c>
      <c r="T182" s="459" t="str">
        <f ca="1">IF(S182="","",S182-TODAY())</f>
        <v/>
      </c>
    </row>
    <row r="183" spans="1:20" ht="14" customHeight="1" x14ac:dyDescent="0.35">
      <c r="A183" s="142">
        <v>177</v>
      </c>
      <c r="B183" s="143" t="str" cm="1">
        <f t="array" ref="B183">IFERROR(INDEX('Lot Inputs'!$B$5:$B$507,MATCH(_xlfn.AGGREGATE(15,6,('Lot Inputs'!$J$5:$J$507)/(('Lot Inputs'!$A$5:$A$507=$B$3)*('Lot Inputs'!$H$5:$H$507&gt;0)),ROW()-6),IF('Lot Inputs'!$A$5:$A$507=$B$3,'Lot Inputs'!$J$5:$J$507),0)),"")</f>
        <v/>
      </c>
      <c r="C183" s="144" t="str">
        <f t="shared" si="20"/>
        <v/>
      </c>
      <c r="D183" s="145" t="str" cm="1">
        <f t="array" ref="D183">IF(B183="","",INDEX('Lot Inputs'!$E$5:$E$507,MATCH(1,('Lot Inputs'!$A$5:$A$507=$B$3)*('Lot Inputs'!$B$5:$B$507=B183),0)))</f>
        <v/>
      </c>
      <c r="E183" s="146" t="str" cm="1">
        <f t="array" ref="E183">IF(B183="","",INDEX('Lot Inputs'!$H$5:$H$507,MATCH(1,('Lot Inputs'!$A$5:$A$507=$B$3)*('Lot Inputs'!$B$5:$B$507=B183),0)))</f>
        <v/>
      </c>
      <c r="F183" s="108" t="str">
        <f>IF(E183="","",IF(R183="On Hold",0,E183)+IF(F182="",0,F182))</f>
        <v/>
      </c>
      <c r="G183" s="108" t="str">
        <f>IF(D183="","",SUMIFS($O$7:$O$500,$N$7:$N$500,"&gt;="&amp;IF(R183="On Hold",S183,Controls!$B$5),$N$7:$N$500,"&lt;="&amp;EDATE(D183,-$B$4)))</f>
        <v/>
      </c>
      <c r="H183" s="108" t="str">
        <f t="shared" si="26"/>
        <v/>
      </c>
      <c r="I183" s="147" t="str">
        <f t="shared" si="25"/>
        <v/>
      </c>
      <c r="J183" s="148" t="str">
        <f>IF(D183="","",(YEAR(EDATE(D183,-$B$4))-YEAR(Controls!$B$5))*12+MONTH(EDATE(D183,-$B$4))-MONTH(Controls!$B$5))</f>
        <v/>
      </c>
      <c r="K183" s="149" t="str">
        <f t="array" ref="K183">IF(F183="","",IFERROR(INDEX($N$7:$N$500,MATCH(TRUE(),$P$7:$P$500&gt;=F183,0)),"After Horizon"))</f>
        <v/>
      </c>
      <c r="L183" t="str">
        <f t="shared" si="22"/>
        <v/>
      </c>
      <c r="M183" s="17" t="str">
        <f t="shared" si="23"/>
        <v/>
      </c>
      <c r="N183" s="145">
        <v>51410</v>
      </c>
      <c r="O183" s="108">
        <f>SUMIFS('Planning Engine'!$F:$F,'Planning Engine'!$B:$B,$B$3,'Planning Engine'!$A:$A,N183)</f>
        <v>978.64776496878005</v>
      </c>
      <c r="P183" s="108">
        <f t="shared" si="27"/>
        <v>2517771.2032159539</v>
      </c>
      <c r="Q183" s="146">
        <f>IF(N183&lt;=EDATE(Controls!$B$5,$B$4-1),O183,0)</f>
        <v>0</v>
      </c>
      <c r="R183" t="str" cm="1">
        <f t="array" ref="R183">IF(B183="","",IFERROR(INDEX('Lot Inputs'!$L$5:$L$507,MATCH(1,('Lot Inputs'!$A$5:$A$507=$B$3)*('Lot Inputs'!$B$5:$B$507=B183),0)),""))</f>
        <v/>
      </c>
      <c r="S183" s="205" t="str" cm="1">
        <f t="array" ref="S183">IF(B183="","",IFERROR(INDEX('Lot Inputs'!$M$5:$M$507,MATCH(1,('Lot Inputs'!$A$5:$A$507=$B$3)*('Lot Inputs'!$B$5:$B$507=B183),0)),""))</f>
        <v/>
      </c>
      <c r="T183" s="459" t="str">
        <f ca="1">IF(S183="","",S183-TODAY())</f>
        <v/>
      </c>
    </row>
    <row r="184" spans="1:20" ht="14" customHeight="1" x14ac:dyDescent="0.35">
      <c r="A184" s="142">
        <v>178</v>
      </c>
      <c r="B184" s="143" t="str" cm="1">
        <f t="array" ref="B184">IFERROR(INDEX('Lot Inputs'!$B$5:$B$507,MATCH(_xlfn.AGGREGATE(15,6,('Lot Inputs'!$J$5:$J$507)/(('Lot Inputs'!$A$5:$A$507=$B$3)*('Lot Inputs'!$H$5:$H$507&gt;0)),ROW()-6),IF('Lot Inputs'!$A$5:$A$507=$B$3,'Lot Inputs'!$J$5:$J$507),0)),"")</f>
        <v/>
      </c>
      <c r="C184" s="144" t="str">
        <f t="shared" si="20"/>
        <v/>
      </c>
      <c r="D184" s="145" t="str" cm="1">
        <f t="array" ref="D184">IF(B184="","",INDEX('Lot Inputs'!$E$5:$E$507,MATCH(1,('Lot Inputs'!$A$5:$A$507=$B$3)*('Lot Inputs'!$B$5:$B$507=B184),0)))</f>
        <v/>
      </c>
      <c r="E184" s="146" t="str" cm="1">
        <f t="array" ref="E184">IF(B184="","",INDEX('Lot Inputs'!$H$5:$H$507,MATCH(1,('Lot Inputs'!$A$5:$A$507=$B$3)*('Lot Inputs'!$B$5:$B$507=B184),0)))</f>
        <v/>
      </c>
      <c r="F184" s="108" t="str">
        <f>IF(E184="","",IF(R184="On Hold",0,E184)+IF(F183="",0,F183))</f>
        <v/>
      </c>
      <c r="G184" s="108" t="str">
        <f>IF(D184="","",SUMIFS($O$7:$O$500,$N$7:$N$500,"&gt;="&amp;IF(R184="On Hold",S184,Controls!$B$5),$N$7:$N$500,"&lt;="&amp;EDATE(D184,-$B$4)))</f>
        <v/>
      </c>
      <c r="H184" s="108" t="str">
        <f t="shared" si="26"/>
        <v/>
      </c>
      <c r="I184" s="147" t="str">
        <f t="shared" si="25"/>
        <v/>
      </c>
      <c r="J184" s="148" t="str">
        <f>IF(D184="","",(YEAR(EDATE(D184,-$B$4))-YEAR(Controls!$B$5))*12+MONTH(EDATE(D184,-$B$4))-MONTH(Controls!$B$5))</f>
        <v/>
      </c>
      <c r="K184" s="149" t="str">
        <f t="array" ref="K184">IF(F184="","",IFERROR(INDEX($N$7:$N$500,MATCH(TRUE(),$P$7:$P$500&gt;=F184,0)),"After Horizon"))</f>
        <v/>
      </c>
      <c r="L184" t="str">
        <f t="shared" si="22"/>
        <v/>
      </c>
      <c r="M184" s="17" t="str">
        <f t="shared" si="23"/>
        <v/>
      </c>
      <c r="N184" s="145">
        <v>51441</v>
      </c>
      <c r="O184" s="108">
        <f>SUMIFS('Planning Engine'!$F:$F,'Planning Engine'!$B:$B,$B$3,'Planning Engine'!$A:$A,N184)</f>
        <v>1436.3511332697394</v>
      </c>
      <c r="P184" s="108">
        <f t="shared" si="27"/>
        <v>2519207.5543492236</v>
      </c>
      <c r="Q184" s="146">
        <f>IF(N184&lt;=EDATE(Controls!$B$5,$B$4-1),O184,0)</f>
        <v>0</v>
      </c>
      <c r="R184" t="str" cm="1">
        <f t="array" ref="R184">IF(B184="","",IFERROR(INDEX('Lot Inputs'!$L$5:$L$507,MATCH(1,('Lot Inputs'!$A$5:$A$507=$B$3)*('Lot Inputs'!$B$5:$B$507=B184),0)),""))</f>
        <v/>
      </c>
      <c r="S184" s="205" t="str" cm="1">
        <f t="array" ref="S184">IF(B184="","",IFERROR(INDEX('Lot Inputs'!$M$5:$M$507,MATCH(1,('Lot Inputs'!$A$5:$A$507=$B$3)*('Lot Inputs'!$B$5:$B$507=B184),0)),""))</f>
        <v/>
      </c>
      <c r="T184" s="459" t="str">
        <f ca="1">IF(S184="","",S184-TODAY())</f>
        <v/>
      </c>
    </row>
    <row r="185" spans="1:20" ht="14" customHeight="1" x14ac:dyDescent="0.35">
      <c r="A185" s="142">
        <v>179</v>
      </c>
      <c r="B185" s="143" t="str" cm="1">
        <f t="array" ref="B185">IFERROR(INDEX('Lot Inputs'!$B$5:$B$507,MATCH(_xlfn.AGGREGATE(15,6,('Lot Inputs'!$J$5:$J$507)/(('Lot Inputs'!$A$5:$A$507=$B$3)*('Lot Inputs'!$H$5:$H$507&gt;0)),ROW()-6),IF('Lot Inputs'!$A$5:$A$507=$B$3,'Lot Inputs'!$J$5:$J$507),0)),"")</f>
        <v/>
      </c>
      <c r="C185" s="144" t="str">
        <f t="shared" si="20"/>
        <v/>
      </c>
      <c r="D185" s="145" t="str" cm="1">
        <f t="array" ref="D185">IF(B185="","",INDEX('Lot Inputs'!$E$5:$E$507,MATCH(1,('Lot Inputs'!$A$5:$A$507=$B$3)*('Lot Inputs'!$B$5:$B$507=B185),0)))</f>
        <v/>
      </c>
      <c r="E185" s="146" t="str" cm="1">
        <f t="array" ref="E185">IF(B185="","",INDEX('Lot Inputs'!$H$5:$H$507,MATCH(1,('Lot Inputs'!$A$5:$A$507=$B$3)*('Lot Inputs'!$B$5:$B$507=B185),0)))</f>
        <v/>
      </c>
      <c r="F185" s="108" t="str">
        <f>IF(E185="","",IF(R185="On Hold",0,E185)+IF(F184="",0,F184))</f>
        <v/>
      </c>
      <c r="G185" s="108" t="str">
        <f>IF(D185="","",SUMIFS($O$7:$O$500,$N$7:$N$500,"&gt;="&amp;IF(R185="On Hold",S185,Controls!$B$5),$N$7:$N$500,"&lt;="&amp;EDATE(D185,-$B$4)))</f>
        <v/>
      </c>
      <c r="H185" s="108" t="str">
        <f t="shared" si="26"/>
        <v/>
      </c>
      <c r="I185" s="147" t="str">
        <f t="shared" si="25"/>
        <v/>
      </c>
      <c r="J185" s="148" t="str">
        <f>IF(D185="","",(YEAR(EDATE(D185,-$B$4))-YEAR(Controls!$B$5))*12+MONTH(EDATE(D185,-$B$4))-MONTH(Controls!$B$5))</f>
        <v/>
      </c>
      <c r="K185" s="149" t="str">
        <f t="array" ref="K185">IF(F185="","",IFERROR(INDEX($N$7:$N$500,MATCH(TRUE(),$P$7:$P$500&gt;=F185,0)),"After Horizon"))</f>
        <v/>
      </c>
      <c r="L185" t="str">
        <f t="shared" si="22"/>
        <v/>
      </c>
      <c r="M185" s="17" t="str">
        <f t="shared" si="23"/>
        <v/>
      </c>
      <c r="N185" s="145">
        <v>51471</v>
      </c>
      <c r="O185" s="108">
        <f>SUMIFS('Planning Engine'!$F:$F,'Planning Engine'!$B:$B,$B$3,'Planning Engine'!$A:$A,N185)</f>
        <v>1119.0386518528212</v>
      </c>
      <c r="P185" s="108">
        <f t="shared" si="27"/>
        <v>2520326.5930010765</v>
      </c>
      <c r="Q185" s="146">
        <f>IF(N185&lt;=EDATE(Controls!$B$5,$B$4-1),O185,0)</f>
        <v>0</v>
      </c>
      <c r="R185" t="str" cm="1">
        <f t="array" ref="R185">IF(B185="","",IFERROR(INDEX('Lot Inputs'!$L$5:$L$507,MATCH(1,('Lot Inputs'!$A$5:$A$507=$B$3)*('Lot Inputs'!$B$5:$B$507=B185),0)),""))</f>
        <v/>
      </c>
      <c r="S185" s="205" t="str" cm="1">
        <f t="array" ref="S185">IF(B185="","",IFERROR(INDEX('Lot Inputs'!$M$5:$M$507,MATCH(1,('Lot Inputs'!$A$5:$A$507=$B$3)*('Lot Inputs'!$B$5:$B$507=B185),0)),""))</f>
        <v/>
      </c>
      <c r="T185" s="459" t="str">
        <f ca="1">IF(S185="","",S185-TODAY())</f>
        <v/>
      </c>
    </row>
    <row r="186" spans="1:20" ht="14" customHeight="1" x14ac:dyDescent="0.35">
      <c r="A186" s="142">
        <v>180</v>
      </c>
      <c r="B186" s="143" t="str" cm="1">
        <f t="array" ref="B186">IFERROR(INDEX('Lot Inputs'!$B$5:$B$507,MATCH(_xlfn.AGGREGATE(15,6,('Lot Inputs'!$J$5:$J$507)/(('Lot Inputs'!$A$5:$A$507=$B$3)*('Lot Inputs'!$H$5:$H$507&gt;0)),ROW()-6),IF('Lot Inputs'!$A$5:$A$507=$B$3,'Lot Inputs'!$J$5:$J$507),0)),"")</f>
        <v/>
      </c>
      <c r="C186" s="144" t="str">
        <f t="shared" si="20"/>
        <v/>
      </c>
      <c r="D186" s="145" t="str" cm="1">
        <f t="array" ref="D186">IF(B186="","",INDEX('Lot Inputs'!$E$5:$E$507,MATCH(1,('Lot Inputs'!$A$5:$A$507=$B$3)*('Lot Inputs'!$B$5:$B$507=B186),0)))</f>
        <v/>
      </c>
      <c r="E186" s="146" t="str" cm="1">
        <f t="array" ref="E186">IF(B186="","",INDEX('Lot Inputs'!$H$5:$H$507,MATCH(1,('Lot Inputs'!$A$5:$A$507=$B$3)*('Lot Inputs'!$B$5:$B$507=B186),0)))</f>
        <v/>
      </c>
      <c r="F186" s="108" t="str">
        <f>IF(E186="","",IF(R186="On Hold",0,E186)+IF(F185="",0,F185))</f>
        <v/>
      </c>
      <c r="G186" s="108" t="str">
        <f>IF(D186="","",SUMIFS($O$7:$O$500,$N$7:$N$500,"&gt;="&amp;IF(R186="On Hold",S186,Controls!$B$5),$N$7:$N$500,"&lt;="&amp;EDATE(D186,-$B$4)))</f>
        <v/>
      </c>
      <c r="H186" s="108" t="str">
        <f t="shared" si="26"/>
        <v/>
      </c>
      <c r="I186" s="147" t="str">
        <f t="shared" si="25"/>
        <v/>
      </c>
      <c r="J186" s="148" t="str">
        <f>IF(D186="","",(YEAR(EDATE(D186,-$B$4))-YEAR(Controls!$B$5))*12+MONTH(EDATE(D186,-$B$4))-MONTH(Controls!$B$5))</f>
        <v/>
      </c>
      <c r="K186" s="149" t="str">
        <f t="array" ref="K186">IF(F186="","",IFERROR(INDEX($N$7:$N$500,MATCH(TRUE(),$P$7:$P$500&gt;=F186,0)),"After Horizon"))</f>
        <v/>
      </c>
      <c r="L186" t="str">
        <f t="shared" si="22"/>
        <v/>
      </c>
      <c r="M186" s="17" t="str">
        <f t="shared" si="23"/>
        <v/>
      </c>
      <c r="N186" s="145">
        <v>51502</v>
      </c>
      <c r="O186" s="108">
        <f>SUMIFS('Planning Engine'!$F:$F,'Planning Engine'!$B:$B,$B$3,'Planning Engine'!$A:$A,N186)</f>
        <v>0</v>
      </c>
      <c r="P186" s="108">
        <f t="shared" si="27"/>
        <v>2520326.5930010765</v>
      </c>
      <c r="Q186" s="146">
        <f>IF(N186&lt;=EDATE(Controls!$B$5,$B$4-1),O186,0)</f>
        <v>0</v>
      </c>
      <c r="R186" t="str" cm="1">
        <f t="array" ref="R186">IF(B186="","",IFERROR(INDEX('Lot Inputs'!$L$5:$L$507,MATCH(1,('Lot Inputs'!$A$5:$A$507=$B$3)*('Lot Inputs'!$B$5:$B$507=B186),0)),""))</f>
        <v/>
      </c>
      <c r="S186" s="205" t="str" cm="1">
        <f t="array" ref="S186">IF(B186="","",IFERROR(INDEX('Lot Inputs'!$M$5:$M$507,MATCH(1,('Lot Inputs'!$A$5:$A$507=$B$3)*('Lot Inputs'!$B$5:$B$507=B186),0)),""))</f>
        <v/>
      </c>
      <c r="T186" s="459" t="str">
        <f ca="1">IF(S186="","",S186-TODAY())</f>
        <v/>
      </c>
    </row>
    <row r="187" spans="1:20" ht="14" customHeight="1" x14ac:dyDescent="0.35">
      <c r="A187" s="142">
        <v>181</v>
      </c>
      <c r="B187" s="143" t="str" cm="1">
        <f t="array" ref="B187">IFERROR(INDEX('Lot Inputs'!$B$5:$B$507,MATCH(_xlfn.AGGREGATE(15,6,('Lot Inputs'!$J$5:$J$507)/(('Lot Inputs'!$A$5:$A$507=$B$3)*('Lot Inputs'!$H$5:$H$507&gt;0)),ROW()-6),IF('Lot Inputs'!$A$5:$A$507=$B$3,'Lot Inputs'!$J$5:$J$507),0)),"")</f>
        <v/>
      </c>
      <c r="C187" s="144" t="str">
        <f t="shared" si="20"/>
        <v/>
      </c>
      <c r="D187" s="145" t="str" cm="1">
        <f t="array" ref="D187">IF(B187="","",INDEX('Lot Inputs'!$E$5:$E$507,MATCH(1,('Lot Inputs'!$A$5:$A$507=$B$3)*('Lot Inputs'!$B$5:$B$507=B187),0)))</f>
        <v/>
      </c>
      <c r="E187" s="146" t="str" cm="1">
        <f t="array" ref="E187">IF(B187="","",INDEX('Lot Inputs'!$H$5:$H$507,MATCH(1,('Lot Inputs'!$A$5:$A$507=$B$3)*('Lot Inputs'!$B$5:$B$507=B187),0)))</f>
        <v/>
      </c>
      <c r="F187" s="108" t="str">
        <f>IF(E187="","",IF(R187="On Hold",0,E187)+IF(F186="",0,F186))</f>
        <v/>
      </c>
      <c r="G187" s="108" t="str">
        <f>IF(D187="","",SUMIFS($O$7:$O$500,$N$7:$N$500,"&gt;="&amp;IF(R187="On Hold",S187,Controls!$B$5),$N$7:$N$500,"&lt;="&amp;EDATE(D187,-$B$4)))</f>
        <v/>
      </c>
      <c r="H187" s="108" t="str">
        <f t="shared" si="26"/>
        <v/>
      </c>
      <c r="I187" s="147" t="str">
        <f t="shared" si="25"/>
        <v/>
      </c>
      <c r="J187" s="148" t="str">
        <f>IF(D187="","",(YEAR(EDATE(D187,-$B$4))-YEAR(Controls!$B$5))*12+MONTH(EDATE(D187,-$B$4))-MONTH(Controls!$B$5))</f>
        <v/>
      </c>
      <c r="K187" s="149" t="str">
        <f t="array" ref="K187">IF(F187="","",IFERROR(INDEX($N$7:$N$500,MATCH(TRUE(),$P$7:$P$500&gt;=F187,0)),"After Horizon"))</f>
        <v/>
      </c>
      <c r="L187" t="str">
        <f t="shared" si="22"/>
        <v/>
      </c>
      <c r="M187" s="17" t="str">
        <f t="shared" si="23"/>
        <v/>
      </c>
      <c r="N187" s="145">
        <v>51533</v>
      </c>
      <c r="O187" s="108">
        <f>SUMIFS('Planning Engine'!$F:$F,'Planning Engine'!$B:$B,$B$3,'Planning Engine'!$A:$A,N187)</f>
        <v>0</v>
      </c>
      <c r="P187" s="108">
        <f t="shared" si="27"/>
        <v>2520326.5930010765</v>
      </c>
      <c r="Q187" s="146">
        <f>IF(N187&lt;=EDATE(Controls!$B$5,$B$4-1),O187,0)</f>
        <v>0</v>
      </c>
      <c r="R187" t="str" cm="1">
        <f t="array" ref="R187">IF(B187="","",IFERROR(INDEX('Lot Inputs'!$L$5:$L$507,MATCH(1,('Lot Inputs'!$A$5:$A$507=$B$3)*('Lot Inputs'!$B$5:$B$507=B187),0)),""))</f>
        <v/>
      </c>
      <c r="S187" s="205" t="str" cm="1">
        <f t="array" ref="S187">IF(B187="","",IFERROR(INDEX('Lot Inputs'!$M$5:$M$507,MATCH(1,('Lot Inputs'!$A$5:$A$507=$B$3)*('Lot Inputs'!$B$5:$B$507=B187),0)),""))</f>
        <v/>
      </c>
      <c r="T187" s="459" t="str">
        <f ca="1">IF(S187="","",S187-TODAY())</f>
        <v/>
      </c>
    </row>
    <row r="188" spans="1:20" ht="14" customHeight="1" x14ac:dyDescent="0.35">
      <c r="A188" s="142">
        <v>182</v>
      </c>
      <c r="B188" s="143" t="str" cm="1">
        <f t="array" ref="B188">IFERROR(INDEX('Lot Inputs'!$B$5:$B$507,MATCH(_xlfn.AGGREGATE(15,6,('Lot Inputs'!$J$5:$J$507)/(('Lot Inputs'!$A$5:$A$507=$B$3)*('Lot Inputs'!$H$5:$H$507&gt;0)),ROW()-6),IF('Lot Inputs'!$A$5:$A$507=$B$3,'Lot Inputs'!$J$5:$J$507),0)),"")</f>
        <v/>
      </c>
      <c r="C188" s="144" t="str">
        <f t="shared" si="20"/>
        <v/>
      </c>
      <c r="D188" s="145" t="str" cm="1">
        <f t="array" ref="D188">IF(B188="","",INDEX('Lot Inputs'!$E$5:$E$507,MATCH(1,('Lot Inputs'!$A$5:$A$507=$B$3)*('Lot Inputs'!$B$5:$B$507=B188),0)))</f>
        <v/>
      </c>
      <c r="E188" s="146" t="str" cm="1">
        <f t="array" ref="E188">IF(B188="","",INDEX('Lot Inputs'!$H$5:$H$507,MATCH(1,('Lot Inputs'!$A$5:$A$507=$B$3)*('Lot Inputs'!$B$5:$B$507=B188),0)))</f>
        <v/>
      </c>
      <c r="F188" s="108" t="str">
        <f>IF(E188="","",IF(R188="On Hold",0,E188)+IF(F187="",0,F187))</f>
        <v/>
      </c>
      <c r="G188" s="108" t="str">
        <f>IF(D188="","",SUMIFS($O$7:$O$500,$N$7:$N$500,"&gt;="&amp;IF(R188="On Hold",S188,Controls!$B$5),$N$7:$N$500,"&lt;="&amp;EDATE(D188,-$B$4)))</f>
        <v/>
      </c>
      <c r="H188" s="108" t="str">
        <f t="shared" si="26"/>
        <v/>
      </c>
      <c r="I188" s="147" t="str">
        <f t="shared" si="25"/>
        <v/>
      </c>
      <c r="J188" s="148" t="str">
        <f>IF(D188="","",(YEAR(EDATE(D188,-$B$4))-YEAR(Controls!$B$5))*12+MONTH(EDATE(D188,-$B$4))-MONTH(Controls!$B$5))</f>
        <v/>
      </c>
      <c r="K188" s="149" t="str">
        <f t="array" ref="K188">IF(F188="","",IFERROR(INDEX($N$7:$N$500,MATCH(TRUE(),$P$7:$P$500&gt;=F188,0)),"After Horizon"))</f>
        <v/>
      </c>
      <c r="L188" t="str">
        <f t="shared" si="22"/>
        <v/>
      </c>
      <c r="M188" s="17" t="str">
        <f t="shared" si="23"/>
        <v/>
      </c>
      <c r="N188" s="145">
        <v>51561</v>
      </c>
      <c r="O188" s="108">
        <f>SUMIFS('Planning Engine'!$F:$F,'Planning Engine'!$B:$B,$B$3,'Planning Engine'!$A:$A,N188)</f>
        <v>0</v>
      </c>
      <c r="P188" s="108">
        <f t="shared" si="27"/>
        <v>2520326.5930010765</v>
      </c>
      <c r="Q188" s="146">
        <f>IF(N188&lt;=EDATE(Controls!$B$5,$B$4-1),O188,0)</f>
        <v>0</v>
      </c>
      <c r="R188" t="str" cm="1">
        <f t="array" ref="R188">IF(B188="","",IFERROR(INDEX('Lot Inputs'!$L$5:$L$507,MATCH(1,('Lot Inputs'!$A$5:$A$507=$B$3)*('Lot Inputs'!$B$5:$B$507=B188),0)),""))</f>
        <v/>
      </c>
      <c r="S188" s="205" t="str" cm="1">
        <f t="array" ref="S188">IF(B188="","",IFERROR(INDEX('Lot Inputs'!$M$5:$M$507,MATCH(1,('Lot Inputs'!$A$5:$A$507=$B$3)*('Lot Inputs'!$B$5:$B$507=B188),0)),""))</f>
        <v/>
      </c>
      <c r="T188" s="459" t="str">
        <f ca="1">IF(S188="","",S188-TODAY())</f>
        <v/>
      </c>
    </row>
    <row r="189" spans="1:20" ht="14" customHeight="1" x14ac:dyDescent="0.35">
      <c r="A189" s="142">
        <v>183</v>
      </c>
      <c r="B189" s="143" t="str" cm="1">
        <f t="array" ref="B189">IFERROR(INDEX('Lot Inputs'!$B$5:$B$507,MATCH(_xlfn.AGGREGATE(15,6,('Lot Inputs'!$J$5:$J$507)/(('Lot Inputs'!$A$5:$A$507=$B$3)*('Lot Inputs'!$H$5:$H$507&gt;0)),ROW()-6),IF('Lot Inputs'!$A$5:$A$507=$B$3,'Lot Inputs'!$J$5:$J$507),0)),"")</f>
        <v/>
      </c>
      <c r="C189" s="144" t="str">
        <f t="shared" si="20"/>
        <v/>
      </c>
      <c r="D189" s="145" t="str" cm="1">
        <f t="array" ref="D189">IF(B189="","",INDEX('Lot Inputs'!$E$5:$E$507,MATCH(1,('Lot Inputs'!$A$5:$A$507=$B$3)*('Lot Inputs'!$B$5:$B$507=B189),0)))</f>
        <v/>
      </c>
      <c r="E189" s="146" t="str" cm="1">
        <f t="array" ref="E189">IF(B189="","",INDEX('Lot Inputs'!$H$5:$H$507,MATCH(1,('Lot Inputs'!$A$5:$A$507=$B$3)*('Lot Inputs'!$B$5:$B$507=B189),0)))</f>
        <v/>
      </c>
      <c r="F189" s="108" t="str">
        <f>IF(E189="","",IF(R189="On Hold",0,E189)+IF(F188="",0,F188))</f>
        <v/>
      </c>
      <c r="G189" s="108" t="str">
        <f>IF(D189="","",SUMIFS($O$7:$O$500,$N$7:$N$500,"&gt;="&amp;IF(R189="On Hold",S189,Controls!$B$5),$N$7:$N$500,"&lt;="&amp;EDATE(D189,-$B$4)))</f>
        <v/>
      </c>
      <c r="H189" s="108" t="str">
        <f t="shared" si="26"/>
        <v/>
      </c>
      <c r="I189" s="147" t="str">
        <f t="shared" si="25"/>
        <v/>
      </c>
      <c r="J189" s="148" t="str">
        <f>IF(D189="","",(YEAR(EDATE(D189,-$B$4))-YEAR(Controls!$B$5))*12+MONTH(EDATE(D189,-$B$4))-MONTH(Controls!$B$5))</f>
        <v/>
      </c>
      <c r="K189" s="149" t="str">
        <f t="array" ref="K189">IF(F189="","",IFERROR(INDEX($N$7:$N$500,MATCH(TRUE(),$P$7:$P$500&gt;=F189,0)),"After Horizon"))</f>
        <v/>
      </c>
      <c r="L189" t="str">
        <f t="shared" si="22"/>
        <v/>
      </c>
      <c r="M189" s="17" t="str">
        <f t="shared" si="23"/>
        <v/>
      </c>
      <c r="N189" s="145">
        <v>51592</v>
      </c>
      <c r="O189" s="108">
        <f>SUMIFS('Planning Engine'!$F:$F,'Planning Engine'!$B:$B,$B$3,'Planning Engine'!$A:$A,N189)</f>
        <v>0</v>
      </c>
      <c r="P189" s="108">
        <f t="shared" si="27"/>
        <v>2520326.5930010765</v>
      </c>
      <c r="Q189" s="146">
        <f>IF(N189&lt;=EDATE(Controls!$B$5,$B$4-1),O189,0)</f>
        <v>0</v>
      </c>
      <c r="R189" t="str" cm="1">
        <f t="array" ref="R189">IF(B189="","",IFERROR(INDEX('Lot Inputs'!$L$5:$L$507,MATCH(1,('Lot Inputs'!$A$5:$A$507=$B$3)*('Lot Inputs'!$B$5:$B$507=B189),0)),""))</f>
        <v/>
      </c>
      <c r="S189" s="205" t="str" cm="1">
        <f t="array" ref="S189">IF(B189="","",IFERROR(INDEX('Lot Inputs'!$M$5:$M$507,MATCH(1,('Lot Inputs'!$A$5:$A$507=$B$3)*('Lot Inputs'!$B$5:$B$507=B189),0)),""))</f>
        <v/>
      </c>
      <c r="T189" s="459" t="str">
        <f ca="1">IF(S189="","",S189-TODAY())</f>
        <v/>
      </c>
    </row>
    <row r="190" spans="1:20" ht="14" customHeight="1" x14ac:dyDescent="0.35">
      <c r="A190" s="142">
        <v>184</v>
      </c>
      <c r="B190" s="143" t="str" cm="1">
        <f t="array" ref="B190">IFERROR(INDEX('Lot Inputs'!$B$5:$B$507,MATCH(_xlfn.AGGREGATE(15,6,('Lot Inputs'!$J$5:$J$507)/(('Lot Inputs'!$A$5:$A$507=$B$3)*('Lot Inputs'!$H$5:$H$507&gt;0)),ROW()-6),IF('Lot Inputs'!$A$5:$A$507=$B$3,'Lot Inputs'!$J$5:$J$507),0)),"")</f>
        <v/>
      </c>
      <c r="C190" s="144" t="str">
        <f t="shared" si="20"/>
        <v/>
      </c>
      <c r="D190" s="145" t="str" cm="1">
        <f t="array" ref="D190">IF(B190="","",INDEX('Lot Inputs'!$E$5:$E$507,MATCH(1,('Lot Inputs'!$A$5:$A$507=$B$3)*('Lot Inputs'!$B$5:$B$507=B190),0)))</f>
        <v/>
      </c>
      <c r="E190" s="146" t="str" cm="1">
        <f t="array" ref="E190">IF(B190="","",INDEX('Lot Inputs'!$H$5:$H$507,MATCH(1,('Lot Inputs'!$A$5:$A$507=$B$3)*('Lot Inputs'!$B$5:$B$507=B190),0)))</f>
        <v/>
      </c>
      <c r="F190" s="108" t="str">
        <f>IF(E190="","",IF(R190="On Hold",0,E190)+IF(F189="",0,F189))</f>
        <v/>
      </c>
      <c r="G190" s="108" t="str">
        <f>IF(D190="","",SUMIFS($O$7:$O$500,$N$7:$N$500,"&gt;="&amp;IF(R190="On Hold",S190,Controls!$B$5),$N$7:$N$500,"&lt;="&amp;EDATE(D190,-$B$4)))</f>
        <v/>
      </c>
      <c r="H190" s="108" t="str">
        <f t="shared" si="26"/>
        <v/>
      </c>
      <c r="I190" s="147" t="str">
        <f t="shared" si="25"/>
        <v/>
      </c>
      <c r="J190" s="148" t="str">
        <f>IF(D190="","",(YEAR(EDATE(D190,-$B$4))-YEAR(Controls!$B$5))*12+MONTH(EDATE(D190,-$B$4))-MONTH(Controls!$B$5))</f>
        <v/>
      </c>
      <c r="K190" s="149" t="str">
        <f t="array" ref="K190">IF(F190="","",IFERROR(INDEX($N$7:$N$500,MATCH(TRUE(),$P$7:$P$500&gt;=F190,0)),"After Horizon"))</f>
        <v/>
      </c>
      <c r="L190" t="str">
        <f t="shared" si="22"/>
        <v/>
      </c>
      <c r="M190" s="17" t="str">
        <f t="shared" si="23"/>
        <v/>
      </c>
      <c r="N190" s="145">
        <v>51622</v>
      </c>
      <c r="O190" s="108">
        <f>SUMIFS('Planning Engine'!$F:$F,'Planning Engine'!$B:$B,$B$3,'Planning Engine'!$A:$A,N190)</f>
        <v>0</v>
      </c>
      <c r="P190" s="108">
        <f t="shared" si="27"/>
        <v>2520326.5930010765</v>
      </c>
      <c r="Q190" s="146">
        <f>IF(N190&lt;=EDATE(Controls!$B$5,$B$4-1),O190,0)</f>
        <v>0</v>
      </c>
      <c r="R190" t="str" cm="1">
        <f t="array" ref="R190">IF(B190="","",IFERROR(INDEX('Lot Inputs'!$L$5:$L$507,MATCH(1,('Lot Inputs'!$A$5:$A$507=$B$3)*('Lot Inputs'!$B$5:$B$507=B190),0)),""))</f>
        <v/>
      </c>
      <c r="S190" s="205" t="str" cm="1">
        <f t="array" ref="S190">IF(B190="","",IFERROR(INDEX('Lot Inputs'!$M$5:$M$507,MATCH(1,('Lot Inputs'!$A$5:$A$507=$B$3)*('Lot Inputs'!$B$5:$B$507=B190),0)),""))</f>
        <v/>
      </c>
      <c r="T190" s="459" t="str">
        <f ca="1">IF(S190="","",S190-TODAY())</f>
        <v/>
      </c>
    </row>
    <row r="191" spans="1:20" ht="14" customHeight="1" x14ac:dyDescent="0.35">
      <c r="A191" s="142">
        <v>185</v>
      </c>
      <c r="B191" s="143" t="str" cm="1">
        <f t="array" ref="B191">IFERROR(INDEX('Lot Inputs'!$B$5:$B$507,MATCH(_xlfn.AGGREGATE(15,6,('Lot Inputs'!$J$5:$J$507)/(('Lot Inputs'!$A$5:$A$507=$B$3)*('Lot Inputs'!$H$5:$H$507&gt;0)),ROW()-6),IF('Lot Inputs'!$A$5:$A$507=$B$3,'Lot Inputs'!$J$5:$J$507),0)),"")</f>
        <v/>
      </c>
      <c r="C191" s="144" t="str">
        <f t="shared" si="20"/>
        <v/>
      </c>
      <c r="D191" s="145" t="str" cm="1">
        <f t="array" ref="D191">IF(B191="","",INDEX('Lot Inputs'!$E$5:$E$507,MATCH(1,('Lot Inputs'!$A$5:$A$507=$B$3)*('Lot Inputs'!$B$5:$B$507=B191),0)))</f>
        <v/>
      </c>
      <c r="E191" s="146" t="str" cm="1">
        <f t="array" ref="E191">IF(B191="","",INDEX('Lot Inputs'!$H$5:$H$507,MATCH(1,('Lot Inputs'!$A$5:$A$507=$B$3)*('Lot Inputs'!$B$5:$B$507=B191),0)))</f>
        <v/>
      </c>
      <c r="F191" s="108" t="str">
        <f>IF(E191="","",IF(R191="On Hold",0,E191)+IF(F190="",0,F190))</f>
        <v/>
      </c>
      <c r="G191" s="108" t="str">
        <f>IF(D191="","",SUMIFS($O$7:$O$500,$N$7:$N$500,"&gt;="&amp;IF(R191="On Hold",S191,Controls!$B$5),$N$7:$N$500,"&lt;="&amp;EDATE(D191,-$B$4)))</f>
        <v/>
      </c>
      <c r="H191" s="108" t="str">
        <f t="shared" si="26"/>
        <v/>
      </c>
      <c r="I191" s="147" t="str">
        <f t="shared" si="25"/>
        <v/>
      </c>
      <c r="J191" s="148" t="str">
        <f>IF(D191="","",(YEAR(EDATE(D191,-$B$4))-YEAR(Controls!$B$5))*12+MONTH(EDATE(D191,-$B$4))-MONTH(Controls!$B$5))</f>
        <v/>
      </c>
      <c r="K191" s="149" t="str">
        <f t="array" ref="K191">IF(F191="","",IFERROR(INDEX($N$7:$N$500,MATCH(TRUE(),$P$7:$P$500&gt;=F191,0)),"After Horizon"))</f>
        <v/>
      </c>
      <c r="L191" t="str">
        <f t="shared" si="22"/>
        <v/>
      </c>
      <c r="M191" s="17" t="str">
        <f t="shared" si="23"/>
        <v/>
      </c>
      <c r="N191" s="145">
        <v>51653</v>
      </c>
      <c r="O191" s="108">
        <f>SUMIFS('Planning Engine'!$F:$F,'Planning Engine'!$B:$B,$B$3,'Planning Engine'!$A:$A,N191)</f>
        <v>0</v>
      </c>
      <c r="P191" s="108">
        <f t="shared" si="27"/>
        <v>2520326.5930010765</v>
      </c>
      <c r="Q191" s="146">
        <f>IF(N191&lt;=EDATE(Controls!$B$5,$B$4-1),O191,0)</f>
        <v>0</v>
      </c>
      <c r="R191" t="str" cm="1">
        <f t="array" ref="R191">IF(B191="","",IFERROR(INDEX('Lot Inputs'!$L$5:$L$507,MATCH(1,('Lot Inputs'!$A$5:$A$507=$B$3)*('Lot Inputs'!$B$5:$B$507=B191),0)),""))</f>
        <v/>
      </c>
      <c r="S191" s="205" t="str" cm="1">
        <f t="array" ref="S191">IF(B191="","",IFERROR(INDEX('Lot Inputs'!$M$5:$M$507,MATCH(1,('Lot Inputs'!$A$5:$A$507=$B$3)*('Lot Inputs'!$B$5:$B$507=B191),0)),""))</f>
        <v/>
      </c>
      <c r="T191" s="459" t="str">
        <f ca="1">IF(S191="","",S191-TODAY())</f>
        <v/>
      </c>
    </row>
    <row r="192" spans="1:20" ht="14" customHeight="1" x14ac:dyDescent="0.35">
      <c r="A192" s="142">
        <v>186</v>
      </c>
      <c r="B192" s="143" t="str" cm="1">
        <f t="array" ref="B192">IFERROR(INDEX('Lot Inputs'!$B$5:$B$507,MATCH(_xlfn.AGGREGATE(15,6,('Lot Inputs'!$J$5:$J$507)/(('Lot Inputs'!$A$5:$A$507=$B$3)*('Lot Inputs'!$H$5:$H$507&gt;0)),ROW()-6),IF('Lot Inputs'!$A$5:$A$507=$B$3,'Lot Inputs'!$J$5:$J$507),0)),"")</f>
        <v/>
      </c>
      <c r="C192" s="144" t="str">
        <f t="shared" si="20"/>
        <v/>
      </c>
      <c r="D192" s="145" t="str" cm="1">
        <f t="array" ref="D192">IF(B192="","",INDEX('Lot Inputs'!$E$5:$E$507,MATCH(1,('Lot Inputs'!$A$5:$A$507=$B$3)*('Lot Inputs'!$B$5:$B$507=B192),0)))</f>
        <v/>
      </c>
      <c r="E192" s="146" t="str" cm="1">
        <f t="array" ref="E192">IF(B192="","",INDEX('Lot Inputs'!$H$5:$H$507,MATCH(1,('Lot Inputs'!$A$5:$A$507=$B$3)*('Lot Inputs'!$B$5:$B$507=B192),0)))</f>
        <v/>
      </c>
      <c r="F192" s="108" t="str">
        <f>IF(E192="","",IF(R192="On Hold",0,E192)+IF(F191="",0,F191))</f>
        <v/>
      </c>
      <c r="G192" s="108" t="str">
        <f>IF(D192="","",SUMIFS($O$7:$O$500,$N$7:$N$500,"&gt;="&amp;IF(R192="On Hold",S192,Controls!$B$5),$N$7:$N$500,"&lt;="&amp;EDATE(D192,-$B$4)))</f>
        <v/>
      </c>
      <c r="H192" s="108" t="str">
        <f t="shared" si="26"/>
        <v/>
      </c>
      <c r="I192" s="147" t="str">
        <f t="shared" si="25"/>
        <v/>
      </c>
      <c r="J192" s="148" t="str">
        <f>IF(D192="","",(YEAR(EDATE(D192,-$B$4))-YEAR(Controls!$B$5))*12+MONTH(EDATE(D192,-$B$4))-MONTH(Controls!$B$5))</f>
        <v/>
      </c>
      <c r="K192" s="149" t="str">
        <f t="array" ref="K192">IF(F192="","",IFERROR(INDEX($N$7:$N$500,MATCH(TRUE(),$P$7:$P$500&gt;=F192,0)),"After Horizon"))</f>
        <v/>
      </c>
      <c r="L192" t="str">
        <f t="shared" si="22"/>
        <v/>
      </c>
      <c r="M192" s="17" t="str">
        <f t="shared" si="23"/>
        <v/>
      </c>
      <c r="N192" s="145">
        <v>51683</v>
      </c>
      <c r="O192" s="108">
        <f>SUMIFS('Planning Engine'!$F:$F,'Planning Engine'!$B:$B,$B$3,'Planning Engine'!$A:$A,N192)</f>
        <v>0</v>
      </c>
      <c r="P192" s="108">
        <f t="shared" si="27"/>
        <v>2520326.5930010765</v>
      </c>
      <c r="Q192" s="146">
        <f>IF(N192&lt;=EDATE(Controls!$B$5,$B$4-1),O192,0)</f>
        <v>0</v>
      </c>
      <c r="R192" t="str" cm="1">
        <f t="array" ref="R192">IF(B192="","",IFERROR(INDEX('Lot Inputs'!$L$5:$L$507,MATCH(1,('Lot Inputs'!$A$5:$A$507=$B$3)*('Lot Inputs'!$B$5:$B$507=B192),0)),""))</f>
        <v/>
      </c>
      <c r="S192" s="205" t="str" cm="1">
        <f t="array" ref="S192">IF(B192="","",IFERROR(INDEX('Lot Inputs'!$M$5:$M$507,MATCH(1,('Lot Inputs'!$A$5:$A$507=$B$3)*('Lot Inputs'!$B$5:$B$507=B192),0)),""))</f>
        <v/>
      </c>
      <c r="T192" s="459" t="str">
        <f ca="1">IF(S192="","",S192-TODAY())</f>
        <v/>
      </c>
    </row>
    <row r="193" spans="1:20" ht="14" customHeight="1" x14ac:dyDescent="0.35">
      <c r="A193" s="142">
        <v>187</v>
      </c>
      <c r="B193" s="143" t="str" cm="1">
        <f t="array" ref="B193">IFERROR(INDEX('Lot Inputs'!$B$5:$B$507,MATCH(_xlfn.AGGREGATE(15,6,('Lot Inputs'!$J$5:$J$507)/(('Lot Inputs'!$A$5:$A$507=$B$3)*('Lot Inputs'!$H$5:$H$507&gt;0)),ROW()-6),IF('Lot Inputs'!$A$5:$A$507=$B$3,'Lot Inputs'!$J$5:$J$507),0)),"")</f>
        <v/>
      </c>
      <c r="C193" s="144" t="str">
        <f t="shared" si="20"/>
        <v/>
      </c>
      <c r="D193" s="145" t="str" cm="1">
        <f t="array" ref="D193">IF(B193="","",INDEX('Lot Inputs'!$E$5:$E$507,MATCH(1,('Lot Inputs'!$A$5:$A$507=$B$3)*('Lot Inputs'!$B$5:$B$507=B193),0)))</f>
        <v/>
      </c>
      <c r="E193" s="146" t="str" cm="1">
        <f t="array" ref="E193">IF(B193="","",INDEX('Lot Inputs'!$H$5:$H$507,MATCH(1,('Lot Inputs'!$A$5:$A$507=$B$3)*('Lot Inputs'!$B$5:$B$507=B193),0)))</f>
        <v/>
      </c>
      <c r="F193" s="108" t="str">
        <f>IF(E193="","",IF(R193="On Hold",0,E193)+IF(F192="",0,F192))</f>
        <v/>
      </c>
      <c r="G193" s="108" t="str">
        <f>IF(D193="","",SUMIFS($O$7:$O$500,$N$7:$N$500,"&gt;="&amp;IF(R193="On Hold",S193,Controls!$B$5),$N$7:$N$500,"&lt;="&amp;EDATE(D193,-$B$4)))</f>
        <v/>
      </c>
      <c r="H193" s="108" t="str">
        <f t="shared" si="26"/>
        <v/>
      </c>
      <c r="I193" s="147" t="str">
        <f t="shared" si="25"/>
        <v/>
      </c>
      <c r="J193" s="148" t="str">
        <f>IF(D193="","",(YEAR(EDATE(D193,-$B$4))-YEAR(Controls!$B$5))*12+MONTH(EDATE(D193,-$B$4))-MONTH(Controls!$B$5))</f>
        <v/>
      </c>
      <c r="K193" s="149" t="str">
        <f t="array" ref="K193">IF(F193="","",IFERROR(INDEX($N$7:$N$500,MATCH(TRUE(),$P$7:$P$500&gt;=F193,0)),"After Horizon"))</f>
        <v/>
      </c>
      <c r="L193" t="str">
        <f t="shared" si="22"/>
        <v/>
      </c>
      <c r="M193" s="17" t="str">
        <f t="shared" si="23"/>
        <v/>
      </c>
      <c r="N193" s="145">
        <v>51714</v>
      </c>
      <c r="O193" s="108">
        <f>SUMIFS('Planning Engine'!$F:$F,'Planning Engine'!$B:$B,$B$3,'Planning Engine'!$A:$A,N193)</f>
        <v>0</v>
      </c>
      <c r="P193" s="108">
        <f t="shared" si="27"/>
        <v>2520326.5930010765</v>
      </c>
      <c r="Q193" s="146">
        <f>IF(N193&lt;=EDATE(Controls!$B$5,$B$4-1),O193,0)</f>
        <v>0</v>
      </c>
      <c r="R193" t="str" cm="1">
        <f t="array" ref="R193">IF(B193="","",IFERROR(INDEX('Lot Inputs'!$L$5:$L$507,MATCH(1,('Lot Inputs'!$A$5:$A$507=$B$3)*('Lot Inputs'!$B$5:$B$507=B193),0)),""))</f>
        <v/>
      </c>
      <c r="S193" s="205" t="str" cm="1">
        <f t="array" ref="S193">IF(B193="","",IFERROR(INDEX('Lot Inputs'!$M$5:$M$507,MATCH(1,('Lot Inputs'!$A$5:$A$507=$B$3)*('Lot Inputs'!$B$5:$B$507=B193),0)),""))</f>
        <v/>
      </c>
      <c r="T193" s="459" t="str">
        <f ca="1">IF(S193="","",S193-TODAY())</f>
        <v/>
      </c>
    </row>
    <row r="194" spans="1:20" ht="14" customHeight="1" x14ac:dyDescent="0.35">
      <c r="A194" s="142">
        <v>188</v>
      </c>
      <c r="B194" s="143" t="str" cm="1">
        <f t="array" ref="B194">IFERROR(INDEX('Lot Inputs'!$B$5:$B$507,MATCH(_xlfn.AGGREGATE(15,6,('Lot Inputs'!$J$5:$J$507)/(('Lot Inputs'!$A$5:$A$507=$B$3)*('Lot Inputs'!$H$5:$H$507&gt;0)),ROW()-6),IF('Lot Inputs'!$A$5:$A$507=$B$3,'Lot Inputs'!$J$5:$J$507),0)),"")</f>
        <v/>
      </c>
      <c r="C194" s="144" t="str">
        <f t="shared" si="20"/>
        <v/>
      </c>
      <c r="D194" s="145" t="str" cm="1">
        <f t="array" ref="D194">IF(B194="","",INDEX('Lot Inputs'!$E$5:$E$507,MATCH(1,('Lot Inputs'!$A$5:$A$507=$B$3)*('Lot Inputs'!$B$5:$B$507=B194),0)))</f>
        <v/>
      </c>
      <c r="E194" s="146" t="str" cm="1">
        <f t="array" ref="E194">IF(B194="","",INDEX('Lot Inputs'!$H$5:$H$507,MATCH(1,('Lot Inputs'!$A$5:$A$507=$B$3)*('Lot Inputs'!$B$5:$B$507=B194),0)))</f>
        <v/>
      </c>
      <c r="F194" s="108" t="str">
        <f>IF(E194="","",IF(R194="On Hold",0,E194)+IF(F193="",0,F193))</f>
        <v/>
      </c>
      <c r="G194" s="108" t="str">
        <f>IF(D194="","",SUMIFS($O$7:$O$500,$N$7:$N$500,"&gt;="&amp;IF(R194="On Hold",S194,Controls!$B$5),$N$7:$N$500,"&lt;="&amp;EDATE(D194,-$B$4)))</f>
        <v/>
      </c>
      <c r="H194" s="108" t="str">
        <f t="shared" si="26"/>
        <v/>
      </c>
      <c r="I194" s="147" t="str">
        <f t="shared" si="25"/>
        <v/>
      </c>
      <c r="J194" s="148" t="str">
        <f>IF(D194="","",(YEAR(EDATE(D194,-$B$4))-YEAR(Controls!$B$5))*12+MONTH(EDATE(D194,-$B$4))-MONTH(Controls!$B$5))</f>
        <v/>
      </c>
      <c r="K194" s="149" t="str">
        <f t="array" ref="K194">IF(F194="","",IFERROR(INDEX($N$7:$N$500,MATCH(TRUE(),$P$7:$P$500&gt;=F194,0)),"After Horizon"))</f>
        <v/>
      </c>
      <c r="L194" t="str">
        <f t="shared" si="22"/>
        <v/>
      </c>
      <c r="M194" s="17" t="str">
        <f t="shared" si="23"/>
        <v/>
      </c>
      <c r="N194" s="145">
        <v>51745</v>
      </c>
      <c r="O194" s="108">
        <f>SUMIFS('Planning Engine'!$F:$F,'Planning Engine'!$B:$B,$B$3,'Planning Engine'!$A:$A,N194)</f>
        <v>0</v>
      </c>
      <c r="P194" s="108">
        <f t="shared" si="27"/>
        <v>2520326.5930010765</v>
      </c>
      <c r="Q194" s="146">
        <f>IF(N194&lt;=EDATE(Controls!$B$5,$B$4-1),O194,0)</f>
        <v>0</v>
      </c>
      <c r="R194" t="str" cm="1">
        <f t="array" ref="R194">IF(B194="","",IFERROR(INDEX('Lot Inputs'!$L$5:$L$507,MATCH(1,('Lot Inputs'!$A$5:$A$507=$B$3)*('Lot Inputs'!$B$5:$B$507=B194),0)),""))</f>
        <v/>
      </c>
      <c r="S194" s="205" t="str" cm="1">
        <f t="array" ref="S194">IF(B194="","",IFERROR(INDEX('Lot Inputs'!$M$5:$M$507,MATCH(1,('Lot Inputs'!$A$5:$A$507=$B$3)*('Lot Inputs'!$B$5:$B$507=B194),0)),""))</f>
        <v/>
      </c>
      <c r="T194" s="459" t="str">
        <f ca="1">IF(S194="","",S194-TODAY())</f>
        <v/>
      </c>
    </row>
    <row r="195" spans="1:20" ht="14" customHeight="1" x14ac:dyDescent="0.35">
      <c r="A195" s="142">
        <v>189</v>
      </c>
      <c r="B195" s="143" t="str" cm="1">
        <f t="array" ref="B195">IFERROR(INDEX('Lot Inputs'!$B$5:$B$507,MATCH(_xlfn.AGGREGATE(15,6,('Lot Inputs'!$J$5:$J$507)/(('Lot Inputs'!$A$5:$A$507=$B$3)*('Lot Inputs'!$H$5:$H$507&gt;0)),ROW()-6),IF('Lot Inputs'!$A$5:$A$507=$B$3,'Lot Inputs'!$J$5:$J$507),0)),"")</f>
        <v/>
      </c>
      <c r="C195" s="144" t="str">
        <f t="shared" si="20"/>
        <v/>
      </c>
      <c r="D195" s="145" t="str" cm="1">
        <f t="array" ref="D195">IF(B195="","",INDEX('Lot Inputs'!$E$5:$E$507,MATCH(1,('Lot Inputs'!$A$5:$A$507=$B$3)*('Lot Inputs'!$B$5:$B$507=B195),0)))</f>
        <v/>
      </c>
      <c r="E195" s="146" t="str" cm="1">
        <f t="array" ref="E195">IF(B195="","",INDEX('Lot Inputs'!$H$5:$H$507,MATCH(1,('Lot Inputs'!$A$5:$A$507=$B$3)*('Lot Inputs'!$B$5:$B$507=B195),0)))</f>
        <v/>
      </c>
      <c r="F195" s="108" t="str">
        <f>IF(E195="","",IF(R195="On Hold",0,E195)+IF(F194="",0,F194))</f>
        <v/>
      </c>
      <c r="G195" s="108" t="str">
        <f>IF(D195="","",SUMIFS($O$7:$O$500,$N$7:$N$500,"&gt;="&amp;IF(R195="On Hold",S195,Controls!$B$5),$N$7:$N$500,"&lt;="&amp;EDATE(D195,-$B$4)))</f>
        <v/>
      </c>
      <c r="H195" s="108" t="str">
        <f t="shared" si="26"/>
        <v/>
      </c>
      <c r="I195" s="147" t="str">
        <f t="shared" si="25"/>
        <v/>
      </c>
      <c r="J195" s="148" t="str">
        <f>IF(D195="","",(YEAR(EDATE(D195,-$B$4))-YEAR(Controls!$B$5))*12+MONTH(EDATE(D195,-$B$4))-MONTH(Controls!$B$5))</f>
        <v/>
      </c>
      <c r="K195" s="149" t="str">
        <f t="array" ref="K195">IF(F195="","",IFERROR(INDEX($N$7:$N$500,MATCH(TRUE(),$P$7:$P$500&gt;=F195,0)),"After Horizon"))</f>
        <v/>
      </c>
      <c r="L195" t="str">
        <f t="shared" si="22"/>
        <v/>
      </c>
      <c r="M195" s="17" t="str">
        <f t="shared" si="23"/>
        <v/>
      </c>
      <c r="N195" s="145">
        <v>51775</v>
      </c>
      <c r="O195" s="108">
        <f>SUMIFS('Planning Engine'!$F:$F,'Planning Engine'!$B:$B,$B$3,'Planning Engine'!$A:$A,N195)</f>
        <v>0</v>
      </c>
      <c r="P195" s="108">
        <f t="shared" si="27"/>
        <v>2520326.5930010765</v>
      </c>
      <c r="Q195" s="146">
        <f>IF(N195&lt;=EDATE(Controls!$B$5,$B$4-1),O195,0)</f>
        <v>0</v>
      </c>
      <c r="R195" t="str" cm="1">
        <f t="array" ref="R195">IF(B195="","",IFERROR(INDEX('Lot Inputs'!$L$5:$L$507,MATCH(1,('Lot Inputs'!$A$5:$A$507=$B$3)*('Lot Inputs'!$B$5:$B$507=B195),0)),""))</f>
        <v/>
      </c>
      <c r="S195" s="205" t="str" cm="1">
        <f t="array" ref="S195">IF(B195="","",IFERROR(INDEX('Lot Inputs'!$M$5:$M$507,MATCH(1,('Lot Inputs'!$A$5:$A$507=$B$3)*('Lot Inputs'!$B$5:$B$507=B195),0)),""))</f>
        <v/>
      </c>
      <c r="T195" s="459" t="str">
        <f ca="1">IF(S195="","",S195-TODAY())</f>
        <v/>
      </c>
    </row>
    <row r="196" spans="1:20" ht="14" customHeight="1" x14ac:dyDescent="0.35">
      <c r="A196" s="142">
        <v>190</v>
      </c>
      <c r="B196" s="143" t="str" cm="1">
        <f t="array" ref="B196">IFERROR(INDEX('Lot Inputs'!$B$5:$B$507,MATCH(_xlfn.AGGREGATE(15,6,('Lot Inputs'!$J$5:$J$507)/(('Lot Inputs'!$A$5:$A$507=$B$3)*('Lot Inputs'!$H$5:$H$507&gt;0)),ROW()-6),IF('Lot Inputs'!$A$5:$A$507=$B$3,'Lot Inputs'!$J$5:$J$507),0)),"")</f>
        <v/>
      </c>
      <c r="C196" s="144" t="str">
        <f t="shared" si="20"/>
        <v/>
      </c>
      <c r="D196" s="145" t="str" cm="1">
        <f t="array" ref="D196">IF(B196="","",INDEX('Lot Inputs'!$E$5:$E$507,MATCH(1,('Lot Inputs'!$A$5:$A$507=$B$3)*('Lot Inputs'!$B$5:$B$507=B196),0)))</f>
        <v/>
      </c>
      <c r="E196" s="146" t="str" cm="1">
        <f t="array" ref="E196">IF(B196="","",INDEX('Lot Inputs'!$H$5:$H$507,MATCH(1,('Lot Inputs'!$A$5:$A$507=$B$3)*('Lot Inputs'!$B$5:$B$507=B196),0)))</f>
        <v/>
      </c>
      <c r="F196" s="108" t="str">
        <f>IF(E196="","",IF(R196="On Hold",0,E196)+IF(F195="",0,F195))</f>
        <v/>
      </c>
      <c r="G196" s="108" t="str">
        <f>IF(D196="","",SUMIFS($O$7:$O$500,$N$7:$N$500,"&gt;="&amp;IF(R196="On Hold",S196,Controls!$B$5),$N$7:$N$500,"&lt;="&amp;EDATE(D196,-$B$4)))</f>
        <v/>
      </c>
      <c r="H196" s="108" t="str">
        <f t="shared" si="26"/>
        <v/>
      </c>
      <c r="I196" s="147" t="str">
        <f t="shared" si="25"/>
        <v/>
      </c>
      <c r="J196" s="148" t="str">
        <f>IF(D196="","",(YEAR(EDATE(D196,-$B$4))-YEAR(Controls!$B$5))*12+MONTH(EDATE(D196,-$B$4))-MONTH(Controls!$B$5))</f>
        <v/>
      </c>
      <c r="K196" s="149" t="str">
        <f t="array" ref="K196">IF(F196="","",IFERROR(INDEX($N$7:$N$500,MATCH(TRUE(),$P$7:$P$500&gt;=F196,0)),"After Horizon"))</f>
        <v/>
      </c>
      <c r="L196" t="str">
        <f t="shared" si="22"/>
        <v/>
      </c>
      <c r="M196" s="17" t="str">
        <f t="shared" si="23"/>
        <v/>
      </c>
      <c r="N196" s="145">
        <v>51806</v>
      </c>
      <c r="O196" s="108">
        <f>SUMIFS('Planning Engine'!$F:$F,'Planning Engine'!$B:$B,$B$3,'Planning Engine'!$A:$A,N196)</f>
        <v>0</v>
      </c>
      <c r="P196" s="108">
        <f t="shared" si="27"/>
        <v>2520326.5930010765</v>
      </c>
      <c r="Q196" s="146">
        <f>IF(N196&lt;=EDATE(Controls!$B$5,$B$4-1),O196,0)</f>
        <v>0</v>
      </c>
      <c r="R196" t="str" cm="1">
        <f t="array" ref="R196">IF(B196="","",IFERROR(INDEX('Lot Inputs'!$L$5:$L$507,MATCH(1,('Lot Inputs'!$A$5:$A$507=$B$3)*('Lot Inputs'!$B$5:$B$507=B196),0)),""))</f>
        <v/>
      </c>
      <c r="S196" s="205" t="str" cm="1">
        <f t="array" ref="S196">IF(B196="","",IFERROR(INDEX('Lot Inputs'!$M$5:$M$507,MATCH(1,('Lot Inputs'!$A$5:$A$507=$B$3)*('Lot Inputs'!$B$5:$B$507=B196),0)),""))</f>
        <v/>
      </c>
      <c r="T196" s="459" t="str">
        <f ca="1">IF(S196="","",S196-TODAY())</f>
        <v/>
      </c>
    </row>
    <row r="197" spans="1:20" ht="14" customHeight="1" x14ac:dyDescent="0.35">
      <c r="A197" s="142">
        <v>191</v>
      </c>
      <c r="B197" s="143" t="str" cm="1">
        <f t="array" ref="B197">IFERROR(INDEX('Lot Inputs'!$B$5:$B$507,MATCH(_xlfn.AGGREGATE(15,6,('Lot Inputs'!$J$5:$J$507)/(('Lot Inputs'!$A$5:$A$507=$B$3)*('Lot Inputs'!$H$5:$H$507&gt;0)),ROW()-6),IF('Lot Inputs'!$A$5:$A$507=$B$3,'Lot Inputs'!$J$5:$J$507),0)),"")</f>
        <v/>
      </c>
      <c r="C197" s="144" t="str">
        <f t="shared" si="20"/>
        <v/>
      </c>
      <c r="D197" s="145" t="str" cm="1">
        <f t="array" ref="D197">IF(B197="","",INDEX('Lot Inputs'!$E$5:$E$507,MATCH(1,('Lot Inputs'!$A$5:$A$507=$B$3)*('Lot Inputs'!$B$5:$B$507=B197),0)))</f>
        <v/>
      </c>
      <c r="E197" s="146" t="str" cm="1">
        <f t="array" ref="E197">IF(B197="","",INDEX('Lot Inputs'!$H$5:$H$507,MATCH(1,('Lot Inputs'!$A$5:$A$507=$B$3)*('Lot Inputs'!$B$5:$B$507=B197),0)))</f>
        <v/>
      </c>
      <c r="F197" s="108" t="str">
        <f>IF(E197="","",IF(R197="On Hold",0,E197)+IF(F196="",0,F196))</f>
        <v/>
      </c>
      <c r="G197" s="108" t="str">
        <f>IF(D197="","",SUMIFS($O$7:$O$500,$N$7:$N$500,"&gt;="&amp;IF(R197="On Hold",S197,Controls!$B$5),$N$7:$N$500,"&lt;="&amp;EDATE(D197,-$B$4)))</f>
        <v/>
      </c>
      <c r="H197" s="108" t="str">
        <f t="shared" si="26"/>
        <v/>
      </c>
      <c r="I197" s="147" t="str">
        <f t="shared" si="25"/>
        <v/>
      </c>
      <c r="J197" s="148" t="str">
        <f>IF(D197="","",(YEAR(EDATE(D197,-$B$4))-YEAR(Controls!$B$5))*12+MONTH(EDATE(D197,-$B$4))-MONTH(Controls!$B$5))</f>
        <v/>
      </c>
      <c r="K197" s="149" t="str">
        <f t="array" ref="K197">IF(F197="","",IFERROR(INDEX($N$7:$N$500,MATCH(TRUE(),$P$7:$P$500&gt;=F197,0)),"After Horizon"))</f>
        <v/>
      </c>
      <c r="L197" t="str">
        <f t="shared" si="22"/>
        <v/>
      </c>
      <c r="M197" s="17" t="str">
        <f t="shared" si="23"/>
        <v/>
      </c>
      <c r="N197" s="145">
        <v>51836</v>
      </c>
      <c r="O197" s="108">
        <f>SUMIFS('Planning Engine'!$F:$F,'Planning Engine'!$B:$B,$B$3,'Planning Engine'!$A:$A,N197)</f>
        <v>0</v>
      </c>
      <c r="P197" s="108">
        <f t="shared" si="27"/>
        <v>2520326.5930010765</v>
      </c>
      <c r="Q197" s="146">
        <f>IF(N197&lt;=EDATE(Controls!$B$5,$B$4-1),O197,0)</f>
        <v>0</v>
      </c>
      <c r="R197" t="str" cm="1">
        <f t="array" ref="R197">IF(B197="","",IFERROR(INDEX('Lot Inputs'!$L$5:$L$507,MATCH(1,('Lot Inputs'!$A$5:$A$507=$B$3)*('Lot Inputs'!$B$5:$B$507=B197),0)),""))</f>
        <v/>
      </c>
      <c r="S197" s="205" t="str" cm="1">
        <f t="array" ref="S197">IF(B197="","",IFERROR(INDEX('Lot Inputs'!$M$5:$M$507,MATCH(1,('Lot Inputs'!$A$5:$A$507=$B$3)*('Lot Inputs'!$B$5:$B$507=B197),0)),""))</f>
        <v/>
      </c>
      <c r="T197" s="459" t="str">
        <f ca="1">IF(S197="","",S197-TODAY())</f>
        <v/>
      </c>
    </row>
    <row r="198" spans="1:20" ht="14" customHeight="1" x14ac:dyDescent="0.35">
      <c r="A198" s="142">
        <v>192</v>
      </c>
      <c r="B198" s="143" t="str" cm="1">
        <f t="array" ref="B198">IFERROR(INDEX('Lot Inputs'!$B$5:$B$507,MATCH(_xlfn.AGGREGATE(15,6,('Lot Inputs'!$J$5:$J$507)/(('Lot Inputs'!$A$5:$A$507=$B$3)*('Lot Inputs'!$H$5:$H$507&gt;0)),ROW()-6),IF('Lot Inputs'!$A$5:$A$507=$B$3,'Lot Inputs'!$J$5:$J$507),0)),"")</f>
        <v/>
      </c>
      <c r="C198" s="144" t="str">
        <f t="shared" si="20"/>
        <v/>
      </c>
      <c r="D198" s="145" t="str" cm="1">
        <f t="array" ref="D198">IF(B198="","",INDEX('Lot Inputs'!$E$5:$E$507,MATCH(1,('Lot Inputs'!$A$5:$A$507=$B$3)*('Lot Inputs'!$B$5:$B$507=B198),0)))</f>
        <v/>
      </c>
      <c r="E198" s="146" t="str" cm="1">
        <f t="array" ref="E198">IF(B198="","",INDEX('Lot Inputs'!$H$5:$H$507,MATCH(1,('Lot Inputs'!$A$5:$A$507=$B$3)*('Lot Inputs'!$B$5:$B$507=B198),0)))</f>
        <v/>
      </c>
      <c r="F198" s="108" t="str">
        <f>IF(E198="","",IF(R198="On Hold",0,E198)+IF(F197="",0,F197))</f>
        <v/>
      </c>
      <c r="G198" s="108" t="str">
        <f>IF(D198="","",SUMIFS($O$7:$O$500,$N$7:$N$500,"&gt;="&amp;IF(R198="On Hold",S198,Controls!$B$5),$N$7:$N$500,"&lt;="&amp;EDATE(D198,-$B$4)))</f>
        <v/>
      </c>
      <c r="H198" s="108" t="str">
        <f t="shared" si="26"/>
        <v/>
      </c>
      <c r="I198" s="147" t="str">
        <f t="shared" si="25"/>
        <v/>
      </c>
      <c r="J198" s="148" t="str">
        <f>IF(D198="","",(YEAR(EDATE(D198,-$B$4))-YEAR(Controls!$B$5))*12+MONTH(EDATE(D198,-$B$4))-MONTH(Controls!$B$5))</f>
        <v/>
      </c>
      <c r="K198" s="149" t="str">
        <f t="array" ref="K198">IF(F198="","",IFERROR(INDEX($N$7:$N$500,MATCH(TRUE(),$P$7:$P$500&gt;=F198,0)),"After Horizon"))</f>
        <v/>
      </c>
      <c r="L198" t="str">
        <f t="shared" si="22"/>
        <v/>
      </c>
      <c r="M198" s="17" t="str">
        <f t="shared" si="23"/>
        <v/>
      </c>
      <c r="N198" s="145">
        <v>51867</v>
      </c>
      <c r="O198" s="108">
        <f>SUMIFS('Planning Engine'!$F:$F,'Planning Engine'!$B:$B,$B$3,'Planning Engine'!$A:$A,N198)</f>
        <v>0</v>
      </c>
      <c r="P198" s="108">
        <f t="shared" si="27"/>
        <v>2520326.5930010765</v>
      </c>
      <c r="Q198" s="146">
        <f>IF(N198&lt;=EDATE(Controls!$B$5,$B$4-1),O198,0)</f>
        <v>0</v>
      </c>
      <c r="R198" t="str" cm="1">
        <f t="array" ref="R198">IF(B198="","",IFERROR(INDEX('Lot Inputs'!$L$5:$L$507,MATCH(1,('Lot Inputs'!$A$5:$A$507=$B$3)*('Lot Inputs'!$B$5:$B$507=B198),0)),""))</f>
        <v/>
      </c>
      <c r="S198" s="205" t="str" cm="1">
        <f t="array" ref="S198">IF(B198="","",IFERROR(INDEX('Lot Inputs'!$M$5:$M$507,MATCH(1,('Lot Inputs'!$A$5:$A$507=$B$3)*('Lot Inputs'!$B$5:$B$507=B198),0)),""))</f>
        <v/>
      </c>
      <c r="T198" s="459" t="str">
        <f ca="1">IF(S198="","",S198-TODAY())</f>
        <v/>
      </c>
    </row>
    <row r="199" spans="1:20" ht="14" customHeight="1" x14ac:dyDescent="0.35">
      <c r="A199" s="142">
        <v>193</v>
      </c>
      <c r="B199" s="143" t="str" cm="1">
        <f t="array" ref="B199">IFERROR(INDEX('Lot Inputs'!$B$5:$B$507,MATCH(_xlfn.AGGREGATE(15,6,('Lot Inputs'!$J$5:$J$507)/(('Lot Inputs'!$A$5:$A$507=$B$3)*('Lot Inputs'!$H$5:$H$507&gt;0)),ROW()-6),IF('Lot Inputs'!$A$5:$A$507=$B$3,'Lot Inputs'!$J$5:$J$507),0)),"")</f>
        <v/>
      </c>
      <c r="C199" s="144" t="str">
        <f t="shared" si="20"/>
        <v/>
      </c>
      <c r="D199" s="145" t="str" cm="1">
        <f t="array" ref="D199">IF(B199="","",INDEX('Lot Inputs'!$E$5:$E$507,MATCH(1,('Lot Inputs'!$A$5:$A$507=$B$3)*('Lot Inputs'!$B$5:$B$507=B199),0)))</f>
        <v/>
      </c>
      <c r="E199" s="146" t="str" cm="1">
        <f t="array" ref="E199">IF(B199="","",INDEX('Lot Inputs'!$H$5:$H$507,MATCH(1,('Lot Inputs'!$A$5:$A$507=$B$3)*('Lot Inputs'!$B$5:$B$507=B199),0)))</f>
        <v/>
      </c>
      <c r="F199" s="108" t="str">
        <f>IF(E199="","",IF(R199="On Hold",0,E199)+IF(F198="",0,F198))</f>
        <v/>
      </c>
      <c r="G199" s="108" t="str">
        <f>IF(D199="","",SUMIFS($O$7:$O$500,$N$7:$N$500,"&gt;="&amp;IF(R199="On Hold",S199,Controls!$B$5),$N$7:$N$500,"&lt;="&amp;EDATE(D199,-$B$4)))</f>
        <v/>
      </c>
      <c r="H199" s="108" t="str">
        <f t="shared" si="26"/>
        <v/>
      </c>
      <c r="I199" s="147" t="str">
        <f t="shared" ref="I199:I206" si="28">IF(E199="","",MAX(0,E199-H199))</f>
        <v/>
      </c>
      <c r="J199" s="148" t="str">
        <f>IF(D199="","",(YEAR(EDATE(D199,-$B$4))-YEAR(Controls!$B$5))*12+MONTH(EDATE(D199,-$B$4))-MONTH(Controls!$B$5))</f>
        <v/>
      </c>
      <c r="K199" s="149" t="str">
        <f t="array" ref="K199">IF(F199="","",IFERROR(INDEX($N$7:$N$500,MATCH(TRUE(),$P$7:$P$500&gt;=F199,0)),"After Horizon"))</f>
        <v/>
      </c>
      <c r="L199" t="str">
        <f t="shared" si="22"/>
        <v/>
      </c>
      <c r="M199" s="17" t="str">
        <f t="shared" si="23"/>
        <v/>
      </c>
      <c r="N199" s="145">
        <v>51898</v>
      </c>
      <c r="O199" s="108">
        <f>SUMIFS('Planning Engine'!$F:$F,'Planning Engine'!$B:$B,$B$3,'Planning Engine'!$A:$A,N199)</f>
        <v>0</v>
      </c>
      <c r="P199" s="108">
        <f t="shared" si="27"/>
        <v>2520326.5930010765</v>
      </c>
      <c r="Q199" s="146">
        <f>IF(N199&lt;=EDATE(Controls!$B$5,$B$4-1),O199,0)</f>
        <v>0</v>
      </c>
      <c r="R199" t="str" cm="1">
        <f t="array" ref="R199">IF(B199="","",IFERROR(INDEX('Lot Inputs'!$L$5:$L$507,MATCH(1,('Lot Inputs'!$A$5:$A$507=$B$3)*('Lot Inputs'!$B$5:$B$507=B199),0)),""))</f>
        <v/>
      </c>
      <c r="S199" s="205" t="str" cm="1">
        <f t="array" ref="S199">IF(B199="","",IFERROR(INDEX('Lot Inputs'!$M$5:$M$507,MATCH(1,('Lot Inputs'!$A$5:$A$507=$B$3)*('Lot Inputs'!$B$5:$B$507=B199),0)),""))</f>
        <v/>
      </c>
      <c r="T199" s="459" t="str">
        <f ca="1">IF(S199="","",S199-TODAY())</f>
        <v/>
      </c>
    </row>
    <row r="200" spans="1:20" ht="14" customHeight="1" x14ac:dyDescent="0.35">
      <c r="A200" s="142">
        <v>194</v>
      </c>
      <c r="B200" s="143" t="str" cm="1">
        <f t="array" ref="B200">IFERROR(INDEX('Lot Inputs'!$B$5:$B$507,MATCH(_xlfn.AGGREGATE(15,6,('Lot Inputs'!$J$5:$J$507)/(('Lot Inputs'!$A$5:$A$507=$B$3)*('Lot Inputs'!$H$5:$H$507&gt;0)),ROW()-6),IF('Lot Inputs'!$A$5:$A$507=$B$3,'Lot Inputs'!$J$5:$J$507),0)),"")</f>
        <v/>
      </c>
      <c r="C200" s="144" t="str">
        <f t="shared" ref="C200:C206" si="29">IF(B200="","",$B$3)</f>
        <v/>
      </c>
      <c r="D200" s="145" t="str" cm="1">
        <f t="array" ref="D200">IF(B200="","",INDEX('Lot Inputs'!$E$5:$E$507,MATCH(1,('Lot Inputs'!$A$5:$A$507=$B$3)*('Lot Inputs'!$B$5:$B$507=B200),0)))</f>
        <v/>
      </c>
      <c r="E200" s="146" t="str" cm="1">
        <f t="array" ref="E200">IF(B200="","",INDEX('Lot Inputs'!$H$5:$H$507,MATCH(1,('Lot Inputs'!$A$5:$A$507=$B$3)*('Lot Inputs'!$B$5:$B$507=B200),0)))</f>
        <v/>
      </c>
      <c r="F200" s="108" t="str">
        <f>IF(E200="","",IF(R200="On Hold",0,E200)+IF(F199="",0,F199))</f>
        <v/>
      </c>
      <c r="G200" s="108" t="str">
        <f>IF(D200="","",SUMIFS($O$7:$O$500,$N$7:$N$500,"&gt;="&amp;IF(R200="On Hold",S200,Controls!$B$5),$N$7:$N$500,"&lt;="&amp;EDATE(D200,-$B$4)))</f>
        <v/>
      </c>
      <c r="H200" s="108" t="str">
        <f t="shared" ref="H200:H206" si="30">IF(E200="","",MIN(E200,MAX(0,G200-IF(ROW()=7,0,F199))))</f>
        <v/>
      </c>
      <c r="I200" s="147" t="str">
        <f t="shared" si="28"/>
        <v/>
      </c>
      <c r="J200" s="148" t="str">
        <f>IF(D200="","",(YEAR(EDATE(D200,-$B$4))-YEAR(Controls!$B$5))*12+MONTH(EDATE(D200,-$B$4))-MONTH(Controls!$B$5))</f>
        <v/>
      </c>
      <c r="K200" s="149" t="str">
        <f t="array" ref="K200">IF(F200="","",IFERROR(INDEX($N$7:$N$500,MATCH(TRUE(),$P$7:$P$500&gt;=F200,0)),"After Horizon"))</f>
        <v/>
      </c>
      <c r="L200" t="str">
        <f t="shared" ref="L200:L206" si="31">IF(E200="","",IF(R200="On Hold",IF(I200&gt;0,"On Hold - At Risk","On Hold"),IF(I200&gt;0,"At Risk",IF(K200&gt;D200,"FEFO Breach","OK"))))</f>
        <v/>
      </c>
      <c r="M200" s="17" t="str">
        <f t="shared" ref="M200:M206" si="32">IF(B200="","",IF(R200="On Hold",IF(S200="","Release ASAP","Release by "&amp;TEXT(S200,"mmm-yy")),IF(L200="At Risk","Use before "&amp;TEXT(D200,"mmm-yy"),IF(L200="FEFO Breach","Accelerate consumption / reduce inventory","Standard FEFO"))))</f>
        <v/>
      </c>
      <c r="N200" s="145">
        <v>51926</v>
      </c>
      <c r="O200" s="108">
        <f>SUMIFS('Planning Engine'!$F:$F,'Planning Engine'!$B:$B,$B$3,'Planning Engine'!$A:$A,N200)</f>
        <v>0</v>
      </c>
      <c r="P200" s="108">
        <f t="shared" ref="P200:P206" si="33">P199+O200</f>
        <v>2520326.5930010765</v>
      </c>
      <c r="Q200" s="146">
        <f>IF(N200&lt;=EDATE(Controls!$B$5,$B$4-1),O200,0)</f>
        <v>0</v>
      </c>
      <c r="R200" t="str" cm="1">
        <f t="array" ref="R200">IF(B200="","",IFERROR(INDEX('Lot Inputs'!$L$5:$L$507,MATCH(1,('Lot Inputs'!$A$5:$A$507=$B$3)*('Lot Inputs'!$B$5:$B$507=B200),0)),""))</f>
        <v/>
      </c>
      <c r="S200" s="205" t="str" cm="1">
        <f t="array" ref="S200">IF(B200="","",IFERROR(INDEX('Lot Inputs'!$M$5:$M$507,MATCH(1,('Lot Inputs'!$A$5:$A$507=$B$3)*('Lot Inputs'!$B$5:$B$507=B200),0)),""))</f>
        <v/>
      </c>
      <c r="T200" s="459" t="str">
        <f ca="1">IF(S200="","",S200-TODAY())</f>
        <v/>
      </c>
    </row>
    <row r="201" spans="1:20" ht="14" customHeight="1" x14ac:dyDescent="0.35">
      <c r="A201" s="142">
        <v>195</v>
      </c>
      <c r="B201" s="143" t="str" cm="1">
        <f t="array" ref="B201">IFERROR(INDEX('Lot Inputs'!$B$5:$B$507,MATCH(_xlfn.AGGREGATE(15,6,('Lot Inputs'!$J$5:$J$507)/(('Lot Inputs'!$A$5:$A$507=$B$3)*('Lot Inputs'!$H$5:$H$507&gt;0)),ROW()-6),IF('Lot Inputs'!$A$5:$A$507=$B$3,'Lot Inputs'!$J$5:$J$507),0)),"")</f>
        <v/>
      </c>
      <c r="C201" s="144" t="str">
        <f t="shared" si="29"/>
        <v/>
      </c>
      <c r="D201" s="145" t="str" cm="1">
        <f t="array" ref="D201">IF(B201="","",INDEX('Lot Inputs'!$E$5:$E$507,MATCH(1,('Lot Inputs'!$A$5:$A$507=$B$3)*('Lot Inputs'!$B$5:$B$507=B201),0)))</f>
        <v/>
      </c>
      <c r="E201" s="146" t="str" cm="1">
        <f t="array" ref="E201">IF(B201="","",INDEX('Lot Inputs'!$H$5:$H$507,MATCH(1,('Lot Inputs'!$A$5:$A$507=$B$3)*('Lot Inputs'!$B$5:$B$507=B201),0)))</f>
        <v/>
      </c>
      <c r="F201" s="108" t="str">
        <f>IF(E201="","",IF(R201="On Hold",0,E201)+IF(F200="",0,F200))</f>
        <v/>
      </c>
      <c r="G201" s="108" t="str">
        <f>IF(D201="","",SUMIFS($O$7:$O$500,$N$7:$N$500,"&gt;="&amp;IF(R201="On Hold",S201,Controls!$B$5),$N$7:$N$500,"&lt;="&amp;EDATE(D201,-$B$4)))</f>
        <v/>
      </c>
      <c r="H201" s="108" t="str">
        <f t="shared" si="30"/>
        <v/>
      </c>
      <c r="I201" s="147" t="str">
        <f t="shared" si="28"/>
        <v/>
      </c>
      <c r="J201" s="148" t="str">
        <f>IF(D201="","",(YEAR(EDATE(D201,-$B$4))-YEAR(Controls!$B$5))*12+MONTH(EDATE(D201,-$B$4))-MONTH(Controls!$B$5))</f>
        <v/>
      </c>
      <c r="K201" s="149" t="str">
        <f t="array" ref="K201">IF(F201="","",IFERROR(INDEX($N$7:$N$500,MATCH(TRUE(),$P$7:$P$500&gt;=F201,0)),"After Horizon"))</f>
        <v/>
      </c>
      <c r="L201" t="str">
        <f t="shared" si="31"/>
        <v/>
      </c>
      <c r="M201" s="17" t="str">
        <f t="shared" si="32"/>
        <v/>
      </c>
      <c r="N201" s="145">
        <v>51957</v>
      </c>
      <c r="O201" s="108">
        <f>SUMIFS('Planning Engine'!$F:$F,'Planning Engine'!$B:$B,$B$3,'Planning Engine'!$A:$A,N201)</f>
        <v>0</v>
      </c>
      <c r="P201" s="108">
        <f t="shared" si="33"/>
        <v>2520326.5930010765</v>
      </c>
      <c r="Q201" s="146">
        <f>IF(N201&lt;=EDATE(Controls!$B$5,$B$4-1),O201,0)</f>
        <v>0</v>
      </c>
      <c r="R201" t="str" cm="1">
        <f t="array" ref="R201">IF(B201="","",IFERROR(INDEX('Lot Inputs'!$L$5:$L$507,MATCH(1,('Lot Inputs'!$A$5:$A$507=$B$3)*('Lot Inputs'!$B$5:$B$507=B201),0)),""))</f>
        <v/>
      </c>
      <c r="S201" s="205" t="str" cm="1">
        <f t="array" ref="S201">IF(B201="","",IFERROR(INDEX('Lot Inputs'!$M$5:$M$507,MATCH(1,('Lot Inputs'!$A$5:$A$507=$B$3)*('Lot Inputs'!$B$5:$B$507=B201),0)),""))</f>
        <v/>
      </c>
      <c r="T201" s="459" t="str">
        <f ca="1">IF(S201="","",S201-TODAY())</f>
        <v/>
      </c>
    </row>
    <row r="202" spans="1:20" ht="14" customHeight="1" x14ac:dyDescent="0.35">
      <c r="A202" s="142">
        <v>196</v>
      </c>
      <c r="B202" s="143" t="str" cm="1">
        <f t="array" ref="B202">IFERROR(INDEX('Lot Inputs'!$B$5:$B$507,MATCH(_xlfn.AGGREGATE(15,6,('Lot Inputs'!$J$5:$J$507)/(('Lot Inputs'!$A$5:$A$507=$B$3)*('Lot Inputs'!$H$5:$H$507&gt;0)),ROW()-6),IF('Lot Inputs'!$A$5:$A$507=$B$3,'Lot Inputs'!$J$5:$J$507),0)),"")</f>
        <v/>
      </c>
      <c r="C202" s="144" t="str">
        <f t="shared" si="29"/>
        <v/>
      </c>
      <c r="D202" s="145" t="str" cm="1">
        <f t="array" ref="D202">IF(B202="","",INDEX('Lot Inputs'!$E$5:$E$507,MATCH(1,('Lot Inputs'!$A$5:$A$507=$B$3)*('Lot Inputs'!$B$5:$B$507=B202),0)))</f>
        <v/>
      </c>
      <c r="E202" s="146" t="str" cm="1">
        <f t="array" ref="E202">IF(B202="","",INDEX('Lot Inputs'!$H$5:$H$507,MATCH(1,('Lot Inputs'!$A$5:$A$507=$B$3)*('Lot Inputs'!$B$5:$B$507=B202),0)))</f>
        <v/>
      </c>
      <c r="F202" s="108" t="str">
        <f>IF(E202="","",IF(R202="On Hold",0,E202)+IF(F201="",0,F201))</f>
        <v/>
      </c>
      <c r="G202" s="108" t="str">
        <f>IF(D202="","",SUMIFS($O$7:$O$500,$N$7:$N$500,"&gt;="&amp;IF(R202="On Hold",S202,Controls!$B$5),$N$7:$N$500,"&lt;="&amp;EDATE(D202,-$B$4)))</f>
        <v/>
      </c>
      <c r="H202" s="108" t="str">
        <f t="shared" si="30"/>
        <v/>
      </c>
      <c r="I202" s="147" t="str">
        <f t="shared" si="28"/>
        <v/>
      </c>
      <c r="J202" s="148" t="str">
        <f>IF(D202="","",(YEAR(EDATE(D202,-$B$4))-YEAR(Controls!$B$5))*12+MONTH(EDATE(D202,-$B$4))-MONTH(Controls!$B$5))</f>
        <v/>
      </c>
      <c r="K202" s="149" t="str">
        <f t="array" ref="K202">IF(F202="","",IFERROR(INDEX($N$7:$N$500,MATCH(TRUE(),$P$7:$P$500&gt;=F202,0)),"After Horizon"))</f>
        <v/>
      </c>
      <c r="L202" t="str">
        <f t="shared" si="31"/>
        <v/>
      </c>
      <c r="M202" s="17" t="str">
        <f t="shared" si="32"/>
        <v/>
      </c>
      <c r="N202" s="145">
        <v>51987</v>
      </c>
      <c r="O202" s="108">
        <f>SUMIFS('Planning Engine'!$F:$F,'Planning Engine'!$B:$B,$B$3,'Planning Engine'!$A:$A,N202)</f>
        <v>0</v>
      </c>
      <c r="P202" s="108">
        <f t="shared" si="33"/>
        <v>2520326.5930010765</v>
      </c>
      <c r="Q202" s="146">
        <f>IF(N202&lt;=EDATE(Controls!$B$5,$B$4-1),O202,0)</f>
        <v>0</v>
      </c>
      <c r="R202" t="str" cm="1">
        <f t="array" ref="R202">IF(B202="","",IFERROR(INDEX('Lot Inputs'!$L$5:$L$507,MATCH(1,('Lot Inputs'!$A$5:$A$507=$B$3)*('Lot Inputs'!$B$5:$B$507=B202),0)),""))</f>
        <v/>
      </c>
      <c r="S202" s="205" t="str" cm="1">
        <f t="array" ref="S202">IF(B202="","",IFERROR(INDEX('Lot Inputs'!$M$5:$M$507,MATCH(1,('Lot Inputs'!$A$5:$A$507=$B$3)*('Lot Inputs'!$B$5:$B$507=B202),0)),""))</f>
        <v/>
      </c>
      <c r="T202" s="459" t="str">
        <f ca="1">IF(S202="","",S202-TODAY())</f>
        <v/>
      </c>
    </row>
    <row r="203" spans="1:20" ht="14" customHeight="1" x14ac:dyDescent="0.35">
      <c r="A203" s="142">
        <v>197</v>
      </c>
      <c r="B203" s="143" t="str" cm="1">
        <f t="array" ref="B203">IFERROR(INDEX('Lot Inputs'!$B$5:$B$507,MATCH(_xlfn.AGGREGATE(15,6,('Lot Inputs'!$J$5:$J$507)/(('Lot Inputs'!$A$5:$A$507=$B$3)*('Lot Inputs'!$H$5:$H$507&gt;0)),ROW()-6),IF('Lot Inputs'!$A$5:$A$507=$B$3,'Lot Inputs'!$J$5:$J$507),0)),"")</f>
        <v/>
      </c>
      <c r="C203" s="144" t="str">
        <f t="shared" si="29"/>
        <v/>
      </c>
      <c r="D203" s="145" t="str" cm="1">
        <f t="array" ref="D203">IF(B203="","",INDEX('Lot Inputs'!$E$5:$E$507,MATCH(1,('Lot Inputs'!$A$5:$A$507=$B$3)*('Lot Inputs'!$B$5:$B$507=B203),0)))</f>
        <v/>
      </c>
      <c r="E203" s="146" t="str" cm="1">
        <f t="array" ref="E203">IF(B203="","",INDEX('Lot Inputs'!$H$5:$H$507,MATCH(1,('Lot Inputs'!$A$5:$A$507=$B$3)*('Lot Inputs'!$B$5:$B$507=B203),0)))</f>
        <v/>
      </c>
      <c r="F203" s="108" t="str">
        <f>IF(E203="","",IF(R203="On Hold",0,E203)+IF(F202="",0,F202))</f>
        <v/>
      </c>
      <c r="G203" s="108" t="str">
        <f>IF(D203="","",SUMIFS($O$7:$O$500,$N$7:$N$500,"&gt;="&amp;IF(R203="On Hold",S203,Controls!$B$5),$N$7:$N$500,"&lt;="&amp;EDATE(D203,-$B$4)))</f>
        <v/>
      </c>
      <c r="H203" s="108" t="str">
        <f t="shared" si="30"/>
        <v/>
      </c>
      <c r="I203" s="147" t="str">
        <f t="shared" si="28"/>
        <v/>
      </c>
      <c r="J203" s="148" t="str">
        <f>IF(D203="","",(YEAR(EDATE(D203,-$B$4))-YEAR(Controls!$B$5))*12+MONTH(EDATE(D203,-$B$4))-MONTH(Controls!$B$5))</f>
        <v/>
      </c>
      <c r="K203" s="149" t="str">
        <f t="array" ref="K203">IF(F203="","",IFERROR(INDEX($N$7:$N$500,MATCH(TRUE(),$P$7:$P$500&gt;=F203,0)),"After Horizon"))</f>
        <v/>
      </c>
      <c r="L203" t="str">
        <f t="shared" si="31"/>
        <v/>
      </c>
      <c r="M203" s="17" t="str">
        <f t="shared" si="32"/>
        <v/>
      </c>
      <c r="N203" s="145">
        <v>52018</v>
      </c>
      <c r="O203" s="108">
        <f>SUMIFS('Planning Engine'!$F:$F,'Planning Engine'!$B:$B,$B$3,'Planning Engine'!$A:$A,N203)</f>
        <v>0</v>
      </c>
      <c r="P203" s="108">
        <f t="shared" si="33"/>
        <v>2520326.5930010765</v>
      </c>
      <c r="Q203" s="146">
        <f>IF(N203&lt;=EDATE(Controls!$B$5,$B$4-1),O203,0)</f>
        <v>0</v>
      </c>
      <c r="R203" t="str" cm="1">
        <f t="array" ref="R203">IF(B203="","",IFERROR(INDEX('Lot Inputs'!$L$5:$L$507,MATCH(1,('Lot Inputs'!$A$5:$A$507=$B$3)*('Lot Inputs'!$B$5:$B$507=B203),0)),""))</f>
        <v/>
      </c>
      <c r="S203" s="205" t="str" cm="1">
        <f t="array" ref="S203">IF(B203="","",IFERROR(INDEX('Lot Inputs'!$M$5:$M$507,MATCH(1,('Lot Inputs'!$A$5:$A$507=$B$3)*('Lot Inputs'!$B$5:$B$507=B203),0)),""))</f>
        <v/>
      </c>
      <c r="T203" s="459" t="str">
        <f ca="1">IF(S203="","",S203-TODAY())</f>
        <v/>
      </c>
    </row>
    <row r="204" spans="1:20" ht="14" customHeight="1" x14ac:dyDescent="0.35">
      <c r="A204" s="142">
        <v>198</v>
      </c>
      <c r="B204" s="143" t="str" cm="1">
        <f t="array" ref="B204">IFERROR(INDEX('Lot Inputs'!$B$5:$B$507,MATCH(_xlfn.AGGREGATE(15,6,('Lot Inputs'!$J$5:$J$507)/(('Lot Inputs'!$A$5:$A$507=$B$3)*('Lot Inputs'!$H$5:$H$507&gt;0)),ROW()-6),IF('Lot Inputs'!$A$5:$A$507=$B$3,'Lot Inputs'!$J$5:$J$507),0)),"")</f>
        <v/>
      </c>
      <c r="C204" s="144" t="str">
        <f t="shared" si="29"/>
        <v/>
      </c>
      <c r="D204" s="145" t="str" cm="1">
        <f t="array" ref="D204">IF(B204="","",INDEX('Lot Inputs'!$E$5:$E$507,MATCH(1,('Lot Inputs'!$A$5:$A$507=$B$3)*('Lot Inputs'!$B$5:$B$507=B204),0)))</f>
        <v/>
      </c>
      <c r="E204" s="146" t="str" cm="1">
        <f t="array" ref="E204">IF(B204="","",INDEX('Lot Inputs'!$H$5:$H$507,MATCH(1,('Lot Inputs'!$A$5:$A$507=$B$3)*('Lot Inputs'!$B$5:$B$507=B204),0)))</f>
        <v/>
      </c>
      <c r="F204" s="108" t="str">
        <f>IF(E204="","",IF(R204="On Hold",0,E204)+IF(F203="",0,F203))</f>
        <v/>
      </c>
      <c r="G204" s="108" t="str">
        <f>IF(D204="","",SUMIFS($O$7:$O$500,$N$7:$N$500,"&gt;="&amp;IF(R204="On Hold",S204,Controls!$B$5),$N$7:$N$500,"&lt;="&amp;EDATE(D204,-$B$4)))</f>
        <v/>
      </c>
      <c r="H204" s="108" t="str">
        <f t="shared" si="30"/>
        <v/>
      </c>
      <c r="I204" s="147" t="str">
        <f t="shared" si="28"/>
        <v/>
      </c>
      <c r="J204" s="148" t="str">
        <f>IF(D204="","",(YEAR(EDATE(D204,-$B$4))-YEAR(Controls!$B$5))*12+MONTH(EDATE(D204,-$B$4))-MONTH(Controls!$B$5))</f>
        <v/>
      </c>
      <c r="K204" s="149" t="str">
        <f t="array" ref="K204">IF(F204="","",IFERROR(INDEX($N$7:$N$500,MATCH(TRUE(),$P$7:$P$500&gt;=F204,0)),"After Horizon"))</f>
        <v/>
      </c>
      <c r="L204" t="str">
        <f t="shared" si="31"/>
        <v/>
      </c>
      <c r="M204" s="17" t="str">
        <f t="shared" si="32"/>
        <v/>
      </c>
      <c r="N204" s="145">
        <v>52048</v>
      </c>
      <c r="O204" s="108">
        <f>SUMIFS('Planning Engine'!$F:$F,'Planning Engine'!$B:$B,$B$3,'Planning Engine'!$A:$A,N204)</f>
        <v>0</v>
      </c>
      <c r="P204" s="108">
        <f t="shared" si="33"/>
        <v>2520326.5930010765</v>
      </c>
      <c r="Q204" s="146">
        <f>IF(N204&lt;=EDATE(Controls!$B$5,$B$4-1),O204,0)</f>
        <v>0</v>
      </c>
      <c r="R204" t="str" cm="1">
        <f t="array" ref="R204">IF(B204="","",IFERROR(INDEX('Lot Inputs'!$L$5:$L$507,MATCH(1,('Lot Inputs'!$A$5:$A$507=$B$3)*('Lot Inputs'!$B$5:$B$507=B204),0)),""))</f>
        <v/>
      </c>
      <c r="S204" s="205" t="str" cm="1">
        <f t="array" ref="S204">IF(B204="","",IFERROR(INDEX('Lot Inputs'!$M$5:$M$507,MATCH(1,('Lot Inputs'!$A$5:$A$507=$B$3)*('Lot Inputs'!$B$5:$B$507=B204),0)),""))</f>
        <v/>
      </c>
      <c r="T204" s="459" t="str">
        <f ca="1">IF(S204="","",S204-TODAY())</f>
        <v/>
      </c>
    </row>
    <row r="205" spans="1:20" ht="14" customHeight="1" x14ac:dyDescent="0.35">
      <c r="A205" s="142">
        <v>199</v>
      </c>
      <c r="B205" s="143" t="str" cm="1">
        <f t="array" ref="B205">IFERROR(INDEX('Lot Inputs'!$B$5:$B$507,MATCH(_xlfn.AGGREGATE(15,6,('Lot Inputs'!$J$5:$J$507)/(('Lot Inputs'!$A$5:$A$507=$B$3)*('Lot Inputs'!$H$5:$H$507&gt;0)),ROW()-6),IF('Lot Inputs'!$A$5:$A$507=$B$3,'Lot Inputs'!$J$5:$J$507),0)),"")</f>
        <v/>
      </c>
      <c r="C205" s="144" t="str">
        <f t="shared" si="29"/>
        <v/>
      </c>
      <c r="D205" s="145" t="str" cm="1">
        <f t="array" ref="D205">IF(B205="","",INDEX('Lot Inputs'!$E$5:$E$507,MATCH(1,('Lot Inputs'!$A$5:$A$507=$B$3)*('Lot Inputs'!$B$5:$B$507=B205),0)))</f>
        <v/>
      </c>
      <c r="E205" s="146" t="str" cm="1">
        <f t="array" ref="E205">IF(B205="","",INDEX('Lot Inputs'!$H$5:$H$507,MATCH(1,('Lot Inputs'!$A$5:$A$507=$B$3)*('Lot Inputs'!$B$5:$B$507=B205),0)))</f>
        <v/>
      </c>
      <c r="F205" s="108" t="str">
        <f>IF(E205="","",IF(R205="On Hold",0,E205)+IF(F204="",0,F204))</f>
        <v/>
      </c>
      <c r="G205" s="108" t="str">
        <f>IF(D205="","",SUMIFS($O$7:$O$500,$N$7:$N$500,"&gt;="&amp;IF(R205="On Hold",S205,Controls!$B$5),$N$7:$N$500,"&lt;="&amp;EDATE(D205,-$B$4)))</f>
        <v/>
      </c>
      <c r="H205" s="108" t="str">
        <f t="shared" si="30"/>
        <v/>
      </c>
      <c r="I205" s="147" t="str">
        <f t="shared" si="28"/>
        <v/>
      </c>
      <c r="J205" s="148" t="str">
        <f>IF(D205="","",(YEAR(EDATE(D205,-$B$4))-YEAR(Controls!$B$5))*12+MONTH(EDATE(D205,-$B$4))-MONTH(Controls!$B$5))</f>
        <v/>
      </c>
      <c r="K205" s="149" t="str">
        <f t="array" ref="K205">IF(F205="","",IFERROR(INDEX($N$7:$N$500,MATCH(TRUE(),$P$7:$P$500&gt;=F205,0)),"After Horizon"))</f>
        <v/>
      </c>
      <c r="L205" t="str">
        <f t="shared" si="31"/>
        <v/>
      </c>
      <c r="M205" s="17" t="str">
        <f t="shared" si="32"/>
        <v/>
      </c>
      <c r="N205" s="145">
        <v>52079</v>
      </c>
      <c r="O205" s="108">
        <f>SUMIFS('Planning Engine'!$F:$F,'Planning Engine'!$B:$B,$B$3,'Planning Engine'!$A:$A,N205)</f>
        <v>0</v>
      </c>
      <c r="P205" s="108">
        <f t="shared" si="33"/>
        <v>2520326.5930010765</v>
      </c>
      <c r="Q205" s="146">
        <f>IF(N205&lt;=EDATE(Controls!$B$5,$B$4-1),O205,0)</f>
        <v>0</v>
      </c>
      <c r="R205" t="str" cm="1">
        <f t="array" ref="R205">IF(B205="","",IFERROR(INDEX('Lot Inputs'!$L$5:$L$507,MATCH(1,('Lot Inputs'!$A$5:$A$507=$B$3)*('Lot Inputs'!$B$5:$B$507=B205),0)),""))</f>
        <v/>
      </c>
      <c r="S205" s="205" t="str" cm="1">
        <f t="array" ref="S205">IF(B205="","",IFERROR(INDEX('Lot Inputs'!$M$5:$M$507,MATCH(1,('Lot Inputs'!$A$5:$A$507=$B$3)*('Lot Inputs'!$B$5:$B$507=B205),0)),""))</f>
        <v/>
      </c>
      <c r="T205" s="459" t="str">
        <f ca="1">IF(S205="","",S205-TODAY())</f>
        <v/>
      </c>
    </row>
    <row r="206" spans="1:20" ht="14" customHeight="1" x14ac:dyDescent="0.35">
      <c r="A206" s="142">
        <v>200</v>
      </c>
      <c r="B206" s="143" t="str" cm="1">
        <f t="array" ref="B206">IFERROR(INDEX('Lot Inputs'!$B$5:$B$507,MATCH(_xlfn.AGGREGATE(15,6,('Lot Inputs'!$J$5:$J$507)/(('Lot Inputs'!$A$5:$A$507=$B$3)*('Lot Inputs'!$H$5:$H$507&gt;0)),ROW()-6),IF('Lot Inputs'!$A$5:$A$507=$B$3,'Lot Inputs'!$J$5:$J$507),0)),"")</f>
        <v/>
      </c>
      <c r="C206" s="144" t="str">
        <f t="shared" si="29"/>
        <v/>
      </c>
      <c r="D206" s="145" t="str" cm="1">
        <f t="array" ref="D206">IF(B206="","",INDEX('Lot Inputs'!$E$5:$E$507,MATCH(1,('Lot Inputs'!$A$5:$A$507=$B$3)*('Lot Inputs'!$B$5:$B$507=B206),0)))</f>
        <v/>
      </c>
      <c r="E206" s="146" t="str" cm="1">
        <f t="array" ref="E206">IF(B206="","",INDEX('Lot Inputs'!$H$5:$H$507,MATCH(1,('Lot Inputs'!$A$5:$A$507=$B$3)*('Lot Inputs'!$B$5:$B$507=B206),0)))</f>
        <v/>
      </c>
      <c r="F206" s="108" t="str">
        <f>IF(E206="","",IF(R206="On Hold",0,E206)+IF(F205="",0,F205))</f>
        <v/>
      </c>
      <c r="G206" s="108" t="str">
        <f>IF(D206="","",SUMIFS($O$7:$O$500,$N$7:$N$500,"&gt;="&amp;IF(R206="On Hold",S206,Controls!$B$5),$N$7:$N$500,"&lt;="&amp;EDATE(D206,-$B$4)))</f>
        <v/>
      </c>
      <c r="H206" s="108" t="str">
        <f t="shared" si="30"/>
        <v/>
      </c>
      <c r="I206" s="147" t="str">
        <f t="shared" si="28"/>
        <v/>
      </c>
      <c r="J206" s="148" t="str">
        <f>IF(D206="","",(YEAR(EDATE(D206,-$B$4))-YEAR(Controls!$B$5))*12+MONTH(EDATE(D206,-$B$4))-MONTH(Controls!$B$5))</f>
        <v/>
      </c>
      <c r="K206" s="149" t="str">
        <f t="array" ref="K206">IF(F206="","",IFERROR(INDEX($N$7:$N$500,MATCH(TRUE(),$P$7:$P$500&gt;=F206,0)),"After Horizon"))</f>
        <v/>
      </c>
      <c r="L206" t="str">
        <f t="shared" si="31"/>
        <v/>
      </c>
      <c r="M206" s="17" t="str">
        <f t="shared" si="32"/>
        <v/>
      </c>
      <c r="N206" s="145">
        <v>52110</v>
      </c>
      <c r="O206" s="108">
        <f>SUMIFS('Planning Engine'!$F:$F,'Planning Engine'!$B:$B,$B$3,'Planning Engine'!$A:$A,N206)</f>
        <v>0</v>
      </c>
      <c r="P206" s="108">
        <f t="shared" si="33"/>
        <v>2520326.5930010765</v>
      </c>
      <c r="Q206" s="146">
        <f>IF(N206&lt;=EDATE(Controls!$B$5,$B$4-1),O206,0)</f>
        <v>0</v>
      </c>
      <c r="R206" t="str" cm="1">
        <f t="array" ref="R206">IF(B206="","",IFERROR(INDEX('Lot Inputs'!$L$5:$L$507,MATCH(1,('Lot Inputs'!$A$5:$A$507=$B$3)*('Lot Inputs'!$B$5:$B$507=B206),0)),""))</f>
        <v/>
      </c>
      <c r="S206" s="205" t="str" cm="1">
        <f t="array" ref="S206">IF(B206="","",IFERROR(INDEX('Lot Inputs'!$M$5:$M$507,MATCH(1,('Lot Inputs'!$A$5:$A$507=$B$3)*('Lot Inputs'!$B$5:$B$507=B206),0)),""))</f>
        <v/>
      </c>
      <c r="T206" s="459" t="str">
        <f ca="1">IF(S206="","",S206-TODAY())</f>
        <v/>
      </c>
    </row>
  </sheetData>
  <mergeCells count="1">
    <mergeCell ref="A1:Q1"/>
  </mergeCells>
  <conditionalFormatting sqref="L7:L206">
    <cfRule type="expression" dxfId="2" priority="1">
      <formula>L7="At Risk"</formula>
    </cfRule>
    <cfRule type="expression" dxfId="1" priority="2">
      <formula>L7="FEFO Breach"</formula>
    </cfRule>
    <cfRule type="expression" dxfId="0" priority="3">
      <formula>L7="OK"</formula>
    </cfRule>
  </conditionalFormatting>
  <dataValidations count="2">
    <dataValidation type="list" allowBlank="1" sqref="B3" xr:uid="{00000000-0002-0000-0D00-000000000000}">
      <formula1>"188mg LP,188mg LP - EU Stock,47mg LP,47mg LP - EU Stock,200mg DP,50mg DP,Drug Substance,APAD,APC,APG,APT,LLPS"</formula1>
    </dataValidation>
    <dataValidation type="list" sqref="B4" xr:uid="{00000000-0002-0000-0D00-000001000000}">
      <formula1>"3,6,12,18"</formula1>
    </dataValidation>
  </dataValidation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7"/>
  <dimension ref="A1:L10"/>
  <sheetViews>
    <sheetView showGridLines="0" zoomScale="70" zoomScaleNormal="70" workbookViewId="0">
      <pane ySplit="3" topLeftCell="A4" activePane="bottomLeft" state="frozen"/>
      <selection pane="bottomLeft" activeCell="J8" sqref="J8"/>
    </sheetView>
  </sheetViews>
  <sheetFormatPr defaultRowHeight="14.5" x14ac:dyDescent="0.35"/>
  <cols>
    <col min="1" max="1" width="16" customWidth="1"/>
    <col min="2" max="2" width="14" customWidth="1"/>
    <col min="3" max="3" width="16" customWidth="1"/>
    <col min="4" max="8" width="14" customWidth="1"/>
    <col min="9" max="9" width="16" customWidth="1"/>
    <col min="10" max="10" width="14" customWidth="1"/>
    <col min="11" max="11" width="16" customWidth="1"/>
    <col min="12" max="12" width="12" customWidth="1"/>
  </cols>
  <sheetData>
    <row r="1" spans="1:12" ht="20" customHeight="1" x14ac:dyDescent="0.35">
      <c r="A1" s="396" t="s">
        <v>626</v>
      </c>
      <c r="B1" s="395"/>
      <c r="C1" s="395"/>
      <c r="D1" s="395"/>
      <c r="E1" s="395"/>
      <c r="F1" s="395"/>
      <c r="G1" s="395"/>
      <c r="H1" s="395"/>
      <c r="I1" s="395"/>
      <c r="J1" s="395"/>
      <c r="K1" s="395"/>
      <c r="L1" s="395"/>
    </row>
    <row r="2" spans="1:12" x14ac:dyDescent="0.35">
      <c r="A2" s="403" t="s">
        <v>627</v>
      </c>
      <c r="B2" s="395"/>
      <c r="C2" s="395"/>
      <c r="D2" s="395"/>
      <c r="E2" s="395"/>
      <c r="F2" s="395"/>
      <c r="G2" s="395"/>
      <c r="H2" s="395"/>
      <c r="I2" s="395"/>
      <c r="J2" s="395"/>
      <c r="K2" s="395"/>
      <c r="L2" s="395"/>
    </row>
    <row r="3" spans="1:12" ht="28" customHeight="1" x14ac:dyDescent="0.35">
      <c r="A3" s="222" t="s">
        <v>2</v>
      </c>
      <c r="B3" s="222" t="s">
        <v>628</v>
      </c>
      <c r="C3" s="222" t="s">
        <v>629</v>
      </c>
      <c r="D3" s="222" t="s">
        <v>630</v>
      </c>
      <c r="E3" s="222" t="s">
        <v>631</v>
      </c>
      <c r="F3" s="222" t="s">
        <v>632</v>
      </c>
      <c r="G3" s="222" t="s">
        <v>633</v>
      </c>
      <c r="H3" s="222" t="s">
        <v>634</v>
      </c>
      <c r="I3" s="222" t="s">
        <v>635</v>
      </c>
      <c r="J3" s="222" t="s">
        <v>636</v>
      </c>
      <c r="K3" s="222" t="s">
        <v>637</v>
      </c>
      <c r="L3" s="222" t="s">
        <v>638</v>
      </c>
    </row>
    <row r="4" spans="1:12" ht="16" customHeight="1" x14ac:dyDescent="0.35">
      <c r="A4" s="266" t="s">
        <v>26</v>
      </c>
      <c r="B4" s="375" t="str">
        <f ca="1">IFERROR(_xludf.MINIFS('Lot Inputs'!$E$5:$E$503,'Lot Inputs'!$A$5:$A$503,"188mg LP",'Lot Inputs'!$H$5:$H$503,"&gt;0"),"")</f>
        <v/>
      </c>
      <c r="C4" s="376">
        <f>IFERROR(SUMIFS('Lot Inputs'!$H$5:$H$503,'Lot Inputs'!$A$5:$A$503,"188mg LP"),0)</f>
        <v>215627</v>
      </c>
      <c r="D4" s="376">
        <f ca="1">IFERROR(SUMPRODUCT(('Lot Inputs'!$A$5:$A$503="188mg LP")*('Lot Inputs'!$E$5:$E$503&lt;&gt;"")*('Lot Inputs'!$E$5:$E$503&lt;=EDATE(TODAY(),3))*'Lot Inputs'!$H$5:$H$503),0)</f>
        <v>0</v>
      </c>
      <c r="E4" s="376">
        <f ca="1">IFERROR(SUMPRODUCT(('Lot Inputs'!$A$5:$A$503="188mg LP")*('Lot Inputs'!$E$5:$E$503&lt;&gt;"")*('Lot Inputs'!$E$5:$E$503&lt;=EDATE(TODAY(),6))*'Lot Inputs'!$H$5:$H$503),0)</f>
        <v>0</v>
      </c>
      <c r="F4" s="376">
        <f ca="1">IFERROR(SUMPRODUCT(('Lot Inputs'!$A$5:$A$503="188mg LP")*('Lot Inputs'!$E$5:$E$503&lt;&gt;"")*('Lot Inputs'!$E$5:$E$503&lt;=EDATE(TODAY(),12))*'Lot Inputs'!$H$5:$H$503),0)</f>
        <v>0</v>
      </c>
      <c r="G4" s="267" cm="1">
        <f t="array" ref="G4">IFERROR(SUMPRODUCT(('Planning Engine'!$B$4:$B$2500="188mg LP")*('Planning Engine'!$A$4:$A$2500&gt;=Controls!$B$5)*('Planning Engine'!$A$4:$A$2500&lt;=EDATE(Controls!$B$5,6))*'Planning Engine'!$F$4:$F$2500),0)</f>
        <v>14814.145698154971</v>
      </c>
      <c r="H4" s="267" cm="1">
        <f t="array" ref="H4">IFERROR(SUMPRODUCT(('Planning Engine'!$B$4:$B$2500="188mg LP")*('Planning Engine'!$A$4:$A$2500&gt;=Controls!$B$5)*('Planning Engine'!$A$4:$A$2500&lt;=EDATE(Controls!$B$5,12))*'Planning Engine'!$F$4:$F$2500),0)</f>
        <v>30642.079205088346</v>
      </c>
      <c r="I4" s="268" t="str">
        <f t="shared" ref="I4:I10" ca="1" si="0">IF(D4&gt;0,"Critical — expiring ≤3mo",IF(E4&gt;0,"High — expiring ≤6mo",IF(F4&gt;0,"Monitor — expiring ≤12mo",IF(C4=0,"No Lots","Low"))))</f>
        <v>Low</v>
      </c>
      <c r="J4" s="268" t="str">
        <f t="shared" ref="J4:J10" ca="1" si="1">IF(E4&gt;G4,"⚠ At Risk",IF(C4=0,"Load lot data","Monitor"))</f>
        <v>Monitor</v>
      </c>
      <c r="K4" s="375" t="str">
        <f ca="1">IFERROR(_xludf.AGGREGATE(15,6,'Lot Inputs'!$E$5:$E$503/(('Lot Inputs'!$A$5:$A$503="188mg LP")*('Lot Inputs'!$H$5:$H$503&gt;0)*('Lot Inputs'!$E$5:$E$503&lt;=EDATE(TODAY(),12))),1),"")</f>
        <v/>
      </c>
      <c r="L4" s="376">
        <f t="shared" ref="L4:L10" ca="1" si="2">MAX(0,E4-G4)</f>
        <v>0</v>
      </c>
    </row>
    <row r="5" spans="1:12" ht="16" customHeight="1" x14ac:dyDescent="0.35">
      <c r="A5" s="226" t="s">
        <v>35</v>
      </c>
      <c r="B5" s="365" t="str">
        <f ca="1">IFERROR(_xludf.MINIFS('Lot Inputs'!$E$5:$E$503,'Lot Inputs'!$A$5:$A$503,"47mg LP",'Lot Inputs'!$H$5:$H$503,"&gt;0"),"")</f>
        <v/>
      </c>
      <c r="C5" s="366">
        <f>IFERROR(SUMIFS('Lot Inputs'!$H$5:$H$503,'Lot Inputs'!$A$5:$A$503,"47mg LP"),0)</f>
        <v>277364</v>
      </c>
      <c r="D5" s="366">
        <f ca="1">IFERROR(SUMPRODUCT(('Lot Inputs'!$A$5:$A$503="47mg LP")*('Lot Inputs'!$E$5:$E$503&lt;&gt;"")*('Lot Inputs'!$E$5:$E$503&lt;=EDATE(TODAY(),3))*'Lot Inputs'!$H$5:$H$503),0)</f>
        <v>0</v>
      </c>
      <c r="E5" s="366">
        <f ca="1">IFERROR(SUMPRODUCT(('Lot Inputs'!$A$5:$A$503="47mg LP")*('Lot Inputs'!$E$5:$E$503&lt;&gt;"")*('Lot Inputs'!$E$5:$E$503&lt;=EDATE(TODAY(),6))*'Lot Inputs'!$H$5:$H$503),0)</f>
        <v>0</v>
      </c>
      <c r="F5" s="366">
        <f ca="1">IFERROR(SUMPRODUCT(('Lot Inputs'!$A$5:$A$503="47mg LP")*('Lot Inputs'!$E$5:$E$503&lt;&gt;"")*('Lot Inputs'!$E$5:$E$503&lt;=EDATE(TODAY(),12))*'Lot Inputs'!$H$5:$H$503),0)</f>
        <v>5597</v>
      </c>
      <c r="G5" s="287" cm="1">
        <f t="array" ref="G5">IFERROR(SUMPRODUCT(('Planning Engine'!$B$4:$B$2500="47mg LP")*('Planning Engine'!$A$4:$A$2500&gt;=Controls!$B$5)*('Planning Engine'!$A$4:$A$2500&lt;=EDATE(Controls!$B$5,6))*'Planning Engine'!$F$4:$F$2500),0)</f>
        <v>7812.4703258978989</v>
      </c>
      <c r="H5" s="287" cm="1">
        <f t="array" ref="H5">IFERROR(SUMPRODUCT(('Planning Engine'!$B$4:$B$2500="47mg LP")*('Planning Engine'!$A$4:$A$2500&gt;=Controls!$B$5)*('Planning Engine'!$A$4:$A$2500&lt;=EDATE(Controls!$B$5,12))*'Planning Engine'!$F$4:$F$2500),0)</f>
        <v>16170.819523671074</v>
      </c>
      <c r="I5" s="289" t="str">
        <f t="shared" ca="1" si="0"/>
        <v>Monitor — expiring ≤12mo</v>
      </c>
      <c r="J5" s="289" t="str">
        <f t="shared" ca="1" si="1"/>
        <v>Monitor</v>
      </c>
      <c r="K5" s="365" t="str">
        <f ca="1">IFERROR(_xludf.AGGREGATE(15,6,'Lot Inputs'!$E$5:$E$503/(('Lot Inputs'!$A$5:$A$503="47mg LP")*('Lot Inputs'!$H$5:$H$503&gt;0)*('Lot Inputs'!$E$5:$E$503&lt;=EDATE(TODAY(),12))),1),"")</f>
        <v/>
      </c>
      <c r="L5" s="366">
        <f t="shared" ca="1" si="2"/>
        <v>0</v>
      </c>
    </row>
    <row r="6" spans="1:12" ht="16" customHeight="1" x14ac:dyDescent="0.35">
      <c r="A6" s="228" t="s">
        <v>959</v>
      </c>
      <c r="B6" s="371">
        <f>IFERROR(_xlfn.SINGLE(_xlfn.MINIFS('Lot Inputs'!$E$5:$E$503,'Lot Inputs'!$A$5:$A$503,"188mg LP - EU Stock",'Lot Inputs'!$H$5:$H$503,"&gt;0")),"")</f>
        <v>0</v>
      </c>
      <c r="C6" s="372">
        <f>IFERROR(SUMIFS('Lot Inputs'!$H$5:$H$503,'Lot Inputs'!$A$5:$A$503,"188mg LP - EU Stock"),0)</f>
        <v>0</v>
      </c>
      <c r="D6" s="372" cm="1">
        <f t="array" aca="1" ref="D6" ca="1">IFERROR(SUMPRODUCT(('Lot Inputs'!$A$5:$A$503="188mg LP - EU Stock")*('Lot Inputs'!$E$5:$E$503&lt;&gt;"")*('Lot Inputs'!$E$5:$E$503&lt;=EDATE(TODAY(),3))*'Lot Inputs'!$H$5:$H$503),0)</f>
        <v>0</v>
      </c>
      <c r="E6" s="372" cm="1">
        <f t="array" aca="1" ref="E6" ca="1">IFERROR(SUMPRODUCT(('Lot Inputs'!$A$5:$A$503="188mg LP - EU Stock")*('Lot Inputs'!$E$5:$E$503&lt;&gt;"")*('Lot Inputs'!$E$5:$E$503&lt;=EDATE(TODAY(),6))*'Lot Inputs'!$H$5:$H$503),0)</f>
        <v>0</v>
      </c>
      <c r="F6" s="372" cm="1">
        <f t="array" aca="1" ref="F6" ca="1">IFERROR(SUMPRODUCT(('Lot Inputs'!$A$5:$A$503="188mg LP - EU Stock")*('Lot Inputs'!$E$5:$E$503&lt;&gt;"")*('Lot Inputs'!$E$5:$E$503&lt;=EDATE(TODAY(),12))*'Lot Inputs'!$H$5:$H$503),0)</f>
        <v>0</v>
      </c>
      <c r="G6" s="373" cm="1">
        <f t="array" ref="G6">IFERROR(SUMPRODUCT(('Planning Engine'!$B$4:$B$2500="188mg LP - EU Stock")*('Planning Engine'!$A$4:$A$2500&gt;=Controls!$B$5)*('Planning Engine'!$A$4:$A$2500&lt;=EDATE(Controls!$B$5,6))*'Planning Engine'!$F$4:$F$2500),0)</f>
        <v>0</v>
      </c>
      <c r="H6" s="373" cm="1">
        <f t="array" ref="H6">IFERROR(SUMPRODUCT(('Planning Engine'!$B$4:$B$2500="188mg LP - EU Stock")*('Planning Engine'!$A$4:$A$2500&gt;=Controls!$B$5)*('Planning Engine'!$A$4:$A$2500&lt;=EDATE(Controls!$B$5,12))*'Planning Engine'!$F$4:$F$2500),0)</f>
        <v>0</v>
      </c>
      <c r="I6" s="374" t="str">
        <f t="shared" ca="1" si="0"/>
        <v>No Lots</v>
      </c>
      <c r="J6" s="374" t="str">
        <f t="shared" ca="1" si="1"/>
        <v>Load lot data</v>
      </c>
      <c r="K6" s="371" t="str">
        <f ca="1">IFERROR(_xlfn.SINGLE(_xlfn.AGGREGATE(15,6,_xlfn.SINGLE('Lot Inputs'!$E$5:$E$503)/((_xlfn.SINGLE('Lot Inputs'!$A$5:$A$503)="188mg LP - EU Stock")*(_xlfn.SINGLE('Lot Inputs'!$H$5:$H$503)&gt;0)*(_xlfn.SINGLE('Lot Inputs'!$E$5:$E$503)&lt;=EDATE(TODAY(),12))),1)),"")</f>
        <v/>
      </c>
      <c r="L6" s="372">
        <f t="shared" ca="1" si="2"/>
        <v>0</v>
      </c>
    </row>
    <row r="7" spans="1:12" ht="16" customHeight="1" x14ac:dyDescent="0.35">
      <c r="A7" s="229" t="s">
        <v>960</v>
      </c>
      <c r="B7" s="367">
        <f>IFERROR(_xlfn.SINGLE(_xlfn.MINIFS('Lot Inputs'!$E$5:$E$503,'Lot Inputs'!$A$5:$A$503,"47mg LP - EU Stock",'Lot Inputs'!$H$5:$H$503,"&gt;0")),"")</f>
        <v>0</v>
      </c>
      <c r="C7" s="368">
        <f>IFERROR(SUMIFS('Lot Inputs'!$H$5:$H$503,'Lot Inputs'!$A$5:$A$503,"47mg LP - EU Stock"),0)</f>
        <v>0</v>
      </c>
      <c r="D7" s="368" cm="1">
        <f t="array" aca="1" ref="D7" ca="1">IFERROR(SUMPRODUCT(('Lot Inputs'!$A$5:$A$503="47mg LP - EU Stock")*('Lot Inputs'!$E$5:$E$503&lt;&gt;"")*('Lot Inputs'!$E$5:$E$503&lt;=EDATE(TODAY(),3))*'Lot Inputs'!$H$5:$H$503),0)</f>
        <v>0</v>
      </c>
      <c r="E7" s="368" cm="1">
        <f t="array" aca="1" ref="E7" ca="1">IFERROR(SUMPRODUCT(('Lot Inputs'!$A$5:$A$503="47mg LP - EU Stock")*('Lot Inputs'!$E$5:$E$503&lt;&gt;"")*('Lot Inputs'!$E$5:$E$503&lt;=EDATE(TODAY(),6))*'Lot Inputs'!$H$5:$H$503),0)</f>
        <v>0</v>
      </c>
      <c r="F7" s="368" cm="1">
        <f t="array" aca="1" ref="F7" ca="1">IFERROR(SUMPRODUCT(('Lot Inputs'!$A$5:$A$503="47mg LP - EU Stock")*('Lot Inputs'!$E$5:$E$503&lt;&gt;"")*('Lot Inputs'!$E$5:$E$503&lt;=EDATE(TODAY(),12))*'Lot Inputs'!$H$5:$H$503),0)</f>
        <v>0</v>
      </c>
      <c r="G7" s="369" cm="1">
        <f t="array" ref="G7">IFERROR(SUMPRODUCT(('Planning Engine'!$B$4:$B$2500="47mg LP - EU Stock")*('Planning Engine'!$A$4:$A$2500&gt;=Controls!$B$5)*('Planning Engine'!$A$4:$A$2500&lt;=EDATE(Controls!$B$5,6))*'Planning Engine'!$F$4:$F$2500),0)</f>
        <v>0</v>
      </c>
      <c r="H7" s="369" cm="1">
        <f t="array" ref="H7">IFERROR(SUMPRODUCT(('Planning Engine'!$B$4:$B$2500="47mg LP - EU Stock")*('Planning Engine'!$A$4:$A$2500&gt;=Controls!$B$5)*('Planning Engine'!$A$4:$A$2500&lt;=EDATE(Controls!$B$5,12))*'Planning Engine'!$F$4:$F$2500),0)</f>
        <v>0</v>
      </c>
      <c r="I7" s="370" t="str">
        <f t="shared" ca="1" si="0"/>
        <v>No Lots</v>
      </c>
      <c r="J7" s="370" t="str">
        <f t="shared" ca="1" si="1"/>
        <v>Load lot data</v>
      </c>
      <c r="K7" s="367" t="str">
        <f ca="1">IFERROR(_xlfn.SINGLE(_xlfn.AGGREGATE(15,6,_xlfn.SINGLE('Lot Inputs'!$E$5:$E$503)/((_xlfn.SINGLE('Lot Inputs'!$A$5:$A$503)="47mg LP - EU Stock")*(_xlfn.SINGLE('Lot Inputs'!$H$5:$H$503)&gt;0)*(_xlfn.SINGLE('Lot Inputs'!$E$5:$E$503)&lt;=EDATE(TODAY(),12))),1)),"")</f>
        <v/>
      </c>
      <c r="L7" s="368">
        <f t="shared" ca="1" si="2"/>
        <v>0</v>
      </c>
    </row>
    <row r="8" spans="1:12" ht="16" customHeight="1" x14ac:dyDescent="0.35">
      <c r="A8" s="274" t="s">
        <v>36</v>
      </c>
      <c r="B8" s="358" t="str">
        <f ca="1">IFERROR(_xludf.MINIFS('Lot Inputs'!$E$5:$E$503,'Lot Inputs'!$A$5:$A$503,"200mg DP",'Lot Inputs'!$H$5:$H$503,"&gt;0"),"")</f>
        <v/>
      </c>
      <c r="C8" s="377">
        <f>IFERROR(SUMIFS('Lot Inputs'!$H$5:$H$503,'Lot Inputs'!$A$5:$A$503,"200mg DP"),0)</f>
        <v>0</v>
      </c>
      <c r="D8" s="377">
        <f ca="1">IFERROR(SUMPRODUCT(('Lot Inputs'!$A$5:$A$503="200mg DP")*('Lot Inputs'!$E$5:$E$503&lt;&gt;"")*('Lot Inputs'!$E$5:$E$503&lt;=EDATE(TODAY(),3))*'Lot Inputs'!$H$5:$H$503),0)</f>
        <v>0</v>
      </c>
      <c r="E8" s="377">
        <f ca="1">IFERROR(SUMPRODUCT(('Lot Inputs'!$A$5:$A$503="200mg DP")*('Lot Inputs'!$E$5:$E$503&lt;&gt;"")*('Lot Inputs'!$E$5:$E$503&lt;=EDATE(TODAY(),6))*'Lot Inputs'!$H$5:$H$503),0)</f>
        <v>0</v>
      </c>
      <c r="F8" s="377">
        <f ca="1">IFERROR(SUMPRODUCT(('Lot Inputs'!$A$5:$A$503="200mg DP")*('Lot Inputs'!$E$5:$E$503&lt;&gt;"")*('Lot Inputs'!$E$5:$E$503&lt;=EDATE(TODAY(),12))*'Lot Inputs'!$H$5:$H$503),0)</f>
        <v>0</v>
      </c>
      <c r="G8" s="276" cm="1">
        <f t="array" ref="G8">IFERROR(SUMPRODUCT(('Planning Engine'!$B$4:$B$2500="200mg DP")*('Planning Engine'!$A$4:$A$2500&gt;=Controls!$B$5)*('Planning Engine'!$A$4:$A$2500&lt;=EDATE(Controls!$B$5,6))*'Planning Engine'!$F$4:$F$2500),0)</f>
        <v>35100</v>
      </c>
      <c r="H8" s="276" cm="1">
        <f t="array" ref="H8">IFERROR(SUMPRODUCT(('Planning Engine'!$B$4:$B$2500="200mg DP")*('Planning Engine'!$A$4:$A$2500&gt;=Controls!$B$5)*('Planning Engine'!$A$4:$A$2500&lt;=EDATE(Controls!$B$5,12))*'Planning Engine'!$F$4:$F$2500),0)</f>
        <v>35100</v>
      </c>
      <c r="I8" s="278" t="str">
        <f t="shared" ca="1" si="0"/>
        <v>No Lots</v>
      </c>
      <c r="J8" s="278" t="str">
        <f t="shared" ca="1" si="1"/>
        <v>Load lot data</v>
      </c>
      <c r="K8" s="358" t="str">
        <f ca="1">IFERROR(_xludf.AGGREGATE(15,6,'Lot Inputs'!$E$5:$E$503/(('Lot Inputs'!$A$5:$A$503="200mg DP")*('Lot Inputs'!$H$5:$H$503&gt;0)*('Lot Inputs'!$E$5:$E$503&lt;=EDATE(TODAY(),12))),1),"")</f>
        <v/>
      </c>
      <c r="L8" s="377">
        <f t="shared" ca="1" si="2"/>
        <v>0</v>
      </c>
    </row>
    <row r="9" spans="1:12" ht="16" customHeight="1" x14ac:dyDescent="0.35">
      <c r="A9" s="269" t="s">
        <v>43</v>
      </c>
      <c r="B9" s="360" t="str">
        <f ca="1">IFERROR(_xludf.MINIFS('Lot Inputs'!$E$5:$E$503,'Lot Inputs'!$A$5:$A$503,"50mg DP",'Lot Inputs'!$H$5:$H$503,"&gt;0"),"")</f>
        <v/>
      </c>
      <c r="C9" s="378">
        <f>IFERROR(SUMIFS('Lot Inputs'!$H$5:$H$503,'Lot Inputs'!$A$5:$A$503,"50mg DP"),0)</f>
        <v>0</v>
      </c>
      <c r="D9" s="378">
        <f ca="1">IFERROR(SUMPRODUCT(('Lot Inputs'!$A$5:$A$503="50mg DP")*('Lot Inputs'!$E$5:$E$503&lt;&gt;"")*('Lot Inputs'!$E$5:$E$503&lt;=EDATE(TODAY(),3))*'Lot Inputs'!$H$5:$H$503),0)</f>
        <v>0</v>
      </c>
      <c r="E9" s="378">
        <f ca="1">IFERROR(SUMPRODUCT(('Lot Inputs'!$A$5:$A$503="50mg DP")*('Lot Inputs'!$E$5:$E$503&lt;&gt;"")*('Lot Inputs'!$E$5:$E$503&lt;=EDATE(TODAY(),6))*'Lot Inputs'!$H$5:$H$503),0)</f>
        <v>0</v>
      </c>
      <c r="F9" s="378">
        <f ca="1">IFERROR(SUMPRODUCT(('Lot Inputs'!$A$5:$A$503="50mg DP")*('Lot Inputs'!$E$5:$E$503&lt;&gt;"")*('Lot Inputs'!$E$5:$E$503&lt;=EDATE(TODAY(),12))*'Lot Inputs'!$H$5:$H$503),0)</f>
        <v>0</v>
      </c>
      <c r="G9" s="271" cm="1">
        <f t="array" ref="G9">IFERROR(SUMPRODUCT(('Planning Engine'!$B$4:$B$2500="50mg DP")*('Planning Engine'!$A$4:$A$2500&gt;=Controls!$B$5)*('Planning Engine'!$A$4:$A$2500&lt;=EDATE(Controls!$B$5,6))*'Planning Engine'!$F$4:$F$2500),0)</f>
        <v>5</v>
      </c>
      <c r="H9" s="271" cm="1">
        <f t="array" ref="H9">IFERROR(SUMPRODUCT(('Planning Engine'!$B$4:$B$2500="50mg DP")*('Planning Engine'!$A$4:$A$2500&gt;=Controls!$B$5)*('Planning Engine'!$A$4:$A$2500&lt;=EDATE(Controls!$B$5,12))*'Planning Engine'!$F$4:$F$2500),0)</f>
        <v>5</v>
      </c>
      <c r="I9" s="273" t="str">
        <f t="shared" ca="1" si="0"/>
        <v>No Lots</v>
      </c>
      <c r="J9" s="273" t="str">
        <f t="shared" ca="1" si="1"/>
        <v>Load lot data</v>
      </c>
      <c r="K9" s="360" t="str">
        <f ca="1">IFERROR(_xludf.AGGREGATE(15,6,'Lot Inputs'!$E$5:$E$503/(('Lot Inputs'!$A$5:$A$503="50mg DP")*('Lot Inputs'!$H$5:$H$503&gt;0)*('Lot Inputs'!$E$5:$E$503&lt;=EDATE(TODAY(),12))),1),"")</f>
        <v/>
      </c>
      <c r="L9" s="378">
        <f t="shared" ca="1" si="2"/>
        <v>0</v>
      </c>
    </row>
    <row r="10" spans="1:12" ht="16" customHeight="1" x14ac:dyDescent="0.35">
      <c r="A10" s="274" t="s">
        <v>45</v>
      </c>
      <c r="B10" s="358" t="str">
        <f ca="1">IFERROR(_xludf.MINIFS('Lot Inputs'!$E$5:$E$503,'Lot Inputs'!$A$5:$A$503,"Drug Substance",'Lot Inputs'!$H$5:$H$503,"&gt;0"),"")</f>
        <v/>
      </c>
      <c r="C10" s="377">
        <f>IFERROR(SUMIFS('Lot Inputs'!$H$5:$H$503,'Lot Inputs'!$A$5:$A$503,"Drug Substance"),0)</f>
        <v>70.071986999999993</v>
      </c>
      <c r="D10" s="377">
        <f ca="1">IFERROR(SUMPRODUCT(('Lot Inputs'!$A$5:$A$503="Drug Substance")*('Lot Inputs'!$E$5:$E$503&lt;&gt;"")*('Lot Inputs'!$E$5:$E$503&lt;=EDATE(TODAY(),3))*'Lot Inputs'!$H$5:$H$503),0)</f>
        <v>0</v>
      </c>
      <c r="E10" s="377">
        <f ca="1">IFERROR(SUMPRODUCT(('Lot Inputs'!$A$5:$A$503="Drug Substance")*('Lot Inputs'!$E$5:$E$503&lt;&gt;"")*('Lot Inputs'!$E$5:$E$503&lt;=EDATE(TODAY(),6))*'Lot Inputs'!$H$5:$H$503),0)</f>
        <v>0</v>
      </c>
      <c r="F10" s="377">
        <f ca="1">IFERROR(SUMPRODUCT(('Lot Inputs'!$A$5:$A$503="Drug Substance")*('Lot Inputs'!$E$5:$E$503&lt;&gt;"")*('Lot Inputs'!$E$5:$E$503&lt;=EDATE(TODAY(),12))*'Lot Inputs'!$H$5:$H$503),0)</f>
        <v>0</v>
      </c>
      <c r="G10" s="276" cm="1">
        <f t="array" ref="G10">IFERROR(SUMPRODUCT(('Planning Engine'!$B$4:$B$2500="Drug Substance")*('Planning Engine'!$A$4:$A$2500&gt;=Controls!$B$5)*('Planning Engine'!$A$4:$A$2500&lt;=EDATE(Controls!$B$5,6))*'Planning Engine'!$F$4:$F$2500),0)</f>
        <v>14.2</v>
      </c>
      <c r="H10" s="276" cm="1">
        <f t="array" ref="H10">IFERROR(SUMPRODUCT(('Planning Engine'!$B$4:$B$2500="Drug Substance")*('Planning Engine'!$A$4:$A$2500&gt;=Controls!$B$5)*('Planning Engine'!$A$4:$A$2500&lt;=EDATE(Controls!$B$5,12))*'Planning Engine'!$F$4:$F$2500),0)</f>
        <v>14.2</v>
      </c>
      <c r="I10" s="278" t="str">
        <f t="shared" ca="1" si="0"/>
        <v>Low</v>
      </c>
      <c r="J10" s="278" t="str">
        <f t="shared" ca="1" si="1"/>
        <v>Monitor</v>
      </c>
      <c r="K10" s="358" t="str">
        <f ca="1">IFERROR(_xludf.AGGREGATE(15,6,'Lot Inputs'!$E$5:$E$503/(('Lot Inputs'!$A$5:$A$503="Drug Substance")*('Lot Inputs'!$H$5:$H$503&gt;0)*('Lot Inputs'!$E$5:$E$503&lt;=EDATE(TODAY(),12))),1),"")</f>
        <v/>
      </c>
      <c r="L10" s="377">
        <f t="shared" ca="1" si="2"/>
        <v>0</v>
      </c>
    </row>
  </sheetData>
  <mergeCells count="2">
    <mergeCell ref="A2:L2"/>
    <mergeCell ref="A1:L1"/>
  </mergeCells>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8"/>
  <dimension ref="A1:M6"/>
  <sheetViews>
    <sheetView showGridLines="0" zoomScale="85" zoomScaleNormal="85" workbookViewId="0">
      <pane ySplit="3" topLeftCell="A4" activePane="bottomLeft" state="frozen"/>
      <selection pane="bottomLeft" activeCell="A4" sqref="A4:M4"/>
    </sheetView>
  </sheetViews>
  <sheetFormatPr defaultRowHeight="14.5" x14ac:dyDescent="0.35"/>
  <cols>
    <col min="1" max="1" width="13" customWidth="1"/>
    <col min="2" max="2" width="16" customWidth="1"/>
    <col min="3" max="3" width="14" customWidth="1"/>
    <col min="4" max="4" width="12" customWidth="1"/>
    <col min="5" max="6" width="16" customWidth="1"/>
    <col min="7" max="7" width="10" customWidth="1"/>
    <col min="8" max="8" width="16" customWidth="1"/>
    <col min="9" max="10" width="13" customWidth="1"/>
    <col min="11" max="11" width="12" customWidth="1"/>
    <col min="12" max="12" width="13" customWidth="1"/>
    <col min="13" max="13" width="20" customWidth="1"/>
  </cols>
  <sheetData>
    <row r="1" spans="1:13" ht="20" customHeight="1" x14ac:dyDescent="0.35">
      <c r="A1" s="396" t="s">
        <v>639</v>
      </c>
      <c r="B1" s="395"/>
      <c r="C1" s="395"/>
      <c r="D1" s="395"/>
      <c r="E1" s="395"/>
      <c r="F1" s="395"/>
      <c r="G1" s="395"/>
      <c r="H1" s="395"/>
      <c r="I1" s="395"/>
      <c r="J1" s="395"/>
      <c r="K1" s="395"/>
      <c r="L1" s="395"/>
      <c r="M1" s="395"/>
    </row>
    <row r="2" spans="1:13" x14ac:dyDescent="0.35">
      <c r="A2" s="403" t="s">
        <v>640</v>
      </c>
      <c r="B2" s="395"/>
      <c r="C2" s="395"/>
      <c r="D2" s="395"/>
      <c r="E2" s="395"/>
      <c r="F2" s="395"/>
      <c r="G2" s="395"/>
      <c r="H2" s="395"/>
      <c r="I2" s="395"/>
      <c r="J2" s="395"/>
      <c r="K2" s="395"/>
      <c r="L2" s="395"/>
      <c r="M2" s="395"/>
    </row>
    <row r="3" spans="1:13" ht="28" customHeight="1" x14ac:dyDescent="0.35">
      <c r="A3" s="18" t="s">
        <v>428</v>
      </c>
      <c r="B3" s="18" t="s">
        <v>2</v>
      </c>
      <c r="C3" s="18" t="s">
        <v>4</v>
      </c>
      <c r="D3" s="18" t="s">
        <v>551</v>
      </c>
      <c r="E3" s="18" t="s">
        <v>552</v>
      </c>
      <c r="F3" s="18" t="s">
        <v>554</v>
      </c>
      <c r="G3" s="18" t="s">
        <v>433</v>
      </c>
      <c r="H3" s="18" t="s">
        <v>555</v>
      </c>
      <c r="I3" s="18" t="s">
        <v>435</v>
      </c>
      <c r="J3" s="18" t="s">
        <v>556</v>
      </c>
      <c r="K3" s="18" t="s">
        <v>442</v>
      </c>
      <c r="L3" s="18" t="s">
        <v>557</v>
      </c>
      <c r="M3" s="18" t="s">
        <v>440</v>
      </c>
    </row>
    <row r="4" spans="1:13" ht="80" customHeight="1" x14ac:dyDescent="0.35">
      <c r="A4" s="436" t="str">
        <f ca="1">IFERROR(INDEX('Planning Engine'!A:A,MATCH(1,('Planning Engine'!L:L="High")+('Planning Engine'!L:L="Medium"),0)),"")</f>
        <v/>
      </c>
      <c r="B4" s="395"/>
      <c r="C4" s="395"/>
      <c r="D4" s="395"/>
      <c r="E4" s="395"/>
      <c r="F4" s="395"/>
      <c r="G4" s="395"/>
      <c r="H4" s="395"/>
      <c r="I4" s="395"/>
      <c r="J4" s="395"/>
      <c r="K4" s="395"/>
      <c r="L4" s="395"/>
      <c r="M4" s="395"/>
    </row>
    <row r="5" spans="1:13" ht="18" customHeight="1" x14ac:dyDescent="0.35">
      <c r="A5" s="437" t="str">
        <f ca="1">IFERROR(INDEX('Planning Engine'!A:A,MATCH(1,('Planning Engine'!L:L="High")+('Planning Engine'!L:L="Medium"),0)),"")</f>
        <v/>
      </c>
      <c r="B5" s="438"/>
      <c r="C5" s="438"/>
      <c r="D5" s="438"/>
      <c r="E5" s="438"/>
      <c r="F5" s="438"/>
      <c r="G5" s="438"/>
      <c r="H5" s="438"/>
      <c r="I5" s="438"/>
      <c r="J5" s="438"/>
      <c r="K5" s="438"/>
      <c r="L5" s="438"/>
      <c r="M5" s="439"/>
    </row>
    <row r="6" spans="1:13" ht="14" customHeight="1" x14ac:dyDescent="0.35">
      <c r="A6" s="101" t="s">
        <v>641</v>
      </c>
    </row>
  </sheetData>
  <mergeCells count="4">
    <mergeCell ref="A4:M4"/>
    <mergeCell ref="A2:M2"/>
    <mergeCell ref="A1:M1"/>
    <mergeCell ref="A5:M5"/>
  </mergeCells>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pageSetUpPr fitToPage="1"/>
  </sheetPr>
  <dimension ref="A1:T50"/>
  <sheetViews>
    <sheetView showGridLines="0" zoomScale="70" zoomScaleNormal="70" workbookViewId="0">
      <pane ySplit="7" topLeftCell="A8" activePane="bottomLeft" state="frozen"/>
      <selection pane="bottomLeft" activeCell="Q18" sqref="Q18"/>
    </sheetView>
  </sheetViews>
  <sheetFormatPr defaultRowHeight="14.5" x14ac:dyDescent="0.35"/>
  <cols>
    <col min="1" max="1" width="13" customWidth="1"/>
    <col min="2" max="2" width="12" customWidth="1"/>
    <col min="3" max="4" width="14" customWidth="1"/>
    <col min="5" max="5" width="10" customWidth="1"/>
    <col min="6" max="6" width="12" customWidth="1"/>
    <col min="7" max="7" width="14" customWidth="1"/>
    <col min="8" max="8" width="12" customWidth="1"/>
    <col min="9" max="9" width="20" customWidth="1"/>
  </cols>
  <sheetData>
    <row r="1" spans="1:20" ht="28" customHeight="1" x14ac:dyDescent="0.35">
      <c r="A1" s="405" t="s">
        <v>642</v>
      </c>
      <c r="B1" s="395"/>
      <c r="C1" s="395"/>
      <c r="D1" s="395"/>
      <c r="E1" s="395"/>
      <c r="F1" s="395"/>
      <c r="G1" s="395"/>
      <c r="H1" s="395"/>
      <c r="I1" s="395"/>
      <c r="J1" s="395"/>
      <c r="K1" s="395"/>
      <c r="L1" s="395"/>
      <c r="M1" s="395"/>
      <c r="N1" s="395"/>
      <c r="O1" s="395"/>
      <c r="P1" s="395"/>
      <c r="Q1" s="395"/>
      <c r="R1" s="395"/>
      <c r="S1" s="395"/>
      <c r="T1" s="395"/>
    </row>
    <row r="2" spans="1:20" ht="14" customHeight="1" x14ac:dyDescent="0.35">
      <c r="A2" s="430" t="s">
        <v>643</v>
      </c>
      <c r="B2" s="395"/>
      <c r="C2" s="395"/>
      <c r="D2" s="395"/>
      <c r="E2" s="395"/>
      <c r="F2" s="395"/>
      <c r="G2" s="395"/>
      <c r="H2" s="395"/>
      <c r="I2" s="395"/>
      <c r="J2" s="395"/>
      <c r="K2" s="395"/>
      <c r="L2" s="395"/>
      <c r="M2" s="395"/>
      <c r="N2" s="395"/>
      <c r="O2" s="395"/>
      <c r="P2" s="395"/>
      <c r="Q2" s="395"/>
      <c r="R2" s="395"/>
      <c r="S2" s="395"/>
      <c r="T2" s="395"/>
    </row>
    <row r="3" spans="1:20" ht="14" customHeight="1" x14ac:dyDescent="0.35">
      <c r="A3" s="441" t="s">
        <v>644</v>
      </c>
      <c r="B3" s="439"/>
      <c r="D3" s="441" t="s">
        <v>645</v>
      </c>
      <c r="E3" s="439"/>
      <c r="G3" s="442" t="s">
        <v>646</v>
      </c>
      <c r="H3" s="439"/>
      <c r="J3" s="450" t="s">
        <v>647</v>
      </c>
      <c r="K3" s="439"/>
      <c r="M3" s="441" t="s">
        <v>648</v>
      </c>
      <c r="N3" s="439"/>
      <c r="P3" s="453" t="s">
        <v>649</v>
      </c>
      <c r="Q3" s="439"/>
      <c r="S3" s="453" t="s">
        <v>650</v>
      </c>
      <c r="T3" s="439"/>
    </row>
    <row r="4" spans="1:20" ht="30" customHeight="1" x14ac:dyDescent="0.35">
      <c r="A4" s="448">
        <f>Controls!B5</f>
        <v>46113</v>
      </c>
      <c r="B4" s="439"/>
      <c r="D4" s="447">
        <f>Controls!B7</f>
        <v>18</v>
      </c>
      <c r="E4" s="439"/>
      <c r="G4" s="449" cm="1">
        <f t="array" aca="1" ref="G4" ca="1">SUMPRODUCT(('Planning Engine'!$B$4:$B$2500&lt;&gt;"")*('Planning Engine'!$A$4:$A$2500&gt;=Controls!$B$5)*('Planning Engine'!$A$4:$A$2500&lt;=EDATE(Controls!$B$5,Controls!$B$7))*('Planning Engine'!$L$4:$L$2500="High"))</f>
        <v>61</v>
      </c>
      <c r="H4" s="439"/>
      <c r="J4" s="443" cm="1">
        <f t="array" aca="1" ref="J4" ca="1">SUMPRODUCT(('Planning Engine'!$B$4:$B$2500&lt;&gt;"")*('Planning Engine'!$A$4:$A$2500&gt;=Controls!$B$5)*('Planning Engine'!$A$4:$A$2500&lt;=EDATE(Controls!$B$5,Controls!$B$7))*('Planning Engine'!$L$4:$L$2500="Medium"))</f>
        <v>18</v>
      </c>
      <c r="K4" s="439"/>
      <c r="M4" s="447">
        <f>10</f>
        <v>10</v>
      </c>
      <c r="N4" s="439"/>
      <c r="P4" s="451">
        <f ca="1">COUNTIF('Expiry Risk Summary'!I4:I15,"Critical*")+COUNTIF('Expiry Risk Summary'!I4:I15,"High*")</f>
        <v>0</v>
      </c>
      <c r="Q4" s="439"/>
      <c r="S4" s="451">
        <f ca="1">SUM('Expiry Risk Summary'!E4:E15)</f>
        <v>0</v>
      </c>
      <c r="T4" s="439"/>
    </row>
    <row r="5" spans="1:20" ht="14" customHeight="1" x14ac:dyDescent="0.35">
      <c r="A5" s="444"/>
      <c r="B5" s="439"/>
      <c r="D5" s="444"/>
      <c r="E5" s="439"/>
      <c r="G5" s="445"/>
      <c r="H5" s="439"/>
      <c r="J5" s="452"/>
      <c r="K5" s="439"/>
      <c r="M5" s="444"/>
      <c r="N5" s="439"/>
      <c r="P5" s="454"/>
      <c r="Q5" s="439"/>
      <c r="S5" s="454"/>
      <c r="T5" s="439"/>
    </row>
    <row r="7" spans="1:20" ht="20" customHeight="1" x14ac:dyDescent="0.35">
      <c r="A7" s="102" t="s">
        <v>651</v>
      </c>
      <c r="B7" s="440" t="s">
        <v>26</v>
      </c>
      <c r="C7" s="438"/>
      <c r="D7" s="438"/>
      <c r="E7" s="439"/>
      <c r="F7" s="103" t="s">
        <v>652</v>
      </c>
      <c r="G7" s="7">
        <f>Controls!B7</f>
        <v>18</v>
      </c>
    </row>
    <row r="9" spans="1:20" ht="18" customHeight="1" x14ac:dyDescent="0.35">
      <c r="A9" s="446" t="s">
        <v>653</v>
      </c>
      <c r="B9" s="395"/>
      <c r="C9" s="395"/>
      <c r="D9" s="395"/>
      <c r="E9" s="395"/>
      <c r="F9" s="395"/>
      <c r="G9" s="395"/>
      <c r="H9" s="395"/>
      <c r="I9" s="395"/>
    </row>
    <row r="10" spans="1:20" ht="28" customHeight="1" x14ac:dyDescent="0.35">
      <c r="A10" s="222" t="s">
        <v>2</v>
      </c>
      <c r="B10" s="222" t="s">
        <v>4</v>
      </c>
      <c r="C10" s="222" t="s">
        <v>654</v>
      </c>
      <c r="D10" s="222" t="s">
        <v>655</v>
      </c>
      <c r="E10" s="222" t="s">
        <v>656</v>
      </c>
      <c r="F10" s="222" t="s">
        <v>657</v>
      </c>
      <c r="G10" s="222" t="s">
        <v>658</v>
      </c>
      <c r="H10" s="222" t="s">
        <v>659</v>
      </c>
      <c r="I10" s="222" t="s">
        <v>440</v>
      </c>
    </row>
    <row r="11" spans="1:20" ht="16" customHeight="1" x14ac:dyDescent="0.35">
      <c r="A11" s="226" t="s">
        <v>26</v>
      </c>
      <c r="B11" s="227" t="s">
        <v>28</v>
      </c>
      <c r="C11" s="287" cm="1">
        <f t="array" ref="C11">IFERROR(SUMPRODUCT(('Planning Engine'!$B$4:$B$2500="188mg LP")*('Planning Engine'!$A$4:$A$2500&gt;=Controls!$B$5)*('Planning Engine'!$A$4:$A$2500&lt;=EDATE(Controls!$B$5,Controls!$B$7))*'Planning Engine'!$F$4:$F$2500),0)</f>
        <v>53421.651927206563</v>
      </c>
      <c r="D11" s="287" cm="1">
        <f t="array" ref="D11">IFERROR(SUMPRODUCT(('Planning Engine'!$B$4:$B$2500="188mg LP")*('Planning Engine'!$A$4:$A$2500&gt;=Controls!$B$5)*('Planning Engine'!$A$4:$A$2500&lt;=EDATE(Controls!$B$5,Controls!$B$7))*'Planning Engine'!$G$4:$G$2500),0)</f>
        <v>35100</v>
      </c>
      <c r="E11" s="287" cm="1">
        <f t="array" ref="E11">IFERROR(SUMPRODUCT(('Planning Engine'!$B$4:$B$2500="188mg LP")*('Planning Engine'!$A$4:$A$2500=EDATE(Controls!$B$5,Controls!$B$7))*'Planning Engine'!$H$4:$H$2500),0)</f>
        <v>38723.340260855257</v>
      </c>
      <c r="F11" s="288" cm="1">
        <f t="array" aca="1" ref="F11" ca="1">IFERROR(SUMPRODUCT(('Planning Engine'!$B$4:$B$2500="188mg LP")*('Planning Engine'!$A$4:$A$2500&gt;=Controls!$B$5)*('Planning Engine'!$A$4:$A$2500&lt;=EDATE(Controls!$B$5,Controls!$B$7))*'Planning Engine'!$J$4:$J$2500)/MAX(1,SUMPRODUCT(('Planning Engine'!$B$4:$B$2500="188mg LP")*('Planning Engine'!$A$4:$A$2500&gt;=Controls!$B$5)*('Planning Engine'!$A$4:$A$2500&lt;=EDATE(Controls!$B$5,Controls!$B$7))*('Planning Engine'!$J$4:$J$2500&gt;0))),0)</f>
        <v>18.127716092000806</v>
      </c>
      <c r="G11" s="287" cm="1">
        <f t="array" aca="1" ref="G11" ca="1">IFERROR(SUMPRODUCT(('Planning Engine'!$B$4:$B$2500="188mg LP")*('Planning Engine'!$A$4:$A$2500&gt;=Controls!$B$5)*('Planning Engine'!$A$4:$A$2500&lt;=EDATE(Controls!$B$5,Controls!$B$7))*'Planning Engine'!$K$4:$K$2500),0)</f>
        <v>16200</v>
      </c>
      <c r="H11" s="289" t="str" cm="1">
        <f t="array" aca="1" ref="H11" ca="1">IFERROR(IF(SUMPRODUCT(('Planning Engine'!$B$4:$B$2500="188mg LP")*('Planning Engine'!$A$4:$A$2500&gt;=Controls!$B$5)*('Planning Engine'!$A$4:$A$2500&lt;=EDATE(Controls!$B$5,Controls!$B$7))*('Planning Engine'!$L$4:$L$2500="High"))&gt;0,"High",IF(SUMPRODUCT(('Planning Engine'!$B$4:$B$2500="188mg LP")*('Planning Engine'!$A$4:$A$2500&gt;=Controls!$B$5)*('Planning Engine'!$A$4:$A$2500&lt;=EDATE(Controls!$B$5,Controls!$B$7))*('Planning Engine'!$L$4:$L$2500="Medium"))&gt;0,"Medium","Low")),"")</f>
        <v>High</v>
      </c>
      <c r="I11" s="289" t="str">
        <f>IFERROR(VLOOKUP("188mg LP",Controls!$A:$K,10,0),"")</f>
        <v>Fisher / ThermoFisher Allentown</v>
      </c>
    </row>
    <row r="12" spans="1:20" ht="16" customHeight="1" x14ac:dyDescent="0.35">
      <c r="A12" s="279" t="s">
        <v>35</v>
      </c>
      <c r="B12" s="280" t="s">
        <v>28</v>
      </c>
      <c r="C12" s="281" cm="1">
        <f t="array" ref="C12">IFERROR(SUMPRODUCT(('Planning Engine'!$B$4:$B$2500="47mg LP")*('Planning Engine'!$A$4:$A$2500&gt;=Controls!$B$5)*('Planning Engine'!$A$4:$A$2500&lt;=EDATE(Controls!$B$5,Controls!$B$7))*'Planning Engine'!$F$4:$F$2500),0)</f>
        <v>28249.832678263916</v>
      </c>
      <c r="D12" s="281" cm="1">
        <f t="array" ref="D12">IFERROR(SUMPRODUCT(('Planning Engine'!$B$4:$B$2500="47mg LP")*('Planning Engine'!$A$4:$A$2500&gt;=Controls!$B$5)*('Planning Engine'!$A$4:$A$2500&lt;=EDATE(Controls!$B$5,Controls!$B$7))*'Planning Engine'!$G$4:$G$2500),0)</f>
        <v>5</v>
      </c>
      <c r="E12" s="281" cm="1">
        <f t="array" ref="E12">IFERROR(SUMPRODUCT(('Planning Engine'!$B$4:$B$2500="47mg LP")*('Planning Engine'!$A$4:$A$2500=EDATE(Controls!$B$5,Controls!$B$7))*'Planning Engine'!$H$4:$H$2500),0)</f>
        <v>11997.81502901937</v>
      </c>
      <c r="F12" s="282" cm="1">
        <f t="array" aca="1" ref="F12" ca="1">IFERROR(SUMPRODUCT(('Planning Engine'!$B$4:$B$2500="47mg LP")*('Planning Engine'!$A$4:$A$2500&gt;=Controls!$B$5)*('Planning Engine'!$A$4:$A$2500&lt;=EDATE(Controls!$B$5,Controls!$B$7))*'Planning Engine'!$J$4:$J$2500)/MAX(1,SUMPRODUCT(('Planning Engine'!$B$4:$B$2500="47mg LP")*('Planning Engine'!$A$4:$A$2500&gt;=Controls!$B$5)*('Planning Engine'!$A$4:$A$2500&lt;=EDATE(Controls!$B$5,Controls!$B$7))*('Planning Engine'!$J$4:$J$2500&gt;0))),0)</f>
        <v>17.650824710487381</v>
      </c>
      <c r="G12" s="281" cm="1">
        <f t="array" aca="1" ref="G12" ca="1">IFERROR(SUMPRODUCT(('Planning Engine'!$B$4:$B$2500="47mg LP")*('Planning Engine'!$A$4:$A$2500&gt;=Controls!$B$5)*('Planning Engine'!$A$4:$A$2500&lt;=EDATE(Controls!$B$5,Controls!$B$7))*'Planning Engine'!$K$4:$K$2500),0)</f>
        <v>40000</v>
      </c>
      <c r="H12" s="283" t="str" cm="1">
        <f t="array" aca="1" ref="H12" ca="1">IFERROR(IF(SUMPRODUCT(('Planning Engine'!$B$4:$B$2500="47mg LP")*('Planning Engine'!$A$4:$A$2500&gt;=Controls!$B$5)*('Planning Engine'!$A$4:$A$2500&lt;=EDATE(Controls!$B$5,Controls!$B$7))*('Planning Engine'!$L$4:$L$2500="High"))&gt;0,"High",IF(SUMPRODUCT(('Planning Engine'!$B$4:$B$2500="47mg LP")*('Planning Engine'!$A$4:$A$2500&gt;=Controls!$B$5)*('Planning Engine'!$A$4:$A$2500&lt;=EDATE(Controls!$B$5,Controls!$B$7))*('Planning Engine'!$L$4:$L$2500="Medium"))&gt;0,"Medium","Low")),"")</f>
        <v>High</v>
      </c>
      <c r="I12" s="283" t="str">
        <f>IFERROR(VLOOKUP("47mg LP",Controls!$A:$K,10,0),"")</f>
        <v>Fisher / ThermoFisher Allentown</v>
      </c>
    </row>
    <row r="13" spans="1:20" ht="16" customHeight="1" x14ac:dyDescent="0.35">
      <c r="A13" s="269" t="s">
        <v>959</v>
      </c>
      <c r="B13" s="270" t="s">
        <v>28</v>
      </c>
      <c r="C13" s="271" cm="1">
        <f t="array" ref="C13">IFERROR(SUMPRODUCT(('Planning Engine'!$B$4:$B$2500="188mg LP - EU Stock")*('Planning Engine'!$A$4:$A$2500&gt;=Controls!$B$5)*('Planning Engine'!$A$4:$A$2500&lt;=EDATE(Controls!$B$5,Controls!$B$7))*'Planning Engine'!$F$4:$F$2500),0)</f>
        <v>0</v>
      </c>
      <c r="D13" s="271" cm="1">
        <f t="array" ref="D13">IFERROR(SUMPRODUCT(('Planning Engine'!$B$4:$B$2500="188mg LP - EU Stock")*('Planning Engine'!$A$4:$A$2500&gt;=Controls!$B$5)*('Planning Engine'!$A$4:$A$2500&lt;=EDATE(Controls!$B$5,Controls!$B$7))*'Planning Engine'!$G$4:$G$2500),0)</f>
        <v>0</v>
      </c>
      <c r="E13" s="271" cm="1">
        <f t="array" ref="E13">IFERROR(SUMPRODUCT(('Planning Engine'!$B$4:$B$2500="188mg LP - EU Stock")*('Planning Engine'!$A$4:$A$2500=EDATE(Controls!$B$5,Controls!$B$7))*'Planning Engine'!$H$4:$H$2500),0)</f>
        <v>0</v>
      </c>
      <c r="F13" s="272" cm="1">
        <f t="array" aca="1" ref="F13" ca="1">IFERROR(SUMPRODUCT(('Planning Engine'!$B$4:$B$2500="188mg LP - EU Stock")*('Planning Engine'!$A$4:$A$2500&gt;=Controls!$B$5)*('Planning Engine'!$A$4:$A$2500&lt;=EDATE(Controls!$B$5,Controls!$B$7))*'Planning Engine'!$J$4:$J$2500)/MAX(1,SUMPRODUCT(('Planning Engine'!$B$4:$B$2500="188mg LP - EU Stock")*('Planning Engine'!$A$4:$A$2500&gt;=Controls!$B$5)*('Planning Engine'!$A$4:$A$2500&lt;=EDATE(Controls!$B$5,Controls!$B$7))*('Planning Engine'!$J$4:$J$2500&gt;0))),0)</f>
        <v>0</v>
      </c>
      <c r="G13" s="271" cm="1">
        <f t="array" aca="1" ref="G13" ca="1">IFERROR(SUMPRODUCT(('Planning Engine'!$B$4:$B$2500="188mg LP - EU Stock")*('Planning Engine'!$A$4:$A$2500&gt;=Controls!$B$5)*('Planning Engine'!$A$4:$A$2500&lt;=EDATE(Controls!$B$5,Controls!$B$7))*'Planning Engine'!$K$4:$K$2500),0)</f>
        <v>0</v>
      </c>
      <c r="H13" s="273" t="str" cm="1">
        <f t="array" aca="1" ref="H13" ca="1">IFERROR(IF(SUMPRODUCT(('Planning Engine'!$B$4:$B$2500="188mg LP - EU Stock")*('Planning Engine'!$A$4:$A$2500&gt;=Controls!$B$5)*('Planning Engine'!$A$4:$A$2500&lt;=EDATE(Controls!$B$5,Controls!$B$7))*('Planning Engine'!$L$4:$L$2500="High"))&gt;0,"High",IF(SUMPRODUCT(('Planning Engine'!$B$4:$B$2500="188mg LP - EU Stock")*('Planning Engine'!$A$4:$A$2500&gt;=Controls!$B$5)*('Planning Engine'!$A$4:$A$2500&lt;=EDATE(Controls!$B$5,Controls!$B$7))*('Planning Engine'!$L$4:$L$2500="Medium"))&gt;0,"Medium","Low")),"")</f>
        <v>High</v>
      </c>
      <c r="I13" s="273" t="str">
        <f>IFERROR(VLOOKUP("188mg LP - EU Stock",Controls!$A:$K,10,0),"")</f>
        <v>Patheon (L&amp;P EU)</v>
      </c>
    </row>
    <row r="14" spans="1:20" ht="16" customHeight="1" x14ac:dyDescent="0.35">
      <c r="A14" s="274" t="s">
        <v>960</v>
      </c>
      <c r="B14" s="275" t="s">
        <v>28</v>
      </c>
      <c r="C14" s="276" cm="1">
        <f t="array" ref="C14">IFERROR(SUMPRODUCT(('Planning Engine'!$B$4:$B$2500="47mg LP - EU Stock")*('Planning Engine'!$A$4:$A$2500&gt;=Controls!$B$5)*('Planning Engine'!$A$4:$A$2500&lt;=EDATE(Controls!$B$5,Controls!$B$7))*'Planning Engine'!$F$4:$F$2500),0)</f>
        <v>0</v>
      </c>
      <c r="D14" s="276" cm="1">
        <f t="array" ref="D14">IFERROR(SUMPRODUCT(('Planning Engine'!$B$4:$B$2500="47mg LP - EU Stock")*('Planning Engine'!$A$4:$A$2500&gt;=Controls!$B$5)*('Planning Engine'!$A$4:$A$2500&lt;=EDATE(Controls!$B$5,Controls!$B$7))*'Planning Engine'!$G$4:$G$2500),0)</f>
        <v>0</v>
      </c>
      <c r="E14" s="276" cm="1">
        <f t="array" ref="E14">IFERROR(SUMPRODUCT(('Planning Engine'!$B$4:$B$2500="47mg LP - EU Stock")*('Planning Engine'!$A$4:$A$2500=EDATE(Controls!$B$5,Controls!$B$7))*'Planning Engine'!$H$4:$H$2500),0)</f>
        <v>0</v>
      </c>
      <c r="F14" s="277" cm="1">
        <f t="array" aca="1" ref="F14" ca="1">IFERROR(SUMPRODUCT(('Planning Engine'!$B$4:$B$2500="47mg LP - EU Stock")*('Planning Engine'!$A$4:$A$2500&gt;=Controls!$B$5)*('Planning Engine'!$A$4:$A$2500&lt;=EDATE(Controls!$B$5,Controls!$B$7))*'Planning Engine'!$J$4:$J$2500)/MAX(1,SUMPRODUCT(('Planning Engine'!$B$4:$B$2500="47mg LP - EU Stock")*('Planning Engine'!$A$4:$A$2500&gt;=Controls!$B$5)*('Planning Engine'!$A$4:$A$2500&lt;=EDATE(Controls!$B$5,Controls!$B$7))*('Planning Engine'!$J$4:$J$2500&gt;0))),0)</f>
        <v>0</v>
      </c>
      <c r="G14" s="276" cm="1">
        <f t="array" aca="1" ref="G14" ca="1">IFERROR(SUMPRODUCT(('Planning Engine'!$B$4:$B$2500="47mg LP - EU Stock")*('Planning Engine'!$A$4:$A$2500&gt;=Controls!$B$5)*('Planning Engine'!$A$4:$A$2500&lt;=EDATE(Controls!$B$5,Controls!$B$7))*'Planning Engine'!$K$4:$K$2500),0)</f>
        <v>0</v>
      </c>
      <c r="H14" s="278" t="str" cm="1">
        <f t="array" aca="1" ref="H14" ca="1">IFERROR(IF(SUMPRODUCT(('Planning Engine'!$B$4:$B$2500="47mg LP - EU Stock")*('Planning Engine'!$A$4:$A$2500&gt;=Controls!$B$5)*('Planning Engine'!$A$4:$A$2500&lt;=EDATE(Controls!$B$5,Controls!$B$7))*('Planning Engine'!$L$4:$L$2500="High"))&gt;0,"High",IF(SUMPRODUCT(('Planning Engine'!$B$4:$B$2500="47mg LP - EU Stock")*('Planning Engine'!$A$4:$A$2500&gt;=Controls!$B$5)*('Planning Engine'!$A$4:$A$2500&lt;=EDATE(Controls!$B$5,Controls!$B$7))*('Planning Engine'!$L$4:$L$2500="Medium"))&gt;0,"Medium","Low")),"")</f>
        <v>High</v>
      </c>
      <c r="I14" s="278" t="str">
        <f>IFERROR(VLOOKUP("47mg LP - EU Stock",Controls!$A:$K,10,0),"")</f>
        <v>Patheon (L&amp;P EU)</v>
      </c>
    </row>
    <row r="15" spans="1:20" ht="16" customHeight="1" x14ac:dyDescent="0.35">
      <c r="A15" s="290" t="s">
        <v>36</v>
      </c>
      <c r="B15" s="291" t="s">
        <v>38</v>
      </c>
      <c r="C15" s="292" cm="1">
        <f t="array" ref="C15">IFERROR(SUMPRODUCT(('Planning Engine'!$B$4:$B$2500="200mg DP")*('Planning Engine'!$A$4:$A$2500&gt;=Controls!$B$5)*('Planning Engine'!$A$4:$A$2500&lt;=EDATE(Controls!$B$5,Controls!$B$7))*'Planning Engine'!$F$4:$F$2500),0)</f>
        <v>35100</v>
      </c>
      <c r="D15" s="292" cm="1">
        <f t="array" ref="D15">IFERROR(SUMPRODUCT(('Planning Engine'!$B$4:$B$2500="200mg DP")*('Planning Engine'!$A$4:$A$2500&gt;=Controls!$B$5)*('Planning Engine'!$A$4:$A$2500&lt;=EDATE(Controls!$B$5,Controls!$B$7))*'Planning Engine'!$G$4:$G$2500),0)</f>
        <v>32400</v>
      </c>
      <c r="E15" s="292" cm="1">
        <f t="array" ref="E15">IFERROR(SUMPRODUCT(('Planning Engine'!$B$4:$B$2500="200mg DP")*('Planning Engine'!$A$4:$A$2500=EDATE(Controls!$B$5,Controls!$B$7))*'Planning Engine'!$H$4:$H$2500),0)</f>
        <v>2628</v>
      </c>
      <c r="F15" s="293" cm="1">
        <f t="array" aca="1" ref="F15" ca="1">IFERROR(SUMPRODUCT(('Planning Engine'!$B$4:$B$2500="200mg DP")*('Planning Engine'!$A$4:$A$2500&gt;=Controls!$B$5)*('Planning Engine'!$A$4:$A$2500&lt;=EDATE(Controls!$B$5,Controls!$B$7))*'Planning Engine'!$J$4:$J$2500)/MAX(1,SUMPRODUCT(('Planning Engine'!$B$4:$B$2500="200mg DP")*('Planning Engine'!$A$4:$A$2500&gt;=Controls!$B$5)*('Planning Engine'!$A$4:$A$2500&lt;=EDATE(Controls!$B$5,Controls!$B$7))*('Planning Engine'!$J$4:$J$2500&gt;0))),0)</f>
        <v>631.3565092217724</v>
      </c>
      <c r="G15" s="292" cm="1">
        <f t="array" aca="1" ref="G15" ca="1">IFERROR(SUMPRODUCT(('Planning Engine'!$B$4:$B$2500="200mg DP")*('Planning Engine'!$A$4:$A$2500&gt;=Controls!$B$5)*('Planning Engine'!$A$4:$A$2500&lt;=EDATE(Controls!$B$5,Controls!$B$7))*'Planning Engine'!$K$4:$K$2500),0)</f>
        <v>1458000</v>
      </c>
      <c r="H15" s="294" t="str" cm="1">
        <f t="array" aca="1" ref="H15" ca="1">IFERROR(IF(SUMPRODUCT(('Planning Engine'!$B$4:$B$2500="200mg DP")*('Planning Engine'!$A$4:$A$2500&gt;=Controls!$B$5)*('Planning Engine'!$A$4:$A$2500&lt;=EDATE(Controls!$B$5,Controls!$B$7))*('Planning Engine'!$L$4:$L$2500="High"))&gt;0,"High",IF(SUMPRODUCT(('Planning Engine'!$B$4:$B$2500="200mg DP")*('Planning Engine'!$A$4:$A$2500&gt;=Controls!$B$5)*('Planning Engine'!$A$4:$A$2500&lt;=EDATE(Controls!$B$5,Controls!$B$7))*('Planning Engine'!$L$4:$L$2500="Medium"))&gt;0,"Medium","Low")),"")</f>
        <v>High</v>
      </c>
      <c r="I15" s="294" t="str">
        <f>IFERROR(VLOOKUP("200mg DP",Controls!$A:$K,10,0),"")</f>
        <v>Catalent</v>
      </c>
    </row>
    <row r="16" spans="1:20" ht="16" customHeight="1" x14ac:dyDescent="0.35">
      <c r="A16" s="274" t="s">
        <v>43</v>
      </c>
      <c r="B16" s="296" t="s">
        <v>38</v>
      </c>
      <c r="C16" s="276" cm="1">
        <f t="array" ref="C16">IFERROR(SUMPRODUCT(('Planning Engine'!$B$4:$B$2500="50mg DP")*('Planning Engine'!$A$4:$A$2500&gt;=Controls!$B$5)*('Planning Engine'!$A$4:$A$2500&lt;=EDATE(Controls!$B$5,Controls!$B$7))*'Planning Engine'!$F$4:$F$2500),0)</f>
        <v>5</v>
      </c>
      <c r="D16" s="276" cm="1">
        <f t="array" ref="D16">IFERROR(SUMPRODUCT(('Planning Engine'!$B$4:$B$2500="50mg DP")*('Planning Engine'!$A$4:$A$2500&gt;=Controls!$B$5)*('Planning Engine'!$A$4:$A$2500&lt;=EDATE(Controls!$B$5,Controls!$B$7))*'Planning Engine'!$G$4:$G$2500),0)</f>
        <v>80000</v>
      </c>
      <c r="E16" s="276" cm="1">
        <f t="array" ref="E16">IFERROR(SUMPRODUCT(('Planning Engine'!$B$4:$B$2500="50mg DP")*('Planning Engine'!$A$4:$A$2500=EDATE(Controls!$B$5,Controls!$B$7))*'Planning Engine'!$H$4:$H$2500),0)</f>
        <v>158107</v>
      </c>
      <c r="F16" s="277" cm="1">
        <f t="array" aca="1" ref="F16" ca="1">IFERROR(SUMPRODUCT(('Planning Engine'!$B$4:$B$2500="50mg DP")*('Planning Engine'!$A$4:$A$2500&gt;=Controls!$B$5)*('Planning Engine'!$A$4:$A$2500&lt;=EDATE(Controls!$B$5,Controls!$B$7))*'Planning Engine'!$J$4:$J$2500)/MAX(1,SUMPRODUCT(('Planning Engine'!$B$4:$B$2500="50mg DP")*('Planning Engine'!$A$4:$A$2500&gt;=Controls!$B$5)*('Planning Engine'!$A$4:$A$2500&lt;=EDATE(Controls!$B$5,Controls!$B$7))*('Planning Engine'!$J$4:$J$2500&gt;0))),0)</f>
        <v>6067.3736842105263</v>
      </c>
      <c r="G16" s="276" cm="1">
        <f t="array" aca="1" ref="G16" ca="1">IFERROR(SUMPRODUCT(('Planning Engine'!$B$4:$B$2500="50mg DP")*('Planning Engine'!$A$4:$A$2500&gt;=Controls!$B$5)*('Planning Engine'!$A$4:$A$2500&lt;=EDATE(Controls!$B$5,Controls!$B$7))*'Planning Engine'!$K$4:$K$2500),0)</f>
        <v>0</v>
      </c>
      <c r="H16" s="278" t="str" cm="1">
        <f t="array" aca="1" ref="H16" ca="1">IFERROR(IF(SUMPRODUCT(('Planning Engine'!$B$4:$B$2500="50mg DP")*('Planning Engine'!$A$4:$A$2500&gt;=Controls!$B$5)*('Planning Engine'!$A$4:$A$2500&lt;=EDATE(Controls!$B$5,Controls!$B$7))*('Planning Engine'!$L$4:$L$2500="High"))&gt;0,"High",IF(SUMPRODUCT(('Planning Engine'!$B$4:$B$2500="50mg DP")*('Planning Engine'!$A$4:$A$2500&gt;=Controls!$B$5)*('Planning Engine'!$A$4:$A$2500&lt;=EDATE(Controls!$B$5,Controls!$B$7))*('Planning Engine'!$L$4:$L$2500="Medium"))&gt;0,"Medium","Low")),"")</f>
        <v>Low</v>
      </c>
      <c r="I16" s="278" t="str">
        <f>IFERROR(VLOOKUP("50mg DP",Controls!$A:$K,10,0),"")</f>
        <v>Patheon PDS-1</v>
      </c>
    </row>
    <row r="17" spans="1:9" ht="16" customHeight="1" x14ac:dyDescent="0.35">
      <c r="A17" s="269" t="s">
        <v>45</v>
      </c>
      <c r="B17" s="295" t="s">
        <v>47</v>
      </c>
      <c r="C17" s="271" cm="1">
        <f t="array" ref="C17">IFERROR(SUMPRODUCT(('Planning Engine'!$B$4:$B$2500="Drug Substance")*('Planning Engine'!$A$4:$A$2500&gt;=Controls!$B$5)*('Planning Engine'!$A$4:$A$2500&lt;=EDATE(Controls!$B$5,Controls!$B$7))*'Planning Engine'!$F$4:$F$2500),0)</f>
        <v>14.2</v>
      </c>
      <c r="D17" s="271" cm="1">
        <f t="array" ref="D17">IFERROR(SUMPRODUCT(('Planning Engine'!$B$4:$B$2500="Drug Substance")*('Planning Engine'!$A$4:$A$2500&gt;=Controls!$B$5)*('Planning Engine'!$A$4:$A$2500&lt;=EDATE(Controls!$B$5,Controls!$B$7))*'Planning Engine'!$G$4:$G$2500),0)</f>
        <v>60.2</v>
      </c>
      <c r="E17" s="271" cm="1">
        <f t="array" ref="E17">IFERROR(SUMPRODUCT(('Planning Engine'!$B$4:$B$2500="Drug Substance")*('Planning Engine'!$A$4:$A$2500=EDATE(Controls!$B$5,Controls!$B$7))*'Planning Engine'!$H$4:$H$2500),0)</f>
        <v>129.81999999999996</v>
      </c>
      <c r="F17" s="272" cm="1">
        <f t="array" aca="1" ref="F17" ca="1">IFERROR(SUMPRODUCT(('Planning Engine'!$B$4:$B$2500="Drug Substance")*('Planning Engine'!$A$4:$A$2500&gt;=Controls!$B$5)*('Planning Engine'!$A$4:$A$2500&lt;=EDATE(Controls!$B$5,Controls!$B$7))*'Planning Engine'!$J$4:$J$2500)/MAX(1,SUMPRODUCT(('Planning Engine'!$B$4:$B$2500="Drug Substance")*('Planning Engine'!$A$4:$A$2500&gt;=Controls!$B$5)*('Planning Engine'!$A$4:$A$2500&lt;=EDATE(Controls!$B$5,Controls!$B$7))*('Planning Engine'!$J$4:$J$2500&gt;0))),0)</f>
        <v>799.96303418031403</v>
      </c>
      <c r="G17" s="271" cm="1">
        <f t="array" aca="1" ref="G17" ca="1">IFERROR(SUMPRODUCT(('Planning Engine'!$B$4:$B$2500="Drug Substance")*('Planning Engine'!$A$4:$A$2500&gt;=Controls!$B$5)*('Planning Engine'!$A$4:$A$2500&lt;=EDATE(Controls!$B$5,Controls!$B$7))*'Planning Engine'!$K$4:$K$2500),0)</f>
        <v>0</v>
      </c>
      <c r="H17" s="273" t="str" cm="1">
        <f t="array" aca="1" ref="H17" ca="1">IFERROR(IF(SUMPRODUCT(('Planning Engine'!$B$4:$B$2500="Drug Substance")*('Planning Engine'!$A$4:$A$2500&gt;=Controls!$B$5)*('Planning Engine'!$A$4:$A$2500&lt;=EDATE(Controls!$B$5,Controls!$B$7))*('Planning Engine'!$L$4:$L$2500="High"))&gt;0,"High",IF(SUMPRODUCT(('Planning Engine'!$B$4:$B$2500="Drug Substance")*('Planning Engine'!$A$4:$A$2500&gt;=Controls!$B$5)*('Planning Engine'!$A$4:$A$2500&lt;=EDATE(Controls!$B$5,Controls!$B$7))*('Planning Engine'!$L$4:$L$2500="Medium"))&gt;0,"Medium","Low")),"")</f>
        <v>Low</v>
      </c>
      <c r="I17" s="273" t="str">
        <f>IFERROR(VLOOKUP("Drug Substance",Controls!$A:$K,10,0),"")</f>
        <v>ST Pharm (Oligo P1 F2)</v>
      </c>
    </row>
    <row r="18" spans="1:9" ht="16" customHeight="1" x14ac:dyDescent="0.35">
      <c r="A18" s="274" t="s">
        <v>54</v>
      </c>
      <c r="B18" s="296" t="s">
        <v>52</v>
      </c>
      <c r="C18" s="276" cm="1">
        <f t="array" ref="C18">IFERROR(SUMPRODUCT(('Planning Engine'!$B$4:$B$2500="APAD")*('Planning Engine'!$A$4:$A$2500&gt;=Controls!$B$5)*('Planning Engine'!$A$4:$A$2500&lt;=EDATE(Controls!$B$5,Controls!$B$7))*'Planning Engine'!$F$4:$F$2500),0)</f>
        <v>411.04000000000008</v>
      </c>
      <c r="D18" s="276" cm="1">
        <f t="array" ref="D18">IFERROR(SUMPRODUCT(('Planning Engine'!$B$4:$B$2500="APAD")*('Planning Engine'!$A$4:$A$2500&gt;=Controls!$B$5)*('Planning Engine'!$A$4:$A$2500&lt;=EDATE(Controls!$B$5,Controls!$B$7))*'Planning Engine'!$G$4:$G$2500),0)</f>
        <v>165</v>
      </c>
      <c r="E18" s="276" cm="1">
        <f t="array" ref="E18">IFERROR(SUMPRODUCT(('Planning Engine'!$B$4:$B$2500="APAD")*('Planning Engine'!$A$4:$A$2500=EDATE(Controls!$B$5,Controls!$B$7))*'Planning Engine'!$H$4:$H$2500),0)</f>
        <v>128.80000000000004</v>
      </c>
      <c r="F18" s="277" cm="1">
        <f t="array" aca="1" ref="F18" ca="1">IFERROR(SUMPRODUCT(('Planning Engine'!$B$4:$B$2500="APAD")*('Planning Engine'!$A$4:$A$2500&gt;=Controls!$B$5)*('Planning Engine'!$A$4:$A$2500&lt;=EDATE(Controls!$B$5,Controls!$B$7))*'Planning Engine'!$J$4:$J$2500)/MAX(1,SUMPRODUCT(('Planning Engine'!$B$4:$B$2500="APAD")*('Planning Engine'!$A$4:$A$2500&gt;=Controls!$B$5)*('Planning Engine'!$A$4:$A$2500&lt;=EDATE(Controls!$B$5,Controls!$B$7))*('Planning Engine'!$J$4:$J$2500&gt;0))),0)</f>
        <v>161.5625985945791</v>
      </c>
      <c r="G18" s="276" cm="1">
        <f t="array" aca="1" ref="G18" ca="1">IFERROR(SUMPRODUCT(('Planning Engine'!$B$4:$B$2500="APAD")*('Planning Engine'!$A$4:$A$2500&gt;=Controls!$B$5)*('Planning Engine'!$A$4:$A$2500&lt;=EDATE(Controls!$B$5,Controls!$B$7))*'Planning Engine'!$K$4:$K$2500),0)</f>
        <v>165</v>
      </c>
      <c r="H18" s="278" t="str" cm="1">
        <f t="array" aca="1" ref="H18" ca="1">IFERROR(IF(SUMPRODUCT(('Planning Engine'!$B$4:$B$2500="APAD")*('Planning Engine'!$A$4:$A$2500&gt;=Controls!$B$5)*('Planning Engine'!$A$4:$A$2500&lt;=EDATE(Controls!$B$5,Controls!$B$7))*('Planning Engine'!$L$4:$L$2500="High"))&gt;0,"High",IF(SUMPRODUCT(('Planning Engine'!$B$4:$B$2500="APAD")*('Planning Engine'!$A$4:$A$2500&gt;=Controls!$B$5)*('Planning Engine'!$A$4:$A$2500&lt;=EDATE(Controls!$B$5,Controls!$B$7))*('Planning Engine'!$L$4:$L$2500="Medium"))&gt;0,"Medium","Low")),"")</f>
        <v>High</v>
      </c>
      <c r="I18" s="278" t="str">
        <f>IFERROR(VLOOKUP("APAD",Controls!$A:$K,10,0),"")</f>
        <v>ST Pharm</v>
      </c>
    </row>
    <row r="19" spans="1:9" ht="16" customHeight="1" x14ac:dyDescent="0.35">
      <c r="A19" s="269" t="s">
        <v>56</v>
      </c>
      <c r="B19" s="295" t="s">
        <v>52</v>
      </c>
      <c r="C19" s="271" cm="1">
        <f t="array" ref="C19">IFERROR(SUMPRODUCT(('Planning Engine'!$B$4:$B$2500="APC")*('Planning Engine'!$A$4:$A$2500&gt;=Controls!$B$5)*('Planning Engine'!$A$4:$A$2500&lt;=EDATE(Controls!$B$5,Controls!$B$7))*'Planning Engine'!$F$4:$F$2500),0)</f>
        <v>86.240000000000009</v>
      </c>
      <c r="D19" s="271" cm="1">
        <f t="array" ref="D19">IFERROR(SUMPRODUCT(('Planning Engine'!$B$4:$B$2500="APC")*('Planning Engine'!$A$4:$A$2500&gt;=Controls!$B$5)*('Planning Engine'!$A$4:$A$2500&lt;=EDATE(Controls!$B$5,Controls!$B$7))*'Planning Engine'!$G$4:$G$2500),0)</f>
        <v>40</v>
      </c>
      <c r="E19" s="271" cm="1">
        <f t="array" ref="E19">IFERROR(SUMPRODUCT(('Planning Engine'!$B$4:$B$2500="APC")*('Planning Engine'!$A$4:$A$2500=EDATE(Controls!$B$5,Controls!$B$7))*'Planning Engine'!$H$4:$H$2500),0)</f>
        <v>32.679999999999986</v>
      </c>
      <c r="F19" s="272" cm="1">
        <f t="array" aca="1" ref="F19" ca="1">IFERROR(SUMPRODUCT(('Planning Engine'!$B$4:$B$2500="APC")*('Planning Engine'!$A$4:$A$2500&gt;=Controls!$B$5)*('Planning Engine'!$A$4:$A$2500&lt;=EDATE(Controls!$B$5,Controls!$B$7))*'Planning Engine'!$J$4:$J$2500)/MAX(1,SUMPRODUCT(('Planning Engine'!$B$4:$B$2500="APC")*('Planning Engine'!$A$4:$A$2500&gt;=Controls!$B$5)*('Planning Engine'!$A$4:$A$2500&lt;=EDATE(Controls!$B$5,Controls!$B$7))*('Planning Engine'!$J$4:$J$2500&gt;0))),0)</f>
        <v>161.74350649350652</v>
      </c>
      <c r="G19" s="271" cm="1">
        <f t="array" aca="1" ref="G19" ca="1">IFERROR(SUMPRODUCT(('Planning Engine'!$B$4:$B$2500="APC")*('Planning Engine'!$A$4:$A$2500&gt;=Controls!$B$5)*('Planning Engine'!$A$4:$A$2500&lt;=EDATE(Controls!$B$5,Controls!$B$7))*'Planning Engine'!$K$4:$K$2500),0)</f>
        <v>0</v>
      </c>
      <c r="H19" s="273" t="str" cm="1">
        <f t="array" aca="1" ref="H19" ca="1">IFERROR(IF(SUMPRODUCT(('Planning Engine'!$B$4:$B$2500="APC")*('Planning Engine'!$A$4:$A$2500&gt;=Controls!$B$5)*('Planning Engine'!$A$4:$A$2500&lt;=EDATE(Controls!$B$5,Controls!$B$7))*('Planning Engine'!$L$4:$L$2500="High"))&gt;0,"High",IF(SUMPRODUCT(('Planning Engine'!$B$4:$B$2500="APC")*('Planning Engine'!$A$4:$A$2500&gt;=Controls!$B$5)*('Planning Engine'!$A$4:$A$2500&lt;=EDATE(Controls!$B$5,Controls!$B$7))*('Planning Engine'!$L$4:$L$2500="Medium"))&gt;0,"Medium","Low")),"")</f>
        <v>High</v>
      </c>
      <c r="I19" s="273" t="str">
        <f>IFERROR(VLOOKUP("APC",Controls!$A:$K,10,0),"")</f>
        <v>ST Pharm</v>
      </c>
    </row>
    <row r="20" spans="1:9" ht="16" customHeight="1" x14ac:dyDescent="0.35">
      <c r="A20" s="274" t="s">
        <v>57</v>
      </c>
      <c r="B20" s="296" t="s">
        <v>52</v>
      </c>
      <c r="C20" s="276" cm="1">
        <f t="array" ref="C20">IFERROR(SUMPRODUCT(('Planning Engine'!$B$4:$B$2500="APG")*('Planning Engine'!$A$4:$A$2500&gt;=Controls!$B$5)*('Planning Engine'!$A$4:$A$2500&lt;=EDATE(Controls!$B$5,Controls!$B$7))*'Planning Engine'!$F$4:$F$2500),0)</f>
        <v>308.84000000000003</v>
      </c>
      <c r="D20" s="276" cm="1">
        <f t="array" ref="D20">IFERROR(SUMPRODUCT(('Planning Engine'!$B$4:$B$2500="APG")*('Planning Engine'!$A$4:$A$2500&gt;=Controls!$B$5)*('Planning Engine'!$A$4:$A$2500&lt;=EDATE(Controls!$B$5,Controls!$B$7))*'Planning Engine'!$G$4:$G$2500),0)</f>
        <v>100</v>
      </c>
      <c r="E20" s="276" cm="1">
        <f t="array" ref="E20">IFERROR(SUMPRODUCT(('Planning Engine'!$B$4:$B$2500="APG")*('Planning Engine'!$A$4:$A$2500=EDATE(Controls!$B$5,Controls!$B$7))*'Planning Engine'!$H$4:$H$2500),0)</f>
        <v>106.67199999999997</v>
      </c>
      <c r="F20" s="277" cm="1">
        <f t="array" aca="1" ref="F20" ca="1">IFERROR(SUMPRODUCT(('Planning Engine'!$B$4:$B$2500="APG")*('Planning Engine'!$A$4:$A$2500&gt;=Controls!$B$5)*('Planning Engine'!$A$4:$A$2500&lt;=EDATE(Controls!$B$5,Controls!$B$7))*'Planning Engine'!$J$4:$J$2500)/MAX(1,SUMPRODUCT(('Planning Engine'!$B$4:$B$2500="APG")*('Planning Engine'!$A$4:$A$2500&gt;=Controls!$B$5)*('Planning Engine'!$A$4:$A$2500&lt;=EDATE(Controls!$B$5,Controls!$B$7))*('Planning Engine'!$J$4:$J$2500&gt;0))),0)</f>
        <v>162.04929617788807</v>
      </c>
      <c r="G20" s="276" cm="1">
        <f t="array" aca="1" ref="G20" ca="1">IFERROR(SUMPRODUCT(('Planning Engine'!$B$4:$B$2500="APG")*('Planning Engine'!$A$4:$A$2500&gt;=Controls!$B$5)*('Planning Engine'!$A$4:$A$2500&lt;=EDATE(Controls!$B$5,Controls!$B$7))*'Planning Engine'!$K$4:$K$2500),0)</f>
        <v>95</v>
      </c>
      <c r="H20" s="278" t="str" cm="1">
        <f t="array" aca="1" ref="H20" ca="1">IFERROR(IF(SUMPRODUCT(('Planning Engine'!$B$4:$B$2500="APG")*('Planning Engine'!$A$4:$A$2500&gt;=Controls!$B$5)*('Planning Engine'!$A$4:$A$2500&lt;=EDATE(Controls!$B$5,Controls!$B$7))*('Planning Engine'!$L$4:$L$2500="High"))&gt;0,"High",IF(SUMPRODUCT(('Planning Engine'!$B$4:$B$2500="APG")*('Planning Engine'!$A$4:$A$2500&gt;=Controls!$B$5)*('Planning Engine'!$A$4:$A$2500&lt;=EDATE(Controls!$B$5,Controls!$B$7))*('Planning Engine'!$L$4:$L$2500="Medium"))&gt;0,"Medium","Low")),"")</f>
        <v>High</v>
      </c>
      <c r="I20" s="278" t="str">
        <f>IFERROR(VLOOKUP("APG",Controls!$A:$K,10,0),"")</f>
        <v>ST Pharm</v>
      </c>
    </row>
    <row r="21" spans="1:9" ht="16" customHeight="1" x14ac:dyDescent="0.35">
      <c r="A21" s="269" t="s">
        <v>58</v>
      </c>
      <c r="B21" s="295" t="s">
        <v>52</v>
      </c>
      <c r="C21" s="271" cm="1">
        <f t="array" ref="C21">IFERROR(SUMPRODUCT(('Planning Engine'!$B$4:$B$2500="APT")*('Planning Engine'!$A$4:$A$2500&gt;=Controls!$B$5)*('Planning Engine'!$A$4:$A$2500&lt;=EDATE(Controls!$B$5,Controls!$B$7))*'Planning Engine'!$F$4:$F$2500),0)</f>
        <v>271.03999999999996</v>
      </c>
      <c r="D21" s="271" cm="1">
        <f t="array" ref="D21">IFERROR(SUMPRODUCT(('Planning Engine'!$B$4:$B$2500="APT")*('Planning Engine'!$A$4:$A$2500&gt;=Controls!$B$5)*('Planning Engine'!$A$4:$A$2500&lt;=EDATE(Controls!$B$5,Controls!$B$7))*'Planning Engine'!$G$4:$G$2500),0)</f>
        <v>165</v>
      </c>
      <c r="E21" s="271" cm="1">
        <f t="array" ref="E21">IFERROR(SUMPRODUCT(('Planning Engine'!$B$4:$B$2500="APT")*('Planning Engine'!$A$4:$A$2500=EDATE(Controls!$B$5,Controls!$B$7))*'Planning Engine'!$H$4:$H$2500),0)</f>
        <v>89.81</v>
      </c>
      <c r="F21" s="272" cm="1">
        <f t="array" aca="1" ref="F21" ca="1">IFERROR(SUMPRODUCT(('Planning Engine'!$B$4:$B$2500="APT")*('Planning Engine'!$A$4:$A$2500&gt;=Controls!$B$5)*('Planning Engine'!$A$4:$A$2500&lt;=EDATE(Controls!$B$5,Controls!$B$7))*'Planning Engine'!$J$4:$J$2500)/MAX(1,SUMPRODUCT(('Planning Engine'!$B$4:$B$2500="APT")*('Planning Engine'!$A$4:$A$2500&gt;=Controls!$B$5)*('Planning Engine'!$A$4:$A$2500&lt;=EDATE(Controls!$B$5,Controls!$B$7))*('Planning Engine'!$J$4:$J$2500&gt;0))),0)</f>
        <v>160.91144247498912</v>
      </c>
      <c r="G21" s="271" cm="1">
        <f t="array" aca="1" ref="G21" ca="1">IFERROR(SUMPRODUCT(('Planning Engine'!$B$4:$B$2500="APT")*('Planning Engine'!$A$4:$A$2500&gt;=Controls!$B$5)*('Planning Engine'!$A$4:$A$2500&lt;=EDATE(Controls!$B$5,Controls!$B$7))*'Planning Engine'!$K$4:$K$2500),0)</f>
        <v>0</v>
      </c>
      <c r="H21" s="273" t="str" cm="1">
        <f t="array" aca="1" ref="H21" ca="1">IFERROR(IF(SUMPRODUCT(('Planning Engine'!$B$4:$B$2500="APT")*('Planning Engine'!$A$4:$A$2500&gt;=Controls!$B$5)*('Planning Engine'!$A$4:$A$2500&lt;=EDATE(Controls!$B$5,Controls!$B$7))*('Planning Engine'!$L$4:$L$2500="High"))&gt;0,"High",IF(SUMPRODUCT(('Planning Engine'!$B$4:$B$2500="APT")*('Planning Engine'!$A$4:$A$2500&gt;=Controls!$B$5)*('Planning Engine'!$A$4:$A$2500&lt;=EDATE(Controls!$B$5,Controls!$B$7))*('Planning Engine'!$L$4:$L$2500="Medium"))&gt;0,"Medium","Low")),"")</f>
        <v>High</v>
      </c>
      <c r="I21" s="273" t="str">
        <f>IFERROR(VLOOKUP("APT",Controls!$A:$K,10,0),"")</f>
        <v>ST Pharm</v>
      </c>
    </row>
    <row r="22" spans="1:9" ht="16" customHeight="1" x14ac:dyDescent="0.35">
      <c r="A22" s="274" t="s">
        <v>50</v>
      </c>
      <c r="B22" s="296" t="s">
        <v>52</v>
      </c>
      <c r="C22" s="276" cm="1">
        <f t="array" ref="C22">IFERROR(SUMPRODUCT(('Planning Engine'!$B$4:$B$2500="LLPS")*('Planning Engine'!$A$4:$A$2500&gt;=Controls!$B$5)*('Planning Engine'!$A$4:$A$2500&lt;=EDATE(Controls!$B$5,Controls!$B$7))*'Planning Engine'!$F$4:$F$2500),0)</f>
        <v>93.800000000000011</v>
      </c>
      <c r="D22" s="276" cm="1">
        <f t="array" ref="D22">IFERROR(SUMPRODUCT(('Planning Engine'!$B$4:$B$2500="LLPS")*('Planning Engine'!$A$4:$A$2500&gt;=Controls!$B$5)*('Planning Engine'!$A$4:$A$2500&lt;=EDATE(Controls!$B$5,Controls!$B$7))*'Planning Engine'!$G$4:$G$2500),0)</f>
        <v>175</v>
      </c>
      <c r="E22" s="276" cm="1">
        <f t="array" ref="E22">IFERROR(SUMPRODUCT(('Planning Engine'!$B$4:$B$2500="LLPS")*('Planning Engine'!$A$4:$A$2500=EDATE(Controls!$B$5,Controls!$B$7))*'Planning Engine'!$H$4:$H$2500),0)</f>
        <v>177.28999999999996</v>
      </c>
      <c r="F22" s="277" cm="1">
        <f t="array" aca="1" ref="F22" ca="1">IFERROR(SUMPRODUCT(('Planning Engine'!$B$4:$B$2500="LLPS")*('Planning Engine'!$A$4:$A$2500&gt;=Controls!$B$5)*('Planning Engine'!$A$4:$A$2500&lt;=EDATE(Controls!$B$5,Controls!$B$7))*'Planning Engine'!$J$4:$J$2500)/MAX(1,SUMPRODUCT(('Planning Engine'!$B$4:$B$2500="LLPS")*('Planning Engine'!$A$4:$A$2500&gt;=Controls!$B$5)*('Planning Engine'!$A$4:$A$2500&lt;=EDATE(Controls!$B$5,Controls!$B$7))*('Planning Engine'!$J$4:$J$2500&gt;0))),0)</f>
        <v>165.84693637077768</v>
      </c>
      <c r="G22" s="276" cm="1">
        <f t="array" aca="1" ref="G22" ca="1">IFERROR(SUMPRODUCT(('Planning Engine'!$B$4:$B$2500="LLPS")*('Planning Engine'!$A$4:$A$2500&gt;=Controls!$B$5)*('Planning Engine'!$A$4:$A$2500&lt;=EDATE(Controls!$B$5,Controls!$B$7))*'Planning Engine'!$K$4:$K$2500),0)</f>
        <v>0</v>
      </c>
      <c r="H22" s="278" t="str" cm="1">
        <f t="array" aca="1" ref="H22" ca="1">IFERROR(IF(SUMPRODUCT(('Planning Engine'!$B$4:$B$2500="LLPS")*('Planning Engine'!$A$4:$A$2500&gt;=Controls!$B$5)*('Planning Engine'!$A$4:$A$2500&lt;=EDATE(Controls!$B$5,Controls!$B$7))*('Planning Engine'!$L$4:$L$2500="High"))&gt;0,"High",IF(SUMPRODUCT(('Planning Engine'!$B$4:$B$2500="LLPS")*('Planning Engine'!$A$4:$A$2500&gt;=Controls!$B$5)*('Planning Engine'!$A$4:$A$2500&lt;=EDATE(Controls!$B$5,Controls!$B$7))*('Planning Engine'!$L$4:$L$2500="Medium"))&gt;0,"Medium","Low")),"")</f>
        <v>Low</v>
      </c>
      <c r="I22" s="278" t="str">
        <f>IFERROR(VLOOKUP("LLPS",Controls!$A:$K,10,0),"")</f>
        <v>Kinovate</v>
      </c>
    </row>
    <row r="23" spans="1:9" ht="16" customHeight="1" x14ac:dyDescent="0.35">
      <c r="A23" s="269" t="s">
        <v>923</v>
      </c>
      <c r="B23" s="295" t="s">
        <v>52</v>
      </c>
      <c r="C23" s="271" cm="1">
        <f t="array" ref="C23">IFERROR(SUMPRODUCT(('Planning Engine'!$B$4:$B$2500="47mg Clinical")*('Planning Engine'!$A$4:$A$2500&gt;=Controls!$B$5)*('Planning Engine'!$A$4:$A$2500&lt;=EDATE(Controls!$B$5,Controls!$B$7))*'Planning Engine'!$F$4:$F$2500),0)</f>
        <v>0</v>
      </c>
      <c r="D23" s="271" cm="1">
        <f t="array" ref="D23">IFERROR(SUMPRODUCT(('Planning Engine'!$B$4:$B$2500="47mg Clinical")*('Planning Engine'!$A$4:$A$2500&gt;=Controls!$B$5)*('Planning Engine'!$A$4:$A$2500&lt;=EDATE(Controls!$B$5,Controls!$B$7))*'Planning Engine'!$G$4:$G$2500),0)</f>
        <v>0</v>
      </c>
      <c r="E23" s="271" cm="1">
        <f t="array" ref="E23">IFERROR(SUMPRODUCT(('Planning Engine'!$B$4:$B$2500="47mg Clinical")*('Planning Engine'!$A$4:$A$2500=EDATE(Controls!$B$5,Controls!$B$7))*'Planning Engine'!$H$4:$H$2500),0)</f>
        <v>3500</v>
      </c>
      <c r="F23" s="272" cm="1">
        <f t="array" aca="1" ref="F23" ca="1">IFERROR(SUMPRODUCT(('Planning Engine'!$B$4:$B$2500="47mg Clinical")*('Planning Engine'!$A$4:$A$2500&gt;=Controls!$B$5)*('Planning Engine'!$A$4:$A$2500&lt;=EDATE(Controls!$B$5,Controls!$B$7))*'Planning Engine'!$J$4:$J$2500)/MAX(1,SUMPRODUCT(('Planning Engine'!$B$4:$B$2500="APT")*('Planning Engine'!$A$4:$A$2500&gt;=Controls!$B$5)*('Planning Engine'!$A$4:$A$2500&lt;=EDATE(Controls!$B$5,Controls!$B$7))*('Planning Engine'!$J$4:$J$2500&gt;0))),0)</f>
        <v>999</v>
      </c>
      <c r="G23" s="271" cm="1">
        <f t="array" aca="1" ref="G23" ca="1">IFERROR(SUMPRODUCT(('Planning Engine'!$B$4:$B$2500="47mg Clinical")*('Planning Engine'!$A$4:$A$2500&gt;=Controls!$B$5)*('Planning Engine'!$A$4:$A$2500&lt;=EDATE(Controls!$B$5,Controls!$B$7))*'Planning Engine'!$K$4:$K$2500),0)</f>
        <v>0</v>
      </c>
      <c r="H23" s="273" t="str" cm="1">
        <f t="array" aca="1" ref="H23" ca="1">IFERROR(IF(SUMPRODUCT(('Planning Engine'!$B$4:$B$2500="47mg Clinical")*('Planning Engine'!$A$4:$A$2500&gt;=Controls!$B$5)*('Planning Engine'!$A$4:$A$2500&lt;=EDATE(Controls!$B$5,Controls!$B$7))*('Planning Engine'!$L$4:$L$2500="High"))&gt;0,"High",IF(SUMPRODUCT(('Planning Engine'!$B$4:$B$2500="APT")*('Planning Engine'!$A$4:$A$2500&gt;=Controls!$B$5)*('Planning Engine'!$A$4:$A$2500&lt;=EDATE(Controls!$B$5,Controls!$B$7))*('Planning Engine'!$L$4:$L$2500="Medium"))&gt;0,"Medium","Low")),"")</f>
        <v>Medium</v>
      </c>
      <c r="I23" s="273" t="str">
        <f>IFERROR(VLOOKUP("47mg Clinical",Controls!$A:$K,10,0),"")</f>
        <v>Fisher Clinical</v>
      </c>
    </row>
    <row r="25" spans="1:9" ht="18" customHeight="1" x14ac:dyDescent="0.35">
      <c r="A25" s="406" t="s">
        <v>660</v>
      </c>
      <c r="B25" s="395"/>
      <c r="C25" s="395"/>
      <c r="D25" s="395"/>
      <c r="E25" s="395"/>
      <c r="F25" s="395"/>
      <c r="G25" s="395"/>
      <c r="H25" s="395"/>
      <c r="I25" s="395"/>
    </row>
    <row r="26" spans="1:9" ht="20" customHeight="1" x14ac:dyDescent="0.35">
      <c r="A26" s="20" t="s">
        <v>428</v>
      </c>
      <c r="B26" s="20" t="s">
        <v>551</v>
      </c>
      <c r="C26" s="20" t="s">
        <v>661</v>
      </c>
      <c r="D26" s="20" t="s">
        <v>662</v>
      </c>
      <c r="E26" s="20" t="s">
        <v>433</v>
      </c>
      <c r="F26" s="20" t="s">
        <v>663</v>
      </c>
      <c r="G26" s="20" t="s">
        <v>556</v>
      </c>
      <c r="H26" s="20" t="s">
        <v>442</v>
      </c>
      <c r="I26" s="20" t="s">
        <v>16</v>
      </c>
    </row>
    <row r="27" spans="1:9" ht="15" customHeight="1" x14ac:dyDescent="0.35">
      <c r="A27" s="104">
        <f>IFERROR(EDATE(Controls!$B$5,0),"")</f>
        <v>46113</v>
      </c>
      <c r="B27" s="95" cm="1">
        <f t="array" ref="B27">IFERROR(SUMPRODUCT(('Planning Engine'!$B$4:$B$2500=$B$7)*('Planning Engine'!$A$4:$A$2500=EDATE(Controls!$B$5,0))*'Planning Engine'!$F$4:$F$2500),"--")</f>
        <v>2124.9921880618376</v>
      </c>
      <c r="C27" s="95" cm="1">
        <f t="array" ref="C27">IFERROR(SUMPRODUCT(('Planning Engine'!$B$4:$B$2500=$B$7)*('Planning Engine'!$A$4:$A$2500=EDATE(Controls!$B$5,0))*'Planning Engine'!$G$4:$G$2500),"--")</f>
        <v>0</v>
      </c>
      <c r="D27" s="95" cm="1">
        <f t="array" ref="D27">IFERROR(SUMPRODUCT(('Planning Engine'!$B$4:$B$2500=$B$7)*('Planning Engine'!$A$4:$A$2500=EDATE(Controls!$B$5,0))*'Planning Engine'!$H$4:$H$2500),"--")</f>
        <v>54920</v>
      </c>
      <c r="E27" s="96" cm="1">
        <f t="array" aca="1" ref="E27" ca="1">IFERROR(SUMPRODUCT(('Planning Engine'!$B$4:$B$2500=$B$7)*('Planning Engine'!$A$4:$A$2500=EDATE(Controls!$B$5,0))*'Planning Engine'!$J$4:$J$2500),"--")</f>
        <v>25.573635436818659</v>
      </c>
      <c r="F27" s="94" t="str" cm="1">
        <f t="array" aca="1" ref="F27" ca="1">IFERROR(SUMPRODUCT(('Planning Engine'!$B$4:$B$2500=$B$7)*('Planning Engine'!$A$4:$A$2500=EDATE(Controls!$B$5,0))*'Planning Engine'!$L$4:$L$2500),"--")</f>
        <v>--</v>
      </c>
      <c r="G27" s="104" cm="1">
        <f t="array" ref="G27">IFERROR(SUMPRODUCT(('Planning Engine'!$B$4:$B$2500=$B$7)*('Planning Engine'!$A$4:$A$2500=EDATE(Controls!$B$5,0))*'Planning Engine'!$S$4:$S$2500),"--")</f>
        <v>46023</v>
      </c>
      <c r="H27" s="95" cm="1">
        <f t="array" ref="H27">IFERROR(SUMPRODUCT(('Planning Engine'!$B$4:$B$2500=$B$7)*('Planning Engine'!$A$4:$A$2500=EDATE(Controls!$B$5,0))*'Planning Engine'!$T$4:$T$2500),"--")</f>
        <v>0</v>
      </c>
      <c r="I27" s="94" cm="1">
        <f t="array" ref="I27">IFERROR(SUMPRODUCT(('Planning Engine'!$B$4:$B$2500=$B$7)*('Planning Engine'!$A$4:$A$2500=EDATE(Controls!$B$5,0))*'Planning Engine'!$U$4:$U$2500),"--")</f>
        <v>0</v>
      </c>
    </row>
    <row r="28" spans="1:9" ht="15" customHeight="1" x14ac:dyDescent="0.35">
      <c r="A28" s="105">
        <f>IFERROR(EDATE(Controls!$B$5,1),"")</f>
        <v>46143</v>
      </c>
      <c r="B28" s="99" cm="1">
        <f t="array" ref="B28">IFERROR(SUMPRODUCT(('Planning Engine'!$B$4:$B$2500=$B$7)*('Planning Engine'!$A$4:$A$2500=EDATE(Controls!$B$5,1))*'Planning Engine'!$F$4:$F$2500),"--")</f>
        <v>2053.6576284117737</v>
      </c>
      <c r="C28" s="99" cm="1">
        <f t="array" ref="C28">IFERROR(SUMPRODUCT(('Planning Engine'!$B$4:$B$2500=$B$7)*('Planning Engine'!$A$4:$A$2500=EDATE(Controls!$B$5,1))*'Planning Engine'!$G$4:$G$2500),"--")</f>
        <v>0</v>
      </c>
      <c r="D28" s="99" cm="1">
        <f t="array" ref="D28">IFERROR(SUMPRODUCT(('Planning Engine'!$B$4:$B$2500=$B$7)*('Planning Engine'!$A$4:$A$2500=EDATE(Controls!$B$5,1))*'Planning Engine'!$H$4:$H$2500),"--")</f>
        <v>52866.342371588224</v>
      </c>
      <c r="E28" s="100" cm="1">
        <f t="array" aca="1" ref="E28" ca="1">IFERROR(SUMPRODUCT(('Planning Engine'!$B$4:$B$2500=$B$7)*('Planning Engine'!$A$4:$A$2500=EDATE(Controls!$B$5,1))*'Planning Engine'!$J$4:$J$2500),"--")</f>
        <v>23.631305155415088</v>
      </c>
      <c r="F28" s="98" t="str" cm="1">
        <f t="array" aca="1" ref="F28" ca="1">IFERROR(SUMPRODUCT(('Planning Engine'!$B$4:$B$2500=$B$7)*('Planning Engine'!$A$4:$A$2500=EDATE(Controls!$B$5,1))*'Planning Engine'!$L$4:$L$2500),"--")</f>
        <v>--</v>
      </c>
      <c r="G28" s="105" cm="1">
        <f t="array" ref="G28">IFERROR(SUMPRODUCT(('Planning Engine'!$B$4:$B$2500=$B$7)*('Planning Engine'!$A$4:$A$2500=EDATE(Controls!$B$5,1))*'Planning Engine'!$S$4:$S$2500),"--")</f>
        <v>46054</v>
      </c>
      <c r="H28" s="99" cm="1">
        <f t="array" ref="H28">IFERROR(SUMPRODUCT(('Planning Engine'!$B$4:$B$2500=$B$7)*('Planning Engine'!$A$4:$A$2500=EDATE(Controls!$B$5,1))*'Planning Engine'!$T$4:$T$2500),"--")</f>
        <v>0</v>
      </c>
      <c r="I28" s="98" cm="1">
        <f t="array" ref="I28">IFERROR(SUMPRODUCT(('Planning Engine'!$B$4:$B$2500=$B$7)*('Planning Engine'!$A$4:$A$2500=EDATE(Controls!$B$5,1))*'Planning Engine'!$U$4:$U$2500),"--")</f>
        <v>0</v>
      </c>
    </row>
    <row r="29" spans="1:9" ht="15" customHeight="1" x14ac:dyDescent="0.35">
      <c r="A29" s="104">
        <f>IFERROR(EDATE(Controls!$B$5,2),"")</f>
        <v>46174</v>
      </c>
      <c r="B29" s="95" cm="1">
        <f t="array" ref="B29">IFERROR(SUMPRODUCT(('Planning Engine'!$B$4:$B$2500=$B$7)*('Planning Engine'!$A$4:$A$2500=EDATE(Controls!$B$5,2))*'Planning Engine'!$F$4:$F$2500),"--")</f>
        <v>1789.3498301935292</v>
      </c>
      <c r="C29" s="95" cm="1">
        <f t="array" ref="C29">IFERROR(SUMPRODUCT(('Planning Engine'!$B$4:$B$2500=$B$7)*('Planning Engine'!$A$4:$A$2500=EDATE(Controls!$B$5,2))*'Planning Engine'!$G$4:$G$2500),"--")</f>
        <v>2700</v>
      </c>
      <c r="D29" s="95" cm="1">
        <f t="array" ref="D29">IFERROR(SUMPRODUCT(('Planning Engine'!$B$4:$B$2500=$B$7)*('Planning Engine'!$A$4:$A$2500=EDATE(Controls!$B$5,2))*'Planning Engine'!$H$4:$H$2500),"--")</f>
        <v>53776.992541394691</v>
      </c>
      <c r="E29" s="96" cm="1">
        <f t="array" aca="1" ref="E29" ca="1">IFERROR(SUMPRODUCT(('Planning Engine'!$B$4:$B$2500=$B$7)*('Planning Engine'!$A$4:$A$2500=EDATE(Controls!$B$5,2))*'Planning Engine'!$J$4:$J$2500),"--")</f>
        <v>23.819574599411254</v>
      </c>
      <c r="F29" s="94" t="str" cm="1">
        <f t="array" aca="1" ref="F29" ca="1">IFERROR(SUMPRODUCT(('Planning Engine'!$B$4:$B$2500=$B$7)*('Planning Engine'!$A$4:$A$2500=EDATE(Controls!$B$5,2))*'Planning Engine'!$L$4:$L$2500),"--")</f>
        <v>--</v>
      </c>
      <c r="G29" s="104" cm="1">
        <f t="array" ref="G29">IFERROR(SUMPRODUCT(('Planning Engine'!$B$4:$B$2500=$B$7)*('Planning Engine'!$A$4:$A$2500=EDATE(Controls!$B$5,2))*'Planning Engine'!$S$4:$S$2500),"--")</f>
        <v>46082</v>
      </c>
      <c r="H29" s="95" cm="1">
        <f t="array" ref="H29">IFERROR(SUMPRODUCT(('Planning Engine'!$B$4:$B$2500=$B$7)*('Planning Engine'!$A$4:$A$2500=EDATE(Controls!$B$5,2))*'Planning Engine'!$T$4:$T$2500),"--")</f>
        <v>2700</v>
      </c>
      <c r="I29" s="94" cm="1">
        <f t="array" ref="I29">IFERROR(SUMPRODUCT(('Planning Engine'!$B$4:$B$2500=$B$7)*('Planning Engine'!$A$4:$A$2500=EDATE(Controls!$B$5,2))*'Planning Engine'!$U$4:$U$2500),"--")</f>
        <v>0</v>
      </c>
    </row>
    <row r="30" spans="1:9" ht="15" customHeight="1" x14ac:dyDescent="0.35">
      <c r="A30" s="105">
        <f>IFERROR(EDATE(Controls!$B$5,3),"")</f>
        <v>46204</v>
      </c>
      <c r="B30" s="99" cm="1">
        <f t="array" ref="B30">IFERROR(SUMPRODUCT(('Planning Engine'!$B$4:$B$2500=$B$7)*('Planning Engine'!$A$4:$A$2500=EDATE(Controls!$B$5,3))*'Planning Engine'!$F$4:$F$2500),"--")</f>
        <v>2101.9326546434804</v>
      </c>
      <c r="C30" s="99" cm="1">
        <f t="array" ref="C30">IFERROR(SUMPRODUCT(('Planning Engine'!$B$4:$B$2500=$B$7)*('Planning Engine'!$A$4:$A$2500=EDATE(Controls!$B$5,3))*'Planning Engine'!$G$4:$G$2500),"--")</f>
        <v>0</v>
      </c>
      <c r="D30" s="99" cm="1">
        <f t="array" ref="D30">IFERROR(SUMPRODUCT(('Planning Engine'!$B$4:$B$2500=$B$7)*('Planning Engine'!$A$4:$A$2500=EDATE(Controls!$B$5,3))*'Planning Engine'!$H$4:$H$2500),"--")</f>
        <v>51675.059886751209</v>
      </c>
      <c r="E30" s="100" cm="1">
        <f t="array" aca="1" ref="E30" ca="1">IFERROR(SUMPRODUCT(('Planning Engine'!$B$4:$B$2500=$B$7)*('Planning Engine'!$A$4:$A$2500=EDATE(Controls!$B$5,3))*'Planning Engine'!$J$4:$J$2500),"--")</f>
        <v>22.088216074935303</v>
      </c>
      <c r="F30" s="98" t="str" cm="1">
        <f t="array" aca="1" ref="F30" ca="1">IFERROR(SUMPRODUCT(('Planning Engine'!$B$4:$B$2500=$B$7)*('Planning Engine'!$A$4:$A$2500=EDATE(Controls!$B$5,3))*'Planning Engine'!$L$4:$L$2500),"--")</f>
        <v>--</v>
      </c>
      <c r="G30" s="105" cm="1">
        <f t="array" ref="G30">IFERROR(SUMPRODUCT(('Planning Engine'!$B$4:$B$2500=$B$7)*('Planning Engine'!$A$4:$A$2500=EDATE(Controls!$B$5,3))*'Planning Engine'!$S$4:$S$2500),"--")</f>
        <v>46113</v>
      </c>
      <c r="H30" s="99" cm="1">
        <f t="array" ref="H30">IFERROR(SUMPRODUCT(('Planning Engine'!$B$4:$B$2500=$B$7)*('Planning Engine'!$A$4:$A$2500=EDATE(Controls!$B$5,3))*'Planning Engine'!$T$4:$T$2500),"--")</f>
        <v>0</v>
      </c>
      <c r="I30" s="98" cm="1">
        <f t="array" ref="I30">IFERROR(SUMPRODUCT(('Planning Engine'!$B$4:$B$2500=$B$7)*('Planning Engine'!$A$4:$A$2500=EDATE(Controls!$B$5,3))*'Planning Engine'!$U$4:$U$2500),"--")</f>
        <v>0</v>
      </c>
    </row>
    <row r="31" spans="1:9" ht="15" customHeight="1" x14ac:dyDescent="0.35">
      <c r="A31" s="104">
        <f>IFERROR(EDATE(Controls!$B$5,4),"")</f>
        <v>46235</v>
      </c>
      <c r="B31" s="95" cm="1">
        <f t="array" ref="B31">IFERROR(SUMPRODUCT(('Planning Engine'!$B$4:$B$2500=$B$7)*('Planning Engine'!$A$4:$A$2500=EDATE(Controls!$B$5,4))*'Planning Engine'!$F$4:$F$2500),"--")</f>
        <v>2300.2239886063553</v>
      </c>
      <c r="C31" s="95" cm="1">
        <f t="array" ref="C31">IFERROR(SUMPRODUCT(('Planning Engine'!$B$4:$B$2500=$B$7)*('Planning Engine'!$A$4:$A$2500=EDATE(Controls!$B$5,4))*'Planning Engine'!$G$4:$G$2500),"--")</f>
        <v>0</v>
      </c>
      <c r="D31" s="95" cm="1">
        <f t="array" ref="D31">IFERROR(SUMPRODUCT(('Planning Engine'!$B$4:$B$2500=$B$7)*('Planning Engine'!$A$4:$A$2500=EDATE(Controls!$B$5,4))*'Planning Engine'!$H$4:$H$2500),"--")</f>
        <v>49374.835898144855</v>
      </c>
      <c r="E31" s="96" cm="1">
        <f t="array" aca="1" ref="E31" ca="1">IFERROR(SUMPRODUCT(('Planning Engine'!$B$4:$B$2500=$B$7)*('Planning Engine'!$A$4:$A$2500=EDATE(Controls!$B$5,4))*'Planning Engine'!$J$4:$J$2500),"--")</f>
        <v>19.686808037251097</v>
      </c>
      <c r="F31" s="94" t="str" cm="1">
        <f t="array" aca="1" ref="F31" ca="1">IFERROR(SUMPRODUCT(('Planning Engine'!$B$4:$B$2500=$B$7)*('Planning Engine'!$A$4:$A$2500=EDATE(Controls!$B$5,4))*'Planning Engine'!$L$4:$L$2500),"--")</f>
        <v>--</v>
      </c>
      <c r="G31" s="104" cm="1">
        <f t="array" ref="G31">IFERROR(SUMPRODUCT(('Planning Engine'!$B$4:$B$2500=$B$7)*('Planning Engine'!$A$4:$A$2500=EDATE(Controls!$B$5,4))*'Planning Engine'!$S$4:$S$2500),"--")</f>
        <v>46143</v>
      </c>
      <c r="H31" s="95" cm="1">
        <f t="array" ref="H31">IFERROR(SUMPRODUCT(('Planning Engine'!$B$4:$B$2500=$B$7)*('Planning Engine'!$A$4:$A$2500=EDATE(Controls!$B$5,4))*'Planning Engine'!$T$4:$T$2500),"--")</f>
        <v>0</v>
      </c>
      <c r="I31" s="94" cm="1">
        <f t="array" ref="I31">IFERROR(SUMPRODUCT(('Planning Engine'!$B$4:$B$2500=$B$7)*('Planning Engine'!$A$4:$A$2500=EDATE(Controls!$B$5,4))*'Planning Engine'!$U$4:$U$2500),"--")</f>
        <v>0</v>
      </c>
    </row>
    <row r="32" spans="1:9" ht="15" customHeight="1" x14ac:dyDescent="0.35">
      <c r="A32" s="105">
        <f>IFERROR(EDATE(Controls!$B$5,5),"")</f>
        <v>46266</v>
      </c>
      <c r="B32" s="99" cm="1">
        <f t="array" ref="B32">IFERROR(SUMPRODUCT(('Planning Engine'!$B$4:$B$2500=$B$7)*('Planning Engine'!$A$4:$A$2500=EDATE(Controls!$B$5,5))*'Planning Engine'!$F$4:$F$2500),"--")</f>
        <v>2156.5918919219398</v>
      </c>
      <c r="C32" s="99" cm="1">
        <f t="array" ref="C32">IFERROR(SUMPRODUCT(('Planning Engine'!$B$4:$B$2500=$B$7)*('Planning Engine'!$A$4:$A$2500=EDATE(Controls!$B$5,5))*'Planning Engine'!$G$4:$G$2500),"--")</f>
        <v>0</v>
      </c>
      <c r="D32" s="99" cm="1">
        <f t="array" ref="D32">IFERROR(SUMPRODUCT(('Planning Engine'!$B$4:$B$2500=$B$7)*('Planning Engine'!$A$4:$A$2500=EDATE(Controls!$B$5,5))*'Planning Engine'!$H$4:$H$2500),"--")</f>
        <v>47218.244006222914</v>
      </c>
      <c r="E32" s="100" cm="1">
        <f t="array" aca="1" ref="E32" ca="1">IFERROR(SUMPRODUCT(('Planning Engine'!$B$4:$B$2500=$B$7)*('Planning Engine'!$A$4:$A$2500=EDATE(Controls!$B$5,5))*'Planning Engine'!$J$4:$J$2500),"--")</f>
        <v>18.023659585417906</v>
      </c>
      <c r="F32" s="98" t="str" cm="1">
        <f t="array" aca="1" ref="F32" ca="1">IFERROR(SUMPRODUCT(('Planning Engine'!$B$4:$B$2500=$B$7)*('Planning Engine'!$A$4:$A$2500=EDATE(Controls!$B$5,5))*'Planning Engine'!$L$4:$L$2500),"--")</f>
        <v>--</v>
      </c>
      <c r="G32" s="105" cm="1">
        <f t="array" ref="G32">IFERROR(SUMPRODUCT(('Planning Engine'!$B$4:$B$2500=$B$7)*('Planning Engine'!$A$4:$A$2500=EDATE(Controls!$B$5,5))*'Planning Engine'!$S$4:$S$2500),"--")</f>
        <v>46174</v>
      </c>
      <c r="H32" s="99" cm="1">
        <f t="array" ref="H32">IFERROR(SUMPRODUCT(('Planning Engine'!$B$4:$B$2500=$B$7)*('Planning Engine'!$A$4:$A$2500=EDATE(Controls!$B$5,5))*'Planning Engine'!$T$4:$T$2500),"--")</f>
        <v>0</v>
      </c>
      <c r="I32" s="98" cm="1">
        <f t="array" ref="I32">IFERROR(SUMPRODUCT(('Planning Engine'!$B$4:$B$2500=$B$7)*('Planning Engine'!$A$4:$A$2500=EDATE(Controls!$B$5,5))*'Planning Engine'!$U$4:$U$2500),"--")</f>
        <v>0</v>
      </c>
    </row>
    <row r="33" spans="1:9" ht="15" customHeight="1" x14ac:dyDescent="0.35">
      <c r="A33" s="104">
        <f>IFERROR(EDATE(Controls!$B$5,6),"")</f>
        <v>46296</v>
      </c>
      <c r="B33" s="95" cm="1">
        <f t="array" ref="B33">IFERROR(SUMPRODUCT(('Planning Engine'!$B$4:$B$2500=$B$7)*('Planning Engine'!$A$4:$A$2500=EDATE(Controls!$B$5,6))*'Planning Engine'!$F$4:$F$2500),"--")</f>
        <v>2287.397516316053</v>
      </c>
      <c r="C33" s="95" cm="1">
        <f t="array" ref="C33">IFERROR(SUMPRODUCT(('Planning Engine'!$B$4:$B$2500=$B$7)*('Planning Engine'!$A$4:$A$2500=EDATE(Controls!$B$5,6))*'Planning Engine'!$G$4:$G$2500),"--")</f>
        <v>32400</v>
      </c>
      <c r="D33" s="95" cm="1">
        <f t="array" ref="D33">IFERROR(SUMPRODUCT(('Planning Engine'!$B$4:$B$2500=$B$7)*('Planning Engine'!$A$4:$A$2500=EDATE(Controls!$B$5,6))*'Planning Engine'!$H$4:$H$2500),"--")</f>
        <v>77330.846489906864</v>
      </c>
      <c r="E33" s="96" cm="1">
        <f t="array" aca="1" ref="E33" ca="1">IFERROR(SUMPRODUCT(('Planning Engine'!$B$4:$B$2500=$B$7)*('Planning Engine'!$A$4:$A$2500=EDATE(Controls!$B$5,6))*'Planning Engine'!$J$4:$J$2500),"--")</f>
        <v>28.444304915660634</v>
      </c>
      <c r="F33" s="94" t="str" cm="1">
        <f t="array" aca="1" ref="F33" ca="1">IFERROR(SUMPRODUCT(('Planning Engine'!$B$4:$B$2500=$B$7)*('Planning Engine'!$A$4:$A$2500=EDATE(Controls!$B$5,6))*'Planning Engine'!$L$4:$L$2500),"--")</f>
        <v>--</v>
      </c>
      <c r="G33" s="104" cm="1">
        <f t="array" ref="G33">IFERROR(SUMPRODUCT(('Planning Engine'!$B$4:$B$2500=$B$7)*('Planning Engine'!$A$4:$A$2500=EDATE(Controls!$B$5,6))*'Planning Engine'!$S$4:$S$2500),"--")</f>
        <v>46204</v>
      </c>
      <c r="H33" s="95" cm="1">
        <f t="array" ref="H33">IFERROR(SUMPRODUCT(('Planning Engine'!$B$4:$B$2500=$B$7)*('Planning Engine'!$A$4:$A$2500=EDATE(Controls!$B$5,6))*'Planning Engine'!$T$4:$T$2500),"--")</f>
        <v>32400</v>
      </c>
      <c r="I33" s="94" cm="1">
        <f t="array" ref="I33">IFERROR(SUMPRODUCT(('Planning Engine'!$B$4:$B$2500=$B$7)*('Planning Engine'!$A$4:$A$2500=EDATE(Controls!$B$5,6))*'Planning Engine'!$U$4:$U$2500),"--")</f>
        <v>0</v>
      </c>
    </row>
    <row r="34" spans="1:9" ht="15" customHeight="1" x14ac:dyDescent="0.35">
      <c r="A34" s="105">
        <f>IFERROR(EDATE(Controls!$B$5,7),"")</f>
        <v>46327</v>
      </c>
      <c r="B34" s="99" cm="1">
        <f t="array" ref="B34">IFERROR(SUMPRODUCT(('Planning Engine'!$B$4:$B$2500=$B$7)*('Planning Engine'!$A$4:$A$2500=EDATE(Controls!$B$5,7))*'Planning Engine'!$F$4:$F$2500),"--")</f>
        <v>2411.2846308610096</v>
      </c>
      <c r="C34" s="99" cm="1">
        <f t="array" ref="C34">IFERROR(SUMPRODUCT(('Planning Engine'!$B$4:$B$2500=$B$7)*('Planning Engine'!$A$4:$A$2500=EDATE(Controls!$B$5,7))*'Planning Engine'!$G$4:$G$2500),"--")</f>
        <v>0</v>
      </c>
      <c r="D34" s="99" cm="1">
        <f t="array" ref="D34">IFERROR(SUMPRODUCT(('Planning Engine'!$B$4:$B$2500=$B$7)*('Planning Engine'!$A$4:$A$2500=EDATE(Controls!$B$5,7))*'Planning Engine'!$H$4:$H$2500),"--")</f>
        <v>74919.561859045847</v>
      </c>
      <c r="E34" s="100" cm="1">
        <f t="array" aca="1" ref="E34" ca="1">IFERROR(SUMPRODUCT(('Planning Engine'!$B$4:$B$2500=$B$7)*('Planning Engine'!$A$4:$A$2500=EDATE(Controls!$B$5,7))*'Planning Engine'!$J$4:$J$2500),"--")</f>
        <v>26.062911450013626</v>
      </c>
      <c r="F34" s="98" t="str" cm="1">
        <f t="array" aca="1" ref="F34" ca="1">IFERROR(SUMPRODUCT(('Planning Engine'!$B$4:$B$2500=$B$7)*('Planning Engine'!$A$4:$A$2500=EDATE(Controls!$B$5,7))*'Planning Engine'!$L$4:$L$2500),"--")</f>
        <v>--</v>
      </c>
      <c r="G34" s="105" cm="1">
        <f t="array" ref="G34">IFERROR(SUMPRODUCT(('Planning Engine'!$B$4:$B$2500=$B$7)*('Planning Engine'!$A$4:$A$2500=EDATE(Controls!$B$5,7))*'Planning Engine'!$S$4:$S$2500),"--")</f>
        <v>46235</v>
      </c>
      <c r="H34" s="99" cm="1">
        <f t="array" ref="H34">IFERROR(SUMPRODUCT(('Planning Engine'!$B$4:$B$2500=$B$7)*('Planning Engine'!$A$4:$A$2500=EDATE(Controls!$B$5,7))*'Planning Engine'!$T$4:$T$2500),"--")</f>
        <v>0</v>
      </c>
      <c r="I34" s="98" cm="1">
        <f t="array" ref="I34">IFERROR(SUMPRODUCT(('Planning Engine'!$B$4:$B$2500=$B$7)*('Planning Engine'!$A$4:$A$2500=EDATE(Controls!$B$5,7))*'Planning Engine'!$U$4:$U$2500),"--")</f>
        <v>0</v>
      </c>
    </row>
    <row r="35" spans="1:9" ht="15" customHeight="1" x14ac:dyDescent="0.35">
      <c r="A35" s="104">
        <f>IFERROR(EDATE(Controls!$B$5,8),"")</f>
        <v>46357</v>
      </c>
      <c r="B35" s="95" cm="1">
        <f t="array" ref="B35">IFERROR(SUMPRODUCT(('Planning Engine'!$B$4:$B$2500=$B$7)*('Planning Engine'!$A$4:$A$2500=EDATE(Controls!$B$5,8))*'Planning Engine'!$F$4:$F$2500),"--")</f>
        <v>2102.2871252017048</v>
      </c>
      <c r="C35" s="95" cm="1">
        <f t="array" ref="C35">IFERROR(SUMPRODUCT(('Planning Engine'!$B$4:$B$2500=$B$7)*('Planning Engine'!$A$4:$A$2500=EDATE(Controls!$B$5,8))*'Planning Engine'!$G$4:$G$2500),"--")</f>
        <v>0</v>
      </c>
      <c r="D35" s="95" cm="1">
        <f t="array" ref="D35">IFERROR(SUMPRODUCT(('Planning Engine'!$B$4:$B$2500=$B$7)*('Planning Engine'!$A$4:$A$2500=EDATE(Controls!$B$5,8))*'Planning Engine'!$H$4:$H$2500),"--")</f>
        <v>72817.27473384414</v>
      </c>
      <c r="E35" s="96" cm="1">
        <f t="array" aca="1" ref="E35" ca="1">IFERROR(SUMPRODUCT(('Planning Engine'!$B$4:$B$2500=$B$7)*('Planning Engine'!$A$4:$A$2500=EDATE(Controls!$B$5,8))*'Planning Engine'!$J$4:$J$2500),"--")</f>
        <v>23.991288771590391</v>
      </c>
      <c r="F35" s="94" t="str" cm="1">
        <f t="array" aca="1" ref="F35" ca="1">IFERROR(SUMPRODUCT(('Planning Engine'!$B$4:$B$2500=$B$7)*('Planning Engine'!$A$4:$A$2500=EDATE(Controls!$B$5,8))*'Planning Engine'!$L$4:$L$2500),"--")</f>
        <v>--</v>
      </c>
      <c r="G35" s="104" cm="1">
        <f t="array" ref="G35">IFERROR(SUMPRODUCT(('Planning Engine'!$B$4:$B$2500=$B$7)*('Planning Engine'!$A$4:$A$2500=EDATE(Controls!$B$5,8))*'Planning Engine'!$S$4:$S$2500),"--")</f>
        <v>46266</v>
      </c>
      <c r="H35" s="95" cm="1">
        <f t="array" ref="H35">IFERROR(SUMPRODUCT(('Planning Engine'!$B$4:$B$2500=$B$7)*('Planning Engine'!$A$4:$A$2500=EDATE(Controls!$B$5,8))*'Planning Engine'!$T$4:$T$2500),"--")</f>
        <v>0</v>
      </c>
      <c r="I35" s="94" cm="1">
        <f t="array" ref="I35">IFERROR(SUMPRODUCT(('Planning Engine'!$B$4:$B$2500=$B$7)*('Planning Engine'!$A$4:$A$2500=EDATE(Controls!$B$5,8))*'Planning Engine'!$U$4:$U$2500),"--")</f>
        <v>0</v>
      </c>
    </row>
    <row r="36" spans="1:9" ht="15" customHeight="1" x14ac:dyDescent="0.35">
      <c r="A36" s="105">
        <f>IFERROR(EDATE(Controls!$B$5,9),"")</f>
        <v>46388</v>
      </c>
      <c r="B36" s="99" cm="1">
        <f t="array" ref="B36">IFERROR(SUMPRODUCT(('Planning Engine'!$B$4:$B$2500=$B$7)*('Planning Engine'!$A$4:$A$2500=EDATE(Controls!$B$5,9))*'Planning Engine'!$F$4:$F$2500),"--")</f>
        <v>2931.4602227597193</v>
      </c>
      <c r="C36" s="99" cm="1">
        <f t="array" ref="C36">IFERROR(SUMPRODUCT(('Planning Engine'!$B$4:$B$2500=$B$7)*('Planning Engine'!$A$4:$A$2500=EDATE(Controls!$B$5,9))*'Planning Engine'!$G$4:$G$2500),"--")</f>
        <v>0</v>
      </c>
      <c r="D36" s="99" cm="1">
        <f t="array" ref="D36">IFERROR(SUMPRODUCT(('Planning Engine'!$B$4:$B$2500=$B$7)*('Planning Engine'!$A$4:$A$2500=EDATE(Controls!$B$5,9))*'Planning Engine'!$H$4:$H$2500),"--")</f>
        <v>69885.81451108442</v>
      </c>
      <c r="E36" s="100" cm="1">
        <f t="array" aca="1" ref="E36" ca="1">IFERROR(SUMPRODUCT(('Planning Engine'!$B$4:$B$2500=$B$7)*('Planning Engine'!$A$4:$A$2500=EDATE(Controls!$B$5,9))*'Planning Engine'!$J$4:$J$2500),"--")</f>
        <v>21.175333011620474</v>
      </c>
      <c r="F36" s="98" t="str" cm="1">
        <f t="array" aca="1" ref="F36" ca="1">IFERROR(SUMPRODUCT(('Planning Engine'!$B$4:$B$2500=$B$7)*('Planning Engine'!$A$4:$A$2500=EDATE(Controls!$B$5,9))*'Planning Engine'!$L$4:$L$2500),"--")</f>
        <v>--</v>
      </c>
      <c r="G36" s="105" cm="1">
        <f t="array" ref="G36">IFERROR(SUMPRODUCT(('Planning Engine'!$B$4:$B$2500=$B$7)*('Planning Engine'!$A$4:$A$2500=EDATE(Controls!$B$5,9))*'Planning Engine'!$S$4:$S$2500),"--")</f>
        <v>46296</v>
      </c>
      <c r="H36" s="99" cm="1">
        <f t="array" ref="H36">IFERROR(SUMPRODUCT(('Planning Engine'!$B$4:$B$2500=$B$7)*('Planning Engine'!$A$4:$A$2500=EDATE(Controls!$B$5,9))*'Planning Engine'!$T$4:$T$2500),"--")</f>
        <v>0</v>
      </c>
      <c r="I36" s="98" cm="1">
        <f t="array" ref="I36">IFERROR(SUMPRODUCT(('Planning Engine'!$B$4:$B$2500=$B$7)*('Planning Engine'!$A$4:$A$2500=EDATE(Controls!$B$5,9))*'Planning Engine'!$U$4:$U$2500),"--")</f>
        <v>0</v>
      </c>
    </row>
    <row r="37" spans="1:9" ht="15" customHeight="1" x14ac:dyDescent="0.35">
      <c r="A37" s="104">
        <f>IFERROR(EDATE(Controls!$B$5,10),"")</f>
        <v>46419</v>
      </c>
      <c r="B37" s="95" cm="1">
        <f t="array" ref="B37">IFERROR(SUMPRODUCT(('Planning Engine'!$B$4:$B$2500=$B$7)*('Planning Engine'!$A$4:$A$2500=EDATE(Controls!$B$5,10))*'Planning Engine'!$F$4:$F$2500),"--")</f>
        <v>2238.5979430491811</v>
      </c>
      <c r="C37" s="95" cm="1">
        <f t="array" ref="C37">IFERROR(SUMPRODUCT(('Planning Engine'!$B$4:$B$2500=$B$7)*('Planning Engine'!$A$4:$A$2500=EDATE(Controls!$B$5,10))*'Planning Engine'!$G$4:$G$2500),"--")</f>
        <v>0</v>
      </c>
      <c r="D37" s="95" cm="1">
        <f t="array" ref="D37">IFERROR(SUMPRODUCT(('Planning Engine'!$B$4:$B$2500=$B$7)*('Planning Engine'!$A$4:$A$2500=EDATE(Controls!$B$5,10))*'Planning Engine'!$H$4:$H$2500),"--")</f>
        <v>67647.216568035234</v>
      </c>
      <c r="E37" s="96" cm="1">
        <f t="array" aca="1" ref="E37" ca="1">IFERROR(SUMPRODUCT(('Planning Engine'!$B$4:$B$2500=$B$7)*('Planning Engine'!$A$4:$A$2500=EDATE(Controls!$B$5,10))*'Planning Engine'!$J$4:$J$2500),"--")</f>
        <v>19.537118401560814</v>
      </c>
      <c r="F37" s="94" t="str" cm="1">
        <f t="array" aca="1" ref="F37" ca="1">IFERROR(SUMPRODUCT(('Planning Engine'!$B$4:$B$2500=$B$7)*('Planning Engine'!$A$4:$A$2500=EDATE(Controls!$B$5,10))*'Planning Engine'!$L$4:$L$2500),"--")</f>
        <v>--</v>
      </c>
      <c r="G37" s="104" cm="1">
        <f t="array" ref="G37">IFERROR(SUMPRODUCT(('Planning Engine'!$B$4:$B$2500=$B$7)*('Planning Engine'!$A$4:$A$2500=EDATE(Controls!$B$5,10))*'Planning Engine'!$S$4:$S$2500),"--")</f>
        <v>46327</v>
      </c>
      <c r="H37" s="95" cm="1">
        <f t="array" ref="H37">IFERROR(SUMPRODUCT(('Planning Engine'!$B$4:$B$2500=$B$7)*('Planning Engine'!$A$4:$A$2500=EDATE(Controls!$B$5,10))*'Planning Engine'!$T$4:$T$2500),"--")</f>
        <v>0</v>
      </c>
      <c r="I37" s="94" cm="1">
        <f t="array" ref="I37">IFERROR(SUMPRODUCT(('Planning Engine'!$B$4:$B$2500=$B$7)*('Planning Engine'!$A$4:$A$2500=EDATE(Controls!$B$5,10))*'Planning Engine'!$U$4:$U$2500),"--")</f>
        <v>0</v>
      </c>
    </row>
    <row r="38" spans="1:9" ht="15" customHeight="1" x14ac:dyDescent="0.35">
      <c r="A38" s="105">
        <f>IFERROR(EDATE(Controls!$B$5,11),"")</f>
        <v>46447</v>
      </c>
      <c r="B38" s="99" cm="1">
        <f t="array" ref="B38">IFERROR(SUMPRODUCT(('Planning Engine'!$B$4:$B$2500=$B$7)*('Planning Engine'!$A$4:$A$2500=EDATE(Controls!$B$5,11))*'Planning Engine'!$F$4:$F$2500),"--")</f>
        <v>2525.5929800666936</v>
      </c>
      <c r="C38" s="99" cm="1">
        <f t="array" ref="C38">IFERROR(SUMPRODUCT(('Planning Engine'!$B$4:$B$2500=$B$7)*('Planning Engine'!$A$4:$A$2500=EDATE(Controls!$B$5,11))*'Planning Engine'!$G$4:$G$2500),"--")</f>
        <v>0</v>
      </c>
      <c r="D38" s="99" cm="1">
        <f t="array" ref="D38">IFERROR(SUMPRODUCT(('Planning Engine'!$B$4:$B$2500=$B$7)*('Planning Engine'!$A$4:$A$2500=EDATE(Controls!$B$5,11))*'Planning Engine'!$H$4:$H$2500),"--")</f>
        <v>65121.623587968541</v>
      </c>
      <c r="E38" s="100" cm="1">
        <f t="array" aca="1" ref="E38" ca="1">IFERROR(SUMPRODUCT(('Planning Engine'!$B$4:$B$2500=$B$7)*('Planning Engine'!$A$4:$A$2500=EDATE(Controls!$B$5,11))*'Planning Engine'!$J$4:$J$2500),"--")</f>
        <v>17.550653252464389</v>
      </c>
      <c r="F38" s="98" t="str" cm="1">
        <f t="array" aca="1" ref="F38" ca="1">IFERROR(SUMPRODUCT(('Planning Engine'!$B$4:$B$2500=$B$7)*('Planning Engine'!$A$4:$A$2500=EDATE(Controls!$B$5,11))*'Planning Engine'!$L$4:$L$2500),"--")</f>
        <v>--</v>
      </c>
      <c r="G38" s="105" cm="1">
        <f t="array" ref="G38">IFERROR(SUMPRODUCT(('Planning Engine'!$B$4:$B$2500=$B$7)*('Planning Engine'!$A$4:$A$2500=EDATE(Controls!$B$5,11))*'Planning Engine'!$S$4:$S$2500),"--")</f>
        <v>46357</v>
      </c>
      <c r="H38" s="99" cm="1">
        <f t="array" ref="H38">IFERROR(SUMPRODUCT(('Planning Engine'!$B$4:$B$2500=$B$7)*('Planning Engine'!$A$4:$A$2500=EDATE(Controls!$B$5,11))*'Planning Engine'!$T$4:$T$2500),"--")</f>
        <v>0</v>
      </c>
      <c r="I38" s="98" cm="1">
        <f t="array" ref="I38">IFERROR(SUMPRODUCT(('Planning Engine'!$B$4:$B$2500=$B$7)*('Planning Engine'!$A$4:$A$2500=EDATE(Controls!$B$5,11))*'Planning Engine'!$U$4:$U$2500),"--")</f>
        <v>0</v>
      </c>
    </row>
    <row r="39" spans="1:9" ht="15" customHeight="1" x14ac:dyDescent="0.35">
      <c r="A39" s="104">
        <f>IFERROR(EDATE(Controls!$B$5,12),"")</f>
        <v>46478</v>
      </c>
      <c r="B39" s="95" cm="1">
        <f t="array" ref="B39">IFERROR(SUMPRODUCT(('Planning Engine'!$B$4:$B$2500=$B$7)*('Planning Engine'!$A$4:$A$2500=EDATE(Controls!$B$5,12))*'Planning Engine'!$F$4:$F$2500),"--")</f>
        <v>3618.7106049950644</v>
      </c>
      <c r="C39" s="95" cm="1">
        <f t="array" ref="C39">IFERROR(SUMPRODUCT(('Planning Engine'!$B$4:$B$2500=$B$7)*('Planning Engine'!$A$4:$A$2500=EDATE(Controls!$B$5,12))*'Planning Engine'!$G$4:$G$2500),"--")</f>
        <v>0</v>
      </c>
      <c r="D39" s="95" cm="1">
        <f t="array" ref="D39">IFERROR(SUMPRODUCT(('Planning Engine'!$B$4:$B$2500=$B$7)*('Planning Engine'!$A$4:$A$2500=EDATE(Controls!$B$5,12))*'Planning Engine'!$H$4:$H$2500),"--")</f>
        <v>61502.912982973474</v>
      </c>
      <c r="E39" s="96" cm="1">
        <f t="array" aca="1" ref="E39" ca="1">IFERROR(SUMPRODUCT(('Planning Engine'!$B$4:$B$2500=$B$7)*('Planning Engine'!$A$4:$A$2500=EDATE(Controls!$B$5,12))*'Planning Engine'!$J$4:$J$2500),"--")</f>
        <v>15.454533778369896</v>
      </c>
      <c r="F39" s="94" t="str" cm="1">
        <f t="array" aca="1" ref="F39" ca="1">IFERROR(SUMPRODUCT(('Planning Engine'!$B$4:$B$2500=$B$7)*('Planning Engine'!$A$4:$A$2500=EDATE(Controls!$B$5,12))*'Planning Engine'!$L$4:$L$2500),"--")</f>
        <v>--</v>
      </c>
      <c r="G39" s="104" cm="1">
        <f t="array" ref="G39">IFERROR(SUMPRODUCT(('Planning Engine'!$B$4:$B$2500=$B$7)*('Planning Engine'!$A$4:$A$2500=EDATE(Controls!$B$5,12))*'Planning Engine'!$S$4:$S$2500),"--")</f>
        <v>46388</v>
      </c>
      <c r="H39" s="95" cm="1">
        <f t="array" ref="H39">IFERROR(SUMPRODUCT(('Planning Engine'!$B$4:$B$2500=$B$7)*('Planning Engine'!$A$4:$A$2500=EDATE(Controls!$B$5,12))*'Planning Engine'!$T$4:$T$2500),"--")</f>
        <v>0</v>
      </c>
      <c r="I39" s="94" cm="1">
        <f t="array" ref="I39">IFERROR(SUMPRODUCT(('Planning Engine'!$B$4:$B$2500=$B$7)*('Planning Engine'!$A$4:$A$2500=EDATE(Controls!$B$5,12))*'Planning Engine'!$U$4:$U$2500),"--")</f>
        <v>0</v>
      </c>
    </row>
    <row r="40" spans="1:9" ht="15" customHeight="1" x14ac:dyDescent="0.35">
      <c r="A40" s="105">
        <f>IFERROR(EDATE(Controls!$B$5,13),"")</f>
        <v>46508</v>
      </c>
      <c r="B40" s="99" cm="1">
        <f t="array" ref="B40">IFERROR(SUMPRODUCT(('Planning Engine'!$B$4:$B$2500=$B$7)*('Planning Engine'!$A$4:$A$2500=EDATE(Controls!$B$5,13))*'Planning Engine'!$F$4:$F$2500),"--")</f>
        <v>3306.2074884801073</v>
      </c>
      <c r="C40" s="99" cm="1">
        <f t="array" ref="C40">IFERROR(SUMPRODUCT(('Planning Engine'!$B$4:$B$2500=$B$7)*('Planning Engine'!$A$4:$A$2500=EDATE(Controls!$B$5,13))*'Planning Engine'!$G$4:$G$2500),"--")</f>
        <v>0</v>
      </c>
      <c r="D40" s="99" cm="1">
        <f t="array" ref="D40">IFERROR(SUMPRODUCT(('Planning Engine'!$B$4:$B$2500=$B$7)*('Planning Engine'!$A$4:$A$2500=EDATE(Controls!$B$5,13))*'Planning Engine'!$H$4:$H$2500),"--")</f>
        <v>58196.70549449337</v>
      </c>
      <c r="E40" s="100" cm="1">
        <f t="array" aca="1" ref="E40" ca="1">IFERROR(SUMPRODUCT(('Planning Engine'!$B$4:$B$2500=$B$7)*('Planning Engine'!$A$4:$A$2500=EDATE(Controls!$B$5,13))*'Planning Engine'!$J$4:$J$2500),"--")</f>
        <v>13.613277541295881</v>
      </c>
      <c r="F40" s="98" t="str" cm="1">
        <f t="array" aca="1" ref="F40" ca="1">IFERROR(SUMPRODUCT(('Planning Engine'!$B$4:$B$2500=$B$7)*('Planning Engine'!$A$4:$A$2500=EDATE(Controls!$B$5,13))*'Planning Engine'!$L$4:$L$2500),"--")</f>
        <v>--</v>
      </c>
      <c r="G40" s="105" cm="1">
        <f t="array" ref="G40">IFERROR(SUMPRODUCT(('Planning Engine'!$B$4:$B$2500=$B$7)*('Planning Engine'!$A$4:$A$2500=EDATE(Controls!$B$5,13))*'Planning Engine'!$S$4:$S$2500),"--")</f>
        <v>46419</v>
      </c>
      <c r="H40" s="99" cm="1">
        <f t="array" ref="H40">IFERROR(SUMPRODUCT(('Planning Engine'!$B$4:$B$2500=$B$7)*('Planning Engine'!$A$4:$A$2500=EDATE(Controls!$B$5,13))*'Planning Engine'!$T$4:$T$2500),"--")</f>
        <v>0</v>
      </c>
      <c r="I40" s="98" cm="1">
        <f t="array" ref="I40">IFERROR(SUMPRODUCT(('Planning Engine'!$B$4:$B$2500=$B$7)*('Planning Engine'!$A$4:$A$2500=EDATE(Controls!$B$5,13))*'Planning Engine'!$U$4:$U$2500),"--")</f>
        <v>0</v>
      </c>
    </row>
    <row r="41" spans="1:9" ht="15" customHeight="1" x14ac:dyDescent="0.35">
      <c r="A41" s="104">
        <f>IFERROR(EDATE(Controls!$B$5,14),"")</f>
        <v>46539</v>
      </c>
      <c r="B41" s="95" cm="1">
        <f t="array" ref="B41">IFERROR(SUMPRODUCT(('Planning Engine'!$B$4:$B$2500=$B$7)*('Planning Engine'!$A$4:$A$2500=EDATE(Controls!$B$5,14))*'Planning Engine'!$F$4:$F$2500),"--")</f>
        <v>3046.5446589714029</v>
      </c>
      <c r="C41" s="95" cm="1">
        <f t="array" ref="C41">IFERROR(SUMPRODUCT(('Planning Engine'!$B$4:$B$2500=$B$7)*('Planning Engine'!$A$4:$A$2500=EDATE(Controls!$B$5,14))*'Planning Engine'!$G$4:$G$2500),"--")</f>
        <v>0</v>
      </c>
      <c r="D41" s="95" cm="1">
        <f t="array" ref="D41">IFERROR(SUMPRODUCT(('Planning Engine'!$B$4:$B$2500=$B$7)*('Planning Engine'!$A$4:$A$2500=EDATE(Controls!$B$5,14))*'Planning Engine'!$H$4:$H$2500),"--")</f>
        <v>55150.160835521965</v>
      </c>
      <c r="E41" s="96" cm="1">
        <f t="array" aca="1" ref="E41" ca="1">IFERROR(SUMPRODUCT(('Planning Engine'!$B$4:$B$2500=$B$7)*('Planning Engine'!$A$4:$A$2500=EDATE(Controls!$B$5,14))*'Planning Engine'!$J$4:$J$2500),"--")</f>
        <v>12.347973702402223</v>
      </c>
      <c r="F41" s="94" t="str" cm="1">
        <f t="array" aca="1" ref="F41" ca="1">IFERROR(SUMPRODUCT(('Planning Engine'!$B$4:$B$2500=$B$7)*('Planning Engine'!$A$4:$A$2500=EDATE(Controls!$B$5,14))*'Planning Engine'!$L$4:$L$2500),"--")</f>
        <v>--</v>
      </c>
      <c r="G41" s="104" cm="1">
        <f t="array" ref="G41">IFERROR(SUMPRODUCT(('Planning Engine'!$B$4:$B$2500=$B$7)*('Planning Engine'!$A$4:$A$2500=EDATE(Controls!$B$5,14))*'Planning Engine'!$S$4:$S$2500),"--")</f>
        <v>46447</v>
      </c>
      <c r="H41" s="95" cm="1">
        <f t="array" ref="H41">IFERROR(SUMPRODUCT(('Planning Engine'!$B$4:$B$2500=$B$7)*('Planning Engine'!$A$4:$A$2500=EDATE(Controls!$B$5,14))*'Planning Engine'!$T$4:$T$2500),"--")</f>
        <v>0</v>
      </c>
      <c r="I41" s="94" cm="1">
        <f t="array" ref="I41">IFERROR(SUMPRODUCT(('Planning Engine'!$B$4:$B$2500=$B$7)*('Planning Engine'!$A$4:$A$2500=EDATE(Controls!$B$5,14))*'Planning Engine'!$U$4:$U$2500),"--")</f>
        <v>0</v>
      </c>
    </row>
    <row r="42" spans="1:9" ht="15" customHeight="1" x14ac:dyDescent="0.35">
      <c r="A42" s="105">
        <f>IFERROR(EDATE(Controls!$B$5,15),"")</f>
        <v>46569</v>
      </c>
      <c r="B42" s="99" cm="1">
        <f t="array" ref="B42">IFERROR(SUMPRODUCT(('Planning Engine'!$B$4:$B$2500=$B$7)*('Planning Engine'!$A$4:$A$2500=EDATE(Controls!$B$5,15))*'Planning Engine'!$F$4:$F$2500),"--")</f>
        <v>3690.4092931084087</v>
      </c>
      <c r="C42" s="99" cm="1">
        <f t="array" ref="C42">IFERROR(SUMPRODUCT(('Planning Engine'!$B$4:$B$2500=$B$7)*('Planning Engine'!$A$4:$A$2500=EDATE(Controls!$B$5,15))*'Planning Engine'!$G$4:$G$2500),"--")</f>
        <v>0</v>
      </c>
      <c r="D42" s="99" cm="1">
        <f t="array" ref="D42">IFERROR(SUMPRODUCT(('Planning Engine'!$B$4:$B$2500=$B$7)*('Planning Engine'!$A$4:$A$2500=EDATE(Controls!$B$5,15))*'Planning Engine'!$H$4:$H$2500),"--")</f>
        <v>51459.751542413556</v>
      </c>
      <c r="E42" s="100" cm="1">
        <f t="array" aca="1" ref="E42" ca="1">IFERROR(SUMPRODUCT(('Planning Engine'!$B$4:$B$2500=$B$7)*('Planning Engine'!$A$4:$A$2500=EDATE(Controls!$B$5,15))*'Planning Engine'!$J$4:$J$2500),"--")</f>
        <v>10.640584434490879</v>
      </c>
      <c r="F42" s="98" t="str" cm="1">
        <f t="array" aca="1" ref="F42" ca="1">IFERROR(SUMPRODUCT(('Planning Engine'!$B$4:$B$2500=$B$7)*('Planning Engine'!$A$4:$A$2500=EDATE(Controls!$B$5,15))*'Planning Engine'!$L$4:$L$2500),"--")</f>
        <v>--</v>
      </c>
      <c r="G42" s="105" cm="1">
        <f t="array" ref="G42">IFERROR(SUMPRODUCT(('Planning Engine'!$B$4:$B$2500=$B$7)*('Planning Engine'!$A$4:$A$2500=EDATE(Controls!$B$5,15))*'Planning Engine'!$S$4:$S$2500),"--")</f>
        <v>46478</v>
      </c>
      <c r="H42" s="99" cm="1">
        <f t="array" ref="H42">IFERROR(SUMPRODUCT(('Planning Engine'!$B$4:$B$2500=$B$7)*('Planning Engine'!$A$4:$A$2500=EDATE(Controls!$B$5,15))*'Planning Engine'!$T$4:$T$2500),"--")</f>
        <v>0</v>
      </c>
      <c r="I42" s="98" cm="1">
        <f t="array" ref="I42">IFERROR(SUMPRODUCT(('Planning Engine'!$B$4:$B$2500=$B$7)*('Planning Engine'!$A$4:$A$2500=EDATE(Controls!$B$5,15))*'Planning Engine'!$U$4:$U$2500),"--")</f>
        <v>0</v>
      </c>
    </row>
    <row r="43" spans="1:9" ht="15" customHeight="1" x14ac:dyDescent="0.35">
      <c r="A43" s="104">
        <f>IFERROR(EDATE(Controls!$B$5,16),"")</f>
        <v>46600</v>
      </c>
      <c r="B43" s="95" cm="1">
        <f t="array" ref="B43">IFERROR(SUMPRODUCT(('Planning Engine'!$B$4:$B$2500=$B$7)*('Planning Engine'!$A$4:$A$2500=EDATE(Controls!$B$5,16))*'Planning Engine'!$F$4:$F$2500),"--")</f>
        <v>3856.5826810063154</v>
      </c>
      <c r="C43" s="95" cm="1">
        <f t="array" ref="C43">IFERROR(SUMPRODUCT(('Planning Engine'!$B$4:$B$2500=$B$7)*('Planning Engine'!$A$4:$A$2500=EDATE(Controls!$B$5,16))*'Planning Engine'!$G$4:$G$2500),"--")</f>
        <v>0</v>
      </c>
      <c r="D43" s="95" cm="1">
        <f t="array" ref="D43">IFERROR(SUMPRODUCT(('Planning Engine'!$B$4:$B$2500=$B$7)*('Planning Engine'!$A$4:$A$2500=EDATE(Controls!$B$5,16))*'Planning Engine'!$H$4:$H$2500),"--")</f>
        <v>47603.168861407241</v>
      </c>
      <c r="E43" s="96" cm="1">
        <f t="array" aca="1" ref="E43" ca="1">IFERROR(SUMPRODUCT(('Planning Engine'!$B$4:$B$2500=$B$7)*('Planning Engine'!$A$4:$A$2500=EDATE(Controls!$B$5,16))*'Planning Engine'!$J$4:$J$2500),"--")</f>
        <v>8.8824538317781396</v>
      </c>
      <c r="F43" s="94" t="str" cm="1">
        <f t="array" aca="1" ref="F43" ca="1">IFERROR(SUMPRODUCT(('Planning Engine'!$B$4:$B$2500=$B$7)*('Planning Engine'!$A$4:$A$2500=EDATE(Controls!$B$5,16))*'Planning Engine'!$L$4:$L$2500),"--")</f>
        <v>--</v>
      </c>
      <c r="G43" s="104" cm="1">
        <f t="array" ref="G43">IFERROR(SUMPRODUCT(('Planning Engine'!$B$4:$B$2500=$B$7)*('Planning Engine'!$A$4:$A$2500=EDATE(Controls!$B$5,16))*'Planning Engine'!$S$4:$S$2500),"--")</f>
        <v>46508</v>
      </c>
      <c r="H43" s="95" cm="1">
        <f t="array" ref="H43">IFERROR(SUMPRODUCT(('Planning Engine'!$B$4:$B$2500=$B$7)*('Planning Engine'!$A$4:$A$2500=EDATE(Controls!$B$5,16))*'Planning Engine'!$T$4:$T$2500),"--")</f>
        <v>0</v>
      </c>
      <c r="I43" s="94" cm="1">
        <f t="array" ref="I43">IFERROR(SUMPRODUCT(('Planning Engine'!$B$4:$B$2500=$B$7)*('Planning Engine'!$A$4:$A$2500=EDATE(Controls!$B$5,16))*'Planning Engine'!$U$4:$U$2500),"--")</f>
        <v>0</v>
      </c>
    </row>
    <row r="44" spans="1:9" ht="15" customHeight="1" x14ac:dyDescent="0.35">
      <c r="A44" s="105">
        <f>IFERROR(EDATE(Controls!$B$5,17),"")</f>
        <v>46631</v>
      </c>
      <c r="B44" s="99" cm="1">
        <f t="array" ref="B44">IFERROR(SUMPRODUCT(('Planning Engine'!$B$4:$B$2500=$B$7)*('Planning Engine'!$A$4:$A$2500=EDATE(Controls!$B$5,17))*'Planning Engine'!$F$4:$F$2500),"--")</f>
        <v>4488.9609107204742</v>
      </c>
      <c r="C44" s="99" cm="1">
        <f t="array" ref="C44">IFERROR(SUMPRODUCT(('Planning Engine'!$B$4:$B$2500=$B$7)*('Planning Engine'!$A$4:$A$2500=EDATE(Controls!$B$5,17))*'Planning Engine'!$G$4:$G$2500),"--")</f>
        <v>0</v>
      </c>
      <c r="D44" s="99" cm="1">
        <f t="array" ref="D44">IFERROR(SUMPRODUCT(('Planning Engine'!$B$4:$B$2500=$B$7)*('Planning Engine'!$A$4:$A$2500=EDATE(Controls!$B$5,17))*'Planning Engine'!$H$4:$H$2500),"--")</f>
        <v>43114.207950686767</v>
      </c>
      <c r="E44" s="100" cm="1">
        <f t="array" aca="1" ref="E44" ca="1">IFERROR(SUMPRODUCT(('Planning Engine'!$B$4:$B$2500=$B$7)*('Planning Engine'!$A$4:$A$2500=EDATE(Controls!$B$5,17))*'Planning Engine'!$J$4:$J$2500),"--")</f>
        <v>7.6092890902123518</v>
      </c>
      <c r="F44" s="98" t="str" cm="1">
        <f t="array" aca="1" ref="F44" ca="1">IFERROR(SUMPRODUCT(('Planning Engine'!$B$4:$B$2500=$B$7)*('Planning Engine'!$A$4:$A$2500=EDATE(Controls!$B$5,17))*'Planning Engine'!$L$4:$L$2500),"--")</f>
        <v>--</v>
      </c>
      <c r="G44" s="105" cm="1">
        <f t="array" ref="G44">IFERROR(SUMPRODUCT(('Planning Engine'!$B$4:$B$2500=$B$7)*('Planning Engine'!$A$4:$A$2500=EDATE(Controls!$B$5,17))*'Planning Engine'!$S$4:$S$2500),"--")</f>
        <v>46539</v>
      </c>
      <c r="H44" s="99" cm="1">
        <f t="array" ref="H44">IFERROR(SUMPRODUCT(('Planning Engine'!$B$4:$B$2500=$B$7)*('Planning Engine'!$A$4:$A$2500=EDATE(Controls!$B$5,17))*'Planning Engine'!$T$4:$T$2500),"--")</f>
        <v>0</v>
      </c>
      <c r="I44" s="98" cm="1">
        <f t="array" ref="I44">IFERROR(SUMPRODUCT(('Planning Engine'!$B$4:$B$2500=$B$7)*('Planning Engine'!$A$4:$A$2500=EDATE(Controls!$B$5,17))*'Planning Engine'!$U$4:$U$2500),"--")</f>
        <v>0</v>
      </c>
    </row>
    <row r="45" spans="1:9" ht="15" customHeight="1" x14ac:dyDescent="0.35">
      <c r="A45" s="104">
        <f>IFERROR(EDATE(Controls!$B$5,18),"")</f>
        <v>46661</v>
      </c>
      <c r="B45" s="95" cm="1">
        <f t="array" ref="B45">IFERROR(SUMPRODUCT(('Planning Engine'!$B$4:$B$2500=$B$7)*('Planning Engine'!$A$4:$A$2500=EDATE(Controls!$B$5,18))*'Planning Engine'!$F$4:$F$2500),"--")</f>
        <v>4390.8676898315116</v>
      </c>
      <c r="C45" s="95" cm="1">
        <f t="array" ref="C45">IFERROR(SUMPRODUCT(('Planning Engine'!$B$4:$B$2500=$B$7)*('Planning Engine'!$A$4:$A$2500=EDATE(Controls!$B$5,18))*'Planning Engine'!$G$4:$G$2500),"--")</f>
        <v>0</v>
      </c>
      <c r="D45" s="95" cm="1">
        <f t="array" ref="D45">IFERROR(SUMPRODUCT(('Planning Engine'!$B$4:$B$2500=$B$7)*('Planning Engine'!$A$4:$A$2500=EDATE(Controls!$B$5,18))*'Planning Engine'!$H$4:$H$2500),"--")</f>
        <v>38723.340260855257</v>
      </c>
      <c r="E45" s="96" cm="1">
        <f t="array" aca="1" ref="E45" ca="1">IFERROR(SUMPRODUCT(('Planning Engine'!$B$4:$B$2500=$B$7)*('Planning Engine'!$A$4:$A$2500=EDATE(Controls!$B$5,18))*'Planning Engine'!$J$4:$J$2500),"--")</f>
        <v>6.2936846773063104</v>
      </c>
      <c r="F45" s="94" t="str" cm="1">
        <f t="array" aca="1" ref="F45" ca="1">IFERROR(SUMPRODUCT(('Planning Engine'!$B$4:$B$2500=$B$7)*('Planning Engine'!$A$4:$A$2500=EDATE(Controls!$B$5,18))*'Planning Engine'!$L$4:$L$2500),"--")</f>
        <v>--</v>
      </c>
      <c r="G45" s="104" cm="1">
        <f t="array" ref="G45">IFERROR(SUMPRODUCT(('Planning Engine'!$B$4:$B$2500=$B$7)*('Planning Engine'!$A$4:$A$2500=EDATE(Controls!$B$5,18))*'Planning Engine'!$S$4:$S$2500),"--")</f>
        <v>46569</v>
      </c>
      <c r="H45" s="95" cm="1">
        <f t="array" ref="H45">IFERROR(SUMPRODUCT(('Planning Engine'!$B$4:$B$2500=$B$7)*('Planning Engine'!$A$4:$A$2500=EDATE(Controls!$B$5,18))*'Planning Engine'!$T$4:$T$2500),"--")</f>
        <v>0</v>
      </c>
      <c r="I45" s="94" cm="1">
        <f t="array" ref="I45">IFERROR(SUMPRODUCT(('Planning Engine'!$B$4:$B$2500=$B$7)*('Planning Engine'!$A$4:$A$2500=EDATE(Controls!$B$5,18))*'Planning Engine'!$U$4:$U$2500),"--")</f>
        <v>0</v>
      </c>
    </row>
    <row r="46" spans="1:9" ht="15" customHeight="1" x14ac:dyDescent="0.35">
      <c r="A46" s="105">
        <f>IFERROR(EDATE(Controls!$B$5,19),"")</f>
        <v>46692</v>
      </c>
      <c r="B46" s="99" cm="1">
        <f t="array" ref="B46">IFERROR(SUMPRODUCT(('Planning Engine'!$B$4:$B$2500=$B$7)*('Planning Engine'!$A$4:$A$2500=EDATE(Controls!$B$5,19))*'Planning Engine'!$F$4:$F$2500),"--")</f>
        <v>4470.5850761545644</v>
      </c>
      <c r="C46" s="99" cm="1">
        <f t="array" ref="C46">IFERROR(SUMPRODUCT(('Planning Engine'!$B$4:$B$2500=$B$7)*('Planning Engine'!$A$4:$A$2500=EDATE(Controls!$B$5,19))*'Planning Engine'!$G$4:$G$2500),"--")</f>
        <v>0</v>
      </c>
      <c r="D46" s="99" cm="1">
        <f t="array" ref="D46">IFERROR(SUMPRODUCT(('Planning Engine'!$B$4:$B$2500=$B$7)*('Planning Engine'!$A$4:$A$2500=EDATE(Controls!$B$5,19))*'Planning Engine'!$H$4:$H$2500),"--")</f>
        <v>34252.755184700691</v>
      </c>
      <c r="E46" s="100" cm="1">
        <f t="array" aca="1" ref="E46" ca="1">IFERROR(SUMPRODUCT(('Planning Engine'!$B$4:$B$2500=$B$7)*('Planning Engine'!$A$4:$A$2500=EDATE(Controls!$B$5,19))*'Planning Engine'!$J$4:$J$2500),"--")</f>
        <v>5.2031964671431457</v>
      </c>
      <c r="F46" s="98" t="str" cm="1">
        <f t="array" aca="1" ref="F46" ca="1">IFERROR(SUMPRODUCT(('Planning Engine'!$B$4:$B$2500=$B$7)*('Planning Engine'!$A$4:$A$2500=EDATE(Controls!$B$5,19))*'Planning Engine'!$L$4:$L$2500),"--")</f>
        <v>--</v>
      </c>
      <c r="G46" s="105" cm="1">
        <f t="array" ref="G46">IFERROR(SUMPRODUCT(('Planning Engine'!$B$4:$B$2500=$B$7)*('Planning Engine'!$A$4:$A$2500=EDATE(Controls!$B$5,19))*'Planning Engine'!$S$4:$S$2500),"--")</f>
        <v>46600</v>
      </c>
      <c r="H46" s="99" cm="1">
        <f t="array" ref="H46">IFERROR(SUMPRODUCT(('Planning Engine'!$B$4:$B$2500=$B$7)*('Planning Engine'!$A$4:$A$2500=EDATE(Controls!$B$5,19))*'Planning Engine'!$T$4:$T$2500),"--")</f>
        <v>0</v>
      </c>
      <c r="I46" s="98" cm="1">
        <f t="array" ref="I46">IFERROR(SUMPRODUCT(('Planning Engine'!$B$4:$B$2500=$B$7)*('Planning Engine'!$A$4:$A$2500=EDATE(Controls!$B$5,19))*'Planning Engine'!$U$4:$U$2500),"--")</f>
        <v>0</v>
      </c>
    </row>
    <row r="47" spans="1:9" ht="15" customHeight="1" x14ac:dyDescent="0.35">
      <c r="A47" s="104">
        <f>IFERROR(EDATE(Controls!$B$5,20),"")</f>
        <v>46722</v>
      </c>
      <c r="B47" s="95" cm="1">
        <f t="array" ref="B47">IFERROR(SUMPRODUCT(('Planning Engine'!$B$4:$B$2500=$B$7)*('Planning Engine'!$A$4:$A$2500=EDATE(Controls!$B$5,20))*'Planning Engine'!$F$4:$F$2500),"--")</f>
        <v>4947.5609232171882</v>
      </c>
      <c r="C47" s="95" cm="1">
        <f t="array" ref="C47">IFERROR(SUMPRODUCT(('Planning Engine'!$B$4:$B$2500=$B$7)*('Planning Engine'!$A$4:$A$2500=EDATE(Controls!$B$5,20))*'Planning Engine'!$G$4:$G$2500),"--")</f>
        <v>0</v>
      </c>
      <c r="D47" s="95" cm="1">
        <f t="array" ref="D47">IFERROR(SUMPRODUCT(('Planning Engine'!$B$4:$B$2500=$B$7)*('Planning Engine'!$A$4:$A$2500=EDATE(Controls!$B$5,20))*'Planning Engine'!$H$4:$H$2500),"--")</f>
        <v>29305.194261483502</v>
      </c>
      <c r="E47" s="96" cm="1">
        <f t="array" aca="1" ref="E47" ca="1">IFERROR(SUMPRODUCT(('Planning Engine'!$B$4:$B$2500=$B$7)*('Planning Engine'!$A$4:$A$2500=EDATE(Controls!$B$5,20))*'Planning Engine'!$J$4:$J$2500),"--")</f>
        <v>4.1938557577507423</v>
      </c>
      <c r="F47" s="94" t="str" cm="1">
        <f t="array" aca="1" ref="F47" ca="1">IFERROR(SUMPRODUCT(('Planning Engine'!$B$4:$B$2500=$B$7)*('Planning Engine'!$A$4:$A$2500=EDATE(Controls!$B$5,20))*'Planning Engine'!$L$4:$L$2500),"--")</f>
        <v>--</v>
      </c>
      <c r="G47" s="104" cm="1">
        <f t="array" ref="G47">IFERROR(SUMPRODUCT(('Planning Engine'!$B$4:$B$2500=$B$7)*('Planning Engine'!$A$4:$A$2500=EDATE(Controls!$B$5,20))*'Planning Engine'!$S$4:$S$2500),"--")</f>
        <v>46631</v>
      </c>
      <c r="H47" s="95" cm="1">
        <f t="array" ref="H47">IFERROR(SUMPRODUCT(('Planning Engine'!$B$4:$B$2500=$B$7)*('Planning Engine'!$A$4:$A$2500=EDATE(Controls!$B$5,20))*'Planning Engine'!$T$4:$T$2500),"--")</f>
        <v>0</v>
      </c>
      <c r="I47" s="94" cm="1">
        <f t="array" ref="I47">IFERROR(SUMPRODUCT(('Planning Engine'!$B$4:$B$2500=$B$7)*('Planning Engine'!$A$4:$A$2500=EDATE(Controls!$B$5,20))*'Planning Engine'!$U$4:$U$2500),"--")</f>
        <v>0</v>
      </c>
    </row>
    <row r="48" spans="1:9" ht="15" customHeight="1" x14ac:dyDescent="0.35">
      <c r="A48" s="105">
        <f>IFERROR(EDATE(Controls!$B$5,21),"")</f>
        <v>46753</v>
      </c>
      <c r="B48" s="99" cm="1">
        <f t="array" ref="B48">IFERROR(SUMPRODUCT(('Planning Engine'!$B$4:$B$2500=$B$7)*('Planning Engine'!$A$4:$A$2500=EDATE(Controls!$B$5,21))*'Planning Engine'!$F$4:$F$2500),"--")</f>
        <v>6277.2442594367567</v>
      </c>
      <c r="C48" s="99" cm="1">
        <f t="array" ref="C48">IFERROR(SUMPRODUCT(('Planning Engine'!$B$4:$B$2500=$B$7)*('Planning Engine'!$A$4:$A$2500=EDATE(Controls!$B$5,21))*'Planning Engine'!$G$4:$G$2500),"--")</f>
        <v>0</v>
      </c>
      <c r="D48" s="99" cm="1">
        <f t="array" ref="D48">IFERROR(SUMPRODUCT(('Planning Engine'!$B$4:$B$2500=$B$7)*('Planning Engine'!$A$4:$A$2500=EDATE(Controls!$B$5,21))*'Planning Engine'!$H$4:$H$2500),"--")</f>
        <v>23027.950002046746</v>
      </c>
      <c r="E48" s="100" cm="1">
        <f t="array" aca="1" ref="E48" ca="1">IFERROR(SUMPRODUCT(('Planning Engine'!$B$4:$B$2500=$B$7)*('Planning Engine'!$A$4:$A$2500=EDATE(Controls!$B$5,21))*'Planning Engine'!$J$4:$J$2500),"--")</f>
        <v>3.0126311625958331</v>
      </c>
      <c r="F48" s="98" t="str" cm="1">
        <f t="array" aca="1" ref="F48" ca="1">IFERROR(SUMPRODUCT(('Planning Engine'!$B$4:$B$2500=$B$7)*('Planning Engine'!$A$4:$A$2500=EDATE(Controls!$B$5,21))*'Planning Engine'!$L$4:$L$2500),"--")</f>
        <v>--</v>
      </c>
      <c r="G48" s="105" cm="1">
        <f t="array" ref="G48">IFERROR(SUMPRODUCT(('Planning Engine'!$B$4:$B$2500=$B$7)*('Planning Engine'!$A$4:$A$2500=EDATE(Controls!$B$5,21))*'Planning Engine'!$S$4:$S$2500),"--")</f>
        <v>46661</v>
      </c>
      <c r="H48" s="99" cm="1">
        <f t="array" ref="H48">IFERROR(SUMPRODUCT(('Planning Engine'!$B$4:$B$2500=$B$7)*('Planning Engine'!$A$4:$A$2500=EDATE(Controls!$B$5,21))*'Planning Engine'!$T$4:$T$2500),"--")</f>
        <v>0</v>
      </c>
      <c r="I48" s="98" cm="1">
        <f t="array" ref="I48">IFERROR(SUMPRODUCT(('Planning Engine'!$B$4:$B$2500=$B$7)*('Planning Engine'!$A$4:$A$2500=EDATE(Controls!$B$5,21))*'Planning Engine'!$U$4:$U$2500),"--")</f>
        <v>0</v>
      </c>
    </row>
    <row r="49" spans="1:9" ht="15" customHeight="1" x14ac:dyDescent="0.35">
      <c r="A49" s="104">
        <f>IFERROR(EDATE(Controls!$B$5,22),"")</f>
        <v>46784</v>
      </c>
      <c r="B49" s="95" cm="1">
        <f t="array" ref="B49">IFERROR(SUMPRODUCT(('Planning Engine'!$B$4:$B$2500=$B$7)*('Planning Engine'!$A$4:$A$2500=EDATE(Controls!$B$5,22))*'Planning Engine'!$F$4:$F$2500),"--")</f>
        <v>5028.2403452700946</v>
      </c>
      <c r="C49" s="95" cm="1">
        <f t="array" ref="C49">IFERROR(SUMPRODUCT(('Planning Engine'!$B$4:$B$2500=$B$7)*('Planning Engine'!$A$4:$A$2500=EDATE(Controls!$B$5,22))*'Planning Engine'!$G$4:$G$2500),"--")</f>
        <v>0</v>
      </c>
      <c r="D49" s="95" cm="1">
        <f t="array" ref="D49">IFERROR(SUMPRODUCT(('Planning Engine'!$B$4:$B$2500=$B$7)*('Planning Engine'!$A$4:$A$2500=EDATE(Controls!$B$5,22))*'Planning Engine'!$H$4:$H$2500),"--")</f>
        <v>17999.709656776649</v>
      </c>
      <c r="E49" s="96" cm="1">
        <f t="array" aca="1" ref="E49" ca="1">IFERROR(SUMPRODUCT(('Planning Engine'!$B$4:$B$2500=$B$7)*('Planning Engine'!$A$4:$A$2500=EDATE(Controls!$B$5,22))*'Planning Engine'!$J$4:$J$2500),"--")</f>
        <v>2.2888546942496268</v>
      </c>
      <c r="F49" s="94" t="str" cm="1">
        <f t="array" aca="1" ref="F49" ca="1">IFERROR(SUMPRODUCT(('Planning Engine'!$B$4:$B$2500=$B$7)*('Planning Engine'!$A$4:$A$2500=EDATE(Controls!$B$5,22))*'Planning Engine'!$L$4:$L$2500),"--")</f>
        <v>--</v>
      </c>
      <c r="G49" s="104" cm="1">
        <f t="array" ref="G49">IFERROR(SUMPRODUCT(('Planning Engine'!$B$4:$B$2500=$B$7)*('Planning Engine'!$A$4:$A$2500=EDATE(Controls!$B$5,22))*'Planning Engine'!$S$4:$S$2500),"--")</f>
        <v>46692</v>
      </c>
      <c r="H49" s="95" cm="1">
        <f t="array" ref="H49">IFERROR(SUMPRODUCT(('Planning Engine'!$B$4:$B$2500=$B$7)*('Planning Engine'!$A$4:$A$2500=EDATE(Controls!$B$5,22))*'Planning Engine'!$T$4:$T$2500),"--")</f>
        <v>0</v>
      </c>
      <c r="I49" s="94" cm="1">
        <f t="array" ref="I49">IFERROR(SUMPRODUCT(('Planning Engine'!$B$4:$B$2500=$B$7)*('Planning Engine'!$A$4:$A$2500=EDATE(Controls!$B$5,22))*'Planning Engine'!$U$4:$U$2500),"--")</f>
        <v>0</v>
      </c>
    </row>
    <row r="50" spans="1:9" ht="15" customHeight="1" x14ac:dyDescent="0.35">
      <c r="A50" s="105">
        <f>IFERROR(EDATE(Controls!$B$5,23),"")</f>
        <v>46813</v>
      </c>
      <c r="B50" s="99" cm="1">
        <f t="array" ref="B50">IFERROR(SUMPRODUCT(('Planning Engine'!$B$4:$B$2500=$B$7)*('Planning Engine'!$A$4:$A$2500=EDATE(Controls!$B$5,23))*'Planning Engine'!$F$4:$F$2500),"--")</f>
        <v>6375.1433722913716</v>
      </c>
      <c r="C50" s="99" cm="1">
        <f t="array" ref="C50">IFERROR(SUMPRODUCT(('Planning Engine'!$B$4:$B$2500=$B$7)*('Planning Engine'!$A$4:$A$2500=EDATE(Controls!$B$5,23))*'Planning Engine'!$G$4:$G$2500),"--")</f>
        <v>0</v>
      </c>
      <c r="D50" s="99" cm="1">
        <f t="array" ref="D50">IFERROR(SUMPRODUCT(('Planning Engine'!$B$4:$B$2500=$B$7)*('Planning Engine'!$A$4:$A$2500=EDATE(Controls!$B$5,23))*'Planning Engine'!$H$4:$H$2500),"--")</f>
        <v>11624.566284485278</v>
      </c>
      <c r="E50" s="100" cm="1">
        <f t="array" aca="1" ref="E50" ca="1">IFERROR(SUMPRODUCT(('Planning Engine'!$B$4:$B$2500=$B$7)*('Planning Engine'!$A$4:$A$2500=EDATE(Controls!$B$5,23))*'Planning Engine'!$J$4:$J$2500),"--")</f>
        <v>1.3824989694847034</v>
      </c>
      <c r="F50" s="98" t="str" cm="1">
        <f t="array" aca="1" ref="F50" ca="1">IFERROR(SUMPRODUCT(('Planning Engine'!$B$4:$B$2500=$B$7)*('Planning Engine'!$A$4:$A$2500=EDATE(Controls!$B$5,23))*'Planning Engine'!$L$4:$L$2500),"--")</f>
        <v>--</v>
      </c>
      <c r="G50" s="105" cm="1">
        <f t="array" ref="G50">IFERROR(SUMPRODUCT(('Planning Engine'!$B$4:$B$2500=$B$7)*('Planning Engine'!$A$4:$A$2500=EDATE(Controls!$B$5,23))*'Planning Engine'!$S$4:$S$2500),"--")</f>
        <v>46722</v>
      </c>
      <c r="H50" s="99" cm="1">
        <f t="array" ref="H50">IFERROR(SUMPRODUCT(('Planning Engine'!$B$4:$B$2500=$B$7)*('Planning Engine'!$A$4:$A$2500=EDATE(Controls!$B$5,23))*'Planning Engine'!$T$4:$T$2500),"--")</f>
        <v>0</v>
      </c>
      <c r="I50" s="98" cm="1">
        <f t="array" ref="I50">IFERROR(SUMPRODUCT(('Planning Engine'!$B$4:$B$2500=$B$7)*('Planning Engine'!$A$4:$A$2500=EDATE(Controls!$B$5,23))*'Planning Engine'!$U$4:$U$2500),"--")</f>
        <v>0</v>
      </c>
    </row>
  </sheetData>
  <mergeCells count="26">
    <mergeCell ref="P4:Q4"/>
    <mergeCell ref="J5:K5"/>
    <mergeCell ref="M5:N5"/>
    <mergeCell ref="S3:T3"/>
    <mergeCell ref="A1:T1"/>
    <mergeCell ref="A2:T2"/>
    <mergeCell ref="M3:N3"/>
    <mergeCell ref="P3:Q3"/>
    <mergeCell ref="S5:T5"/>
    <mergeCell ref="P5:Q5"/>
    <mergeCell ref="M4:N4"/>
    <mergeCell ref="S4:T4"/>
    <mergeCell ref="A25:I25"/>
    <mergeCell ref="B7:E7"/>
    <mergeCell ref="A3:B3"/>
    <mergeCell ref="G3:H3"/>
    <mergeCell ref="J4:K4"/>
    <mergeCell ref="A5:B5"/>
    <mergeCell ref="G5:H5"/>
    <mergeCell ref="A9:I9"/>
    <mergeCell ref="D4:E4"/>
    <mergeCell ref="D3:E3"/>
    <mergeCell ref="A4:B4"/>
    <mergeCell ref="G4:H4"/>
    <mergeCell ref="J3:K3"/>
    <mergeCell ref="D5:E5"/>
  </mergeCells>
  <dataValidations disablePrompts="1" count="1">
    <dataValidation type="list" sqref="B7" xr:uid="{00000000-0002-0000-1000-000000000000}">
      <formula1>"188mg LP,47mg LP,200mg DP,50mg DP,Drug Substance,APAD,APC,APG,APT,LLPS"</formula1>
    </dataValidation>
  </dataValidations>
  <pageMargins left="0.75" right="0.75" top="1" bottom="1" header="0.5" footer="0.5"/>
  <pageSetup orientation="landscape"/>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pageSetUpPr fitToPage="1"/>
  </sheetPr>
  <dimension ref="A1:AA30"/>
  <sheetViews>
    <sheetView showGridLines="0" zoomScale="55" zoomScaleNormal="55" workbookViewId="0">
      <selection activeCell="B9" sqref="B9:G9"/>
    </sheetView>
  </sheetViews>
  <sheetFormatPr defaultRowHeight="14.5" x14ac:dyDescent="0.35"/>
  <cols>
    <col min="1" max="1" width="26" customWidth="1"/>
    <col min="2" max="19" width="10" customWidth="1"/>
    <col min="20" max="27" width="11" customWidth="1"/>
  </cols>
  <sheetData>
    <row r="1" spans="1:27" ht="28" customHeight="1" x14ac:dyDescent="0.35">
      <c r="A1" s="405" t="s">
        <v>670</v>
      </c>
      <c r="B1" s="395"/>
      <c r="C1" s="395"/>
      <c r="D1" s="395"/>
      <c r="E1" s="395"/>
      <c r="F1" s="395"/>
      <c r="G1" s="395"/>
      <c r="H1" s="395"/>
      <c r="I1" s="395"/>
      <c r="J1" s="395"/>
      <c r="K1" s="395"/>
      <c r="L1" s="395"/>
      <c r="M1" s="395"/>
      <c r="N1" s="395"/>
      <c r="O1" s="395"/>
      <c r="P1" s="395"/>
      <c r="Q1" s="395"/>
      <c r="R1" s="395"/>
      <c r="S1" s="395"/>
      <c r="T1" s="395"/>
      <c r="U1" s="395"/>
      <c r="V1" s="395"/>
      <c r="W1" s="395"/>
      <c r="X1" s="395"/>
      <c r="Y1" s="395"/>
      <c r="Z1" s="395"/>
    </row>
    <row r="2" spans="1:27" ht="16" customHeight="1" x14ac:dyDescent="0.35">
      <c r="A2" s="457" t="s">
        <v>671</v>
      </c>
      <c r="B2" s="395"/>
      <c r="C2" s="395"/>
      <c r="D2" s="395"/>
      <c r="E2" s="395"/>
      <c r="F2" s="395"/>
      <c r="G2" s="395"/>
      <c r="H2" s="395"/>
      <c r="I2" s="395"/>
      <c r="J2" s="395"/>
      <c r="K2" s="395"/>
      <c r="L2" s="395"/>
      <c r="M2" s="395"/>
      <c r="N2" s="395"/>
      <c r="O2" s="395"/>
      <c r="P2" s="395"/>
      <c r="Q2" s="395"/>
      <c r="R2" s="395"/>
      <c r="S2" s="395"/>
      <c r="T2" s="395"/>
      <c r="U2" s="395"/>
      <c r="V2" s="395"/>
      <c r="W2" s="395"/>
      <c r="X2" s="395"/>
      <c r="Y2" s="395"/>
      <c r="Z2" s="395"/>
    </row>
    <row r="4" spans="1:27" ht="15" customHeight="1" x14ac:dyDescent="0.35">
      <c r="A4" s="121" t="s">
        <v>672</v>
      </c>
      <c r="B4" s="455" t="s">
        <v>673</v>
      </c>
      <c r="C4" s="456"/>
      <c r="D4" s="456"/>
      <c r="E4" s="456"/>
      <c r="F4" s="456"/>
      <c r="G4" s="456"/>
    </row>
    <row r="5" spans="1:27" ht="15" customHeight="1" x14ac:dyDescent="0.35">
      <c r="A5" s="121" t="s">
        <v>674</v>
      </c>
      <c r="B5" s="455"/>
      <c r="C5" s="456"/>
      <c r="D5" s="456"/>
      <c r="E5" s="456"/>
      <c r="F5" s="456"/>
      <c r="G5" s="456"/>
    </row>
    <row r="6" spans="1:27" ht="15" customHeight="1" x14ac:dyDescent="0.35">
      <c r="A6" s="121" t="s">
        <v>675</v>
      </c>
      <c r="B6" s="455" t="s">
        <v>676</v>
      </c>
      <c r="C6" s="456"/>
      <c r="D6" s="456"/>
      <c r="E6" s="456"/>
      <c r="F6" s="456"/>
      <c r="G6" s="456"/>
    </row>
    <row r="7" spans="1:27" ht="15" customHeight="1" x14ac:dyDescent="0.35">
      <c r="A7" s="121" t="s">
        <v>677</v>
      </c>
      <c r="B7" s="455" t="s">
        <v>678</v>
      </c>
      <c r="C7" s="456"/>
      <c r="D7" s="456"/>
      <c r="E7" s="456"/>
      <c r="F7" s="456"/>
      <c r="G7" s="456"/>
    </row>
    <row r="8" spans="1:27" ht="15" customHeight="1" x14ac:dyDescent="0.35">
      <c r="A8" s="121" t="s">
        <v>679</v>
      </c>
      <c r="B8" s="455" t="s">
        <v>680</v>
      </c>
      <c r="C8" s="456"/>
      <c r="D8" s="456"/>
      <c r="E8" s="456"/>
      <c r="F8" s="456"/>
      <c r="G8" s="456"/>
    </row>
    <row r="9" spans="1:27" ht="15" customHeight="1" x14ac:dyDescent="0.35">
      <c r="A9" s="121" t="s">
        <v>681</v>
      </c>
      <c r="B9" s="455" t="s">
        <v>682</v>
      </c>
      <c r="C9" s="456"/>
      <c r="D9" s="456"/>
      <c r="E9" s="456"/>
      <c r="F9" s="456"/>
      <c r="G9" s="456"/>
    </row>
    <row r="12" spans="1:27" ht="30" customHeight="1" x14ac:dyDescent="0.35">
      <c r="A12" s="80"/>
      <c r="B12" s="122" t="s">
        <v>182</v>
      </c>
      <c r="C12" s="122" t="s">
        <v>183</v>
      </c>
      <c r="D12" s="122" t="s">
        <v>184</v>
      </c>
      <c r="E12" s="122" t="s">
        <v>185</v>
      </c>
      <c r="F12" s="122" t="s">
        <v>186</v>
      </c>
      <c r="G12" s="122" t="s">
        <v>187</v>
      </c>
      <c r="H12" s="122" t="s">
        <v>188</v>
      </c>
      <c r="I12" s="122" t="s">
        <v>189</v>
      </c>
      <c r="J12" s="122" t="s">
        <v>190</v>
      </c>
      <c r="K12" s="123" t="s">
        <v>191</v>
      </c>
      <c r="L12" s="123" t="s">
        <v>192</v>
      </c>
      <c r="M12" s="123" t="s">
        <v>193</v>
      </c>
      <c r="N12" s="123" t="s">
        <v>194</v>
      </c>
      <c r="O12" s="123" t="s">
        <v>195</v>
      </c>
      <c r="P12" s="123" t="s">
        <v>196</v>
      </c>
      <c r="Q12" s="123" t="s">
        <v>197</v>
      </c>
      <c r="R12" s="123" t="s">
        <v>198</v>
      </c>
      <c r="S12" s="123" t="s">
        <v>199</v>
      </c>
      <c r="T12" s="124" t="s">
        <v>683</v>
      </c>
      <c r="U12" s="124" t="s">
        <v>684</v>
      </c>
      <c r="V12" s="124" t="s">
        <v>685</v>
      </c>
      <c r="W12" s="124" t="s">
        <v>686</v>
      </c>
      <c r="X12" s="124" t="s">
        <v>687</v>
      </c>
      <c r="Y12" s="124" t="s">
        <v>688</v>
      </c>
      <c r="Z12" s="124" t="s">
        <v>689</v>
      </c>
      <c r="AA12" s="124" t="s">
        <v>690</v>
      </c>
    </row>
    <row r="13" spans="1:27" ht="22" customHeight="1" x14ac:dyDescent="0.35">
      <c r="A13" s="82" t="s">
        <v>691</v>
      </c>
      <c r="B13" s="83">
        <f t="shared" ref="B13:S13" si="0">IFERROR(EDATE(B14,-5),"")</f>
        <v>45931</v>
      </c>
      <c r="C13" s="83">
        <f t="shared" si="0"/>
        <v>45962</v>
      </c>
      <c r="D13" s="83">
        <f t="shared" si="0"/>
        <v>45992</v>
      </c>
      <c r="E13" s="83">
        <f t="shared" si="0"/>
        <v>46023</v>
      </c>
      <c r="F13" s="83">
        <f t="shared" si="0"/>
        <v>46054</v>
      </c>
      <c r="G13" s="83">
        <f t="shared" si="0"/>
        <v>46082</v>
      </c>
      <c r="H13" s="83">
        <f t="shared" si="0"/>
        <v>46113</v>
      </c>
      <c r="I13" s="83">
        <f t="shared" si="0"/>
        <v>46143</v>
      </c>
      <c r="J13" s="83">
        <f t="shared" si="0"/>
        <v>46174</v>
      </c>
      <c r="K13" s="83">
        <f t="shared" si="0"/>
        <v>46204</v>
      </c>
      <c r="L13" s="83">
        <f t="shared" si="0"/>
        <v>46235</v>
      </c>
      <c r="M13" s="83">
        <f t="shared" si="0"/>
        <v>46266</v>
      </c>
      <c r="N13" s="83">
        <f t="shared" si="0"/>
        <v>46296</v>
      </c>
      <c r="O13" s="83">
        <f t="shared" si="0"/>
        <v>46327</v>
      </c>
      <c r="P13" s="83">
        <f t="shared" si="0"/>
        <v>46357</v>
      </c>
      <c r="Q13" s="83">
        <f t="shared" si="0"/>
        <v>46388</v>
      </c>
      <c r="R13" s="83">
        <f t="shared" si="0"/>
        <v>46419</v>
      </c>
      <c r="S13" s="83">
        <f t="shared" si="0"/>
        <v>46447</v>
      </c>
      <c r="T13" s="84"/>
      <c r="U13" s="84"/>
      <c r="V13" s="84"/>
      <c r="W13" s="84"/>
      <c r="X13" s="84"/>
      <c r="Y13" s="84"/>
      <c r="Z13" s="84"/>
      <c r="AA13" s="84"/>
    </row>
    <row r="14" spans="1:27" ht="22" customHeight="1" x14ac:dyDescent="0.35">
      <c r="A14" s="85" t="s">
        <v>692</v>
      </c>
      <c r="B14" s="86">
        <v>46082</v>
      </c>
      <c r="C14" s="86">
        <v>46113</v>
      </c>
      <c r="D14" s="86">
        <v>46143</v>
      </c>
      <c r="E14" s="86">
        <v>46174</v>
      </c>
      <c r="F14" s="86">
        <v>46204</v>
      </c>
      <c r="G14" s="86">
        <v>46235</v>
      </c>
      <c r="H14" s="86">
        <v>46266</v>
      </c>
      <c r="I14" s="86">
        <v>46296</v>
      </c>
      <c r="J14" s="86">
        <v>46327</v>
      </c>
      <c r="K14" s="87">
        <v>46357</v>
      </c>
      <c r="L14" s="87">
        <v>46388</v>
      </c>
      <c r="M14" s="87">
        <v>46419</v>
      </c>
      <c r="N14" s="87">
        <v>46447</v>
      </c>
      <c r="O14" s="87">
        <v>46478</v>
      </c>
      <c r="P14" s="87">
        <v>46508</v>
      </c>
      <c r="Q14" s="87">
        <v>46539</v>
      </c>
      <c r="R14" s="87">
        <v>46569</v>
      </c>
      <c r="S14" s="87">
        <v>46600</v>
      </c>
      <c r="T14" s="84"/>
      <c r="U14" s="84"/>
      <c r="V14" s="84"/>
      <c r="W14" s="84"/>
      <c r="X14" s="84"/>
      <c r="Y14" s="84"/>
      <c r="Z14" s="84"/>
      <c r="AA14" s="84"/>
    </row>
    <row r="15" spans="1:27" ht="22" customHeight="1" x14ac:dyDescent="0.35">
      <c r="A15" s="88" t="s">
        <v>693</v>
      </c>
      <c r="B15" s="125"/>
      <c r="C15" s="125"/>
      <c r="D15" s="125"/>
      <c r="E15" s="125"/>
      <c r="F15" s="125"/>
      <c r="G15" s="125"/>
      <c r="H15" s="125"/>
      <c r="I15" s="125"/>
      <c r="J15" s="125"/>
      <c r="K15" s="126"/>
      <c r="L15" s="126"/>
      <c r="M15" s="126"/>
      <c r="N15" s="126"/>
      <c r="O15" s="126"/>
      <c r="P15" s="126"/>
      <c r="Q15" s="126"/>
      <c r="R15" s="126"/>
      <c r="S15" s="126"/>
      <c r="T15" s="89"/>
      <c r="U15" s="89"/>
      <c r="V15" s="89"/>
      <c r="W15" s="89"/>
      <c r="X15" s="89"/>
      <c r="Y15" s="89"/>
      <c r="Z15" s="89"/>
      <c r="AA15" s="89"/>
    </row>
    <row r="16" spans="1:27" ht="22" customHeight="1" x14ac:dyDescent="0.35">
      <c r="A16" s="88" t="s">
        <v>694</v>
      </c>
      <c r="B16" s="125"/>
      <c r="C16" s="125"/>
      <c r="D16" s="125"/>
      <c r="E16" s="125"/>
      <c r="F16" s="125"/>
      <c r="G16" s="125"/>
      <c r="H16" s="125"/>
      <c r="I16" s="125"/>
      <c r="J16" s="125"/>
      <c r="K16" s="126"/>
      <c r="L16" s="126"/>
      <c r="M16" s="126"/>
      <c r="N16" s="126"/>
      <c r="O16" s="126"/>
      <c r="P16" s="126"/>
      <c r="Q16" s="126"/>
      <c r="R16" s="126"/>
      <c r="S16" s="126"/>
      <c r="T16" s="89"/>
      <c r="U16" s="89"/>
      <c r="V16" s="89"/>
      <c r="W16" s="89"/>
      <c r="X16" s="89"/>
      <c r="Y16" s="89"/>
      <c r="Z16" s="89"/>
      <c r="AA16" s="89"/>
    </row>
    <row r="17" spans="1:27" ht="22" customHeight="1" x14ac:dyDescent="0.35">
      <c r="A17" s="90" t="s">
        <v>695</v>
      </c>
      <c r="B17" s="127"/>
      <c r="C17" s="127"/>
      <c r="D17" s="127"/>
      <c r="E17" s="127"/>
      <c r="F17" s="127"/>
      <c r="G17" s="127"/>
      <c r="H17" s="127"/>
      <c r="I17" s="127"/>
      <c r="J17" s="127"/>
      <c r="K17" s="128"/>
      <c r="L17" s="128"/>
      <c r="M17" s="128"/>
      <c r="N17" s="128"/>
      <c r="O17" s="128"/>
      <c r="P17" s="128"/>
      <c r="Q17" s="128"/>
      <c r="R17" s="128"/>
      <c r="S17" s="128"/>
      <c r="T17" s="91"/>
      <c r="U17" s="91"/>
      <c r="V17" s="91"/>
      <c r="W17" s="91"/>
      <c r="X17" s="91"/>
      <c r="Y17" s="91"/>
      <c r="Z17" s="91"/>
      <c r="AA17" s="91"/>
    </row>
    <row r="18" spans="1:27" ht="22" customHeight="1" x14ac:dyDescent="0.35">
      <c r="A18" s="92" t="s">
        <v>696</v>
      </c>
      <c r="B18" s="127"/>
      <c r="C18" s="127"/>
      <c r="D18" s="127"/>
      <c r="E18" s="127"/>
      <c r="F18" s="127"/>
      <c r="G18" s="127"/>
      <c r="H18" s="127"/>
      <c r="I18" s="127"/>
      <c r="J18" s="127"/>
      <c r="K18" s="128"/>
      <c r="L18" s="128"/>
      <c r="M18" s="128"/>
      <c r="N18" s="128"/>
      <c r="O18" s="128"/>
      <c r="P18" s="128"/>
      <c r="Q18" s="128"/>
      <c r="R18" s="128"/>
      <c r="S18" s="128"/>
      <c r="T18" s="91"/>
      <c r="U18" s="91"/>
      <c r="V18" s="91"/>
      <c r="W18" s="91"/>
      <c r="X18" s="91"/>
      <c r="Y18" s="91"/>
      <c r="Z18" s="91"/>
      <c r="AA18" s="91"/>
    </row>
    <row r="19" spans="1:27" ht="22" customHeight="1" x14ac:dyDescent="0.35">
      <c r="A19" s="85" t="s">
        <v>697</v>
      </c>
      <c r="B19" s="129" t="s">
        <v>698</v>
      </c>
      <c r="C19" s="129" t="s">
        <v>698</v>
      </c>
      <c r="D19" s="129" t="s">
        <v>698</v>
      </c>
      <c r="E19" s="129" t="s">
        <v>698</v>
      </c>
      <c r="F19" s="129" t="s">
        <v>698</v>
      </c>
      <c r="G19" s="129" t="s">
        <v>698</v>
      </c>
      <c r="H19" s="129" t="s">
        <v>698</v>
      </c>
      <c r="I19" s="129" t="s">
        <v>698</v>
      </c>
      <c r="J19" s="129" t="s">
        <v>698</v>
      </c>
      <c r="K19" s="130" t="s">
        <v>699</v>
      </c>
      <c r="L19" s="130" t="s">
        <v>699</v>
      </c>
      <c r="M19" s="130" t="s">
        <v>699</v>
      </c>
      <c r="N19" s="130" t="s">
        <v>699</v>
      </c>
      <c r="O19" s="130" t="s">
        <v>699</v>
      </c>
      <c r="P19" s="130" t="s">
        <v>699</v>
      </c>
      <c r="Q19" s="130" t="s">
        <v>699</v>
      </c>
      <c r="R19" s="130" t="s">
        <v>699</v>
      </c>
      <c r="S19" s="130" t="s">
        <v>699</v>
      </c>
      <c r="T19" s="81" t="s">
        <v>699</v>
      </c>
      <c r="U19" s="81" t="s">
        <v>699</v>
      </c>
      <c r="V19" s="81" t="s">
        <v>699</v>
      </c>
      <c r="W19" s="81" t="s">
        <v>699</v>
      </c>
      <c r="X19" s="81" t="s">
        <v>699</v>
      </c>
      <c r="Y19" s="81" t="s">
        <v>699</v>
      </c>
      <c r="Z19" s="81" t="s">
        <v>699</v>
      </c>
      <c r="AA19" s="81" t="s">
        <v>699</v>
      </c>
    </row>
    <row r="20" spans="1:27" ht="18" customHeight="1" x14ac:dyDescent="0.35">
      <c r="A20" s="131" t="s">
        <v>700</v>
      </c>
      <c r="B20" s="132">
        <f t="shared" ref="B20:S20" si="1">B17</f>
        <v>0</v>
      </c>
      <c r="C20" s="132">
        <f t="shared" si="1"/>
        <v>0</v>
      </c>
      <c r="D20" s="132">
        <f t="shared" si="1"/>
        <v>0</v>
      </c>
      <c r="E20" s="132">
        <f t="shared" si="1"/>
        <v>0</v>
      </c>
      <c r="F20" s="132">
        <f t="shared" si="1"/>
        <v>0</v>
      </c>
      <c r="G20" s="132">
        <f t="shared" si="1"/>
        <v>0</v>
      </c>
      <c r="H20" s="132">
        <f t="shared" si="1"/>
        <v>0</v>
      </c>
      <c r="I20" s="132">
        <f t="shared" si="1"/>
        <v>0</v>
      </c>
      <c r="J20" s="132">
        <f t="shared" si="1"/>
        <v>0</v>
      </c>
      <c r="K20" s="132">
        <f t="shared" si="1"/>
        <v>0</v>
      </c>
      <c r="L20" s="132">
        <f t="shared" si="1"/>
        <v>0</v>
      </c>
      <c r="M20" s="132">
        <f t="shared" si="1"/>
        <v>0</v>
      </c>
      <c r="N20" s="132">
        <f t="shared" si="1"/>
        <v>0</v>
      </c>
      <c r="O20" s="132">
        <f t="shared" si="1"/>
        <v>0</v>
      </c>
      <c r="P20" s="132">
        <f t="shared" si="1"/>
        <v>0</v>
      </c>
      <c r="Q20" s="132">
        <f t="shared" si="1"/>
        <v>0</v>
      </c>
      <c r="R20" s="132">
        <f t="shared" si="1"/>
        <v>0</v>
      </c>
      <c r="S20" s="132">
        <f t="shared" si="1"/>
        <v>0</v>
      </c>
      <c r="T20" s="80"/>
      <c r="U20" s="80"/>
      <c r="V20" s="80"/>
      <c r="W20" s="80"/>
      <c r="X20" s="80"/>
      <c r="Y20" s="80"/>
      <c r="Z20" s="80"/>
      <c r="AA20" s="80"/>
    </row>
    <row r="23" spans="1:27" ht="18" customHeight="1" x14ac:dyDescent="0.35">
      <c r="A23" s="446" t="s">
        <v>701</v>
      </c>
      <c r="B23" s="395"/>
      <c r="C23" s="395"/>
      <c r="D23" s="395"/>
      <c r="E23" s="395"/>
      <c r="F23" s="395"/>
      <c r="H23" s="446" t="s">
        <v>702</v>
      </c>
      <c r="I23" s="395"/>
      <c r="J23" s="395"/>
      <c r="K23" s="395"/>
      <c r="L23" s="395"/>
      <c r="M23" s="395"/>
    </row>
    <row r="24" spans="1:27" ht="16" customHeight="1" x14ac:dyDescent="0.35">
      <c r="A24" s="121" t="s">
        <v>703</v>
      </c>
      <c r="B24" s="455"/>
      <c r="C24" s="456"/>
      <c r="D24" s="456"/>
      <c r="E24" s="456"/>
      <c r="F24" s="456"/>
      <c r="H24" s="121" t="s">
        <v>703</v>
      </c>
      <c r="I24" s="455"/>
      <c r="J24" s="456"/>
      <c r="K24" s="456"/>
      <c r="L24" s="456"/>
      <c r="M24" s="456"/>
    </row>
    <row r="25" spans="1:27" ht="16" customHeight="1" x14ac:dyDescent="0.35">
      <c r="A25" s="121" t="s">
        <v>704</v>
      </c>
      <c r="B25" s="455"/>
      <c r="C25" s="456"/>
      <c r="D25" s="456"/>
      <c r="E25" s="456"/>
      <c r="F25" s="456"/>
      <c r="H25" s="121" t="s">
        <v>704</v>
      </c>
      <c r="I25" s="455"/>
      <c r="J25" s="456"/>
      <c r="K25" s="456"/>
      <c r="L25" s="456"/>
      <c r="M25" s="456"/>
    </row>
    <row r="26" spans="1:27" ht="16" customHeight="1" x14ac:dyDescent="0.35">
      <c r="A26" s="121" t="s">
        <v>705</v>
      </c>
      <c r="B26" s="455"/>
      <c r="C26" s="456"/>
      <c r="D26" s="456"/>
      <c r="E26" s="456"/>
      <c r="F26" s="456"/>
      <c r="H26" s="121" t="s">
        <v>705</v>
      </c>
      <c r="I26" s="455"/>
      <c r="J26" s="456"/>
      <c r="K26" s="456"/>
      <c r="L26" s="456"/>
      <c r="M26" s="456"/>
    </row>
    <row r="27" spans="1:27" ht="16" customHeight="1" x14ac:dyDescent="0.35">
      <c r="A27" s="121" t="s">
        <v>706</v>
      </c>
      <c r="B27" s="455"/>
      <c r="C27" s="456"/>
      <c r="D27" s="456"/>
      <c r="E27" s="456"/>
      <c r="F27" s="456"/>
      <c r="H27" s="121" t="s">
        <v>706</v>
      </c>
      <c r="I27" s="455"/>
      <c r="J27" s="456"/>
      <c r="K27" s="456"/>
      <c r="L27" s="456"/>
      <c r="M27" s="456"/>
    </row>
    <row r="28" spans="1:27" ht="16" customHeight="1" x14ac:dyDescent="0.35">
      <c r="A28" s="121" t="s">
        <v>707</v>
      </c>
      <c r="B28" s="455"/>
      <c r="C28" s="456"/>
      <c r="D28" s="456"/>
      <c r="E28" s="456"/>
      <c r="F28" s="456"/>
      <c r="H28" s="121" t="s">
        <v>707</v>
      </c>
      <c r="I28" s="455"/>
      <c r="J28" s="456"/>
      <c r="K28" s="456"/>
      <c r="L28" s="456"/>
      <c r="M28" s="456"/>
    </row>
    <row r="30" spans="1:27" ht="16" customHeight="1" x14ac:dyDescent="0.35">
      <c r="A30" s="394" t="s">
        <v>708</v>
      </c>
      <c r="B30" s="395"/>
      <c r="C30" s="395"/>
      <c r="D30" s="395"/>
      <c r="E30" s="395"/>
      <c r="F30" s="395"/>
      <c r="G30" s="395"/>
      <c r="H30" s="395"/>
      <c r="I30" s="395"/>
      <c r="J30" s="395"/>
      <c r="K30" s="395"/>
      <c r="L30" s="395"/>
      <c r="M30" s="395"/>
      <c r="N30" s="395"/>
      <c r="O30" s="395"/>
      <c r="P30" s="395"/>
    </row>
  </sheetData>
  <mergeCells count="21">
    <mergeCell ref="A1:Z1"/>
    <mergeCell ref="I25:M25"/>
    <mergeCell ref="A23:F23"/>
    <mergeCell ref="B9:G9"/>
    <mergeCell ref="I28:M28"/>
    <mergeCell ref="B4:G4"/>
    <mergeCell ref="A2:Z2"/>
    <mergeCell ref="B25:F25"/>
    <mergeCell ref="B8:G8"/>
    <mergeCell ref="I27:M27"/>
    <mergeCell ref="B27:F27"/>
    <mergeCell ref="I26:M26"/>
    <mergeCell ref="A30:P30"/>
    <mergeCell ref="B6:G6"/>
    <mergeCell ref="B5:G5"/>
    <mergeCell ref="B28:F28"/>
    <mergeCell ref="I24:M24"/>
    <mergeCell ref="H23:M23"/>
    <mergeCell ref="B7:G7"/>
    <mergeCell ref="B24:F24"/>
    <mergeCell ref="B26:F26"/>
  </mergeCells>
  <pageMargins left="0.75" right="0.75" top="1" bottom="1" header="0.5" footer="0.5"/>
  <pageSetup orientation="landscape"/>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pageSetUpPr fitToPage="1"/>
  </sheetPr>
  <dimension ref="A1:AA30"/>
  <sheetViews>
    <sheetView showGridLines="0" zoomScale="55" zoomScaleNormal="55" workbookViewId="0">
      <selection sqref="A1:Z1"/>
    </sheetView>
  </sheetViews>
  <sheetFormatPr defaultRowHeight="14.5" x14ac:dyDescent="0.35"/>
  <cols>
    <col min="1" max="1" width="26" customWidth="1"/>
    <col min="2" max="19" width="10" customWidth="1"/>
    <col min="20" max="27" width="11" customWidth="1"/>
  </cols>
  <sheetData>
    <row r="1" spans="1:27" ht="28" customHeight="1" x14ac:dyDescent="0.35">
      <c r="A1" s="405" t="s">
        <v>670</v>
      </c>
      <c r="B1" s="395"/>
      <c r="C1" s="395"/>
      <c r="D1" s="395"/>
      <c r="E1" s="395"/>
      <c r="F1" s="395"/>
      <c r="G1" s="395"/>
      <c r="H1" s="395"/>
      <c r="I1" s="395"/>
      <c r="J1" s="395"/>
      <c r="K1" s="395"/>
      <c r="L1" s="395"/>
      <c r="M1" s="395"/>
      <c r="N1" s="395"/>
      <c r="O1" s="395"/>
      <c r="P1" s="395"/>
      <c r="Q1" s="395"/>
      <c r="R1" s="395"/>
      <c r="S1" s="395"/>
      <c r="T1" s="395"/>
      <c r="U1" s="395"/>
      <c r="V1" s="395"/>
      <c r="W1" s="395"/>
      <c r="X1" s="395"/>
      <c r="Y1" s="395"/>
      <c r="Z1" s="395"/>
    </row>
    <row r="2" spans="1:27" ht="16" customHeight="1" x14ac:dyDescent="0.35">
      <c r="A2" s="457" t="s">
        <v>709</v>
      </c>
      <c r="B2" s="395"/>
      <c r="C2" s="395"/>
      <c r="D2" s="395"/>
      <c r="E2" s="395"/>
      <c r="F2" s="395"/>
      <c r="G2" s="395"/>
      <c r="H2" s="395"/>
      <c r="I2" s="395"/>
      <c r="J2" s="395"/>
      <c r="K2" s="395"/>
      <c r="L2" s="395"/>
      <c r="M2" s="395"/>
      <c r="N2" s="395"/>
      <c r="O2" s="395"/>
      <c r="P2" s="395"/>
      <c r="Q2" s="395"/>
      <c r="R2" s="395"/>
      <c r="S2" s="395"/>
      <c r="T2" s="395"/>
      <c r="U2" s="395"/>
      <c r="V2" s="395"/>
      <c r="W2" s="395"/>
      <c r="X2" s="395"/>
      <c r="Y2" s="395"/>
      <c r="Z2" s="395"/>
    </row>
    <row r="4" spans="1:27" ht="15" customHeight="1" x14ac:dyDescent="0.35">
      <c r="A4" s="121" t="s">
        <v>672</v>
      </c>
      <c r="B4" s="455" t="s">
        <v>673</v>
      </c>
      <c r="C4" s="456"/>
      <c r="D4" s="456"/>
      <c r="E4" s="456"/>
      <c r="F4" s="456"/>
      <c r="G4" s="456"/>
    </row>
    <row r="5" spans="1:27" ht="15" customHeight="1" x14ac:dyDescent="0.35">
      <c r="A5" s="121" t="s">
        <v>674</v>
      </c>
      <c r="B5" s="455"/>
      <c r="C5" s="456"/>
      <c r="D5" s="456"/>
      <c r="E5" s="456"/>
      <c r="F5" s="456"/>
      <c r="G5" s="456"/>
    </row>
    <row r="6" spans="1:27" ht="15" customHeight="1" x14ac:dyDescent="0.35">
      <c r="A6" s="121" t="s">
        <v>675</v>
      </c>
      <c r="B6" s="455" t="s">
        <v>676</v>
      </c>
      <c r="C6" s="456"/>
      <c r="D6" s="456"/>
      <c r="E6" s="456"/>
      <c r="F6" s="456"/>
      <c r="G6" s="456"/>
    </row>
    <row r="7" spans="1:27" ht="15" customHeight="1" x14ac:dyDescent="0.35">
      <c r="A7" s="121" t="s">
        <v>677</v>
      </c>
      <c r="B7" s="455" t="s">
        <v>678</v>
      </c>
      <c r="C7" s="456"/>
      <c r="D7" s="456"/>
      <c r="E7" s="456"/>
      <c r="F7" s="456"/>
      <c r="G7" s="456"/>
    </row>
    <row r="8" spans="1:27" ht="15" customHeight="1" x14ac:dyDescent="0.35">
      <c r="A8" s="121" t="s">
        <v>679</v>
      </c>
      <c r="B8" s="455" t="s">
        <v>680</v>
      </c>
      <c r="C8" s="456"/>
      <c r="D8" s="456"/>
      <c r="E8" s="456"/>
      <c r="F8" s="456"/>
      <c r="G8" s="456"/>
    </row>
    <row r="9" spans="1:27" ht="15" customHeight="1" x14ac:dyDescent="0.35">
      <c r="A9" s="121" t="s">
        <v>681</v>
      </c>
      <c r="B9" s="455" t="s">
        <v>682</v>
      </c>
      <c r="C9" s="456"/>
      <c r="D9" s="456"/>
      <c r="E9" s="456"/>
      <c r="F9" s="456"/>
      <c r="G9" s="456"/>
    </row>
    <row r="12" spans="1:27" ht="30" customHeight="1" x14ac:dyDescent="0.35">
      <c r="A12" s="80"/>
      <c r="B12" s="122" t="s">
        <v>182</v>
      </c>
      <c r="C12" s="122" t="s">
        <v>183</v>
      </c>
      <c r="D12" s="122" t="s">
        <v>184</v>
      </c>
      <c r="E12" s="122" t="s">
        <v>185</v>
      </c>
      <c r="F12" s="122" t="s">
        <v>186</v>
      </c>
      <c r="G12" s="122" t="s">
        <v>187</v>
      </c>
      <c r="H12" s="122" t="s">
        <v>188</v>
      </c>
      <c r="I12" s="122" t="s">
        <v>189</v>
      </c>
      <c r="J12" s="122" t="s">
        <v>190</v>
      </c>
      <c r="K12" s="123" t="s">
        <v>191</v>
      </c>
      <c r="L12" s="123" t="s">
        <v>192</v>
      </c>
      <c r="M12" s="123" t="s">
        <v>193</v>
      </c>
      <c r="N12" s="123" t="s">
        <v>194</v>
      </c>
      <c r="O12" s="123" t="s">
        <v>195</v>
      </c>
      <c r="P12" s="123" t="s">
        <v>196</v>
      </c>
      <c r="Q12" s="123" t="s">
        <v>197</v>
      </c>
      <c r="R12" s="123" t="s">
        <v>198</v>
      </c>
      <c r="S12" s="123" t="s">
        <v>199</v>
      </c>
      <c r="T12" s="124" t="s">
        <v>683</v>
      </c>
      <c r="U12" s="124" t="s">
        <v>684</v>
      </c>
      <c r="V12" s="124" t="s">
        <v>685</v>
      </c>
      <c r="W12" s="124" t="s">
        <v>686</v>
      </c>
      <c r="X12" s="124" t="s">
        <v>687</v>
      </c>
      <c r="Y12" s="124" t="s">
        <v>688</v>
      </c>
      <c r="Z12" s="124" t="s">
        <v>689</v>
      </c>
      <c r="AA12" s="124" t="s">
        <v>690</v>
      </c>
    </row>
    <row r="13" spans="1:27" ht="22" customHeight="1" x14ac:dyDescent="0.35">
      <c r="A13" s="82" t="s">
        <v>691</v>
      </c>
      <c r="B13" s="83">
        <f t="shared" ref="B13:S13" si="0">IFERROR(EDATE(B14,-5),"")</f>
        <v>45931</v>
      </c>
      <c r="C13" s="83">
        <f t="shared" si="0"/>
        <v>45962</v>
      </c>
      <c r="D13" s="83">
        <f t="shared" si="0"/>
        <v>45992</v>
      </c>
      <c r="E13" s="83">
        <f t="shared" si="0"/>
        <v>46023</v>
      </c>
      <c r="F13" s="83">
        <f t="shared" si="0"/>
        <v>46054</v>
      </c>
      <c r="G13" s="83">
        <f t="shared" si="0"/>
        <v>46082</v>
      </c>
      <c r="H13" s="83">
        <f t="shared" si="0"/>
        <v>46113</v>
      </c>
      <c r="I13" s="83">
        <f t="shared" si="0"/>
        <v>46143</v>
      </c>
      <c r="J13" s="83">
        <f t="shared" si="0"/>
        <v>46174</v>
      </c>
      <c r="K13" s="83">
        <f t="shared" si="0"/>
        <v>46204</v>
      </c>
      <c r="L13" s="83">
        <f t="shared" si="0"/>
        <v>46235</v>
      </c>
      <c r="M13" s="83">
        <f t="shared" si="0"/>
        <v>46266</v>
      </c>
      <c r="N13" s="83">
        <f t="shared" si="0"/>
        <v>46296</v>
      </c>
      <c r="O13" s="83">
        <f t="shared" si="0"/>
        <v>46327</v>
      </c>
      <c r="P13" s="83">
        <f t="shared" si="0"/>
        <v>46357</v>
      </c>
      <c r="Q13" s="83">
        <f t="shared" si="0"/>
        <v>46388</v>
      </c>
      <c r="R13" s="83">
        <f t="shared" si="0"/>
        <v>46419</v>
      </c>
      <c r="S13" s="83">
        <f t="shared" si="0"/>
        <v>46447</v>
      </c>
      <c r="T13" s="84"/>
      <c r="U13" s="84"/>
      <c r="V13" s="84"/>
      <c r="W13" s="84"/>
      <c r="X13" s="84"/>
      <c r="Y13" s="84"/>
      <c r="Z13" s="84"/>
      <c r="AA13" s="84"/>
    </row>
    <row r="14" spans="1:27" ht="22" customHeight="1" x14ac:dyDescent="0.35">
      <c r="A14" s="85" t="s">
        <v>692</v>
      </c>
      <c r="B14" s="86">
        <v>46082</v>
      </c>
      <c r="C14" s="86">
        <v>46113</v>
      </c>
      <c r="D14" s="86">
        <v>46143</v>
      </c>
      <c r="E14" s="86">
        <v>46174</v>
      </c>
      <c r="F14" s="86">
        <v>46204</v>
      </c>
      <c r="G14" s="86">
        <v>46235</v>
      </c>
      <c r="H14" s="86">
        <v>46266</v>
      </c>
      <c r="I14" s="86">
        <v>46296</v>
      </c>
      <c r="J14" s="86">
        <v>46327</v>
      </c>
      <c r="K14" s="87">
        <v>46357</v>
      </c>
      <c r="L14" s="87">
        <v>46388</v>
      </c>
      <c r="M14" s="87">
        <v>46419</v>
      </c>
      <c r="N14" s="87">
        <v>46447</v>
      </c>
      <c r="O14" s="87">
        <v>46478</v>
      </c>
      <c r="P14" s="87">
        <v>46508</v>
      </c>
      <c r="Q14" s="87">
        <v>46539</v>
      </c>
      <c r="R14" s="87">
        <v>46569</v>
      </c>
      <c r="S14" s="87">
        <v>46600</v>
      </c>
      <c r="T14" s="84"/>
      <c r="U14" s="84"/>
      <c r="V14" s="84"/>
      <c r="W14" s="84"/>
      <c r="X14" s="84"/>
      <c r="Y14" s="84"/>
      <c r="Z14" s="84"/>
      <c r="AA14" s="84"/>
    </row>
    <row r="15" spans="1:27" ht="22" customHeight="1" x14ac:dyDescent="0.35">
      <c r="A15" s="88" t="s">
        <v>693</v>
      </c>
      <c r="B15" s="125"/>
      <c r="C15" s="125"/>
      <c r="D15" s="125"/>
      <c r="E15" s="125"/>
      <c r="F15" s="125"/>
      <c r="G15" s="125"/>
      <c r="H15" s="125"/>
      <c r="I15" s="125"/>
      <c r="J15" s="125"/>
      <c r="K15" s="126"/>
      <c r="L15" s="126"/>
      <c r="M15" s="126"/>
      <c r="N15" s="126"/>
      <c r="O15" s="126"/>
      <c r="P15" s="126"/>
      <c r="Q15" s="126"/>
      <c r="R15" s="126"/>
      <c r="S15" s="126"/>
      <c r="T15" s="89"/>
      <c r="U15" s="89"/>
      <c r="V15" s="89"/>
      <c r="W15" s="89"/>
      <c r="X15" s="89"/>
      <c r="Y15" s="89"/>
      <c r="Z15" s="89"/>
      <c r="AA15" s="89"/>
    </row>
    <row r="16" spans="1:27" ht="22" customHeight="1" x14ac:dyDescent="0.35">
      <c r="A16" s="88" t="s">
        <v>694</v>
      </c>
      <c r="B16" s="125"/>
      <c r="C16" s="125"/>
      <c r="D16" s="125"/>
      <c r="E16" s="125"/>
      <c r="F16" s="125"/>
      <c r="G16" s="125"/>
      <c r="H16" s="125"/>
      <c r="I16" s="125"/>
      <c r="J16" s="125"/>
      <c r="K16" s="126"/>
      <c r="L16" s="126"/>
      <c r="M16" s="126"/>
      <c r="N16" s="126"/>
      <c r="O16" s="126"/>
      <c r="P16" s="126"/>
      <c r="Q16" s="126"/>
      <c r="R16" s="126"/>
      <c r="S16" s="126"/>
      <c r="T16" s="89"/>
      <c r="U16" s="89"/>
      <c r="V16" s="89"/>
      <c r="W16" s="89"/>
      <c r="X16" s="89"/>
      <c r="Y16" s="89"/>
      <c r="Z16" s="89"/>
      <c r="AA16" s="89"/>
    </row>
    <row r="17" spans="1:27" ht="22" customHeight="1" x14ac:dyDescent="0.35">
      <c r="A17" s="90" t="s">
        <v>695</v>
      </c>
      <c r="B17" s="127"/>
      <c r="C17" s="127"/>
      <c r="D17" s="127"/>
      <c r="E17" s="127"/>
      <c r="F17" s="127"/>
      <c r="G17" s="127"/>
      <c r="H17" s="127"/>
      <c r="I17" s="127"/>
      <c r="J17" s="127"/>
      <c r="K17" s="128"/>
      <c r="L17" s="128"/>
      <c r="M17" s="128"/>
      <c r="N17" s="128"/>
      <c r="O17" s="128"/>
      <c r="P17" s="128"/>
      <c r="Q17" s="128"/>
      <c r="R17" s="128"/>
      <c r="S17" s="128"/>
      <c r="T17" s="91"/>
      <c r="U17" s="91"/>
      <c r="V17" s="91"/>
      <c r="W17" s="91"/>
      <c r="X17" s="91"/>
      <c r="Y17" s="91"/>
      <c r="Z17" s="91"/>
      <c r="AA17" s="91"/>
    </row>
    <row r="18" spans="1:27" ht="22" customHeight="1" x14ac:dyDescent="0.35">
      <c r="A18" s="92" t="s">
        <v>696</v>
      </c>
      <c r="B18" s="127"/>
      <c r="C18" s="127"/>
      <c r="D18" s="127"/>
      <c r="E18" s="127"/>
      <c r="F18" s="127"/>
      <c r="G18" s="127"/>
      <c r="H18" s="127"/>
      <c r="I18" s="127"/>
      <c r="J18" s="127"/>
      <c r="K18" s="128"/>
      <c r="L18" s="128"/>
      <c r="M18" s="128"/>
      <c r="N18" s="128"/>
      <c r="O18" s="128"/>
      <c r="P18" s="128"/>
      <c r="Q18" s="128"/>
      <c r="R18" s="128"/>
      <c r="S18" s="128"/>
      <c r="T18" s="91"/>
      <c r="U18" s="91"/>
      <c r="V18" s="91"/>
      <c r="W18" s="91"/>
      <c r="X18" s="91"/>
      <c r="Y18" s="91"/>
      <c r="Z18" s="91"/>
      <c r="AA18" s="91"/>
    </row>
    <row r="19" spans="1:27" ht="22" customHeight="1" x14ac:dyDescent="0.35">
      <c r="A19" s="85" t="s">
        <v>697</v>
      </c>
      <c r="B19" s="129" t="s">
        <v>698</v>
      </c>
      <c r="C19" s="129" t="s">
        <v>698</v>
      </c>
      <c r="D19" s="129" t="s">
        <v>698</v>
      </c>
      <c r="E19" s="129" t="s">
        <v>698</v>
      </c>
      <c r="F19" s="129" t="s">
        <v>698</v>
      </c>
      <c r="G19" s="129" t="s">
        <v>698</v>
      </c>
      <c r="H19" s="129" t="s">
        <v>698</v>
      </c>
      <c r="I19" s="129" t="s">
        <v>698</v>
      </c>
      <c r="J19" s="129" t="s">
        <v>698</v>
      </c>
      <c r="K19" s="130" t="s">
        <v>699</v>
      </c>
      <c r="L19" s="130" t="s">
        <v>699</v>
      </c>
      <c r="M19" s="130" t="s">
        <v>699</v>
      </c>
      <c r="N19" s="130" t="s">
        <v>699</v>
      </c>
      <c r="O19" s="130" t="s">
        <v>699</v>
      </c>
      <c r="P19" s="130" t="s">
        <v>699</v>
      </c>
      <c r="Q19" s="130" t="s">
        <v>699</v>
      </c>
      <c r="R19" s="130" t="s">
        <v>699</v>
      </c>
      <c r="S19" s="130" t="s">
        <v>699</v>
      </c>
      <c r="T19" s="81" t="s">
        <v>699</v>
      </c>
      <c r="U19" s="81" t="s">
        <v>699</v>
      </c>
      <c r="V19" s="81" t="s">
        <v>699</v>
      </c>
      <c r="W19" s="81" t="s">
        <v>699</v>
      </c>
      <c r="X19" s="81" t="s">
        <v>699</v>
      </c>
      <c r="Y19" s="81" t="s">
        <v>699</v>
      </c>
      <c r="Z19" s="81" t="s">
        <v>699</v>
      </c>
      <c r="AA19" s="81" t="s">
        <v>699</v>
      </c>
    </row>
    <row r="20" spans="1:27" ht="18" customHeight="1" x14ac:dyDescent="0.35">
      <c r="A20" s="131" t="s">
        <v>700</v>
      </c>
      <c r="B20" s="132">
        <f t="shared" ref="B20:S20" si="1">B17</f>
        <v>0</v>
      </c>
      <c r="C20" s="132">
        <f t="shared" si="1"/>
        <v>0</v>
      </c>
      <c r="D20" s="132">
        <f t="shared" si="1"/>
        <v>0</v>
      </c>
      <c r="E20" s="132">
        <f t="shared" si="1"/>
        <v>0</v>
      </c>
      <c r="F20" s="132">
        <f t="shared" si="1"/>
        <v>0</v>
      </c>
      <c r="G20" s="132">
        <f t="shared" si="1"/>
        <v>0</v>
      </c>
      <c r="H20" s="132">
        <f t="shared" si="1"/>
        <v>0</v>
      </c>
      <c r="I20" s="132">
        <f t="shared" si="1"/>
        <v>0</v>
      </c>
      <c r="J20" s="132">
        <f t="shared" si="1"/>
        <v>0</v>
      </c>
      <c r="K20" s="132">
        <f t="shared" si="1"/>
        <v>0</v>
      </c>
      <c r="L20" s="132">
        <f t="shared" si="1"/>
        <v>0</v>
      </c>
      <c r="M20" s="132">
        <f t="shared" si="1"/>
        <v>0</v>
      </c>
      <c r="N20" s="132">
        <f t="shared" si="1"/>
        <v>0</v>
      </c>
      <c r="O20" s="132">
        <f t="shared" si="1"/>
        <v>0</v>
      </c>
      <c r="P20" s="132">
        <f t="shared" si="1"/>
        <v>0</v>
      </c>
      <c r="Q20" s="132">
        <f t="shared" si="1"/>
        <v>0</v>
      </c>
      <c r="R20" s="132">
        <f t="shared" si="1"/>
        <v>0</v>
      </c>
      <c r="S20" s="132">
        <f t="shared" si="1"/>
        <v>0</v>
      </c>
      <c r="T20" s="80"/>
      <c r="U20" s="80"/>
      <c r="V20" s="80"/>
      <c r="W20" s="80"/>
      <c r="X20" s="80"/>
      <c r="Y20" s="80"/>
      <c r="Z20" s="80"/>
      <c r="AA20" s="80"/>
    </row>
    <row r="23" spans="1:27" ht="18" customHeight="1" x14ac:dyDescent="0.35">
      <c r="A23" s="446" t="s">
        <v>701</v>
      </c>
      <c r="B23" s="395"/>
      <c r="C23" s="395"/>
      <c r="D23" s="395"/>
      <c r="E23" s="395"/>
      <c r="F23" s="395"/>
      <c r="H23" s="446" t="s">
        <v>710</v>
      </c>
      <c r="I23" s="395"/>
      <c r="J23" s="395"/>
      <c r="K23" s="395"/>
      <c r="L23" s="395"/>
      <c r="M23" s="395"/>
    </row>
    <row r="24" spans="1:27" ht="16" customHeight="1" x14ac:dyDescent="0.35">
      <c r="A24" s="121" t="s">
        <v>703</v>
      </c>
      <c r="B24" s="455"/>
      <c r="C24" s="456"/>
      <c r="D24" s="456"/>
      <c r="E24" s="456"/>
      <c r="F24" s="456"/>
      <c r="H24" s="121" t="s">
        <v>703</v>
      </c>
      <c r="I24" s="455"/>
      <c r="J24" s="456"/>
      <c r="K24" s="456"/>
      <c r="L24" s="456"/>
      <c r="M24" s="456"/>
    </row>
    <row r="25" spans="1:27" ht="16" customHeight="1" x14ac:dyDescent="0.35">
      <c r="A25" s="121" t="s">
        <v>704</v>
      </c>
      <c r="B25" s="455"/>
      <c r="C25" s="456"/>
      <c r="D25" s="456"/>
      <c r="E25" s="456"/>
      <c r="F25" s="456"/>
      <c r="H25" s="121" t="s">
        <v>704</v>
      </c>
      <c r="I25" s="455"/>
      <c r="J25" s="456"/>
      <c r="K25" s="456"/>
      <c r="L25" s="456"/>
      <c r="M25" s="456"/>
    </row>
    <row r="26" spans="1:27" ht="16" customHeight="1" x14ac:dyDescent="0.35">
      <c r="A26" s="121" t="s">
        <v>705</v>
      </c>
      <c r="B26" s="455"/>
      <c r="C26" s="456"/>
      <c r="D26" s="456"/>
      <c r="E26" s="456"/>
      <c r="F26" s="456"/>
      <c r="H26" s="121" t="s">
        <v>705</v>
      </c>
      <c r="I26" s="455"/>
      <c r="J26" s="456"/>
      <c r="K26" s="456"/>
      <c r="L26" s="456"/>
      <c r="M26" s="456"/>
    </row>
    <row r="27" spans="1:27" ht="16" customHeight="1" x14ac:dyDescent="0.35">
      <c r="A27" s="121" t="s">
        <v>706</v>
      </c>
      <c r="B27" s="455"/>
      <c r="C27" s="456"/>
      <c r="D27" s="456"/>
      <c r="E27" s="456"/>
      <c r="F27" s="456"/>
      <c r="H27" s="121" t="s">
        <v>706</v>
      </c>
      <c r="I27" s="455"/>
      <c r="J27" s="456"/>
      <c r="K27" s="456"/>
      <c r="L27" s="456"/>
      <c r="M27" s="456"/>
    </row>
    <row r="28" spans="1:27" ht="16" customHeight="1" x14ac:dyDescent="0.35">
      <c r="A28" s="121" t="s">
        <v>707</v>
      </c>
      <c r="B28" s="455"/>
      <c r="C28" s="456"/>
      <c r="D28" s="456"/>
      <c r="E28" s="456"/>
      <c r="F28" s="456"/>
      <c r="H28" s="121" t="s">
        <v>707</v>
      </c>
      <c r="I28" s="455"/>
      <c r="J28" s="456"/>
      <c r="K28" s="456"/>
      <c r="L28" s="456"/>
      <c r="M28" s="456"/>
    </row>
    <row r="30" spans="1:27" ht="16" customHeight="1" x14ac:dyDescent="0.35">
      <c r="A30" s="394" t="s">
        <v>708</v>
      </c>
      <c r="B30" s="395"/>
      <c r="C30" s="395"/>
      <c r="D30" s="395"/>
      <c r="E30" s="395"/>
      <c r="F30" s="395"/>
      <c r="G30" s="395"/>
      <c r="H30" s="395"/>
      <c r="I30" s="395"/>
      <c r="J30" s="395"/>
      <c r="K30" s="395"/>
      <c r="L30" s="395"/>
      <c r="M30" s="395"/>
      <c r="N30" s="395"/>
      <c r="O30" s="395"/>
      <c r="P30" s="395"/>
    </row>
  </sheetData>
  <mergeCells count="21">
    <mergeCell ref="A1:Z1"/>
    <mergeCell ref="I25:M25"/>
    <mergeCell ref="A23:F23"/>
    <mergeCell ref="B9:G9"/>
    <mergeCell ref="I28:M28"/>
    <mergeCell ref="B4:G4"/>
    <mergeCell ref="A2:Z2"/>
    <mergeCell ref="B25:F25"/>
    <mergeCell ref="B8:G8"/>
    <mergeCell ref="I27:M27"/>
    <mergeCell ref="B27:F27"/>
    <mergeCell ref="I26:M26"/>
    <mergeCell ref="A30:P30"/>
    <mergeCell ref="B6:G6"/>
    <mergeCell ref="B5:G5"/>
    <mergeCell ref="B28:F28"/>
    <mergeCell ref="I24:M24"/>
    <mergeCell ref="H23:M23"/>
    <mergeCell ref="B7:G7"/>
    <mergeCell ref="B24:F24"/>
    <mergeCell ref="B26:F26"/>
  </mergeCells>
  <pageMargins left="0.75" right="0.75" top="1" bottom="1" header="0.5" footer="0.5"/>
  <pageSetup orientation="landscape"/>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pageSetUpPr fitToPage="1"/>
  </sheetPr>
  <dimension ref="A1:AA30"/>
  <sheetViews>
    <sheetView showGridLines="0" zoomScale="55" zoomScaleNormal="55" workbookViewId="0">
      <selection sqref="A1:Z1"/>
    </sheetView>
  </sheetViews>
  <sheetFormatPr defaultRowHeight="14.5" x14ac:dyDescent="0.35"/>
  <cols>
    <col min="1" max="1" width="26" customWidth="1"/>
    <col min="2" max="19" width="10" customWidth="1"/>
    <col min="20" max="27" width="11" customWidth="1"/>
  </cols>
  <sheetData>
    <row r="1" spans="1:27" ht="28" customHeight="1" x14ac:dyDescent="0.35">
      <c r="A1" s="405" t="s">
        <v>670</v>
      </c>
      <c r="B1" s="395"/>
      <c r="C1" s="395"/>
      <c r="D1" s="395"/>
      <c r="E1" s="395"/>
      <c r="F1" s="395"/>
      <c r="G1" s="395"/>
      <c r="H1" s="395"/>
      <c r="I1" s="395"/>
      <c r="J1" s="395"/>
      <c r="K1" s="395"/>
      <c r="L1" s="395"/>
      <c r="M1" s="395"/>
      <c r="N1" s="395"/>
      <c r="O1" s="395"/>
      <c r="P1" s="395"/>
      <c r="Q1" s="395"/>
      <c r="R1" s="395"/>
      <c r="S1" s="395"/>
      <c r="T1" s="395"/>
      <c r="U1" s="395"/>
      <c r="V1" s="395"/>
      <c r="W1" s="395"/>
      <c r="X1" s="395"/>
      <c r="Y1" s="395"/>
      <c r="Z1" s="395"/>
    </row>
    <row r="2" spans="1:27" ht="16" customHeight="1" x14ac:dyDescent="0.35">
      <c r="A2" s="457" t="s">
        <v>711</v>
      </c>
      <c r="B2" s="395"/>
      <c r="C2" s="395"/>
      <c r="D2" s="395"/>
      <c r="E2" s="395"/>
      <c r="F2" s="395"/>
      <c r="G2" s="395"/>
      <c r="H2" s="395"/>
      <c r="I2" s="395"/>
      <c r="J2" s="395"/>
      <c r="K2" s="395"/>
      <c r="L2" s="395"/>
      <c r="M2" s="395"/>
      <c r="N2" s="395"/>
      <c r="O2" s="395"/>
      <c r="P2" s="395"/>
      <c r="Q2" s="395"/>
      <c r="R2" s="395"/>
      <c r="S2" s="395"/>
      <c r="T2" s="395"/>
      <c r="U2" s="395"/>
      <c r="V2" s="395"/>
      <c r="W2" s="395"/>
      <c r="X2" s="395"/>
      <c r="Y2" s="395"/>
      <c r="Z2" s="395"/>
    </row>
    <row r="4" spans="1:27" ht="15" customHeight="1" x14ac:dyDescent="0.35">
      <c r="A4" s="121" t="s">
        <v>672</v>
      </c>
      <c r="B4" s="455" t="s">
        <v>673</v>
      </c>
      <c r="C4" s="456"/>
      <c r="D4" s="456"/>
      <c r="E4" s="456"/>
      <c r="F4" s="456"/>
      <c r="G4" s="456"/>
    </row>
    <row r="5" spans="1:27" ht="15" customHeight="1" x14ac:dyDescent="0.35">
      <c r="A5" s="121" t="s">
        <v>674</v>
      </c>
      <c r="B5" s="455"/>
      <c r="C5" s="456"/>
      <c r="D5" s="456"/>
      <c r="E5" s="456"/>
      <c r="F5" s="456"/>
      <c r="G5" s="456"/>
    </row>
    <row r="6" spans="1:27" ht="15" customHeight="1" x14ac:dyDescent="0.35">
      <c r="A6" s="121" t="s">
        <v>675</v>
      </c>
      <c r="B6" s="455" t="s">
        <v>712</v>
      </c>
      <c r="C6" s="456"/>
      <c r="D6" s="456"/>
      <c r="E6" s="456"/>
      <c r="F6" s="456"/>
      <c r="G6" s="456"/>
    </row>
    <row r="7" spans="1:27" ht="15" customHeight="1" x14ac:dyDescent="0.35">
      <c r="A7" s="121" t="s">
        <v>677</v>
      </c>
      <c r="B7" s="455" t="s">
        <v>713</v>
      </c>
      <c r="C7" s="456"/>
      <c r="D7" s="456"/>
      <c r="E7" s="456"/>
      <c r="F7" s="456"/>
      <c r="G7" s="456"/>
    </row>
    <row r="8" spans="1:27" ht="15" customHeight="1" x14ac:dyDescent="0.35">
      <c r="A8" s="121" t="s">
        <v>679</v>
      </c>
      <c r="B8" s="455" t="s">
        <v>680</v>
      </c>
      <c r="C8" s="456"/>
      <c r="D8" s="456"/>
      <c r="E8" s="456"/>
      <c r="F8" s="456"/>
      <c r="G8" s="456"/>
    </row>
    <row r="9" spans="1:27" ht="15" customHeight="1" x14ac:dyDescent="0.35">
      <c r="A9" s="121" t="s">
        <v>681</v>
      </c>
      <c r="B9" s="455" t="s">
        <v>682</v>
      </c>
      <c r="C9" s="456"/>
      <c r="D9" s="456"/>
      <c r="E9" s="456"/>
      <c r="F9" s="456"/>
      <c r="G9" s="456"/>
    </row>
    <row r="12" spans="1:27" ht="30" customHeight="1" x14ac:dyDescent="0.35">
      <c r="A12" s="80"/>
      <c r="B12" s="122" t="s">
        <v>182</v>
      </c>
      <c r="C12" s="122" t="s">
        <v>183</v>
      </c>
      <c r="D12" s="122" t="s">
        <v>184</v>
      </c>
      <c r="E12" s="122" t="s">
        <v>185</v>
      </c>
      <c r="F12" s="122" t="s">
        <v>186</v>
      </c>
      <c r="G12" s="122" t="s">
        <v>187</v>
      </c>
      <c r="H12" s="122" t="s">
        <v>188</v>
      </c>
      <c r="I12" s="122" t="s">
        <v>189</v>
      </c>
      <c r="J12" s="122" t="s">
        <v>190</v>
      </c>
      <c r="K12" s="123" t="s">
        <v>191</v>
      </c>
      <c r="L12" s="123" t="s">
        <v>192</v>
      </c>
      <c r="M12" s="123" t="s">
        <v>193</v>
      </c>
      <c r="N12" s="123" t="s">
        <v>194</v>
      </c>
      <c r="O12" s="123" t="s">
        <v>195</v>
      </c>
      <c r="P12" s="123" t="s">
        <v>196</v>
      </c>
      <c r="Q12" s="123" t="s">
        <v>197</v>
      </c>
      <c r="R12" s="123" t="s">
        <v>198</v>
      </c>
      <c r="S12" s="123" t="s">
        <v>199</v>
      </c>
      <c r="T12" s="124" t="s">
        <v>683</v>
      </c>
      <c r="U12" s="124" t="s">
        <v>684</v>
      </c>
      <c r="V12" s="124" t="s">
        <v>685</v>
      </c>
      <c r="W12" s="124" t="s">
        <v>686</v>
      </c>
      <c r="X12" s="124" t="s">
        <v>687</v>
      </c>
      <c r="Y12" s="124" t="s">
        <v>688</v>
      </c>
      <c r="Z12" s="124" t="s">
        <v>689</v>
      </c>
      <c r="AA12" s="124" t="s">
        <v>690</v>
      </c>
    </row>
    <row r="13" spans="1:27" ht="22" customHeight="1" x14ac:dyDescent="0.35">
      <c r="A13" s="82" t="s">
        <v>691</v>
      </c>
      <c r="B13" s="83">
        <f t="shared" ref="B13:S13" si="0">IFERROR(EDATE(B14,-3),"")</f>
        <v>45992</v>
      </c>
      <c r="C13" s="83">
        <f t="shared" si="0"/>
        <v>46023</v>
      </c>
      <c r="D13" s="83">
        <f t="shared" si="0"/>
        <v>46054</v>
      </c>
      <c r="E13" s="83">
        <f t="shared" si="0"/>
        <v>46082</v>
      </c>
      <c r="F13" s="83">
        <f t="shared" si="0"/>
        <v>46113</v>
      </c>
      <c r="G13" s="83">
        <f t="shared" si="0"/>
        <v>46143</v>
      </c>
      <c r="H13" s="83">
        <f t="shared" si="0"/>
        <v>46174</v>
      </c>
      <c r="I13" s="83">
        <f t="shared" si="0"/>
        <v>46204</v>
      </c>
      <c r="J13" s="83">
        <f t="shared" si="0"/>
        <v>46235</v>
      </c>
      <c r="K13" s="83">
        <f t="shared" si="0"/>
        <v>46266</v>
      </c>
      <c r="L13" s="83">
        <f t="shared" si="0"/>
        <v>46296</v>
      </c>
      <c r="M13" s="83">
        <f t="shared" si="0"/>
        <v>46327</v>
      </c>
      <c r="N13" s="83">
        <f t="shared" si="0"/>
        <v>46357</v>
      </c>
      <c r="O13" s="83">
        <f t="shared" si="0"/>
        <v>46388</v>
      </c>
      <c r="P13" s="83">
        <f t="shared" si="0"/>
        <v>46419</v>
      </c>
      <c r="Q13" s="83">
        <f t="shared" si="0"/>
        <v>46447</v>
      </c>
      <c r="R13" s="83">
        <f t="shared" si="0"/>
        <v>46478</v>
      </c>
      <c r="S13" s="83">
        <f t="shared" si="0"/>
        <v>46508</v>
      </c>
      <c r="T13" s="84"/>
      <c r="U13" s="84"/>
      <c r="V13" s="84"/>
      <c r="W13" s="84"/>
      <c r="X13" s="84"/>
      <c r="Y13" s="84"/>
      <c r="Z13" s="84"/>
      <c r="AA13" s="84"/>
    </row>
    <row r="14" spans="1:27" ht="22" customHeight="1" x14ac:dyDescent="0.35">
      <c r="A14" s="85" t="s">
        <v>692</v>
      </c>
      <c r="B14" s="86">
        <v>46082</v>
      </c>
      <c r="C14" s="86">
        <v>46113</v>
      </c>
      <c r="D14" s="86">
        <v>46143</v>
      </c>
      <c r="E14" s="86">
        <v>46174</v>
      </c>
      <c r="F14" s="86">
        <v>46204</v>
      </c>
      <c r="G14" s="86">
        <v>46235</v>
      </c>
      <c r="H14" s="86">
        <v>46266</v>
      </c>
      <c r="I14" s="86">
        <v>46296</v>
      </c>
      <c r="J14" s="86">
        <v>46327</v>
      </c>
      <c r="K14" s="87">
        <v>46357</v>
      </c>
      <c r="L14" s="87">
        <v>46388</v>
      </c>
      <c r="M14" s="87">
        <v>46419</v>
      </c>
      <c r="N14" s="87">
        <v>46447</v>
      </c>
      <c r="O14" s="87">
        <v>46478</v>
      </c>
      <c r="P14" s="87">
        <v>46508</v>
      </c>
      <c r="Q14" s="87">
        <v>46539</v>
      </c>
      <c r="R14" s="87">
        <v>46569</v>
      </c>
      <c r="S14" s="87">
        <v>46600</v>
      </c>
      <c r="T14" s="84"/>
      <c r="U14" s="84"/>
      <c r="V14" s="84"/>
      <c r="W14" s="84"/>
      <c r="X14" s="84"/>
      <c r="Y14" s="84"/>
      <c r="Z14" s="84"/>
      <c r="AA14" s="84"/>
    </row>
    <row r="15" spans="1:27" ht="22" customHeight="1" x14ac:dyDescent="0.35">
      <c r="A15" s="88" t="s">
        <v>693</v>
      </c>
      <c r="B15" s="125"/>
      <c r="C15" s="125"/>
      <c r="D15" s="125"/>
      <c r="E15" s="125"/>
      <c r="F15" s="125"/>
      <c r="G15" s="125"/>
      <c r="H15" s="125"/>
      <c r="I15" s="125"/>
      <c r="J15" s="125"/>
      <c r="K15" s="126"/>
      <c r="L15" s="126"/>
      <c r="M15" s="126"/>
      <c r="N15" s="126"/>
      <c r="O15" s="126"/>
      <c r="P15" s="126"/>
      <c r="Q15" s="126"/>
      <c r="R15" s="126"/>
      <c r="S15" s="126"/>
      <c r="T15" s="89"/>
      <c r="U15" s="89"/>
      <c r="V15" s="89"/>
      <c r="W15" s="89"/>
      <c r="X15" s="89"/>
      <c r="Y15" s="89"/>
      <c r="Z15" s="89"/>
      <c r="AA15" s="89"/>
    </row>
    <row r="16" spans="1:27" ht="22" customHeight="1" x14ac:dyDescent="0.35">
      <c r="A16" s="88" t="s">
        <v>694</v>
      </c>
      <c r="B16" s="125"/>
      <c r="C16" s="125"/>
      <c r="D16" s="125"/>
      <c r="E16" s="125"/>
      <c r="F16" s="125"/>
      <c r="G16" s="125"/>
      <c r="H16" s="125"/>
      <c r="I16" s="125"/>
      <c r="J16" s="125"/>
      <c r="K16" s="126"/>
      <c r="L16" s="126"/>
      <c r="M16" s="126"/>
      <c r="N16" s="126"/>
      <c r="O16" s="126"/>
      <c r="P16" s="126"/>
      <c r="Q16" s="126"/>
      <c r="R16" s="126"/>
      <c r="S16" s="126"/>
      <c r="T16" s="89"/>
      <c r="U16" s="89"/>
      <c r="V16" s="89"/>
      <c r="W16" s="89"/>
      <c r="X16" s="89"/>
      <c r="Y16" s="89"/>
      <c r="Z16" s="89"/>
      <c r="AA16" s="89"/>
    </row>
    <row r="17" spans="1:27" ht="22" customHeight="1" x14ac:dyDescent="0.35">
      <c r="A17" s="90" t="s">
        <v>695</v>
      </c>
      <c r="B17" s="127"/>
      <c r="C17" s="127"/>
      <c r="D17" s="127"/>
      <c r="E17" s="127"/>
      <c r="F17" s="127"/>
      <c r="G17" s="127"/>
      <c r="H17" s="127"/>
      <c r="I17" s="127"/>
      <c r="J17" s="127"/>
      <c r="K17" s="128"/>
      <c r="L17" s="128"/>
      <c r="M17" s="128"/>
      <c r="N17" s="128"/>
      <c r="O17" s="128"/>
      <c r="P17" s="128"/>
      <c r="Q17" s="128"/>
      <c r="R17" s="128"/>
      <c r="S17" s="128"/>
      <c r="T17" s="91"/>
      <c r="U17" s="91"/>
      <c r="V17" s="91"/>
      <c r="W17" s="91"/>
      <c r="X17" s="91"/>
      <c r="Y17" s="91"/>
      <c r="Z17" s="91"/>
      <c r="AA17" s="91"/>
    </row>
    <row r="18" spans="1:27" ht="22" customHeight="1" x14ac:dyDescent="0.35">
      <c r="A18" s="92" t="s">
        <v>696</v>
      </c>
      <c r="B18" s="127"/>
      <c r="C18" s="127"/>
      <c r="D18" s="127"/>
      <c r="E18" s="127"/>
      <c r="F18" s="127"/>
      <c r="G18" s="127"/>
      <c r="H18" s="127"/>
      <c r="I18" s="127"/>
      <c r="J18" s="127"/>
      <c r="K18" s="128"/>
      <c r="L18" s="128"/>
      <c r="M18" s="128"/>
      <c r="N18" s="128"/>
      <c r="O18" s="128"/>
      <c r="P18" s="128"/>
      <c r="Q18" s="128"/>
      <c r="R18" s="128"/>
      <c r="S18" s="128"/>
      <c r="T18" s="91"/>
      <c r="U18" s="91"/>
      <c r="V18" s="91"/>
      <c r="W18" s="91"/>
      <c r="X18" s="91"/>
      <c r="Y18" s="91"/>
      <c r="Z18" s="91"/>
      <c r="AA18" s="91"/>
    </row>
    <row r="19" spans="1:27" ht="22" customHeight="1" x14ac:dyDescent="0.35">
      <c r="A19" s="85" t="s">
        <v>697</v>
      </c>
      <c r="B19" s="129" t="s">
        <v>698</v>
      </c>
      <c r="C19" s="129" t="s">
        <v>698</v>
      </c>
      <c r="D19" s="129" t="s">
        <v>698</v>
      </c>
      <c r="E19" s="129" t="s">
        <v>698</v>
      </c>
      <c r="F19" s="129" t="s">
        <v>698</v>
      </c>
      <c r="G19" s="129" t="s">
        <v>698</v>
      </c>
      <c r="H19" s="129" t="s">
        <v>698</v>
      </c>
      <c r="I19" s="129" t="s">
        <v>698</v>
      </c>
      <c r="J19" s="129" t="s">
        <v>698</v>
      </c>
      <c r="K19" s="130" t="s">
        <v>699</v>
      </c>
      <c r="L19" s="130" t="s">
        <v>699</v>
      </c>
      <c r="M19" s="130" t="s">
        <v>699</v>
      </c>
      <c r="N19" s="130" t="s">
        <v>699</v>
      </c>
      <c r="O19" s="130" t="s">
        <v>699</v>
      </c>
      <c r="P19" s="130" t="s">
        <v>699</v>
      </c>
      <c r="Q19" s="130" t="s">
        <v>699</v>
      </c>
      <c r="R19" s="130" t="s">
        <v>699</v>
      </c>
      <c r="S19" s="130" t="s">
        <v>699</v>
      </c>
      <c r="T19" s="81" t="s">
        <v>699</v>
      </c>
      <c r="U19" s="81" t="s">
        <v>699</v>
      </c>
      <c r="V19" s="81" t="s">
        <v>699</v>
      </c>
      <c r="W19" s="81" t="s">
        <v>699</v>
      </c>
      <c r="X19" s="81" t="s">
        <v>699</v>
      </c>
      <c r="Y19" s="81" t="s">
        <v>699</v>
      </c>
      <c r="Z19" s="81" t="s">
        <v>699</v>
      </c>
      <c r="AA19" s="81" t="s">
        <v>699</v>
      </c>
    </row>
    <row r="20" spans="1:27" ht="18" customHeight="1" x14ac:dyDescent="0.35">
      <c r="A20" s="131" t="s">
        <v>700</v>
      </c>
      <c r="B20" s="132">
        <f t="shared" ref="B20:S20" si="1">B17</f>
        <v>0</v>
      </c>
      <c r="C20" s="132">
        <f t="shared" si="1"/>
        <v>0</v>
      </c>
      <c r="D20" s="132">
        <f t="shared" si="1"/>
        <v>0</v>
      </c>
      <c r="E20" s="132">
        <f t="shared" si="1"/>
        <v>0</v>
      </c>
      <c r="F20" s="132">
        <f t="shared" si="1"/>
        <v>0</v>
      </c>
      <c r="G20" s="132">
        <f t="shared" si="1"/>
        <v>0</v>
      </c>
      <c r="H20" s="132">
        <f t="shared" si="1"/>
        <v>0</v>
      </c>
      <c r="I20" s="132">
        <f t="shared" si="1"/>
        <v>0</v>
      </c>
      <c r="J20" s="132">
        <f t="shared" si="1"/>
        <v>0</v>
      </c>
      <c r="K20" s="132">
        <f t="shared" si="1"/>
        <v>0</v>
      </c>
      <c r="L20" s="132">
        <f t="shared" si="1"/>
        <v>0</v>
      </c>
      <c r="M20" s="132">
        <f t="shared" si="1"/>
        <v>0</v>
      </c>
      <c r="N20" s="132">
        <f t="shared" si="1"/>
        <v>0</v>
      </c>
      <c r="O20" s="132">
        <f t="shared" si="1"/>
        <v>0</v>
      </c>
      <c r="P20" s="132">
        <f t="shared" si="1"/>
        <v>0</v>
      </c>
      <c r="Q20" s="132">
        <f t="shared" si="1"/>
        <v>0</v>
      </c>
      <c r="R20" s="132">
        <f t="shared" si="1"/>
        <v>0</v>
      </c>
      <c r="S20" s="132">
        <f t="shared" si="1"/>
        <v>0</v>
      </c>
      <c r="T20" s="80"/>
      <c r="U20" s="80"/>
      <c r="V20" s="80"/>
      <c r="W20" s="80"/>
      <c r="X20" s="80"/>
      <c r="Y20" s="80"/>
      <c r="Z20" s="80"/>
      <c r="AA20" s="80"/>
    </row>
    <row r="23" spans="1:27" ht="18" customHeight="1" x14ac:dyDescent="0.35">
      <c r="A23" s="446" t="s">
        <v>701</v>
      </c>
      <c r="B23" s="395"/>
      <c r="C23" s="395"/>
      <c r="D23" s="395"/>
      <c r="E23" s="395"/>
      <c r="F23" s="395"/>
      <c r="H23" s="446" t="s">
        <v>714</v>
      </c>
      <c r="I23" s="395"/>
      <c r="J23" s="395"/>
      <c r="K23" s="395"/>
      <c r="L23" s="395"/>
      <c r="M23" s="395"/>
    </row>
    <row r="24" spans="1:27" ht="16" customHeight="1" x14ac:dyDescent="0.35">
      <c r="A24" s="121" t="s">
        <v>703</v>
      </c>
      <c r="B24" s="455"/>
      <c r="C24" s="456"/>
      <c r="D24" s="456"/>
      <c r="E24" s="456"/>
      <c r="F24" s="456"/>
      <c r="H24" s="121" t="s">
        <v>703</v>
      </c>
      <c r="I24" s="455"/>
      <c r="J24" s="456"/>
      <c r="K24" s="456"/>
      <c r="L24" s="456"/>
      <c r="M24" s="456"/>
    </row>
    <row r="25" spans="1:27" ht="16" customHeight="1" x14ac:dyDescent="0.35">
      <c r="A25" s="121" t="s">
        <v>704</v>
      </c>
      <c r="B25" s="455"/>
      <c r="C25" s="456"/>
      <c r="D25" s="456"/>
      <c r="E25" s="456"/>
      <c r="F25" s="456"/>
      <c r="H25" s="121" t="s">
        <v>704</v>
      </c>
      <c r="I25" s="455"/>
      <c r="J25" s="456"/>
      <c r="K25" s="456"/>
      <c r="L25" s="456"/>
      <c r="M25" s="456"/>
    </row>
    <row r="26" spans="1:27" ht="16" customHeight="1" x14ac:dyDescent="0.35">
      <c r="A26" s="121" t="s">
        <v>705</v>
      </c>
      <c r="B26" s="455"/>
      <c r="C26" s="456"/>
      <c r="D26" s="456"/>
      <c r="E26" s="456"/>
      <c r="F26" s="456"/>
      <c r="H26" s="121" t="s">
        <v>705</v>
      </c>
      <c r="I26" s="455"/>
      <c r="J26" s="456"/>
      <c r="K26" s="456"/>
      <c r="L26" s="456"/>
      <c r="M26" s="456"/>
    </row>
    <row r="27" spans="1:27" ht="16" customHeight="1" x14ac:dyDescent="0.35">
      <c r="A27" s="121" t="s">
        <v>706</v>
      </c>
      <c r="B27" s="455"/>
      <c r="C27" s="456"/>
      <c r="D27" s="456"/>
      <c r="E27" s="456"/>
      <c r="F27" s="456"/>
      <c r="H27" s="121" t="s">
        <v>706</v>
      </c>
      <c r="I27" s="455"/>
      <c r="J27" s="456"/>
      <c r="K27" s="456"/>
      <c r="L27" s="456"/>
      <c r="M27" s="456"/>
    </row>
    <row r="28" spans="1:27" ht="16" customHeight="1" x14ac:dyDescent="0.35">
      <c r="A28" s="121" t="s">
        <v>707</v>
      </c>
      <c r="B28" s="455"/>
      <c r="C28" s="456"/>
      <c r="D28" s="456"/>
      <c r="E28" s="456"/>
      <c r="F28" s="456"/>
      <c r="H28" s="121" t="s">
        <v>707</v>
      </c>
      <c r="I28" s="455"/>
      <c r="J28" s="456"/>
      <c r="K28" s="456"/>
      <c r="L28" s="456"/>
      <c r="M28" s="456"/>
    </row>
    <row r="30" spans="1:27" ht="16" customHeight="1" x14ac:dyDescent="0.35">
      <c r="A30" s="394" t="s">
        <v>708</v>
      </c>
      <c r="B30" s="395"/>
      <c r="C30" s="395"/>
      <c r="D30" s="395"/>
      <c r="E30" s="395"/>
      <c r="F30" s="395"/>
      <c r="G30" s="395"/>
      <c r="H30" s="395"/>
      <c r="I30" s="395"/>
      <c r="J30" s="395"/>
      <c r="K30" s="395"/>
      <c r="L30" s="395"/>
      <c r="M30" s="395"/>
      <c r="N30" s="395"/>
      <c r="O30" s="395"/>
      <c r="P30" s="395"/>
    </row>
  </sheetData>
  <mergeCells count="21">
    <mergeCell ref="A1:Z1"/>
    <mergeCell ref="I25:M25"/>
    <mergeCell ref="A23:F23"/>
    <mergeCell ref="B9:G9"/>
    <mergeCell ref="I28:M28"/>
    <mergeCell ref="B4:G4"/>
    <mergeCell ref="A2:Z2"/>
    <mergeCell ref="B25:F25"/>
    <mergeCell ref="B8:G8"/>
    <mergeCell ref="I27:M27"/>
    <mergeCell ref="B27:F27"/>
    <mergeCell ref="I26:M26"/>
    <mergeCell ref="A30:P30"/>
    <mergeCell ref="B6:G6"/>
    <mergeCell ref="B5:G5"/>
    <mergeCell ref="B28:F28"/>
    <mergeCell ref="I24:M24"/>
    <mergeCell ref="H23:M23"/>
    <mergeCell ref="B7:G7"/>
    <mergeCell ref="B24:F24"/>
    <mergeCell ref="B26:F26"/>
  </mergeCells>
  <pageMargins left="0.75" right="0.75" top="1" bottom="1" header="0.5" footer="0.5"/>
  <pageSetup orientation="landscape"/>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3">
    <pageSetUpPr fitToPage="1"/>
  </sheetPr>
  <dimension ref="A1:AA30"/>
  <sheetViews>
    <sheetView showGridLines="0" zoomScale="55" zoomScaleNormal="55" workbookViewId="0">
      <selection sqref="A1:Z1"/>
    </sheetView>
  </sheetViews>
  <sheetFormatPr defaultRowHeight="14.5" x14ac:dyDescent="0.35"/>
  <cols>
    <col min="1" max="1" width="26" customWidth="1"/>
    <col min="2" max="19" width="10" customWidth="1"/>
    <col min="20" max="27" width="11" customWidth="1"/>
  </cols>
  <sheetData>
    <row r="1" spans="1:27" ht="28" customHeight="1" x14ac:dyDescent="0.35">
      <c r="A1" s="405" t="s">
        <v>670</v>
      </c>
      <c r="B1" s="395"/>
      <c r="C1" s="395"/>
      <c r="D1" s="395"/>
      <c r="E1" s="395"/>
      <c r="F1" s="395"/>
      <c r="G1" s="395"/>
      <c r="H1" s="395"/>
      <c r="I1" s="395"/>
      <c r="J1" s="395"/>
      <c r="K1" s="395"/>
      <c r="L1" s="395"/>
      <c r="M1" s="395"/>
      <c r="N1" s="395"/>
      <c r="O1" s="395"/>
      <c r="P1" s="395"/>
      <c r="Q1" s="395"/>
      <c r="R1" s="395"/>
      <c r="S1" s="395"/>
      <c r="T1" s="395"/>
      <c r="U1" s="395"/>
      <c r="V1" s="395"/>
      <c r="W1" s="395"/>
      <c r="X1" s="395"/>
      <c r="Y1" s="395"/>
      <c r="Z1" s="395"/>
    </row>
    <row r="2" spans="1:27" ht="16" customHeight="1" x14ac:dyDescent="0.35">
      <c r="A2" s="457" t="s">
        <v>715</v>
      </c>
      <c r="B2" s="395"/>
      <c r="C2" s="395"/>
      <c r="D2" s="395"/>
      <c r="E2" s="395"/>
      <c r="F2" s="395"/>
      <c r="G2" s="395"/>
      <c r="H2" s="395"/>
      <c r="I2" s="395"/>
      <c r="J2" s="395"/>
      <c r="K2" s="395"/>
      <c r="L2" s="395"/>
      <c r="M2" s="395"/>
      <c r="N2" s="395"/>
      <c r="O2" s="395"/>
      <c r="P2" s="395"/>
      <c r="Q2" s="395"/>
      <c r="R2" s="395"/>
      <c r="S2" s="395"/>
      <c r="T2" s="395"/>
      <c r="U2" s="395"/>
      <c r="V2" s="395"/>
      <c r="W2" s="395"/>
      <c r="X2" s="395"/>
      <c r="Y2" s="395"/>
      <c r="Z2" s="395"/>
    </row>
    <row r="4" spans="1:27" ht="15" customHeight="1" x14ac:dyDescent="0.35">
      <c r="A4" s="121" t="s">
        <v>672</v>
      </c>
      <c r="B4" s="455" t="s">
        <v>673</v>
      </c>
      <c r="C4" s="456"/>
      <c r="D4" s="456"/>
      <c r="E4" s="456"/>
      <c r="F4" s="456"/>
      <c r="G4" s="456"/>
    </row>
    <row r="5" spans="1:27" ht="15" customHeight="1" x14ac:dyDescent="0.35">
      <c r="A5" s="121" t="s">
        <v>674</v>
      </c>
      <c r="B5" s="455"/>
      <c r="C5" s="456"/>
      <c r="D5" s="456"/>
      <c r="E5" s="456"/>
      <c r="F5" s="456"/>
      <c r="G5" s="456"/>
    </row>
    <row r="6" spans="1:27" ht="15" customHeight="1" x14ac:dyDescent="0.35">
      <c r="A6" s="121" t="s">
        <v>675</v>
      </c>
      <c r="B6" s="455" t="s">
        <v>676</v>
      </c>
      <c r="C6" s="456"/>
      <c r="D6" s="456"/>
      <c r="E6" s="456"/>
      <c r="F6" s="456"/>
      <c r="G6" s="456"/>
    </row>
    <row r="7" spans="1:27" ht="15" customHeight="1" x14ac:dyDescent="0.35">
      <c r="A7" s="121" t="s">
        <v>677</v>
      </c>
      <c r="B7" s="455" t="s">
        <v>678</v>
      </c>
      <c r="C7" s="456"/>
      <c r="D7" s="456"/>
      <c r="E7" s="456"/>
      <c r="F7" s="456"/>
      <c r="G7" s="456"/>
    </row>
    <row r="8" spans="1:27" ht="15" customHeight="1" x14ac:dyDescent="0.35">
      <c r="A8" s="121" t="s">
        <v>679</v>
      </c>
      <c r="B8" s="455" t="s">
        <v>716</v>
      </c>
      <c r="C8" s="456"/>
      <c r="D8" s="456"/>
      <c r="E8" s="456"/>
      <c r="F8" s="456"/>
      <c r="G8" s="456"/>
    </row>
    <row r="9" spans="1:27" ht="15" customHeight="1" x14ac:dyDescent="0.35">
      <c r="A9" s="121" t="s">
        <v>681</v>
      </c>
      <c r="B9" s="455" t="s">
        <v>682</v>
      </c>
      <c r="C9" s="456"/>
      <c r="D9" s="456"/>
      <c r="E9" s="456"/>
      <c r="F9" s="456"/>
      <c r="G9" s="456"/>
    </row>
    <row r="12" spans="1:27" ht="30" customHeight="1" x14ac:dyDescent="0.35">
      <c r="A12" s="80"/>
      <c r="B12" s="122" t="s">
        <v>182</v>
      </c>
      <c r="C12" s="122" t="s">
        <v>183</v>
      </c>
      <c r="D12" s="122" t="s">
        <v>184</v>
      </c>
      <c r="E12" s="122" t="s">
        <v>185</v>
      </c>
      <c r="F12" s="122" t="s">
        <v>186</v>
      </c>
      <c r="G12" s="122" t="s">
        <v>187</v>
      </c>
      <c r="H12" s="123" t="s">
        <v>188</v>
      </c>
      <c r="I12" s="123" t="s">
        <v>189</v>
      </c>
      <c r="J12" s="123" t="s">
        <v>190</v>
      </c>
      <c r="K12" s="123" t="s">
        <v>191</v>
      </c>
      <c r="L12" s="123" t="s">
        <v>192</v>
      </c>
      <c r="M12" s="123" t="s">
        <v>193</v>
      </c>
      <c r="N12" s="123" t="s">
        <v>194</v>
      </c>
      <c r="O12" s="123" t="s">
        <v>195</v>
      </c>
      <c r="P12" s="123" t="s">
        <v>196</v>
      </c>
      <c r="Q12" s="123" t="s">
        <v>197</v>
      </c>
      <c r="R12" s="123" t="s">
        <v>198</v>
      </c>
      <c r="S12" s="123" t="s">
        <v>199</v>
      </c>
      <c r="T12" s="124" t="s">
        <v>683</v>
      </c>
      <c r="U12" s="124" t="s">
        <v>684</v>
      </c>
      <c r="V12" s="124" t="s">
        <v>685</v>
      </c>
      <c r="W12" s="124" t="s">
        <v>686</v>
      </c>
      <c r="X12" s="124" t="s">
        <v>687</v>
      </c>
      <c r="Y12" s="124" t="s">
        <v>688</v>
      </c>
      <c r="Z12" s="124" t="s">
        <v>689</v>
      </c>
      <c r="AA12" s="124" t="s">
        <v>690</v>
      </c>
    </row>
    <row r="13" spans="1:27" ht="22" customHeight="1" x14ac:dyDescent="0.35">
      <c r="A13" s="82" t="s">
        <v>691</v>
      </c>
      <c r="B13" s="83">
        <f t="shared" ref="B13:S13" si="0">IFERROR(EDATE(B14,-5),"")</f>
        <v>45931</v>
      </c>
      <c r="C13" s="83">
        <f t="shared" si="0"/>
        <v>45962</v>
      </c>
      <c r="D13" s="83">
        <f t="shared" si="0"/>
        <v>45992</v>
      </c>
      <c r="E13" s="83">
        <f t="shared" si="0"/>
        <v>46023</v>
      </c>
      <c r="F13" s="83">
        <f t="shared" si="0"/>
        <v>46054</v>
      </c>
      <c r="G13" s="83">
        <f t="shared" si="0"/>
        <v>46082</v>
      </c>
      <c r="H13" s="83">
        <f t="shared" si="0"/>
        <v>46113</v>
      </c>
      <c r="I13" s="83">
        <f t="shared" si="0"/>
        <v>46143</v>
      </c>
      <c r="J13" s="83">
        <f t="shared" si="0"/>
        <v>46174</v>
      </c>
      <c r="K13" s="83">
        <f t="shared" si="0"/>
        <v>46204</v>
      </c>
      <c r="L13" s="83">
        <f t="shared" si="0"/>
        <v>46235</v>
      </c>
      <c r="M13" s="83">
        <f t="shared" si="0"/>
        <v>46266</v>
      </c>
      <c r="N13" s="83">
        <f t="shared" si="0"/>
        <v>46296</v>
      </c>
      <c r="O13" s="83">
        <f t="shared" si="0"/>
        <v>46327</v>
      </c>
      <c r="P13" s="83">
        <f t="shared" si="0"/>
        <v>46357</v>
      </c>
      <c r="Q13" s="83">
        <f t="shared" si="0"/>
        <v>46388</v>
      </c>
      <c r="R13" s="83">
        <f t="shared" si="0"/>
        <v>46419</v>
      </c>
      <c r="S13" s="83">
        <f t="shared" si="0"/>
        <v>46447</v>
      </c>
      <c r="T13" s="84"/>
      <c r="U13" s="84"/>
      <c r="V13" s="84"/>
      <c r="W13" s="84"/>
      <c r="X13" s="84"/>
      <c r="Y13" s="84"/>
      <c r="Z13" s="84"/>
      <c r="AA13" s="84"/>
    </row>
    <row r="14" spans="1:27" ht="22" customHeight="1" x14ac:dyDescent="0.35">
      <c r="A14" s="85" t="s">
        <v>692</v>
      </c>
      <c r="B14" s="86">
        <v>46082</v>
      </c>
      <c r="C14" s="86">
        <v>46113</v>
      </c>
      <c r="D14" s="86">
        <v>46143</v>
      </c>
      <c r="E14" s="86">
        <v>46174</v>
      </c>
      <c r="F14" s="86">
        <v>46204</v>
      </c>
      <c r="G14" s="86">
        <v>46235</v>
      </c>
      <c r="H14" s="87">
        <v>46266</v>
      </c>
      <c r="I14" s="87">
        <v>46296</v>
      </c>
      <c r="J14" s="87">
        <v>46327</v>
      </c>
      <c r="K14" s="87">
        <v>46357</v>
      </c>
      <c r="L14" s="87">
        <v>46388</v>
      </c>
      <c r="M14" s="87">
        <v>46419</v>
      </c>
      <c r="N14" s="87">
        <v>46447</v>
      </c>
      <c r="O14" s="87">
        <v>46478</v>
      </c>
      <c r="P14" s="87">
        <v>46508</v>
      </c>
      <c r="Q14" s="87">
        <v>46539</v>
      </c>
      <c r="R14" s="87">
        <v>46569</v>
      </c>
      <c r="S14" s="87">
        <v>46600</v>
      </c>
      <c r="T14" s="84"/>
      <c r="U14" s="84"/>
      <c r="V14" s="84"/>
      <c r="W14" s="84"/>
      <c r="X14" s="84"/>
      <c r="Y14" s="84"/>
      <c r="Z14" s="84"/>
      <c r="AA14" s="84"/>
    </row>
    <row r="15" spans="1:27" ht="22" customHeight="1" x14ac:dyDescent="0.35">
      <c r="A15" s="88" t="s">
        <v>693</v>
      </c>
      <c r="B15" s="125"/>
      <c r="C15" s="125"/>
      <c r="D15" s="125"/>
      <c r="E15" s="125"/>
      <c r="F15" s="125"/>
      <c r="G15" s="125"/>
      <c r="H15" s="126"/>
      <c r="I15" s="126"/>
      <c r="J15" s="126"/>
      <c r="K15" s="126"/>
      <c r="L15" s="126"/>
      <c r="M15" s="126"/>
      <c r="N15" s="126"/>
      <c r="O15" s="126"/>
      <c r="P15" s="126"/>
      <c r="Q15" s="126"/>
      <c r="R15" s="126"/>
      <c r="S15" s="126"/>
      <c r="T15" s="89"/>
      <c r="U15" s="89"/>
      <c r="V15" s="89"/>
      <c r="W15" s="89"/>
      <c r="X15" s="89"/>
      <c r="Y15" s="89"/>
      <c r="Z15" s="89"/>
      <c r="AA15" s="89"/>
    </row>
    <row r="16" spans="1:27" ht="22" customHeight="1" x14ac:dyDescent="0.35">
      <c r="A16" s="88" t="s">
        <v>694</v>
      </c>
      <c r="B16" s="125"/>
      <c r="C16" s="125"/>
      <c r="D16" s="125"/>
      <c r="E16" s="125"/>
      <c r="F16" s="125"/>
      <c r="G16" s="125"/>
      <c r="H16" s="126"/>
      <c r="I16" s="126"/>
      <c r="J16" s="126"/>
      <c r="K16" s="126"/>
      <c r="L16" s="126"/>
      <c r="M16" s="126"/>
      <c r="N16" s="126"/>
      <c r="O16" s="126"/>
      <c r="P16" s="126"/>
      <c r="Q16" s="126"/>
      <c r="R16" s="126"/>
      <c r="S16" s="126"/>
      <c r="T16" s="89"/>
      <c r="U16" s="89"/>
      <c r="V16" s="89"/>
      <c r="W16" s="89"/>
      <c r="X16" s="89"/>
      <c r="Y16" s="89"/>
      <c r="Z16" s="89"/>
      <c r="AA16" s="89"/>
    </row>
    <row r="17" spans="1:27" ht="22" customHeight="1" x14ac:dyDescent="0.35">
      <c r="A17" s="90" t="s">
        <v>695</v>
      </c>
      <c r="B17" s="127"/>
      <c r="C17" s="127"/>
      <c r="D17" s="127"/>
      <c r="E17" s="127"/>
      <c r="F17" s="127"/>
      <c r="G17" s="127"/>
      <c r="H17" s="128"/>
      <c r="I17" s="128"/>
      <c r="J17" s="128"/>
      <c r="K17" s="128"/>
      <c r="L17" s="128"/>
      <c r="M17" s="128"/>
      <c r="N17" s="128"/>
      <c r="O17" s="128"/>
      <c r="P17" s="128"/>
      <c r="Q17" s="128"/>
      <c r="R17" s="128"/>
      <c r="S17" s="128"/>
      <c r="T17" s="91"/>
      <c r="U17" s="91"/>
      <c r="V17" s="91"/>
      <c r="W17" s="91"/>
      <c r="X17" s="91"/>
      <c r="Y17" s="91"/>
      <c r="Z17" s="91"/>
      <c r="AA17" s="91"/>
    </row>
    <row r="18" spans="1:27" ht="22" customHeight="1" x14ac:dyDescent="0.35">
      <c r="A18" s="92" t="s">
        <v>696</v>
      </c>
      <c r="B18" s="127"/>
      <c r="C18" s="127"/>
      <c r="D18" s="127"/>
      <c r="E18" s="127"/>
      <c r="F18" s="127"/>
      <c r="G18" s="127"/>
      <c r="H18" s="128"/>
      <c r="I18" s="128"/>
      <c r="J18" s="128"/>
      <c r="K18" s="128"/>
      <c r="L18" s="128"/>
      <c r="M18" s="128"/>
      <c r="N18" s="128"/>
      <c r="O18" s="128"/>
      <c r="P18" s="128"/>
      <c r="Q18" s="128"/>
      <c r="R18" s="128"/>
      <c r="S18" s="128"/>
      <c r="T18" s="91"/>
      <c r="U18" s="91"/>
      <c r="V18" s="91"/>
      <c r="W18" s="91"/>
      <c r="X18" s="91"/>
      <c r="Y18" s="91"/>
      <c r="Z18" s="91"/>
      <c r="AA18" s="91"/>
    </row>
    <row r="19" spans="1:27" ht="22" customHeight="1" x14ac:dyDescent="0.35">
      <c r="A19" s="85" t="s">
        <v>697</v>
      </c>
      <c r="B19" s="129" t="s">
        <v>698</v>
      </c>
      <c r="C19" s="129" t="s">
        <v>698</v>
      </c>
      <c r="D19" s="129" t="s">
        <v>698</v>
      </c>
      <c r="E19" s="129" t="s">
        <v>698</v>
      </c>
      <c r="F19" s="129" t="s">
        <v>698</v>
      </c>
      <c r="G19" s="129" t="s">
        <v>698</v>
      </c>
      <c r="H19" s="130" t="s">
        <v>699</v>
      </c>
      <c r="I19" s="130" t="s">
        <v>699</v>
      </c>
      <c r="J19" s="130" t="s">
        <v>699</v>
      </c>
      <c r="K19" s="130" t="s">
        <v>699</v>
      </c>
      <c r="L19" s="130" t="s">
        <v>699</v>
      </c>
      <c r="M19" s="130" t="s">
        <v>699</v>
      </c>
      <c r="N19" s="130" t="s">
        <v>699</v>
      </c>
      <c r="O19" s="130" t="s">
        <v>699</v>
      </c>
      <c r="P19" s="130" t="s">
        <v>699</v>
      </c>
      <c r="Q19" s="130" t="s">
        <v>699</v>
      </c>
      <c r="R19" s="130" t="s">
        <v>699</v>
      </c>
      <c r="S19" s="130" t="s">
        <v>699</v>
      </c>
      <c r="T19" s="81" t="s">
        <v>699</v>
      </c>
      <c r="U19" s="81" t="s">
        <v>699</v>
      </c>
      <c r="V19" s="81" t="s">
        <v>699</v>
      </c>
      <c r="W19" s="81" t="s">
        <v>699</v>
      </c>
      <c r="X19" s="81" t="s">
        <v>699</v>
      </c>
      <c r="Y19" s="81" t="s">
        <v>699</v>
      </c>
      <c r="Z19" s="81" t="s">
        <v>699</v>
      </c>
      <c r="AA19" s="81" t="s">
        <v>699</v>
      </c>
    </row>
    <row r="20" spans="1:27" ht="18" customHeight="1" x14ac:dyDescent="0.35">
      <c r="A20" s="131" t="s">
        <v>700</v>
      </c>
      <c r="B20" s="132">
        <f t="shared" ref="B20:S20" si="1">B17</f>
        <v>0</v>
      </c>
      <c r="C20" s="132">
        <f t="shared" si="1"/>
        <v>0</v>
      </c>
      <c r="D20" s="132">
        <f t="shared" si="1"/>
        <v>0</v>
      </c>
      <c r="E20" s="132">
        <f t="shared" si="1"/>
        <v>0</v>
      </c>
      <c r="F20" s="132">
        <f t="shared" si="1"/>
        <v>0</v>
      </c>
      <c r="G20" s="132">
        <f t="shared" si="1"/>
        <v>0</v>
      </c>
      <c r="H20" s="132">
        <f t="shared" si="1"/>
        <v>0</v>
      </c>
      <c r="I20" s="132">
        <f t="shared" si="1"/>
        <v>0</v>
      </c>
      <c r="J20" s="132">
        <f t="shared" si="1"/>
        <v>0</v>
      </c>
      <c r="K20" s="132">
        <f t="shared" si="1"/>
        <v>0</v>
      </c>
      <c r="L20" s="132">
        <f t="shared" si="1"/>
        <v>0</v>
      </c>
      <c r="M20" s="132">
        <f t="shared" si="1"/>
        <v>0</v>
      </c>
      <c r="N20" s="132">
        <f t="shared" si="1"/>
        <v>0</v>
      </c>
      <c r="O20" s="132">
        <f t="shared" si="1"/>
        <v>0</v>
      </c>
      <c r="P20" s="132">
        <f t="shared" si="1"/>
        <v>0</v>
      </c>
      <c r="Q20" s="132">
        <f t="shared" si="1"/>
        <v>0</v>
      </c>
      <c r="R20" s="132">
        <f t="shared" si="1"/>
        <v>0</v>
      </c>
      <c r="S20" s="132">
        <f t="shared" si="1"/>
        <v>0</v>
      </c>
      <c r="T20" s="80"/>
      <c r="U20" s="80"/>
      <c r="V20" s="80"/>
      <c r="W20" s="80"/>
      <c r="X20" s="80"/>
      <c r="Y20" s="80"/>
      <c r="Z20" s="80"/>
      <c r="AA20" s="80"/>
    </row>
    <row r="23" spans="1:27" ht="18" customHeight="1" x14ac:dyDescent="0.35">
      <c r="A23" s="446" t="s">
        <v>701</v>
      </c>
      <c r="B23" s="395"/>
      <c r="C23" s="395"/>
      <c r="D23" s="395"/>
      <c r="E23" s="395"/>
      <c r="F23" s="395"/>
      <c r="H23" s="446" t="s">
        <v>717</v>
      </c>
      <c r="I23" s="395"/>
      <c r="J23" s="395"/>
      <c r="K23" s="395"/>
      <c r="L23" s="395"/>
      <c r="M23" s="395"/>
    </row>
    <row r="24" spans="1:27" ht="16" customHeight="1" x14ac:dyDescent="0.35">
      <c r="A24" s="121" t="s">
        <v>703</v>
      </c>
      <c r="B24" s="455"/>
      <c r="C24" s="456"/>
      <c r="D24" s="456"/>
      <c r="E24" s="456"/>
      <c r="F24" s="456"/>
      <c r="H24" s="121" t="s">
        <v>703</v>
      </c>
      <c r="I24" s="455"/>
      <c r="J24" s="456"/>
      <c r="K24" s="456"/>
      <c r="L24" s="456"/>
      <c r="M24" s="456"/>
    </row>
    <row r="25" spans="1:27" ht="16" customHeight="1" x14ac:dyDescent="0.35">
      <c r="A25" s="121" t="s">
        <v>704</v>
      </c>
      <c r="B25" s="455"/>
      <c r="C25" s="456"/>
      <c r="D25" s="456"/>
      <c r="E25" s="456"/>
      <c r="F25" s="456"/>
      <c r="H25" s="121" t="s">
        <v>704</v>
      </c>
      <c r="I25" s="455"/>
      <c r="J25" s="456"/>
      <c r="K25" s="456"/>
      <c r="L25" s="456"/>
      <c r="M25" s="456"/>
    </row>
    <row r="26" spans="1:27" ht="16" customHeight="1" x14ac:dyDescent="0.35">
      <c r="A26" s="121" t="s">
        <v>705</v>
      </c>
      <c r="B26" s="455"/>
      <c r="C26" s="456"/>
      <c r="D26" s="456"/>
      <c r="E26" s="456"/>
      <c r="F26" s="456"/>
      <c r="H26" s="121" t="s">
        <v>705</v>
      </c>
      <c r="I26" s="455"/>
      <c r="J26" s="456"/>
      <c r="K26" s="456"/>
      <c r="L26" s="456"/>
      <c r="M26" s="456"/>
    </row>
    <row r="27" spans="1:27" ht="16" customHeight="1" x14ac:dyDescent="0.35">
      <c r="A27" s="121" t="s">
        <v>706</v>
      </c>
      <c r="B27" s="455"/>
      <c r="C27" s="456"/>
      <c r="D27" s="456"/>
      <c r="E27" s="456"/>
      <c r="F27" s="456"/>
      <c r="H27" s="121" t="s">
        <v>706</v>
      </c>
      <c r="I27" s="455"/>
      <c r="J27" s="456"/>
      <c r="K27" s="456"/>
      <c r="L27" s="456"/>
      <c r="M27" s="456"/>
    </row>
    <row r="28" spans="1:27" ht="16" customHeight="1" x14ac:dyDescent="0.35">
      <c r="A28" s="121" t="s">
        <v>707</v>
      </c>
      <c r="B28" s="455"/>
      <c r="C28" s="456"/>
      <c r="D28" s="456"/>
      <c r="E28" s="456"/>
      <c r="F28" s="456"/>
      <c r="H28" s="121" t="s">
        <v>707</v>
      </c>
      <c r="I28" s="455"/>
      <c r="J28" s="456"/>
      <c r="K28" s="456"/>
      <c r="L28" s="456"/>
      <c r="M28" s="456"/>
    </row>
    <row r="30" spans="1:27" ht="16" customHeight="1" x14ac:dyDescent="0.35">
      <c r="A30" s="394" t="s">
        <v>708</v>
      </c>
      <c r="B30" s="395"/>
      <c r="C30" s="395"/>
      <c r="D30" s="395"/>
      <c r="E30" s="395"/>
      <c r="F30" s="395"/>
      <c r="G30" s="395"/>
      <c r="H30" s="395"/>
      <c r="I30" s="395"/>
      <c r="J30" s="395"/>
      <c r="K30" s="395"/>
      <c r="L30" s="395"/>
      <c r="M30" s="395"/>
      <c r="N30" s="395"/>
      <c r="O30" s="395"/>
      <c r="P30" s="395"/>
    </row>
  </sheetData>
  <mergeCells count="21">
    <mergeCell ref="A1:Z1"/>
    <mergeCell ref="I25:M25"/>
    <mergeCell ref="A23:F23"/>
    <mergeCell ref="B9:G9"/>
    <mergeCell ref="I28:M28"/>
    <mergeCell ref="B4:G4"/>
    <mergeCell ref="A2:Z2"/>
    <mergeCell ref="B25:F25"/>
    <mergeCell ref="B8:G8"/>
    <mergeCell ref="I27:M27"/>
    <mergeCell ref="B27:F27"/>
    <mergeCell ref="I26:M26"/>
    <mergeCell ref="A30:P30"/>
    <mergeCell ref="B6:G6"/>
    <mergeCell ref="B5:G5"/>
    <mergeCell ref="B28:F28"/>
    <mergeCell ref="I24:M24"/>
    <mergeCell ref="H23:M23"/>
    <mergeCell ref="B7:G7"/>
    <mergeCell ref="B24:F24"/>
    <mergeCell ref="B26:F26"/>
  </mergeCells>
  <pageMargins left="0.75" right="0.75" top="1" bottom="1" header="0.5" footer="0.5"/>
  <pageSetup orientation="landscape"/>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4">
    <pageSetUpPr fitToPage="1"/>
  </sheetPr>
  <dimension ref="A1:AA30"/>
  <sheetViews>
    <sheetView showGridLines="0" zoomScale="55" zoomScaleNormal="55" workbookViewId="0">
      <selection sqref="A1:Z1"/>
    </sheetView>
  </sheetViews>
  <sheetFormatPr defaultRowHeight="14.5" x14ac:dyDescent="0.35"/>
  <cols>
    <col min="1" max="1" width="26" customWidth="1"/>
    <col min="2" max="19" width="10" customWidth="1"/>
    <col min="20" max="27" width="11" customWidth="1"/>
  </cols>
  <sheetData>
    <row r="1" spans="1:27" ht="28" customHeight="1" x14ac:dyDescent="0.35">
      <c r="A1" s="405" t="s">
        <v>670</v>
      </c>
      <c r="B1" s="395"/>
      <c r="C1" s="395"/>
      <c r="D1" s="395"/>
      <c r="E1" s="395"/>
      <c r="F1" s="395"/>
      <c r="G1" s="395"/>
      <c r="H1" s="395"/>
      <c r="I1" s="395"/>
      <c r="J1" s="395"/>
      <c r="K1" s="395"/>
      <c r="L1" s="395"/>
      <c r="M1" s="395"/>
      <c r="N1" s="395"/>
      <c r="O1" s="395"/>
      <c r="P1" s="395"/>
      <c r="Q1" s="395"/>
      <c r="R1" s="395"/>
      <c r="S1" s="395"/>
      <c r="T1" s="395"/>
      <c r="U1" s="395"/>
      <c r="V1" s="395"/>
      <c r="W1" s="395"/>
      <c r="X1" s="395"/>
      <c r="Y1" s="395"/>
      <c r="Z1" s="395"/>
    </row>
    <row r="2" spans="1:27" ht="16" customHeight="1" x14ac:dyDescent="0.35">
      <c r="A2" s="457" t="s">
        <v>718</v>
      </c>
      <c r="B2" s="395"/>
      <c r="C2" s="395"/>
      <c r="D2" s="395"/>
      <c r="E2" s="395"/>
      <c r="F2" s="395"/>
      <c r="G2" s="395"/>
      <c r="H2" s="395"/>
      <c r="I2" s="395"/>
      <c r="J2" s="395"/>
      <c r="K2" s="395"/>
      <c r="L2" s="395"/>
      <c r="M2" s="395"/>
      <c r="N2" s="395"/>
      <c r="O2" s="395"/>
      <c r="P2" s="395"/>
      <c r="Q2" s="395"/>
      <c r="R2" s="395"/>
      <c r="S2" s="395"/>
      <c r="T2" s="395"/>
      <c r="U2" s="395"/>
      <c r="V2" s="395"/>
      <c r="W2" s="395"/>
      <c r="X2" s="395"/>
      <c r="Y2" s="395"/>
      <c r="Z2" s="395"/>
    </row>
    <row r="4" spans="1:27" ht="15" customHeight="1" x14ac:dyDescent="0.35">
      <c r="A4" s="121" t="s">
        <v>672</v>
      </c>
      <c r="B4" s="455" t="s">
        <v>673</v>
      </c>
      <c r="C4" s="456"/>
      <c r="D4" s="456"/>
      <c r="E4" s="456"/>
      <c r="F4" s="456"/>
      <c r="G4" s="456"/>
    </row>
    <row r="5" spans="1:27" ht="15" customHeight="1" x14ac:dyDescent="0.35">
      <c r="A5" s="121" t="s">
        <v>674</v>
      </c>
      <c r="B5" s="455"/>
      <c r="C5" s="456"/>
      <c r="D5" s="456"/>
      <c r="E5" s="456"/>
      <c r="F5" s="456"/>
      <c r="G5" s="456"/>
    </row>
    <row r="6" spans="1:27" ht="15" customHeight="1" x14ac:dyDescent="0.35">
      <c r="A6" s="121" t="s">
        <v>675</v>
      </c>
      <c r="B6" s="455" t="s">
        <v>719</v>
      </c>
      <c r="C6" s="456"/>
      <c r="D6" s="456"/>
      <c r="E6" s="456"/>
      <c r="F6" s="456"/>
      <c r="G6" s="456"/>
    </row>
    <row r="7" spans="1:27" ht="15" customHeight="1" x14ac:dyDescent="0.35">
      <c r="A7" s="121" t="s">
        <v>677</v>
      </c>
      <c r="B7" s="455" t="s">
        <v>713</v>
      </c>
      <c r="C7" s="456"/>
      <c r="D7" s="456"/>
      <c r="E7" s="456"/>
      <c r="F7" s="456"/>
      <c r="G7" s="456"/>
    </row>
    <row r="8" spans="1:27" ht="15" customHeight="1" x14ac:dyDescent="0.35">
      <c r="A8" s="121" t="s">
        <v>679</v>
      </c>
      <c r="B8" s="455" t="s">
        <v>716</v>
      </c>
      <c r="C8" s="456"/>
      <c r="D8" s="456"/>
      <c r="E8" s="456"/>
      <c r="F8" s="456"/>
      <c r="G8" s="456"/>
    </row>
    <row r="9" spans="1:27" ht="15" customHeight="1" x14ac:dyDescent="0.35">
      <c r="A9" s="121" t="s">
        <v>681</v>
      </c>
      <c r="B9" s="455" t="s">
        <v>682</v>
      </c>
      <c r="C9" s="456"/>
      <c r="D9" s="456"/>
      <c r="E9" s="456"/>
      <c r="F9" s="456"/>
      <c r="G9" s="456"/>
    </row>
    <row r="12" spans="1:27" ht="30" customHeight="1" x14ac:dyDescent="0.35">
      <c r="A12" s="80"/>
      <c r="B12" s="122" t="s">
        <v>182</v>
      </c>
      <c r="C12" s="122" t="s">
        <v>183</v>
      </c>
      <c r="D12" s="122" t="s">
        <v>184</v>
      </c>
      <c r="E12" s="122" t="s">
        <v>185</v>
      </c>
      <c r="F12" s="122" t="s">
        <v>186</v>
      </c>
      <c r="G12" s="122" t="s">
        <v>187</v>
      </c>
      <c r="H12" s="123" t="s">
        <v>188</v>
      </c>
      <c r="I12" s="123" t="s">
        <v>189</v>
      </c>
      <c r="J12" s="123" t="s">
        <v>190</v>
      </c>
      <c r="K12" s="123" t="s">
        <v>191</v>
      </c>
      <c r="L12" s="123" t="s">
        <v>192</v>
      </c>
      <c r="M12" s="123" t="s">
        <v>193</v>
      </c>
      <c r="N12" s="123" t="s">
        <v>194</v>
      </c>
      <c r="O12" s="123" t="s">
        <v>195</v>
      </c>
      <c r="P12" s="123" t="s">
        <v>196</v>
      </c>
      <c r="Q12" s="123" t="s">
        <v>197</v>
      </c>
      <c r="R12" s="123" t="s">
        <v>198</v>
      </c>
      <c r="S12" s="123" t="s">
        <v>199</v>
      </c>
      <c r="T12" s="124" t="s">
        <v>683</v>
      </c>
      <c r="U12" s="124" t="s">
        <v>684</v>
      </c>
      <c r="V12" s="124" t="s">
        <v>685</v>
      </c>
      <c r="W12" s="124" t="s">
        <v>686</v>
      </c>
      <c r="X12" s="124" t="s">
        <v>687</v>
      </c>
      <c r="Y12" s="124" t="s">
        <v>688</v>
      </c>
      <c r="Z12" s="124" t="s">
        <v>689</v>
      </c>
      <c r="AA12" s="124" t="s">
        <v>690</v>
      </c>
    </row>
    <row r="13" spans="1:27" ht="22" customHeight="1" x14ac:dyDescent="0.35">
      <c r="A13" s="82" t="s">
        <v>691</v>
      </c>
      <c r="B13" s="83">
        <f t="shared" ref="B13:S13" si="0">IFERROR(EDATE(B14,-3),"")</f>
        <v>45992</v>
      </c>
      <c r="C13" s="83">
        <f t="shared" si="0"/>
        <v>46023</v>
      </c>
      <c r="D13" s="83">
        <f t="shared" si="0"/>
        <v>46054</v>
      </c>
      <c r="E13" s="83">
        <f t="shared" si="0"/>
        <v>46082</v>
      </c>
      <c r="F13" s="83">
        <f t="shared" si="0"/>
        <v>46113</v>
      </c>
      <c r="G13" s="83">
        <f t="shared" si="0"/>
        <v>46143</v>
      </c>
      <c r="H13" s="83">
        <f t="shared" si="0"/>
        <v>46174</v>
      </c>
      <c r="I13" s="83">
        <f t="shared" si="0"/>
        <v>46204</v>
      </c>
      <c r="J13" s="83">
        <f t="shared" si="0"/>
        <v>46235</v>
      </c>
      <c r="K13" s="83">
        <f t="shared" si="0"/>
        <v>46266</v>
      </c>
      <c r="L13" s="83">
        <f t="shared" si="0"/>
        <v>46296</v>
      </c>
      <c r="M13" s="83">
        <f t="shared" si="0"/>
        <v>46327</v>
      </c>
      <c r="N13" s="83">
        <f t="shared" si="0"/>
        <v>46357</v>
      </c>
      <c r="O13" s="83">
        <f t="shared" si="0"/>
        <v>46388</v>
      </c>
      <c r="P13" s="83">
        <f t="shared" si="0"/>
        <v>46419</v>
      </c>
      <c r="Q13" s="83">
        <f t="shared" si="0"/>
        <v>46447</v>
      </c>
      <c r="R13" s="83">
        <f t="shared" si="0"/>
        <v>46478</v>
      </c>
      <c r="S13" s="83">
        <f t="shared" si="0"/>
        <v>46508</v>
      </c>
      <c r="T13" s="84"/>
      <c r="U13" s="84"/>
      <c r="V13" s="84"/>
      <c r="W13" s="84"/>
      <c r="X13" s="84"/>
      <c r="Y13" s="84"/>
      <c r="Z13" s="84"/>
      <c r="AA13" s="84"/>
    </row>
    <row r="14" spans="1:27" ht="22" customHeight="1" x14ac:dyDescent="0.35">
      <c r="A14" s="85" t="s">
        <v>692</v>
      </c>
      <c r="B14" s="86">
        <v>46082</v>
      </c>
      <c r="C14" s="86">
        <v>46113</v>
      </c>
      <c r="D14" s="86">
        <v>46143</v>
      </c>
      <c r="E14" s="86">
        <v>46174</v>
      </c>
      <c r="F14" s="86">
        <v>46204</v>
      </c>
      <c r="G14" s="86">
        <v>46235</v>
      </c>
      <c r="H14" s="87">
        <v>46266</v>
      </c>
      <c r="I14" s="87">
        <v>46296</v>
      </c>
      <c r="J14" s="87">
        <v>46327</v>
      </c>
      <c r="K14" s="87">
        <v>46357</v>
      </c>
      <c r="L14" s="87">
        <v>46388</v>
      </c>
      <c r="M14" s="87">
        <v>46419</v>
      </c>
      <c r="N14" s="87">
        <v>46447</v>
      </c>
      <c r="O14" s="87">
        <v>46478</v>
      </c>
      <c r="P14" s="87">
        <v>46508</v>
      </c>
      <c r="Q14" s="87">
        <v>46539</v>
      </c>
      <c r="R14" s="87">
        <v>46569</v>
      </c>
      <c r="S14" s="87">
        <v>46600</v>
      </c>
      <c r="T14" s="84"/>
      <c r="U14" s="84"/>
      <c r="V14" s="84"/>
      <c r="W14" s="84"/>
      <c r="X14" s="84"/>
      <c r="Y14" s="84"/>
      <c r="Z14" s="84"/>
      <c r="AA14" s="84"/>
    </row>
    <row r="15" spans="1:27" ht="22" customHeight="1" x14ac:dyDescent="0.35">
      <c r="A15" s="88" t="s">
        <v>693</v>
      </c>
      <c r="B15" s="125"/>
      <c r="C15" s="125"/>
      <c r="D15" s="125"/>
      <c r="E15" s="125"/>
      <c r="F15" s="125"/>
      <c r="G15" s="125"/>
      <c r="H15" s="126"/>
      <c r="I15" s="126"/>
      <c r="J15" s="126"/>
      <c r="K15" s="126"/>
      <c r="L15" s="126"/>
      <c r="M15" s="126"/>
      <c r="N15" s="126"/>
      <c r="O15" s="126"/>
      <c r="P15" s="126"/>
      <c r="Q15" s="126"/>
      <c r="R15" s="126"/>
      <c r="S15" s="126"/>
      <c r="T15" s="89"/>
      <c r="U15" s="89"/>
      <c r="V15" s="89"/>
      <c r="W15" s="89"/>
      <c r="X15" s="89"/>
      <c r="Y15" s="89"/>
      <c r="Z15" s="89"/>
      <c r="AA15" s="89"/>
    </row>
    <row r="16" spans="1:27" ht="22" customHeight="1" x14ac:dyDescent="0.35">
      <c r="A16" s="88" t="s">
        <v>694</v>
      </c>
      <c r="B16" s="125"/>
      <c r="C16" s="125"/>
      <c r="D16" s="125"/>
      <c r="E16" s="125"/>
      <c r="F16" s="125"/>
      <c r="G16" s="125"/>
      <c r="H16" s="126"/>
      <c r="I16" s="126"/>
      <c r="J16" s="126"/>
      <c r="K16" s="126"/>
      <c r="L16" s="126"/>
      <c r="M16" s="126"/>
      <c r="N16" s="126"/>
      <c r="O16" s="126"/>
      <c r="P16" s="126"/>
      <c r="Q16" s="126"/>
      <c r="R16" s="126"/>
      <c r="S16" s="126"/>
      <c r="T16" s="89"/>
      <c r="U16" s="89"/>
      <c r="V16" s="89"/>
      <c r="W16" s="89"/>
      <c r="X16" s="89"/>
      <c r="Y16" s="89"/>
      <c r="Z16" s="89"/>
      <c r="AA16" s="89"/>
    </row>
    <row r="17" spans="1:27" ht="22" customHeight="1" x14ac:dyDescent="0.35">
      <c r="A17" s="90" t="s">
        <v>695</v>
      </c>
      <c r="B17" s="127"/>
      <c r="C17" s="127"/>
      <c r="D17" s="127"/>
      <c r="E17" s="127"/>
      <c r="F17" s="127"/>
      <c r="G17" s="127"/>
      <c r="H17" s="128"/>
      <c r="I17" s="128"/>
      <c r="J17" s="128"/>
      <c r="K17" s="128"/>
      <c r="L17" s="128"/>
      <c r="M17" s="128"/>
      <c r="N17" s="128"/>
      <c r="O17" s="128"/>
      <c r="P17" s="128"/>
      <c r="Q17" s="128"/>
      <c r="R17" s="128"/>
      <c r="S17" s="128"/>
      <c r="T17" s="91"/>
      <c r="U17" s="91"/>
      <c r="V17" s="91"/>
      <c r="W17" s="91"/>
      <c r="X17" s="91"/>
      <c r="Y17" s="91"/>
      <c r="Z17" s="91"/>
      <c r="AA17" s="91"/>
    </row>
    <row r="18" spans="1:27" ht="22" customHeight="1" x14ac:dyDescent="0.35">
      <c r="A18" s="92" t="s">
        <v>696</v>
      </c>
      <c r="B18" s="127"/>
      <c r="C18" s="127"/>
      <c r="D18" s="127"/>
      <c r="E18" s="127"/>
      <c r="F18" s="127"/>
      <c r="G18" s="127"/>
      <c r="H18" s="128"/>
      <c r="I18" s="128"/>
      <c r="J18" s="128"/>
      <c r="K18" s="128"/>
      <c r="L18" s="128"/>
      <c r="M18" s="128"/>
      <c r="N18" s="128"/>
      <c r="O18" s="128"/>
      <c r="P18" s="128"/>
      <c r="Q18" s="128"/>
      <c r="R18" s="128"/>
      <c r="S18" s="128"/>
      <c r="T18" s="91"/>
      <c r="U18" s="91"/>
      <c r="V18" s="91"/>
      <c r="W18" s="91"/>
      <c r="X18" s="91"/>
      <c r="Y18" s="91"/>
      <c r="Z18" s="91"/>
      <c r="AA18" s="91"/>
    </row>
    <row r="19" spans="1:27" ht="22" customHeight="1" x14ac:dyDescent="0.35">
      <c r="A19" s="85" t="s">
        <v>697</v>
      </c>
      <c r="B19" s="129" t="s">
        <v>698</v>
      </c>
      <c r="C19" s="129" t="s">
        <v>698</v>
      </c>
      <c r="D19" s="129" t="s">
        <v>698</v>
      </c>
      <c r="E19" s="129" t="s">
        <v>698</v>
      </c>
      <c r="F19" s="129" t="s">
        <v>698</v>
      </c>
      <c r="G19" s="129" t="s">
        <v>698</v>
      </c>
      <c r="H19" s="130" t="s">
        <v>699</v>
      </c>
      <c r="I19" s="130" t="s">
        <v>699</v>
      </c>
      <c r="J19" s="130" t="s">
        <v>699</v>
      </c>
      <c r="K19" s="130" t="s">
        <v>699</v>
      </c>
      <c r="L19" s="130" t="s">
        <v>699</v>
      </c>
      <c r="M19" s="130" t="s">
        <v>699</v>
      </c>
      <c r="N19" s="130" t="s">
        <v>699</v>
      </c>
      <c r="O19" s="130" t="s">
        <v>699</v>
      </c>
      <c r="P19" s="130" t="s">
        <v>699</v>
      </c>
      <c r="Q19" s="130" t="s">
        <v>699</v>
      </c>
      <c r="R19" s="130" t="s">
        <v>699</v>
      </c>
      <c r="S19" s="130" t="s">
        <v>699</v>
      </c>
      <c r="T19" s="81" t="s">
        <v>699</v>
      </c>
      <c r="U19" s="81" t="s">
        <v>699</v>
      </c>
      <c r="V19" s="81" t="s">
        <v>699</v>
      </c>
      <c r="W19" s="81" t="s">
        <v>699</v>
      </c>
      <c r="X19" s="81" t="s">
        <v>699</v>
      </c>
      <c r="Y19" s="81" t="s">
        <v>699</v>
      </c>
      <c r="Z19" s="81" t="s">
        <v>699</v>
      </c>
      <c r="AA19" s="81" t="s">
        <v>699</v>
      </c>
    </row>
    <row r="20" spans="1:27" ht="18" customHeight="1" x14ac:dyDescent="0.35">
      <c r="A20" s="131" t="s">
        <v>700</v>
      </c>
      <c r="B20" s="132">
        <f t="shared" ref="B20:S20" si="1">B17</f>
        <v>0</v>
      </c>
      <c r="C20" s="132">
        <f t="shared" si="1"/>
        <v>0</v>
      </c>
      <c r="D20" s="132">
        <f t="shared" si="1"/>
        <v>0</v>
      </c>
      <c r="E20" s="132">
        <f t="shared" si="1"/>
        <v>0</v>
      </c>
      <c r="F20" s="132">
        <f t="shared" si="1"/>
        <v>0</v>
      </c>
      <c r="G20" s="132">
        <f t="shared" si="1"/>
        <v>0</v>
      </c>
      <c r="H20" s="132">
        <f t="shared" si="1"/>
        <v>0</v>
      </c>
      <c r="I20" s="132">
        <f t="shared" si="1"/>
        <v>0</v>
      </c>
      <c r="J20" s="132">
        <f t="shared" si="1"/>
        <v>0</v>
      </c>
      <c r="K20" s="132">
        <f t="shared" si="1"/>
        <v>0</v>
      </c>
      <c r="L20" s="132">
        <f t="shared" si="1"/>
        <v>0</v>
      </c>
      <c r="M20" s="132">
        <f t="shared" si="1"/>
        <v>0</v>
      </c>
      <c r="N20" s="132">
        <f t="shared" si="1"/>
        <v>0</v>
      </c>
      <c r="O20" s="132">
        <f t="shared" si="1"/>
        <v>0</v>
      </c>
      <c r="P20" s="132">
        <f t="shared" si="1"/>
        <v>0</v>
      </c>
      <c r="Q20" s="132">
        <f t="shared" si="1"/>
        <v>0</v>
      </c>
      <c r="R20" s="132">
        <f t="shared" si="1"/>
        <v>0</v>
      </c>
      <c r="S20" s="132">
        <f t="shared" si="1"/>
        <v>0</v>
      </c>
      <c r="T20" s="80"/>
      <c r="U20" s="80"/>
      <c r="V20" s="80"/>
      <c r="W20" s="80"/>
      <c r="X20" s="80"/>
      <c r="Y20" s="80"/>
      <c r="Z20" s="80"/>
      <c r="AA20" s="80"/>
    </row>
    <row r="23" spans="1:27" ht="18" customHeight="1" x14ac:dyDescent="0.35">
      <c r="A23" s="446" t="s">
        <v>701</v>
      </c>
      <c r="B23" s="395"/>
      <c r="C23" s="395"/>
      <c r="D23" s="395"/>
      <c r="E23" s="395"/>
      <c r="F23" s="395"/>
      <c r="H23" s="446" t="s">
        <v>720</v>
      </c>
      <c r="I23" s="395"/>
      <c r="J23" s="395"/>
      <c r="K23" s="395"/>
      <c r="L23" s="395"/>
      <c r="M23" s="395"/>
    </row>
    <row r="24" spans="1:27" ht="16" customHeight="1" x14ac:dyDescent="0.35">
      <c r="A24" s="121" t="s">
        <v>703</v>
      </c>
      <c r="B24" s="455"/>
      <c r="C24" s="456"/>
      <c r="D24" s="456"/>
      <c r="E24" s="456"/>
      <c r="F24" s="456"/>
      <c r="H24" s="121" t="s">
        <v>703</v>
      </c>
      <c r="I24" s="455"/>
      <c r="J24" s="456"/>
      <c r="K24" s="456"/>
      <c r="L24" s="456"/>
      <c r="M24" s="456"/>
    </row>
    <row r="25" spans="1:27" ht="16" customHeight="1" x14ac:dyDescent="0.35">
      <c r="A25" s="121" t="s">
        <v>704</v>
      </c>
      <c r="B25" s="455"/>
      <c r="C25" s="456"/>
      <c r="D25" s="456"/>
      <c r="E25" s="456"/>
      <c r="F25" s="456"/>
      <c r="H25" s="121" t="s">
        <v>704</v>
      </c>
      <c r="I25" s="455"/>
      <c r="J25" s="456"/>
      <c r="K25" s="456"/>
      <c r="L25" s="456"/>
      <c r="M25" s="456"/>
    </row>
    <row r="26" spans="1:27" ht="16" customHeight="1" x14ac:dyDescent="0.35">
      <c r="A26" s="121" t="s">
        <v>705</v>
      </c>
      <c r="B26" s="455"/>
      <c r="C26" s="456"/>
      <c r="D26" s="456"/>
      <c r="E26" s="456"/>
      <c r="F26" s="456"/>
      <c r="H26" s="121" t="s">
        <v>705</v>
      </c>
      <c r="I26" s="455"/>
      <c r="J26" s="456"/>
      <c r="K26" s="456"/>
      <c r="L26" s="456"/>
      <c r="M26" s="456"/>
    </row>
    <row r="27" spans="1:27" ht="16" customHeight="1" x14ac:dyDescent="0.35">
      <c r="A27" s="121" t="s">
        <v>706</v>
      </c>
      <c r="B27" s="455"/>
      <c r="C27" s="456"/>
      <c r="D27" s="456"/>
      <c r="E27" s="456"/>
      <c r="F27" s="456"/>
      <c r="H27" s="121" t="s">
        <v>706</v>
      </c>
      <c r="I27" s="455"/>
      <c r="J27" s="456"/>
      <c r="K27" s="456"/>
      <c r="L27" s="456"/>
      <c r="M27" s="456"/>
    </row>
    <row r="28" spans="1:27" ht="16" customHeight="1" x14ac:dyDescent="0.35">
      <c r="A28" s="121" t="s">
        <v>707</v>
      </c>
      <c r="B28" s="455"/>
      <c r="C28" s="456"/>
      <c r="D28" s="456"/>
      <c r="E28" s="456"/>
      <c r="F28" s="456"/>
      <c r="H28" s="121" t="s">
        <v>707</v>
      </c>
      <c r="I28" s="455"/>
      <c r="J28" s="456"/>
      <c r="K28" s="456"/>
      <c r="L28" s="456"/>
      <c r="M28" s="456"/>
    </row>
    <row r="30" spans="1:27" ht="16" customHeight="1" x14ac:dyDescent="0.35">
      <c r="A30" s="394" t="s">
        <v>708</v>
      </c>
      <c r="B30" s="395"/>
      <c r="C30" s="395"/>
      <c r="D30" s="395"/>
      <c r="E30" s="395"/>
      <c r="F30" s="395"/>
      <c r="G30" s="395"/>
      <c r="H30" s="395"/>
      <c r="I30" s="395"/>
      <c r="J30" s="395"/>
      <c r="K30" s="395"/>
      <c r="L30" s="395"/>
      <c r="M30" s="395"/>
      <c r="N30" s="395"/>
      <c r="O30" s="395"/>
      <c r="P30" s="395"/>
    </row>
  </sheetData>
  <mergeCells count="21">
    <mergeCell ref="A1:Z1"/>
    <mergeCell ref="I25:M25"/>
    <mergeCell ref="A23:F23"/>
    <mergeCell ref="B9:G9"/>
    <mergeCell ref="I28:M28"/>
    <mergeCell ref="B4:G4"/>
    <mergeCell ref="A2:Z2"/>
    <mergeCell ref="B25:F25"/>
    <mergeCell ref="B8:G8"/>
    <mergeCell ref="I27:M27"/>
    <mergeCell ref="B27:F27"/>
    <mergeCell ref="I26:M26"/>
    <mergeCell ref="A30:P30"/>
    <mergeCell ref="B6:G6"/>
    <mergeCell ref="B5:G5"/>
    <mergeCell ref="B28:F28"/>
    <mergeCell ref="I24:M24"/>
    <mergeCell ref="H23:M23"/>
    <mergeCell ref="B7:G7"/>
    <mergeCell ref="B24:F24"/>
    <mergeCell ref="B26:F26"/>
  </mergeCells>
  <pageMargins left="0.75" right="0.75" top="1" bottom="1" header="0.5" footer="0.5"/>
  <pageSetup orientation="landscape"/>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5">
    <pageSetUpPr fitToPage="1"/>
  </sheetPr>
  <dimension ref="A1:AA30"/>
  <sheetViews>
    <sheetView showGridLines="0" zoomScale="70" zoomScaleNormal="70" workbookViewId="0">
      <selection activeCell="L16" sqref="L16"/>
    </sheetView>
  </sheetViews>
  <sheetFormatPr defaultRowHeight="14.5" x14ac:dyDescent="0.35"/>
  <cols>
    <col min="1" max="1" width="26" customWidth="1"/>
    <col min="2" max="19" width="10" customWidth="1"/>
    <col min="20" max="27" width="11" customWidth="1"/>
  </cols>
  <sheetData>
    <row r="1" spans="1:27" ht="28" customHeight="1" x14ac:dyDescent="0.35">
      <c r="A1" s="405" t="s">
        <v>670</v>
      </c>
      <c r="B1" s="395"/>
      <c r="C1" s="395"/>
      <c r="D1" s="395"/>
      <c r="E1" s="395"/>
      <c r="F1" s="395"/>
      <c r="G1" s="395"/>
      <c r="H1" s="395"/>
      <c r="I1" s="395"/>
      <c r="J1" s="395"/>
      <c r="K1" s="395"/>
      <c r="L1" s="395"/>
      <c r="M1" s="395"/>
      <c r="N1" s="395"/>
      <c r="O1" s="395"/>
      <c r="P1" s="395"/>
      <c r="Q1" s="395"/>
      <c r="R1" s="395"/>
      <c r="S1" s="395"/>
      <c r="T1" s="395"/>
      <c r="U1" s="395"/>
      <c r="V1" s="395"/>
      <c r="W1" s="395"/>
      <c r="X1" s="395"/>
      <c r="Y1" s="395"/>
      <c r="Z1" s="395"/>
    </row>
    <row r="2" spans="1:27" ht="16" customHeight="1" x14ac:dyDescent="0.35">
      <c r="A2" s="457" t="s">
        <v>721</v>
      </c>
      <c r="B2" s="395"/>
      <c r="C2" s="395"/>
      <c r="D2" s="395"/>
      <c r="E2" s="395"/>
      <c r="F2" s="395"/>
      <c r="G2" s="395"/>
      <c r="H2" s="395"/>
      <c r="I2" s="395"/>
      <c r="J2" s="395"/>
      <c r="K2" s="395"/>
      <c r="L2" s="395"/>
      <c r="M2" s="395"/>
      <c r="N2" s="395"/>
      <c r="O2" s="395"/>
      <c r="P2" s="395"/>
      <c r="Q2" s="395"/>
      <c r="R2" s="395"/>
      <c r="S2" s="395"/>
      <c r="T2" s="395"/>
      <c r="U2" s="395"/>
      <c r="V2" s="395"/>
      <c r="W2" s="395"/>
      <c r="X2" s="395"/>
      <c r="Y2" s="395"/>
      <c r="Z2" s="395"/>
    </row>
    <row r="4" spans="1:27" ht="15" customHeight="1" x14ac:dyDescent="0.35">
      <c r="A4" s="121" t="s">
        <v>672</v>
      </c>
      <c r="B4" s="455" t="s">
        <v>673</v>
      </c>
      <c r="C4" s="456"/>
      <c r="D4" s="456"/>
      <c r="E4" s="456"/>
      <c r="F4" s="456"/>
      <c r="G4" s="456"/>
    </row>
    <row r="5" spans="1:27" ht="15" customHeight="1" x14ac:dyDescent="0.35">
      <c r="A5" s="121" t="s">
        <v>674</v>
      </c>
      <c r="B5" s="455"/>
      <c r="C5" s="456"/>
      <c r="D5" s="456"/>
      <c r="E5" s="456"/>
      <c r="F5" s="456"/>
      <c r="G5" s="456"/>
    </row>
    <row r="6" spans="1:27" ht="15" customHeight="1" x14ac:dyDescent="0.35">
      <c r="A6" s="121" t="s">
        <v>675</v>
      </c>
      <c r="B6" s="455" t="s">
        <v>722</v>
      </c>
      <c r="C6" s="456"/>
      <c r="D6" s="456"/>
      <c r="E6" s="456"/>
      <c r="F6" s="456"/>
      <c r="G6" s="456"/>
    </row>
    <row r="7" spans="1:27" ht="15" customHeight="1" x14ac:dyDescent="0.35">
      <c r="A7" s="121" t="s">
        <v>677</v>
      </c>
      <c r="B7" s="455" t="s">
        <v>678</v>
      </c>
      <c r="C7" s="456"/>
      <c r="D7" s="456"/>
      <c r="E7" s="456"/>
      <c r="F7" s="456"/>
      <c r="G7" s="456"/>
    </row>
    <row r="8" spans="1:27" ht="15" customHeight="1" x14ac:dyDescent="0.35">
      <c r="A8" s="121" t="s">
        <v>679</v>
      </c>
      <c r="B8" s="455" t="s">
        <v>723</v>
      </c>
      <c r="C8" s="456"/>
      <c r="D8" s="456"/>
      <c r="E8" s="456"/>
      <c r="F8" s="456"/>
      <c r="G8" s="456"/>
    </row>
    <row r="9" spans="1:27" ht="15" customHeight="1" x14ac:dyDescent="0.35">
      <c r="A9" s="121" t="s">
        <v>681</v>
      </c>
      <c r="B9" s="455" t="s">
        <v>682</v>
      </c>
      <c r="C9" s="456"/>
      <c r="D9" s="456"/>
      <c r="E9" s="456"/>
      <c r="F9" s="456"/>
      <c r="G9" s="456"/>
    </row>
    <row r="12" spans="1:27" ht="30" customHeight="1" x14ac:dyDescent="0.35">
      <c r="A12" s="80"/>
      <c r="B12" s="122" t="s">
        <v>182</v>
      </c>
      <c r="C12" s="122" t="s">
        <v>183</v>
      </c>
      <c r="D12" s="122" t="s">
        <v>184</v>
      </c>
      <c r="E12" s="122" t="s">
        <v>185</v>
      </c>
      <c r="F12" s="122" t="s">
        <v>186</v>
      </c>
      <c r="G12" s="122" t="s">
        <v>187</v>
      </c>
      <c r="H12" s="122" t="s">
        <v>188</v>
      </c>
      <c r="I12" s="122" t="s">
        <v>189</v>
      </c>
      <c r="J12" s="122" t="s">
        <v>190</v>
      </c>
      <c r="K12" s="122" t="s">
        <v>191</v>
      </c>
      <c r="L12" s="122" t="s">
        <v>192</v>
      </c>
      <c r="M12" s="122" t="s">
        <v>193</v>
      </c>
      <c r="N12" s="123" t="s">
        <v>194</v>
      </c>
      <c r="O12" s="123" t="s">
        <v>195</v>
      </c>
      <c r="P12" s="123" t="s">
        <v>196</v>
      </c>
      <c r="Q12" s="123" t="s">
        <v>197</v>
      </c>
      <c r="R12" s="123" t="s">
        <v>198</v>
      </c>
      <c r="S12" s="123" t="s">
        <v>199</v>
      </c>
      <c r="T12" s="124" t="s">
        <v>683</v>
      </c>
      <c r="U12" s="124" t="s">
        <v>684</v>
      </c>
      <c r="V12" s="124" t="s">
        <v>685</v>
      </c>
      <c r="W12" s="124" t="s">
        <v>686</v>
      </c>
      <c r="X12" s="124" t="s">
        <v>687</v>
      </c>
      <c r="Y12" s="124" t="s">
        <v>688</v>
      </c>
      <c r="Z12" s="124" t="s">
        <v>689</v>
      </c>
      <c r="AA12" s="124" t="s">
        <v>690</v>
      </c>
    </row>
    <row r="13" spans="1:27" ht="22" customHeight="1" x14ac:dyDescent="0.35">
      <c r="A13" s="82" t="s">
        <v>691</v>
      </c>
      <c r="B13" s="83">
        <f t="shared" ref="B13:S13" si="0">IFERROR(EDATE(B14,-5),"")</f>
        <v>45931</v>
      </c>
      <c r="C13" s="83">
        <f t="shared" si="0"/>
        <v>45962</v>
      </c>
      <c r="D13" s="83">
        <f t="shared" si="0"/>
        <v>45992</v>
      </c>
      <c r="E13" s="83">
        <f t="shared" si="0"/>
        <v>46023</v>
      </c>
      <c r="F13" s="83">
        <f t="shared" si="0"/>
        <v>46054</v>
      </c>
      <c r="G13" s="83">
        <f t="shared" si="0"/>
        <v>46082</v>
      </c>
      <c r="H13" s="83">
        <f t="shared" si="0"/>
        <v>46113</v>
      </c>
      <c r="I13" s="83">
        <f t="shared" si="0"/>
        <v>46143</v>
      </c>
      <c r="J13" s="83">
        <f t="shared" si="0"/>
        <v>46174</v>
      </c>
      <c r="K13" s="83">
        <f t="shared" si="0"/>
        <v>46204</v>
      </c>
      <c r="L13" s="83">
        <f t="shared" si="0"/>
        <v>46235</v>
      </c>
      <c r="M13" s="83">
        <f t="shared" si="0"/>
        <v>46266</v>
      </c>
      <c r="N13" s="83">
        <f t="shared" si="0"/>
        <v>46296</v>
      </c>
      <c r="O13" s="83">
        <f t="shared" si="0"/>
        <v>46327</v>
      </c>
      <c r="P13" s="83">
        <f t="shared" si="0"/>
        <v>46357</v>
      </c>
      <c r="Q13" s="83">
        <f t="shared" si="0"/>
        <v>46388</v>
      </c>
      <c r="R13" s="83">
        <f t="shared" si="0"/>
        <v>46419</v>
      </c>
      <c r="S13" s="83">
        <f t="shared" si="0"/>
        <v>46447</v>
      </c>
      <c r="T13" s="84"/>
      <c r="U13" s="84"/>
      <c r="V13" s="84"/>
      <c r="W13" s="84"/>
      <c r="X13" s="84"/>
      <c r="Y13" s="84"/>
      <c r="Z13" s="84"/>
      <c r="AA13" s="84"/>
    </row>
    <row r="14" spans="1:27" ht="22" customHeight="1" x14ac:dyDescent="0.35">
      <c r="A14" s="85" t="s">
        <v>692</v>
      </c>
      <c r="B14" s="86">
        <v>46082</v>
      </c>
      <c r="C14" s="86">
        <v>46113</v>
      </c>
      <c r="D14" s="86">
        <v>46143</v>
      </c>
      <c r="E14" s="86">
        <v>46174</v>
      </c>
      <c r="F14" s="86">
        <v>46204</v>
      </c>
      <c r="G14" s="86">
        <v>46235</v>
      </c>
      <c r="H14" s="86">
        <v>46266</v>
      </c>
      <c r="I14" s="86">
        <v>46296</v>
      </c>
      <c r="J14" s="86">
        <v>46327</v>
      </c>
      <c r="K14" s="86">
        <v>46357</v>
      </c>
      <c r="L14" s="86">
        <v>46388</v>
      </c>
      <c r="M14" s="86">
        <v>46419</v>
      </c>
      <c r="N14" s="87">
        <v>46447</v>
      </c>
      <c r="O14" s="87">
        <v>46478</v>
      </c>
      <c r="P14" s="87">
        <v>46508</v>
      </c>
      <c r="Q14" s="87">
        <v>46539</v>
      </c>
      <c r="R14" s="87">
        <v>46569</v>
      </c>
      <c r="S14" s="87">
        <v>46600</v>
      </c>
      <c r="T14" s="84"/>
      <c r="U14" s="84"/>
      <c r="V14" s="84"/>
      <c r="W14" s="84"/>
      <c r="X14" s="84"/>
      <c r="Y14" s="84"/>
      <c r="Z14" s="84"/>
      <c r="AA14" s="84"/>
    </row>
    <row r="15" spans="1:27" ht="22" customHeight="1" x14ac:dyDescent="0.35">
      <c r="A15" s="88" t="s">
        <v>693</v>
      </c>
      <c r="B15" s="125"/>
      <c r="C15" s="125"/>
      <c r="D15" s="125"/>
      <c r="E15" s="125"/>
      <c r="F15" s="125"/>
      <c r="G15" s="125"/>
      <c r="H15" s="125"/>
      <c r="I15" s="125"/>
      <c r="J15" s="125"/>
      <c r="K15" s="125"/>
      <c r="L15" s="125"/>
      <c r="M15" s="125"/>
      <c r="N15" s="126"/>
      <c r="O15" s="126"/>
      <c r="P15" s="126"/>
      <c r="Q15" s="126"/>
      <c r="R15" s="126"/>
      <c r="S15" s="126"/>
      <c r="T15" s="89"/>
      <c r="U15" s="89"/>
      <c r="V15" s="89"/>
      <c r="W15" s="89"/>
      <c r="X15" s="89"/>
      <c r="Y15" s="89"/>
      <c r="Z15" s="89"/>
      <c r="AA15" s="89"/>
    </row>
    <row r="16" spans="1:27" ht="22" customHeight="1" x14ac:dyDescent="0.35">
      <c r="A16" s="88" t="s">
        <v>694</v>
      </c>
      <c r="B16" s="125"/>
      <c r="C16" s="125"/>
      <c r="D16" s="125"/>
      <c r="E16" s="125"/>
      <c r="F16" s="125"/>
      <c r="G16" s="125"/>
      <c r="H16" s="125"/>
      <c r="I16" s="125"/>
      <c r="J16" s="125"/>
      <c r="K16" s="125"/>
      <c r="L16" s="125"/>
      <c r="M16" s="125"/>
      <c r="N16" s="126"/>
      <c r="O16" s="126"/>
      <c r="P16" s="126"/>
      <c r="Q16" s="126"/>
      <c r="R16" s="126"/>
      <c r="S16" s="126"/>
      <c r="T16" s="89"/>
      <c r="U16" s="89"/>
      <c r="V16" s="89"/>
      <c r="W16" s="89"/>
      <c r="X16" s="89"/>
      <c r="Y16" s="89"/>
      <c r="Z16" s="89"/>
      <c r="AA16" s="89"/>
    </row>
    <row r="17" spans="1:27" ht="22" customHeight="1" x14ac:dyDescent="0.35">
      <c r="A17" s="90" t="s">
        <v>695</v>
      </c>
      <c r="B17" s="127"/>
      <c r="C17" s="127"/>
      <c r="D17" s="127"/>
      <c r="E17" s="127"/>
      <c r="F17" s="127"/>
      <c r="G17" s="127"/>
      <c r="H17" s="127"/>
      <c r="I17" s="127"/>
      <c r="J17" s="127"/>
      <c r="K17" s="127"/>
      <c r="L17" s="127"/>
      <c r="M17" s="127"/>
      <c r="N17" s="128"/>
      <c r="O17" s="128"/>
      <c r="P17" s="128"/>
      <c r="Q17" s="128"/>
      <c r="R17" s="128"/>
      <c r="S17" s="128"/>
      <c r="T17" s="91"/>
      <c r="U17" s="91"/>
      <c r="V17" s="91"/>
      <c r="W17" s="91"/>
      <c r="X17" s="91"/>
      <c r="Y17" s="91"/>
      <c r="Z17" s="91"/>
      <c r="AA17" s="91"/>
    </row>
    <row r="18" spans="1:27" ht="22" customHeight="1" x14ac:dyDescent="0.35">
      <c r="A18" s="92" t="s">
        <v>696</v>
      </c>
      <c r="B18" s="127"/>
      <c r="C18" s="127"/>
      <c r="D18" s="127"/>
      <c r="E18" s="127"/>
      <c r="F18" s="127"/>
      <c r="G18" s="127"/>
      <c r="H18" s="127"/>
      <c r="I18" s="127"/>
      <c r="J18" s="127"/>
      <c r="K18" s="127"/>
      <c r="L18" s="127"/>
      <c r="M18" s="127"/>
      <c r="N18" s="128"/>
      <c r="O18" s="128"/>
      <c r="P18" s="128"/>
      <c r="Q18" s="128"/>
      <c r="R18" s="128"/>
      <c r="S18" s="128"/>
      <c r="T18" s="91"/>
      <c r="U18" s="91"/>
      <c r="V18" s="91"/>
      <c r="W18" s="91"/>
      <c r="X18" s="91"/>
      <c r="Y18" s="91"/>
      <c r="Z18" s="91"/>
      <c r="AA18" s="91"/>
    </row>
    <row r="19" spans="1:27" ht="22" customHeight="1" x14ac:dyDescent="0.35">
      <c r="A19" s="85" t="s">
        <v>697</v>
      </c>
      <c r="B19" s="129" t="s">
        <v>698</v>
      </c>
      <c r="C19" s="129" t="s">
        <v>698</v>
      </c>
      <c r="D19" s="129" t="s">
        <v>698</v>
      </c>
      <c r="E19" s="129" t="s">
        <v>698</v>
      </c>
      <c r="F19" s="129" t="s">
        <v>698</v>
      </c>
      <c r="G19" s="129" t="s">
        <v>698</v>
      </c>
      <c r="H19" s="129" t="s">
        <v>698</v>
      </c>
      <c r="I19" s="129" t="s">
        <v>698</v>
      </c>
      <c r="J19" s="129" t="s">
        <v>698</v>
      </c>
      <c r="K19" s="129" t="s">
        <v>698</v>
      </c>
      <c r="L19" s="129" t="s">
        <v>698</v>
      </c>
      <c r="M19" s="129" t="s">
        <v>698</v>
      </c>
      <c r="N19" s="130" t="s">
        <v>699</v>
      </c>
      <c r="O19" s="130" t="s">
        <v>699</v>
      </c>
      <c r="P19" s="130" t="s">
        <v>699</v>
      </c>
      <c r="Q19" s="130" t="s">
        <v>699</v>
      </c>
      <c r="R19" s="130" t="s">
        <v>699</v>
      </c>
      <c r="S19" s="130" t="s">
        <v>699</v>
      </c>
      <c r="T19" s="81" t="s">
        <v>699</v>
      </c>
      <c r="U19" s="81" t="s">
        <v>699</v>
      </c>
      <c r="V19" s="81" t="s">
        <v>699</v>
      </c>
      <c r="W19" s="81" t="s">
        <v>699</v>
      </c>
      <c r="X19" s="81" t="s">
        <v>699</v>
      </c>
      <c r="Y19" s="81" t="s">
        <v>699</v>
      </c>
      <c r="Z19" s="81" t="s">
        <v>699</v>
      </c>
      <c r="AA19" s="81" t="s">
        <v>699</v>
      </c>
    </row>
    <row r="20" spans="1:27" ht="18" customHeight="1" x14ac:dyDescent="0.35">
      <c r="A20" s="131" t="s">
        <v>700</v>
      </c>
      <c r="B20" s="132">
        <f t="shared" ref="B20:S20" si="1">B17</f>
        <v>0</v>
      </c>
      <c r="C20" s="132">
        <f t="shared" si="1"/>
        <v>0</v>
      </c>
      <c r="D20" s="132">
        <f t="shared" si="1"/>
        <v>0</v>
      </c>
      <c r="E20" s="132">
        <f t="shared" si="1"/>
        <v>0</v>
      </c>
      <c r="F20" s="132">
        <f t="shared" si="1"/>
        <v>0</v>
      </c>
      <c r="G20" s="132">
        <f t="shared" si="1"/>
        <v>0</v>
      </c>
      <c r="H20" s="132">
        <f t="shared" si="1"/>
        <v>0</v>
      </c>
      <c r="I20" s="132">
        <f t="shared" si="1"/>
        <v>0</v>
      </c>
      <c r="J20" s="132">
        <f t="shared" si="1"/>
        <v>0</v>
      </c>
      <c r="K20" s="132">
        <f t="shared" si="1"/>
        <v>0</v>
      </c>
      <c r="L20" s="132">
        <f t="shared" si="1"/>
        <v>0</v>
      </c>
      <c r="M20" s="132">
        <f t="shared" si="1"/>
        <v>0</v>
      </c>
      <c r="N20" s="132">
        <f t="shared" si="1"/>
        <v>0</v>
      </c>
      <c r="O20" s="132">
        <f t="shared" si="1"/>
        <v>0</v>
      </c>
      <c r="P20" s="132">
        <f t="shared" si="1"/>
        <v>0</v>
      </c>
      <c r="Q20" s="132">
        <f t="shared" si="1"/>
        <v>0</v>
      </c>
      <c r="R20" s="132">
        <f t="shared" si="1"/>
        <v>0</v>
      </c>
      <c r="S20" s="132">
        <f t="shared" si="1"/>
        <v>0</v>
      </c>
      <c r="T20" s="80"/>
      <c r="U20" s="80"/>
      <c r="V20" s="80"/>
      <c r="W20" s="80"/>
      <c r="X20" s="80"/>
      <c r="Y20" s="80"/>
      <c r="Z20" s="80"/>
      <c r="AA20" s="80"/>
    </row>
    <row r="23" spans="1:27" ht="18" customHeight="1" x14ac:dyDescent="0.35">
      <c r="A23" s="446" t="s">
        <v>701</v>
      </c>
      <c r="B23" s="395"/>
      <c r="C23" s="395"/>
      <c r="D23" s="395"/>
      <c r="E23" s="395"/>
      <c r="F23" s="395"/>
      <c r="H23" s="446" t="s">
        <v>724</v>
      </c>
      <c r="I23" s="395"/>
      <c r="J23" s="395"/>
      <c r="K23" s="395"/>
      <c r="L23" s="395"/>
      <c r="M23" s="395"/>
    </row>
    <row r="24" spans="1:27" ht="16" customHeight="1" x14ac:dyDescent="0.35">
      <c r="A24" s="121" t="s">
        <v>703</v>
      </c>
      <c r="B24" s="455"/>
      <c r="C24" s="456"/>
      <c r="D24" s="456"/>
      <c r="E24" s="456"/>
      <c r="F24" s="456"/>
      <c r="H24" s="121" t="s">
        <v>703</v>
      </c>
      <c r="I24" s="455"/>
      <c r="J24" s="456"/>
      <c r="K24" s="456"/>
      <c r="L24" s="456"/>
      <c r="M24" s="456"/>
    </row>
    <row r="25" spans="1:27" ht="16" customHeight="1" x14ac:dyDescent="0.35">
      <c r="A25" s="121" t="s">
        <v>704</v>
      </c>
      <c r="B25" s="455"/>
      <c r="C25" s="456"/>
      <c r="D25" s="456"/>
      <c r="E25" s="456"/>
      <c r="F25" s="456"/>
      <c r="H25" s="121" t="s">
        <v>704</v>
      </c>
      <c r="I25" s="455"/>
      <c r="J25" s="456"/>
      <c r="K25" s="456"/>
      <c r="L25" s="456"/>
      <c r="M25" s="456"/>
    </row>
    <row r="26" spans="1:27" ht="16" customHeight="1" x14ac:dyDescent="0.35">
      <c r="A26" s="121" t="s">
        <v>705</v>
      </c>
      <c r="B26" s="455"/>
      <c r="C26" s="456"/>
      <c r="D26" s="456"/>
      <c r="E26" s="456"/>
      <c r="F26" s="456"/>
      <c r="H26" s="121" t="s">
        <v>705</v>
      </c>
      <c r="I26" s="455"/>
      <c r="J26" s="456"/>
      <c r="K26" s="456"/>
      <c r="L26" s="456"/>
      <c r="M26" s="456"/>
    </row>
    <row r="27" spans="1:27" ht="16" customHeight="1" x14ac:dyDescent="0.35">
      <c r="A27" s="121" t="s">
        <v>706</v>
      </c>
      <c r="B27" s="455"/>
      <c r="C27" s="456"/>
      <c r="D27" s="456"/>
      <c r="E27" s="456"/>
      <c r="F27" s="456"/>
      <c r="H27" s="121" t="s">
        <v>706</v>
      </c>
      <c r="I27" s="455"/>
      <c r="J27" s="456"/>
      <c r="K27" s="456"/>
      <c r="L27" s="456"/>
      <c r="M27" s="456"/>
    </row>
    <row r="28" spans="1:27" ht="16" customHeight="1" x14ac:dyDescent="0.35">
      <c r="A28" s="121" t="s">
        <v>707</v>
      </c>
      <c r="B28" s="455"/>
      <c r="C28" s="456"/>
      <c r="D28" s="456"/>
      <c r="E28" s="456"/>
      <c r="F28" s="456"/>
      <c r="H28" s="121" t="s">
        <v>707</v>
      </c>
      <c r="I28" s="455"/>
      <c r="J28" s="456"/>
      <c r="K28" s="456"/>
      <c r="L28" s="456"/>
      <c r="M28" s="456"/>
    </row>
    <row r="30" spans="1:27" ht="16" customHeight="1" x14ac:dyDescent="0.35">
      <c r="A30" s="394" t="s">
        <v>708</v>
      </c>
      <c r="B30" s="395"/>
      <c r="C30" s="395"/>
      <c r="D30" s="395"/>
      <c r="E30" s="395"/>
      <c r="F30" s="395"/>
      <c r="G30" s="395"/>
      <c r="H30" s="395"/>
      <c r="I30" s="395"/>
      <c r="J30" s="395"/>
      <c r="K30" s="395"/>
      <c r="L30" s="395"/>
      <c r="M30" s="395"/>
      <c r="N30" s="395"/>
      <c r="O30" s="395"/>
      <c r="P30" s="395"/>
    </row>
  </sheetData>
  <mergeCells count="21">
    <mergeCell ref="A1:Z1"/>
    <mergeCell ref="I25:M25"/>
    <mergeCell ref="A23:F23"/>
    <mergeCell ref="B9:G9"/>
    <mergeCell ref="I28:M28"/>
    <mergeCell ref="B4:G4"/>
    <mergeCell ref="A2:Z2"/>
    <mergeCell ref="B25:F25"/>
    <mergeCell ref="B8:G8"/>
    <mergeCell ref="I27:M27"/>
    <mergeCell ref="B27:F27"/>
    <mergeCell ref="I26:M26"/>
    <mergeCell ref="A30:P30"/>
    <mergeCell ref="B6:G6"/>
    <mergeCell ref="B5:G5"/>
    <mergeCell ref="B28:F28"/>
    <mergeCell ref="I24:M24"/>
    <mergeCell ref="H23:M23"/>
    <mergeCell ref="B7:G7"/>
    <mergeCell ref="B24:F24"/>
    <mergeCell ref="B26:F26"/>
  </mergeCells>
  <pageMargins left="0.75" right="0.75" top="1" bottom="1" header="0.5" footer="0.5"/>
  <pageSetup orientation="landscape"/>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6">
    <pageSetUpPr fitToPage="1"/>
  </sheetPr>
  <dimension ref="A1:AA30"/>
  <sheetViews>
    <sheetView showGridLines="0" zoomScale="55" zoomScaleNormal="55" workbookViewId="0">
      <selection sqref="A1:Z1"/>
    </sheetView>
  </sheetViews>
  <sheetFormatPr defaultRowHeight="14.5" x14ac:dyDescent="0.35"/>
  <cols>
    <col min="1" max="1" width="26" customWidth="1"/>
    <col min="2" max="19" width="10" customWidth="1"/>
    <col min="20" max="27" width="11" customWidth="1"/>
  </cols>
  <sheetData>
    <row r="1" spans="1:27" ht="28" customHeight="1" x14ac:dyDescent="0.35">
      <c r="A1" s="405" t="s">
        <v>670</v>
      </c>
      <c r="B1" s="395"/>
      <c r="C1" s="395"/>
      <c r="D1" s="395"/>
      <c r="E1" s="395"/>
      <c r="F1" s="395"/>
      <c r="G1" s="395"/>
      <c r="H1" s="395"/>
      <c r="I1" s="395"/>
      <c r="J1" s="395"/>
      <c r="K1" s="395"/>
      <c r="L1" s="395"/>
      <c r="M1" s="395"/>
      <c r="N1" s="395"/>
      <c r="O1" s="395"/>
      <c r="P1" s="395"/>
      <c r="Q1" s="395"/>
      <c r="R1" s="395"/>
      <c r="S1" s="395"/>
      <c r="T1" s="395"/>
      <c r="U1" s="395"/>
      <c r="V1" s="395"/>
      <c r="W1" s="395"/>
      <c r="X1" s="395"/>
      <c r="Y1" s="395"/>
      <c r="Z1" s="395"/>
    </row>
    <row r="2" spans="1:27" ht="16" customHeight="1" x14ac:dyDescent="0.35">
      <c r="A2" s="457" t="s">
        <v>725</v>
      </c>
      <c r="B2" s="395"/>
      <c r="C2" s="395"/>
      <c r="D2" s="395"/>
      <c r="E2" s="395"/>
      <c r="F2" s="395"/>
      <c r="G2" s="395"/>
      <c r="H2" s="395"/>
      <c r="I2" s="395"/>
      <c r="J2" s="395"/>
      <c r="K2" s="395"/>
      <c r="L2" s="395"/>
      <c r="M2" s="395"/>
      <c r="N2" s="395"/>
      <c r="O2" s="395"/>
      <c r="P2" s="395"/>
      <c r="Q2" s="395"/>
      <c r="R2" s="395"/>
      <c r="S2" s="395"/>
      <c r="T2" s="395"/>
      <c r="U2" s="395"/>
      <c r="V2" s="395"/>
      <c r="W2" s="395"/>
      <c r="X2" s="395"/>
      <c r="Y2" s="395"/>
      <c r="Z2" s="395"/>
    </row>
    <row r="4" spans="1:27" ht="15" customHeight="1" x14ac:dyDescent="0.35">
      <c r="A4" s="121" t="s">
        <v>672</v>
      </c>
      <c r="B4" s="455" t="s">
        <v>673</v>
      </c>
      <c r="C4" s="456"/>
      <c r="D4" s="456"/>
      <c r="E4" s="456"/>
      <c r="F4" s="456"/>
      <c r="G4" s="456"/>
    </row>
    <row r="5" spans="1:27" ht="15" customHeight="1" x14ac:dyDescent="0.35">
      <c r="A5" s="121" t="s">
        <v>674</v>
      </c>
      <c r="B5" s="455"/>
      <c r="C5" s="456"/>
      <c r="D5" s="456"/>
      <c r="E5" s="456"/>
      <c r="F5" s="456"/>
      <c r="G5" s="456"/>
    </row>
    <row r="6" spans="1:27" ht="15" customHeight="1" x14ac:dyDescent="0.35">
      <c r="A6" s="121" t="s">
        <v>675</v>
      </c>
      <c r="B6" s="455" t="s">
        <v>726</v>
      </c>
      <c r="C6" s="456"/>
      <c r="D6" s="456"/>
      <c r="E6" s="456"/>
      <c r="F6" s="456"/>
      <c r="G6" s="456"/>
    </row>
    <row r="7" spans="1:27" ht="15" customHeight="1" x14ac:dyDescent="0.35">
      <c r="A7" s="121" t="s">
        <v>677</v>
      </c>
      <c r="B7" s="455" t="s">
        <v>713</v>
      </c>
      <c r="C7" s="456"/>
      <c r="D7" s="456"/>
      <c r="E7" s="456"/>
      <c r="F7" s="456"/>
      <c r="G7" s="456"/>
    </row>
    <row r="8" spans="1:27" ht="15" customHeight="1" x14ac:dyDescent="0.35">
      <c r="A8" s="121" t="s">
        <v>679</v>
      </c>
      <c r="B8" s="455" t="s">
        <v>680</v>
      </c>
      <c r="C8" s="456"/>
      <c r="D8" s="456"/>
      <c r="E8" s="456"/>
      <c r="F8" s="456"/>
      <c r="G8" s="456"/>
    </row>
    <row r="9" spans="1:27" ht="15" customHeight="1" x14ac:dyDescent="0.35">
      <c r="A9" s="121" t="s">
        <v>681</v>
      </c>
      <c r="B9" s="455" t="s">
        <v>682</v>
      </c>
      <c r="C9" s="456"/>
      <c r="D9" s="456"/>
      <c r="E9" s="456"/>
      <c r="F9" s="456"/>
      <c r="G9" s="456"/>
    </row>
    <row r="12" spans="1:27" ht="30" customHeight="1" x14ac:dyDescent="0.35">
      <c r="A12" s="80"/>
      <c r="B12" s="122" t="s">
        <v>182</v>
      </c>
      <c r="C12" s="122" t="s">
        <v>183</v>
      </c>
      <c r="D12" s="122" t="s">
        <v>184</v>
      </c>
      <c r="E12" s="122" t="s">
        <v>185</v>
      </c>
      <c r="F12" s="122" t="s">
        <v>186</v>
      </c>
      <c r="G12" s="122" t="s">
        <v>187</v>
      </c>
      <c r="H12" s="122" t="s">
        <v>188</v>
      </c>
      <c r="I12" s="122" t="s">
        <v>189</v>
      </c>
      <c r="J12" s="122" t="s">
        <v>190</v>
      </c>
      <c r="K12" s="123" t="s">
        <v>191</v>
      </c>
      <c r="L12" s="123" t="s">
        <v>192</v>
      </c>
      <c r="M12" s="123" t="s">
        <v>193</v>
      </c>
      <c r="N12" s="123" t="s">
        <v>194</v>
      </c>
      <c r="O12" s="123" t="s">
        <v>195</v>
      </c>
      <c r="P12" s="123" t="s">
        <v>196</v>
      </c>
      <c r="Q12" s="123" t="s">
        <v>197</v>
      </c>
      <c r="R12" s="123" t="s">
        <v>198</v>
      </c>
      <c r="S12" s="123" t="s">
        <v>199</v>
      </c>
      <c r="T12" s="124" t="s">
        <v>683</v>
      </c>
      <c r="U12" s="124" t="s">
        <v>684</v>
      </c>
      <c r="V12" s="124" t="s">
        <v>685</v>
      </c>
      <c r="W12" s="124" t="s">
        <v>686</v>
      </c>
      <c r="X12" s="124" t="s">
        <v>687</v>
      </c>
      <c r="Y12" s="124" t="s">
        <v>688</v>
      </c>
      <c r="Z12" s="124" t="s">
        <v>689</v>
      </c>
      <c r="AA12" s="124" t="s">
        <v>690</v>
      </c>
    </row>
    <row r="13" spans="1:27" ht="22" customHeight="1" x14ac:dyDescent="0.35">
      <c r="A13" s="82" t="s">
        <v>691</v>
      </c>
      <c r="B13" s="83">
        <f t="shared" ref="B13:S13" si="0">IFERROR(EDATE(B14,-3),"")</f>
        <v>45992</v>
      </c>
      <c r="C13" s="83">
        <f t="shared" si="0"/>
        <v>46023</v>
      </c>
      <c r="D13" s="83">
        <f t="shared" si="0"/>
        <v>46054</v>
      </c>
      <c r="E13" s="83">
        <f t="shared" si="0"/>
        <v>46082</v>
      </c>
      <c r="F13" s="83">
        <f t="shared" si="0"/>
        <v>46113</v>
      </c>
      <c r="G13" s="83">
        <f t="shared" si="0"/>
        <v>46143</v>
      </c>
      <c r="H13" s="83">
        <f t="shared" si="0"/>
        <v>46174</v>
      </c>
      <c r="I13" s="83">
        <f t="shared" si="0"/>
        <v>46204</v>
      </c>
      <c r="J13" s="83">
        <f t="shared" si="0"/>
        <v>46235</v>
      </c>
      <c r="K13" s="83">
        <f t="shared" si="0"/>
        <v>46266</v>
      </c>
      <c r="L13" s="83">
        <f t="shared" si="0"/>
        <v>46296</v>
      </c>
      <c r="M13" s="83">
        <f t="shared" si="0"/>
        <v>46327</v>
      </c>
      <c r="N13" s="83">
        <f t="shared" si="0"/>
        <v>46357</v>
      </c>
      <c r="O13" s="83">
        <f t="shared" si="0"/>
        <v>46388</v>
      </c>
      <c r="P13" s="83">
        <f t="shared" si="0"/>
        <v>46419</v>
      </c>
      <c r="Q13" s="83">
        <f t="shared" si="0"/>
        <v>46447</v>
      </c>
      <c r="R13" s="83">
        <f t="shared" si="0"/>
        <v>46478</v>
      </c>
      <c r="S13" s="83">
        <f t="shared" si="0"/>
        <v>46508</v>
      </c>
      <c r="T13" s="84"/>
      <c r="U13" s="84"/>
      <c r="V13" s="84"/>
      <c r="W13" s="84"/>
      <c r="X13" s="84"/>
      <c r="Y13" s="84"/>
      <c r="Z13" s="84"/>
      <c r="AA13" s="84"/>
    </row>
    <row r="14" spans="1:27" ht="22" customHeight="1" x14ac:dyDescent="0.35">
      <c r="A14" s="85" t="s">
        <v>692</v>
      </c>
      <c r="B14" s="86">
        <v>46082</v>
      </c>
      <c r="C14" s="86">
        <v>46113</v>
      </c>
      <c r="D14" s="86">
        <v>46143</v>
      </c>
      <c r="E14" s="86">
        <v>46174</v>
      </c>
      <c r="F14" s="86">
        <v>46204</v>
      </c>
      <c r="G14" s="86">
        <v>46235</v>
      </c>
      <c r="H14" s="86">
        <v>46266</v>
      </c>
      <c r="I14" s="86">
        <v>46296</v>
      </c>
      <c r="J14" s="86">
        <v>46327</v>
      </c>
      <c r="K14" s="87">
        <v>46357</v>
      </c>
      <c r="L14" s="87">
        <v>46388</v>
      </c>
      <c r="M14" s="87">
        <v>46419</v>
      </c>
      <c r="N14" s="87">
        <v>46447</v>
      </c>
      <c r="O14" s="87">
        <v>46478</v>
      </c>
      <c r="P14" s="87">
        <v>46508</v>
      </c>
      <c r="Q14" s="87">
        <v>46539</v>
      </c>
      <c r="R14" s="87">
        <v>46569</v>
      </c>
      <c r="S14" s="87">
        <v>46600</v>
      </c>
      <c r="T14" s="84"/>
      <c r="U14" s="84"/>
      <c r="V14" s="84"/>
      <c r="W14" s="84"/>
      <c r="X14" s="84"/>
      <c r="Y14" s="84"/>
      <c r="Z14" s="84"/>
      <c r="AA14" s="84"/>
    </row>
    <row r="15" spans="1:27" ht="22" customHeight="1" x14ac:dyDescent="0.35">
      <c r="A15" s="88" t="s">
        <v>693</v>
      </c>
      <c r="B15" s="125"/>
      <c r="C15" s="125"/>
      <c r="D15" s="125"/>
      <c r="E15" s="125"/>
      <c r="F15" s="125"/>
      <c r="G15" s="125"/>
      <c r="H15" s="125"/>
      <c r="I15" s="125"/>
      <c r="J15" s="125"/>
      <c r="K15" s="126"/>
      <c r="L15" s="126"/>
      <c r="M15" s="126"/>
      <c r="N15" s="126"/>
      <c r="O15" s="126"/>
      <c r="P15" s="126"/>
      <c r="Q15" s="126"/>
      <c r="R15" s="126"/>
      <c r="S15" s="126"/>
      <c r="T15" s="89"/>
      <c r="U15" s="89"/>
      <c r="V15" s="89"/>
      <c r="W15" s="89"/>
      <c r="X15" s="89"/>
      <c r="Y15" s="89"/>
      <c r="Z15" s="89"/>
      <c r="AA15" s="89"/>
    </row>
    <row r="16" spans="1:27" ht="22" customHeight="1" x14ac:dyDescent="0.35">
      <c r="A16" s="88" t="s">
        <v>694</v>
      </c>
      <c r="B16" s="125"/>
      <c r="C16" s="125"/>
      <c r="D16" s="125"/>
      <c r="E16" s="125"/>
      <c r="F16" s="125"/>
      <c r="G16" s="125"/>
      <c r="H16" s="125"/>
      <c r="I16" s="125"/>
      <c r="J16" s="125"/>
      <c r="K16" s="126"/>
      <c r="L16" s="126"/>
      <c r="M16" s="126"/>
      <c r="N16" s="126"/>
      <c r="O16" s="126"/>
      <c r="P16" s="126"/>
      <c r="Q16" s="126"/>
      <c r="R16" s="126"/>
      <c r="S16" s="126"/>
      <c r="T16" s="89"/>
      <c r="U16" s="89"/>
      <c r="V16" s="89"/>
      <c r="W16" s="89"/>
      <c r="X16" s="89"/>
      <c r="Y16" s="89"/>
      <c r="Z16" s="89"/>
      <c r="AA16" s="89"/>
    </row>
    <row r="17" spans="1:27" ht="22" customHeight="1" x14ac:dyDescent="0.35">
      <c r="A17" s="90" t="s">
        <v>695</v>
      </c>
      <c r="B17" s="127"/>
      <c r="C17" s="127"/>
      <c r="D17" s="127"/>
      <c r="E17" s="127"/>
      <c r="F17" s="127"/>
      <c r="G17" s="127"/>
      <c r="H17" s="127"/>
      <c r="I17" s="127"/>
      <c r="J17" s="127"/>
      <c r="K17" s="128"/>
      <c r="L17" s="128"/>
      <c r="M17" s="128"/>
      <c r="N17" s="128"/>
      <c r="O17" s="128"/>
      <c r="P17" s="128"/>
      <c r="Q17" s="128"/>
      <c r="R17" s="128"/>
      <c r="S17" s="128"/>
      <c r="T17" s="91"/>
      <c r="U17" s="91"/>
      <c r="V17" s="91"/>
      <c r="W17" s="91"/>
      <c r="X17" s="91"/>
      <c r="Y17" s="91"/>
      <c r="Z17" s="91"/>
      <c r="AA17" s="91"/>
    </row>
    <row r="18" spans="1:27" ht="22" customHeight="1" x14ac:dyDescent="0.35">
      <c r="A18" s="92" t="s">
        <v>696</v>
      </c>
      <c r="B18" s="127"/>
      <c r="C18" s="127"/>
      <c r="D18" s="127"/>
      <c r="E18" s="127"/>
      <c r="F18" s="127"/>
      <c r="G18" s="127"/>
      <c r="H18" s="127"/>
      <c r="I18" s="127"/>
      <c r="J18" s="127"/>
      <c r="K18" s="128"/>
      <c r="L18" s="128"/>
      <c r="M18" s="128"/>
      <c r="N18" s="128"/>
      <c r="O18" s="128"/>
      <c r="P18" s="128"/>
      <c r="Q18" s="128"/>
      <c r="R18" s="128"/>
      <c r="S18" s="128"/>
      <c r="T18" s="91"/>
      <c r="U18" s="91"/>
      <c r="V18" s="91"/>
      <c r="W18" s="91"/>
      <c r="X18" s="91"/>
      <c r="Y18" s="91"/>
      <c r="Z18" s="91"/>
      <c r="AA18" s="91"/>
    </row>
    <row r="19" spans="1:27" ht="22" customHeight="1" x14ac:dyDescent="0.35">
      <c r="A19" s="85" t="s">
        <v>697</v>
      </c>
      <c r="B19" s="129" t="s">
        <v>698</v>
      </c>
      <c r="C19" s="129" t="s">
        <v>698</v>
      </c>
      <c r="D19" s="129" t="s">
        <v>698</v>
      </c>
      <c r="E19" s="129" t="s">
        <v>698</v>
      </c>
      <c r="F19" s="129" t="s">
        <v>698</v>
      </c>
      <c r="G19" s="129" t="s">
        <v>698</v>
      </c>
      <c r="H19" s="129" t="s">
        <v>698</v>
      </c>
      <c r="I19" s="129" t="s">
        <v>698</v>
      </c>
      <c r="J19" s="129" t="s">
        <v>698</v>
      </c>
      <c r="K19" s="130" t="s">
        <v>699</v>
      </c>
      <c r="L19" s="130" t="s">
        <v>699</v>
      </c>
      <c r="M19" s="130" t="s">
        <v>699</v>
      </c>
      <c r="N19" s="130" t="s">
        <v>699</v>
      </c>
      <c r="O19" s="130" t="s">
        <v>699</v>
      </c>
      <c r="P19" s="130" t="s">
        <v>699</v>
      </c>
      <c r="Q19" s="130" t="s">
        <v>699</v>
      </c>
      <c r="R19" s="130" t="s">
        <v>699</v>
      </c>
      <c r="S19" s="130" t="s">
        <v>699</v>
      </c>
      <c r="T19" s="81" t="s">
        <v>699</v>
      </c>
      <c r="U19" s="81" t="s">
        <v>699</v>
      </c>
      <c r="V19" s="81" t="s">
        <v>699</v>
      </c>
      <c r="W19" s="81" t="s">
        <v>699</v>
      </c>
      <c r="X19" s="81" t="s">
        <v>699</v>
      </c>
      <c r="Y19" s="81" t="s">
        <v>699</v>
      </c>
      <c r="Z19" s="81" t="s">
        <v>699</v>
      </c>
      <c r="AA19" s="81" t="s">
        <v>699</v>
      </c>
    </row>
    <row r="20" spans="1:27" ht="18" customHeight="1" x14ac:dyDescent="0.35">
      <c r="A20" s="131" t="s">
        <v>700</v>
      </c>
      <c r="B20" s="132">
        <f t="shared" ref="B20:S20" si="1">B17</f>
        <v>0</v>
      </c>
      <c r="C20" s="132">
        <f t="shared" si="1"/>
        <v>0</v>
      </c>
      <c r="D20" s="132">
        <f t="shared" si="1"/>
        <v>0</v>
      </c>
      <c r="E20" s="132">
        <f t="shared" si="1"/>
        <v>0</v>
      </c>
      <c r="F20" s="132">
        <f t="shared" si="1"/>
        <v>0</v>
      </c>
      <c r="G20" s="132">
        <f t="shared" si="1"/>
        <v>0</v>
      </c>
      <c r="H20" s="132">
        <f t="shared" si="1"/>
        <v>0</v>
      </c>
      <c r="I20" s="132">
        <f t="shared" si="1"/>
        <v>0</v>
      </c>
      <c r="J20" s="132">
        <f t="shared" si="1"/>
        <v>0</v>
      </c>
      <c r="K20" s="132">
        <f t="shared" si="1"/>
        <v>0</v>
      </c>
      <c r="L20" s="132">
        <f t="shared" si="1"/>
        <v>0</v>
      </c>
      <c r="M20" s="132">
        <f t="shared" si="1"/>
        <v>0</v>
      </c>
      <c r="N20" s="132">
        <f t="shared" si="1"/>
        <v>0</v>
      </c>
      <c r="O20" s="132">
        <f t="shared" si="1"/>
        <v>0</v>
      </c>
      <c r="P20" s="132">
        <f t="shared" si="1"/>
        <v>0</v>
      </c>
      <c r="Q20" s="132">
        <f t="shared" si="1"/>
        <v>0</v>
      </c>
      <c r="R20" s="132">
        <f t="shared" si="1"/>
        <v>0</v>
      </c>
      <c r="S20" s="132">
        <f t="shared" si="1"/>
        <v>0</v>
      </c>
      <c r="T20" s="80"/>
      <c r="U20" s="80"/>
      <c r="V20" s="80"/>
      <c r="W20" s="80"/>
      <c r="X20" s="80"/>
      <c r="Y20" s="80"/>
      <c r="Z20" s="80"/>
      <c r="AA20" s="80"/>
    </row>
    <row r="23" spans="1:27" ht="18" customHeight="1" x14ac:dyDescent="0.35">
      <c r="A23" s="446" t="s">
        <v>701</v>
      </c>
      <c r="B23" s="395"/>
      <c r="C23" s="395"/>
      <c r="D23" s="395"/>
      <c r="E23" s="395"/>
      <c r="F23" s="395"/>
      <c r="H23" s="446" t="s">
        <v>727</v>
      </c>
      <c r="I23" s="395"/>
      <c r="J23" s="395"/>
      <c r="K23" s="395"/>
      <c r="L23" s="395"/>
      <c r="M23" s="395"/>
    </row>
    <row r="24" spans="1:27" ht="16" customHeight="1" x14ac:dyDescent="0.35">
      <c r="A24" s="121" t="s">
        <v>703</v>
      </c>
      <c r="B24" s="455"/>
      <c r="C24" s="456"/>
      <c r="D24" s="456"/>
      <c r="E24" s="456"/>
      <c r="F24" s="456"/>
      <c r="H24" s="121" t="s">
        <v>703</v>
      </c>
      <c r="I24" s="455"/>
      <c r="J24" s="456"/>
      <c r="K24" s="456"/>
      <c r="L24" s="456"/>
      <c r="M24" s="456"/>
    </row>
    <row r="25" spans="1:27" ht="16" customHeight="1" x14ac:dyDescent="0.35">
      <c r="A25" s="121" t="s">
        <v>704</v>
      </c>
      <c r="B25" s="455"/>
      <c r="C25" s="456"/>
      <c r="D25" s="456"/>
      <c r="E25" s="456"/>
      <c r="F25" s="456"/>
      <c r="H25" s="121" t="s">
        <v>704</v>
      </c>
      <c r="I25" s="455"/>
      <c r="J25" s="456"/>
      <c r="K25" s="456"/>
      <c r="L25" s="456"/>
      <c r="M25" s="456"/>
    </row>
    <row r="26" spans="1:27" ht="16" customHeight="1" x14ac:dyDescent="0.35">
      <c r="A26" s="121" t="s">
        <v>705</v>
      </c>
      <c r="B26" s="455"/>
      <c r="C26" s="456"/>
      <c r="D26" s="456"/>
      <c r="E26" s="456"/>
      <c r="F26" s="456"/>
      <c r="H26" s="121" t="s">
        <v>705</v>
      </c>
      <c r="I26" s="455"/>
      <c r="J26" s="456"/>
      <c r="K26" s="456"/>
      <c r="L26" s="456"/>
      <c r="M26" s="456"/>
    </row>
    <row r="27" spans="1:27" ht="16" customHeight="1" x14ac:dyDescent="0.35">
      <c r="A27" s="121" t="s">
        <v>706</v>
      </c>
      <c r="B27" s="455"/>
      <c r="C27" s="456"/>
      <c r="D27" s="456"/>
      <c r="E27" s="456"/>
      <c r="F27" s="456"/>
      <c r="H27" s="121" t="s">
        <v>706</v>
      </c>
      <c r="I27" s="455"/>
      <c r="J27" s="456"/>
      <c r="K27" s="456"/>
      <c r="L27" s="456"/>
      <c r="M27" s="456"/>
    </row>
    <row r="28" spans="1:27" ht="16" customHeight="1" x14ac:dyDescent="0.35">
      <c r="A28" s="121" t="s">
        <v>707</v>
      </c>
      <c r="B28" s="455"/>
      <c r="C28" s="456"/>
      <c r="D28" s="456"/>
      <c r="E28" s="456"/>
      <c r="F28" s="456"/>
      <c r="H28" s="121" t="s">
        <v>707</v>
      </c>
      <c r="I28" s="455"/>
      <c r="J28" s="456"/>
      <c r="K28" s="456"/>
      <c r="L28" s="456"/>
      <c r="M28" s="456"/>
    </row>
    <row r="30" spans="1:27" ht="16" customHeight="1" x14ac:dyDescent="0.35">
      <c r="A30" s="394" t="s">
        <v>708</v>
      </c>
      <c r="B30" s="395"/>
      <c r="C30" s="395"/>
      <c r="D30" s="395"/>
      <c r="E30" s="395"/>
      <c r="F30" s="395"/>
      <c r="G30" s="395"/>
      <c r="H30" s="395"/>
      <c r="I30" s="395"/>
      <c r="J30" s="395"/>
      <c r="K30" s="395"/>
      <c r="L30" s="395"/>
      <c r="M30" s="395"/>
      <c r="N30" s="395"/>
      <c r="O30" s="395"/>
      <c r="P30" s="395"/>
    </row>
  </sheetData>
  <mergeCells count="21">
    <mergeCell ref="A1:Z1"/>
    <mergeCell ref="I25:M25"/>
    <mergeCell ref="A23:F23"/>
    <mergeCell ref="B9:G9"/>
    <mergeCell ref="I28:M28"/>
    <mergeCell ref="B4:G4"/>
    <mergeCell ref="A2:Z2"/>
    <mergeCell ref="B25:F25"/>
    <mergeCell ref="B8:G8"/>
    <mergeCell ref="I27:M27"/>
    <mergeCell ref="B27:F27"/>
    <mergeCell ref="I26:M26"/>
    <mergeCell ref="A30:P30"/>
    <mergeCell ref="B6:G6"/>
    <mergeCell ref="B5:G5"/>
    <mergeCell ref="B28:F28"/>
    <mergeCell ref="I24:M24"/>
    <mergeCell ref="H23:M23"/>
    <mergeCell ref="B7:G7"/>
    <mergeCell ref="B24:F24"/>
    <mergeCell ref="B26:F26"/>
  </mergeCells>
  <pageMargins left="0.75" right="0.75" top="1" bottom="1" header="0.5" footer="0.5"/>
  <pageSetup orientation="landscape"/>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7">
    <pageSetUpPr fitToPage="1"/>
  </sheetPr>
  <dimension ref="A1:AA30"/>
  <sheetViews>
    <sheetView showGridLines="0" zoomScale="70" zoomScaleNormal="70" workbookViewId="0">
      <selection sqref="A1:Z1"/>
    </sheetView>
  </sheetViews>
  <sheetFormatPr defaultRowHeight="14.5" x14ac:dyDescent="0.35"/>
  <cols>
    <col min="1" max="1" width="26" customWidth="1"/>
    <col min="2" max="19" width="10" customWidth="1"/>
    <col min="20" max="27" width="11" customWidth="1"/>
  </cols>
  <sheetData>
    <row r="1" spans="1:27" ht="28" customHeight="1" x14ac:dyDescent="0.35">
      <c r="A1" s="405" t="s">
        <v>670</v>
      </c>
      <c r="B1" s="395"/>
      <c r="C1" s="395"/>
      <c r="D1" s="395"/>
      <c r="E1" s="395"/>
      <c r="F1" s="395"/>
      <c r="G1" s="395"/>
      <c r="H1" s="395"/>
      <c r="I1" s="395"/>
      <c r="J1" s="395"/>
      <c r="K1" s="395"/>
      <c r="L1" s="395"/>
      <c r="M1" s="395"/>
      <c r="N1" s="395"/>
      <c r="O1" s="395"/>
      <c r="P1" s="395"/>
      <c r="Q1" s="395"/>
      <c r="R1" s="395"/>
      <c r="S1" s="395"/>
      <c r="T1" s="395"/>
      <c r="U1" s="395"/>
      <c r="V1" s="395"/>
      <c r="W1" s="395"/>
      <c r="X1" s="395"/>
      <c r="Y1" s="395"/>
      <c r="Z1" s="395"/>
    </row>
    <row r="2" spans="1:27" ht="16" customHeight="1" x14ac:dyDescent="0.35">
      <c r="A2" s="457" t="s">
        <v>728</v>
      </c>
      <c r="B2" s="395"/>
      <c r="C2" s="395"/>
      <c r="D2" s="395"/>
      <c r="E2" s="395"/>
      <c r="F2" s="395"/>
      <c r="G2" s="395"/>
      <c r="H2" s="395"/>
      <c r="I2" s="395"/>
      <c r="J2" s="395"/>
      <c r="K2" s="395"/>
      <c r="L2" s="395"/>
      <c r="M2" s="395"/>
      <c r="N2" s="395"/>
      <c r="O2" s="395"/>
      <c r="P2" s="395"/>
      <c r="Q2" s="395"/>
      <c r="R2" s="395"/>
      <c r="S2" s="395"/>
      <c r="T2" s="395"/>
      <c r="U2" s="395"/>
      <c r="V2" s="395"/>
      <c r="W2" s="395"/>
      <c r="X2" s="395"/>
      <c r="Y2" s="395"/>
      <c r="Z2" s="395"/>
    </row>
    <row r="4" spans="1:27" ht="15" customHeight="1" x14ac:dyDescent="0.35">
      <c r="A4" s="121" t="s">
        <v>672</v>
      </c>
      <c r="B4" s="455" t="s">
        <v>673</v>
      </c>
      <c r="C4" s="456"/>
      <c r="D4" s="456"/>
      <c r="E4" s="456"/>
      <c r="F4" s="456"/>
      <c r="G4" s="456"/>
    </row>
    <row r="5" spans="1:27" ht="15" customHeight="1" x14ac:dyDescent="0.35">
      <c r="A5" s="121" t="s">
        <v>674</v>
      </c>
      <c r="B5" s="455"/>
      <c r="C5" s="456"/>
      <c r="D5" s="456"/>
      <c r="E5" s="456"/>
      <c r="F5" s="456"/>
      <c r="G5" s="456"/>
    </row>
    <row r="6" spans="1:27" ht="15" customHeight="1" x14ac:dyDescent="0.35">
      <c r="A6" s="121" t="s">
        <v>675</v>
      </c>
      <c r="B6" s="455" t="s">
        <v>729</v>
      </c>
      <c r="C6" s="456"/>
      <c r="D6" s="456"/>
      <c r="E6" s="456"/>
      <c r="F6" s="456"/>
      <c r="G6" s="456"/>
    </row>
    <row r="7" spans="1:27" ht="15" customHeight="1" x14ac:dyDescent="0.35">
      <c r="A7" s="121" t="s">
        <v>677</v>
      </c>
      <c r="B7" s="455" t="s">
        <v>713</v>
      </c>
      <c r="C7" s="456"/>
      <c r="D7" s="456"/>
      <c r="E7" s="456"/>
      <c r="F7" s="456"/>
      <c r="G7" s="456"/>
    </row>
    <row r="8" spans="1:27" ht="15" customHeight="1" x14ac:dyDescent="0.35">
      <c r="A8" s="121" t="s">
        <v>679</v>
      </c>
      <c r="B8" s="455" t="s">
        <v>716</v>
      </c>
      <c r="C8" s="456"/>
      <c r="D8" s="456"/>
      <c r="E8" s="456"/>
      <c r="F8" s="456"/>
      <c r="G8" s="456"/>
    </row>
    <row r="9" spans="1:27" ht="15" customHeight="1" x14ac:dyDescent="0.35">
      <c r="A9" s="121" t="s">
        <v>681</v>
      </c>
      <c r="B9" s="455" t="s">
        <v>682</v>
      </c>
      <c r="C9" s="456"/>
      <c r="D9" s="456"/>
      <c r="E9" s="456"/>
      <c r="F9" s="456"/>
      <c r="G9" s="456"/>
    </row>
    <row r="12" spans="1:27" ht="30" customHeight="1" x14ac:dyDescent="0.35">
      <c r="A12" s="80"/>
      <c r="B12" s="122" t="s">
        <v>182</v>
      </c>
      <c r="C12" s="122" t="s">
        <v>183</v>
      </c>
      <c r="D12" s="122" t="s">
        <v>184</v>
      </c>
      <c r="E12" s="122" t="s">
        <v>185</v>
      </c>
      <c r="F12" s="122" t="s">
        <v>186</v>
      </c>
      <c r="G12" s="122" t="s">
        <v>187</v>
      </c>
      <c r="H12" s="123" t="s">
        <v>188</v>
      </c>
      <c r="I12" s="123" t="s">
        <v>189</v>
      </c>
      <c r="J12" s="123" t="s">
        <v>190</v>
      </c>
      <c r="K12" s="123" t="s">
        <v>191</v>
      </c>
      <c r="L12" s="123" t="s">
        <v>192</v>
      </c>
      <c r="M12" s="123" t="s">
        <v>193</v>
      </c>
      <c r="N12" s="123" t="s">
        <v>194</v>
      </c>
      <c r="O12" s="123" t="s">
        <v>195</v>
      </c>
      <c r="P12" s="123" t="s">
        <v>196</v>
      </c>
      <c r="Q12" s="123" t="s">
        <v>197</v>
      </c>
      <c r="R12" s="123" t="s">
        <v>198</v>
      </c>
      <c r="S12" s="123" t="s">
        <v>199</v>
      </c>
      <c r="T12" s="124" t="s">
        <v>683</v>
      </c>
      <c r="U12" s="124" t="s">
        <v>684</v>
      </c>
      <c r="V12" s="124" t="s">
        <v>685</v>
      </c>
      <c r="W12" s="124" t="s">
        <v>686</v>
      </c>
      <c r="X12" s="124" t="s">
        <v>687</v>
      </c>
      <c r="Y12" s="124" t="s">
        <v>688</v>
      </c>
      <c r="Z12" s="124" t="s">
        <v>689</v>
      </c>
      <c r="AA12" s="124" t="s">
        <v>690</v>
      </c>
    </row>
    <row r="13" spans="1:27" ht="22" customHeight="1" x14ac:dyDescent="0.35">
      <c r="A13" s="82" t="s">
        <v>691</v>
      </c>
      <c r="B13" s="83">
        <f t="shared" ref="B13:S13" si="0">IFERROR(EDATE(B14,-3),"")</f>
        <v>45992</v>
      </c>
      <c r="C13" s="83">
        <f t="shared" si="0"/>
        <v>46023</v>
      </c>
      <c r="D13" s="83">
        <f t="shared" si="0"/>
        <v>46054</v>
      </c>
      <c r="E13" s="83">
        <f t="shared" si="0"/>
        <v>46082</v>
      </c>
      <c r="F13" s="83">
        <f t="shared" si="0"/>
        <v>46113</v>
      </c>
      <c r="G13" s="83">
        <f t="shared" si="0"/>
        <v>46143</v>
      </c>
      <c r="H13" s="83">
        <f t="shared" si="0"/>
        <v>46174</v>
      </c>
      <c r="I13" s="83">
        <f t="shared" si="0"/>
        <v>46204</v>
      </c>
      <c r="J13" s="83">
        <f t="shared" si="0"/>
        <v>46235</v>
      </c>
      <c r="K13" s="83">
        <f t="shared" si="0"/>
        <v>46266</v>
      </c>
      <c r="L13" s="83">
        <f t="shared" si="0"/>
        <v>46296</v>
      </c>
      <c r="M13" s="83">
        <f t="shared" si="0"/>
        <v>46327</v>
      </c>
      <c r="N13" s="83">
        <f t="shared" si="0"/>
        <v>46357</v>
      </c>
      <c r="O13" s="83">
        <f t="shared" si="0"/>
        <v>46388</v>
      </c>
      <c r="P13" s="83">
        <f t="shared" si="0"/>
        <v>46419</v>
      </c>
      <c r="Q13" s="83">
        <f t="shared" si="0"/>
        <v>46447</v>
      </c>
      <c r="R13" s="83">
        <f t="shared" si="0"/>
        <v>46478</v>
      </c>
      <c r="S13" s="83">
        <f t="shared" si="0"/>
        <v>46508</v>
      </c>
      <c r="T13" s="84"/>
      <c r="U13" s="84"/>
      <c r="V13" s="84"/>
      <c r="W13" s="84"/>
      <c r="X13" s="84"/>
      <c r="Y13" s="84"/>
      <c r="Z13" s="84"/>
      <c r="AA13" s="84"/>
    </row>
    <row r="14" spans="1:27" ht="22" customHeight="1" x14ac:dyDescent="0.35">
      <c r="A14" s="85" t="s">
        <v>692</v>
      </c>
      <c r="B14" s="86">
        <v>46082</v>
      </c>
      <c r="C14" s="86">
        <v>46113</v>
      </c>
      <c r="D14" s="86">
        <v>46143</v>
      </c>
      <c r="E14" s="86">
        <v>46174</v>
      </c>
      <c r="F14" s="86">
        <v>46204</v>
      </c>
      <c r="G14" s="86">
        <v>46235</v>
      </c>
      <c r="H14" s="87">
        <v>46266</v>
      </c>
      <c r="I14" s="87">
        <v>46296</v>
      </c>
      <c r="J14" s="87">
        <v>46327</v>
      </c>
      <c r="K14" s="87">
        <v>46357</v>
      </c>
      <c r="L14" s="87">
        <v>46388</v>
      </c>
      <c r="M14" s="87">
        <v>46419</v>
      </c>
      <c r="N14" s="87">
        <v>46447</v>
      </c>
      <c r="O14" s="87">
        <v>46478</v>
      </c>
      <c r="P14" s="87">
        <v>46508</v>
      </c>
      <c r="Q14" s="87">
        <v>46539</v>
      </c>
      <c r="R14" s="87">
        <v>46569</v>
      </c>
      <c r="S14" s="87">
        <v>46600</v>
      </c>
      <c r="T14" s="84"/>
      <c r="U14" s="84"/>
      <c r="V14" s="84"/>
      <c r="W14" s="84"/>
      <c r="X14" s="84"/>
      <c r="Y14" s="84"/>
      <c r="Z14" s="84"/>
      <c r="AA14" s="84"/>
    </row>
    <row r="15" spans="1:27" ht="22" customHeight="1" x14ac:dyDescent="0.35">
      <c r="A15" s="88" t="s">
        <v>693</v>
      </c>
      <c r="B15" s="125"/>
      <c r="C15" s="125"/>
      <c r="D15" s="125"/>
      <c r="E15" s="125"/>
      <c r="F15" s="125"/>
      <c r="G15" s="125"/>
      <c r="H15" s="126"/>
      <c r="I15" s="126"/>
      <c r="J15" s="126"/>
      <c r="K15" s="126"/>
      <c r="L15" s="126"/>
      <c r="M15" s="126"/>
      <c r="N15" s="126"/>
      <c r="O15" s="126"/>
      <c r="P15" s="126"/>
      <c r="Q15" s="126"/>
      <c r="R15" s="126"/>
      <c r="S15" s="126"/>
      <c r="T15" s="89"/>
      <c r="U15" s="89"/>
      <c r="V15" s="89"/>
      <c r="W15" s="89"/>
      <c r="X15" s="89"/>
      <c r="Y15" s="89"/>
      <c r="Z15" s="89"/>
      <c r="AA15" s="89"/>
    </row>
    <row r="16" spans="1:27" ht="22" customHeight="1" x14ac:dyDescent="0.35">
      <c r="A16" s="88" t="s">
        <v>694</v>
      </c>
      <c r="B16" s="125"/>
      <c r="C16" s="125"/>
      <c r="D16" s="125"/>
      <c r="E16" s="125"/>
      <c r="F16" s="125"/>
      <c r="G16" s="125"/>
      <c r="H16" s="126"/>
      <c r="I16" s="126"/>
      <c r="J16" s="126"/>
      <c r="K16" s="126"/>
      <c r="L16" s="126"/>
      <c r="M16" s="126"/>
      <c r="N16" s="126"/>
      <c r="O16" s="126"/>
      <c r="P16" s="126"/>
      <c r="Q16" s="126"/>
      <c r="R16" s="126"/>
      <c r="S16" s="126"/>
      <c r="T16" s="89"/>
      <c r="U16" s="89"/>
      <c r="V16" s="89"/>
      <c r="W16" s="89"/>
      <c r="X16" s="89"/>
      <c r="Y16" s="89"/>
      <c r="Z16" s="89"/>
      <c r="AA16" s="89"/>
    </row>
    <row r="17" spans="1:27" ht="22" customHeight="1" x14ac:dyDescent="0.35">
      <c r="A17" s="90" t="s">
        <v>695</v>
      </c>
      <c r="B17" s="127"/>
      <c r="C17" s="127"/>
      <c r="D17" s="127"/>
      <c r="E17" s="127"/>
      <c r="F17" s="127"/>
      <c r="G17" s="127"/>
      <c r="H17" s="128"/>
      <c r="I17" s="128"/>
      <c r="J17" s="128"/>
      <c r="K17" s="128"/>
      <c r="L17" s="128"/>
      <c r="M17" s="128"/>
      <c r="N17" s="128"/>
      <c r="O17" s="128"/>
      <c r="P17" s="128"/>
      <c r="Q17" s="128"/>
      <c r="R17" s="128"/>
      <c r="S17" s="128"/>
      <c r="T17" s="91"/>
      <c r="U17" s="91"/>
      <c r="V17" s="91"/>
      <c r="W17" s="91"/>
      <c r="X17" s="91"/>
      <c r="Y17" s="91"/>
      <c r="Z17" s="91"/>
      <c r="AA17" s="91"/>
    </row>
    <row r="18" spans="1:27" ht="22" customHeight="1" x14ac:dyDescent="0.35">
      <c r="A18" s="92" t="s">
        <v>696</v>
      </c>
      <c r="B18" s="127"/>
      <c r="C18" s="127"/>
      <c r="D18" s="127"/>
      <c r="E18" s="127"/>
      <c r="F18" s="127"/>
      <c r="G18" s="127"/>
      <c r="H18" s="128"/>
      <c r="I18" s="128"/>
      <c r="J18" s="128"/>
      <c r="K18" s="128"/>
      <c r="L18" s="128"/>
      <c r="M18" s="128"/>
      <c r="N18" s="128"/>
      <c r="O18" s="128"/>
      <c r="P18" s="128"/>
      <c r="Q18" s="128"/>
      <c r="R18" s="128"/>
      <c r="S18" s="128"/>
      <c r="T18" s="91"/>
      <c r="U18" s="91"/>
      <c r="V18" s="91"/>
      <c r="W18" s="91"/>
      <c r="X18" s="91"/>
      <c r="Y18" s="91"/>
      <c r="Z18" s="91"/>
      <c r="AA18" s="91"/>
    </row>
    <row r="19" spans="1:27" ht="22" customHeight="1" x14ac:dyDescent="0.35">
      <c r="A19" s="85" t="s">
        <v>697</v>
      </c>
      <c r="B19" s="129" t="s">
        <v>698</v>
      </c>
      <c r="C19" s="129" t="s">
        <v>698</v>
      </c>
      <c r="D19" s="129" t="s">
        <v>698</v>
      </c>
      <c r="E19" s="129" t="s">
        <v>698</v>
      </c>
      <c r="F19" s="129" t="s">
        <v>698</v>
      </c>
      <c r="G19" s="129" t="s">
        <v>698</v>
      </c>
      <c r="H19" s="130" t="s">
        <v>699</v>
      </c>
      <c r="I19" s="130" t="s">
        <v>699</v>
      </c>
      <c r="J19" s="130" t="s">
        <v>699</v>
      </c>
      <c r="K19" s="130" t="s">
        <v>699</v>
      </c>
      <c r="L19" s="130" t="s">
        <v>699</v>
      </c>
      <c r="M19" s="130" t="s">
        <v>699</v>
      </c>
      <c r="N19" s="130" t="s">
        <v>699</v>
      </c>
      <c r="O19" s="130" t="s">
        <v>699</v>
      </c>
      <c r="P19" s="130" t="s">
        <v>699</v>
      </c>
      <c r="Q19" s="130" t="s">
        <v>699</v>
      </c>
      <c r="R19" s="130" t="s">
        <v>699</v>
      </c>
      <c r="S19" s="130" t="s">
        <v>699</v>
      </c>
      <c r="T19" s="81" t="s">
        <v>699</v>
      </c>
      <c r="U19" s="81" t="s">
        <v>699</v>
      </c>
      <c r="V19" s="81" t="s">
        <v>699</v>
      </c>
      <c r="W19" s="81" t="s">
        <v>699</v>
      </c>
      <c r="X19" s="81" t="s">
        <v>699</v>
      </c>
      <c r="Y19" s="81" t="s">
        <v>699</v>
      </c>
      <c r="Z19" s="81" t="s">
        <v>699</v>
      </c>
      <c r="AA19" s="81" t="s">
        <v>699</v>
      </c>
    </row>
    <row r="20" spans="1:27" ht="18" customHeight="1" x14ac:dyDescent="0.35">
      <c r="A20" s="131" t="s">
        <v>700</v>
      </c>
      <c r="B20" s="132">
        <f t="shared" ref="B20:S20" si="1">B17</f>
        <v>0</v>
      </c>
      <c r="C20" s="132">
        <f t="shared" si="1"/>
        <v>0</v>
      </c>
      <c r="D20" s="132">
        <f t="shared" si="1"/>
        <v>0</v>
      </c>
      <c r="E20" s="132">
        <f t="shared" si="1"/>
        <v>0</v>
      </c>
      <c r="F20" s="132">
        <f t="shared" si="1"/>
        <v>0</v>
      </c>
      <c r="G20" s="132">
        <f t="shared" si="1"/>
        <v>0</v>
      </c>
      <c r="H20" s="132">
        <f t="shared" si="1"/>
        <v>0</v>
      </c>
      <c r="I20" s="132">
        <f t="shared" si="1"/>
        <v>0</v>
      </c>
      <c r="J20" s="132">
        <f t="shared" si="1"/>
        <v>0</v>
      </c>
      <c r="K20" s="132">
        <f t="shared" si="1"/>
        <v>0</v>
      </c>
      <c r="L20" s="132">
        <f t="shared" si="1"/>
        <v>0</v>
      </c>
      <c r="M20" s="132">
        <f t="shared" si="1"/>
        <v>0</v>
      </c>
      <c r="N20" s="132">
        <f t="shared" si="1"/>
        <v>0</v>
      </c>
      <c r="O20" s="132">
        <f t="shared" si="1"/>
        <v>0</v>
      </c>
      <c r="P20" s="132">
        <f t="shared" si="1"/>
        <v>0</v>
      </c>
      <c r="Q20" s="132">
        <f t="shared" si="1"/>
        <v>0</v>
      </c>
      <c r="R20" s="132">
        <f t="shared" si="1"/>
        <v>0</v>
      </c>
      <c r="S20" s="132">
        <f t="shared" si="1"/>
        <v>0</v>
      </c>
      <c r="T20" s="80"/>
      <c r="U20" s="80"/>
      <c r="V20" s="80"/>
      <c r="W20" s="80"/>
      <c r="X20" s="80"/>
      <c r="Y20" s="80"/>
      <c r="Z20" s="80"/>
      <c r="AA20" s="80"/>
    </row>
    <row r="23" spans="1:27" ht="18" customHeight="1" x14ac:dyDescent="0.35">
      <c r="A23" s="446" t="s">
        <v>701</v>
      </c>
      <c r="B23" s="395"/>
      <c r="C23" s="395"/>
      <c r="D23" s="395"/>
      <c r="E23" s="395"/>
      <c r="F23" s="395"/>
      <c r="H23" s="446" t="s">
        <v>730</v>
      </c>
      <c r="I23" s="395"/>
      <c r="J23" s="395"/>
      <c r="K23" s="395"/>
      <c r="L23" s="395"/>
      <c r="M23" s="395"/>
    </row>
    <row r="24" spans="1:27" ht="16" customHeight="1" x14ac:dyDescent="0.35">
      <c r="A24" s="121" t="s">
        <v>703</v>
      </c>
      <c r="B24" s="455"/>
      <c r="C24" s="456"/>
      <c r="D24" s="456"/>
      <c r="E24" s="456"/>
      <c r="F24" s="456"/>
      <c r="H24" s="121" t="s">
        <v>703</v>
      </c>
      <c r="I24" s="455"/>
      <c r="J24" s="456"/>
      <c r="K24" s="456"/>
      <c r="L24" s="456"/>
      <c r="M24" s="456"/>
    </row>
    <row r="25" spans="1:27" ht="16" customHeight="1" x14ac:dyDescent="0.35">
      <c r="A25" s="121" t="s">
        <v>704</v>
      </c>
      <c r="B25" s="455"/>
      <c r="C25" s="456"/>
      <c r="D25" s="456"/>
      <c r="E25" s="456"/>
      <c r="F25" s="456"/>
      <c r="H25" s="121" t="s">
        <v>704</v>
      </c>
      <c r="I25" s="455"/>
      <c r="J25" s="456"/>
      <c r="K25" s="456"/>
      <c r="L25" s="456"/>
      <c r="M25" s="456"/>
    </row>
    <row r="26" spans="1:27" ht="16" customHeight="1" x14ac:dyDescent="0.35">
      <c r="A26" s="121" t="s">
        <v>705</v>
      </c>
      <c r="B26" s="455"/>
      <c r="C26" s="456"/>
      <c r="D26" s="456"/>
      <c r="E26" s="456"/>
      <c r="F26" s="456"/>
      <c r="H26" s="121" t="s">
        <v>705</v>
      </c>
      <c r="I26" s="455"/>
      <c r="J26" s="456"/>
      <c r="K26" s="456"/>
      <c r="L26" s="456"/>
      <c r="M26" s="456"/>
    </row>
    <row r="27" spans="1:27" ht="16" customHeight="1" x14ac:dyDescent="0.35">
      <c r="A27" s="121" t="s">
        <v>706</v>
      </c>
      <c r="B27" s="455"/>
      <c r="C27" s="456"/>
      <c r="D27" s="456"/>
      <c r="E27" s="456"/>
      <c r="F27" s="456"/>
      <c r="H27" s="121" t="s">
        <v>706</v>
      </c>
      <c r="I27" s="455"/>
      <c r="J27" s="456"/>
      <c r="K27" s="456"/>
      <c r="L27" s="456"/>
      <c r="M27" s="456"/>
    </row>
    <row r="28" spans="1:27" ht="16" customHeight="1" x14ac:dyDescent="0.35">
      <c r="A28" s="121" t="s">
        <v>707</v>
      </c>
      <c r="B28" s="455"/>
      <c r="C28" s="456"/>
      <c r="D28" s="456"/>
      <c r="E28" s="456"/>
      <c r="F28" s="456"/>
      <c r="H28" s="121" t="s">
        <v>707</v>
      </c>
      <c r="I28" s="455"/>
      <c r="J28" s="456"/>
      <c r="K28" s="456"/>
      <c r="L28" s="456"/>
      <c r="M28" s="456"/>
    </row>
    <row r="30" spans="1:27" ht="16" customHeight="1" x14ac:dyDescent="0.35">
      <c r="A30" s="394" t="s">
        <v>708</v>
      </c>
      <c r="B30" s="395"/>
      <c r="C30" s="395"/>
      <c r="D30" s="395"/>
      <c r="E30" s="395"/>
      <c r="F30" s="395"/>
      <c r="G30" s="395"/>
      <c r="H30" s="395"/>
      <c r="I30" s="395"/>
      <c r="J30" s="395"/>
      <c r="K30" s="395"/>
      <c r="L30" s="395"/>
      <c r="M30" s="395"/>
      <c r="N30" s="395"/>
      <c r="O30" s="395"/>
      <c r="P30" s="395"/>
    </row>
  </sheetData>
  <mergeCells count="21">
    <mergeCell ref="A1:Z1"/>
    <mergeCell ref="I25:M25"/>
    <mergeCell ref="A23:F23"/>
    <mergeCell ref="B9:G9"/>
    <mergeCell ref="I28:M28"/>
    <mergeCell ref="B4:G4"/>
    <mergeCell ref="A2:Z2"/>
    <mergeCell ref="B25:F25"/>
    <mergeCell ref="B8:G8"/>
    <mergeCell ref="I27:M27"/>
    <mergeCell ref="B27:F27"/>
    <mergeCell ref="I26:M26"/>
    <mergeCell ref="A30:P30"/>
    <mergeCell ref="B6:G6"/>
    <mergeCell ref="B5:G5"/>
    <mergeCell ref="B28:F28"/>
    <mergeCell ref="I24:M24"/>
    <mergeCell ref="H23:M23"/>
    <mergeCell ref="B7:G7"/>
    <mergeCell ref="B24:F24"/>
    <mergeCell ref="B26:F26"/>
  </mergeCells>
  <pageMargins left="0.75" right="0.75" top="1" bottom="1" header="0.5" footer="0.5"/>
  <pageSetup orientation="landscape"/>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8">
    <pageSetUpPr fitToPage="1"/>
  </sheetPr>
  <dimension ref="A1:AA30"/>
  <sheetViews>
    <sheetView showGridLines="0" workbookViewId="0">
      <selection activeCell="B6" sqref="B6:G6"/>
    </sheetView>
  </sheetViews>
  <sheetFormatPr defaultRowHeight="14.5" x14ac:dyDescent="0.35"/>
  <cols>
    <col min="1" max="1" width="26" customWidth="1"/>
    <col min="2" max="19" width="10" customWidth="1"/>
    <col min="20" max="27" width="11" customWidth="1"/>
  </cols>
  <sheetData>
    <row r="1" spans="1:27" ht="28" customHeight="1" x14ac:dyDescent="0.35">
      <c r="A1" s="405" t="s">
        <v>670</v>
      </c>
      <c r="B1" s="395"/>
      <c r="C1" s="395"/>
      <c r="D1" s="395"/>
      <c r="E1" s="395"/>
      <c r="F1" s="395"/>
      <c r="G1" s="395"/>
      <c r="H1" s="395"/>
      <c r="I1" s="395"/>
      <c r="J1" s="395"/>
      <c r="K1" s="395"/>
      <c r="L1" s="395"/>
      <c r="M1" s="395"/>
      <c r="N1" s="395"/>
      <c r="O1" s="395"/>
      <c r="P1" s="395"/>
      <c r="Q1" s="395"/>
      <c r="R1" s="395"/>
      <c r="S1" s="395"/>
      <c r="T1" s="395"/>
      <c r="U1" s="395"/>
      <c r="V1" s="395"/>
      <c r="W1" s="395"/>
      <c r="X1" s="395"/>
      <c r="Y1" s="395"/>
      <c r="Z1" s="395"/>
    </row>
    <row r="2" spans="1:27" ht="16" customHeight="1" x14ac:dyDescent="0.35">
      <c r="A2" s="457" t="s">
        <v>731</v>
      </c>
      <c r="B2" s="395"/>
      <c r="C2" s="395"/>
      <c r="D2" s="395"/>
      <c r="E2" s="395"/>
      <c r="F2" s="395"/>
      <c r="G2" s="395"/>
      <c r="H2" s="395"/>
      <c r="I2" s="395"/>
      <c r="J2" s="395"/>
      <c r="K2" s="395"/>
      <c r="L2" s="395"/>
      <c r="M2" s="395"/>
      <c r="N2" s="395"/>
      <c r="O2" s="395"/>
      <c r="P2" s="395"/>
      <c r="Q2" s="395"/>
      <c r="R2" s="395"/>
      <c r="S2" s="395"/>
      <c r="T2" s="395"/>
      <c r="U2" s="395"/>
      <c r="V2" s="395"/>
      <c r="W2" s="395"/>
      <c r="X2" s="395"/>
      <c r="Y2" s="395"/>
      <c r="Z2" s="395"/>
    </row>
    <row r="4" spans="1:27" ht="15" customHeight="1" x14ac:dyDescent="0.35">
      <c r="A4" s="121" t="s">
        <v>672</v>
      </c>
      <c r="B4" s="455" t="s">
        <v>673</v>
      </c>
      <c r="C4" s="456"/>
      <c r="D4" s="456"/>
      <c r="E4" s="456"/>
      <c r="F4" s="456"/>
      <c r="G4" s="456"/>
    </row>
    <row r="5" spans="1:27" ht="15" customHeight="1" x14ac:dyDescent="0.35">
      <c r="A5" s="121" t="s">
        <v>674</v>
      </c>
      <c r="B5" s="455"/>
      <c r="C5" s="456"/>
      <c r="D5" s="456"/>
      <c r="E5" s="456"/>
      <c r="F5" s="456"/>
      <c r="G5" s="456"/>
    </row>
    <row r="6" spans="1:27" ht="15" customHeight="1" x14ac:dyDescent="0.35">
      <c r="A6" s="121" t="s">
        <v>675</v>
      </c>
      <c r="B6" s="455" t="s">
        <v>726</v>
      </c>
      <c r="C6" s="456"/>
      <c r="D6" s="456"/>
      <c r="E6" s="456"/>
      <c r="F6" s="456"/>
      <c r="G6" s="456"/>
    </row>
    <row r="7" spans="1:27" ht="15" customHeight="1" x14ac:dyDescent="0.35">
      <c r="A7" s="121" t="s">
        <v>677</v>
      </c>
      <c r="B7" s="455" t="s">
        <v>713</v>
      </c>
      <c r="C7" s="456"/>
      <c r="D7" s="456"/>
      <c r="E7" s="456"/>
      <c r="F7" s="456"/>
      <c r="G7" s="456"/>
    </row>
    <row r="8" spans="1:27" ht="15" customHeight="1" x14ac:dyDescent="0.35">
      <c r="A8" s="121" t="s">
        <v>679</v>
      </c>
      <c r="B8" s="455" t="s">
        <v>680</v>
      </c>
      <c r="C8" s="456"/>
      <c r="D8" s="456"/>
      <c r="E8" s="456"/>
      <c r="F8" s="456"/>
      <c r="G8" s="456"/>
    </row>
    <row r="9" spans="1:27" ht="15" customHeight="1" x14ac:dyDescent="0.35">
      <c r="A9" s="121" t="s">
        <v>681</v>
      </c>
      <c r="B9" s="455" t="s">
        <v>682</v>
      </c>
      <c r="C9" s="456"/>
      <c r="D9" s="456"/>
      <c r="E9" s="456"/>
      <c r="F9" s="456"/>
      <c r="G9" s="456"/>
    </row>
    <row r="12" spans="1:27" ht="30" customHeight="1" x14ac:dyDescent="0.35">
      <c r="A12" s="80"/>
      <c r="B12" s="122" t="s">
        <v>182</v>
      </c>
      <c r="C12" s="122" t="s">
        <v>183</v>
      </c>
      <c r="D12" s="122" t="s">
        <v>184</v>
      </c>
      <c r="E12" s="122" t="s">
        <v>185</v>
      </c>
      <c r="F12" s="122" t="s">
        <v>186</v>
      </c>
      <c r="G12" s="122" t="s">
        <v>187</v>
      </c>
      <c r="H12" s="122" t="s">
        <v>188</v>
      </c>
      <c r="I12" s="122" t="s">
        <v>189</v>
      </c>
      <c r="J12" s="122" t="s">
        <v>190</v>
      </c>
      <c r="K12" s="123" t="s">
        <v>191</v>
      </c>
      <c r="L12" s="123" t="s">
        <v>192</v>
      </c>
      <c r="M12" s="123" t="s">
        <v>193</v>
      </c>
      <c r="N12" s="123" t="s">
        <v>194</v>
      </c>
      <c r="O12" s="123" t="s">
        <v>195</v>
      </c>
      <c r="P12" s="123" t="s">
        <v>196</v>
      </c>
      <c r="Q12" s="123" t="s">
        <v>197</v>
      </c>
      <c r="R12" s="123" t="s">
        <v>198</v>
      </c>
      <c r="S12" s="123" t="s">
        <v>199</v>
      </c>
      <c r="T12" s="124" t="s">
        <v>683</v>
      </c>
      <c r="U12" s="124" t="s">
        <v>684</v>
      </c>
      <c r="V12" s="124" t="s">
        <v>685</v>
      </c>
      <c r="W12" s="124" t="s">
        <v>686</v>
      </c>
      <c r="X12" s="124" t="s">
        <v>687</v>
      </c>
      <c r="Y12" s="124" t="s">
        <v>688</v>
      </c>
      <c r="Z12" s="124" t="s">
        <v>689</v>
      </c>
      <c r="AA12" s="124" t="s">
        <v>690</v>
      </c>
    </row>
    <row r="13" spans="1:27" ht="22" customHeight="1" x14ac:dyDescent="0.35">
      <c r="A13" s="82" t="s">
        <v>691</v>
      </c>
      <c r="B13" s="83">
        <f t="shared" ref="B13:S13" si="0">IFERROR(EDATE(B14,-3),"")</f>
        <v>45992</v>
      </c>
      <c r="C13" s="83">
        <f t="shared" si="0"/>
        <v>46023</v>
      </c>
      <c r="D13" s="83">
        <f t="shared" si="0"/>
        <v>46054</v>
      </c>
      <c r="E13" s="83">
        <f t="shared" si="0"/>
        <v>46082</v>
      </c>
      <c r="F13" s="83">
        <f t="shared" si="0"/>
        <v>46113</v>
      </c>
      <c r="G13" s="83">
        <f t="shared" si="0"/>
        <v>46143</v>
      </c>
      <c r="H13" s="83">
        <f t="shared" si="0"/>
        <v>46174</v>
      </c>
      <c r="I13" s="83">
        <f t="shared" si="0"/>
        <v>46204</v>
      </c>
      <c r="J13" s="83">
        <f t="shared" si="0"/>
        <v>46235</v>
      </c>
      <c r="K13" s="83">
        <f t="shared" si="0"/>
        <v>46266</v>
      </c>
      <c r="L13" s="83">
        <f t="shared" si="0"/>
        <v>46296</v>
      </c>
      <c r="M13" s="83">
        <f t="shared" si="0"/>
        <v>46327</v>
      </c>
      <c r="N13" s="83">
        <f t="shared" si="0"/>
        <v>46357</v>
      </c>
      <c r="O13" s="83">
        <f t="shared" si="0"/>
        <v>46388</v>
      </c>
      <c r="P13" s="83">
        <f t="shared" si="0"/>
        <v>46419</v>
      </c>
      <c r="Q13" s="83">
        <f t="shared" si="0"/>
        <v>46447</v>
      </c>
      <c r="R13" s="83">
        <f t="shared" si="0"/>
        <v>46478</v>
      </c>
      <c r="S13" s="83">
        <f t="shared" si="0"/>
        <v>46508</v>
      </c>
      <c r="T13" s="84"/>
      <c r="U13" s="84"/>
      <c r="V13" s="84"/>
      <c r="W13" s="84"/>
      <c r="X13" s="84"/>
      <c r="Y13" s="84"/>
      <c r="Z13" s="84"/>
      <c r="AA13" s="84"/>
    </row>
    <row r="14" spans="1:27" ht="22" customHeight="1" x14ac:dyDescent="0.35">
      <c r="A14" s="85" t="s">
        <v>692</v>
      </c>
      <c r="B14" s="86">
        <v>46082</v>
      </c>
      <c r="C14" s="86">
        <v>46113</v>
      </c>
      <c r="D14" s="86">
        <v>46143</v>
      </c>
      <c r="E14" s="86">
        <v>46174</v>
      </c>
      <c r="F14" s="86">
        <v>46204</v>
      </c>
      <c r="G14" s="86">
        <v>46235</v>
      </c>
      <c r="H14" s="86">
        <v>46266</v>
      </c>
      <c r="I14" s="86">
        <v>46296</v>
      </c>
      <c r="J14" s="86">
        <v>46327</v>
      </c>
      <c r="K14" s="87">
        <v>46357</v>
      </c>
      <c r="L14" s="87">
        <v>46388</v>
      </c>
      <c r="M14" s="87">
        <v>46419</v>
      </c>
      <c r="N14" s="87">
        <v>46447</v>
      </c>
      <c r="O14" s="87">
        <v>46478</v>
      </c>
      <c r="P14" s="87">
        <v>46508</v>
      </c>
      <c r="Q14" s="87">
        <v>46539</v>
      </c>
      <c r="R14" s="87">
        <v>46569</v>
      </c>
      <c r="S14" s="87">
        <v>46600</v>
      </c>
      <c r="T14" s="84"/>
      <c r="U14" s="84"/>
      <c r="V14" s="84"/>
      <c r="W14" s="84"/>
      <c r="X14" s="84"/>
      <c r="Y14" s="84"/>
      <c r="Z14" s="84"/>
      <c r="AA14" s="84"/>
    </row>
    <row r="15" spans="1:27" ht="22" customHeight="1" x14ac:dyDescent="0.35">
      <c r="A15" s="88" t="s">
        <v>693</v>
      </c>
      <c r="B15" s="125"/>
      <c r="C15" s="125"/>
      <c r="D15" s="125"/>
      <c r="E15" s="125"/>
      <c r="F15" s="125"/>
      <c r="G15" s="125"/>
      <c r="H15" s="125"/>
      <c r="I15" s="125"/>
      <c r="J15" s="125"/>
      <c r="K15" s="126"/>
      <c r="L15" s="126"/>
      <c r="M15" s="126"/>
      <c r="N15" s="126"/>
      <c r="O15" s="126"/>
      <c r="P15" s="126"/>
      <c r="Q15" s="126"/>
      <c r="R15" s="126"/>
      <c r="S15" s="126"/>
      <c r="T15" s="89"/>
      <c r="U15" s="89"/>
      <c r="V15" s="89"/>
      <c r="W15" s="89"/>
      <c r="X15" s="89"/>
      <c r="Y15" s="89"/>
      <c r="Z15" s="89"/>
      <c r="AA15" s="89"/>
    </row>
    <row r="16" spans="1:27" ht="22" customHeight="1" x14ac:dyDescent="0.35">
      <c r="A16" s="88" t="s">
        <v>694</v>
      </c>
      <c r="B16" s="125"/>
      <c r="C16" s="125"/>
      <c r="D16" s="125"/>
      <c r="E16" s="125"/>
      <c r="F16" s="125"/>
      <c r="G16" s="125"/>
      <c r="H16" s="125"/>
      <c r="I16" s="125"/>
      <c r="J16" s="125"/>
      <c r="K16" s="126"/>
      <c r="L16" s="126"/>
      <c r="M16" s="126"/>
      <c r="N16" s="126"/>
      <c r="O16" s="126"/>
      <c r="P16" s="126"/>
      <c r="Q16" s="126"/>
      <c r="R16" s="126"/>
      <c r="S16" s="126"/>
      <c r="T16" s="89"/>
      <c r="U16" s="89"/>
      <c r="V16" s="89"/>
      <c r="W16" s="89"/>
      <c r="X16" s="89"/>
      <c r="Y16" s="89"/>
      <c r="Z16" s="89"/>
      <c r="AA16" s="89"/>
    </row>
    <row r="17" spans="1:27" ht="22" customHeight="1" x14ac:dyDescent="0.35">
      <c r="A17" s="90" t="s">
        <v>695</v>
      </c>
      <c r="B17" s="127"/>
      <c r="C17" s="127"/>
      <c r="D17" s="127"/>
      <c r="E17" s="127"/>
      <c r="F17" s="127"/>
      <c r="G17" s="127"/>
      <c r="H17" s="127"/>
      <c r="I17" s="127"/>
      <c r="J17" s="127"/>
      <c r="K17" s="128"/>
      <c r="L17" s="128"/>
      <c r="M17" s="128"/>
      <c r="N17" s="128"/>
      <c r="O17" s="128"/>
      <c r="P17" s="128"/>
      <c r="Q17" s="128"/>
      <c r="R17" s="128"/>
      <c r="S17" s="128"/>
      <c r="T17" s="91"/>
      <c r="U17" s="91"/>
      <c r="V17" s="91"/>
      <c r="W17" s="91"/>
      <c r="X17" s="91"/>
      <c r="Y17" s="91"/>
      <c r="Z17" s="91"/>
      <c r="AA17" s="91"/>
    </row>
    <row r="18" spans="1:27" ht="22" customHeight="1" x14ac:dyDescent="0.35">
      <c r="A18" s="92" t="s">
        <v>696</v>
      </c>
      <c r="B18" s="127"/>
      <c r="C18" s="127"/>
      <c r="D18" s="127"/>
      <c r="E18" s="127"/>
      <c r="F18" s="127"/>
      <c r="G18" s="127"/>
      <c r="H18" s="127"/>
      <c r="I18" s="127"/>
      <c r="J18" s="127"/>
      <c r="K18" s="128"/>
      <c r="L18" s="128"/>
      <c r="M18" s="128"/>
      <c r="N18" s="128"/>
      <c r="O18" s="128"/>
      <c r="P18" s="128"/>
      <c r="Q18" s="128"/>
      <c r="R18" s="128"/>
      <c r="S18" s="128"/>
      <c r="T18" s="91"/>
      <c r="U18" s="91"/>
      <c r="V18" s="91"/>
      <c r="W18" s="91"/>
      <c r="X18" s="91"/>
      <c r="Y18" s="91"/>
      <c r="Z18" s="91"/>
      <c r="AA18" s="91"/>
    </row>
    <row r="19" spans="1:27" ht="22" customHeight="1" x14ac:dyDescent="0.35">
      <c r="A19" s="85" t="s">
        <v>697</v>
      </c>
      <c r="B19" s="129" t="s">
        <v>698</v>
      </c>
      <c r="C19" s="129" t="s">
        <v>698</v>
      </c>
      <c r="D19" s="129" t="s">
        <v>698</v>
      </c>
      <c r="E19" s="129" t="s">
        <v>698</v>
      </c>
      <c r="F19" s="129" t="s">
        <v>698</v>
      </c>
      <c r="G19" s="129" t="s">
        <v>698</v>
      </c>
      <c r="H19" s="129" t="s">
        <v>698</v>
      </c>
      <c r="I19" s="129" t="s">
        <v>698</v>
      </c>
      <c r="J19" s="129" t="s">
        <v>698</v>
      </c>
      <c r="K19" s="130" t="s">
        <v>699</v>
      </c>
      <c r="L19" s="130" t="s">
        <v>699</v>
      </c>
      <c r="M19" s="130" t="s">
        <v>699</v>
      </c>
      <c r="N19" s="130" t="s">
        <v>699</v>
      </c>
      <c r="O19" s="130" t="s">
        <v>699</v>
      </c>
      <c r="P19" s="130" t="s">
        <v>699</v>
      </c>
      <c r="Q19" s="130" t="s">
        <v>699</v>
      </c>
      <c r="R19" s="130" t="s">
        <v>699</v>
      </c>
      <c r="S19" s="130" t="s">
        <v>699</v>
      </c>
      <c r="T19" s="81" t="s">
        <v>699</v>
      </c>
      <c r="U19" s="81" t="s">
        <v>699</v>
      </c>
      <c r="V19" s="81" t="s">
        <v>699</v>
      </c>
      <c r="W19" s="81" t="s">
        <v>699</v>
      </c>
      <c r="X19" s="81" t="s">
        <v>699</v>
      </c>
      <c r="Y19" s="81" t="s">
        <v>699</v>
      </c>
      <c r="Z19" s="81" t="s">
        <v>699</v>
      </c>
      <c r="AA19" s="81" t="s">
        <v>699</v>
      </c>
    </row>
    <row r="20" spans="1:27" ht="18" customHeight="1" x14ac:dyDescent="0.35">
      <c r="A20" s="131" t="s">
        <v>700</v>
      </c>
      <c r="B20" s="132">
        <f t="shared" ref="B20:S20" si="1">B17</f>
        <v>0</v>
      </c>
      <c r="C20" s="132">
        <f t="shared" si="1"/>
        <v>0</v>
      </c>
      <c r="D20" s="132">
        <f t="shared" si="1"/>
        <v>0</v>
      </c>
      <c r="E20" s="132">
        <f t="shared" si="1"/>
        <v>0</v>
      </c>
      <c r="F20" s="132">
        <f t="shared" si="1"/>
        <v>0</v>
      </c>
      <c r="G20" s="132">
        <f t="shared" si="1"/>
        <v>0</v>
      </c>
      <c r="H20" s="132">
        <f t="shared" si="1"/>
        <v>0</v>
      </c>
      <c r="I20" s="132">
        <f t="shared" si="1"/>
        <v>0</v>
      </c>
      <c r="J20" s="132">
        <f t="shared" si="1"/>
        <v>0</v>
      </c>
      <c r="K20" s="132">
        <f t="shared" si="1"/>
        <v>0</v>
      </c>
      <c r="L20" s="132">
        <f t="shared" si="1"/>
        <v>0</v>
      </c>
      <c r="M20" s="132">
        <f t="shared" si="1"/>
        <v>0</v>
      </c>
      <c r="N20" s="132">
        <f t="shared" si="1"/>
        <v>0</v>
      </c>
      <c r="O20" s="132">
        <f t="shared" si="1"/>
        <v>0</v>
      </c>
      <c r="P20" s="132">
        <f t="shared" si="1"/>
        <v>0</v>
      </c>
      <c r="Q20" s="132">
        <f t="shared" si="1"/>
        <v>0</v>
      </c>
      <c r="R20" s="132">
        <f t="shared" si="1"/>
        <v>0</v>
      </c>
      <c r="S20" s="132">
        <f t="shared" si="1"/>
        <v>0</v>
      </c>
      <c r="T20" s="80"/>
      <c r="U20" s="80"/>
      <c r="V20" s="80"/>
      <c r="W20" s="80"/>
      <c r="X20" s="80"/>
      <c r="Y20" s="80"/>
      <c r="Z20" s="80"/>
      <c r="AA20" s="80"/>
    </row>
    <row r="23" spans="1:27" ht="18" customHeight="1" x14ac:dyDescent="0.35">
      <c r="A23" s="446" t="s">
        <v>701</v>
      </c>
      <c r="B23" s="395"/>
      <c r="C23" s="395"/>
      <c r="D23" s="395"/>
      <c r="E23" s="395"/>
      <c r="F23" s="395"/>
      <c r="H23" s="446" t="s">
        <v>732</v>
      </c>
      <c r="I23" s="395"/>
      <c r="J23" s="395"/>
      <c r="K23" s="395"/>
      <c r="L23" s="395"/>
      <c r="M23" s="395"/>
    </row>
    <row r="24" spans="1:27" ht="16" customHeight="1" x14ac:dyDescent="0.35">
      <c r="A24" s="121" t="s">
        <v>703</v>
      </c>
      <c r="B24" s="455"/>
      <c r="C24" s="456"/>
      <c r="D24" s="456"/>
      <c r="E24" s="456"/>
      <c r="F24" s="456"/>
      <c r="H24" s="121" t="s">
        <v>703</v>
      </c>
      <c r="I24" s="455"/>
      <c r="J24" s="456"/>
      <c r="K24" s="456"/>
      <c r="L24" s="456"/>
      <c r="M24" s="456"/>
    </row>
    <row r="25" spans="1:27" ht="16" customHeight="1" x14ac:dyDescent="0.35">
      <c r="A25" s="121" t="s">
        <v>704</v>
      </c>
      <c r="B25" s="455"/>
      <c r="C25" s="456"/>
      <c r="D25" s="456"/>
      <c r="E25" s="456"/>
      <c r="F25" s="456"/>
      <c r="H25" s="121" t="s">
        <v>704</v>
      </c>
      <c r="I25" s="455"/>
      <c r="J25" s="456"/>
      <c r="K25" s="456"/>
      <c r="L25" s="456"/>
      <c r="M25" s="456"/>
    </row>
    <row r="26" spans="1:27" ht="16" customHeight="1" x14ac:dyDescent="0.35">
      <c r="A26" s="121" t="s">
        <v>705</v>
      </c>
      <c r="B26" s="455"/>
      <c r="C26" s="456"/>
      <c r="D26" s="456"/>
      <c r="E26" s="456"/>
      <c r="F26" s="456"/>
      <c r="H26" s="121" t="s">
        <v>705</v>
      </c>
      <c r="I26" s="455"/>
      <c r="J26" s="456"/>
      <c r="K26" s="456"/>
      <c r="L26" s="456"/>
      <c r="M26" s="456"/>
    </row>
    <row r="27" spans="1:27" ht="16" customHeight="1" x14ac:dyDescent="0.35">
      <c r="A27" s="121" t="s">
        <v>706</v>
      </c>
      <c r="B27" s="455"/>
      <c r="C27" s="456"/>
      <c r="D27" s="456"/>
      <c r="E27" s="456"/>
      <c r="F27" s="456"/>
      <c r="H27" s="121" t="s">
        <v>706</v>
      </c>
      <c r="I27" s="455"/>
      <c r="J27" s="456"/>
      <c r="K27" s="456"/>
      <c r="L27" s="456"/>
      <c r="M27" s="456"/>
    </row>
    <row r="28" spans="1:27" ht="16" customHeight="1" x14ac:dyDescent="0.35">
      <c r="A28" s="121" t="s">
        <v>707</v>
      </c>
      <c r="B28" s="455"/>
      <c r="C28" s="456"/>
      <c r="D28" s="456"/>
      <c r="E28" s="456"/>
      <c r="F28" s="456"/>
      <c r="H28" s="121" t="s">
        <v>707</v>
      </c>
      <c r="I28" s="455"/>
      <c r="J28" s="456"/>
      <c r="K28" s="456"/>
      <c r="L28" s="456"/>
      <c r="M28" s="456"/>
    </row>
    <row r="30" spans="1:27" ht="16" customHeight="1" x14ac:dyDescent="0.35">
      <c r="A30" s="394" t="s">
        <v>708</v>
      </c>
      <c r="B30" s="395"/>
      <c r="C30" s="395"/>
      <c r="D30" s="395"/>
      <c r="E30" s="395"/>
      <c r="F30" s="395"/>
      <c r="G30" s="395"/>
      <c r="H30" s="395"/>
      <c r="I30" s="395"/>
      <c r="J30" s="395"/>
      <c r="K30" s="395"/>
      <c r="L30" s="395"/>
      <c r="M30" s="395"/>
      <c r="N30" s="395"/>
      <c r="O30" s="395"/>
      <c r="P30" s="395"/>
    </row>
  </sheetData>
  <mergeCells count="21">
    <mergeCell ref="A1:Z1"/>
    <mergeCell ref="I25:M25"/>
    <mergeCell ref="A23:F23"/>
    <mergeCell ref="B9:G9"/>
    <mergeCell ref="I28:M28"/>
    <mergeCell ref="B4:G4"/>
    <mergeCell ref="A2:Z2"/>
    <mergeCell ref="B25:F25"/>
    <mergeCell ref="B8:G8"/>
    <mergeCell ref="I27:M27"/>
    <mergeCell ref="B27:F27"/>
    <mergeCell ref="I26:M26"/>
    <mergeCell ref="A30:P30"/>
    <mergeCell ref="B6:G6"/>
    <mergeCell ref="B5:G5"/>
    <mergeCell ref="B28:F28"/>
    <mergeCell ref="I24:M24"/>
    <mergeCell ref="H23:M23"/>
    <mergeCell ref="B7:G7"/>
    <mergeCell ref="B24:F24"/>
    <mergeCell ref="B26:F26"/>
  </mergeCells>
  <pageMargins left="0.75" right="0.75" top="1" bottom="1" header="0.5" footer="0.5"/>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28</vt:i4>
      </vt:variant>
    </vt:vector>
  </HeadingPairs>
  <TitlesOfParts>
    <vt:vector size="28" baseType="lpstr">
      <vt:lpstr>New Item Guide</vt:lpstr>
      <vt:lpstr>Supplier Registry</vt:lpstr>
      <vt:lpstr>SKU Master</vt:lpstr>
      <vt:lpstr>Controls</vt:lpstr>
      <vt:lpstr>Demand Inputs</vt:lpstr>
      <vt:lpstr>Production Inputs</vt:lpstr>
      <vt:lpstr>Dependencies</vt:lpstr>
      <vt:lpstr>Planning Engine</vt:lpstr>
      <vt:lpstr>Cost Inputs</vt:lpstr>
      <vt:lpstr>Cancellation Policy</vt:lpstr>
      <vt:lpstr>FG Enhanced Plan</vt:lpstr>
      <vt:lpstr>Supply Enhanced Plan</vt:lpstr>
      <vt:lpstr>Annual Summary</vt:lpstr>
      <vt:lpstr>Long Range View</vt:lpstr>
      <vt:lpstr>Lot Inputs</vt:lpstr>
      <vt:lpstr>FEFO Analysis</vt:lpstr>
      <vt:lpstr>Expiry Risk Summary</vt:lpstr>
      <vt:lpstr>Exception Summary</vt:lpstr>
      <vt:lpstr>Executive Dashboard</vt:lpstr>
      <vt:lpstr>Fcst_Catalent</vt:lpstr>
      <vt:lpstr>Fcst_Patheon_PDS-2</vt:lpstr>
      <vt:lpstr>Fcst_Patheon_PDS-1</vt:lpstr>
      <vt:lpstr>Fcst_Simtra</vt:lpstr>
      <vt:lpstr>Fcst_Fisher_-_ThermoFis</vt:lpstr>
      <vt:lpstr>Fcst_ST_Pharm_Oligo_P1</vt:lpstr>
      <vt:lpstr>Fcst_ST_Pharm</vt:lpstr>
      <vt:lpstr>Fcst_Kinovate</vt:lpstr>
      <vt:lpstr>Fcst_Hongene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Holmbeck, Ryan</cp:lastModifiedBy>
  <dcterms:created xsi:type="dcterms:W3CDTF">2026-03-19T15:02:52Z</dcterms:created>
  <dcterms:modified xsi:type="dcterms:W3CDTF">2026-05-14T02:50:13Z</dcterms:modified>
</cp:coreProperties>
</file>